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queryTables/queryTable7.xml" ContentType="application/vnd.openxmlformats-officedocument.spreadsheetml.queryTable+xml"/>
  <Override PartName="/xl/queryTables/queryTable8.xml" ContentType="application/vnd.openxmlformats-officedocument.spreadsheetml.queryTable+xml"/>
  <Override PartName="/xl/queryTables/queryTable9.xml" ContentType="application/vnd.openxmlformats-officedocument.spreadsheetml.queryTable+xml"/>
  <Override PartName="/xl/queryTables/queryTable10.xml" ContentType="application/vnd.openxmlformats-officedocument.spreadsheetml.queryTable+xml"/>
  <Override PartName="/xl/queryTables/queryTable11.xml" ContentType="application/vnd.openxmlformats-officedocument.spreadsheetml.queryTable+xml"/>
  <Override PartName="/xl/queryTables/queryTable12.xml" ContentType="application/vnd.openxmlformats-officedocument.spreadsheetml.queryTable+xml"/>
  <Override PartName="/xl/queryTables/queryTable13.xml" ContentType="application/vnd.openxmlformats-officedocument.spreadsheetml.queryTable+xml"/>
  <Override PartName="/xl/queryTables/queryTable14.xml" ContentType="application/vnd.openxmlformats-officedocument.spreadsheetml.queryTable+xml"/>
  <Override PartName="/xl/queryTables/queryTable15.xml" ContentType="application/vnd.openxmlformats-officedocument.spreadsheetml.queryTable+xml"/>
  <Override PartName="/xl/queryTables/queryTable16.xml" ContentType="application/vnd.openxmlformats-officedocument.spreadsheetml.queryTable+xml"/>
  <Override PartName="/xl/queryTables/queryTable17.xml" ContentType="application/vnd.openxmlformats-officedocument.spreadsheetml.queryTable+xml"/>
  <Override PartName="/xl/queryTables/queryTable18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60" yWindow="90" windowWidth="18195" windowHeight="7230" tabRatio="907" firstSheet="21" activeTab="28"/>
  </bookViews>
  <sheets>
    <sheet name="neighb data final" sheetId="3" r:id="rId1"/>
    <sheet name="neighbourhood data plant lvl" sheetId="27" r:id="rId2"/>
    <sheet name="Plant lvl (focal) data" sheetId="21" r:id="rId3"/>
    <sheet name="Allometry" sheetId="7" r:id="rId4"/>
    <sheet name="SLA" sheetId="8" r:id="rId5"/>
    <sheet name="Soil" sheetId="9" r:id="rId6"/>
    <sheet name="Seeds" sheetId="10" r:id="rId7"/>
    <sheet name="shadecloth canopy estimation" sheetId="11" r:id="rId8"/>
    <sheet name="prelim seed data plotting" sheetId="12" r:id="rId9"/>
    <sheet name="model summaries for MM" sheetId="18" r:id="rId10"/>
    <sheet name="Solos seed summaries" sheetId="20" r:id="rId11"/>
    <sheet name="Sheet5" sheetId="22" r:id="rId12"/>
    <sheet name="trait data for Steph" sheetId="23" r:id="rId13"/>
    <sheet name="more trait data for Steph" sheetId="24" r:id="rId14"/>
    <sheet name="species attributes" sheetId="25" r:id="rId15"/>
    <sheet name="species attributes metadata" sheetId="26" r:id="rId16"/>
    <sheet name="neighbdata w traits" sheetId="33" r:id="rId17"/>
    <sheet name="neighb data traits melted" sheetId="29" r:id="rId18"/>
    <sheet name="mean var trait distances" sheetId="31" r:id="rId19"/>
    <sheet name="neighb data traits expanded" sheetId="34" r:id="rId20"/>
    <sheet name="neighbdata expanded melted" sheetId="35" r:id="rId21"/>
    <sheet name="abnd wghtd trt dst means vars " sheetId="36" r:id="rId22"/>
    <sheet name="plant lvl (focal) highcomp" sheetId="37" r:id="rId23"/>
    <sheet name="plant lvl (focal) w neighbors" sheetId="38" r:id="rId24"/>
    <sheet name="just neighbors" sheetId="39" r:id="rId25"/>
    <sheet name="quadrat lvl" sheetId="41" r:id="rId26"/>
    <sheet name="soil moisture plotting" sheetId="42" r:id="rId27"/>
    <sheet name="soil moisture analysis" sheetId="43" r:id="rId28"/>
    <sheet name="Sheet6" sheetId="44" r:id="rId29"/>
  </sheets>
  <definedNames>
    <definedName name="_xlnm._FilterDatabase" localSheetId="2" hidden="1">'Plant lvl (focal) data'!$A$1:$BR$389</definedName>
    <definedName name="commdata_1" localSheetId="28">Sheet6!$A$1:$AG$195</definedName>
    <definedName name="ndata5" localSheetId="19">'neighb data traits expanded'!$A$1:$Y$719</definedName>
    <definedName name="ndata5" localSheetId="16">'neighbdata w traits'!$A$1:$Y$372</definedName>
    <definedName name="neighbdata" localSheetId="17">'neighb data traits melted'!#REF!</definedName>
    <definedName name="plant" localSheetId="2">'Plant lvl (focal) data'!$A$1:$BO$389</definedName>
    <definedName name="Plotdata2" localSheetId="24">'just neighbors'!$A$1:$AL$195</definedName>
    <definedName name="Plotdata2" localSheetId="23">'plant lvl (focal) w neighbors'!$A$1:$EC$195</definedName>
    <definedName name="quad" localSheetId="25">'quadrat lvl'!$A$1:$J$68</definedName>
    <definedName name="quad" localSheetId="27">'soil moisture analysis'!$A$1:$F$68</definedName>
    <definedName name="solos_species_treatment_by_block_seed_means" localSheetId="10">'Solos seed summaries'!$A$1:$F$81</definedName>
    <definedName name="speciesattributes" localSheetId="14">'species attributes'!$A$1:$B$34</definedName>
    <definedName name="traitdistmeans" localSheetId="18">'mean var trait distances'!$A$1:$G$195</definedName>
    <definedName name="traitdistmeans_1" localSheetId="18">'mean var trait distances'!$N$1:$O$195</definedName>
    <definedName name="traitdistmeansabundweighted" localSheetId="21">'abnd wghtd trt dst means vars '!$A$1:$I$195</definedName>
    <definedName name="traitdistvar" localSheetId="18">'mean var trait distances'!$H$1:$M$195</definedName>
    <definedName name="traitdistvar" localSheetId="2">'Plant lvl (focal) data'!$BY$1:$CD$195</definedName>
    <definedName name="traitdistvar_1" localSheetId="18">'mean var trait distances'!$P$1:$Q$195</definedName>
    <definedName name="traitdistvarabundweighted" localSheetId="21">'abnd wghtd trt dst means vars '!$J$1:$Q$195</definedName>
    <definedName name="traitdistvarabundweighted" localSheetId="2">'Plant lvl (focal) data'!$CO$1:$CV$195</definedName>
  </definedNames>
  <calcPr calcId="145621"/>
</workbook>
</file>

<file path=xl/calcChain.xml><?xml version="1.0" encoding="utf-8"?>
<calcChain xmlns="http://schemas.openxmlformats.org/spreadsheetml/2006/main">
  <c r="C3" i="3" l="1"/>
  <c r="C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/>
  <c r="C247" i="3"/>
  <c r="C248" i="3"/>
  <c r="C249" i="3"/>
  <c r="C250" i="3"/>
  <c r="C251" i="3"/>
  <c r="C252" i="3"/>
  <c r="C253" i="3"/>
  <c r="C254" i="3"/>
  <c r="C255" i="3"/>
  <c r="C256" i="3"/>
  <c r="C257" i="3"/>
  <c r="C258" i="3"/>
  <c r="C259" i="3"/>
  <c r="C260" i="3"/>
  <c r="C261" i="3"/>
  <c r="C262" i="3"/>
  <c r="C263" i="3"/>
  <c r="C264" i="3"/>
  <c r="C265" i="3"/>
  <c r="C266" i="3"/>
  <c r="C267" i="3"/>
  <c r="C268" i="3"/>
  <c r="C269" i="3"/>
  <c r="C270" i="3"/>
  <c r="C271" i="3"/>
  <c r="C272" i="3"/>
  <c r="C273" i="3"/>
  <c r="C274" i="3"/>
  <c r="C275" i="3"/>
  <c r="C276" i="3"/>
  <c r="C277" i="3"/>
  <c r="C278" i="3"/>
  <c r="C279" i="3"/>
  <c r="C280" i="3"/>
  <c r="C281" i="3"/>
  <c r="C282" i="3"/>
  <c r="C283" i="3"/>
  <c r="C284" i="3"/>
  <c r="C285" i="3"/>
  <c r="C286" i="3"/>
  <c r="C287" i="3"/>
  <c r="C288" i="3"/>
  <c r="C289" i="3"/>
  <c r="C290" i="3"/>
  <c r="C291" i="3"/>
  <c r="C292" i="3"/>
  <c r="C293" i="3"/>
  <c r="C294" i="3"/>
  <c r="C295" i="3"/>
  <c r="C296" i="3"/>
  <c r="C297" i="3"/>
  <c r="C298" i="3"/>
  <c r="C299" i="3"/>
  <c r="C300" i="3"/>
  <c r="C301" i="3"/>
  <c r="C302" i="3"/>
  <c r="C303" i="3"/>
  <c r="C304" i="3"/>
  <c r="C305" i="3"/>
  <c r="C306" i="3"/>
  <c r="C307" i="3"/>
  <c r="C308" i="3"/>
  <c r="C309" i="3"/>
  <c r="C310" i="3"/>
  <c r="C311" i="3"/>
  <c r="C312" i="3"/>
  <c r="C313" i="3"/>
  <c r="C314" i="3"/>
  <c r="C315" i="3"/>
  <c r="C316" i="3"/>
  <c r="C317" i="3"/>
  <c r="C318" i="3"/>
  <c r="C319" i="3"/>
  <c r="C320" i="3"/>
  <c r="C321" i="3"/>
  <c r="C322" i="3"/>
  <c r="C323" i="3"/>
  <c r="C324" i="3"/>
  <c r="C325" i="3"/>
  <c r="C326" i="3"/>
  <c r="C327" i="3"/>
  <c r="C328" i="3"/>
  <c r="C329" i="3"/>
  <c r="C330" i="3"/>
  <c r="C331" i="3"/>
  <c r="C332" i="3"/>
  <c r="C333" i="3"/>
  <c r="C334" i="3"/>
  <c r="C335" i="3"/>
  <c r="C336" i="3"/>
  <c r="C337" i="3"/>
  <c r="C338" i="3"/>
  <c r="C339" i="3"/>
  <c r="C340" i="3"/>
  <c r="C341" i="3"/>
  <c r="C342" i="3"/>
  <c r="C343" i="3"/>
  <c r="C344" i="3"/>
  <c r="C345" i="3"/>
  <c r="C346" i="3"/>
  <c r="C347" i="3"/>
  <c r="C348" i="3"/>
  <c r="C349" i="3"/>
  <c r="C350" i="3"/>
  <c r="C351" i="3"/>
  <c r="C352" i="3"/>
  <c r="C353" i="3"/>
  <c r="C354" i="3"/>
  <c r="C355" i="3"/>
  <c r="C356" i="3"/>
  <c r="C357" i="3"/>
  <c r="C358" i="3"/>
  <c r="C359" i="3"/>
  <c r="C360" i="3"/>
  <c r="C361" i="3"/>
  <c r="C362" i="3"/>
  <c r="C363" i="3"/>
  <c r="C364" i="3"/>
  <c r="C365" i="3"/>
  <c r="C366" i="3"/>
  <c r="C367" i="3"/>
  <c r="C368" i="3"/>
  <c r="C369" i="3"/>
  <c r="C370" i="3"/>
  <c r="C371" i="3"/>
  <c r="C372" i="3"/>
  <c r="C2" i="3"/>
  <c r="S3" i="21" l="1"/>
  <c r="T3" i="21" s="1"/>
  <c r="S4" i="21"/>
  <c r="T4" i="21" s="1"/>
  <c r="S5" i="21"/>
  <c r="T5" i="21" s="1"/>
  <c r="S6" i="21"/>
  <c r="T6" i="21" s="1"/>
  <c r="S7" i="21"/>
  <c r="T7" i="21" s="1"/>
  <c r="S9" i="21"/>
  <c r="T9" i="21" s="1"/>
  <c r="S10" i="21"/>
  <c r="T10" i="21" s="1"/>
  <c r="S11" i="21"/>
  <c r="T11" i="21" s="1"/>
  <c r="S12" i="21"/>
  <c r="T12" i="21" s="1"/>
  <c r="S14" i="21"/>
  <c r="T14" i="21" s="1"/>
  <c r="S15" i="21"/>
  <c r="T15" i="21" s="1"/>
  <c r="S16" i="21"/>
  <c r="T16" i="21" s="1"/>
  <c r="S17" i="21"/>
  <c r="T17" i="21" s="1"/>
  <c r="S18" i="21"/>
  <c r="T18" i="21" s="1"/>
  <c r="S19" i="21"/>
  <c r="T19" i="21" s="1"/>
  <c r="S20" i="21"/>
  <c r="T20" i="21" s="1"/>
  <c r="S21" i="21"/>
  <c r="T21" i="21" s="1"/>
  <c r="S22" i="21"/>
  <c r="T22" i="21" s="1"/>
  <c r="S23" i="21"/>
  <c r="T23" i="21" s="1"/>
  <c r="S24" i="21"/>
  <c r="T24" i="21" s="1"/>
  <c r="S25" i="21"/>
  <c r="T25" i="21" s="1"/>
  <c r="S26" i="21"/>
  <c r="T26" i="21" s="1"/>
  <c r="S27" i="21"/>
  <c r="T27" i="21" s="1"/>
  <c r="S28" i="21"/>
  <c r="T28" i="21" s="1"/>
  <c r="S29" i="21"/>
  <c r="T29" i="21" s="1"/>
  <c r="S30" i="21"/>
  <c r="T30" i="21" s="1"/>
  <c r="S31" i="21"/>
  <c r="T31" i="21" s="1"/>
  <c r="S32" i="21"/>
  <c r="T32" i="21" s="1"/>
  <c r="S33" i="21"/>
  <c r="T33" i="21" s="1"/>
  <c r="S34" i="21"/>
  <c r="T34" i="21" s="1"/>
  <c r="S35" i="21"/>
  <c r="T35" i="21" s="1"/>
  <c r="S36" i="21"/>
  <c r="T36" i="21" s="1"/>
  <c r="S37" i="21"/>
  <c r="T37" i="21" s="1"/>
  <c r="S38" i="21"/>
  <c r="T38" i="21" s="1"/>
  <c r="S39" i="21"/>
  <c r="T39" i="21" s="1"/>
  <c r="S40" i="21"/>
  <c r="T40" i="21" s="1"/>
  <c r="S41" i="21"/>
  <c r="T41" i="21" s="1"/>
  <c r="S42" i="21"/>
  <c r="T42" i="21" s="1"/>
  <c r="S43" i="21"/>
  <c r="T43" i="21" s="1"/>
  <c r="S44" i="21"/>
  <c r="T44" i="21" s="1"/>
  <c r="S45" i="21"/>
  <c r="T45" i="21" s="1"/>
  <c r="S46" i="21"/>
  <c r="T46" i="21" s="1"/>
  <c r="S47" i="21"/>
  <c r="T47" i="21" s="1"/>
  <c r="S48" i="21"/>
  <c r="T48" i="21" s="1"/>
  <c r="S50" i="21"/>
  <c r="T50" i="21" s="1"/>
  <c r="S51" i="21"/>
  <c r="T51" i="21" s="1"/>
  <c r="S52" i="21"/>
  <c r="T52" i="21" s="1"/>
  <c r="S53" i="21"/>
  <c r="T53" i="21" s="1"/>
  <c r="S54" i="21"/>
  <c r="T54" i="21" s="1"/>
  <c r="S55" i="21"/>
  <c r="T55" i="21" s="1"/>
  <c r="S56" i="21"/>
  <c r="T56" i="21" s="1"/>
  <c r="S57" i="21"/>
  <c r="T57" i="21" s="1"/>
  <c r="S58" i="21"/>
  <c r="T58" i="21" s="1"/>
  <c r="S59" i="21"/>
  <c r="T59" i="21" s="1"/>
  <c r="S60" i="21"/>
  <c r="T60" i="21" s="1"/>
  <c r="S61" i="21"/>
  <c r="T61" i="21" s="1"/>
  <c r="S62" i="21"/>
  <c r="T62" i="21" s="1"/>
  <c r="S63" i="21"/>
  <c r="T63" i="21" s="1"/>
  <c r="S64" i="21"/>
  <c r="T64" i="21" s="1"/>
  <c r="S65" i="21"/>
  <c r="T65" i="21" s="1"/>
  <c r="S66" i="21"/>
  <c r="T66" i="21" s="1"/>
  <c r="S67" i="21"/>
  <c r="T67" i="21" s="1"/>
  <c r="S68" i="21"/>
  <c r="T68" i="21" s="1"/>
  <c r="S69" i="21"/>
  <c r="T69" i="21" s="1"/>
  <c r="S70" i="21"/>
  <c r="T70" i="21" s="1"/>
  <c r="S71" i="21"/>
  <c r="T71" i="21" s="1"/>
  <c r="S72" i="21"/>
  <c r="T72" i="21" s="1"/>
  <c r="S73" i="21"/>
  <c r="T73" i="21" s="1"/>
  <c r="S74" i="21"/>
  <c r="T74" i="21" s="1"/>
  <c r="S75" i="21"/>
  <c r="T75" i="21" s="1"/>
  <c r="S76" i="21"/>
  <c r="T76" i="21" s="1"/>
  <c r="S77" i="21"/>
  <c r="T77" i="21" s="1"/>
  <c r="S78" i="21"/>
  <c r="T78" i="21" s="1"/>
  <c r="S79" i="21"/>
  <c r="T79" i="21" s="1"/>
  <c r="S80" i="21"/>
  <c r="T80" i="21" s="1"/>
  <c r="S81" i="21"/>
  <c r="T81" i="21" s="1"/>
  <c r="S82" i="21"/>
  <c r="T82" i="21" s="1"/>
  <c r="S83" i="21"/>
  <c r="T83" i="21" s="1"/>
  <c r="S84" i="21"/>
  <c r="T84" i="21" s="1"/>
  <c r="S85" i="21"/>
  <c r="T85" i="21" s="1"/>
  <c r="S86" i="21"/>
  <c r="T86" i="21" s="1"/>
  <c r="S87" i="21"/>
  <c r="T87" i="21" s="1"/>
  <c r="S88" i="21"/>
  <c r="T88" i="21" s="1"/>
  <c r="S89" i="21"/>
  <c r="T89" i="21" s="1"/>
  <c r="S90" i="21"/>
  <c r="T90" i="21" s="1"/>
  <c r="S91" i="21"/>
  <c r="T91" i="21" s="1"/>
  <c r="S92" i="21"/>
  <c r="T92" i="21" s="1"/>
  <c r="S93" i="21"/>
  <c r="T93" i="21" s="1"/>
  <c r="S94" i="21"/>
  <c r="T94" i="21" s="1"/>
  <c r="S95" i="21"/>
  <c r="T95" i="21" s="1"/>
  <c r="S96" i="21"/>
  <c r="T96" i="21" s="1"/>
  <c r="S97" i="21"/>
  <c r="T97" i="21" s="1"/>
  <c r="S98" i="21"/>
  <c r="T98" i="21" s="1"/>
  <c r="S99" i="21"/>
  <c r="T99" i="21" s="1"/>
  <c r="S100" i="21"/>
  <c r="T100" i="21" s="1"/>
  <c r="S101" i="21"/>
  <c r="T101" i="21" s="1"/>
  <c r="S102" i="21"/>
  <c r="T102" i="21" s="1"/>
  <c r="S103" i="21"/>
  <c r="T103" i="21" s="1"/>
  <c r="S104" i="21"/>
  <c r="T104" i="21" s="1"/>
  <c r="S105" i="21"/>
  <c r="T105" i="21" s="1"/>
  <c r="S106" i="21"/>
  <c r="T106" i="21" s="1"/>
  <c r="S107" i="21"/>
  <c r="T107" i="21" s="1"/>
  <c r="S108" i="21"/>
  <c r="T108" i="21" s="1"/>
  <c r="S109" i="21"/>
  <c r="T109" i="21" s="1"/>
  <c r="S110" i="21"/>
  <c r="T110" i="21" s="1"/>
  <c r="S111" i="21"/>
  <c r="T111" i="21" s="1"/>
  <c r="S112" i="21"/>
  <c r="T112" i="21" s="1"/>
  <c r="S113" i="21"/>
  <c r="T113" i="21" s="1"/>
  <c r="S114" i="21"/>
  <c r="T114" i="21" s="1"/>
  <c r="S115" i="21"/>
  <c r="T115" i="21" s="1"/>
  <c r="S116" i="21"/>
  <c r="T116" i="21" s="1"/>
  <c r="S117" i="21"/>
  <c r="T117" i="21" s="1"/>
  <c r="S118" i="21"/>
  <c r="T118" i="21" s="1"/>
  <c r="S119" i="21"/>
  <c r="T119" i="21" s="1"/>
  <c r="S120" i="21"/>
  <c r="T120" i="21" s="1"/>
  <c r="S121" i="21"/>
  <c r="T121" i="21" s="1"/>
  <c r="S122" i="21"/>
  <c r="T122" i="21" s="1"/>
  <c r="S123" i="21"/>
  <c r="T123" i="21" s="1"/>
  <c r="S124" i="21"/>
  <c r="T124" i="21" s="1"/>
  <c r="S125" i="21"/>
  <c r="T125" i="21" s="1"/>
  <c r="S126" i="21"/>
  <c r="T126" i="21" s="1"/>
  <c r="S127" i="21"/>
  <c r="T127" i="21" s="1"/>
  <c r="S128" i="21"/>
  <c r="T128" i="21" s="1"/>
  <c r="S129" i="21"/>
  <c r="T129" i="21" s="1"/>
  <c r="S130" i="21"/>
  <c r="T130" i="21" s="1"/>
  <c r="S131" i="21"/>
  <c r="T131" i="21" s="1"/>
  <c r="S132" i="21"/>
  <c r="T132" i="21" s="1"/>
  <c r="S133" i="21"/>
  <c r="T133" i="21" s="1"/>
  <c r="S134" i="21"/>
  <c r="T134" i="21" s="1"/>
  <c r="S135" i="21"/>
  <c r="T135" i="21" s="1"/>
  <c r="S136" i="21"/>
  <c r="T136" i="21" s="1"/>
  <c r="S137" i="21"/>
  <c r="T137" i="21" s="1"/>
  <c r="S138" i="21"/>
  <c r="T138" i="21" s="1"/>
  <c r="S139" i="21"/>
  <c r="T139" i="21" s="1"/>
  <c r="S140" i="21"/>
  <c r="T140" i="21" s="1"/>
  <c r="S141" i="21"/>
  <c r="T141" i="21" s="1"/>
  <c r="S142" i="21"/>
  <c r="T142" i="21" s="1"/>
  <c r="S143" i="21"/>
  <c r="T143" i="21" s="1"/>
  <c r="S144" i="21"/>
  <c r="T144" i="21" s="1"/>
  <c r="S145" i="21"/>
  <c r="T145" i="21" s="1"/>
  <c r="S146" i="21"/>
  <c r="T146" i="21" s="1"/>
  <c r="S147" i="21"/>
  <c r="T147" i="21" s="1"/>
  <c r="S148" i="21"/>
  <c r="T148" i="21" s="1"/>
  <c r="S149" i="21"/>
  <c r="T149" i="21" s="1"/>
  <c r="S150" i="21"/>
  <c r="T150" i="21" s="1"/>
  <c r="S151" i="21"/>
  <c r="T151" i="21" s="1"/>
  <c r="S152" i="21"/>
  <c r="T152" i="21" s="1"/>
  <c r="S153" i="21"/>
  <c r="T153" i="21" s="1"/>
  <c r="S154" i="21"/>
  <c r="T154" i="21" s="1"/>
  <c r="S155" i="21"/>
  <c r="T155" i="21" s="1"/>
  <c r="S156" i="21"/>
  <c r="T156" i="21" s="1"/>
  <c r="S157" i="21"/>
  <c r="T157" i="21" s="1"/>
  <c r="S158" i="21"/>
  <c r="T158" i="21" s="1"/>
  <c r="S159" i="21"/>
  <c r="T159" i="21" s="1"/>
  <c r="S160" i="21"/>
  <c r="T160" i="21" s="1"/>
  <c r="S161" i="21"/>
  <c r="T161" i="21" s="1"/>
  <c r="S162" i="21"/>
  <c r="T162" i="21" s="1"/>
  <c r="S163" i="21"/>
  <c r="T163" i="21" s="1"/>
  <c r="S164" i="21"/>
  <c r="T164" i="21" s="1"/>
  <c r="S165" i="21"/>
  <c r="T165" i="21" s="1"/>
  <c r="S166" i="21"/>
  <c r="T166" i="21" s="1"/>
  <c r="S167" i="21"/>
  <c r="T167" i="21" s="1"/>
  <c r="S168" i="21"/>
  <c r="T168" i="21" s="1"/>
  <c r="S169" i="21"/>
  <c r="T169" i="21" s="1"/>
  <c r="S170" i="21"/>
  <c r="T170" i="21" s="1"/>
  <c r="S171" i="21"/>
  <c r="T171" i="21" s="1"/>
  <c r="S172" i="21"/>
  <c r="T172" i="21" s="1"/>
  <c r="S173" i="21"/>
  <c r="T173" i="21" s="1"/>
  <c r="S174" i="21"/>
  <c r="T174" i="21" s="1"/>
  <c r="S175" i="21"/>
  <c r="T175" i="21" s="1"/>
  <c r="S176" i="21"/>
  <c r="T176" i="21" s="1"/>
  <c r="S177" i="21"/>
  <c r="T177" i="21" s="1"/>
  <c r="S178" i="21"/>
  <c r="T178" i="21" s="1"/>
  <c r="S179" i="21"/>
  <c r="T179" i="21" s="1"/>
  <c r="S180" i="21"/>
  <c r="T180" i="21" s="1"/>
  <c r="S181" i="21"/>
  <c r="T181" i="21" s="1"/>
  <c r="S182" i="21"/>
  <c r="T182" i="21" s="1"/>
  <c r="S183" i="21"/>
  <c r="T183" i="21" s="1"/>
  <c r="S184" i="21"/>
  <c r="T184" i="21" s="1"/>
  <c r="S185" i="21"/>
  <c r="T185" i="21" s="1"/>
  <c r="S186" i="21"/>
  <c r="T186" i="21" s="1"/>
  <c r="S187" i="21"/>
  <c r="T187" i="21" s="1"/>
  <c r="S188" i="21"/>
  <c r="T188" i="21" s="1"/>
  <c r="S189" i="21"/>
  <c r="T189" i="21" s="1"/>
  <c r="S190" i="21"/>
  <c r="T190" i="21" s="1"/>
  <c r="S191" i="21"/>
  <c r="T191" i="21" s="1"/>
  <c r="S192" i="21"/>
  <c r="T192" i="21" s="1"/>
  <c r="S193" i="21"/>
  <c r="T193" i="21" s="1"/>
  <c r="S194" i="21"/>
  <c r="T194" i="21" s="1"/>
  <c r="S195" i="21"/>
  <c r="T195" i="21" s="1"/>
  <c r="S196" i="21"/>
  <c r="T196" i="21" s="1"/>
  <c r="S197" i="21"/>
  <c r="T197" i="21" s="1"/>
  <c r="S198" i="21"/>
  <c r="T198" i="21" s="1"/>
  <c r="S199" i="21"/>
  <c r="T199" i="21" s="1"/>
  <c r="S200" i="21"/>
  <c r="T200" i="21" s="1"/>
  <c r="S201" i="21"/>
  <c r="T201" i="21" s="1"/>
  <c r="S203" i="21"/>
  <c r="T203" i="21" s="1"/>
  <c r="S204" i="21"/>
  <c r="T204" i="21" s="1"/>
  <c r="S205" i="21"/>
  <c r="T205" i="21" s="1"/>
  <c r="S206" i="21"/>
  <c r="T206" i="21" s="1"/>
  <c r="S208" i="21"/>
  <c r="T208" i="21" s="1"/>
  <c r="S209" i="21"/>
  <c r="T209" i="21" s="1"/>
  <c r="S210" i="21"/>
  <c r="T210" i="21" s="1"/>
  <c r="S211" i="21"/>
  <c r="T211" i="21" s="1"/>
  <c r="S212" i="21"/>
  <c r="T212" i="21" s="1"/>
  <c r="S213" i="21"/>
  <c r="T213" i="21" s="1"/>
  <c r="S214" i="21"/>
  <c r="T214" i="21" s="1"/>
  <c r="S215" i="21"/>
  <c r="T215" i="21" s="1"/>
  <c r="S216" i="21"/>
  <c r="T216" i="21" s="1"/>
  <c r="S217" i="21"/>
  <c r="T217" i="21" s="1"/>
  <c r="S218" i="21"/>
  <c r="T218" i="21" s="1"/>
  <c r="S219" i="21"/>
  <c r="T219" i="21" s="1"/>
  <c r="S220" i="21"/>
  <c r="T220" i="21" s="1"/>
  <c r="S221" i="21"/>
  <c r="T221" i="21" s="1"/>
  <c r="S222" i="21"/>
  <c r="T222" i="21" s="1"/>
  <c r="S223" i="21"/>
  <c r="T223" i="21" s="1"/>
  <c r="S224" i="21"/>
  <c r="T224" i="21" s="1"/>
  <c r="S225" i="21"/>
  <c r="T225" i="21" s="1"/>
  <c r="S226" i="21"/>
  <c r="T226" i="21" s="1"/>
  <c r="S227" i="21"/>
  <c r="T227" i="21" s="1"/>
  <c r="S228" i="21"/>
  <c r="T228" i="21" s="1"/>
  <c r="S229" i="21"/>
  <c r="T229" i="21" s="1"/>
  <c r="S230" i="21"/>
  <c r="T230" i="21" s="1"/>
  <c r="S231" i="21"/>
  <c r="T231" i="21" s="1"/>
  <c r="S232" i="21"/>
  <c r="T232" i="21" s="1"/>
  <c r="S233" i="21"/>
  <c r="T233" i="21" s="1"/>
  <c r="S234" i="21"/>
  <c r="T234" i="21" s="1"/>
  <c r="S235" i="21"/>
  <c r="T235" i="21" s="1"/>
  <c r="S236" i="21"/>
  <c r="T236" i="21" s="1"/>
  <c r="S237" i="21"/>
  <c r="T237" i="21" s="1"/>
  <c r="S238" i="21"/>
  <c r="T238" i="21" s="1"/>
  <c r="S239" i="21"/>
  <c r="T239" i="21" s="1"/>
  <c r="S240" i="21"/>
  <c r="T240" i="21" s="1"/>
  <c r="S241" i="21"/>
  <c r="T241" i="21" s="1"/>
  <c r="S242" i="21"/>
  <c r="T242" i="21" s="1"/>
  <c r="S244" i="21"/>
  <c r="T244" i="21" s="1"/>
  <c r="S245" i="21"/>
  <c r="T245" i="21" s="1"/>
  <c r="S246" i="21"/>
  <c r="T246" i="21" s="1"/>
  <c r="S247" i="21"/>
  <c r="T247" i="21" s="1"/>
  <c r="S248" i="21"/>
  <c r="T248" i="21" s="1"/>
  <c r="S249" i="21"/>
  <c r="T249" i="21" s="1"/>
  <c r="S250" i="21"/>
  <c r="T250" i="21" s="1"/>
  <c r="S251" i="21"/>
  <c r="T251" i="21" s="1"/>
  <c r="S252" i="21"/>
  <c r="T252" i="21" s="1"/>
  <c r="S253" i="21"/>
  <c r="T253" i="21" s="1"/>
  <c r="S254" i="21"/>
  <c r="T254" i="21" s="1"/>
  <c r="S255" i="21"/>
  <c r="T255" i="21" s="1"/>
  <c r="S256" i="21"/>
  <c r="T256" i="21" s="1"/>
  <c r="S257" i="21"/>
  <c r="T257" i="21" s="1"/>
  <c r="S258" i="21"/>
  <c r="T258" i="21" s="1"/>
  <c r="S259" i="21"/>
  <c r="T259" i="21" s="1"/>
  <c r="S260" i="21"/>
  <c r="T260" i="21" s="1"/>
  <c r="S261" i="21"/>
  <c r="T261" i="21" s="1"/>
  <c r="S262" i="21"/>
  <c r="T262" i="21" s="1"/>
  <c r="S263" i="21"/>
  <c r="T263" i="21" s="1"/>
  <c r="S264" i="21"/>
  <c r="T264" i="21" s="1"/>
  <c r="S265" i="21"/>
  <c r="T265" i="21" s="1"/>
  <c r="S266" i="21"/>
  <c r="T266" i="21" s="1"/>
  <c r="S267" i="21"/>
  <c r="T267" i="21" s="1"/>
  <c r="S268" i="21"/>
  <c r="T268" i="21" s="1"/>
  <c r="S269" i="21"/>
  <c r="T269" i="21" s="1"/>
  <c r="S270" i="21"/>
  <c r="T270" i="21" s="1"/>
  <c r="S271" i="21"/>
  <c r="T271" i="21" s="1"/>
  <c r="S272" i="21"/>
  <c r="T272" i="21" s="1"/>
  <c r="S273" i="21"/>
  <c r="T273" i="21" s="1"/>
  <c r="S274" i="21"/>
  <c r="T274" i="21" s="1"/>
  <c r="S275" i="21"/>
  <c r="T275" i="21" s="1"/>
  <c r="S276" i="21"/>
  <c r="T276" i="21" s="1"/>
  <c r="S277" i="21"/>
  <c r="T277" i="21" s="1"/>
  <c r="S278" i="21"/>
  <c r="T278" i="21" s="1"/>
  <c r="S279" i="21"/>
  <c r="T279" i="21" s="1"/>
  <c r="S280" i="21"/>
  <c r="T280" i="21" s="1"/>
  <c r="S281" i="21"/>
  <c r="T281" i="21" s="1"/>
  <c r="S282" i="21"/>
  <c r="T282" i="21" s="1"/>
  <c r="S283" i="21"/>
  <c r="T283" i="21" s="1"/>
  <c r="S284" i="21"/>
  <c r="T284" i="21" s="1"/>
  <c r="S285" i="21"/>
  <c r="T285" i="21" s="1"/>
  <c r="S286" i="21"/>
  <c r="T286" i="21" s="1"/>
  <c r="S287" i="21"/>
  <c r="T287" i="21" s="1"/>
  <c r="S288" i="21"/>
  <c r="T288" i="21" s="1"/>
  <c r="S289" i="21"/>
  <c r="T289" i="21" s="1"/>
  <c r="S290" i="21"/>
  <c r="T290" i="21" s="1"/>
  <c r="S291" i="21"/>
  <c r="T291" i="21" s="1"/>
  <c r="S292" i="21"/>
  <c r="T292" i="21" s="1"/>
  <c r="S293" i="21"/>
  <c r="T293" i="21" s="1"/>
  <c r="S294" i="21"/>
  <c r="T294" i="21" s="1"/>
  <c r="S295" i="21"/>
  <c r="T295" i="21" s="1"/>
  <c r="S296" i="21"/>
  <c r="T296" i="21" s="1"/>
  <c r="S297" i="21"/>
  <c r="T297" i="21" s="1"/>
  <c r="S298" i="21"/>
  <c r="T298" i="21" s="1"/>
  <c r="S299" i="21"/>
  <c r="T299" i="21" s="1"/>
  <c r="S300" i="21"/>
  <c r="T300" i="21" s="1"/>
  <c r="S301" i="21"/>
  <c r="T301" i="21" s="1"/>
  <c r="S302" i="21"/>
  <c r="T302" i="21" s="1"/>
  <c r="S303" i="21"/>
  <c r="T303" i="21" s="1"/>
  <c r="S304" i="21"/>
  <c r="T304" i="21" s="1"/>
  <c r="S305" i="21"/>
  <c r="T305" i="21" s="1"/>
  <c r="S306" i="21"/>
  <c r="T306" i="21" s="1"/>
  <c r="S307" i="21"/>
  <c r="T307" i="21" s="1"/>
  <c r="S308" i="21"/>
  <c r="T308" i="21" s="1"/>
  <c r="S309" i="21"/>
  <c r="T309" i="21" s="1"/>
  <c r="S310" i="21"/>
  <c r="T310" i="21" s="1"/>
  <c r="S311" i="21"/>
  <c r="T311" i="21" s="1"/>
  <c r="S312" i="21"/>
  <c r="T312" i="21" s="1"/>
  <c r="S313" i="21"/>
  <c r="T313" i="21" s="1"/>
  <c r="S314" i="21"/>
  <c r="T314" i="21" s="1"/>
  <c r="S315" i="21"/>
  <c r="T315" i="21" s="1"/>
  <c r="S316" i="21"/>
  <c r="T316" i="21" s="1"/>
  <c r="S317" i="21"/>
  <c r="T317" i="21" s="1"/>
  <c r="S318" i="21"/>
  <c r="T318" i="21" s="1"/>
  <c r="S319" i="21"/>
  <c r="T319" i="21" s="1"/>
  <c r="S320" i="21"/>
  <c r="T320" i="21" s="1"/>
  <c r="S321" i="21"/>
  <c r="T321" i="21" s="1"/>
  <c r="S322" i="21"/>
  <c r="T322" i="21" s="1"/>
  <c r="S323" i="21"/>
  <c r="T323" i="21" s="1"/>
  <c r="S324" i="21"/>
  <c r="T324" i="21" s="1"/>
  <c r="S325" i="21"/>
  <c r="T325" i="21" s="1"/>
  <c r="S326" i="21"/>
  <c r="T326" i="21" s="1"/>
  <c r="S327" i="21"/>
  <c r="T327" i="21" s="1"/>
  <c r="S328" i="21"/>
  <c r="T328" i="21" s="1"/>
  <c r="S329" i="21"/>
  <c r="T329" i="21" s="1"/>
  <c r="S330" i="21"/>
  <c r="T330" i="21" s="1"/>
  <c r="S331" i="21"/>
  <c r="T331" i="21" s="1"/>
  <c r="S332" i="21"/>
  <c r="T332" i="21" s="1"/>
  <c r="S333" i="21"/>
  <c r="T333" i="21" s="1"/>
  <c r="S334" i="21"/>
  <c r="T334" i="21" s="1"/>
  <c r="S335" i="21"/>
  <c r="T335" i="21" s="1"/>
  <c r="S336" i="21"/>
  <c r="T336" i="21" s="1"/>
  <c r="S337" i="21"/>
  <c r="T337" i="21" s="1"/>
  <c r="S338" i="21"/>
  <c r="T338" i="21" s="1"/>
  <c r="S339" i="21"/>
  <c r="T339" i="21" s="1"/>
  <c r="S340" i="21"/>
  <c r="T340" i="21" s="1"/>
  <c r="S341" i="21"/>
  <c r="T341" i="21" s="1"/>
  <c r="S342" i="21"/>
  <c r="T342" i="21" s="1"/>
  <c r="S343" i="21"/>
  <c r="T343" i="21" s="1"/>
  <c r="S344" i="21"/>
  <c r="T344" i="21" s="1"/>
  <c r="S345" i="21"/>
  <c r="T345" i="21" s="1"/>
  <c r="S346" i="21"/>
  <c r="T346" i="21" s="1"/>
  <c r="S347" i="21"/>
  <c r="T347" i="21" s="1"/>
  <c r="S348" i="21"/>
  <c r="T348" i="21" s="1"/>
  <c r="S349" i="21"/>
  <c r="T349" i="21" s="1"/>
  <c r="S350" i="21"/>
  <c r="T350" i="21" s="1"/>
  <c r="S351" i="21"/>
  <c r="T351" i="21" s="1"/>
  <c r="S352" i="21"/>
  <c r="T352" i="21" s="1"/>
  <c r="S353" i="21"/>
  <c r="T353" i="21" s="1"/>
  <c r="S354" i="21"/>
  <c r="T354" i="21" s="1"/>
  <c r="S355" i="21"/>
  <c r="T355" i="21" s="1"/>
  <c r="S356" i="21"/>
  <c r="T356" i="21" s="1"/>
  <c r="S357" i="21"/>
  <c r="T357" i="21" s="1"/>
  <c r="S358" i="21"/>
  <c r="T358" i="21" s="1"/>
  <c r="S359" i="21"/>
  <c r="T359" i="21" s="1"/>
  <c r="S360" i="21"/>
  <c r="T360" i="21" s="1"/>
  <c r="S361" i="21"/>
  <c r="T361" i="21" s="1"/>
  <c r="S362" i="21"/>
  <c r="T362" i="21" s="1"/>
  <c r="S363" i="21"/>
  <c r="T363" i="21" s="1"/>
  <c r="S364" i="21"/>
  <c r="T364" i="21" s="1"/>
  <c r="S365" i="21"/>
  <c r="T365" i="21" s="1"/>
  <c r="S366" i="21"/>
  <c r="T366" i="21" s="1"/>
  <c r="S367" i="21"/>
  <c r="T367" i="21" s="1"/>
  <c r="S368" i="21"/>
  <c r="T368" i="21" s="1"/>
  <c r="S369" i="21"/>
  <c r="T369" i="21" s="1"/>
  <c r="S370" i="21"/>
  <c r="T370" i="21" s="1"/>
  <c r="S371" i="21"/>
  <c r="T371" i="21" s="1"/>
  <c r="S372" i="21"/>
  <c r="T372" i="21" s="1"/>
  <c r="S373" i="21"/>
  <c r="T373" i="21" s="1"/>
  <c r="S374" i="21"/>
  <c r="T374" i="21" s="1"/>
  <c r="S375" i="21"/>
  <c r="T375" i="21" s="1"/>
  <c r="S376" i="21"/>
  <c r="T376" i="21" s="1"/>
  <c r="S377" i="21"/>
  <c r="T377" i="21" s="1"/>
  <c r="S378" i="21"/>
  <c r="T378" i="21" s="1"/>
  <c r="S379" i="21"/>
  <c r="T379" i="21" s="1"/>
  <c r="S380" i="21"/>
  <c r="T380" i="21" s="1"/>
  <c r="S381" i="21"/>
  <c r="T381" i="21" s="1"/>
  <c r="S382" i="21"/>
  <c r="T382" i="21" s="1"/>
  <c r="S383" i="21"/>
  <c r="T383" i="21" s="1"/>
  <c r="S384" i="21"/>
  <c r="T384" i="21" s="1"/>
  <c r="S385" i="21"/>
  <c r="T385" i="21" s="1"/>
  <c r="S386" i="21"/>
  <c r="T386" i="21" s="1"/>
  <c r="S387" i="21"/>
  <c r="T387" i="21" s="1"/>
  <c r="S388" i="21"/>
  <c r="T388" i="21" s="1"/>
  <c r="S389" i="21"/>
  <c r="T389" i="21" s="1"/>
  <c r="S2" i="21"/>
  <c r="T2" i="21" s="1"/>
  <c r="O3" i="21"/>
  <c r="O4" i="21"/>
  <c r="O5" i="21"/>
  <c r="O6" i="21"/>
  <c r="O7" i="21"/>
  <c r="O9" i="21"/>
  <c r="O10" i="21"/>
  <c r="O11" i="21"/>
  <c r="O12" i="21"/>
  <c r="O14" i="21"/>
  <c r="O15" i="21"/>
  <c r="O16" i="21"/>
  <c r="O17" i="21"/>
  <c r="O18" i="21"/>
  <c r="O19" i="21"/>
  <c r="O20" i="21"/>
  <c r="O21" i="21"/>
  <c r="O22" i="21"/>
  <c r="O23" i="21"/>
  <c r="O24" i="21"/>
  <c r="O25" i="21"/>
  <c r="O26" i="21"/>
  <c r="O27" i="21"/>
  <c r="O28" i="21"/>
  <c r="O29" i="21"/>
  <c r="O30" i="21"/>
  <c r="O31" i="21"/>
  <c r="O32" i="21"/>
  <c r="O33" i="21"/>
  <c r="O34" i="21"/>
  <c r="O35" i="21"/>
  <c r="O36" i="21"/>
  <c r="O37" i="21"/>
  <c r="O38" i="21"/>
  <c r="O39" i="21"/>
  <c r="O40" i="21"/>
  <c r="O41" i="21"/>
  <c r="O42" i="21"/>
  <c r="O43" i="21"/>
  <c r="O44" i="21"/>
  <c r="O45" i="21"/>
  <c r="O46" i="21"/>
  <c r="O47" i="21"/>
  <c r="O48" i="21"/>
  <c r="O50" i="21"/>
  <c r="O51" i="21"/>
  <c r="O52" i="21"/>
  <c r="O53" i="21"/>
  <c r="O54" i="21"/>
  <c r="O55" i="21"/>
  <c r="O56" i="21"/>
  <c r="O57" i="21"/>
  <c r="O58" i="21"/>
  <c r="O59" i="21"/>
  <c r="O60" i="21"/>
  <c r="O61" i="21"/>
  <c r="O62" i="21"/>
  <c r="O63" i="21"/>
  <c r="O64" i="21"/>
  <c r="O65" i="21"/>
  <c r="O66" i="21"/>
  <c r="O67" i="21"/>
  <c r="O68" i="21"/>
  <c r="O69" i="21"/>
  <c r="O70" i="21"/>
  <c r="O71" i="21"/>
  <c r="O72" i="21"/>
  <c r="O73" i="21"/>
  <c r="O74" i="21"/>
  <c r="O75" i="21"/>
  <c r="O76" i="21"/>
  <c r="O77" i="21"/>
  <c r="O78" i="21"/>
  <c r="O79" i="21"/>
  <c r="O80" i="21"/>
  <c r="O81" i="21"/>
  <c r="O82" i="21"/>
  <c r="O83" i="21"/>
  <c r="O84" i="21"/>
  <c r="O85" i="21"/>
  <c r="O86" i="21"/>
  <c r="O87" i="21"/>
  <c r="O88" i="21"/>
  <c r="O89" i="21"/>
  <c r="O90" i="21"/>
  <c r="O91" i="21"/>
  <c r="O92" i="21"/>
  <c r="O93" i="21"/>
  <c r="O94" i="21"/>
  <c r="O95" i="21"/>
  <c r="O96" i="21"/>
  <c r="O97" i="21"/>
  <c r="O98" i="21"/>
  <c r="O99" i="21"/>
  <c r="O100" i="21"/>
  <c r="O101" i="21"/>
  <c r="O102" i="21"/>
  <c r="O103" i="21"/>
  <c r="O104" i="21"/>
  <c r="O105" i="21"/>
  <c r="O106" i="21"/>
  <c r="O107" i="21"/>
  <c r="O108" i="21"/>
  <c r="O109" i="21"/>
  <c r="O110" i="21"/>
  <c r="O111" i="21"/>
  <c r="O112" i="21"/>
  <c r="O113" i="21"/>
  <c r="O114" i="21"/>
  <c r="O115" i="21"/>
  <c r="O116" i="21"/>
  <c r="O117" i="21"/>
  <c r="O118" i="21"/>
  <c r="O119" i="21"/>
  <c r="O120" i="21"/>
  <c r="O121" i="21"/>
  <c r="O122" i="21"/>
  <c r="O123" i="21"/>
  <c r="O124" i="21"/>
  <c r="O125" i="21"/>
  <c r="O126" i="21"/>
  <c r="O127" i="21"/>
  <c r="O128" i="21"/>
  <c r="O129" i="21"/>
  <c r="O130" i="21"/>
  <c r="O131" i="21"/>
  <c r="O132" i="21"/>
  <c r="O133" i="21"/>
  <c r="O134" i="21"/>
  <c r="O135" i="21"/>
  <c r="O136" i="21"/>
  <c r="O137" i="21"/>
  <c r="O138" i="21"/>
  <c r="O139" i="21"/>
  <c r="O140" i="21"/>
  <c r="O141" i="21"/>
  <c r="O142" i="21"/>
  <c r="O143" i="21"/>
  <c r="O144" i="21"/>
  <c r="O145" i="21"/>
  <c r="O146" i="21"/>
  <c r="O147" i="21"/>
  <c r="O148" i="21"/>
  <c r="O149" i="21"/>
  <c r="O150" i="21"/>
  <c r="O151" i="21"/>
  <c r="O152" i="21"/>
  <c r="O153" i="21"/>
  <c r="O154" i="21"/>
  <c r="O155" i="21"/>
  <c r="O156" i="21"/>
  <c r="O157" i="21"/>
  <c r="O158" i="21"/>
  <c r="O159" i="21"/>
  <c r="O160" i="21"/>
  <c r="O161" i="21"/>
  <c r="O162" i="21"/>
  <c r="O163" i="21"/>
  <c r="O164" i="21"/>
  <c r="O165" i="21"/>
  <c r="O166" i="21"/>
  <c r="O167" i="21"/>
  <c r="O168" i="21"/>
  <c r="O169" i="21"/>
  <c r="O170" i="21"/>
  <c r="O171" i="21"/>
  <c r="O172" i="21"/>
  <c r="O173" i="21"/>
  <c r="O174" i="21"/>
  <c r="O175" i="21"/>
  <c r="O176" i="21"/>
  <c r="O177" i="21"/>
  <c r="O178" i="21"/>
  <c r="O179" i="21"/>
  <c r="O180" i="21"/>
  <c r="O181" i="21"/>
  <c r="O182" i="21"/>
  <c r="O183" i="21"/>
  <c r="O184" i="21"/>
  <c r="O185" i="21"/>
  <c r="O186" i="21"/>
  <c r="O187" i="21"/>
  <c r="O188" i="21"/>
  <c r="O189" i="21"/>
  <c r="O190" i="21"/>
  <c r="O191" i="21"/>
  <c r="O192" i="21"/>
  <c r="O193" i="21"/>
  <c r="O194" i="21"/>
  <c r="O195" i="21"/>
  <c r="O2" i="21"/>
  <c r="B3" i="3" l="1"/>
  <c r="B4" i="3"/>
  <c r="B5" i="3"/>
  <c r="B6" i="3"/>
  <c r="B7" i="3"/>
  <c r="B8" i="3"/>
  <c r="B9" i="3"/>
  <c r="B10" i="3"/>
  <c r="B11" i="3"/>
  <c r="B12" i="3"/>
  <c r="B13" i="3"/>
  <c r="B14" i="3"/>
  <c r="B15" i="3"/>
  <c r="B16" i="3"/>
  <c r="B17" i="3"/>
  <c r="B18" i="3"/>
  <c r="B19" i="3"/>
  <c r="B20" i="3"/>
  <c r="B21" i="3"/>
  <c r="B22" i="3"/>
  <c r="B23" i="3"/>
  <c r="B24" i="3"/>
  <c r="B25" i="3"/>
  <c r="B26" i="3"/>
  <c r="B27" i="3"/>
  <c r="B28" i="3"/>
  <c r="B29" i="3"/>
  <c r="B30" i="3"/>
  <c r="B31" i="3"/>
  <c r="B32" i="3"/>
  <c r="B33" i="3"/>
  <c r="B34" i="3"/>
  <c r="B35" i="3"/>
  <c r="B36" i="3"/>
  <c r="B37" i="3"/>
  <c r="B38" i="3"/>
  <c r="B39" i="3"/>
  <c r="B40" i="3"/>
  <c r="B41" i="3"/>
  <c r="B42" i="3"/>
  <c r="B43" i="3"/>
  <c r="B44" i="3"/>
  <c r="B45" i="3"/>
  <c r="B46" i="3"/>
  <c r="B47" i="3"/>
  <c r="B48" i="3"/>
  <c r="B49" i="3"/>
  <c r="B50" i="3"/>
  <c r="B51" i="3"/>
  <c r="B52" i="3"/>
  <c r="B53" i="3"/>
  <c r="B54" i="3"/>
  <c r="B55" i="3"/>
  <c r="B56" i="3"/>
  <c r="B57" i="3"/>
  <c r="B58" i="3"/>
  <c r="B59" i="3"/>
  <c r="B60" i="3"/>
  <c r="B61" i="3"/>
  <c r="B62" i="3"/>
  <c r="B63" i="3"/>
  <c r="B64" i="3"/>
  <c r="B65" i="3"/>
  <c r="B66" i="3"/>
  <c r="B67" i="3"/>
  <c r="B68" i="3"/>
  <c r="B69" i="3"/>
  <c r="B70" i="3"/>
  <c r="B71" i="3"/>
  <c r="B72" i="3"/>
  <c r="B73" i="3"/>
  <c r="B74" i="3"/>
  <c r="B75" i="3"/>
  <c r="B76" i="3"/>
  <c r="B77" i="3"/>
  <c r="B78" i="3"/>
  <c r="B79" i="3"/>
  <c r="B80" i="3"/>
  <c r="B81" i="3"/>
  <c r="B82" i="3"/>
  <c r="B83" i="3"/>
  <c r="B84" i="3"/>
  <c r="B85" i="3"/>
  <c r="B86" i="3"/>
  <c r="B87" i="3"/>
  <c r="B88" i="3"/>
  <c r="B89" i="3"/>
  <c r="B90" i="3"/>
  <c r="B91" i="3"/>
  <c r="B92" i="3"/>
  <c r="B93" i="3"/>
  <c r="B94" i="3"/>
  <c r="B95" i="3"/>
  <c r="B96" i="3"/>
  <c r="B97" i="3"/>
  <c r="B98" i="3"/>
  <c r="B99" i="3"/>
  <c r="B100" i="3"/>
  <c r="B101" i="3"/>
  <c r="B102" i="3"/>
  <c r="B103" i="3"/>
  <c r="B104" i="3"/>
  <c r="B105" i="3"/>
  <c r="B106" i="3"/>
  <c r="B107" i="3"/>
  <c r="B108" i="3"/>
  <c r="B109" i="3"/>
  <c r="B110" i="3"/>
  <c r="B111" i="3"/>
  <c r="B112" i="3"/>
  <c r="B113" i="3"/>
  <c r="B114" i="3"/>
  <c r="B115" i="3"/>
  <c r="B116" i="3"/>
  <c r="B117" i="3"/>
  <c r="B118" i="3"/>
  <c r="B119" i="3"/>
  <c r="B120" i="3"/>
  <c r="B121" i="3"/>
  <c r="B122" i="3"/>
  <c r="B123" i="3"/>
  <c r="B124" i="3"/>
  <c r="B125" i="3"/>
  <c r="B126" i="3"/>
  <c r="B127" i="3"/>
  <c r="B128" i="3"/>
  <c r="B129" i="3"/>
  <c r="B130" i="3"/>
  <c r="B131" i="3"/>
  <c r="B132" i="3"/>
  <c r="B133" i="3"/>
  <c r="B134" i="3"/>
  <c r="B135" i="3"/>
  <c r="B136" i="3"/>
  <c r="B137" i="3"/>
  <c r="B138" i="3"/>
  <c r="B139" i="3"/>
  <c r="B140" i="3"/>
  <c r="B141" i="3"/>
  <c r="B142" i="3"/>
  <c r="B143" i="3"/>
  <c r="B144" i="3"/>
  <c r="B145" i="3"/>
  <c r="B146" i="3"/>
  <c r="B147" i="3"/>
  <c r="B148" i="3"/>
  <c r="B149" i="3"/>
  <c r="B150" i="3"/>
  <c r="B151" i="3"/>
  <c r="B152" i="3"/>
  <c r="B153" i="3"/>
  <c r="B154" i="3"/>
  <c r="B155" i="3"/>
  <c r="B156" i="3"/>
  <c r="B157" i="3"/>
  <c r="B158" i="3"/>
  <c r="B159" i="3"/>
  <c r="B160" i="3"/>
  <c r="B161" i="3"/>
  <c r="B162" i="3"/>
  <c r="B163" i="3"/>
  <c r="B164" i="3"/>
  <c r="B165" i="3"/>
  <c r="B166" i="3"/>
  <c r="B167" i="3"/>
  <c r="B168" i="3"/>
  <c r="B169" i="3"/>
  <c r="B170" i="3"/>
  <c r="B171" i="3"/>
  <c r="B172" i="3"/>
  <c r="B173" i="3"/>
  <c r="B174" i="3"/>
  <c r="B175" i="3"/>
  <c r="B176" i="3"/>
  <c r="B177" i="3"/>
  <c r="B178" i="3"/>
  <c r="B179" i="3"/>
  <c r="B180" i="3"/>
  <c r="B181" i="3"/>
  <c r="B182" i="3"/>
  <c r="B183" i="3"/>
  <c r="B184" i="3"/>
  <c r="B185" i="3"/>
  <c r="B186" i="3"/>
  <c r="B187" i="3"/>
  <c r="B188" i="3"/>
  <c r="B189" i="3"/>
  <c r="B190" i="3"/>
  <c r="B191" i="3"/>
  <c r="B192" i="3"/>
  <c r="B193" i="3"/>
  <c r="B194" i="3"/>
  <c r="B195" i="3"/>
  <c r="B196" i="3"/>
  <c r="B197" i="3"/>
  <c r="B198" i="3"/>
  <c r="B199" i="3"/>
  <c r="B200" i="3"/>
  <c r="B201" i="3"/>
  <c r="B202" i="3"/>
  <c r="B203" i="3"/>
  <c r="B204" i="3"/>
  <c r="B205" i="3"/>
  <c r="B206" i="3"/>
  <c r="B207" i="3"/>
  <c r="B208" i="3"/>
  <c r="B209" i="3"/>
  <c r="B210" i="3"/>
  <c r="B211" i="3"/>
  <c r="B212" i="3"/>
  <c r="B213" i="3"/>
  <c r="B214" i="3"/>
  <c r="B215" i="3"/>
  <c r="B216" i="3"/>
  <c r="B217" i="3"/>
  <c r="B218" i="3"/>
  <c r="B219" i="3"/>
  <c r="B220" i="3"/>
  <c r="B221" i="3"/>
  <c r="B222" i="3"/>
  <c r="B223" i="3"/>
  <c r="B224" i="3"/>
  <c r="B225" i="3"/>
  <c r="B226" i="3"/>
  <c r="B227" i="3"/>
  <c r="B228" i="3"/>
  <c r="B229" i="3"/>
  <c r="B230" i="3"/>
  <c r="B231" i="3"/>
  <c r="B232" i="3"/>
  <c r="B233" i="3"/>
  <c r="B234" i="3"/>
  <c r="B235" i="3"/>
  <c r="B236" i="3"/>
  <c r="B237" i="3"/>
  <c r="B238" i="3"/>
  <c r="B239" i="3"/>
  <c r="B240" i="3"/>
  <c r="B241" i="3"/>
  <c r="B242" i="3"/>
  <c r="B243" i="3"/>
  <c r="B244" i="3"/>
  <c r="B245" i="3"/>
  <c r="B246" i="3"/>
  <c r="B247" i="3"/>
  <c r="B248" i="3"/>
  <c r="B249" i="3"/>
  <c r="B250" i="3"/>
  <c r="B251" i="3"/>
  <c r="B252" i="3"/>
  <c r="B253" i="3"/>
  <c r="B254" i="3"/>
  <c r="B255" i="3"/>
  <c r="B256" i="3"/>
  <c r="B257" i="3"/>
  <c r="B258" i="3"/>
  <c r="B259" i="3"/>
  <c r="B260" i="3"/>
  <c r="B261" i="3"/>
  <c r="B262" i="3"/>
  <c r="B263" i="3"/>
  <c r="B264" i="3"/>
  <c r="B265" i="3"/>
  <c r="B266" i="3"/>
  <c r="B267" i="3"/>
  <c r="B268" i="3"/>
  <c r="B269" i="3"/>
  <c r="B270" i="3"/>
  <c r="B271" i="3"/>
  <c r="B272" i="3"/>
  <c r="B273" i="3"/>
  <c r="B274" i="3"/>
  <c r="B275" i="3"/>
  <c r="B276" i="3"/>
  <c r="B277" i="3"/>
  <c r="B278" i="3"/>
  <c r="B279" i="3"/>
  <c r="B280" i="3"/>
  <c r="B281" i="3"/>
  <c r="B282" i="3"/>
  <c r="B283" i="3"/>
  <c r="B284" i="3"/>
  <c r="B285" i="3"/>
  <c r="B286" i="3"/>
  <c r="B287" i="3"/>
  <c r="B288" i="3"/>
  <c r="B289" i="3"/>
  <c r="B290" i="3"/>
  <c r="B291" i="3"/>
  <c r="B292" i="3"/>
  <c r="B293" i="3"/>
  <c r="B294" i="3"/>
  <c r="B295" i="3"/>
  <c r="B296" i="3"/>
  <c r="B297" i="3"/>
  <c r="B298" i="3"/>
  <c r="B299" i="3"/>
  <c r="B300" i="3"/>
  <c r="B301" i="3"/>
  <c r="B302" i="3"/>
  <c r="B303" i="3"/>
  <c r="B304" i="3"/>
  <c r="B305" i="3"/>
  <c r="B306" i="3"/>
  <c r="B307" i="3"/>
  <c r="B308" i="3"/>
  <c r="B309" i="3"/>
  <c r="B310" i="3"/>
  <c r="B311" i="3"/>
  <c r="B312" i="3"/>
  <c r="B313" i="3"/>
  <c r="B314" i="3"/>
  <c r="B315" i="3"/>
  <c r="B316" i="3"/>
  <c r="B317" i="3"/>
  <c r="B318" i="3"/>
  <c r="B319" i="3"/>
  <c r="B320" i="3"/>
  <c r="B321" i="3"/>
  <c r="B322" i="3"/>
  <c r="B323" i="3"/>
  <c r="B324" i="3"/>
  <c r="B325" i="3"/>
  <c r="B326" i="3"/>
  <c r="B327" i="3"/>
  <c r="B328" i="3"/>
  <c r="B329" i="3"/>
  <c r="B330" i="3"/>
  <c r="B331" i="3"/>
  <c r="B332" i="3"/>
  <c r="B333" i="3"/>
  <c r="B334" i="3"/>
  <c r="B335" i="3"/>
  <c r="B336" i="3"/>
  <c r="B337" i="3"/>
  <c r="B338" i="3"/>
  <c r="B339" i="3"/>
  <c r="B340" i="3"/>
  <c r="B341" i="3"/>
  <c r="B342" i="3"/>
  <c r="B343" i="3"/>
  <c r="B344" i="3"/>
  <c r="B345" i="3"/>
  <c r="B346" i="3"/>
  <c r="B347" i="3"/>
  <c r="B348" i="3"/>
  <c r="B349" i="3"/>
  <c r="B350" i="3"/>
  <c r="B351" i="3"/>
  <c r="B352" i="3"/>
  <c r="B353" i="3"/>
  <c r="B354" i="3"/>
  <c r="B355" i="3"/>
  <c r="B356" i="3"/>
  <c r="B357" i="3"/>
  <c r="B358" i="3"/>
  <c r="B359" i="3"/>
  <c r="B360" i="3"/>
  <c r="B361" i="3"/>
  <c r="B362" i="3"/>
  <c r="B363" i="3"/>
  <c r="B364" i="3"/>
  <c r="B365" i="3"/>
  <c r="B366" i="3"/>
  <c r="B367" i="3"/>
  <c r="B368" i="3"/>
  <c r="B369" i="3"/>
  <c r="B370" i="3"/>
  <c r="B371" i="3"/>
  <c r="B372" i="3"/>
  <c r="B2" i="3"/>
  <c r="BR177" i="21" l="1"/>
  <c r="BR3" i="21"/>
  <c r="BR4" i="21"/>
  <c r="BR5" i="21"/>
  <c r="BR6" i="21"/>
  <c r="BR7" i="21"/>
  <c r="BR8" i="21"/>
  <c r="BR9" i="21"/>
  <c r="BR10" i="21"/>
  <c r="BR11" i="21"/>
  <c r="BR12" i="21"/>
  <c r="BR13" i="21"/>
  <c r="BR14" i="21"/>
  <c r="BR16" i="21"/>
  <c r="BR17" i="21"/>
  <c r="BR18" i="21"/>
  <c r="BR19" i="21"/>
  <c r="BR20" i="21"/>
  <c r="BR21" i="21"/>
  <c r="BR22" i="21"/>
  <c r="BR23" i="21"/>
  <c r="BR24" i="21"/>
  <c r="BR25" i="21"/>
  <c r="BR26" i="21"/>
  <c r="BR27" i="21"/>
  <c r="BR28" i="21"/>
  <c r="BR29" i="21"/>
  <c r="BR30" i="21"/>
  <c r="BR31" i="21"/>
  <c r="BR32" i="21"/>
  <c r="BR33" i="21"/>
  <c r="BR34" i="21"/>
  <c r="BR35" i="21"/>
  <c r="BR36" i="21"/>
  <c r="BR37" i="21"/>
  <c r="BR39" i="21"/>
  <c r="BR40" i="21"/>
  <c r="BR41" i="21"/>
  <c r="BR42" i="21"/>
  <c r="BR44" i="21"/>
  <c r="BR45" i="21"/>
  <c r="BR46" i="21"/>
  <c r="BR47" i="21"/>
  <c r="BR48" i="21"/>
  <c r="BR49" i="21"/>
  <c r="BR50" i="21"/>
  <c r="BR51" i="21"/>
  <c r="BR52" i="21"/>
  <c r="BR53" i="21"/>
  <c r="BR54" i="21"/>
  <c r="BR55" i="21"/>
  <c r="BR56" i="21"/>
  <c r="BR58" i="21"/>
  <c r="BR59" i="21"/>
  <c r="BR60" i="21"/>
  <c r="BR61" i="21"/>
  <c r="BR62" i="21"/>
  <c r="BR63" i="21"/>
  <c r="BR64" i="21"/>
  <c r="BR65" i="21"/>
  <c r="BR66" i="21"/>
  <c r="BR67" i="21"/>
  <c r="BR68" i="21"/>
  <c r="BR69" i="21"/>
  <c r="BR70" i="21"/>
  <c r="BR71" i="21"/>
  <c r="BR72" i="21"/>
  <c r="BR73" i="21"/>
  <c r="BR74" i="21"/>
  <c r="BR75" i="21"/>
  <c r="BR77" i="21"/>
  <c r="BR78" i="21"/>
  <c r="BR79" i="21"/>
  <c r="BR80" i="21"/>
  <c r="BR81" i="21"/>
  <c r="BR82" i="21"/>
  <c r="BR83" i="21"/>
  <c r="BR84" i="21"/>
  <c r="BR85" i="21"/>
  <c r="BR86" i="21"/>
  <c r="BR87" i="21"/>
  <c r="BR88" i="21"/>
  <c r="BR89" i="21"/>
  <c r="BR90" i="21"/>
  <c r="BR91" i="21"/>
  <c r="BR92" i="21"/>
  <c r="BR93" i="21"/>
  <c r="BR94" i="21"/>
  <c r="BR95" i="21"/>
  <c r="BR96" i="21"/>
  <c r="BR97" i="21"/>
  <c r="BR98" i="21"/>
  <c r="BR99" i="21"/>
  <c r="BR100" i="21"/>
  <c r="BR101" i="21"/>
  <c r="BR102" i="21"/>
  <c r="BR103" i="21"/>
  <c r="BR104" i="21"/>
  <c r="BR105" i="21"/>
  <c r="BR107" i="21"/>
  <c r="BR108" i="21"/>
  <c r="BR109" i="21"/>
  <c r="BR110" i="21"/>
  <c r="BR111" i="21"/>
  <c r="BR112" i="21"/>
  <c r="BR114" i="21"/>
  <c r="BR115" i="21"/>
  <c r="BR116" i="21"/>
  <c r="BR117" i="21"/>
  <c r="BR118" i="21"/>
  <c r="BR119" i="21"/>
  <c r="BR120" i="21"/>
  <c r="BR121" i="21"/>
  <c r="BR122" i="21"/>
  <c r="BR123" i="21"/>
  <c r="BR125" i="21"/>
  <c r="BR126" i="21"/>
  <c r="BR127" i="21"/>
  <c r="BR129" i="21"/>
  <c r="BR130" i="21"/>
  <c r="BR131" i="21"/>
  <c r="BR132" i="21"/>
  <c r="BR133" i="21"/>
  <c r="BR134" i="21"/>
  <c r="BR135" i="21"/>
  <c r="BR136" i="21"/>
  <c r="BR137" i="21"/>
  <c r="BR138" i="21"/>
  <c r="BR139" i="21"/>
  <c r="BR140" i="21"/>
  <c r="BR141" i="21"/>
  <c r="BR142" i="21"/>
  <c r="BR143" i="21"/>
  <c r="BR144" i="21"/>
  <c r="BR145" i="21"/>
  <c r="BR146" i="21"/>
  <c r="BR147" i="21"/>
  <c r="BR148" i="21"/>
  <c r="BR149" i="21"/>
  <c r="BR150" i="21"/>
  <c r="BR152" i="21"/>
  <c r="BR153" i="21"/>
  <c r="BR154" i="21"/>
  <c r="BR155" i="21"/>
  <c r="BR156" i="21"/>
  <c r="BR157" i="21"/>
  <c r="BR158" i="21"/>
  <c r="BR159" i="21"/>
  <c r="BR160" i="21"/>
  <c r="BR161" i="21"/>
  <c r="BR162" i="21"/>
  <c r="BR163" i="21"/>
  <c r="BR164" i="21"/>
  <c r="BR165" i="21"/>
  <c r="BR166" i="21"/>
  <c r="BR167" i="21"/>
  <c r="BR168" i="21"/>
  <c r="BR169" i="21"/>
  <c r="BR170" i="21"/>
  <c r="BR171" i="21"/>
  <c r="BR172" i="21"/>
  <c r="BR173" i="21"/>
  <c r="BR174" i="21"/>
  <c r="BR175" i="21"/>
  <c r="BR176" i="21"/>
  <c r="BR178" i="21"/>
  <c r="BR179" i="21"/>
  <c r="BR180" i="21"/>
  <c r="BR181" i="21"/>
  <c r="BR182" i="21"/>
  <c r="BR183" i="21"/>
  <c r="BR184" i="21"/>
  <c r="BR185" i="21"/>
  <c r="BR186" i="21"/>
  <c r="BR187" i="21"/>
  <c r="BR188" i="21"/>
  <c r="BR189" i="21"/>
  <c r="BR190" i="21"/>
  <c r="BR192" i="21"/>
  <c r="BR193" i="21"/>
  <c r="BR194" i="21"/>
  <c r="BR195" i="21"/>
  <c r="BR2" i="21"/>
  <c r="H3" i="21" l="1"/>
  <c r="H4" i="21"/>
  <c r="H5" i="21"/>
  <c r="H6" i="21"/>
  <c r="H7" i="21"/>
  <c r="H8" i="21"/>
  <c r="H9" i="21"/>
  <c r="H10" i="21"/>
  <c r="H11" i="21"/>
  <c r="H12" i="21"/>
  <c r="H13" i="21"/>
  <c r="H14" i="21"/>
  <c r="H15" i="21"/>
  <c r="H16" i="21"/>
  <c r="H17" i="21"/>
  <c r="H18" i="21"/>
  <c r="H19" i="21"/>
  <c r="H20" i="21"/>
  <c r="H21" i="21"/>
  <c r="H22" i="21"/>
  <c r="H23" i="21"/>
  <c r="H24" i="21"/>
  <c r="H25" i="21"/>
  <c r="H26" i="21"/>
  <c r="H27" i="21"/>
  <c r="H28" i="21"/>
  <c r="H29" i="21"/>
  <c r="H30" i="21"/>
  <c r="H31" i="21"/>
  <c r="H32" i="21"/>
  <c r="H33" i="21"/>
  <c r="H34" i="21"/>
  <c r="H35" i="21"/>
  <c r="H36" i="21"/>
  <c r="H37" i="21"/>
  <c r="H38" i="21"/>
  <c r="H39" i="21"/>
  <c r="H40" i="21"/>
  <c r="H41" i="21"/>
  <c r="H42" i="21"/>
  <c r="H43" i="21"/>
  <c r="H44" i="21"/>
  <c r="H45" i="21"/>
  <c r="H46" i="21"/>
  <c r="H47" i="21"/>
  <c r="H48" i="21"/>
  <c r="H49" i="21"/>
  <c r="H50" i="21"/>
  <c r="H51" i="21"/>
  <c r="H52" i="21"/>
  <c r="H53" i="21"/>
  <c r="H54" i="21"/>
  <c r="H55" i="21"/>
  <c r="H56" i="21"/>
  <c r="H57" i="21"/>
  <c r="H58" i="21"/>
  <c r="H59" i="21"/>
  <c r="H60" i="21"/>
  <c r="H61" i="21"/>
  <c r="H62" i="21"/>
  <c r="H63" i="21"/>
  <c r="H64" i="21"/>
  <c r="H65" i="21"/>
  <c r="H66" i="21"/>
  <c r="H67" i="21"/>
  <c r="H68" i="21"/>
  <c r="H69" i="21"/>
  <c r="H70" i="21"/>
  <c r="H71" i="21"/>
  <c r="H72" i="21"/>
  <c r="H73" i="21"/>
  <c r="H74" i="21"/>
  <c r="H75" i="21"/>
  <c r="H76" i="21"/>
  <c r="H77" i="21"/>
  <c r="H78" i="21"/>
  <c r="H79" i="21"/>
  <c r="H80" i="21"/>
  <c r="H81" i="21"/>
  <c r="H82" i="21"/>
  <c r="H83" i="21"/>
  <c r="H84" i="21"/>
  <c r="H85" i="21"/>
  <c r="H86" i="21"/>
  <c r="H87" i="21"/>
  <c r="H88" i="21"/>
  <c r="H89" i="21"/>
  <c r="H90" i="21"/>
  <c r="H91" i="21"/>
  <c r="H92" i="21"/>
  <c r="H93" i="21"/>
  <c r="H94" i="21"/>
  <c r="H95" i="21"/>
  <c r="H96" i="21"/>
  <c r="H97" i="21"/>
  <c r="H98" i="21"/>
  <c r="H99" i="21"/>
  <c r="H100" i="21"/>
  <c r="H101" i="21"/>
  <c r="H102" i="21"/>
  <c r="H103" i="21"/>
  <c r="H104" i="21"/>
  <c r="H105" i="21"/>
  <c r="H106" i="21"/>
  <c r="H107" i="21"/>
  <c r="H108" i="21"/>
  <c r="H109" i="21"/>
  <c r="H110" i="21"/>
  <c r="H111" i="21"/>
  <c r="H112" i="21"/>
  <c r="H113" i="21"/>
  <c r="H114" i="21"/>
  <c r="H115" i="21"/>
  <c r="H116" i="21"/>
  <c r="H117" i="21"/>
  <c r="H118" i="21"/>
  <c r="H119" i="21"/>
  <c r="H120" i="21"/>
  <c r="H121" i="21"/>
  <c r="H122" i="21"/>
  <c r="H123" i="21"/>
  <c r="H124" i="21"/>
  <c r="H125" i="21"/>
  <c r="H126" i="21"/>
  <c r="H127" i="21"/>
  <c r="H128" i="21"/>
  <c r="H129" i="21"/>
  <c r="H130" i="21"/>
  <c r="H131" i="21"/>
  <c r="H132" i="21"/>
  <c r="H133" i="21"/>
  <c r="H134" i="21"/>
  <c r="H135" i="21"/>
  <c r="H136" i="21"/>
  <c r="H137" i="21"/>
  <c r="H138" i="21"/>
  <c r="H139" i="21"/>
  <c r="H140" i="21"/>
  <c r="H141" i="21"/>
  <c r="H142" i="21"/>
  <c r="H143" i="21"/>
  <c r="H144" i="21"/>
  <c r="H145" i="21"/>
  <c r="H146" i="21"/>
  <c r="H147" i="21"/>
  <c r="H148" i="21"/>
  <c r="H149" i="21"/>
  <c r="H150" i="21"/>
  <c r="H151" i="21"/>
  <c r="H152" i="21"/>
  <c r="H153" i="21"/>
  <c r="H154" i="21"/>
  <c r="H155" i="21"/>
  <c r="H156" i="21"/>
  <c r="H157" i="21"/>
  <c r="H158" i="21"/>
  <c r="H159" i="21"/>
  <c r="H160" i="21"/>
  <c r="H161" i="21"/>
  <c r="H162" i="21"/>
  <c r="H163" i="21"/>
  <c r="H164" i="21"/>
  <c r="H165" i="21"/>
  <c r="H166" i="21"/>
  <c r="H167" i="21"/>
  <c r="H168" i="21"/>
  <c r="H169" i="21"/>
  <c r="H170" i="21"/>
  <c r="H171" i="21"/>
  <c r="H172" i="21"/>
  <c r="H173" i="21"/>
  <c r="H174" i="21"/>
  <c r="H175" i="21"/>
  <c r="H176" i="21"/>
  <c r="H177" i="21"/>
  <c r="H178" i="21"/>
  <c r="H179" i="21"/>
  <c r="H180" i="21"/>
  <c r="H181" i="21"/>
  <c r="H182" i="21"/>
  <c r="H183" i="21"/>
  <c r="H184" i="21"/>
  <c r="H185" i="21"/>
  <c r="H186" i="21"/>
  <c r="H187" i="21"/>
  <c r="H188" i="21"/>
  <c r="H189" i="21"/>
  <c r="H190" i="21"/>
  <c r="H191" i="21"/>
  <c r="H192" i="21"/>
  <c r="H193" i="21"/>
  <c r="H194" i="21"/>
  <c r="H195" i="21"/>
  <c r="H196" i="21"/>
  <c r="H197" i="21"/>
  <c r="H198" i="21"/>
  <c r="H199" i="21"/>
  <c r="H200" i="21"/>
  <c r="H201" i="21"/>
  <c r="H202" i="21"/>
  <c r="H203" i="21"/>
  <c r="H204" i="21"/>
  <c r="H205" i="21"/>
  <c r="H206" i="21"/>
  <c r="H207" i="21"/>
  <c r="H208" i="21"/>
  <c r="H209" i="21"/>
  <c r="H210" i="21"/>
  <c r="H211" i="21"/>
  <c r="H212" i="21"/>
  <c r="H213" i="21"/>
  <c r="H214" i="21"/>
  <c r="H215" i="21"/>
  <c r="H216" i="21"/>
  <c r="H217" i="21"/>
  <c r="H218" i="21"/>
  <c r="H219" i="21"/>
  <c r="H220" i="21"/>
  <c r="H221" i="21"/>
  <c r="H222" i="21"/>
  <c r="H223" i="21"/>
  <c r="H224" i="21"/>
  <c r="H225" i="21"/>
  <c r="H226" i="21"/>
  <c r="H2" i="21"/>
  <c r="H228" i="21"/>
  <c r="H229" i="21"/>
  <c r="H230" i="21"/>
  <c r="H231" i="21"/>
  <c r="H232" i="21"/>
  <c r="H233" i="21"/>
  <c r="H234" i="21"/>
  <c r="H235" i="21"/>
  <c r="H236" i="21"/>
  <c r="H237" i="21"/>
  <c r="H238" i="21"/>
  <c r="H239" i="21"/>
  <c r="H240" i="21"/>
  <c r="H241" i="21"/>
  <c r="H242" i="21"/>
  <c r="H243" i="21"/>
  <c r="H244" i="21"/>
  <c r="H245" i="21"/>
  <c r="H246" i="21"/>
  <c r="H247" i="21"/>
  <c r="H248" i="21"/>
  <c r="H249" i="21"/>
  <c r="H250" i="21"/>
  <c r="H251" i="21"/>
  <c r="H252" i="21"/>
  <c r="H253" i="21"/>
  <c r="H254" i="21"/>
  <c r="H255" i="21"/>
  <c r="H256" i="21"/>
  <c r="H257" i="21"/>
  <c r="H258" i="21"/>
  <c r="H259" i="21"/>
  <c r="H260" i="21"/>
  <c r="H261" i="21"/>
  <c r="H262" i="21"/>
  <c r="H263" i="21"/>
  <c r="H264" i="21"/>
  <c r="H265" i="21"/>
  <c r="H266" i="21"/>
  <c r="H267" i="21"/>
  <c r="H268" i="21"/>
  <c r="H269" i="21"/>
  <c r="H270" i="21"/>
  <c r="H271" i="21"/>
  <c r="H272" i="21"/>
  <c r="H273" i="21"/>
  <c r="H274" i="21"/>
  <c r="H275" i="21"/>
  <c r="H276" i="21"/>
  <c r="H277" i="21"/>
  <c r="H278" i="21"/>
  <c r="H279" i="21"/>
  <c r="H280" i="21"/>
  <c r="H281" i="21"/>
  <c r="H282" i="21"/>
  <c r="H283" i="21"/>
  <c r="H284" i="21"/>
  <c r="H285" i="21"/>
  <c r="H286" i="21"/>
  <c r="H287" i="21"/>
  <c r="H288" i="21"/>
  <c r="H289" i="21"/>
  <c r="H290" i="21"/>
  <c r="H291" i="21"/>
  <c r="H292" i="21"/>
  <c r="H293" i="21"/>
  <c r="H294" i="21"/>
  <c r="H295" i="21"/>
  <c r="H296" i="21"/>
  <c r="H297" i="21"/>
  <c r="H298" i="21"/>
  <c r="H299" i="21"/>
  <c r="H300" i="21"/>
  <c r="H301" i="21"/>
  <c r="H302" i="21"/>
  <c r="H303" i="21"/>
  <c r="H304" i="21"/>
  <c r="H305" i="21"/>
  <c r="H306" i="21"/>
  <c r="H307" i="21"/>
  <c r="H308" i="21"/>
  <c r="H309" i="21"/>
  <c r="H310" i="21"/>
  <c r="H311" i="21"/>
  <c r="H312" i="21"/>
  <c r="H313" i="21"/>
  <c r="H314" i="21"/>
  <c r="H315" i="21"/>
  <c r="H316" i="21"/>
  <c r="H317" i="21"/>
  <c r="H318" i="21"/>
  <c r="H319" i="21"/>
  <c r="H320" i="21"/>
  <c r="H321" i="21"/>
  <c r="H322" i="21"/>
  <c r="H323" i="21"/>
  <c r="H324" i="21"/>
  <c r="H325" i="21"/>
  <c r="H326" i="21"/>
  <c r="H327" i="21"/>
  <c r="H328" i="21"/>
  <c r="H329" i="21"/>
  <c r="H330" i="21"/>
  <c r="H331" i="21"/>
  <c r="H332" i="21"/>
  <c r="H333" i="21"/>
  <c r="H334" i="21"/>
  <c r="H335" i="21"/>
  <c r="H336" i="21"/>
  <c r="H337" i="21"/>
  <c r="H338" i="21"/>
  <c r="H339" i="21"/>
  <c r="H340" i="21"/>
  <c r="H341" i="21"/>
  <c r="H342" i="21"/>
  <c r="H343" i="21"/>
  <c r="H344" i="21"/>
  <c r="H345" i="21"/>
  <c r="H346" i="21"/>
  <c r="H347" i="21"/>
  <c r="H348" i="21"/>
  <c r="H349" i="21"/>
  <c r="H350" i="21"/>
  <c r="H351" i="21"/>
  <c r="H352" i="21"/>
  <c r="H353" i="21"/>
  <c r="H354" i="21"/>
  <c r="H355" i="21"/>
  <c r="H356" i="21"/>
  <c r="H357" i="21"/>
  <c r="H358" i="21"/>
  <c r="H359" i="21"/>
  <c r="H360" i="21"/>
  <c r="H361" i="21"/>
  <c r="H362" i="21"/>
  <c r="H363" i="21"/>
  <c r="H364" i="21"/>
  <c r="H365" i="21"/>
  <c r="H366" i="21"/>
  <c r="H367" i="21"/>
  <c r="H368" i="21"/>
  <c r="H369" i="21"/>
  <c r="H370" i="21"/>
  <c r="H371" i="21"/>
  <c r="H372" i="21"/>
  <c r="H373" i="21"/>
  <c r="H374" i="21"/>
  <c r="H375" i="21"/>
  <c r="H376" i="21"/>
  <c r="H377" i="21"/>
  <c r="H378" i="21"/>
  <c r="H379" i="21"/>
  <c r="H380" i="21"/>
  <c r="H381" i="21"/>
  <c r="H382" i="21"/>
  <c r="H383" i="21"/>
  <c r="H384" i="21"/>
  <c r="H385" i="21"/>
  <c r="H386" i="21"/>
  <c r="H387" i="21"/>
  <c r="H388" i="21"/>
  <c r="H389" i="21"/>
  <c r="H227" i="21"/>
  <c r="BP12" i="21" l="1"/>
  <c r="BP13" i="21"/>
  <c r="BP14" i="21"/>
  <c r="BP16" i="21"/>
  <c r="BP17" i="21"/>
  <c r="BP18" i="21"/>
  <c r="BP19" i="21"/>
  <c r="BP20" i="21"/>
  <c r="BP21" i="21"/>
  <c r="BP22" i="21"/>
  <c r="BP23" i="21"/>
  <c r="BP24" i="21"/>
  <c r="BP25" i="21"/>
  <c r="BP26" i="21"/>
  <c r="BP27" i="21"/>
  <c r="BP28" i="21"/>
  <c r="BP29" i="21"/>
  <c r="BP30" i="21"/>
  <c r="BP31" i="21"/>
  <c r="BP32" i="21"/>
  <c r="BP33" i="21"/>
  <c r="BP34" i="21"/>
  <c r="BP35" i="21"/>
  <c r="BP36" i="21"/>
  <c r="BP37" i="21"/>
  <c r="BP38" i="21"/>
  <c r="BP39" i="21"/>
  <c r="BP40" i="21"/>
  <c r="BP41" i="21"/>
  <c r="BP42" i="21"/>
  <c r="BP44" i="21"/>
  <c r="BP45" i="21"/>
  <c r="BP46" i="21"/>
  <c r="BP47" i="21"/>
  <c r="BP48" i="21"/>
  <c r="BP49" i="21"/>
  <c r="BP50" i="21"/>
  <c r="BP51" i="21"/>
  <c r="BP52" i="21"/>
  <c r="BP53" i="21"/>
  <c r="BP54" i="21"/>
  <c r="BP55" i="21"/>
  <c r="BP56" i="21"/>
  <c r="BP58" i="21"/>
  <c r="BP59" i="21"/>
  <c r="BP60" i="21"/>
  <c r="BP61" i="21"/>
  <c r="BP62" i="21"/>
  <c r="BP63" i="21"/>
  <c r="BP64" i="21"/>
  <c r="BP65" i="21"/>
  <c r="BP66" i="21"/>
  <c r="BP67" i="21"/>
  <c r="BP68" i="21"/>
  <c r="BP69" i="21"/>
  <c r="BP70" i="21"/>
  <c r="BP71" i="21"/>
  <c r="BP72" i="21"/>
  <c r="BP73" i="21"/>
  <c r="BP74" i="21"/>
  <c r="BP75" i="21"/>
  <c r="BP77" i="21"/>
  <c r="BP78" i="21"/>
  <c r="BP79" i="21"/>
  <c r="BP80" i="21"/>
  <c r="BP81" i="21"/>
  <c r="BP82" i="21"/>
  <c r="BP83" i="21"/>
  <c r="BP84" i="21"/>
  <c r="BP85" i="21"/>
  <c r="BP86" i="21"/>
  <c r="BP87" i="21"/>
  <c r="BP88" i="21"/>
  <c r="BP89" i="21"/>
  <c r="BP90" i="21"/>
  <c r="BP91" i="21"/>
  <c r="BP92" i="21"/>
  <c r="BP93" i="21"/>
  <c r="BP94" i="21"/>
  <c r="BP95" i="21"/>
  <c r="BP96" i="21"/>
  <c r="BP97" i="21"/>
  <c r="BP98" i="21"/>
  <c r="BP99" i="21"/>
  <c r="BP100" i="21"/>
  <c r="BP101" i="21"/>
  <c r="BP102" i="21"/>
  <c r="BP103" i="21"/>
  <c r="BP104" i="21"/>
  <c r="BP105" i="21"/>
  <c r="BP107" i="21"/>
  <c r="BP108" i="21"/>
  <c r="BP109" i="21"/>
  <c r="BP110" i="21"/>
  <c r="BP111" i="21"/>
  <c r="BP112" i="21"/>
  <c r="BP114" i="21"/>
  <c r="BP115" i="21"/>
  <c r="BP116" i="21"/>
  <c r="BP117" i="21"/>
  <c r="BP118" i="21"/>
  <c r="BP119" i="21"/>
  <c r="BP120" i="21"/>
  <c r="BP121" i="21"/>
  <c r="BP122" i="21"/>
  <c r="BP123" i="21"/>
  <c r="BP125" i="21"/>
  <c r="BP126" i="21"/>
  <c r="BP127" i="21"/>
  <c r="BP128" i="21"/>
  <c r="BP129" i="21"/>
  <c r="BP130" i="21"/>
  <c r="BP131" i="21"/>
  <c r="BP132" i="21"/>
  <c r="BP133" i="21"/>
  <c r="BP134" i="21"/>
  <c r="BP135" i="21"/>
  <c r="BP136" i="21"/>
  <c r="BP137" i="21"/>
  <c r="BP138" i="21"/>
  <c r="BP139" i="21"/>
  <c r="BP140" i="21"/>
  <c r="BP141" i="21"/>
  <c r="BP142" i="21"/>
  <c r="BP143" i="21"/>
  <c r="BP144" i="21"/>
  <c r="BP145" i="21"/>
  <c r="BP146" i="21"/>
  <c r="BP147" i="21"/>
  <c r="BP148" i="21"/>
  <c r="BP149" i="21"/>
  <c r="BP150" i="21"/>
  <c r="BP152" i="21"/>
  <c r="BP153" i="21"/>
  <c r="BP154" i="21"/>
  <c r="BP155" i="21"/>
  <c r="BP156" i="21"/>
  <c r="BP157" i="21"/>
  <c r="BP158" i="21"/>
  <c r="BP159" i="21"/>
  <c r="BP160" i="21"/>
  <c r="BP161" i="21"/>
  <c r="BP162" i="21"/>
  <c r="BP163" i="21"/>
  <c r="BP164" i="21"/>
  <c r="BP165" i="21"/>
  <c r="BP166" i="21"/>
  <c r="BP167" i="21"/>
  <c r="BP168" i="21"/>
  <c r="BP169" i="21"/>
  <c r="BP170" i="21"/>
  <c r="BP171" i="21"/>
  <c r="BP172" i="21"/>
  <c r="BP173" i="21"/>
  <c r="BP174" i="21"/>
  <c r="BP175" i="21"/>
  <c r="BP176" i="21"/>
  <c r="BP177" i="21"/>
  <c r="BP178" i="21"/>
  <c r="BP179" i="21"/>
  <c r="BP180" i="21"/>
  <c r="BP181" i="21"/>
  <c r="BP182" i="21"/>
  <c r="BP183" i="21"/>
  <c r="BP184" i="21"/>
  <c r="BP185" i="21"/>
  <c r="BP186" i="21"/>
  <c r="BP187" i="21"/>
  <c r="BP188" i="21"/>
  <c r="BP189" i="21"/>
  <c r="BP190" i="21"/>
  <c r="BP192" i="21"/>
  <c r="BP193" i="21"/>
  <c r="BP194" i="21"/>
  <c r="BP195" i="21"/>
  <c r="BP196" i="21"/>
  <c r="BP197" i="21"/>
  <c r="BP198" i="21"/>
  <c r="BP199" i="21"/>
  <c r="BP200" i="21"/>
  <c r="BP201" i="21"/>
  <c r="BP202" i="21"/>
  <c r="BP203" i="21"/>
  <c r="BP204" i="21"/>
  <c r="BP205" i="21"/>
  <c r="BP206" i="21"/>
  <c r="BP207" i="21"/>
  <c r="BP208" i="21"/>
  <c r="BP209" i="21"/>
  <c r="BP210" i="21"/>
  <c r="BP211" i="21"/>
  <c r="BP212" i="21"/>
  <c r="BP213" i="21"/>
  <c r="BP214" i="21"/>
  <c r="BP215" i="21"/>
  <c r="BP216" i="21"/>
  <c r="BP217" i="21"/>
  <c r="BP218" i="21"/>
  <c r="BP219" i="21"/>
  <c r="BP220" i="21"/>
  <c r="BP221" i="21"/>
  <c r="BP222" i="21"/>
  <c r="BP223" i="21"/>
  <c r="BP224" i="21"/>
  <c r="BP225" i="21"/>
  <c r="BP226" i="21"/>
  <c r="BP227" i="21"/>
  <c r="BP228" i="21"/>
  <c r="BP229" i="21"/>
  <c r="BP230" i="21"/>
  <c r="BP231" i="21"/>
  <c r="BP233" i="21"/>
  <c r="BP234" i="21"/>
  <c r="BP235" i="21"/>
  <c r="BP236" i="21"/>
  <c r="BP237" i="21"/>
  <c r="BP238" i="21"/>
  <c r="BP239" i="21"/>
  <c r="BP240" i="21"/>
  <c r="BP241" i="21"/>
  <c r="BP242" i="21"/>
  <c r="BP243" i="21"/>
  <c r="BP244" i="21"/>
  <c r="BP245" i="21"/>
  <c r="BP246" i="21"/>
  <c r="BP247" i="21"/>
  <c r="BP248" i="21"/>
  <c r="BP249" i="21"/>
  <c r="BP250" i="21"/>
  <c r="BP251" i="21"/>
  <c r="BP252" i="21"/>
  <c r="BP253" i="21"/>
  <c r="BP254" i="21"/>
  <c r="BP255" i="21"/>
  <c r="BP256" i="21"/>
  <c r="BP257" i="21"/>
  <c r="BP258" i="21"/>
  <c r="BP259" i="21"/>
  <c r="BP260" i="21"/>
  <c r="BP261" i="21"/>
  <c r="BP262" i="21"/>
  <c r="BP263" i="21"/>
  <c r="BP264" i="21"/>
  <c r="BP265" i="21"/>
  <c r="BP266" i="21"/>
  <c r="BP267" i="21"/>
  <c r="BP268" i="21"/>
  <c r="BP269" i="21"/>
  <c r="BP270" i="21"/>
  <c r="BP271" i="21"/>
  <c r="BP272" i="21"/>
  <c r="BP273" i="21"/>
  <c r="BP274" i="21"/>
  <c r="BP275" i="21"/>
  <c r="BP276" i="21"/>
  <c r="BP277" i="21"/>
  <c r="BP278" i="21"/>
  <c r="BP279" i="21"/>
  <c r="BP280" i="21"/>
  <c r="BP281" i="21"/>
  <c r="BP282" i="21"/>
  <c r="BP283" i="21"/>
  <c r="BP284" i="21"/>
  <c r="BP285" i="21"/>
  <c r="BP286" i="21"/>
  <c r="BP287" i="21"/>
  <c r="BP288" i="21"/>
  <c r="BP289" i="21"/>
  <c r="BP290" i="21"/>
  <c r="BP291" i="21"/>
  <c r="BP292" i="21"/>
  <c r="BP293" i="21"/>
  <c r="BP294" i="21"/>
  <c r="BP295" i="21"/>
  <c r="BP296" i="21"/>
  <c r="BP297" i="21"/>
  <c r="BP298" i="21"/>
  <c r="BP299" i="21"/>
  <c r="BP300" i="21"/>
  <c r="BP301" i="21"/>
  <c r="BP302" i="21"/>
  <c r="BP303" i="21"/>
  <c r="BP304" i="21"/>
  <c r="BP305" i="21"/>
  <c r="BP306" i="21"/>
  <c r="BP307" i="21"/>
  <c r="BP308" i="21"/>
  <c r="BP309" i="21"/>
  <c r="BP310" i="21"/>
  <c r="BP311" i="21"/>
  <c r="BP312" i="21"/>
  <c r="BP313" i="21"/>
  <c r="BP314" i="21"/>
  <c r="BP315" i="21"/>
  <c r="BP316" i="21"/>
  <c r="BP317" i="21"/>
  <c r="BP319" i="21"/>
  <c r="BP320" i="21"/>
  <c r="BP321" i="21"/>
  <c r="BP323" i="21"/>
  <c r="BP324" i="21"/>
  <c r="BP325" i="21"/>
  <c r="BP326" i="21"/>
  <c r="BP327" i="21"/>
  <c r="BP328" i="21"/>
  <c r="BP329" i="21"/>
  <c r="BP330" i="21"/>
  <c r="BP331" i="21"/>
  <c r="BP332" i="21"/>
  <c r="BP333" i="21"/>
  <c r="BP334" i="21"/>
  <c r="BP335" i="21"/>
  <c r="BP336" i="21"/>
  <c r="BP337" i="21"/>
  <c r="BP338" i="21"/>
  <c r="BP339" i="21"/>
  <c r="BP340" i="21"/>
  <c r="BP341" i="21"/>
  <c r="BP342" i="21"/>
  <c r="BP343" i="21"/>
  <c r="BP344" i="21"/>
  <c r="BP345" i="21"/>
  <c r="BP346" i="21"/>
  <c r="BP347" i="21"/>
  <c r="BP348" i="21"/>
  <c r="BP349" i="21"/>
  <c r="BP350" i="21"/>
  <c r="BP351" i="21"/>
  <c r="BP352" i="21"/>
  <c r="BP353" i="21"/>
  <c r="BP354" i="21"/>
  <c r="BP355" i="21"/>
  <c r="BP356" i="21"/>
  <c r="BP357" i="21"/>
  <c r="BP358" i="21"/>
  <c r="BP359" i="21"/>
  <c r="BP360" i="21"/>
  <c r="BP361" i="21"/>
  <c r="BP362" i="21"/>
  <c r="BP363" i="21"/>
  <c r="BP364" i="21"/>
  <c r="BP365" i="21"/>
  <c r="BP366" i="21"/>
  <c r="BP367" i="21"/>
  <c r="BP368" i="21"/>
  <c r="BP369" i="21"/>
  <c r="BP370" i="21"/>
  <c r="BP371" i="21"/>
  <c r="BP372" i="21"/>
  <c r="BP373" i="21"/>
  <c r="BP374" i="21"/>
  <c r="BP375" i="21"/>
  <c r="BP376" i="21"/>
  <c r="BP377" i="21"/>
  <c r="BP378" i="21"/>
  <c r="BP379" i="21"/>
  <c r="BP380" i="21"/>
  <c r="BP381" i="21"/>
  <c r="BP382" i="21"/>
  <c r="BP383" i="21"/>
  <c r="BP384" i="21"/>
  <c r="BP385" i="21"/>
  <c r="BP386" i="21"/>
  <c r="BP387" i="21"/>
  <c r="BP388" i="21"/>
  <c r="BP389" i="21"/>
  <c r="BP3" i="21"/>
  <c r="BP4" i="21"/>
  <c r="BP5" i="21"/>
  <c r="BP6" i="21"/>
  <c r="BP7" i="21"/>
  <c r="BP8" i="21"/>
  <c r="BP9" i="21"/>
  <c r="BP10" i="21"/>
  <c r="BP11" i="21"/>
  <c r="BP2" i="21"/>
  <c r="D3" i="20"/>
  <c r="D4" i="20"/>
  <c r="D5" i="20"/>
  <c r="D6" i="20"/>
  <c r="D7" i="20"/>
  <c r="D8" i="20"/>
  <c r="D9" i="20"/>
  <c r="D10" i="20"/>
  <c r="D11" i="20"/>
  <c r="D12" i="20"/>
  <c r="D13" i="20"/>
  <c r="D14" i="20"/>
  <c r="D15" i="20"/>
  <c r="D16" i="20"/>
  <c r="D17" i="20"/>
  <c r="D18" i="20"/>
  <c r="D19" i="20"/>
  <c r="D20" i="20"/>
  <c r="D21" i="20"/>
  <c r="D22" i="20"/>
  <c r="D23" i="20"/>
  <c r="D24" i="20"/>
  <c r="D25" i="20"/>
  <c r="D26" i="20"/>
  <c r="D27" i="20"/>
  <c r="D28" i="20"/>
  <c r="D29" i="20"/>
  <c r="D30" i="20"/>
  <c r="D31" i="20"/>
  <c r="D32" i="20"/>
  <c r="D33" i="20"/>
  <c r="D34" i="20"/>
  <c r="D35" i="20"/>
  <c r="D36" i="20"/>
  <c r="D37" i="20"/>
  <c r="D38" i="20"/>
  <c r="D39" i="20"/>
  <c r="D40" i="20"/>
  <c r="D41" i="20"/>
  <c r="D42" i="20"/>
  <c r="D43" i="20"/>
  <c r="D44" i="20"/>
  <c r="D45" i="20"/>
  <c r="D46" i="20"/>
  <c r="D47" i="20"/>
  <c r="D48" i="20"/>
  <c r="D49" i="20"/>
  <c r="D50" i="20"/>
  <c r="D51" i="20"/>
  <c r="D52" i="20"/>
  <c r="D53" i="20"/>
  <c r="D54" i="20"/>
  <c r="D55" i="20"/>
  <c r="D56" i="20"/>
  <c r="D57" i="20"/>
  <c r="D58" i="20"/>
  <c r="D59" i="20"/>
  <c r="D60" i="20"/>
  <c r="D61" i="20"/>
  <c r="D62" i="20"/>
  <c r="D63" i="20"/>
  <c r="D64" i="20"/>
  <c r="D65" i="20"/>
  <c r="D66" i="20"/>
  <c r="D67" i="20"/>
  <c r="D68" i="20"/>
  <c r="D69" i="20"/>
  <c r="D70" i="20"/>
  <c r="D71" i="20"/>
  <c r="D72" i="20"/>
  <c r="D73" i="20"/>
  <c r="D74" i="20"/>
  <c r="D75" i="20"/>
  <c r="D76" i="20"/>
  <c r="D77" i="20"/>
  <c r="D78" i="20"/>
  <c r="D79" i="20"/>
  <c r="D80" i="20"/>
  <c r="D81" i="20"/>
  <c r="D2" i="20"/>
  <c r="J3" i="10" l="1"/>
  <c r="J4" i="10"/>
  <c r="J5" i="10"/>
  <c r="J6" i="10"/>
  <c r="J7" i="10"/>
  <c r="J8" i="10"/>
  <c r="J9" i="10"/>
  <c r="J10" i="10"/>
  <c r="J11" i="10"/>
  <c r="J12" i="10"/>
  <c r="J13" i="10"/>
  <c r="J14" i="10"/>
  <c r="J15" i="10"/>
  <c r="J16" i="10"/>
  <c r="J17" i="10"/>
  <c r="J18" i="10"/>
  <c r="J19" i="10"/>
  <c r="J20" i="10"/>
  <c r="J21" i="10"/>
  <c r="J22" i="10"/>
  <c r="J23" i="10"/>
  <c r="J24" i="10"/>
  <c r="J25" i="10"/>
  <c r="J26" i="10"/>
  <c r="J27" i="10"/>
  <c r="J28" i="10"/>
  <c r="J29" i="10"/>
  <c r="J30" i="10"/>
  <c r="J31" i="10"/>
  <c r="J32" i="10"/>
  <c r="J33" i="10"/>
  <c r="J34" i="10"/>
  <c r="J35" i="10"/>
  <c r="J36" i="10"/>
  <c r="J37" i="10"/>
  <c r="J38" i="10"/>
  <c r="J39" i="10"/>
  <c r="J40" i="10"/>
  <c r="J41" i="10"/>
  <c r="J42" i="10"/>
  <c r="J43" i="10"/>
  <c r="J44" i="10"/>
  <c r="J45" i="10"/>
  <c r="J46" i="10"/>
  <c r="J47" i="10"/>
  <c r="J48" i="10"/>
  <c r="J49" i="10"/>
  <c r="J50" i="10"/>
  <c r="J51" i="10"/>
  <c r="J52" i="10"/>
  <c r="J53" i="10"/>
  <c r="J54" i="10"/>
  <c r="J55" i="10"/>
  <c r="J56" i="10"/>
  <c r="J57" i="10"/>
  <c r="J58" i="10"/>
  <c r="J59" i="10"/>
  <c r="J60" i="10"/>
  <c r="J61" i="10"/>
  <c r="J62" i="10"/>
  <c r="J63" i="10"/>
  <c r="J64" i="10"/>
  <c r="J65" i="10"/>
  <c r="J66" i="10"/>
  <c r="J67" i="10"/>
  <c r="J68" i="10"/>
  <c r="J69" i="10"/>
  <c r="J70" i="10"/>
  <c r="J71" i="10"/>
  <c r="J72" i="10"/>
  <c r="J73" i="10"/>
  <c r="J74" i="10"/>
  <c r="J75" i="10"/>
  <c r="J76" i="10"/>
  <c r="J77" i="10"/>
  <c r="J78" i="10"/>
  <c r="J79" i="10"/>
  <c r="J80" i="10"/>
  <c r="J81" i="10"/>
  <c r="J82" i="10"/>
  <c r="J83" i="10"/>
  <c r="J84" i="10"/>
  <c r="J85" i="10"/>
  <c r="J86" i="10"/>
  <c r="J87" i="10"/>
  <c r="J88" i="10"/>
  <c r="J89" i="10"/>
  <c r="J90" i="10"/>
  <c r="J91" i="10"/>
  <c r="J92" i="10"/>
  <c r="J93" i="10"/>
  <c r="J94" i="10"/>
  <c r="J95" i="10"/>
  <c r="J96" i="10"/>
  <c r="J97" i="10"/>
  <c r="J98" i="10"/>
  <c r="J99" i="10"/>
  <c r="J100" i="10"/>
  <c r="J101" i="10"/>
  <c r="J102" i="10"/>
  <c r="J103" i="10"/>
  <c r="J104" i="10"/>
  <c r="J105" i="10"/>
  <c r="J106" i="10"/>
  <c r="J107" i="10"/>
  <c r="J108" i="10"/>
  <c r="J109" i="10"/>
  <c r="J110" i="10"/>
  <c r="J111" i="10"/>
  <c r="J112" i="10"/>
  <c r="J113" i="10"/>
  <c r="J114" i="10"/>
  <c r="J115" i="10"/>
  <c r="J116" i="10"/>
  <c r="J117" i="10"/>
  <c r="J118" i="10"/>
  <c r="J119" i="10"/>
  <c r="J120" i="10"/>
  <c r="J121" i="10"/>
  <c r="J122" i="10"/>
  <c r="J123" i="10"/>
  <c r="J124" i="10"/>
  <c r="J125" i="10"/>
  <c r="J126" i="10"/>
  <c r="J127" i="10"/>
  <c r="J128" i="10"/>
  <c r="J129" i="10"/>
  <c r="J130" i="10"/>
  <c r="J131" i="10"/>
  <c r="J132" i="10"/>
  <c r="J133" i="10"/>
  <c r="J134" i="10"/>
  <c r="J135" i="10"/>
  <c r="J136" i="10"/>
  <c r="J137" i="10"/>
  <c r="J138" i="10"/>
  <c r="J139" i="10"/>
  <c r="J140" i="10"/>
  <c r="J141" i="10"/>
  <c r="J142" i="10"/>
  <c r="J143" i="10"/>
  <c r="J144" i="10"/>
  <c r="J145" i="10"/>
  <c r="J146" i="10"/>
  <c r="J147" i="10"/>
  <c r="J148" i="10"/>
  <c r="J149" i="10"/>
  <c r="J150" i="10"/>
  <c r="J151" i="10"/>
  <c r="J152" i="10"/>
  <c r="J153" i="10"/>
  <c r="J154" i="10"/>
  <c r="J155" i="10"/>
  <c r="J156" i="10"/>
  <c r="J157" i="10"/>
  <c r="J158" i="10"/>
  <c r="J159" i="10"/>
  <c r="J160" i="10"/>
  <c r="J161" i="10"/>
  <c r="J162" i="10"/>
  <c r="J163" i="10"/>
  <c r="J164" i="10"/>
  <c r="J165" i="10"/>
  <c r="J166" i="10"/>
  <c r="J167" i="10"/>
  <c r="J168" i="10"/>
  <c r="J169" i="10"/>
  <c r="J170" i="10"/>
  <c r="J171" i="10"/>
  <c r="J172" i="10"/>
  <c r="J173" i="10"/>
  <c r="J174" i="10"/>
  <c r="J175" i="10"/>
  <c r="J176" i="10"/>
  <c r="J177" i="10"/>
  <c r="J178" i="10"/>
  <c r="J179" i="10"/>
  <c r="J180" i="10"/>
  <c r="J181" i="10"/>
  <c r="J182" i="10"/>
  <c r="J183" i="10"/>
  <c r="J184" i="10"/>
  <c r="J185" i="10"/>
  <c r="J186" i="10"/>
  <c r="J187" i="10"/>
  <c r="J188" i="10"/>
  <c r="J189" i="10"/>
  <c r="J190" i="10"/>
  <c r="J191" i="10"/>
  <c r="J192" i="10"/>
  <c r="J193" i="10"/>
  <c r="J194" i="10"/>
  <c r="J195" i="10"/>
  <c r="J196" i="10"/>
  <c r="J197" i="10"/>
  <c r="J198" i="10"/>
  <c r="J199" i="10"/>
  <c r="J200" i="10"/>
  <c r="J201" i="10"/>
  <c r="J202" i="10"/>
  <c r="J203" i="10"/>
  <c r="J204" i="10"/>
  <c r="J205" i="10"/>
  <c r="J206" i="10"/>
  <c r="J207" i="10"/>
  <c r="J208" i="10"/>
  <c r="J209" i="10"/>
  <c r="J210" i="10"/>
  <c r="J211" i="10"/>
  <c r="J212" i="10"/>
  <c r="J213" i="10"/>
  <c r="J214" i="10"/>
  <c r="J215" i="10"/>
  <c r="J216" i="10"/>
  <c r="J217" i="10"/>
  <c r="J218" i="10"/>
  <c r="J219" i="10"/>
  <c r="J220" i="10"/>
  <c r="J221" i="10"/>
  <c r="J222" i="10"/>
  <c r="J223" i="10"/>
  <c r="J224" i="10"/>
  <c r="J225" i="10"/>
  <c r="J226" i="10"/>
  <c r="J227" i="10"/>
  <c r="J228" i="10"/>
  <c r="J229" i="10"/>
  <c r="J230" i="10"/>
  <c r="J231" i="10"/>
  <c r="J232" i="10"/>
  <c r="J233" i="10"/>
  <c r="J234" i="10"/>
  <c r="J235" i="10"/>
  <c r="J236" i="10"/>
  <c r="J237" i="10"/>
  <c r="J238" i="10"/>
  <c r="J239" i="10"/>
  <c r="J240" i="10"/>
  <c r="J241" i="10"/>
  <c r="J242" i="10"/>
  <c r="J243" i="10"/>
  <c r="J244" i="10"/>
  <c r="J245" i="10"/>
  <c r="J246" i="10"/>
  <c r="J247" i="10"/>
  <c r="J248" i="10"/>
  <c r="J249" i="10"/>
  <c r="J250" i="10"/>
  <c r="J251" i="10"/>
  <c r="J252" i="10"/>
  <c r="J253" i="10"/>
  <c r="J254" i="10"/>
  <c r="J255" i="10"/>
  <c r="J256" i="10"/>
  <c r="J257" i="10"/>
  <c r="J258" i="10"/>
  <c r="J259" i="10"/>
  <c r="J260" i="10"/>
  <c r="J261" i="10"/>
  <c r="J262" i="10"/>
  <c r="J263" i="10"/>
  <c r="J264" i="10"/>
  <c r="J265" i="10"/>
  <c r="J266" i="10"/>
  <c r="J267" i="10"/>
  <c r="J268" i="10"/>
  <c r="J269" i="10"/>
  <c r="J270" i="10"/>
  <c r="J271" i="10"/>
  <c r="J272" i="10"/>
  <c r="J273" i="10"/>
  <c r="J274" i="10"/>
  <c r="J275" i="10"/>
  <c r="J276" i="10"/>
  <c r="J277" i="10"/>
  <c r="J278" i="10"/>
  <c r="J279" i="10"/>
  <c r="J280" i="10"/>
  <c r="J281" i="10"/>
  <c r="J282" i="10"/>
  <c r="J283" i="10"/>
  <c r="J284" i="10"/>
  <c r="J285" i="10"/>
  <c r="J286" i="10"/>
  <c r="J287" i="10"/>
  <c r="J288" i="10"/>
  <c r="J289" i="10"/>
  <c r="J290" i="10"/>
  <c r="J291" i="10"/>
  <c r="J292" i="10"/>
  <c r="J293" i="10"/>
  <c r="J294" i="10"/>
  <c r="J295" i="10"/>
  <c r="J296" i="10"/>
  <c r="J297" i="10"/>
  <c r="J298" i="10"/>
  <c r="J299" i="10"/>
  <c r="J300" i="10"/>
  <c r="J301" i="10"/>
  <c r="J302" i="10"/>
  <c r="J303" i="10"/>
  <c r="J304" i="10"/>
  <c r="J305" i="10"/>
  <c r="J306" i="10"/>
  <c r="J307" i="10"/>
  <c r="J308" i="10"/>
  <c r="J309" i="10"/>
  <c r="J310" i="10"/>
  <c r="J311" i="10"/>
  <c r="J312" i="10"/>
  <c r="J313" i="10"/>
  <c r="J314" i="10"/>
  <c r="J315" i="10"/>
  <c r="J316" i="10"/>
  <c r="J317" i="10"/>
  <c r="J318" i="10"/>
  <c r="J319" i="10"/>
  <c r="J320" i="10"/>
  <c r="J321" i="10"/>
  <c r="J322" i="10"/>
  <c r="J323" i="10"/>
  <c r="J324" i="10"/>
  <c r="J325" i="10"/>
  <c r="J326" i="10"/>
  <c r="J327" i="10"/>
  <c r="J328" i="10"/>
  <c r="J329" i="10"/>
  <c r="J330" i="10"/>
  <c r="J331" i="10"/>
  <c r="J332" i="10"/>
  <c r="J333" i="10"/>
  <c r="J334" i="10"/>
  <c r="J335" i="10"/>
  <c r="J336" i="10"/>
  <c r="J337" i="10"/>
  <c r="J338" i="10"/>
  <c r="J339" i="10"/>
  <c r="J340" i="10"/>
  <c r="J341" i="10"/>
  <c r="J342" i="10"/>
  <c r="J343" i="10"/>
  <c r="J344" i="10"/>
  <c r="J345" i="10"/>
  <c r="J346" i="10"/>
  <c r="J347" i="10"/>
  <c r="J348" i="10"/>
  <c r="J349" i="10"/>
  <c r="J350" i="10"/>
  <c r="J351" i="10"/>
  <c r="J352" i="10"/>
  <c r="J353" i="10"/>
  <c r="J354" i="10"/>
  <c r="J355" i="10"/>
  <c r="J356" i="10"/>
  <c r="J357" i="10"/>
  <c r="J358" i="10"/>
  <c r="J359" i="10"/>
  <c r="J360" i="10"/>
  <c r="J361" i="10"/>
  <c r="J362" i="10"/>
  <c r="J363" i="10"/>
  <c r="J364" i="10"/>
  <c r="J365" i="10"/>
  <c r="J366" i="10"/>
  <c r="J367" i="10"/>
  <c r="J368" i="10"/>
  <c r="J369" i="10"/>
  <c r="J370" i="10"/>
  <c r="J371" i="10"/>
  <c r="J372" i="10"/>
  <c r="J373" i="10"/>
  <c r="J374" i="10"/>
  <c r="J375" i="10"/>
  <c r="J376" i="10"/>
  <c r="J377" i="10"/>
  <c r="J378" i="10"/>
  <c r="J379" i="10"/>
  <c r="J380" i="10"/>
  <c r="J381" i="10"/>
  <c r="J382" i="10"/>
  <c r="J383" i="10"/>
  <c r="J384" i="10"/>
  <c r="J385" i="10"/>
  <c r="J386" i="10"/>
  <c r="J387" i="10"/>
  <c r="J388" i="10"/>
  <c r="J389" i="10"/>
  <c r="J2" i="10"/>
  <c r="H4" i="10" l="1"/>
  <c r="H6" i="10"/>
  <c r="H8" i="10"/>
  <c r="H10" i="10"/>
  <c r="H12" i="10"/>
  <c r="H14" i="10"/>
  <c r="H16" i="10"/>
  <c r="H18" i="10"/>
  <c r="H20" i="10"/>
  <c r="H22" i="10"/>
  <c r="H24" i="10"/>
  <c r="H26" i="10"/>
  <c r="H28" i="10"/>
  <c r="H30" i="10"/>
  <c r="H32" i="10"/>
  <c r="H34" i="10"/>
  <c r="H36" i="10"/>
  <c r="H38" i="10"/>
  <c r="H40" i="10"/>
  <c r="H42" i="10"/>
  <c r="H44" i="10"/>
  <c r="H46" i="10"/>
  <c r="H48" i="10"/>
  <c r="H50" i="10"/>
  <c r="H52" i="10"/>
  <c r="H54" i="10"/>
  <c r="H56" i="10"/>
  <c r="H58" i="10"/>
  <c r="H60" i="10"/>
  <c r="H62" i="10"/>
  <c r="H64" i="10"/>
  <c r="H66" i="10"/>
  <c r="H68" i="10"/>
  <c r="H70" i="10"/>
  <c r="H72" i="10"/>
  <c r="H74" i="10"/>
  <c r="H76" i="10"/>
  <c r="H78" i="10"/>
  <c r="H80" i="10"/>
  <c r="H82" i="10"/>
  <c r="H84" i="10"/>
  <c r="H86" i="10"/>
  <c r="H88" i="10"/>
  <c r="H90" i="10"/>
  <c r="H92" i="10"/>
  <c r="H94" i="10"/>
  <c r="H96" i="10"/>
  <c r="H98" i="10"/>
  <c r="H100" i="10"/>
  <c r="H102" i="10"/>
  <c r="H104" i="10"/>
  <c r="H106" i="10"/>
  <c r="H108" i="10"/>
  <c r="H110" i="10"/>
  <c r="H112" i="10"/>
  <c r="H114" i="10"/>
  <c r="H116" i="10"/>
  <c r="H118" i="10"/>
  <c r="H120" i="10"/>
  <c r="H122" i="10"/>
  <c r="H124" i="10"/>
  <c r="H126" i="10"/>
  <c r="H128" i="10"/>
  <c r="H130" i="10"/>
  <c r="H132" i="10"/>
  <c r="H134" i="10"/>
  <c r="H136" i="10"/>
  <c r="H138" i="10"/>
  <c r="H140" i="10"/>
  <c r="H142" i="10"/>
  <c r="H144" i="10"/>
  <c r="H146" i="10"/>
  <c r="H148" i="10"/>
  <c r="H150" i="10"/>
  <c r="H152" i="10"/>
  <c r="H154" i="10"/>
  <c r="H156" i="10"/>
  <c r="H158" i="10"/>
  <c r="H160" i="10"/>
  <c r="H162" i="10"/>
  <c r="H164" i="10"/>
  <c r="H166" i="10"/>
  <c r="H168" i="10"/>
  <c r="H170" i="10"/>
  <c r="H172" i="10"/>
  <c r="H174" i="10"/>
  <c r="H176" i="10"/>
  <c r="H178" i="10"/>
  <c r="H180" i="10"/>
  <c r="H182" i="10"/>
  <c r="H184" i="10"/>
  <c r="H186" i="10"/>
  <c r="H188" i="10"/>
  <c r="H190" i="10"/>
  <c r="H192" i="10"/>
  <c r="H194" i="10"/>
  <c r="H196" i="10"/>
  <c r="H198" i="10"/>
  <c r="H200" i="10"/>
  <c r="H202" i="10"/>
  <c r="H204" i="10"/>
  <c r="H206" i="10"/>
  <c r="H208" i="10"/>
  <c r="H210" i="10"/>
  <c r="H212" i="10"/>
  <c r="H214" i="10"/>
  <c r="H216" i="10"/>
  <c r="H218" i="10"/>
  <c r="H220" i="10"/>
  <c r="H222" i="10"/>
  <c r="H224" i="10"/>
  <c r="H226" i="10"/>
  <c r="H228" i="10"/>
  <c r="H230" i="10"/>
  <c r="H232" i="10"/>
  <c r="H234" i="10"/>
  <c r="H236" i="10"/>
  <c r="H238" i="10"/>
  <c r="H240" i="10"/>
  <c r="H242" i="10"/>
  <c r="H244" i="10"/>
  <c r="H246" i="10"/>
  <c r="H248" i="10"/>
  <c r="H250" i="10"/>
  <c r="H252" i="10"/>
  <c r="H254" i="10"/>
  <c r="H256" i="10"/>
  <c r="H258" i="10"/>
  <c r="H260" i="10"/>
  <c r="H262" i="10"/>
  <c r="H264" i="10"/>
  <c r="H266" i="10"/>
  <c r="H268" i="10"/>
  <c r="H270" i="10"/>
  <c r="H272" i="10"/>
  <c r="H274" i="10"/>
  <c r="H276" i="10"/>
  <c r="H278" i="10"/>
  <c r="H280" i="10"/>
  <c r="H282" i="10"/>
  <c r="H284" i="10"/>
  <c r="H286" i="10"/>
  <c r="H288" i="10"/>
  <c r="H290" i="10"/>
  <c r="H292" i="10"/>
  <c r="H294" i="10"/>
  <c r="H296" i="10"/>
  <c r="H298" i="10"/>
  <c r="H300" i="10"/>
  <c r="H302" i="10"/>
  <c r="H304" i="10"/>
  <c r="H306" i="10"/>
  <c r="H308" i="10"/>
  <c r="H310" i="10"/>
  <c r="H312" i="10"/>
  <c r="H314" i="10"/>
  <c r="H316" i="10"/>
  <c r="H318" i="10"/>
  <c r="H320" i="10"/>
  <c r="H322" i="10"/>
  <c r="H324" i="10"/>
  <c r="H326" i="10"/>
  <c r="H328" i="10"/>
  <c r="H330" i="10"/>
  <c r="H332" i="10"/>
  <c r="H334" i="10"/>
  <c r="H336" i="10"/>
  <c r="H338" i="10"/>
  <c r="H340" i="10"/>
  <c r="H342" i="10"/>
  <c r="H344" i="10"/>
  <c r="H346" i="10"/>
  <c r="H348" i="10"/>
  <c r="H350" i="10"/>
  <c r="H352" i="10"/>
  <c r="H354" i="10"/>
  <c r="H356" i="10"/>
  <c r="H358" i="10"/>
  <c r="H360" i="10"/>
  <c r="H362" i="10"/>
  <c r="H364" i="10"/>
  <c r="H366" i="10"/>
  <c r="H368" i="10"/>
  <c r="H370" i="10"/>
  <c r="H372" i="10"/>
  <c r="H374" i="10"/>
  <c r="H376" i="10"/>
  <c r="H378" i="10"/>
  <c r="H380" i="10"/>
  <c r="H382" i="10"/>
  <c r="H384" i="10"/>
  <c r="H386" i="10"/>
  <c r="H388" i="10"/>
  <c r="H3" i="10"/>
  <c r="H5" i="10"/>
  <c r="H7" i="10"/>
  <c r="H9" i="10"/>
  <c r="H11" i="10"/>
  <c r="H13" i="10"/>
  <c r="H15" i="10"/>
  <c r="H17" i="10"/>
  <c r="H19" i="10"/>
  <c r="H21" i="10"/>
  <c r="H23" i="10"/>
  <c r="H25" i="10"/>
  <c r="H27" i="10"/>
  <c r="H29" i="10"/>
  <c r="H31" i="10"/>
  <c r="H33" i="10"/>
  <c r="H35" i="10"/>
  <c r="H37" i="10"/>
  <c r="H39" i="10"/>
  <c r="H41" i="10"/>
  <c r="H43" i="10"/>
  <c r="H45" i="10"/>
  <c r="H47" i="10"/>
  <c r="H49" i="10"/>
  <c r="H51" i="10"/>
  <c r="H53" i="10"/>
  <c r="H55" i="10"/>
  <c r="H57" i="10"/>
  <c r="H59" i="10"/>
  <c r="H61" i="10"/>
  <c r="H63" i="10"/>
  <c r="H65" i="10"/>
  <c r="H67" i="10"/>
  <c r="H69" i="10"/>
  <c r="H71" i="10"/>
  <c r="H73" i="10"/>
  <c r="H75" i="10"/>
  <c r="H77" i="10"/>
  <c r="H79" i="10"/>
  <c r="H81" i="10"/>
  <c r="H83" i="10"/>
  <c r="H85" i="10"/>
  <c r="H87" i="10"/>
  <c r="H89" i="10"/>
  <c r="H91" i="10"/>
  <c r="H93" i="10"/>
  <c r="H95" i="10"/>
  <c r="H97" i="10"/>
  <c r="H99" i="10"/>
  <c r="H101" i="10"/>
  <c r="H103" i="10"/>
  <c r="H105" i="10"/>
  <c r="H107" i="10"/>
  <c r="H109" i="10"/>
  <c r="H111" i="10"/>
  <c r="H113" i="10"/>
  <c r="H115" i="10"/>
  <c r="H117" i="10"/>
  <c r="H119" i="10"/>
  <c r="H121" i="10"/>
  <c r="H123" i="10"/>
  <c r="H125" i="10"/>
  <c r="H127" i="10"/>
  <c r="H129" i="10"/>
  <c r="H131" i="10"/>
  <c r="H133" i="10"/>
  <c r="H135" i="10"/>
  <c r="H137" i="10"/>
  <c r="H139" i="10"/>
  <c r="H141" i="10"/>
  <c r="H143" i="10"/>
  <c r="H145" i="10"/>
  <c r="H147" i="10"/>
  <c r="H149" i="10"/>
  <c r="H151" i="10"/>
  <c r="H153" i="10"/>
  <c r="H155" i="10"/>
  <c r="H157" i="10"/>
  <c r="H159" i="10"/>
  <c r="H161" i="10"/>
  <c r="H163" i="10"/>
  <c r="H165" i="10"/>
  <c r="H167" i="10"/>
  <c r="H169" i="10"/>
  <c r="H171" i="10"/>
  <c r="H173" i="10"/>
  <c r="H175" i="10"/>
  <c r="H177" i="10"/>
  <c r="H179" i="10"/>
  <c r="H181" i="10"/>
  <c r="H183" i="10"/>
  <c r="H185" i="10"/>
  <c r="H187" i="10"/>
  <c r="H189" i="10"/>
  <c r="H191" i="10"/>
  <c r="H193" i="10"/>
  <c r="H195" i="10"/>
  <c r="H197" i="10"/>
  <c r="H199" i="10"/>
  <c r="H201" i="10"/>
  <c r="H203" i="10"/>
  <c r="H205" i="10"/>
  <c r="H207" i="10"/>
  <c r="H209" i="10"/>
  <c r="H211" i="10"/>
  <c r="H213" i="10"/>
  <c r="H215" i="10"/>
  <c r="H217" i="10"/>
  <c r="H219" i="10"/>
  <c r="H221" i="10"/>
  <c r="H223" i="10"/>
  <c r="H225" i="10"/>
  <c r="H227" i="10"/>
  <c r="H229" i="10"/>
  <c r="H231" i="10"/>
  <c r="H233" i="10"/>
  <c r="H235" i="10"/>
  <c r="H237" i="10"/>
  <c r="H239" i="10"/>
  <c r="H241" i="10"/>
  <c r="H243" i="10"/>
  <c r="H245" i="10"/>
  <c r="H247" i="10"/>
  <c r="H249" i="10"/>
  <c r="H251" i="10"/>
  <c r="H253" i="10"/>
  <c r="H255" i="10"/>
  <c r="H257" i="10"/>
  <c r="H259" i="10"/>
  <c r="H261" i="10"/>
  <c r="H263" i="10"/>
  <c r="H265" i="10"/>
  <c r="H267" i="10"/>
  <c r="H269" i="10"/>
  <c r="H271" i="10"/>
  <c r="H273" i="10"/>
  <c r="H275" i="10"/>
  <c r="H277" i="10"/>
  <c r="H279" i="10"/>
  <c r="H281" i="10"/>
  <c r="H283" i="10"/>
  <c r="H285" i="10"/>
  <c r="H287" i="10"/>
  <c r="H289" i="10"/>
  <c r="H291" i="10"/>
  <c r="H293" i="10"/>
  <c r="H295" i="10"/>
  <c r="H297" i="10"/>
  <c r="H299" i="10"/>
  <c r="H301" i="10"/>
  <c r="H303" i="10"/>
  <c r="H305" i="10"/>
  <c r="H307" i="10"/>
  <c r="H309" i="10"/>
  <c r="H311" i="10"/>
  <c r="H313" i="10"/>
  <c r="H315" i="10"/>
  <c r="H317" i="10"/>
  <c r="H319" i="10"/>
  <c r="H321" i="10"/>
  <c r="H323" i="10"/>
  <c r="H325" i="10"/>
  <c r="H327" i="10"/>
  <c r="H329" i="10"/>
  <c r="H331" i="10"/>
  <c r="H333" i="10"/>
  <c r="H335" i="10"/>
  <c r="H337" i="10"/>
  <c r="H339" i="10"/>
  <c r="H341" i="10"/>
  <c r="H343" i="10"/>
  <c r="H345" i="10"/>
  <c r="H347" i="10"/>
  <c r="H349" i="10"/>
  <c r="H351" i="10"/>
  <c r="H353" i="10"/>
  <c r="H355" i="10"/>
  <c r="H357" i="10"/>
  <c r="H359" i="10"/>
  <c r="H361" i="10"/>
  <c r="H363" i="10"/>
  <c r="H365" i="10"/>
  <c r="H367" i="10"/>
  <c r="H369" i="10"/>
  <c r="H371" i="10"/>
  <c r="H373" i="10"/>
  <c r="H375" i="10"/>
  <c r="H377" i="10"/>
  <c r="H379" i="10"/>
  <c r="H381" i="10"/>
  <c r="H383" i="10"/>
  <c r="H385" i="10"/>
  <c r="H387" i="10"/>
  <c r="H389" i="10"/>
  <c r="H2" i="10"/>
  <c r="V292" i="10"/>
  <c r="V294" i="10"/>
  <c r="V288" i="10"/>
  <c r="N96" i="10"/>
  <c r="U96" i="10" s="1"/>
  <c r="L96" i="10"/>
  <c r="N102" i="10"/>
  <c r="U102" i="10" s="1"/>
  <c r="L102" i="10"/>
  <c r="N103" i="10"/>
  <c r="L103" i="10"/>
  <c r="N101" i="10"/>
  <c r="L101" i="10"/>
  <c r="N89" i="10"/>
  <c r="U89" i="10" s="1"/>
  <c r="L89" i="10"/>
  <c r="N88" i="10"/>
  <c r="U88" i="10" s="1"/>
  <c r="L88" i="10"/>
  <c r="U95" i="10"/>
  <c r="N95" i="10"/>
  <c r="L95" i="10"/>
  <c r="L94" i="10"/>
  <c r="U93" i="10"/>
  <c r="N93" i="10"/>
  <c r="L93" i="10"/>
  <c r="N92" i="10"/>
  <c r="U92" i="10" s="1"/>
  <c r="L92" i="10"/>
  <c r="N91" i="10"/>
  <c r="L91" i="10"/>
  <c r="U82" i="10"/>
  <c r="N82" i="10"/>
  <c r="L82" i="10"/>
  <c r="N83" i="10"/>
  <c r="U83" i="10" s="1"/>
  <c r="L83" i="10"/>
  <c r="N85" i="10"/>
  <c r="U85" i="10" s="1"/>
  <c r="L85" i="10"/>
  <c r="N87" i="10"/>
  <c r="U87" i="10" s="1"/>
  <c r="L87" i="10"/>
  <c r="U86" i="10"/>
  <c r="N86" i="10"/>
  <c r="L86" i="10"/>
  <c r="N77" i="10"/>
  <c r="L77" i="10"/>
  <c r="N76" i="10"/>
  <c r="L76" i="10"/>
  <c r="N79" i="10"/>
  <c r="U79" i="10" s="1"/>
  <c r="L79" i="10"/>
  <c r="N78" i="10"/>
  <c r="U78" i="10" s="1"/>
  <c r="E20" i="11"/>
  <c r="D19" i="11"/>
  <c r="D21" i="11" s="1"/>
  <c r="D3" i="11"/>
  <c r="D4" i="11"/>
  <c r="D5" i="11"/>
  <c r="D6" i="11"/>
  <c r="D7" i="11"/>
  <c r="D8" i="11"/>
  <c r="D9" i="11"/>
  <c r="D10" i="11"/>
  <c r="D11" i="11"/>
  <c r="D12" i="11"/>
  <c r="D13" i="11"/>
  <c r="D14" i="11"/>
  <c r="D15" i="11"/>
  <c r="D16" i="11"/>
  <c r="D2" i="11"/>
  <c r="D18" i="11" s="1"/>
  <c r="N314" i="10" l="1"/>
  <c r="U314" i="10" s="1"/>
  <c r="L314" i="10"/>
  <c r="U286" i="10"/>
  <c r="N286" i="10"/>
  <c r="L286" i="10"/>
  <c r="N287" i="10"/>
  <c r="U287" i="10" s="1"/>
  <c r="L287" i="10"/>
  <c r="N278" i="10"/>
  <c r="U278" i="10" s="1"/>
  <c r="L278" i="10"/>
  <c r="N279" i="10"/>
  <c r="L279" i="10"/>
  <c r="U279" i="10" s="1"/>
  <c r="U259" i="10"/>
  <c r="N259" i="10"/>
  <c r="L259" i="10"/>
  <c r="N258" i="10"/>
  <c r="U258" i="10" s="1"/>
  <c r="L258" i="10"/>
  <c r="N250" i="10"/>
  <c r="U250" i="10" s="1"/>
  <c r="L250" i="10"/>
  <c r="U251" i="10"/>
  <c r="L251" i="10"/>
  <c r="U313" i="10"/>
  <c r="L313" i="10"/>
  <c r="U312" i="10"/>
  <c r="N312" i="10"/>
  <c r="L312" i="10"/>
  <c r="U301" i="10"/>
  <c r="N301" i="10"/>
  <c r="L301" i="10"/>
  <c r="N282" i="10"/>
  <c r="U282" i="10" s="1"/>
  <c r="L282" i="10"/>
  <c r="N283" i="10"/>
  <c r="U283" i="10" s="1"/>
  <c r="L283" i="10"/>
  <c r="N274" i="10"/>
  <c r="U274" i="10" s="1"/>
  <c r="L274" i="10"/>
  <c r="U275" i="10"/>
  <c r="N275" i="10"/>
  <c r="L275" i="10"/>
  <c r="N269" i="10"/>
  <c r="U269" i="10" s="1"/>
  <c r="L269" i="10"/>
  <c r="N268" i="10"/>
  <c r="L268" i="10"/>
  <c r="U304" i="10"/>
  <c r="N304" i="10"/>
  <c r="L304" i="10"/>
  <c r="N305" i="10"/>
  <c r="L305" i="10"/>
  <c r="N298" i="10"/>
  <c r="U298" i="10" s="1"/>
  <c r="L298" i="10"/>
  <c r="U299" i="10"/>
  <c r="N299" i="10"/>
  <c r="L299" i="10"/>
  <c r="N291" i="10"/>
  <c r="U291" i="10" s="1"/>
  <c r="L291" i="10"/>
  <c r="U290" i="10"/>
  <c r="V290" i="10" s="1"/>
  <c r="L290" i="10"/>
  <c r="U252" i="10"/>
  <c r="N252" i="10"/>
  <c r="L252" i="10"/>
  <c r="U253" i="10"/>
  <c r="N253" i="10"/>
  <c r="L253" i="10"/>
  <c r="N265" i="10"/>
  <c r="L265" i="10"/>
  <c r="N248" i="10"/>
  <c r="L248" i="10"/>
  <c r="N249" i="10"/>
  <c r="L249" i="10"/>
  <c r="L257" i="10"/>
  <c r="N256" i="10"/>
  <c r="L256" i="10"/>
  <c r="N273" i="10"/>
  <c r="L273" i="10"/>
  <c r="N272" i="10"/>
  <c r="L272" i="10"/>
  <c r="U266" i="10"/>
  <c r="N266" i="10"/>
  <c r="L266" i="10"/>
  <c r="N267" i="10"/>
  <c r="L267" i="10"/>
  <c r="N261" i="10"/>
  <c r="L261" i="10"/>
  <c r="N309" i="10"/>
  <c r="U309" i="10" s="1"/>
  <c r="L309" i="10"/>
  <c r="N308" i="10"/>
  <c r="U308" i="10" s="1"/>
  <c r="L308" i="10"/>
  <c r="U302" i="10"/>
  <c r="N302" i="10"/>
  <c r="L302" i="10"/>
  <c r="N303" i="10"/>
  <c r="U303" i="10" s="1"/>
  <c r="L303" i="10"/>
  <c r="N297" i="10"/>
  <c r="U297" i="10" s="1"/>
  <c r="L297" i="10"/>
  <c r="N296" i="10"/>
  <c r="U296" i="10" s="1"/>
  <c r="L296" i="10"/>
  <c r="U281" i="10"/>
  <c r="N281" i="10"/>
  <c r="L281" i="10"/>
  <c r="N280" i="10"/>
  <c r="L280" i="10"/>
  <c r="N294" i="10"/>
  <c r="L294" i="10"/>
  <c r="N295" i="10"/>
  <c r="L295" i="10"/>
  <c r="N316" i="10"/>
  <c r="L317" i="10"/>
  <c r="N310" i="10"/>
  <c r="U310" i="10" s="1"/>
  <c r="M310" i="10"/>
  <c r="L310" i="10"/>
  <c r="U311" i="10"/>
  <c r="U319" i="10"/>
  <c r="N319" i="10"/>
  <c r="L319" i="10"/>
  <c r="U318" i="10"/>
  <c r="U321" i="10"/>
  <c r="N321" i="10"/>
  <c r="L321" i="10"/>
  <c r="N320" i="10"/>
  <c r="U320" i="10" s="1"/>
  <c r="L320" i="10"/>
  <c r="N352" i="10"/>
  <c r="U352" i="10" s="1"/>
  <c r="L352" i="10"/>
  <c r="N353" i="10"/>
  <c r="U353" i="10" s="1"/>
  <c r="L353" i="10"/>
  <c r="U368" i="10"/>
  <c r="N368" i="10"/>
  <c r="L368" i="10"/>
  <c r="N369" i="10"/>
  <c r="U369" i="10" s="1"/>
  <c r="L369" i="10"/>
  <c r="L354" i="10"/>
  <c r="N354" i="10" s="1"/>
  <c r="U354" i="10" s="1"/>
  <c r="U355" i="10"/>
  <c r="N355" i="10"/>
  <c r="L355" i="10"/>
  <c r="N386" i="10"/>
  <c r="U386" i="10" s="1"/>
  <c r="L386" i="10"/>
  <c r="N387" i="10"/>
  <c r="U387" i="10" s="1"/>
  <c r="L387" i="10"/>
  <c r="N384" i="10"/>
  <c r="U384" i="10" s="1"/>
  <c r="L384" i="10"/>
  <c r="U385" i="10"/>
  <c r="N385" i="10"/>
  <c r="L385" i="10"/>
  <c r="N381" i="10"/>
  <c r="U381" i="10" s="1"/>
  <c r="L381" i="10"/>
  <c r="N380" i="10"/>
  <c r="L380" i="10"/>
  <c r="U357" i="10"/>
  <c r="N357" i="10"/>
  <c r="L357" i="10"/>
  <c r="N356" i="10"/>
  <c r="U356" i="10" s="1"/>
  <c r="L356" i="10"/>
  <c r="N375" i="10"/>
  <c r="U375" i="10" s="1"/>
  <c r="L375" i="10"/>
  <c r="N374" i="10"/>
  <c r="U374" i="10" s="1"/>
  <c r="L374" i="10"/>
  <c r="U366" i="10"/>
  <c r="N366" i="10"/>
  <c r="L366" i="10"/>
  <c r="N367" i="10"/>
  <c r="U367" i="10" s="1"/>
  <c r="L367" i="10"/>
  <c r="U361" i="10"/>
  <c r="N361" i="10"/>
  <c r="L361" i="10"/>
  <c r="N379" i="10"/>
  <c r="U379" i="10" s="1"/>
  <c r="L379" i="10"/>
  <c r="U359" i="10"/>
  <c r="N377" i="10"/>
  <c r="L377" i="10"/>
  <c r="N376" i="10"/>
  <c r="L376" i="10"/>
  <c r="N383" i="10"/>
  <c r="L383" i="10"/>
  <c r="N382" i="10"/>
  <c r="U346" i="10"/>
  <c r="N346" i="10"/>
  <c r="L346" i="10"/>
  <c r="N347" i="10"/>
  <c r="U347" i="10" s="1"/>
  <c r="L347" i="10"/>
  <c r="N350" i="10"/>
  <c r="U350" i="10" s="1"/>
  <c r="L350" i="10"/>
  <c r="U351" i="10"/>
  <c r="N348" i="10"/>
  <c r="L348" i="10"/>
  <c r="N349" i="10"/>
  <c r="L349" i="10"/>
  <c r="N340" i="10"/>
  <c r="U340" i="10" s="1"/>
  <c r="L340" i="10"/>
  <c r="N341" i="10"/>
  <c r="U341" i="10" s="1"/>
  <c r="L341" i="10"/>
  <c r="L344" i="10"/>
  <c r="N345" i="10"/>
  <c r="L345" i="10"/>
  <c r="N335" i="10"/>
  <c r="U335" i="10" s="1"/>
  <c r="L335" i="10"/>
  <c r="N334" i="10"/>
  <c r="U334" i="10" s="1"/>
  <c r="N339" i="10"/>
  <c r="L339" i="10"/>
  <c r="N338" i="10"/>
  <c r="L338" i="10"/>
  <c r="L336" i="10"/>
  <c r="N337" i="10"/>
  <c r="U337" i="10" s="1"/>
  <c r="N328" i="10"/>
  <c r="L328" i="10"/>
  <c r="U329" i="10"/>
  <c r="N329" i="10"/>
  <c r="L329" i="10"/>
  <c r="N333" i="10"/>
  <c r="L333" i="10"/>
  <c r="N332" i="10"/>
  <c r="L332" i="10"/>
  <c r="U326" i="10"/>
  <c r="N326" i="10"/>
  <c r="L326" i="10"/>
  <c r="N327" i="10"/>
  <c r="U327" i="10" s="1"/>
  <c r="L327" i="10"/>
  <c r="N324" i="10"/>
  <c r="L324" i="10"/>
  <c r="N325" i="10"/>
  <c r="L325" i="10"/>
  <c r="N54" i="10"/>
  <c r="U54" i="10" s="1"/>
  <c r="L54" i="10"/>
  <c r="N55" i="10"/>
  <c r="U55" i="10" s="1"/>
  <c r="L55" i="10"/>
  <c r="U32" i="10"/>
  <c r="N32" i="10"/>
  <c r="L32" i="10"/>
  <c r="N33" i="10"/>
  <c r="U33" i="10" s="1"/>
  <c r="L33" i="10"/>
  <c r="U26" i="10"/>
  <c r="N26" i="10"/>
  <c r="L26" i="10"/>
  <c r="U27" i="10"/>
  <c r="N35" i="10"/>
  <c r="L35" i="10"/>
  <c r="U35" i="10" s="1"/>
  <c r="N34" i="10"/>
  <c r="U34" i="10" s="1"/>
  <c r="L34" i="10"/>
  <c r="N30" i="10"/>
  <c r="U30" i="10" s="1"/>
  <c r="L30" i="10"/>
  <c r="N31" i="10"/>
  <c r="U31" i="10" s="1"/>
  <c r="L31" i="10"/>
  <c r="N40" i="10"/>
  <c r="U40" i="10" s="1"/>
  <c r="L40" i="10"/>
  <c r="U41" i="10"/>
  <c r="N41" i="10"/>
  <c r="L41" i="10"/>
  <c r="U46" i="10"/>
  <c r="L46" i="10"/>
  <c r="N47" i="10"/>
  <c r="U47" i="10" s="1"/>
  <c r="L47" i="10"/>
  <c r="U38" i="10"/>
  <c r="N38" i="10"/>
  <c r="L38" i="10"/>
  <c r="N39" i="10"/>
  <c r="U39" i="10" s="1"/>
  <c r="L39" i="10"/>
  <c r="U29" i="10"/>
  <c r="L29" i="10"/>
  <c r="U45" i="10"/>
  <c r="N45" i="10"/>
  <c r="L45" i="10"/>
  <c r="N52" i="10"/>
  <c r="U52" i="10" s="1"/>
  <c r="L52" i="10"/>
  <c r="N53" i="10"/>
  <c r="U53" i="10" s="1"/>
  <c r="L53" i="10"/>
  <c r="N59" i="10"/>
  <c r="L59" i="10"/>
  <c r="N58" i="10"/>
  <c r="L58" i="10"/>
  <c r="N57" i="10"/>
  <c r="N51" i="10"/>
  <c r="L51" i="10"/>
  <c r="N43" i="10"/>
  <c r="L43" i="10"/>
  <c r="N37" i="10"/>
  <c r="M37" i="10"/>
  <c r="L37" i="10"/>
  <c r="N36" i="10"/>
  <c r="N16" i="10"/>
  <c r="U16" i="10" s="1"/>
  <c r="L16" i="10"/>
  <c r="N17" i="10"/>
  <c r="U17" i="10" s="1"/>
  <c r="L17" i="10"/>
  <c r="U23" i="10"/>
  <c r="N23" i="10"/>
  <c r="L23" i="10"/>
  <c r="N22" i="10"/>
  <c r="L22" i="10"/>
  <c r="N25" i="10"/>
  <c r="L25" i="10"/>
  <c r="N24" i="10"/>
  <c r="U24" i="10" s="1"/>
  <c r="L24" i="10"/>
  <c r="N20" i="10"/>
  <c r="L20" i="10"/>
  <c r="N18" i="10"/>
  <c r="N61" i="10"/>
  <c r="U61" i="10" s="1"/>
  <c r="L61" i="10"/>
  <c r="U60" i="10"/>
  <c r="N60" i="10"/>
  <c r="L60" i="10"/>
  <c r="N65" i="10"/>
  <c r="L65" i="10"/>
  <c r="N64" i="10"/>
  <c r="L64" i="10"/>
  <c r="N68" i="10"/>
  <c r="U68" i="10" s="1"/>
  <c r="L68" i="10"/>
  <c r="N69" i="10"/>
  <c r="U69" i="10" s="1"/>
  <c r="L69" i="10"/>
  <c r="N14" i="10"/>
  <c r="U14" i="10" s="1"/>
  <c r="L14" i="10"/>
  <c r="U13" i="10"/>
  <c r="N13" i="10"/>
  <c r="L13" i="10"/>
  <c r="N12" i="10"/>
  <c r="U12" i="10" s="1"/>
  <c r="L12" i="10"/>
  <c r="N6" i="10"/>
  <c r="U6" i="10" s="1"/>
  <c r="L6" i="10"/>
  <c r="N7" i="10"/>
  <c r="U7" i="10" s="1"/>
  <c r="L7" i="10"/>
  <c r="N5" i="10"/>
  <c r="L5" i="10"/>
  <c r="N4" i="10"/>
  <c r="L4" i="10"/>
  <c r="U73" i="10"/>
  <c r="N73" i="10"/>
  <c r="L73" i="10"/>
  <c r="L72" i="10"/>
  <c r="N72" i="10" s="1"/>
  <c r="U72" i="10" s="1"/>
  <c r="N184" i="10"/>
  <c r="U184" i="10" s="1"/>
  <c r="L184" i="10"/>
  <c r="U185" i="10"/>
  <c r="N190" i="10"/>
  <c r="U190" i="10" s="1"/>
  <c r="L190" i="10"/>
  <c r="U191" i="10"/>
  <c r="N191" i="10"/>
  <c r="L191" i="10"/>
  <c r="U195" i="10"/>
  <c r="U192" i="10"/>
  <c r="L192" i="10"/>
  <c r="L193" i="10"/>
  <c r="U180" i="10"/>
  <c r="U181" i="10"/>
  <c r="N187" i="10"/>
  <c r="N172" i="10"/>
  <c r="U172" i="10" s="1"/>
  <c r="L172" i="10"/>
  <c r="N173" i="10"/>
  <c r="U173" i="10" s="1"/>
  <c r="L173" i="10"/>
  <c r="U176" i="10"/>
  <c r="L176" i="10"/>
  <c r="N177" i="10"/>
  <c r="U177" i="10" s="1"/>
  <c r="L177" i="10"/>
  <c r="N179" i="10"/>
  <c r="L179" i="10"/>
  <c r="L164" i="10"/>
  <c r="N164" i="10" s="1"/>
  <c r="U164" i="10" s="1"/>
  <c r="N165" i="10"/>
  <c r="U165" i="10" s="1"/>
  <c r="L165" i="10"/>
  <c r="U167" i="10"/>
  <c r="N167" i="10"/>
  <c r="L167" i="10"/>
  <c r="N166" i="10"/>
  <c r="U166" i="10" s="1"/>
  <c r="L166" i="10"/>
  <c r="N168" i="10"/>
  <c r="L168" i="10"/>
  <c r="N169" i="10"/>
  <c r="L169" i="10"/>
  <c r="U205" i="10"/>
  <c r="L205" i="10"/>
  <c r="U204" i="10"/>
  <c r="N204" i="10"/>
  <c r="L204" i="10"/>
  <c r="N196" i="10"/>
  <c r="U196" i="10" s="1"/>
  <c r="L196" i="10"/>
  <c r="N197" i="10"/>
  <c r="U197" i="10" s="1"/>
  <c r="M197" i="10"/>
  <c r="L197" i="10"/>
  <c r="N206" i="10"/>
  <c r="U206" i="10" s="1"/>
  <c r="L206" i="10"/>
  <c r="U207" i="10"/>
  <c r="N207" i="10"/>
  <c r="L207" i="10"/>
  <c r="U212" i="10"/>
  <c r="N212" i="10"/>
  <c r="L212" i="10"/>
  <c r="N213" i="10"/>
  <c r="U213" i="10" s="1"/>
  <c r="L213" i="10"/>
  <c r="N202" i="10"/>
  <c r="U202" i="10" s="1"/>
  <c r="L202" i="10"/>
  <c r="N209" i="10"/>
  <c r="L209" i="10"/>
  <c r="U198" i="10"/>
  <c r="N210" i="10"/>
  <c r="L210" i="10"/>
  <c r="N211" i="10"/>
  <c r="U211" i="10" s="1"/>
  <c r="L211" i="10"/>
  <c r="N203" i="10"/>
  <c r="U203" i="10" s="1"/>
  <c r="L203" i="10"/>
  <c r="U215" i="10"/>
  <c r="U214" i="10"/>
  <c r="N216" i="10"/>
  <c r="U216" i="10" s="1"/>
  <c r="L216" i="10"/>
  <c r="N237" i="10"/>
  <c r="U237" i="10" s="1"/>
  <c r="L237" i="10"/>
  <c r="U236" i="10"/>
  <c r="N236" i="10"/>
  <c r="N230" i="10"/>
  <c r="U230" i="10" s="1"/>
  <c r="L230" i="10"/>
  <c r="U231" i="10"/>
  <c r="N231" i="10"/>
  <c r="U239" i="10"/>
  <c r="N239" i="10"/>
  <c r="L239" i="10"/>
  <c r="N238" i="10"/>
  <c r="L238" i="10"/>
  <c r="L219" i="10"/>
  <c r="T240" i="10"/>
  <c r="N240" i="10"/>
  <c r="U240" i="10" s="1"/>
  <c r="L240" i="10"/>
  <c r="N241" i="10"/>
  <c r="U241" i="10" s="1"/>
  <c r="L241" i="10"/>
  <c r="U218" i="10"/>
  <c r="N218" i="10"/>
  <c r="U229" i="10"/>
  <c r="N229" i="10"/>
  <c r="L229" i="10"/>
  <c r="U228" i="10"/>
  <c r="N228" i="10"/>
  <c r="L228" i="10"/>
  <c r="U223" i="10"/>
  <c r="N223" i="10"/>
  <c r="L223" i="10"/>
  <c r="N222" i="10"/>
  <c r="N227" i="10"/>
  <c r="L227" i="10"/>
  <c r="N234" i="10"/>
  <c r="L234" i="10"/>
  <c r="N235" i="10"/>
  <c r="N225" i="10"/>
  <c r="U232" i="10"/>
  <c r="N244" i="10"/>
  <c r="L244" i="10"/>
  <c r="N245" i="10"/>
  <c r="L245" i="10"/>
  <c r="N154" i="10"/>
  <c r="U154" i="10" s="1"/>
  <c r="U155" i="10"/>
  <c r="N155" i="10"/>
  <c r="U151" i="10"/>
  <c r="N151" i="10"/>
  <c r="L151" i="10"/>
  <c r="N142" i="10"/>
  <c r="U142" i="10" s="1"/>
  <c r="L142" i="10"/>
  <c r="U143" i="10"/>
  <c r="N148" i="10"/>
  <c r="U148" i="10" s="1"/>
  <c r="L148" i="10"/>
  <c r="U157" i="10"/>
  <c r="N157" i="10"/>
  <c r="L157" i="10"/>
  <c r="U156" i="10"/>
  <c r="N156" i="10"/>
  <c r="L156" i="10"/>
  <c r="N159" i="10"/>
  <c r="L159" i="10"/>
  <c r="N158" i="10"/>
  <c r="L158" i="10"/>
  <c r="N160" i="10"/>
  <c r="N161" i="10"/>
  <c r="N163" i="10"/>
  <c r="U163" i="10" s="1"/>
  <c r="L163" i="10"/>
  <c r="N162" i="10"/>
  <c r="L162" i="10"/>
  <c r="N138" i="10"/>
  <c r="U138" i="10" s="1"/>
  <c r="L138" i="10"/>
  <c r="U139" i="10"/>
  <c r="N132" i="10"/>
  <c r="U132" i="10" s="1"/>
  <c r="L132" i="10"/>
  <c r="U133" i="10"/>
  <c r="N136" i="10"/>
  <c r="L136" i="10"/>
  <c r="L137" i="10"/>
  <c r="U127" i="10"/>
  <c r="N127" i="10"/>
  <c r="L127" i="10"/>
  <c r="U126" i="10"/>
  <c r="N126" i="10"/>
  <c r="L126" i="10"/>
  <c r="U130" i="10"/>
  <c r="N130" i="10"/>
  <c r="U131" i="10"/>
  <c r="N131" i="10"/>
  <c r="U120" i="10"/>
  <c r="U125" i="10"/>
  <c r="N124" i="10"/>
  <c r="N123" i="10"/>
  <c r="L123" i="10"/>
  <c r="U117" i="10"/>
  <c r="N117" i="10"/>
  <c r="L117" i="10"/>
  <c r="N116" i="10"/>
  <c r="U116" i="10" s="1"/>
  <c r="L116" i="10"/>
  <c r="N115" i="10"/>
  <c r="L115" i="10"/>
  <c r="N114" i="10"/>
  <c r="L114" i="10"/>
  <c r="L109" i="10"/>
  <c r="N109" i="10" s="1"/>
  <c r="U109" i="10" s="1"/>
  <c r="N108" i="10"/>
  <c r="U108" i="10" s="1"/>
  <c r="L108" i="10"/>
  <c r="N105" i="10"/>
  <c r="I389" i="10"/>
  <c r="I387" i="10"/>
  <c r="I385" i="10"/>
  <c r="I383" i="10"/>
  <c r="I381" i="10"/>
  <c r="I379" i="10"/>
  <c r="I377" i="10"/>
  <c r="I375" i="10"/>
  <c r="I373" i="10"/>
  <c r="I371" i="10"/>
  <c r="I369" i="10"/>
  <c r="I367" i="10"/>
  <c r="I365" i="10"/>
  <c r="I363" i="10"/>
  <c r="I361" i="10"/>
  <c r="I359" i="10"/>
  <c r="I357" i="10"/>
  <c r="I355" i="10"/>
  <c r="I353" i="10"/>
  <c r="I351" i="10"/>
  <c r="I349" i="10"/>
  <c r="I347" i="10"/>
  <c r="I345" i="10"/>
  <c r="I343" i="10"/>
  <c r="I341" i="10"/>
  <c r="I339" i="10"/>
  <c r="I337" i="10"/>
  <c r="I335" i="10"/>
  <c r="I333" i="10"/>
  <c r="I331" i="10"/>
  <c r="I329" i="10"/>
  <c r="I327" i="10"/>
  <c r="I325" i="10"/>
  <c r="I323" i="10"/>
  <c r="I321" i="10"/>
  <c r="I319" i="10"/>
  <c r="I317" i="10"/>
  <c r="I315" i="10"/>
  <c r="I313" i="10"/>
  <c r="I311" i="10"/>
  <c r="I309" i="10"/>
  <c r="I307" i="10"/>
  <c r="I305" i="10"/>
  <c r="I303" i="10"/>
  <c r="I301" i="10"/>
  <c r="I299" i="10"/>
  <c r="I297" i="10"/>
  <c r="I295" i="10"/>
  <c r="I293" i="10"/>
  <c r="I291" i="10"/>
  <c r="I289" i="10"/>
  <c r="I287" i="10"/>
  <c r="I285" i="10"/>
  <c r="I283" i="10"/>
  <c r="I281" i="10"/>
  <c r="I279" i="10"/>
  <c r="I277" i="10"/>
  <c r="I275" i="10"/>
  <c r="I273" i="10"/>
  <c r="I271" i="10"/>
  <c r="I269" i="10"/>
  <c r="I267" i="10"/>
  <c r="I265" i="10"/>
  <c r="I263" i="10"/>
  <c r="I261" i="10"/>
  <c r="I259" i="10"/>
  <c r="I257" i="10"/>
  <c r="I255" i="10"/>
  <c r="I253" i="10"/>
  <c r="I251" i="10"/>
  <c r="I249" i="10"/>
  <c r="I247" i="10"/>
  <c r="I245" i="10"/>
  <c r="I243" i="10"/>
  <c r="I241" i="10"/>
  <c r="I239" i="10"/>
  <c r="I237" i="10"/>
  <c r="I235" i="10"/>
  <c r="I233" i="10"/>
  <c r="I231" i="10"/>
  <c r="I229" i="10"/>
  <c r="I227" i="10"/>
  <c r="I225" i="10"/>
  <c r="I223" i="10"/>
  <c r="I221" i="10"/>
  <c r="I219" i="10"/>
  <c r="I217" i="10"/>
  <c r="I215" i="10"/>
  <c r="I213" i="10"/>
  <c r="I211" i="10"/>
  <c r="I209" i="10"/>
  <c r="I207" i="10"/>
  <c r="I205" i="10"/>
  <c r="I203" i="10"/>
  <c r="I201" i="10"/>
  <c r="I199" i="10"/>
  <c r="I197" i="10"/>
  <c r="I195" i="10"/>
  <c r="I193" i="10"/>
  <c r="I191" i="10"/>
  <c r="I189" i="10"/>
  <c r="I187" i="10"/>
  <c r="I185" i="10"/>
  <c r="I183" i="10"/>
  <c r="I181" i="10"/>
  <c r="I179" i="10"/>
  <c r="I177" i="10"/>
  <c r="I175" i="10"/>
  <c r="I173" i="10"/>
  <c r="I171" i="10"/>
  <c r="I169" i="10"/>
  <c r="I167" i="10"/>
  <c r="I165" i="10"/>
  <c r="I163" i="10"/>
  <c r="I161" i="10"/>
  <c r="I159" i="10"/>
  <c r="I157" i="10"/>
  <c r="I155" i="10"/>
  <c r="I153" i="10"/>
  <c r="I151" i="10"/>
  <c r="I149" i="10"/>
  <c r="I147" i="10"/>
  <c r="I145" i="10"/>
  <c r="I143" i="10"/>
  <c r="I141" i="10"/>
  <c r="I139" i="10"/>
  <c r="I137" i="10"/>
  <c r="I135" i="10"/>
  <c r="I133" i="10"/>
  <c r="I131" i="10"/>
  <c r="I129" i="10"/>
  <c r="I127" i="10"/>
  <c r="I125" i="10"/>
  <c r="I123" i="10"/>
  <c r="I121" i="10"/>
  <c r="I119" i="10"/>
  <c r="I117" i="10"/>
  <c r="I115" i="10"/>
  <c r="I113" i="10"/>
  <c r="I111" i="10"/>
  <c r="I109" i="10"/>
  <c r="I107" i="10"/>
  <c r="I105" i="10"/>
  <c r="I103" i="10"/>
  <c r="I101" i="10"/>
  <c r="I99" i="10"/>
  <c r="I97" i="10"/>
  <c r="I95" i="10"/>
  <c r="I93" i="10"/>
  <c r="I91" i="10"/>
  <c r="I89" i="10"/>
  <c r="I87" i="10"/>
  <c r="I85" i="10"/>
  <c r="I83" i="10"/>
  <c r="I81" i="10"/>
  <c r="I79" i="10"/>
  <c r="I77" i="10"/>
  <c r="I75" i="10"/>
  <c r="I73" i="10"/>
  <c r="I71" i="10"/>
  <c r="I69" i="10"/>
  <c r="I67" i="10"/>
  <c r="I65" i="10"/>
  <c r="I63" i="10"/>
  <c r="I61" i="10"/>
  <c r="I59" i="10"/>
  <c r="I57" i="10"/>
  <c r="I55" i="10"/>
  <c r="I53" i="10"/>
  <c r="I51" i="10"/>
  <c r="I49" i="10"/>
  <c r="I47" i="10"/>
  <c r="I45" i="10"/>
  <c r="I43" i="10"/>
  <c r="I41" i="10"/>
  <c r="I39" i="10"/>
  <c r="I37" i="10"/>
  <c r="I35" i="10"/>
  <c r="I33" i="10"/>
  <c r="I31" i="10"/>
  <c r="I29" i="10"/>
  <c r="I27" i="10"/>
  <c r="I25" i="10"/>
  <c r="I23" i="10"/>
  <c r="I21" i="10"/>
  <c r="I19" i="10"/>
  <c r="I17" i="10"/>
  <c r="I15" i="10"/>
  <c r="I13" i="10"/>
  <c r="I11" i="10"/>
  <c r="I9" i="10"/>
  <c r="I7" i="10"/>
  <c r="I5" i="10"/>
  <c r="I3" i="10"/>
  <c r="I388" i="10"/>
  <c r="I386" i="10"/>
  <c r="I384" i="10"/>
  <c r="I382" i="10"/>
  <c r="I380" i="10"/>
  <c r="I378" i="10"/>
  <c r="I376" i="10"/>
  <c r="I374" i="10"/>
  <c r="I372" i="10"/>
  <c r="I370" i="10"/>
  <c r="I368" i="10"/>
  <c r="I366" i="10"/>
  <c r="I364" i="10"/>
  <c r="I362" i="10"/>
  <c r="I360" i="10"/>
  <c r="I358" i="10"/>
  <c r="I356" i="10"/>
  <c r="I354" i="10"/>
  <c r="I352" i="10"/>
  <c r="I350" i="10"/>
  <c r="I348" i="10"/>
  <c r="I346" i="10"/>
  <c r="I344" i="10"/>
  <c r="I342" i="10"/>
  <c r="I340" i="10"/>
  <c r="I338" i="10"/>
  <c r="I336" i="10"/>
  <c r="I334" i="10"/>
  <c r="I332" i="10"/>
  <c r="I330" i="10"/>
  <c r="I328" i="10"/>
  <c r="I326" i="10"/>
  <c r="I324" i="10"/>
  <c r="I322" i="10"/>
  <c r="I320" i="10"/>
  <c r="I318" i="10"/>
  <c r="I316" i="10"/>
  <c r="I314" i="10"/>
  <c r="I312" i="10"/>
  <c r="I310" i="10"/>
  <c r="I308" i="10"/>
  <c r="I306" i="10"/>
  <c r="I304" i="10"/>
  <c r="I302" i="10"/>
  <c r="I300" i="10"/>
  <c r="I298" i="10"/>
  <c r="I296" i="10"/>
  <c r="I294" i="10"/>
  <c r="I292" i="10"/>
  <c r="I290" i="10"/>
  <c r="I288" i="10"/>
  <c r="I286" i="10"/>
  <c r="I284" i="10"/>
  <c r="I282" i="10"/>
  <c r="I280" i="10"/>
  <c r="I278" i="10"/>
  <c r="I276" i="10"/>
  <c r="I274" i="10"/>
  <c r="I272" i="10"/>
  <c r="I270" i="10"/>
  <c r="I268" i="10"/>
  <c r="I266" i="10"/>
  <c r="I264" i="10"/>
  <c r="I262" i="10"/>
  <c r="I260" i="10"/>
  <c r="I258" i="10"/>
  <c r="I256" i="10"/>
  <c r="I254" i="10"/>
  <c r="I252" i="10"/>
  <c r="I250" i="10"/>
  <c r="I248" i="10"/>
  <c r="I246" i="10"/>
  <c r="I244" i="10"/>
  <c r="I242" i="10"/>
  <c r="I240" i="10"/>
  <c r="I238" i="10"/>
  <c r="I236" i="10"/>
  <c r="I234" i="10"/>
  <c r="I232" i="10"/>
  <c r="I230" i="10"/>
  <c r="I228" i="10"/>
  <c r="I226" i="10"/>
  <c r="I224" i="10"/>
  <c r="I222" i="10"/>
  <c r="I220" i="10"/>
  <c r="I218" i="10"/>
  <c r="I216" i="10"/>
  <c r="I214" i="10"/>
  <c r="I212" i="10"/>
  <c r="I210" i="10"/>
  <c r="I208" i="10"/>
  <c r="I206" i="10"/>
  <c r="I204" i="10"/>
  <c r="I202" i="10"/>
  <c r="I200" i="10"/>
  <c r="I198" i="10"/>
  <c r="I196" i="10"/>
  <c r="I194" i="10"/>
  <c r="I192" i="10"/>
  <c r="I190" i="10"/>
  <c r="I188" i="10"/>
  <c r="I186" i="10"/>
  <c r="I184" i="10"/>
  <c r="I182" i="10"/>
  <c r="I180" i="10"/>
  <c r="I178" i="10"/>
  <c r="I176" i="10"/>
  <c r="I174" i="10"/>
  <c r="I172" i="10"/>
  <c r="I170" i="10"/>
  <c r="I168" i="10"/>
  <c r="I166" i="10"/>
  <c r="I164" i="10"/>
  <c r="I162" i="10"/>
  <c r="I160" i="10"/>
  <c r="I158" i="10"/>
  <c r="I156" i="10"/>
  <c r="I154" i="10"/>
  <c r="I152" i="10"/>
  <c r="I150" i="10"/>
  <c r="I148" i="10"/>
  <c r="I146" i="10"/>
  <c r="I144" i="10"/>
  <c r="I142" i="10"/>
  <c r="I140" i="10"/>
  <c r="I138" i="10"/>
  <c r="I136" i="10"/>
  <c r="I134" i="10"/>
  <c r="I132" i="10"/>
  <c r="I130" i="10"/>
  <c r="I128" i="10"/>
  <c r="I126" i="10"/>
  <c r="I124" i="10"/>
  <c r="I122" i="10"/>
  <c r="I120" i="10"/>
  <c r="I118" i="10"/>
  <c r="I116" i="10"/>
  <c r="I114" i="10"/>
  <c r="I112" i="10"/>
  <c r="I110" i="10"/>
  <c r="I108" i="10"/>
  <c r="I106" i="10"/>
  <c r="I104" i="10"/>
  <c r="I102" i="10"/>
  <c r="I100" i="10"/>
  <c r="I98" i="10"/>
  <c r="I96" i="10"/>
  <c r="I94" i="10"/>
  <c r="I92" i="10"/>
  <c r="I90" i="10"/>
  <c r="I88" i="10"/>
  <c r="I86" i="10"/>
  <c r="I84" i="10"/>
  <c r="I82" i="10"/>
  <c r="I80" i="10"/>
  <c r="I78" i="10"/>
  <c r="I76" i="10"/>
  <c r="I74" i="10"/>
  <c r="I72" i="10"/>
  <c r="I70" i="10"/>
  <c r="I68" i="10"/>
  <c r="I66" i="10"/>
  <c r="I64" i="10"/>
  <c r="I62" i="10"/>
  <c r="I60" i="10"/>
  <c r="I58" i="10"/>
  <c r="I56" i="10"/>
  <c r="I54" i="10"/>
  <c r="I52" i="10"/>
  <c r="I50" i="10"/>
  <c r="I48" i="10"/>
  <c r="I46" i="10"/>
  <c r="I44" i="10"/>
  <c r="I42" i="10"/>
  <c r="I40" i="10"/>
  <c r="I38" i="10"/>
  <c r="I36" i="10"/>
  <c r="I34" i="10"/>
  <c r="I32" i="10"/>
  <c r="I30" i="10"/>
  <c r="I28" i="10"/>
  <c r="I26" i="10"/>
  <c r="I24" i="10"/>
  <c r="I22" i="10"/>
  <c r="I20" i="10"/>
  <c r="I18" i="10"/>
  <c r="I16" i="10"/>
  <c r="I14" i="10"/>
  <c r="I12" i="10"/>
  <c r="I10" i="10"/>
  <c r="I8" i="10"/>
  <c r="I6" i="10"/>
  <c r="I4" i="10"/>
  <c r="I2" i="10"/>
</calcChain>
</file>

<file path=xl/connections.xml><?xml version="1.0" encoding="utf-8"?>
<connections xmlns="http://schemas.openxmlformats.org/spreadsheetml/2006/main">
  <connection id="1" name="commdata" type="6" refreshedVersion="4" background="1" saveData="1">
    <textPr codePage="850" sourceFile="C:\Users\Claire\Desktop\commdata.txt">
      <textFields count="3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" name="ndata5" type="6" refreshedVersion="4" background="1" saveData="1">
    <textPr codePage="850" sourceFile="C:\Users\Claire\Desktop\ndata5.txt">
      <textFields count="2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" name="ndata51" type="6" refreshedVersion="4" background="1" saveData="1">
    <textPr codePage="850" sourceFile="C:\Users\Claire\Desktop\ndata5.txt">
      <textFields count="2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4" name="neighbdata1" type="6" refreshedVersion="4" background="1" saveData="1">
    <textPr codePage="850" sourceFile="C:\Users\Claire\Desktop\neighbdata.txt">
      <textFields count="1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5" name="plant" type="6" refreshedVersion="4" background="1" saveData="1">
    <textPr codePage="850" sourceFile="C:\Users\Claire\Desktop\plant.txt">
      <textFields count="60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6" name="Plotdata2" type="6" refreshedVersion="4" background="1" saveData="1">
    <textPr codePage="850" sourceFile="C:\Users\Claire\Desktop\Plotdata2.txt">
      <textFields count="13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7" name="Plotdata21" type="6" refreshedVersion="4" background="1" saveData="1">
    <textPr codePage="850" sourceFile="C:\Users\Claire\Desktop\Plotdata2.txt">
      <textFields count="13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8" name="quad1" type="6" refreshedVersion="4" background="1" saveData="1">
    <textPr codePage="850" sourceFile="C:\Users\Claire\Desktop\quad.txt">
      <textFields count="2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9" name="quad11" type="6" refreshedVersion="4" background="1" saveData="1">
    <textPr codePage="850" sourceFile="C:\Users\Claire\Desktop\quad.txt">
      <textFields count="2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0" name="solos species treatment by block seed means1" type="6" refreshedVersion="4" background="1" saveData="1">
    <textPr codePage="850" sourceFile="C:\Users\Claire\Documents\UQ\postdoc\Notes, Data and Analysis\2015\solos species treatment by block seed means.txt" space="1" consecutive="1">
      <textFields count="5">
        <textField/>
        <textField/>
        <textField/>
        <textField/>
        <textField/>
      </textFields>
    </textPr>
  </connection>
  <connection id="11" name="speciesattributes" type="6" refreshedVersion="4" background="1" saveData="1">
    <textPr codePage="850" sourceFile="C:\Users\Claire\Desktop\speciesattributes.txt">
      <textFields count="2">
        <textField/>
        <textField/>
      </textFields>
    </textPr>
  </connection>
  <connection id="12" name="traitdistmeans" type="6" refreshedVersion="4" background="1" saveData="1">
    <textPr codePage="850" sourceFile="C:\Users\Claire\Desktop\traitdistmeans.txt">
      <textFields count="8">
        <textField/>
        <textField/>
        <textField/>
        <textField/>
        <textField/>
        <textField/>
        <textField/>
        <textField/>
      </textFields>
    </textPr>
  </connection>
  <connection id="13" name="traitdistmeans1" type="6" refreshedVersion="4" background="1" saveData="1">
    <textPr codePage="850" sourceFile="C:\Users\Claire\Desktop\traitdistmeans.txt">
      <textFields count="10"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4" name="traitdistmeansabundweighted" type="6" refreshedVersion="4" background="1" saveData="1">
    <textPr codePage="850" sourceFile="C:\Users\Claire\Desktop\traitdistmeansabundweighted.txt">
      <textFields count="10"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5" name="traitdistvar" type="6" refreshedVersion="4" background="1" saveData="1">
    <textPr codePage="850" sourceFile="C:\Users\Claire\Desktop\traitdistvar.txt">
      <textFields count="8">
        <textField/>
        <textField/>
        <textField/>
        <textField/>
        <textField/>
        <textField/>
        <textField/>
        <textField/>
      </textFields>
    </textPr>
  </connection>
  <connection id="16" name="traitdistvar1" type="6" refreshedVersion="4" background="1" saveData="1">
    <textPr codePage="850" sourceFile="C:\Users\Claire\Desktop\traitdistvar.txt">
      <textFields count="8">
        <textField/>
        <textField/>
        <textField/>
        <textField/>
        <textField/>
        <textField/>
        <textField/>
        <textField/>
      </textFields>
    </textPr>
  </connection>
  <connection id="17" name="traitdistvar2" type="6" refreshedVersion="4" background="1" saveData="1">
    <textPr codePage="1250" sourceFile="C:\Users\Claire\Desktop\traitdistvar.txt">
      <textFields count="10"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8" name="traitdistvarabundweighted" type="6" refreshedVersion="4" background="1" saveData="1">
    <textPr codePage="850" sourceFile="C:\Users\Claire\Desktop\traitdistvarabundweighted.txt">
      <textFields count="10"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9" name="traitdistvarabundweighted1" type="6" refreshedVersion="4" background="1" saveData="1">
    <textPr codePage="850" sourceFile="C:\Users\Claire\Desktop\traitdistvarabundweighted.txt">
      <textFields count="10"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<sst xmlns="http://schemas.openxmlformats.org/spreadsheetml/2006/main" count="118401" uniqueCount="1078">
  <si>
    <t xml:space="preserve">Block </t>
  </si>
  <si>
    <t>Plot.letter</t>
  </si>
  <si>
    <t>Treatment</t>
  </si>
  <si>
    <t>Bare</t>
  </si>
  <si>
    <t>Moss</t>
  </si>
  <si>
    <t>Crust</t>
  </si>
  <si>
    <t>CWD</t>
  </si>
  <si>
    <t>Rock</t>
  </si>
  <si>
    <t>Notes</t>
  </si>
  <si>
    <t>Near.under.log</t>
  </si>
  <si>
    <t>15A</t>
  </si>
  <si>
    <t>A</t>
  </si>
  <si>
    <t>Jam.litter</t>
  </si>
  <si>
    <t>Euc.litter</t>
  </si>
  <si>
    <t>15B</t>
  </si>
  <si>
    <t>B</t>
  </si>
  <si>
    <t>15C</t>
  </si>
  <si>
    <t>C</t>
  </si>
  <si>
    <t>15D</t>
  </si>
  <si>
    <t>D</t>
  </si>
  <si>
    <t>15E</t>
  </si>
  <si>
    <t>E</t>
  </si>
  <si>
    <t>15F</t>
  </si>
  <si>
    <t>F</t>
  </si>
  <si>
    <t>15G</t>
  </si>
  <si>
    <t>G</t>
  </si>
  <si>
    <t>15H</t>
  </si>
  <si>
    <t>H</t>
  </si>
  <si>
    <t>15I</t>
  </si>
  <si>
    <t>I</t>
  </si>
  <si>
    <t>15J</t>
  </si>
  <si>
    <t>J</t>
  </si>
  <si>
    <t>15K</t>
  </si>
  <si>
    <t>K</t>
  </si>
  <si>
    <t>15L</t>
  </si>
  <si>
    <t>L</t>
  </si>
  <si>
    <t>15M</t>
  </si>
  <si>
    <t>M</t>
  </si>
  <si>
    <t>2A</t>
  </si>
  <si>
    <t>2B</t>
  </si>
  <si>
    <t>2C</t>
  </si>
  <si>
    <t>2D</t>
  </si>
  <si>
    <t>2E</t>
  </si>
  <si>
    <t>2F</t>
  </si>
  <si>
    <t>2G</t>
  </si>
  <si>
    <t>2H</t>
  </si>
  <si>
    <t>2I</t>
  </si>
  <si>
    <t>2J</t>
  </si>
  <si>
    <t>2K</t>
  </si>
  <si>
    <t>2L</t>
  </si>
  <si>
    <t>12A</t>
  </si>
  <si>
    <t>12B</t>
  </si>
  <si>
    <t>12C</t>
  </si>
  <si>
    <t>12D</t>
  </si>
  <si>
    <t>12E</t>
  </si>
  <si>
    <t>12F</t>
  </si>
  <si>
    <t>12G</t>
  </si>
  <si>
    <t>12H</t>
  </si>
  <si>
    <t>12I</t>
  </si>
  <si>
    <t>12J</t>
  </si>
  <si>
    <t>12K</t>
  </si>
  <si>
    <t>12L</t>
  </si>
  <si>
    <t>12M</t>
  </si>
  <si>
    <t>12N</t>
  </si>
  <si>
    <t>N</t>
  </si>
  <si>
    <t>12O</t>
  </si>
  <si>
    <t>O</t>
  </si>
  <si>
    <t>10A</t>
  </si>
  <si>
    <t>10B</t>
  </si>
  <si>
    <t>10C</t>
  </si>
  <si>
    <t>10D</t>
  </si>
  <si>
    <t>10E</t>
  </si>
  <si>
    <t>10F</t>
  </si>
  <si>
    <t>10G</t>
  </si>
  <si>
    <t>10H</t>
  </si>
  <si>
    <t>10I</t>
  </si>
  <si>
    <t>10J</t>
  </si>
  <si>
    <t>10K</t>
  </si>
  <si>
    <t>10L</t>
  </si>
  <si>
    <t>6A</t>
  </si>
  <si>
    <t>6B</t>
  </si>
  <si>
    <t>6C</t>
  </si>
  <si>
    <t>6D</t>
  </si>
  <si>
    <t>6E</t>
  </si>
  <si>
    <t>6F</t>
  </si>
  <si>
    <t>6G</t>
  </si>
  <si>
    <t>6H</t>
  </si>
  <si>
    <t>6I</t>
  </si>
  <si>
    <t>6J</t>
  </si>
  <si>
    <t>6K</t>
  </si>
  <si>
    <t>6L</t>
  </si>
  <si>
    <t>6M</t>
  </si>
  <si>
    <t>6N</t>
  </si>
  <si>
    <t>6O</t>
  </si>
  <si>
    <t>Open</t>
  </si>
  <si>
    <t>Shade</t>
  </si>
  <si>
    <t>Plot.ID</t>
  </si>
  <si>
    <t>Focal.sp</t>
  </si>
  <si>
    <t>Focal.height</t>
  </si>
  <si>
    <t>Solo.height</t>
  </si>
  <si>
    <t>Nearest.neighbour.height</t>
  </si>
  <si>
    <t>Nearest.neighbour.sp</t>
  </si>
  <si>
    <t>A.calendula</t>
  </si>
  <si>
    <t>P.airoides</t>
  </si>
  <si>
    <t>T.cyanopetala</t>
  </si>
  <si>
    <t>H.glabra</t>
  </si>
  <si>
    <t>Solo.soilmoisture.Aug11or12.1</t>
  </si>
  <si>
    <t>Solo.soilmoisture.Aug11or12.2</t>
  </si>
  <si>
    <t>Solo.soilmoisture.Aug11or12.3</t>
  </si>
  <si>
    <t>Mean.solo.soilmoisture</t>
  </si>
  <si>
    <t>M.minima</t>
  </si>
  <si>
    <t>P.canescens</t>
  </si>
  <si>
    <t>V.rosea</t>
  </si>
  <si>
    <t>H.glutinosum</t>
  </si>
  <si>
    <t>NA</t>
  </si>
  <si>
    <t>Solo.soilmoisture.22or23.Aug.1</t>
  </si>
  <si>
    <t>Solo.soilmoisture.22or23Aug.2</t>
  </si>
  <si>
    <t>Solo.soilmoisture.22or23Aug.3</t>
  </si>
  <si>
    <t>Mean.solo.soilmoisture.22or23.Aug</t>
  </si>
  <si>
    <t>Dead-moved to a new individual</t>
  </si>
  <si>
    <t>Solo</t>
  </si>
  <si>
    <t>Not.focal.species</t>
  </si>
  <si>
    <t>Height</t>
  </si>
  <si>
    <t>Soilmoisture.11.or.12.Aug.1.hicomp</t>
  </si>
  <si>
    <t>Soilmoisture.11.or.12.Aug.2.hicomp</t>
  </si>
  <si>
    <t>Soilmoisture.11.or.12.Aug.3.hicomp</t>
  </si>
  <si>
    <t>Mean.soilmoisture.11.or.12.Aug.hicomp</t>
  </si>
  <si>
    <t>Soilmoisture.22.or.23.Aug.1.hicomp</t>
  </si>
  <si>
    <t>Soilmoisture.22.or.23.Aug.2.hicomp</t>
  </si>
  <si>
    <t>Soilmoisture.22.or.23.Aug.3.hicomp</t>
  </si>
  <si>
    <t>Mean.soilmoisture.22.or.23.Aug.hicomp</t>
  </si>
  <si>
    <t>Mean.SM.earlyAug</t>
  </si>
  <si>
    <t>Mean.SM.lateAug</t>
  </si>
  <si>
    <t>Soilmoisture.3Sep.hicomp.1</t>
  </si>
  <si>
    <t>Soilmoisture.3Sep.hicomp.2</t>
  </si>
  <si>
    <t>Soilmoisture.3Sep.hicomp.3</t>
  </si>
  <si>
    <t>Mean.soilmoisture.3Sep.hicomp</t>
  </si>
  <si>
    <t>Solo.soilmoisture.3Sep.1</t>
  </si>
  <si>
    <t>Solo.soilmoisture.3Sep.2</t>
  </si>
  <si>
    <t>Solo.soilmoisture.3Sep.3</t>
  </si>
  <si>
    <t>Mean.solo.soilmoisture.3Sep</t>
  </si>
  <si>
    <t>Mean.SM.Sep</t>
  </si>
  <si>
    <t>Delta.MeanSM.AugSep</t>
  </si>
  <si>
    <t>Species.comp.combo</t>
  </si>
  <si>
    <t>Competition</t>
  </si>
  <si>
    <t>Highcomp</t>
  </si>
  <si>
    <t>Block</t>
  </si>
  <si>
    <t>Species</t>
  </si>
  <si>
    <t>Replicate</t>
  </si>
  <si>
    <t>Lat1</t>
  </si>
  <si>
    <t>Lat2</t>
  </si>
  <si>
    <t>Leaf.length.1</t>
  </si>
  <si>
    <t>Leaf.length.2</t>
  </si>
  <si>
    <t>Leaf.length.3</t>
  </si>
  <si>
    <t>Flower.count</t>
  </si>
  <si>
    <t>Node.count</t>
  </si>
  <si>
    <t>Aboveground.biomass</t>
  </si>
  <si>
    <t>Belowground.biomass</t>
  </si>
  <si>
    <t>Near.plot</t>
  </si>
  <si>
    <t>Branches.Mminima</t>
  </si>
  <si>
    <t>Height.stalk.Hglabra</t>
  </si>
  <si>
    <t>T.ornata</t>
  </si>
  <si>
    <t>M.polymorpha</t>
  </si>
  <si>
    <t>VH.M.2.O.B15</t>
  </si>
  <si>
    <t>VH.M.2.S.B15</t>
  </si>
  <si>
    <t>CH.M.2.S.B15</t>
  </si>
  <si>
    <t>VH.L.2.S.B15</t>
  </si>
  <si>
    <t>VC.M.2.S.B15</t>
  </si>
  <si>
    <t>VP.H.2.S.B15</t>
  </si>
  <si>
    <t>VP.M.S.B2</t>
  </si>
  <si>
    <t>VP.M.S.B3</t>
  </si>
  <si>
    <t>VP.M.S.B4</t>
  </si>
  <si>
    <t>CP.M.2.O.B2</t>
  </si>
  <si>
    <t>VHN.L.S.2.B2</t>
  </si>
  <si>
    <t>VC.L.2.S.B6</t>
  </si>
  <si>
    <t>VH.L.S.B6</t>
  </si>
  <si>
    <t>Mean.seeds.per.fl</t>
  </si>
  <si>
    <t>Num.fls.seed.collected</t>
  </si>
  <si>
    <t>Num.seeds.collected</t>
  </si>
  <si>
    <t>Num.flowers.seeds.counted</t>
  </si>
  <si>
    <t>Num.fl.dispersed</t>
  </si>
  <si>
    <t>Num.fl.flowering</t>
  </si>
  <si>
    <t>Num.buds</t>
  </si>
  <si>
    <t>Predation</t>
  </si>
  <si>
    <t>Num.fl.total</t>
  </si>
  <si>
    <t>Num.fl.seeding.total</t>
  </si>
  <si>
    <t>Seedcount.extrapolated</t>
  </si>
  <si>
    <t>Mepo</t>
  </si>
  <si>
    <t>Dead before repro</t>
  </si>
  <si>
    <t>Mepo, dead before repro</t>
  </si>
  <si>
    <t>Not found</t>
  </si>
  <si>
    <t>Not vero?</t>
  </si>
  <si>
    <t>Tror</t>
  </si>
  <si>
    <t>Heavy predation</t>
  </si>
  <si>
    <t>Canopy.cover.final</t>
  </si>
  <si>
    <t>Plot</t>
  </si>
  <si>
    <t>raw.imagej.canopy</t>
  </si>
  <si>
    <t>canopy.final</t>
  </si>
  <si>
    <t>CH.H.S.B2</t>
  </si>
  <si>
    <t>CH.H.S.B6</t>
  </si>
  <si>
    <t>CH.H.S.B15</t>
  </si>
  <si>
    <t>CH.L.B2</t>
  </si>
  <si>
    <t>CH.L.S.B6</t>
  </si>
  <si>
    <t>CP.H.2.S.B6</t>
  </si>
  <si>
    <t>CP.H.2.S.B12</t>
  </si>
  <si>
    <t>PH.H2.B12</t>
  </si>
  <si>
    <t>PH.L2.B12</t>
  </si>
  <si>
    <t>PH.M.S.B6</t>
  </si>
  <si>
    <t>T4</t>
  </si>
  <si>
    <t>VH.H2A.B15</t>
  </si>
  <si>
    <t>Keep?</t>
  </si>
  <si>
    <t>CH.M.B.2</t>
  </si>
  <si>
    <t>CH.M.B15</t>
  </si>
  <si>
    <t>mean</t>
  </si>
  <si>
    <t>stdev</t>
  </si>
  <si>
    <t>samplesize</t>
  </si>
  <si>
    <t>SE of mean</t>
  </si>
  <si>
    <t>used dimples to count seeds</t>
  </si>
  <si>
    <t>Seedcount.extrap.integer</t>
  </si>
  <si>
    <t>Treatment.competition</t>
  </si>
  <si>
    <t>Origin</t>
  </si>
  <si>
    <t>Exotic</t>
  </si>
  <si>
    <t>Native</t>
  </si>
  <si>
    <t>Mean.seedcount.extrap.integer</t>
  </si>
  <si>
    <t>X.axis.plotting.value</t>
  </si>
  <si>
    <t>SE.seedcount.extrap.integer</t>
  </si>
  <si>
    <t>Open.highcomp</t>
  </si>
  <si>
    <t>Open.solo</t>
  </si>
  <si>
    <t>Shade.highcomp</t>
  </si>
  <si>
    <t>Shade.solo</t>
  </si>
  <si>
    <t>Exclude.from.analysis</t>
  </si>
  <si>
    <t>Neighbour.ID</t>
  </si>
  <si>
    <t>Neighbour.density</t>
  </si>
  <si>
    <t>C.eremea</t>
  </si>
  <si>
    <t>C.pseudevax</t>
  </si>
  <si>
    <t>P.muelleriana</t>
  </si>
  <si>
    <t>D.glochidiatus</t>
  </si>
  <si>
    <t>G.tenuifolia</t>
  </si>
  <si>
    <t>P.lessonni</t>
  </si>
  <si>
    <t>C.hispidula</t>
  </si>
  <si>
    <t>W.gracilenta</t>
  </si>
  <si>
    <t>P.debilis</t>
  </si>
  <si>
    <t>Cheilanthes.sp</t>
  </si>
  <si>
    <t>Cycnopotamica</t>
  </si>
  <si>
    <t>G.berardiana</t>
  </si>
  <si>
    <t>D.macrantha</t>
  </si>
  <si>
    <t>P.gaudichaudii</t>
  </si>
  <si>
    <t>W.acuminata</t>
  </si>
  <si>
    <t>C.colorata</t>
  </si>
  <si>
    <t>N.rotundifolia</t>
  </si>
  <si>
    <t>S.lineare</t>
  </si>
  <si>
    <t>B.semibarbata</t>
  </si>
  <si>
    <t>G.pusiliflora</t>
  </si>
  <si>
    <t>P.dubia</t>
  </si>
  <si>
    <t>Vulpia.sp</t>
  </si>
  <si>
    <t>V.cycnopotamica</t>
  </si>
  <si>
    <t>SAFS.tube.number</t>
  </si>
  <si>
    <t>Mass.g</t>
  </si>
  <si>
    <t>Colwell.P</t>
  </si>
  <si>
    <t>H.glutinosum.Highcomp</t>
  </si>
  <si>
    <t>P.airoides.Highcomp</t>
  </si>
  <si>
    <t>V.rosea.Highcomp</t>
  </si>
  <si>
    <t>M.minima.Highcomp</t>
  </si>
  <si>
    <t>P.canescens.Highcomp</t>
  </si>
  <si>
    <t>T.cyanopetala.Highcomp</t>
  </si>
  <si>
    <t>A.calendula.Highcomp</t>
  </si>
  <si>
    <t>H.glabra.Highcomp</t>
  </si>
  <si>
    <t>H.glutinosum.Solo</t>
  </si>
  <si>
    <t>P.airoides.Solo</t>
  </si>
  <si>
    <t>V.rosea.Solo</t>
  </si>
  <si>
    <t>M.minima.Solo</t>
  </si>
  <si>
    <t>P.canescens.Solo</t>
  </si>
  <si>
    <t>T.cyanopetala.Solo</t>
  </si>
  <si>
    <t>A.calendula.Solo</t>
  </si>
  <si>
    <t>H.glabra.Solo</t>
  </si>
  <si>
    <t>Plot.Focalsp.comp.combo</t>
  </si>
  <si>
    <t>10A.H.glutinosum.Highcomp</t>
  </si>
  <si>
    <t>10A.P.airoides.Highcomp</t>
  </si>
  <si>
    <t>10A.V.rosea.Highcomp</t>
  </si>
  <si>
    <t>10B.H.glutinosum.Highcomp</t>
  </si>
  <si>
    <t>10B.M.minima.Highcomp</t>
  </si>
  <si>
    <t>10B.P.canescens.Highcomp</t>
  </si>
  <si>
    <t>10B.T.cyanopetala.Highcomp</t>
  </si>
  <si>
    <t>10C.A.calendula.Highcomp</t>
  </si>
  <si>
    <t>10C.H.glutinosum.Highcomp</t>
  </si>
  <si>
    <t>10C.P.airoides.Highcomp</t>
  </si>
  <si>
    <t>10C.P.canescens.Highcomp</t>
  </si>
  <si>
    <t>10C.V.rosea.Highcomp</t>
  </si>
  <si>
    <t>10D.A.calendula.Highcomp</t>
  </si>
  <si>
    <t>10D.H.glabra.Highcomp</t>
  </si>
  <si>
    <t>10D.P.canescens.Highcomp</t>
  </si>
  <si>
    <t>10E.A.calendula.Highcomp</t>
  </si>
  <si>
    <t>10E.P.canescens.Highcomp</t>
  </si>
  <si>
    <t>10E.T.cyanopetala.Highcomp</t>
  </si>
  <si>
    <t>10F.H.glabra.Highcomp</t>
  </si>
  <si>
    <t>10F.P.canescens.Highcomp</t>
  </si>
  <si>
    <t>10F.T.cyanopetala.Highcomp</t>
  </si>
  <si>
    <t>10F.V.rosea.Highcomp</t>
  </si>
  <si>
    <t>10G.H.glabra.Highcomp</t>
  </si>
  <si>
    <t>10G.M.minima.Highcomp</t>
  </si>
  <si>
    <t>10G.T.cyanopetala.Highcomp</t>
  </si>
  <si>
    <t>10G.V.rosea.Highcomp</t>
  </si>
  <si>
    <t>10H.A.calendula.Highcomp</t>
  </si>
  <si>
    <t>10H.H.glutinosum.Highcomp</t>
  </si>
  <si>
    <t>10H.P.airoides.Highcomp</t>
  </si>
  <si>
    <t>10I.H.glabra.Highcomp</t>
  </si>
  <si>
    <t>10I.M.minima.Highcomp</t>
  </si>
  <si>
    <t>10I.P.airoides.Highcomp</t>
  </si>
  <si>
    <t>10J.H.glutinosum.Highcomp</t>
  </si>
  <si>
    <t>10K.A.calendula.Highcomp</t>
  </si>
  <si>
    <t>10K.M.minima.Highcomp</t>
  </si>
  <si>
    <t>10L.P.canescens.Highcomp</t>
  </si>
  <si>
    <t>12A.H.glutinosum.Highcomp</t>
  </si>
  <si>
    <t>12A.P.airoides.Highcomp</t>
  </si>
  <si>
    <t>12A.P.canescens.Highcomp</t>
  </si>
  <si>
    <t>12A.T.cyanopetala.Highcomp</t>
  </si>
  <si>
    <t>12B.H.glabra.Highcomp</t>
  </si>
  <si>
    <t>12B.P.canescens.Highcomp</t>
  </si>
  <si>
    <t>12B.V.rosea.Highcomp</t>
  </si>
  <si>
    <t>12C.A.calendula.Highcomp</t>
  </si>
  <si>
    <t>12C.P.airoides.Highcomp</t>
  </si>
  <si>
    <t>12C.P.canescens.Highcomp</t>
  </si>
  <si>
    <t>12C.V.rosea.Highcomp</t>
  </si>
  <si>
    <t>12D.A.calendula.Highcomp</t>
  </si>
  <si>
    <t>12D.H.glutinosum.Highcomp</t>
  </si>
  <si>
    <t>12D.P.airoides.Highcomp</t>
  </si>
  <si>
    <t>12D.V.rosea.Highcomp</t>
  </si>
  <si>
    <t>12E.H.glutinosum.Highcomp</t>
  </si>
  <si>
    <t>12E.M.minima.Highcomp</t>
  </si>
  <si>
    <t>12E.P.canescens.Highcomp</t>
  </si>
  <si>
    <t>12F.H.glutinosum.Highcomp</t>
  </si>
  <si>
    <t>12F.M.minima.Highcomp</t>
  </si>
  <si>
    <t>12F.P.airoides.Highcomp</t>
  </si>
  <si>
    <t>12F.P.canescens.Highcomp</t>
  </si>
  <si>
    <t>12G.H.glutinosum.Highcomp</t>
  </si>
  <si>
    <t>12G.P.canescens.Highcomp</t>
  </si>
  <si>
    <t>12G.T.cyanopetala.Highcomp</t>
  </si>
  <si>
    <t>12G.V.rosea.Highcomp</t>
  </si>
  <si>
    <t>12H.H.glabra.Highcomp</t>
  </si>
  <si>
    <t>12H.H.glutinosum.Highcomp</t>
  </si>
  <si>
    <t>12H.V.rosea.Highcomp</t>
  </si>
  <si>
    <t>12I.A.calendula.Highcomp</t>
  </si>
  <si>
    <t>12I.M.minima.Highcomp</t>
  </si>
  <si>
    <t>12I.P.airoides.Highcomp</t>
  </si>
  <si>
    <t>12J.H.glabra.Highcomp</t>
  </si>
  <si>
    <t>12J.M.minima.Highcomp</t>
  </si>
  <si>
    <t>12K.A.calendula.Highcomp</t>
  </si>
  <si>
    <t>12K.M.minima.Highcomp</t>
  </si>
  <si>
    <t>12K.T.cyanopetala.Highcomp</t>
  </si>
  <si>
    <t>12K.V.rosea.Highcomp</t>
  </si>
  <si>
    <t>12L.A.calendula.Highcomp</t>
  </si>
  <si>
    <t>12L.M.minima.Highcomp</t>
  </si>
  <si>
    <t>12L.V.rosea.Highcomp</t>
  </si>
  <si>
    <t>12M.A.calendula.Highcomp</t>
  </si>
  <si>
    <t>12M.P.airoides.Highcomp</t>
  </si>
  <si>
    <t>12N.T.cyanopetala.Highcomp</t>
  </si>
  <si>
    <t>12O.H.glabra.Highcomp</t>
  </si>
  <si>
    <t>15A.A.calendula.Highcomp</t>
  </si>
  <si>
    <t>15A.H.glabra.Highcomp</t>
  </si>
  <si>
    <t>15A.P.airoides.Highcomp</t>
  </si>
  <si>
    <t>15A.T.cyanopetala.Highcomp</t>
  </si>
  <si>
    <t>15B.A.calendula.Highcomp</t>
  </si>
  <si>
    <t>15B.M.minima.Highcomp</t>
  </si>
  <si>
    <t>15B.P.canescens.Highcomp</t>
  </si>
  <si>
    <t>15B.T.cyanopetala.Highcomp</t>
  </si>
  <si>
    <t>15C.H.glutinosum.Highcomp</t>
  </si>
  <si>
    <t>15C.M.minima.Highcomp</t>
  </si>
  <si>
    <t>15C.P.canescens.Highcomp</t>
  </si>
  <si>
    <t>15C.T.cyanopetala.Highcomp</t>
  </si>
  <si>
    <t>15D.H.glutinosum.Highcomp</t>
  </si>
  <si>
    <t>15D.P.canescens.Highcomp</t>
  </si>
  <si>
    <t>15D.T.cyanopetala.Highcomp</t>
  </si>
  <si>
    <t>15D.V.rosea.Highcomp</t>
  </si>
  <si>
    <t>15E.A.calendula.Highcomp</t>
  </si>
  <si>
    <t>15E.H.glutinosum.Highcomp</t>
  </si>
  <si>
    <t>15E.M.minima.Highcomp</t>
  </si>
  <si>
    <t>15E.P.canescens.Highcomp</t>
  </si>
  <si>
    <t>15F.A.calendula.Highcomp</t>
  </si>
  <si>
    <t>15F.H.glabra.Highcomp</t>
  </si>
  <si>
    <t>15F.P.airoides.Highcomp</t>
  </si>
  <si>
    <t>15F.P.canescens.Highcomp</t>
  </si>
  <si>
    <t>15F.V.rosea.Highcomp</t>
  </si>
  <si>
    <t>15G.H.glabra.Highcomp</t>
  </si>
  <si>
    <t>15G.V.rosea.Highcomp</t>
  </si>
  <si>
    <t>15H.H.glabra.Highcomp</t>
  </si>
  <si>
    <t>15H.M.minima.Highcomp</t>
  </si>
  <si>
    <t>15H.P.canescens.Highcomp</t>
  </si>
  <si>
    <t>15I.H.glutinosum.Highcomp</t>
  </si>
  <si>
    <t>15I.P.airoides.Highcomp</t>
  </si>
  <si>
    <t>15I.P.canescens.Highcomp</t>
  </si>
  <si>
    <t>15I.V.rosea.Highcomp</t>
  </si>
  <si>
    <t>15J.H.glutinosum.Highcomp</t>
  </si>
  <si>
    <t>15J.P.airoides.Highcomp</t>
  </si>
  <si>
    <t>15J.V.rosea.Highcomp</t>
  </si>
  <si>
    <t>15K.H.glabra.Highcomp</t>
  </si>
  <si>
    <t>15L.V.rosea.Highcomp</t>
  </si>
  <si>
    <t>15M.M.minima.Highcomp</t>
  </si>
  <si>
    <t>15M.T.cyanopetala.Highcomp</t>
  </si>
  <si>
    <t>2A.H.glutinosum.Highcomp</t>
  </si>
  <si>
    <t>2A.P.airoides.Highcomp</t>
  </si>
  <si>
    <t>2A.P.canescens.Highcomp</t>
  </si>
  <si>
    <t>2B.A.calendula.Highcomp</t>
  </si>
  <si>
    <t>2B.H.glutinosum.Highcomp</t>
  </si>
  <si>
    <t>2B.P.airoides.Highcomp</t>
  </si>
  <si>
    <t>2B.P.canescens.Highcomp</t>
  </si>
  <si>
    <t>2B.T.cyanopetala.Highcomp</t>
  </si>
  <si>
    <t>2C.H.glutinosum.Highcomp</t>
  </si>
  <si>
    <t>2C.P.airoides.Highcomp</t>
  </si>
  <si>
    <t>2C.V.rosea.Highcomp</t>
  </si>
  <si>
    <t>2D.H.glabra.Highcomp</t>
  </si>
  <si>
    <t>2D.H.glutinosum.Highcomp</t>
  </si>
  <si>
    <t>2D.P.airoides.Highcomp</t>
  </si>
  <si>
    <t>2E.H.glabra.Highcomp</t>
  </si>
  <si>
    <t>2E.M.minima.Highcomp</t>
  </si>
  <si>
    <t>2E.P.canescens.Highcomp</t>
  </si>
  <si>
    <t>2E.T.cyanopetala.Highcomp</t>
  </si>
  <si>
    <t>2F.H.glabra.Highcomp</t>
  </si>
  <si>
    <t>2F.M.minima.Highcomp</t>
  </si>
  <si>
    <t>2F.P.canescens.Highcomp</t>
  </si>
  <si>
    <t>2F.T.cyanopetala.Highcomp</t>
  </si>
  <si>
    <t>2G.A.calendula.Highcomp</t>
  </si>
  <si>
    <t>2G.M.minima.Highcomp</t>
  </si>
  <si>
    <t>2G.T.cyanopetala.Highcomp</t>
  </si>
  <si>
    <t>2G.V.rosea.Highcomp</t>
  </si>
  <si>
    <t>2H.A.calendula.Highcomp</t>
  </si>
  <si>
    <t>2H.H.glabra.Highcomp</t>
  </si>
  <si>
    <t>2H.V.rosea.Highcomp</t>
  </si>
  <si>
    <t>2I.A.calendula.Highcomp</t>
  </si>
  <si>
    <t>2I.M.minima.Highcomp</t>
  </si>
  <si>
    <t>2I.V.rosea.Highcomp</t>
  </si>
  <si>
    <t>2J.V.rosea.Highcomp</t>
  </si>
  <si>
    <t>2K.H.glabra.Highcomp</t>
  </si>
  <si>
    <t>2K.P.canescens.Highcomp</t>
  </si>
  <si>
    <t>2K.T.cyanopetala.Highcomp</t>
  </si>
  <si>
    <t>2L.A.calendula.Highcomp</t>
  </si>
  <si>
    <t>2L.V.rosea.Highcomp</t>
  </si>
  <si>
    <t>6A.H.glutinosum.Highcomp</t>
  </si>
  <si>
    <t>6A.P.airoides.Highcomp</t>
  </si>
  <si>
    <t>6A.P.canescens.Highcomp</t>
  </si>
  <si>
    <t>6B.H.glabra.Highcomp</t>
  </si>
  <si>
    <t>6B.H.glutinosum.Highcomp</t>
  </si>
  <si>
    <t>6B.P.airoides.Highcomp</t>
  </si>
  <si>
    <t>6C.H.glabra.Highcomp</t>
  </si>
  <si>
    <t>6C.H.glutinosum.Highcomp</t>
  </si>
  <si>
    <t>6C.P.airoides.Highcomp</t>
  </si>
  <si>
    <t>6D.A.calendula.Highcomp</t>
  </si>
  <si>
    <t>6D.H.glutinosum.Highcomp</t>
  </si>
  <si>
    <t>6D.T.cyanopetala.Highcomp</t>
  </si>
  <si>
    <t>6E.A.calendula.Highcomp</t>
  </si>
  <si>
    <t>6E.P.airoides.Highcomp</t>
  </si>
  <si>
    <t>6E.P.canescens.Highcomp</t>
  </si>
  <si>
    <t>6F.A.calendula.Highcomp</t>
  </si>
  <si>
    <t>6F.H.glabra.Highcomp</t>
  </si>
  <si>
    <t>6F.P.canescens.Highcomp</t>
  </si>
  <si>
    <t>6F.V.rosea.Highcomp</t>
  </si>
  <si>
    <t>6G.H.glabra.Highcomp</t>
  </si>
  <si>
    <t>6G.M.minima.Highcomp</t>
  </si>
  <si>
    <t>6H.M.minima.Highcomp</t>
  </si>
  <si>
    <t>6H.V.rosea.Highcomp</t>
  </si>
  <si>
    <t>6I.A.calendula.Highcomp</t>
  </si>
  <si>
    <t>6I.M.minima.Highcomp</t>
  </si>
  <si>
    <t>6J.M.minima.Highcomp</t>
  </si>
  <si>
    <t>6J.V.rosea.Highcomp</t>
  </si>
  <si>
    <t>6K.T.cyanopetala.Highcomp</t>
  </si>
  <si>
    <t>6K.V.rosea.Highcomp</t>
  </si>
  <si>
    <t>6L.P.canescens.Highcomp</t>
  </si>
  <si>
    <t>6L.T.cyanopetala.Highcomp</t>
  </si>
  <si>
    <t>6M.V.rosea.Highcomp</t>
  </si>
  <si>
    <t>6N.V.rosea.Highcomp</t>
  </si>
  <si>
    <t>6O.T.cyanopetala.Highcomp</t>
  </si>
  <si>
    <t>10A.H.glutinosum.Solo</t>
  </si>
  <si>
    <t>10A.P.airoides.Solo</t>
  </si>
  <si>
    <t>10A.V.rosea.Solo</t>
  </si>
  <si>
    <t>10B.H.glutinosum.Solo</t>
  </si>
  <si>
    <t>10B.M.minima.Solo</t>
  </si>
  <si>
    <t>10B.P.canescens.Solo</t>
  </si>
  <si>
    <t>10B.T.cyanopetala.Solo</t>
  </si>
  <si>
    <t>10C.A.calendula.Solo</t>
  </si>
  <si>
    <t>10C.H.glutinosum.Solo</t>
  </si>
  <si>
    <t>10C.P.airoides.Solo</t>
  </si>
  <si>
    <t>10C.P.canescens.Solo</t>
  </si>
  <si>
    <t>10C.V.rosea.Solo</t>
  </si>
  <si>
    <t>10D.A.calendula.Solo</t>
  </si>
  <si>
    <t>10D.H.glabra.Solo</t>
  </si>
  <si>
    <t>10D.P.canescens.Solo</t>
  </si>
  <si>
    <t>10E.A.calendula.Solo</t>
  </si>
  <si>
    <t>10E.P.canescens.Solo</t>
  </si>
  <si>
    <t>10E.T.cyanopetala.Solo</t>
  </si>
  <si>
    <t>10F.H.glabra.Solo</t>
  </si>
  <si>
    <t>10F.P.canescens.Solo</t>
  </si>
  <si>
    <t>10F.T.cyanopetala.Solo</t>
  </si>
  <si>
    <t>10F.V.rosea.Solo</t>
  </si>
  <si>
    <t>10G.H.glabra.Solo</t>
  </si>
  <si>
    <t>10G.M.minima.Solo</t>
  </si>
  <si>
    <t>10G.T.cyanopetala.Solo</t>
  </si>
  <si>
    <t>10G.V.rosea.Solo</t>
  </si>
  <si>
    <t>10H.A.calendula.Solo</t>
  </si>
  <si>
    <t>10H.H.glutinosum.Solo</t>
  </si>
  <si>
    <t>10H.P.airoides.Solo</t>
  </si>
  <si>
    <t>10I.H.glabra.Solo</t>
  </si>
  <si>
    <t>10I.M.minima.Solo</t>
  </si>
  <si>
    <t>10I.P.airoides.Solo</t>
  </si>
  <si>
    <t>10J.H.glutinosum.Solo</t>
  </si>
  <si>
    <t>10K.A.calendula.Solo</t>
  </si>
  <si>
    <t>10K.M.minima.Solo</t>
  </si>
  <si>
    <t>10L.P.canescens.Solo</t>
  </si>
  <si>
    <t>12A.H.glutinosum.Solo</t>
  </si>
  <si>
    <t>12A.P.airoides.Solo</t>
  </si>
  <si>
    <t>12A.P.canescens.Solo</t>
  </si>
  <si>
    <t>12A.T.cyanopetala.Solo</t>
  </si>
  <si>
    <t>12B.H.glabra.Solo</t>
  </si>
  <si>
    <t>12B.P.canescens.Solo</t>
  </si>
  <si>
    <t>12B.V.rosea.Solo</t>
  </si>
  <si>
    <t>12C.A.calendula.Solo</t>
  </si>
  <si>
    <t>12C.P.airoides.Solo</t>
  </si>
  <si>
    <t>12C.P.canescens.Solo</t>
  </si>
  <si>
    <t>12C.V.rosea.Solo</t>
  </si>
  <si>
    <t>12D.A.calendula.Solo</t>
  </si>
  <si>
    <t>12D.H.glutinosum.Solo</t>
  </si>
  <si>
    <t>12D.P.airoides.Solo</t>
  </si>
  <si>
    <t>12D.V.rosea.Solo</t>
  </si>
  <si>
    <t>12E.H.glutinosum.Solo</t>
  </si>
  <si>
    <t>12E.M.minima.Solo</t>
  </si>
  <si>
    <t>12E.P.canescens.Solo</t>
  </si>
  <si>
    <t>12F.H.glutinosum.Solo</t>
  </si>
  <si>
    <t>12F.M.minima.Solo</t>
  </si>
  <si>
    <t>12F.P.airoides.Solo</t>
  </si>
  <si>
    <t>12F.P.canescens.Solo</t>
  </si>
  <si>
    <t>12G.H.glutinosum.Solo</t>
  </si>
  <si>
    <t>12G.P.canescens.Solo</t>
  </si>
  <si>
    <t>12G.T.cyanopetala.Solo</t>
  </si>
  <si>
    <t>12G.V.rosea.Solo</t>
  </si>
  <si>
    <t>12H.H.glabra.Solo</t>
  </si>
  <si>
    <t>12H.H.glutinosum.Solo</t>
  </si>
  <si>
    <t>12H.V.rosea.Solo</t>
  </si>
  <si>
    <t>12I.A.calendula.Solo</t>
  </si>
  <si>
    <t>12I.M.minima.Solo</t>
  </si>
  <si>
    <t>12I.P.airoides.Solo</t>
  </si>
  <si>
    <t>12J.H.glabra.Solo</t>
  </si>
  <si>
    <t>12J.M.minima.Solo</t>
  </si>
  <si>
    <t>12K.A.calendula.Solo</t>
  </si>
  <si>
    <t>12K.M.minima.Solo</t>
  </si>
  <si>
    <t>12K.T.cyanopetala.Solo</t>
  </si>
  <si>
    <t>12K.V.rosea.Solo</t>
  </si>
  <si>
    <t>12L.A.calendula.Solo</t>
  </si>
  <si>
    <t>12L.M.minima.Solo</t>
  </si>
  <si>
    <t>12L.V.rosea.Solo</t>
  </si>
  <si>
    <t>12M.A.calendula.Solo</t>
  </si>
  <si>
    <t>12M.P.airoides.Solo</t>
  </si>
  <si>
    <t>12N.T.cyanopetala.Solo</t>
  </si>
  <si>
    <t>12O.H.glabra.Solo</t>
  </si>
  <si>
    <t>15A.A.calendula.Solo</t>
  </si>
  <si>
    <t>15A.H.glabra.Solo</t>
  </si>
  <si>
    <t>15A.P.airoides.Solo</t>
  </si>
  <si>
    <t>15A.T.cyanopetala.Solo</t>
  </si>
  <si>
    <t>15B.A.calendula.Solo</t>
  </si>
  <si>
    <t>15B.M.minima.Solo</t>
  </si>
  <si>
    <t>15B.P.canescens.Solo</t>
  </si>
  <si>
    <t>15B.T.cyanopetala.Solo</t>
  </si>
  <si>
    <t>15C.H.glutinosum.Solo</t>
  </si>
  <si>
    <t>15C.M.minima.Solo</t>
  </si>
  <si>
    <t>15C.P.canescens.Solo</t>
  </si>
  <si>
    <t>15C.T.cyanopetala.Solo</t>
  </si>
  <si>
    <t>15D.H.glutinosum.Solo</t>
  </si>
  <si>
    <t>15D.P.canescens.Solo</t>
  </si>
  <si>
    <t>15D.T.cyanopetala.Solo</t>
  </si>
  <si>
    <t>15D.V.rosea.Solo</t>
  </si>
  <si>
    <t>15E.A.calendula.Solo</t>
  </si>
  <si>
    <t>15E.H.glutinosum.Solo</t>
  </si>
  <si>
    <t>15E.M.minima.Solo</t>
  </si>
  <si>
    <t>15E.P.canescens.Solo</t>
  </si>
  <si>
    <t>15F.A.calendula.Solo</t>
  </si>
  <si>
    <t>15F.H.glabra.Solo</t>
  </si>
  <si>
    <t>15F.P.airoides.Solo</t>
  </si>
  <si>
    <t>15F.P.canescens.Solo</t>
  </si>
  <si>
    <t>15F.V.rosea.Solo</t>
  </si>
  <si>
    <t>15G.H.glabra.Solo</t>
  </si>
  <si>
    <t>15G.V.rosea.Solo</t>
  </si>
  <si>
    <t>15H.H.glabra.Solo</t>
  </si>
  <si>
    <t>15H.M.minima.Solo</t>
  </si>
  <si>
    <t>15H.P.canescens.Solo</t>
  </si>
  <si>
    <t>15I.H.glutinosum.Solo</t>
  </si>
  <si>
    <t>15I.P.airoides.Solo</t>
  </si>
  <si>
    <t>15I.P.canescens.Solo</t>
  </si>
  <si>
    <t>15I.V.rosea.Solo</t>
  </si>
  <si>
    <t>15J.H.glutinosum.Solo</t>
  </si>
  <si>
    <t>15J.P.airoides.Solo</t>
  </si>
  <si>
    <t>15J.V.rosea.Solo</t>
  </si>
  <si>
    <t>15K.H.glabra.Solo</t>
  </si>
  <si>
    <t>15L.V.rosea.Solo</t>
  </si>
  <si>
    <t>15M.M.minima.Solo</t>
  </si>
  <si>
    <t>15M.T.cyanopetala.Solo</t>
  </si>
  <si>
    <t>2A.H.glutinosum.Solo</t>
  </si>
  <si>
    <t>2A.P.airoides.Solo</t>
  </si>
  <si>
    <t>2A.P.canescens.Solo</t>
  </si>
  <si>
    <t>2B.A.calendula.Solo</t>
  </si>
  <si>
    <t>2B.H.glutinosum.Solo</t>
  </si>
  <si>
    <t>2B.P.airoides.Solo</t>
  </si>
  <si>
    <t>2B.P.canescens.Solo</t>
  </si>
  <si>
    <t>2B.T.cyanopetala.Solo</t>
  </si>
  <si>
    <t>2C.H.glutinosum.Solo</t>
  </si>
  <si>
    <t>2C.P.airoides.Solo</t>
  </si>
  <si>
    <t>2C.V.rosea.Solo</t>
  </si>
  <si>
    <t>2D.H.glabra.Solo</t>
  </si>
  <si>
    <t>2D.H.glutinosum.Solo</t>
  </si>
  <si>
    <t>2D.P.airoides.Solo</t>
  </si>
  <si>
    <t>2E.H.glabra.Solo</t>
  </si>
  <si>
    <t>2E.M.minima.Solo</t>
  </si>
  <si>
    <t>2E.P.canescens.Solo</t>
  </si>
  <si>
    <t>2E.T.cyanopetala.Solo</t>
  </si>
  <si>
    <t>2F.H.glabra.Solo</t>
  </si>
  <si>
    <t>2F.M.minima.Solo</t>
  </si>
  <si>
    <t>2F.P.canescens.Solo</t>
  </si>
  <si>
    <t>2F.T.cyanopetala.Solo</t>
  </si>
  <si>
    <t>2G.A.calendula.Solo</t>
  </si>
  <si>
    <t>2G.M.minima.Solo</t>
  </si>
  <si>
    <t>2G.T.cyanopetala.Solo</t>
  </si>
  <si>
    <t>2G.V.rosea.Solo</t>
  </si>
  <si>
    <t>2H.A.calendula.Solo</t>
  </si>
  <si>
    <t>2H.H.glabra.Solo</t>
  </si>
  <si>
    <t>2H.V.rosea.Solo</t>
  </si>
  <si>
    <t>2I.A.calendula.Solo</t>
  </si>
  <si>
    <t>2I.M.minima.Solo</t>
  </si>
  <si>
    <t>2I.V.rosea.Solo</t>
  </si>
  <si>
    <t>2J.V.rosea.Solo</t>
  </si>
  <si>
    <t>2K.H.glabra.Solo</t>
  </si>
  <si>
    <t>2K.P.canescens.Solo</t>
  </si>
  <si>
    <t>2K.T.cyanopetala.Solo</t>
  </si>
  <si>
    <t>2L.A.calendula.Solo</t>
  </si>
  <si>
    <t>2L.V.rosea.Solo</t>
  </si>
  <si>
    <t>6A.H.glutinosum.Solo</t>
  </si>
  <si>
    <t>6A.P.airoides.Solo</t>
  </si>
  <si>
    <t>6A.P.canescens.Solo</t>
  </si>
  <si>
    <t>6B.H.glabra.Solo</t>
  </si>
  <si>
    <t>6B.H.glutinosum.Solo</t>
  </si>
  <si>
    <t>6B.P.airoides.Solo</t>
  </si>
  <si>
    <t>6C.H.glabra.Solo</t>
  </si>
  <si>
    <t>6C.H.glutinosum.Solo</t>
  </si>
  <si>
    <t>6C.P.airoides.Solo</t>
  </si>
  <si>
    <t>6D.A.calendula.Solo</t>
  </si>
  <si>
    <t>6D.H.glutinosum.Solo</t>
  </si>
  <si>
    <t>6D.T.cyanopetala.Solo</t>
  </si>
  <si>
    <t>6E.A.calendula.Solo</t>
  </si>
  <si>
    <t>6E.P.airoides.Solo</t>
  </si>
  <si>
    <t>6E.P.canescens.Solo</t>
  </si>
  <si>
    <t>6F.A.calendula.Solo</t>
  </si>
  <si>
    <t>6F.H.glabra.Solo</t>
  </si>
  <si>
    <t>6F.P.canescens.Solo</t>
  </si>
  <si>
    <t>6F.V.rosea.Solo</t>
  </si>
  <si>
    <t>6G.H.glabra.Solo</t>
  </si>
  <si>
    <t>6G.M.minima.Solo</t>
  </si>
  <si>
    <t>6H.M.minima.Solo</t>
  </si>
  <si>
    <t>6H.V.rosea.Solo</t>
  </si>
  <si>
    <t>6I.A.calendula.Solo</t>
  </si>
  <si>
    <t>6I.M.minima.Solo</t>
  </si>
  <si>
    <t>6J.M.minima.Solo</t>
  </si>
  <si>
    <t>6J.V.rosea.Solo</t>
  </si>
  <si>
    <t>6K.T.cyanopetala.Solo</t>
  </si>
  <si>
    <t>6K.V.rosea.Solo</t>
  </si>
  <si>
    <t>6L.P.canescens.Solo</t>
  </si>
  <si>
    <t>6L.T.cyanopetala.Solo</t>
  </si>
  <si>
    <t>6M.V.rosea.Solo</t>
  </si>
  <si>
    <t>6N.V.rosea.Solo</t>
  </si>
  <si>
    <t>6O.T.cyanopetala.Solo</t>
  </si>
  <si>
    <t>Species.treatment.block</t>
  </si>
  <si>
    <t>Mean.solo.seedcount.extrap.integer.block</t>
  </si>
  <si>
    <t>H.glutinosum.Open.10</t>
  </si>
  <si>
    <t>P.airoides.Open.10</t>
  </si>
  <si>
    <t>V.rosea.Open.10</t>
  </si>
  <si>
    <t>H.glutinosum.Shade.10</t>
  </si>
  <si>
    <t>M.minima.Shade.10</t>
  </si>
  <si>
    <t>P.canescens.Shade.10</t>
  </si>
  <si>
    <t>T.cyanopetala.Shade.10</t>
  </si>
  <si>
    <t>A.calendula.Shade.10</t>
  </si>
  <si>
    <t>P.airoides.Shade.10</t>
  </si>
  <si>
    <t>V.rosea.Shade.10</t>
  </si>
  <si>
    <t>H.glabra.Shade.10</t>
  </si>
  <si>
    <t>A.calendula.Open.10</t>
  </si>
  <si>
    <t>P.canescens.Open.10</t>
  </si>
  <si>
    <t>T.cyanopetala.Open.10</t>
  </si>
  <si>
    <t>H.glabra.Open.10</t>
  </si>
  <si>
    <t>M.minima.Open.10</t>
  </si>
  <si>
    <t>H.glutinosum.Shade.12</t>
  </si>
  <si>
    <t>P.airoides.Shade.12</t>
  </si>
  <si>
    <t>P.canescens.Shade.12</t>
  </si>
  <si>
    <t>T.cyanopetala.Shade.12</t>
  </si>
  <si>
    <t>H.glabra.Open.12</t>
  </si>
  <si>
    <t>P.canescens.Open.12</t>
  </si>
  <si>
    <t>V.rosea.Open.12</t>
  </si>
  <si>
    <t>A.calendula.Shade.12</t>
  </si>
  <si>
    <t>V.rosea.Shade.12</t>
  </si>
  <si>
    <t>A.calendula.Open.12</t>
  </si>
  <si>
    <t>H.glutinosum.Open.12</t>
  </si>
  <si>
    <t>P.airoides.Open.12</t>
  </si>
  <si>
    <t>M.minima.Shade.12</t>
  </si>
  <si>
    <t>M.minima.Open.12</t>
  </si>
  <si>
    <t>T.cyanopetala.Open.12</t>
  </si>
  <si>
    <t>H.glabra.Shade.12</t>
  </si>
  <si>
    <t>A.calendula.Open.15</t>
  </si>
  <si>
    <t>H.glabra.Open.15</t>
  </si>
  <si>
    <t>P.airoides.Open.15</t>
  </si>
  <si>
    <t>T.cyanopetala.Open.15</t>
  </si>
  <si>
    <t>M.minima.Open.15</t>
  </si>
  <si>
    <t>P.canescens.Open.15</t>
  </si>
  <si>
    <t>H.glutinosum.Shade.15</t>
  </si>
  <si>
    <t>M.minima.Shade.15</t>
  </si>
  <si>
    <t>P.canescens.Shade.15</t>
  </si>
  <si>
    <t>T.cyanopetala.Shade.15</t>
  </si>
  <si>
    <t>V.rosea.Shade.15</t>
  </si>
  <si>
    <t>H.glutinosum.Open.15</t>
  </si>
  <si>
    <t>A.calendula.Shade.15</t>
  </si>
  <si>
    <t>H.glabra.Shade.15</t>
  </si>
  <si>
    <t>P.airoides.Shade.15</t>
  </si>
  <si>
    <t>V.rosea.Open.15</t>
  </si>
  <si>
    <t>H.glutinosum.Shade.2</t>
  </si>
  <si>
    <t>P.airoides.Shade.2</t>
  </si>
  <si>
    <t>P.canescens.Shade.2</t>
  </si>
  <si>
    <t>A.calendula.Open.2</t>
  </si>
  <si>
    <t>H.glutinosum.Open.2</t>
  </si>
  <si>
    <t>P.airoides.Open.2</t>
  </si>
  <si>
    <t>P.canescens.Open.2</t>
  </si>
  <si>
    <t>T.cyanopetala.Open.2</t>
  </si>
  <si>
    <t>V.rosea.Shade.2</t>
  </si>
  <si>
    <t>H.glabra.Open.2</t>
  </si>
  <si>
    <t>M.minima.Open.2</t>
  </si>
  <si>
    <t>A.calendula.Shade.2</t>
  </si>
  <si>
    <t>M.minima.Shade.2</t>
  </si>
  <si>
    <t>T.cyanopetala.Shade.2</t>
  </si>
  <si>
    <t>H.glabra.Shade.2</t>
  </si>
  <si>
    <t>V.rosea.Open.2</t>
  </si>
  <si>
    <t>H.glutinosum.Shade.6</t>
  </si>
  <si>
    <t>P.airoides.Shade.6</t>
  </si>
  <si>
    <t>P.canescens.Shade.6</t>
  </si>
  <si>
    <t>H.glabra.Shade.6</t>
  </si>
  <si>
    <t>H.glabra.Open.6</t>
  </si>
  <si>
    <t>H.glutinosum.Open.6</t>
  </si>
  <si>
    <t>P.airoides.Open.6</t>
  </si>
  <si>
    <t>A.calendula.Open.6</t>
  </si>
  <si>
    <t>T.cyanopetala.Open.6</t>
  </si>
  <si>
    <t>P.canescens.Open.6</t>
  </si>
  <si>
    <t>A.calendula.Shade.6</t>
  </si>
  <si>
    <t>V.rosea.Shade.6</t>
  </si>
  <si>
    <t>M.minima.Open.6</t>
  </si>
  <si>
    <t>V.rosea.Open.6</t>
  </si>
  <si>
    <t>M.minima.Shade.6</t>
  </si>
  <si>
    <t>T.cyanopetala.Shade.6</t>
  </si>
  <si>
    <t>Delta.seedcount.meansolospeciesblock</t>
  </si>
  <si>
    <t>Response</t>
  </si>
  <si>
    <t>High comp fecundity - mean solo fecundity (avgd by species by shade treatment within ea. block)</t>
  </si>
  <si>
    <t>Neighbour density</t>
  </si>
  <si>
    <t>Intercept</t>
  </si>
  <si>
    <t>Colwell P</t>
  </si>
  <si>
    <t>Neighbour density * Shade</t>
  </si>
  <si>
    <t>NS</t>
  </si>
  <si>
    <t>Species.comp.treatment</t>
  </si>
  <si>
    <t>A.calendula.Highcomp.Open</t>
  </si>
  <si>
    <t>A.calendula.Highcomp.Shade</t>
  </si>
  <si>
    <t>A.calendula.Solo.Open</t>
  </si>
  <si>
    <t>A.calendula.Solo.Shade</t>
  </si>
  <si>
    <t>H.glabra.Highcomp.Open</t>
  </si>
  <si>
    <t>H.glabra.Highcomp.Shade</t>
  </si>
  <si>
    <t>H.glabra.Solo.Open</t>
  </si>
  <si>
    <t>H.glabra.Solo.Shade</t>
  </si>
  <si>
    <t>H.glutinosum.Highcomp.Open</t>
  </si>
  <si>
    <t>H.glutinosum.Highcomp.Shade</t>
  </si>
  <si>
    <t>H.glutinosum.Solo.Open</t>
  </si>
  <si>
    <t>H.glutinosum.Solo.Shade</t>
  </si>
  <si>
    <t>M.minima.Highcomp.Open</t>
  </si>
  <si>
    <t>M.minima.Highcomp.Shade</t>
  </si>
  <si>
    <t>M.minima.Solo.Open</t>
  </si>
  <si>
    <t>M.minima.Solo.Shade</t>
  </si>
  <si>
    <t>P.airoides.Highcomp.Open</t>
  </si>
  <si>
    <t>P.airoides.Highcomp.Shade</t>
  </si>
  <si>
    <t>P.airoides.Solo.Open</t>
  </si>
  <si>
    <t>P.airoides.Solo.Shade</t>
  </si>
  <si>
    <t>P.canescens.Highcomp.Open</t>
  </si>
  <si>
    <t>P.canescens.Highcomp.Shade</t>
  </si>
  <si>
    <t>P.canescens.Solo.Open</t>
  </si>
  <si>
    <t>P.canescens.Solo.Shade</t>
  </si>
  <si>
    <t>T.cyanopetala.Highcomp.Open</t>
  </si>
  <si>
    <t>T.cyanopetala.Highcomp.Shade</t>
  </si>
  <si>
    <t>T.cyanopetala.Solo.Open</t>
  </si>
  <si>
    <t>T.cyanopetala.Solo.Shade</t>
  </si>
  <si>
    <t>V.rosea.Highcomp.Open</t>
  </si>
  <si>
    <t>V.rosea.Highcomp.Shade</t>
  </si>
  <si>
    <t>V.rosea.Solo.Open</t>
  </si>
  <si>
    <t>V.rosea.Solo.Shade</t>
  </si>
  <si>
    <t>Solo.seedcount.extrap.integer</t>
  </si>
  <si>
    <t>Delta.seedcount.highcomp.solo.pair</t>
  </si>
  <si>
    <t>Root.depth.coarse</t>
  </si>
  <si>
    <t>Phenology.at.survey</t>
  </si>
  <si>
    <t>Leaf.length</t>
  </si>
  <si>
    <t>BF</t>
  </si>
  <si>
    <t>BFS</t>
  </si>
  <si>
    <t>FS</t>
  </si>
  <si>
    <t>S</t>
  </si>
  <si>
    <t>PlotID.focalsp</t>
  </si>
  <si>
    <t>S.cassiniana</t>
  </si>
  <si>
    <t>neighbour.ID</t>
  </si>
  <si>
    <t>Life.form</t>
  </si>
  <si>
    <t>Canopy.shape.index</t>
  </si>
  <si>
    <t>Longest.leaf.length</t>
  </si>
  <si>
    <t>SLA</t>
  </si>
  <si>
    <t>Seed.mass</t>
  </si>
  <si>
    <t>Annual.forb</t>
  </si>
  <si>
    <t>Perrenial.graminoid</t>
  </si>
  <si>
    <t>Annual.graminoid</t>
  </si>
  <si>
    <t>Rhizomatous.perennial.forb</t>
  </si>
  <si>
    <t>Erodium.cygnorum</t>
  </si>
  <si>
    <t>Vulpia.myuros</t>
  </si>
  <si>
    <t>Austrostipa.elegantissima</t>
  </si>
  <si>
    <t>SLA is as above but cores only, across all remnants</t>
  </si>
  <si>
    <t>Height is mean of individuals from JD's survey 2011 data (edges, cores,just Perenjori or across all where not recorded in Perenj, and 2015 data for Memi)</t>
  </si>
  <si>
    <t>Seed mass as above</t>
  </si>
  <si>
    <t>Focal.meanheight</t>
  </si>
  <si>
    <t>Focal.SLA</t>
  </si>
  <si>
    <t>Focal.seedmass</t>
  </si>
  <si>
    <t>Neighbour.meanheight</t>
  </si>
  <si>
    <t>Neighbour.SLA</t>
  </si>
  <si>
    <t>Neighbour.seedmass</t>
  </si>
  <si>
    <t>10A.H.glutinosum</t>
  </si>
  <si>
    <t>10A.P.airoides</t>
  </si>
  <si>
    <t>10A.V.rosea</t>
  </si>
  <si>
    <t>10B.H.glutinosum</t>
  </si>
  <si>
    <t>10B.M.minima</t>
  </si>
  <si>
    <t>10B.P.canescens</t>
  </si>
  <si>
    <t>10B.T.cyanopetala</t>
  </si>
  <si>
    <t>10C.A.calendula</t>
  </si>
  <si>
    <t>10C.H.glutinosum</t>
  </si>
  <si>
    <t>10C.P.airoides</t>
  </si>
  <si>
    <t>10C.P.canescens</t>
  </si>
  <si>
    <t>10C.V.rosea</t>
  </si>
  <si>
    <t>10D.A.calendula</t>
  </si>
  <si>
    <t>10D.H.glabra</t>
  </si>
  <si>
    <t>10D.P.canescens</t>
  </si>
  <si>
    <t>10E.A.calendula</t>
  </si>
  <si>
    <t>10E.P.canescens</t>
  </si>
  <si>
    <t>10E.T.cyanopetala</t>
  </si>
  <si>
    <t>10F.H.glabra</t>
  </si>
  <si>
    <t>10F.P.canescens</t>
  </si>
  <si>
    <t>10F.T.cyanopetala</t>
  </si>
  <si>
    <t>10F.V.rosea</t>
  </si>
  <si>
    <t>10G.H.glabra</t>
  </si>
  <si>
    <t>10G.M.minima</t>
  </si>
  <si>
    <t>10G.T.cyanopetala</t>
  </si>
  <si>
    <t>10G.V.rosea</t>
  </si>
  <si>
    <t>10H.A.calendula</t>
  </si>
  <si>
    <t>10H.H.glutinosum</t>
  </si>
  <si>
    <t>10H.P.airoides</t>
  </si>
  <si>
    <t>10I.H.glabra</t>
  </si>
  <si>
    <t>10I.M.minima</t>
  </si>
  <si>
    <t>10I.P.airoides</t>
  </si>
  <si>
    <t>10J.H.glutinosum</t>
  </si>
  <si>
    <t>10K.A.calendula</t>
  </si>
  <si>
    <t>10K.M.minima</t>
  </si>
  <si>
    <t>10L.P.canescens</t>
  </si>
  <si>
    <t>12A.H.glutinosum</t>
  </si>
  <si>
    <t>12A.P.airoides</t>
  </si>
  <si>
    <t>12A.P.canescens</t>
  </si>
  <si>
    <t>12A.T.cyanopetala</t>
  </si>
  <si>
    <t>12B.H.glabra</t>
  </si>
  <si>
    <t>12B.P.canescens</t>
  </si>
  <si>
    <t>12B.V.rosea</t>
  </si>
  <si>
    <t>12C.A.calendula</t>
  </si>
  <si>
    <t>12C.P.airoides</t>
  </si>
  <si>
    <t>12C.P.canescens</t>
  </si>
  <si>
    <t>12C.V.rosea</t>
  </si>
  <si>
    <t>12D.A.calendula</t>
  </si>
  <si>
    <t>12D.H.glutinosum</t>
  </si>
  <si>
    <t>12D.P.airoides</t>
  </si>
  <si>
    <t>12D.V.rosea</t>
  </si>
  <si>
    <t>12E.H.glutinosum</t>
  </si>
  <si>
    <t>12E.M.minima</t>
  </si>
  <si>
    <t>12E.P.canescens</t>
  </si>
  <si>
    <t>12F.H.glutinosum</t>
  </si>
  <si>
    <t>12F.M.minima</t>
  </si>
  <si>
    <t>12F.P.airoides</t>
  </si>
  <si>
    <t>12F.P.canescens</t>
  </si>
  <si>
    <t>12G.H.glutinosum</t>
  </si>
  <si>
    <t>12G.P.canescens</t>
  </si>
  <si>
    <t>12G.T.cyanopetala</t>
  </si>
  <si>
    <t>12G.V.rosea</t>
  </si>
  <si>
    <t>12H.H.glabra</t>
  </si>
  <si>
    <t>12H.H.glutinosum</t>
  </si>
  <si>
    <t>12H.V.rosea</t>
  </si>
  <si>
    <t>12I.A.calendula</t>
  </si>
  <si>
    <t>12I.M.minima</t>
  </si>
  <si>
    <t>12I.P.airoides</t>
  </si>
  <si>
    <t>12J.H.glabra</t>
  </si>
  <si>
    <t>12J.M.minima</t>
  </si>
  <si>
    <t>12K.A.calendula</t>
  </si>
  <si>
    <t>12K.M.minima</t>
  </si>
  <si>
    <t>12K.T.cyanopetala</t>
  </si>
  <si>
    <t>12K.V.rosea</t>
  </si>
  <si>
    <t>12L.A.calendula</t>
  </si>
  <si>
    <t>12L.M.minima</t>
  </si>
  <si>
    <t>12L.V.rosea</t>
  </si>
  <si>
    <t>12M.A.calendula</t>
  </si>
  <si>
    <t>12M.P.airoides</t>
  </si>
  <si>
    <t>12N.T.cyanopetala</t>
  </si>
  <si>
    <t>12O.H.glabra</t>
  </si>
  <si>
    <t>15A.A.calendula</t>
  </si>
  <si>
    <t>15A.H.glabra</t>
  </si>
  <si>
    <t>15A.P.airoides</t>
  </si>
  <si>
    <t>15A.T.cyanopetala</t>
  </si>
  <si>
    <t>15B.A.calendula</t>
  </si>
  <si>
    <t>15B.M.minima</t>
  </si>
  <si>
    <t>15B.P.canescens</t>
  </si>
  <si>
    <t>15B.T.cyanopetala</t>
  </si>
  <si>
    <t>15C.H.glutinosum</t>
  </si>
  <si>
    <t>15C.M.minima</t>
  </si>
  <si>
    <t>15C.P.canescens</t>
  </si>
  <si>
    <t>15C.T.cyanopetala</t>
  </si>
  <si>
    <t>15D.H.glutinosum</t>
  </si>
  <si>
    <t>15D.P.canescens</t>
  </si>
  <si>
    <t>15D.T.cyanopetala</t>
  </si>
  <si>
    <t>15D.V.rosea</t>
  </si>
  <si>
    <t>15E.A.calendula</t>
  </si>
  <si>
    <t>15E.H.glutinosum</t>
  </si>
  <si>
    <t>15E.M.minima</t>
  </si>
  <si>
    <t>15E.P.canescens</t>
  </si>
  <si>
    <t>15F.A.calendula</t>
  </si>
  <si>
    <t>15F.H.glabra</t>
  </si>
  <si>
    <t>15F.P.airoides</t>
  </si>
  <si>
    <t>15F.P.canescens</t>
  </si>
  <si>
    <t>15F.V.rosea</t>
  </si>
  <si>
    <t>15G.H.glabra</t>
  </si>
  <si>
    <t>15G.V.rosea</t>
  </si>
  <si>
    <t>15H.H.glabra</t>
  </si>
  <si>
    <t>15H.M.minima</t>
  </si>
  <si>
    <t>15H.P.canescens</t>
  </si>
  <si>
    <t>15I.H.glutinosum</t>
  </si>
  <si>
    <t>15I.P.airoides</t>
  </si>
  <si>
    <t>15I.P.canescens</t>
  </si>
  <si>
    <t>15I.V.rosea</t>
  </si>
  <si>
    <t>15J.H.glutinosum</t>
  </si>
  <si>
    <t>15J.P.airoides</t>
  </si>
  <si>
    <t>15J.V.rosea</t>
  </si>
  <si>
    <t>15K.H.glabra</t>
  </si>
  <si>
    <t>15L.V.rosea</t>
  </si>
  <si>
    <t>15M.M.minima</t>
  </si>
  <si>
    <t>15M.T.cyanopetala</t>
  </si>
  <si>
    <t>2A.H.glutinosum</t>
  </si>
  <si>
    <t>2A.P.airoides</t>
  </si>
  <si>
    <t>2A.P.canescens</t>
  </si>
  <si>
    <t>2B.A.calendula</t>
  </si>
  <si>
    <t>2B.H.glutinosum</t>
  </si>
  <si>
    <t>2B.P.airoides</t>
  </si>
  <si>
    <t>2B.P.canescens</t>
  </si>
  <si>
    <t>2B.T.cyanopetala</t>
  </si>
  <si>
    <t>2C.H.glutinosum</t>
  </si>
  <si>
    <t>2C.P.airoides</t>
  </si>
  <si>
    <t>2C.V.rosea</t>
  </si>
  <si>
    <t>2D.H.glabra</t>
  </si>
  <si>
    <t>2D.H.glutinosum</t>
  </si>
  <si>
    <t>2D.P.airoides</t>
  </si>
  <si>
    <t>2E.H.glabra</t>
  </si>
  <si>
    <t>2E.M.minima</t>
  </si>
  <si>
    <t>2E.P.canescens</t>
  </si>
  <si>
    <t>2E.T.cyanopetala</t>
  </si>
  <si>
    <t>2F.H.glabra</t>
  </si>
  <si>
    <t>2F.M.minima</t>
  </si>
  <si>
    <t>2F.P.canescens</t>
  </si>
  <si>
    <t>2F.T.cyanopetala</t>
  </si>
  <si>
    <t>2G.A.calendula</t>
  </si>
  <si>
    <t>2G.M.minima</t>
  </si>
  <si>
    <t>2G.T.cyanopetala</t>
  </si>
  <si>
    <t>2G.V.rosea</t>
  </si>
  <si>
    <t>2H.A.calendula</t>
  </si>
  <si>
    <t>2H.H.glabra</t>
  </si>
  <si>
    <t>2H.V.rosea</t>
  </si>
  <si>
    <t>2I.A.calendula</t>
  </si>
  <si>
    <t>2I.M.minima</t>
  </si>
  <si>
    <t>2I.V.rosea</t>
  </si>
  <si>
    <t>2J.V.rosea</t>
  </si>
  <si>
    <t>2K.H.glabra</t>
  </si>
  <si>
    <t>2K.P.canescens</t>
  </si>
  <si>
    <t>2K.T.cyanopetala</t>
  </si>
  <si>
    <t>2L.A.calendula</t>
  </si>
  <si>
    <t>2L.V.rosea</t>
  </si>
  <si>
    <t>6A.H.glutinosum</t>
  </si>
  <si>
    <t>6A.P.airoides</t>
  </si>
  <si>
    <t>6A.P.canescens</t>
  </si>
  <si>
    <t>6B.H.glabra</t>
  </si>
  <si>
    <t>6B.H.glutinosum</t>
  </si>
  <si>
    <t>6B.P.airoides</t>
  </si>
  <si>
    <t>6C.H.glabra</t>
  </si>
  <si>
    <t>6C.H.glutinosum</t>
  </si>
  <si>
    <t>6C.P.airoides</t>
  </si>
  <si>
    <t>6D.A.calendula</t>
  </si>
  <si>
    <t>6D.H.glutinosum</t>
  </si>
  <si>
    <t>6D.T.cyanopetala</t>
  </si>
  <si>
    <t>6E.A.calendula</t>
  </si>
  <si>
    <t>6E.P.airoides</t>
  </si>
  <si>
    <t>6E.P.canescens</t>
  </si>
  <si>
    <t>6F.A.calendula</t>
  </si>
  <si>
    <t>6F.H.glabra</t>
  </si>
  <si>
    <t>6F.P.canescens</t>
  </si>
  <si>
    <t>6F.V.rosea</t>
  </si>
  <si>
    <t>6G.H.glabra</t>
  </si>
  <si>
    <t>6G.M.minima</t>
  </si>
  <si>
    <t>6H.M.minima</t>
  </si>
  <si>
    <t>6H.V.rosea</t>
  </si>
  <si>
    <t>6I.A.calendula</t>
  </si>
  <si>
    <t>6I.M.minima</t>
  </si>
  <si>
    <t>6J.M.minima</t>
  </si>
  <si>
    <t>6J.V.rosea</t>
  </si>
  <si>
    <t>6K.T.cyanopetala</t>
  </si>
  <si>
    <t>6K.V.rosea</t>
  </si>
  <si>
    <t>6L.P.canescens</t>
  </si>
  <si>
    <t>6L.T.cyanopetala</t>
  </si>
  <si>
    <t>6M.V.rosea</t>
  </si>
  <si>
    <t>6N.V.rosea</t>
  </si>
  <si>
    <t>6O.T.cyanopetala</t>
  </si>
  <si>
    <t>trait.hierarchy.height</t>
  </si>
  <si>
    <t>trait.distance.height</t>
  </si>
  <si>
    <t>trait.hierarchy.SLA</t>
  </si>
  <si>
    <t>trait.distance.SLA</t>
  </si>
  <si>
    <t>trait.hierarchy.seedmass</t>
  </si>
  <si>
    <t>trait.distance.seedmass</t>
  </si>
  <si>
    <t>value</t>
  </si>
  <si>
    <t>variable</t>
  </si>
  <si>
    <t>var.trait.distance.height</t>
  </si>
  <si>
    <t>var.trait.distance.seedmass</t>
  </si>
  <si>
    <t>var.trait.distance.SLA</t>
  </si>
  <si>
    <t>var.trait.hierarchy.height</t>
  </si>
  <si>
    <t>var.trait.hierarchy.seedmass</t>
  </si>
  <si>
    <t>var.trait.hierarchy.SLA</t>
  </si>
  <si>
    <t>mean.trait.distance.height</t>
  </si>
  <si>
    <t>mean.trait.distance.seedmass</t>
  </si>
  <si>
    <t>mean.trait.distance.SLA</t>
  </si>
  <si>
    <t>mean.trait.hierarchy.height</t>
  </si>
  <si>
    <t>mean.trait.hierarchy.seedmass</t>
  </si>
  <si>
    <t>mean.trait.hierarchy.SLA</t>
  </si>
  <si>
    <t>Delta.height.highcomp.solo.pair</t>
  </si>
  <si>
    <t>Mean.Lat</t>
  </si>
  <si>
    <t>Canopy.shape</t>
  </si>
  <si>
    <t>canopy shape of focal species measured on focal individuals in open plots. Canopy shape of non-focals comes from JD's herbarium specimens, look at "species attributes v2.xlsx" for more info</t>
  </si>
  <si>
    <t>Focal.canopy.shape</t>
  </si>
  <si>
    <t>Neighbour.canopy.shape</t>
  </si>
  <si>
    <t>trait.hierarchy.canopyshape</t>
  </si>
  <si>
    <t>trait.distance.canopyshape</t>
  </si>
  <si>
    <t>mean.trait.distance.canopyshape</t>
  </si>
  <si>
    <t>mean.trait.hierarchy.canopyshape</t>
  </si>
  <si>
    <t>var.trait.distance.canopyshape</t>
  </si>
  <si>
    <t>var.trait.hierarchy.canopyshape</t>
  </si>
  <si>
    <t>abundwghtd.mean.trait.distance.canopyshape</t>
  </si>
  <si>
    <t>abundwghtd.mean.trait.distance.height</t>
  </si>
  <si>
    <t>abundwghtd.mean.trait.distance.seedmass</t>
  </si>
  <si>
    <t>abundwghtd.mean.trait.distance.SLA</t>
  </si>
  <si>
    <t>abundwghtd.mean.trait.hierarchy.canopyshape</t>
  </si>
  <si>
    <t>abundwghtd.mean.trait.hierarchy.height</t>
  </si>
  <si>
    <t>abundwghtd.mean.trait.hierarchy.seedmass</t>
  </si>
  <si>
    <t>abundwghtd.mean.trait.hierarchy.SLA</t>
  </si>
  <si>
    <t>abundwghtd.var.trait.distance.canopyshape</t>
  </si>
  <si>
    <t>abundwghtd.var.trait.distance.height</t>
  </si>
  <si>
    <t>abundwghtd.var.trait.distance.seedmass</t>
  </si>
  <si>
    <t>abundwghtd.var.trait.distance.SLA</t>
  </si>
  <si>
    <t>abundwghtd.var.trait.hierarchy.canopyshape</t>
  </si>
  <si>
    <t>abundwghtd.var.trait.hierarchy.height</t>
  </si>
  <si>
    <t>abundwghtd.var.trait.hierarchy.seedmass</t>
  </si>
  <si>
    <t>abundwghtd.var.trait.hierarchy.SLA</t>
  </si>
  <si>
    <t>PlotID.focalsp.comp.combo</t>
  </si>
  <si>
    <t>delta.SM.AugSep</t>
  </si>
  <si>
    <t>Date</t>
  </si>
  <si>
    <t>early August</t>
  </si>
  <si>
    <t>late August</t>
  </si>
  <si>
    <t>mid September</t>
  </si>
  <si>
    <t>SE</t>
  </si>
  <si>
    <t>Date.asnumeric</t>
  </si>
  <si>
    <t>date</t>
  </si>
  <si>
    <t>earlyAug</t>
  </si>
  <si>
    <t>mean.sm</t>
  </si>
  <si>
    <t>lateAug</t>
  </si>
  <si>
    <t>mid Sep</t>
  </si>
  <si>
    <t>All</t>
  </si>
  <si>
    <t>Dense</t>
  </si>
  <si>
    <t>div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</si>
</sst>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"/>
  </numFmts>
  <fonts count="2" x14ac:knownFonts="1">
    <font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0" fontId="0" fillId="0" borderId="0" xfId="0" applyFill="1"/>
    <xf numFmtId="164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name="traitdistvarabundweighted" connectionId="19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name="traitdistvar" connectionId="16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name="plant" connectionId="5" autoFormatId="16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name="solos species treatment by block seed means" connectionId="10" autoFormatId="16" applyNumberFormats="0" applyBorderFormats="0" applyFontFormats="1" applyPatternFormats="1" applyAlignmentFormats="0" applyWidthHeightFormats="0"/>
</file>

<file path=xl/queryTables/queryTable5.xml><?xml version="1.0" encoding="utf-8"?>
<queryTable xmlns="http://schemas.openxmlformats.org/spreadsheetml/2006/main" name="speciesattributes" connectionId="11" autoFormatId="16" applyNumberFormats="0" applyBorderFormats="0" applyFontFormats="1" applyPatternFormats="1" applyAlignmentFormats="0" applyWidthHeightFormats="0"/>
</file>

<file path=xl/queryTables/queryTable6.xml><?xml version="1.0" encoding="utf-8"?>
<queryTable xmlns="http://schemas.openxmlformats.org/spreadsheetml/2006/main" name="ndata5" connectionId="2" autoFormatId="16" applyNumberFormats="0" applyBorderFormats="0" applyFontFormats="1" applyPatternFormats="1" applyAlignmentFormats="0" applyWidthHeightFormats="0"/>
</file>

<file path=xl/queryTables/queryTable7.xml><?xml version="1.0" encoding="utf-8"?>
<queryTable xmlns="http://schemas.openxmlformats.org/spreadsheetml/2006/main" name="traitdistvar_1" connectionId="17" autoFormatId="16" applyNumberFormats="0" applyBorderFormats="0" applyFontFormats="1" applyPatternFormats="1" applyAlignmentFormats="0" applyWidthHeightFormats="0"/>
</file>

<file path=xl/queryTables/queryTable8.xml><?xml version="1.0" encoding="utf-8"?>
<queryTable xmlns="http://schemas.openxmlformats.org/spreadsheetml/2006/main" name="traitdistmeans_1" connectionId="13" autoFormatId="16" applyNumberFormats="0" applyBorderFormats="0" applyFontFormats="1" applyPatternFormats="1" applyAlignmentFormats="0" applyWidthHeightFormats="0"/>
</file>

<file path=xl/queryTables/queryTable9.xml><?xml version="1.0" encoding="utf-8"?>
<queryTable xmlns="http://schemas.openxmlformats.org/spreadsheetml/2006/main" name="traitdistvar" connectionId="15" autoFormatId="16" applyNumberFormats="0" applyBorderFormats="0" applyFontFormats="1" applyPatternFormats="1" applyAlignmentFormats="0" applyWidthHeightFormats="0"/>
</file>

<file path=xl/queryTables/queryTable10.xml><?xml version="1.0" encoding="utf-8"?>
<queryTable xmlns="http://schemas.openxmlformats.org/spreadsheetml/2006/main" name="traitdistmeans" connectionId="12" autoFormatId="16" applyNumberFormats="0" applyBorderFormats="0" applyFontFormats="1" applyPatternFormats="1" applyAlignmentFormats="0" applyWidthHeightFormats="0"/>
</file>

<file path=xl/queryTables/queryTable11.xml><?xml version="1.0" encoding="utf-8"?>
<queryTable xmlns="http://schemas.openxmlformats.org/spreadsheetml/2006/main" name="ndata5" connectionId="3" autoFormatId="16" applyNumberFormats="0" applyBorderFormats="0" applyFontFormats="1" applyPatternFormats="1" applyAlignmentFormats="0" applyWidthHeightFormats="0"/>
</file>

<file path=xl/queryTables/queryTable12.xml><?xml version="1.0" encoding="utf-8"?>
<queryTable xmlns="http://schemas.openxmlformats.org/spreadsheetml/2006/main" name="traitdistvarabundweighted" connectionId="18" autoFormatId="16" applyNumberFormats="0" applyBorderFormats="0" applyFontFormats="1" applyPatternFormats="1" applyAlignmentFormats="0" applyWidthHeightFormats="0"/>
</file>

<file path=xl/queryTables/queryTable13.xml><?xml version="1.0" encoding="utf-8"?>
<queryTable xmlns="http://schemas.openxmlformats.org/spreadsheetml/2006/main" name="traitdistmeansabundweighted" connectionId="14" autoFormatId="16" applyNumberFormats="0" applyBorderFormats="0" applyFontFormats="1" applyPatternFormats="1" applyAlignmentFormats="0" applyWidthHeightFormats="0"/>
</file>

<file path=xl/queryTables/queryTable14.xml><?xml version="1.0" encoding="utf-8"?>
<queryTable xmlns="http://schemas.openxmlformats.org/spreadsheetml/2006/main" name="Plotdata2" connectionId="6" autoFormatId="16" applyNumberFormats="0" applyBorderFormats="0" applyFontFormats="1" applyPatternFormats="1" applyAlignmentFormats="0" applyWidthHeightFormats="0"/>
</file>

<file path=xl/queryTables/queryTable15.xml><?xml version="1.0" encoding="utf-8"?>
<queryTable xmlns="http://schemas.openxmlformats.org/spreadsheetml/2006/main" name="Plotdata2" connectionId="7" autoFormatId="16" applyNumberFormats="0" applyBorderFormats="0" applyFontFormats="1" applyPatternFormats="1" applyAlignmentFormats="0" applyWidthHeightFormats="0"/>
</file>

<file path=xl/queryTables/queryTable16.xml><?xml version="1.0" encoding="utf-8"?>
<queryTable xmlns="http://schemas.openxmlformats.org/spreadsheetml/2006/main" name="quad" connectionId="8" autoFormatId="16" applyNumberFormats="0" applyBorderFormats="0" applyFontFormats="1" applyPatternFormats="1" applyAlignmentFormats="0" applyWidthHeightFormats="0"/>
</file>

<file path=xl/queryTables/queryTable17.xml><?xml version="1.0" encoding="utf-8"?>
<queryTable xmlns="http://schemas.openxmlformats.org/spreadsheetml/2006/main" name="quad" connectionId="9" autoFormatId="16" applyNumberFormats="0" applyBorderFormats="0" applyFontFormats="1" applyPatternFormats="1" applyAlignmentFormats="0" applyWidthHeightFormats="0"/>
</file>

<file path=xl/queryTables/queryTable18.xml><?xml version="1.0" encoding="utf-8"?>
<queryTable xmlns="http://schemas.openxmlformats.org/spreadsheetml/2006/main" name="commdata_1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3.xml"/><Relationship Id="rId2" Type="http://schemas.openxmlformats.org/officeDocument/2006/relationships/queryTable" Target="../queryTables/queryTable2.xml"/><Relationship Id="rId1" Type="http://schemas.openxmlformats.org/officeDocument/2006/relationships/queryTable" Target="../queryTables/queryTable1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5.xml"/><Relationship Id="rId1" Type="http://schemas.openxmlformats.org/officeDocument/2006/relationships/printerSettings" Target="../printerSettings/printerSettings2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9.xml"/><Relationship Id="rId2" Type="http://schemas.openxmlformats.org/officeDocument/2006/relationships/queryTable" Target="../queryTables/queryTable8.xml"/><Relationship Id="rId1" Type="http://schemas.openxmlformats.org/officeDocument/2006/relationships/queryTable" Target="../queryTables/queryTable7.xml"/><Relationship Id="rId4" Type="http://schemas.openxmlformats.org/officeDocument/2006/relationships/queryTable" Target="../queryTables/queryTable10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3.xml"/><Relationship Id="rId1" Type="http://schemas.openxmlformats.org/officeDocument/2006/relationships/queryTable" Target="../queryTables/queryTable12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6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7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72"/>
  <sheetViews>
    <sheetView workbookViewId="0">
      <selection activeCell="I29" sqref="I29"/>
    </sheetView>
  </sheetViews>
  <sheetFormatPr defaultRowHeight="15" x14ac:dyDescent="0.25"/>
  <cols>
    <col min="2" max="4" width="29.28515625" customWidth="1"/>
    <col min="7" max="7" width="11.42578125" customWidth="1"/>
    <col min="8" max="8" width="16.28515625" customWidth="1"/>
    <col min="9" max="9" width="21" customWidth="1"/>
    <col min="10" max="10" width="17.42578125" customWidth="1"/>
    <col min="13" max="13" width="19" customWidth="1"/>
    <col min="14" max="14" width="12" customWidth="1"/>
  </cols>
  <sheetData>
    <row r="1" spans="1:15" x14ac:dyDescent="0.25">
      <c r="A1" s="1" t="s">
        <v>96</v>
      </c>
      <c r="B1" s="1" t="s">
        <v>796</v>
      </c>
      <c r="C1" s="1" t="s">
        <v>1062</v>
      </c>
      <c r="D1" s="1" t="s">
        <v>144</v>
      </c>
      <c r="E1" s="1" t="s">
        <v>0</v>
      </c>
      <c r="F1" s="1" t="s">
        <v>1</v>
      </c>
      <c r="G1" s="1" t="s">
        <v>2</v>
      </c>
      <c r="H1" s="1" t="s">
        <v>97</v>
      </c>
      <c r="I1" s="1" t="s">
        <v>101</v>
      </c>
      <c r="J1" s="1" t="s">
        <v>231</v>
      </c>
      <c r="K1" s="1" t="s">
        <v>8</v>
      </c>
      <c r="L1" s="1" t="s">
        <v>230</v>
      </c>
      <c r="M1" s="1" t="s">
        <v>232</v>
      </c>
      <c r="N1" s="1"/>
      <c r="O1" s="1"/>
    </row>
    <row r="2" spans="1:15" x14ac:dyDescent="0.25">
      <c r="A2" t="s">
        <v>67</v>
      </c>
      <c r="B2" t="str">
        <f>A2&amp;"."&amp;H2</f>
        <v>10A.H.glutinosum</v>
      </c>
      <c r="C2" t="str">
        <f>B2&amp;"."&amp;D2</f>
        <v>10A.H.glutinosum.Highcomp</v>
      </c>
      <c r="D2" t="s">
        <v>145</v>
      </c>
      <c r="E2">
        <v>10</v>
      </c>
      <c r="F2" t="s">
        <v>11</v>
      </c>
      <c r="G2" t="s">
        <v>94</v>
      </c>
      <c r="H2" t="s">
        <v>113</v>
      </c>
      <c r="I2" t="s">
        <v>121</v>
      </c>
      <c r="J2" t="s">
        <v>113</v>
      </c>
      <c r="L2">
        <v>0</v>
      </c>
      <c r="M2">
        <v>2</v>
      </c>
    </row>
    <row r="3" spans="1:15" x14ac:dyDescent="0.25">
      <c r="A3" t="s">
        <v>67</v>
      </c>
      <c r="B3" t="str">
        <f t="shared" ref="B3:B66" si="0">A3&amp;"."&amp;H3</f>
        <v>10A.H.glutinosum</v>
      </c>
      <c r="C3" t="str">
        <f t="shared" ref="C3:C66" si="1">B3&amp;"."&amp;D3</f>
        <v>10A.H.glutinosum.Highcomp</v>
      </c>
      <c r="D3" t="s">
        <v>145</v>
      </c>
      <c r="E3">
        <v>10</v>
      </c>
      <c r="F3" t="s">
        <v>11</v>
      </c>
      <c r="G3" t="s">
        <v>94</v>
      </c>
      <c r="H3" t="s">
        <v>113</v>
      </c>
      <c r="I3" t="s">
        <v>121</v>
      </c>
      <c r="J3" t="s">
        <v>248</v>
      </c>
      <c r="L3">
        <v>0</v>
      </c>
      <c r="M3">
        <v>1</v>
      </c>
    </row>
    <row r="4" spans="1:15" x14ac:dyDescent="0.25">
      <c r="A4" t="s">
        <v>67</v>
      </c>
      <c r="B4" t="str">
        <f t="shared" si="0"/>
        <v>10A.P.airoides</v>
      </c>
      <c r="C4" t="str">
        <f t="shared" si="1"/>
        <v>10A.P.airoides.Highcomp</v>
      </c>
      <c r="D4" t="s">
        <v>145</v>
      </c>
      <c r="E4">
        <v>10</v>
      </c>
      <c r="F4" t="s">
        <v>11</v>
      </c>
      <c r="G4" t="s">
        <v>94</v>
      </c>
      <c r="H4" t="s">
        <v>103</v>
      </c>
      <c r="I4" t="s">
        <v>121</v>
      </c>
      <c r="J4" t="s">
        <v>103</v>
      </c>
      <c r="L4">
        <v>0</v>
      </c>
      <c r="M4">
        <v>1</v>
      </c>
    </row>
    <row r="5" spans="1:15" x14ac:dyDescent="0.25">
      <c r="A5" t="s">
        <v>67</v>
      </c>
      <c r="B5" t="str">
        <f t="shared" si="0"/>
        <v>10A.V.rosea</v>
      </c>
      <c r="C5" t="str">
        <f t="shared" si="1"/>
        <v>10A.V.rosea.Highcomp</v>
      </c>
      <c r="D5" t="s">
        <v>145</v>
      </c>
      <c r="E5">
        <v>10</v>
      </c>
      <c r="F5" t="s">
        <v>11</v>
      </c>
      <c r="G5" t="s">
        <v>94</v>
      </c>
      <c r="H5" t="s">
        <v>112</v>
      </c>
      <c r="I5" t="s">
        <v>121</v>
      </c>
      <c r="J5" t="s">
        <v>235</v>
      </c>
      <c r="L5">
        <v>0</v>
      </c>
      <c r="M5">
        <v>1</v>
      </c>
    </row>
    <row r="6" spans="1:15" x14ac:dyDescent="0.25">
      <c r="A6" t="s">
        <v>67</v>
      </c>
      <c r="B6" t="str">
        <f t="shared" si="0"/>
        <v>10A.V.rosea</v>
      </c>
      <c r="C6" t="str">
        <f t="shared" si="1"/>
        <v>10A.V.rosea.Highcomp</v>
      </c>
      <c r="D6" t="s">
        <v>145</v>
      </c>
      <c r="E6">
        <v>10</v>
      </c>
      <c r="F6" t="s">
        <v>11</v>
      </c>
      <c r="G6" t="s">
        <v>94</v>
      </c>
      <c r="H6" t="s">
        <v>112</v>
      </c>
      <c r="I6" t="s">
        <v>121</v>
      </c>
      <c r="J6" t="s">
        <v>248</v>
      </c>
      <c r="L6">
        <v>0</v>
      </c>
      <c r="M6">
        <v>2</v>
      </c>
    </row>
    <row r="7" spans="1:15" x14ac:dyDescent="0.25">
      <c r="A7" t="s">
        <v>68</v>
      </c>
      <c r="B7" t="str">
        <f t="shared" si="0"/>
        <v>10B.H.glutinosum</v>
      </c>
      <c r="C7" t="str">
        <f t="shared" si="1"/>
        <v>10B.H.glutinosum.Highcomp</v>
      </c>
      <c r="D7" t="s">
        <v>145</v>
      </c>
      <c r="E7">
        <v>10</v>
      </c>
      <c r="F7" t="s">
        <v>15</v>
      </c>
      <c r="G7" t="s">
        <v>95</v>
      </c>
      <c r="H7" t="s">
        <v>113</v>
      </c>
      <c r="I7" t="s">
        <v>121</v>
      </c>
      <c r="J7" t="s">
        <v>113</v>
      </c>
      <c r="L7">
        <v>0</v>
      </c>
      <c r="M7">
        <v>1</v>
      </c>
    </row>
    <row r="8" spans="1:15" x14ac:dyDescent="0.25">
      <c r="A8" t="s">
        <v>68</v>
      </c>
      <c r="B8" t="str">
        <f t="shared" si="0"/>
        <v>10B.M.minima</v>
      </c>
      <c r="C8" t="str">
        <f t="shared" si="1"/>
        <v>10B.M.minima.Highcomp</v>
      </c>
      <c r="D8" t="s">
        <v>145</v>
      </c>
      <c r="E8">
        <v>10</v>
      </c>
      <c r="F8" t="s">
        <v>15</v>
      </c>
      <c r="G8" t="s">
        <v>95</v>
      </c>
      <c r="H8" t="s">
        <v>110</v>
      </c>
      <c r="I8" t="s">
        <v>113</v>
      </c>
      <c r="J8" t="s">
        <v>113</v>
      </c>
      <c r="L8">
        <v>0</v>
      </c>
      <c r="M8">
        <v>2</v>
      </c>
    </row>
    <row r="9" spans="1:15" x14ac:dyDescent="0.25">
      <c r="A9" t="s">
        <v>68</v>
      </c>
      <c r="B9" t="str">
        <f t="shared" si="0"/>
        <v>10B.P.canescens</v>
      </c>
      <c r="C9" t="str">
        <f t="shared" si="1"/>
        <v>10B.P.canescens.Highcomp</v>
      </c>
      <c r="D9" t="s">
        <v>145</v>
      </c>
      <c r="E9">
        <v>10</v>
      </c>
      <c r="F9" t="s">
        <v>15</v>
      </c>
      <c r="G9" t="s">
        <v>95</v>
      </c>
      <c r="H9" t="s">
        <v>111</v>
      </c>
      <c r="I9" t="s">
        <v>121</v>
      </c>
      <c r="J9" t="s">
        <v>239</v>
      </c>
      <c r="L9">
        <v>0</v>
      </c>
      <c r="M9">
        <v>1</v>
      </c>
    </row>
    <row r="10" spans="1:15" x14ac:dyDescent="0.25">
      <c r="A10" t="s">
        <v>68</v>
      </c>
      <c r="B10" t="str">
        <f t="shared" si="0"/>
        <v>10B.T.cyanopetala</v>
      </c>
      <c r="C10" t="str">
        <f t="shared" si="1"/>
        <v>10B.T.cyanopetala.Highcomp</v>
      </c>
      <c r="D10" t="s">
        <v>145</v>
      </c>
      <c r="E10">
        <v>10</v>
      </c>
      <c r="F10" t="s">
        <v>15</v>
      </c>
      <c r="G10" t="s">
        <v>95</v>
      </c>
      <c r="H10" t="s">
        <v>104</v>
      </c>
      <c r="I10" t="s">
        <v>121</v>
      </c>
      <c r="J10" t="s">
        <v>114</v>
      </c>
      <c r="K10" t="s">
        <v>161</v>
      </c>
      <c r="L10">
        <v>1</v>
      </c>
      <c r="M10">
        <v>0</v>
      </c>
    </row>
    <row r="11" spans="1:15" x14ac:dyDescent="0.25">
      <c r="A11" t="s">
        <v>69</v>
      </c>
      <c r="B11" t="str">
        <f t="shared" si="0"/>
        <v>10C.A.calendula</v>
      </c>
      <c r="C11" t="str">
        <f t="shared" si="1"/>
        <v>10C.A.calendula.Highcomp</v>
      </c>
      <c r="D11" t="s">
        <v>145</v>
      </c>
      <c r="E11">
        <v>10</v>
      </c>
      <c r="F11" t="s">
        <v>17</v>
      </c>
      <c r="G11" t="s">
        <v>95</v>
      </c>
      <c r="H11" t="s">
        <v>102</v>
      </c>
      <c r="I11" t="s">
        <v>102</v>
      </c>
      <c r="J11" t="s">
        <v>102</v>
      </c>
      <c r="L11">
        <v>0</v>
      </c>
      <c r="M11">
        <v>1</v>
      </c>
    </row>
    <row r="12" spans="1:15" x14ac:dyDescent="0.25">
      <c r="A12" t="s">
        <v>69</v>
      </c>
      <c r="B12" t="str">
        <f t="shared" si="0"/>
        <v>10C.A.calendula</v>
      </c>
      <c r="C12" t="str">
        <f t="shared" si="1"/>
        <v>10C.A.calendula.Highcomp</v>
      </c>
      <c r="D12" t="s">
        <v>145</v>
      </c>
      <c r="E12">
        <v>10</v>
      </c>
      <c r="F12" t="s">
        <v>17</v>
      </c>
      <c r="G12" t="s">
        <v>95</v>
      </c>
      <c r="H12" t="s">
        <v>102</v>
      </c>
      <c r="I12" t="s">
        <v>102</v>
      </c>
      <c r="J12" t="s">
        <v>235</v>
      </c>
      <c r="L12">
        <v>0</v>
      </c>
      <c r="M12">
        <v>2</v>
      </c>
    </row>
    <row r="13" spans="1:15" x14ac:dyDescent="0.25">
      <c r="A13" t="s">
        <v>69</v>
      </c>
      <c r="B13" t="str">
        <f t="shared" si="0"/>
        <v>10C.H.glutinosum</v>
      </c>
      <c r="C13" t="str">
        <f t="shared" si="1"/>
        <v>10C.H.glutinosum.Highcomp</v>
      </c>
      <c r="D13" t="s">
        <v>145</v>
      </c>
      <c r="E13">
        <v>10</v>
      </c>
      <c r="F13" t="s">
        <v>17</v>
      </c>
      <c r="G13" t="s">
        <v>95</v>
      </c>
      <c r="H13" t="s">
        <v>113</v>
      </c>
      <c r="I13" t="s">
        <v>113</v>
      </c>
      <c r="J13" t="s">
        <v>113</v>
      </c>
      <c r="L13">
        <v>0</v>
      </c>
      <c r="M13">
        <v>1</v>
      </c>
    </row>
    <row r="14" spans="1:15" x14ac:dyDescent="0.25">
      <c r="A14" t="s">
        <v>69</v>
      </c>
      <c r="B14" t="str">
        <f t="shared" si="0"/>
        <v>10C.H.glutinosum</v>
      </c>
      <c r="C14" t="str">
        <f t="shared" si="1"/>
        <v>10C.H.glutinosum.Highcomp</v>
      </c>
      <c r="D14" t="s">
        <v>145</v>
      </c>
      <c r="E14">
        <v>10</v>
      </c>
      <c r="F14" t="s">
        <v>17</v>
      </c>
      <c r="G14" t="s">
        <v>95</v>
      </c>
      <c r="H14" t="s">
        <v>113</v>
      </c>
      <c r="I14" t="s">
        <v>113</v>
      </c>
      <c r="J14" t="s">
        <v>235</v>
      </c>
      <c r="L14">
        <v>0</v>
      </c>
      <c r="M14">
        <v>2</v>
      </c>
    </row>
    <row r="15" spans="1:15" x14ac:dyDescent="0.25">
      <c r="A15" t="s">
        <v>69</v>
      </c>
      <c r="B15" t="str">
        <f t="shared" si="0"/>
        <v>10C.P.airoides</v>
      </c>
      <c r="C15" t="str">
        <f t="shared" si="1"/>
        <v>10C.P.airoides.Highcomp</v>
      </c>
      <c r="D15" t="s">
        <v>145</v>
      </c>
      <c r="E15">
        <v>10</v>
      </c>
      <c r="F15" t="s">
        <v>17</v>
      </c>
      <c r="G15" t="s">
        <v>95</v>
      </c>
      <c r="H15" t="s">
        <v>103</v>
      </c>
      <c r="I15" t="s">
        <v>103</v>
      </c>
      <c r="J15" t="s">
        <v>103</v>
      </c>
      <c r="L15">
        <v>0</v>
      </c>
      <c r="M15">
        <v>1</v>
      </c>
    </row>
    <row r="16" spans="1:15" x14ac:dyDescent="0.25">
      <c r="A16" t="s">
        <v>69</v>
      </c>
      <c r="B16" t="str">
        <f t="shared" si="0"/>
        <v>10C.P.airoides</v>
      </c>
      <c r="C16" t="str">
        <f t="shared" si="1"/>
        <v>10C.P.airoides.Highcomp</v>
      </c>
      <c r="D16" t="s">
        <v>145</v>
      </c>
      <c r="E16">
        <v>10</v>
      </c>
      <c r="F16" t="s">
        <v>17</v>
      </c>
      <c r="G16" t="s">
        <v>95</v>
      </c>
      <c r="H16" t="s">
        <v>103</v>
      </c>
      <c r="I16" t="s">
        <v>103</v>
      </c>
      <c r="J16" t="s">
        <v>241</v>
      </c>
      <c r="L16">
        <v>0</v>
      </c>
      <c r="M16">
        <v>1</v>
      </c>
    </row>
    <row r="17" spans="1:13" x14ac:dyDescent="0.25">
      <c r="A17" t="s">
        <v>69</v>
      </c>
      <c r="B17" t="str">
        <f t="shared" si="0"/>
        <v>10C.P.airoides</v>
      </c>
      <c r="C17" t="str">
        <f t="shared" si="1"/>
        <v>10C.P.airoides.Highcomp</v>
      </c>
      <c r="D17" t="s">
        <v>145</v>
      </c>
      <c r="E17">
        <v>10</v>
      </c>
      <c r="F17" t="s">
        <v>17</v>
      </c>
      <c r="G17" t="s">
        <v>95</v>
      </c>
      <c r="H17" t="s">
        <v>103</v>
      </c>
      <c r="I17" t="s">
        <v>103</v>
      </c>
      <c r="J17" t="s">
        <v>235</v>
      </c>
      <c r="L17">
        <v>0</v>
      </c>
      <c r="M17">
        <v>1</v>
      </c>
    </row>
    <row r="18" spans="1:13" x14ac:dyDescent="0.25">
      <c r="A18" t="s">
        <v>69</v>
      </c>
      <c r="B18" t="str">
        <f t="shared" si="0"/>
        <v>10C.P.canescens</v>
      </c>
      <c r="C18" t="str">
        <f t="shared" si="1"/>
        <v>10C.P.canescens.Highcomp</v>
      </c>
      <c r="D18" t="s">
        <v>145</v>
      </c>
      <c r="E18">
        <v>10</v>
      </c>
      <c r="F18" t="s">
        <v>17</v>
      </c>
      <c r="G18" t="s">
        <v>95</v>
      </c>
      <c r="H18" t="s">
        <v>111</v>
      </c>
      <c r="I18" t="s">
        <v>121</v>
      </c>
      <c r="J18" t="s">
        <v>235</v>
      </c>
      <c r="L18">
        <v>0</v>
      </c>
      <c r="M18">
        <v>3</v>
      </c>
    </row>
    <row r="19" spans="1:13" s="2" customFormat="1" x14ac:dyDescent="0.25">
      <c r="A19" s="2" t="s">
        <v>69</v>
      </c>
      <c r="B19" t="str">
        <f t="shared" si="0"/>
        <v>10C.V.rosea</v>
      </c>
      <c r="C19" t="str">
        <f t="shared" si="1"/>
        <v>10C.V.rosea.Highcomp</v>
      </c>
      <c r="D19" t="s">
        <v>145</v>
      </c>
      <c r="E19">
        <v>10</v>
      </c>
      <c r="F19" s="2" t="s">
        <v>17</v>
      </c>
      <c r="G19" s="2" t="s">
        <v>95</v>
      </c>
      <c r="H19" s="2" t="s">
        <v>112</v>
      </c>
      <c r="I19" s="2" t="s">
        <v>121</v>
      </c>
      <c r="J19" s="2" t="s">
        <v>235</v>
      </c>
      <c r="K19" s="2" t="s">
        <v>252</v>
      </c>
      <c r="L19" s="2">
        <v>1</v>
      </c>
      <c r="M19" s="2">
        <v>2</v>
      </c>
    </row>
    <row r="20" spans="1:13" x14ac:dyDescent="0.25">
      <c r="A20" t="s">
        <v>70</v>
      </c>
      <c r="B20" t="str">
        <f t="shared" si="0"/>
        <v>10D.A.calendula</v>
      </c>
      <c r="C20" t="str">
        <f t="shared" si="1"/>
        <v>10D.A.calendula.Highcomp</v>
      </c>
      <c r="D20" t="s">
        <v>145</v>
      </c>
      <c r="E20">
        <v>10</v>
      </c>
      <c r="F20" t="s">
        <v>19</v>
      </c>
      <c r="G20" t="s">
        <v>95</v>
      </c>
      <c r="H20" t="s">
        <v>102</v>
      </c>
      <c r="I20" t="s">
        <v>121</v>
      </c>
      <c r="J20" t="s">
        <v>102</v>
      </c>
      <c r="L20" s="2">
        <v>0</v>
      </c>
      <c r="M20">
        <v>1</v>
      </c>
    </row>
    <row r="21" spans="1:13" x14ac:dyDescent="0.25">
      <c r="A21" t="s">
        <v>70</v>
      </c>
      <c r="B21" t="str">
        <f t="shared" si="0"/>
        <v>10D.A.calendula</v>
      </c>
      <c r="C21" t="str">
        <f t="shared" si="1"/>
        <v>10D.A.calendula.Highcomp</v>
      </c>
      <c r="D21" t="s">
        <v>145</v>
      </c>
      <c r="E21">
        <v>10</v>
      </c>
      <c r="F21" t="s">
        <v>19</v>
      </c>
      <c r="G21" t="s">
        <v>95</v>
      </c>
      <c r="H21" t="s">
        <v>102</v>
      </c>
      <c r="I21" t="s">
        <v>121</v>
      </c>
      <c r="J21" t="s">
        <v>236</v>
      </c>
      <c r="L21" s="2">
        <v>0</v>
      </c>
      <c r="M21">
        <v>1</v>
      </c>
    </row>
    <row r="22" spans="1:13" x14ac:dyDescent="0.25">
      <c r="A22" t="s">
        <v>70</v>
      </c>
      <c r="B22" t="str">
        <f t="shared" si="0"/>
        <v>10D.H.glabra</v>
      </c>
      <c r="C22" t="str">
        <f t="shared" si="1"/>
        <v>10D.H.glabra.Highcomp</v>
      </c>
      <c r="D22" t="s">
        <v>145</v>
      </c>
      <c r="E22">
        <v>10</v>
      </c>
      <c r="F22" t="s">
        <v>19</v>
      </c>
      <c r="G22" t="s">
        <v>95</v>
      </c>
      <c r="H22" t="s">
        <v>105</v>
      </c>
      <c r="I22" t="s">
        <v>121</v>
      </c>
      <c r="J22" t="s">
        <v>235</v>
      </c>
      <c r="L22" s="2">
        <v>0</v>
      </c>
      <c r="M22">
        <v>1</v>
      </c>
    </row>
    <row r="23" spans="1:13" x14ac:dyDescent="0.25">
      <c r="A23" t="s">
        <v>70</v>
      </c>
      <c r="B23" t="str">
        <f t="shared" si="0"/>
        <v>10D.H.glabra</v>
      </c>
      <c r="C23" t="str">
        <f t="shared" si="1"/>
        <v>10D.H.glabra.Highcomp</v>
      </c>
      <c r="D23" t="s">
        <v>145</v>
      </c>
      <c r="E23">
        <v>10</v>
      </c>
      <c r="F23" t="s">
        <v>19</v>
      </c>
      <c r="G23" t="s">
        <v>95</v>
      </c>
      <c r="H23" t="s">
        <v>105</v>
      </c>
      <c r="I23" t="s">
        <v>121</v>
      </c>
      <c r="J23" t="s">
        <v>236</v>
      </c>
      <c r="L23" s="2">
        <v>0</v>
      </c>
      <c r="M23">
        <v>2</v>
      </c>
    </row>
    <row r="24" spans="1:13" x14ac:dyDescent="0.25">
      <c r="A24" t="s">
        <v>70</v>
      </c>
      <c r="B24" t="str">
        <f t="shared" si="0"/>
        <v>10D.H.glabra</v>
      </c>
      <c r="C24" t="str">
        <f t="shared" si="1"/>
        <v>10D.H.glabra.Highcomp</v>
      </c>
      <c r="D24" t="s">
        <v>145</v>
      </c>
      <c r="E24">
        <v>10</v>
      </c>
      <c r="F24" t="s">
        <v>19</v>
      </c>
      <c r="G24" t="s">
        <v>95</v>
      </c>
      <c r="H24" t="s">
        <v>105</v>
      </c>
      <c r="I24" t="s">
        <v>121</v>
      </c>
      <c r="J24" t="s">
        <v>162</v>
      </c>
      <c r="L24" s="2">
        <v>0</v>
      </c>
      <c r="M24">
        <v>1</v>
      </c>
    </row>
    <row r="25" spans="1:13" x14ac:dyDescent="0.25">
      <c r="A25" t="s">
        <v>70</v>
      </c>
      <c r="B25" t="str">
        <f t="shared" si="0"/>
        <v>10D.P.canescens</v>
      </c>
      <c r="C25" t="str">
        <f t="shared" si="1"/>
        <v>10D.P.canescens.Highcomp</v>
      </c>
      <c r="D25" t="s">
        <v>145</v>
      </c>
      <c r="E25">
        <v>10</v>
      </c>
      <c r="F25" t="s">
        <v>19</v>
      </c>
      <c r="G25" t="s">
        <v>95</v>
      </c>
      <c r="H25" t="s">
        <v>111</v>
      </c>
      <c r="I25" t="s">
        <v>121</v>
      </c>
      <c r="J25" t="s">
        <v>235</v>
      </c>
      <c r="L25" s="2">
        <v>0</v>
      </c>
      <c r="M25">
        <v>1</v>
      </c>
    </row>
    <row r="26" spans="1:13" x14ac:dyDescent="0.25">
      <c r="A26" t="s">
        <v>71</v>
      </c>
      <c r="B26" t="str">
        <f t="shared" si="0"/>
        <v>10E.A.calendula</v>
      </c>
      <c r="C26" t="str">
        <f t="shared" si="1"/>
        <v>10E.A.calendula.Highcomp</v>
      </c>
      <c r="D26" t="s">
        <v>145</v>
      </c>
      <c r="E26">
        <v>10</v>
      </c>
      <c r="F26" t="s">
        <v>21</v>
      </c>
      <c r="G26" t="s">
        <v>94</v>
      </c>
      <c r="H26" t="s">
        <v>102</v>
      </c>
      <c r="I26" t="s">
        <v>121</v>
      </c>
      <c r="J26" t="s">
        <v>114</v>
      </c>
      <c r="L26" s="2">
        <v>0</v>
      </c>
      <c r="M26" t="s">
        <v>114</v>
      </c>
    </row>
    <row r="27" spans="1:13" x14ac:dyDescent="0.25">
      <c r="A27" t="s">
        <v>71</v>
      </c>
      <c r="B27" t="str">
        <f t="shared" si="0"/>
        <v>10E.P.canescens</v>
      </c>
      <c r="C27" t="str">
        <f t="shared" si="1"/>
        <v>10E.P.canescens.Highcomp</v>
      </c>
      <c r="D27" t="s">
        <v>145</v>
      </c>
      <c r="E27">
        <v>10</v>
      </c>
      <c r="F27" t="s">
        <v>21</v>
      </c>
      <c r="G27" t="s">
        <v>94</v>
      </c>
      <c r="H27" t="s">
        <v>111</v>
      </c>
      <c r="I27" t="s">
        <v>111</v>
      </c>
      <c r="J27" t="s">
        <v>111</v>
      </c>
      <c r="L27" s="2">
        <v>0</v>
      </c>
      <c r="M27">
        <v>1</v>
      </c>
    </row>
    <row r="28" spans="1:13" x14ac:dyDescent="0.25">
      <c r="A28" t="s">
        <v>71</v>
      </c>
      <c r="B28" t="str">
        <f t="shared" si="0"/>
        <v>10E.P.canescens</v>
      </c>
      <c r="C28" t="str">
        <f t="shared" si="1"/>
        <v>10E.P.canescens.Highcomp</v>
      </c>
      <c r="D28" t="s">
        <v>145</v>
      </c>
      <c r="E28">
        <v>10</v>
      </c>
      <c r="F28" t="s">
        <v>21</v>
      </c>
      <c r="G28" t="s">
        <v>94</v>
      </c>
      <c r="H28" t="s">
        <v>111</v>
      </c>
      <c r="I28" t="s">
        <v>111</v>
      </c>
      <c r="J28" t="s">
        <v>250</v>
      </c>
      <c r="L28" s="2">
        <v>0</v>
      </c>
      <c r="M28">
        <v>1</v>
      </c>
    </row>
    <row r="29" spans="1:13" x14ac:dyDescent="0.25">
      <c r="A29" t="s">
        <v>71</v>
      </c>
      <c r="B29" t="str">
        <f t="shared" si="0"/>
        <v>10E.T.cyanopetala</v>
      </c>
      <c r="C29" t="str">
        <f t="shared" si="1"/>
        <v>10E.T.cyanopetala.Highcomp</v>
      </c>
      <c r="D29" t="s">
        <v>145</v>
      </c>
      <c r="E29">
        <v>10</v>
      </c>
      <c r="F29" t="s">
        <v>21</v>
      </c>
      <c r="G29" t="s">
        <v>94</v>
      </c>
      <c r="H29" t="s">
        <v>104</v>
      </c>
      <c r="I29" t="s">
        <v>104</v>
      </c>
      <c r="J29" t="s">
        <v>104</v>
      </c>
      <c r="L29" s="2">
        <v>0</v>
      </c>
      <c r="M29">
        <v>1</v>
      </c>
    </row>
    <row r="30" spans="1:13" x14ac:dyDescent="0.25">
      <c r="A30" t="s">
        <v>72</v>
      </c>
      <c r="B30" t="str">
        <f t="shared" si="0"/>
        <v>10F.H.glabra</v>
      </c>
      <c r="C30" t="str">
        <f t="shared" si="1"/>
        <v>10F.H.glabra.Highcomp</v>
      </c>
      <c r="D30" t="s">
        <v>145</v>
      </c>
      <c r="E30">
        <v>10</v>
      </c>
      <c r="F30" t="s">
        <v>23</v>
      </c>
      <c r="G30" t="s">
        <v>95</v>
      </c>
      <c r="H30" t="s">
        <v>105</v>
      </c>
      <c r="I30" t="s">
        <v>121</v>
      </c>
      <c r="J30" t="s">
        <v>238</v>
      </c>
      <c r="L30" s="2">
        <v>0</v>
      </c>
      <c r="M30">
        <v>1</v>
      </c>
    </row>
    <row r="31" spans="1:13" x14ac:dyDescent="0.25">
      <c r="A31" t="s">
        <v>72</v>
      </c>
      <c r="B31" t="str">
        <f t="shared" si="0"/>
        <v>10F.P.canescens</v>
      </c>
      <c r="C31" t="str">
        <f t="shared" si="1"/>
        <v>10F.P.canescens.Highcomp</v>
      </c>
      <c r="D31" t="s">
        <v>145</v>
      </c>
      <c r="E31">
        <v>10</v>
      </c>
      <c r="F31" t="s">
        <v>23</v>
      </c>
      <c r="G31" t="s">
        <v>95</v>
      </c>
      <c r="H31" t="s">
        <v>111</v>
      </c>
      <c r="I31" t="s">
        <v>121</v>
      </c>
      <c r="J31" t="s">
        <v>114</v>
      </c>
      <c r="L31" s="2">
        <v>0</v>
      </c>
      <c r="M31">
        <v>0</v>
      </c>
    </row>
    <row r="32" spans="1:13" x14ac:dyDescent="0.25">
      <c r="A32" t="s">
        <v>72</v>
      </c>
      <c r="B32" t="str">
        <f t="shared" si="0"/>
        <v>10F.T.cyanopetala</v>
      </c>
      <c r="C32" t="str">
        <f t="shared" si="1"/>
        <v>10F.T.cyanopetala.Highcomp</v>
      </c>
      <c r="D32" t="s">
        <v>145</v>
      </c>
      <c r="E32">
        <v>10</v>
      </c>
      <c r="F32" t="s">
        <v>23</v>
      </c>
      <c r="G32" t="s">
        <v>95</v>
      </c>
      <c r="H32" t="s">
        <v>104</v>
      </c>
      <c r="I32" t="s">
        <v>104</v>
      </c>
      <c r="J32" t="s">
        <v>104</v>
      </c>
      <c r="L32" s="2">
        <v>0</v>
      </c>
      <c r="M32">
        <v>1</v>
      </c>
    </row>
    <row r="33" spans="1:13" x14ac:dyDescent="0.25">
      <c r="A33" t="s">
        <v>72</v>
      </c>
      <c r="B33" t="str">
        <f t="shared" si="0"/>
        <v>10F.T.cyanopetala</v>
      </c>
      <c r="C33" t="str">
        <f t="shared" si="1"/>
        <v>10F.T.cyanopetala.Highcomp</v>
      </c>
      <c r="D33" t="s">
        <v>145</v>
      </c>
      <c r="E33">
        <v>10</v>
      </c>
      <c r="F33" t="s">
        <v>23</v>
      </c>
      <c r="G33" t="s">
        <v>95</v>
      </c>
      <c r="H33" t="s">
        <v>104</v>
      </c>
      <c r="I33" t="s">
        <v>104</v>
      </c>
      <c r="J33" t="s">
        <v>244</v>
      </c>
      <c r="L33" s="2">
        <v>0</v>
      </c>
      <c r="M33">
        <v>1</v>
      </c>
    </row>
    <row r="34" spans="1:13" x14ac:dyDescent="0.25">
      <c r="A34" t="s">
        <v>72</v>
      </c>
      <c r="B34" t="str">
        <f t="shared" si="0"/>
        <v>10F.V.rosea</v>
      </c>
      <c r="C34" t="str">
        <f t="shared" si="1"/>
        <v>10F.V.rosea.Highcomp</v>
      </c>
      <c r="D34" t="s">
        <v>145</v>
      </c>
      <c r="E34">
        <v>10</v>
      </c>
      <c r="F34" t="s">
        <v>23</v>
      </c>
      <c r="G34" t="s">
        <v>95</v>
      </c>
      <c r="H34" t="s">
        <v>112</v>
      </c>
      <c r="I34" t="s">
        <v>121</v>
      </c>
      <c r="J34" t="s">
        <v>238</v>
      </c>
      <c r="L34" s="2">
        <v>0</v>
      </c>
      <c r="M34">
        <v>1</v>
      </c>
    </row>
    <row r="35" spans="1:13" x14ac:dyDescent="0.25">
      <c r="A35" t="s">
        <v>73</v>
      </c>
      <c r="B35" t="str">
        <f t="shared" si="0"/>
        <v>10G.H.glabra</v>
      </c>
      <c r="C35" t="str">
        <f t="shared" si="1"/>
        <v>10G.H.glabra.Highcomp</v>
      </c>
      <c r="D35" t="s">
        <v>145</v>
      </c>
      <c r="E35">
        <v>10</v>
      </c>
      <c r="F35" t="s">
        <v>25</v>
      </c>
      <c r="G35" t="s">
        <v>94</v>
      </c>
      <c r="H35" t="s">
        <v>105</v>
      </c>
      <c r="I35" t="s">
        <v>112</v>
      </c>
      <c r="J35" t="s">
        <v>112</v>
      </c>
      <c r="L35" s="2">
        <v>0</v>
      </c>
      <c r="M35">
        <v>1</v>
      </c>
    </row>
    <row r="36" spans="1:13" x14ac:dyDescent="0.25">
      <c r="A36" t="s">
        <v>73</v>
      </c>
      <c r="B36" t="str">
        <f t="shared" si="0"/>
        <v>10G.M.minima</v>
      </c>
      <c r="C36" t="str">
        <f t="shared" si="1"/>
        <v>10G.M.minima.Highcomp</v>
      </c>
      <c r="D36" t="s">
        <v>145</v>
      </c>
      <c r="E36">
        <v>10</v>
      </c>
      <c r="F36" t="s">
        <v>25</v>
      </c>
      <c r="G36" t="s">
        <v>94</v>
      </c>
      <c r="H36" t="s">
        <v>110</v>
      </c>
      <c r="I36" t="s">
        <v>110</v>
      </c>
      <c r="J36" t="s">
        <v>110</v>
      </c>
      <c r="L36" s="2">
        <v>0</v>
      </c>
      <c r="M36">
        <v>3</v>
      </c>
    </row>
    <row r="37" spans="1:13" x14ac:dyDescent="0.25">
      <c r="A37" t="s">
        <v>73</v>
      </c>
      <c r="B37" t="str">
        <f t="shared" si="0"/>
        <v>10G.M.minima</v>
      </c>
      <c r="C37" t="str">
        <f t="shared" si="1"/>
        <v>10G.M.minima.Highcomp</v>
      </c>
      <c r="D37" t="s">
        <v>145</v>
      </c>
      <c r="E37">
        <v>10</v>
      </c>
      <c r="F37" t="s">
        <v>25</v>
      </c>
      <c r="G37" t="s">
        <v>94</v>
      </c>
      <c r="H37" t="s">
        <v>110</v>
      </c>
      <c r="I37" t="s">
        <v>110</v>
      </c>
      <c r="J37" t="s">
        <v>251</v>
      </c>
      <c r="L37" s="2">
        <v>0</v>
      </c>
      <c r="M37">
        <v>1</v>
      </c>
    </row>
    <row r="38" spans="1:13" x14ac:dyDescent="0.25">
      <c r="A38" t="s">
        <v>73</v>
      </c>
      <c r="B38" t="str">
        <f t="shared" si="0"/>
        <v>10G.M.minima</v>
      </c>
      <c r="C38" t="str">
        <f t="shared" si="1"/>
        <v>10G.M.minima.Highcomp</v>
      </c>
      <c r="D38" t="s">
        <v>145</v>
      </c>
      <c r="E38">
        <v>10</v>
      </c>
      <c r="F38" t="s">
        <v>25</v>
      </c>
      <c r="G38" t="s">
        <v>94</v>
      </c>
      <c r="H38" t="s">
        <v>110</v>
      </c>
      <c r="I38" t="s">
        <v>110</v>
      </c>
      <c r="J38" t="s">
        <v>246</v>
      </c>
      <c r="L38" s="2">
        <v>0</v>
      </c>
      <c r="M38">
        <v>1</v>
      </c>
    </row>
    <row r="39" spans="1:13" x14ac:dyDescent="0.25">
      <c r="A39" t="s">
        <v>73</v>
      </c>
      <c r="B39" t="str">
        <f t="shared" si="0"/>
        <v>10G.T.cyanopetala</v>
      </c>
      <c r="C39" t="str">
        <f t="shared" si="1"/>
        <v>10G.T.cyanopetala.Highcomp</v>
      </c>
      <c r="D39" t="s">
        <v>145</v>
      </c>
      <c r="E39">
        <v>10</v>
      </c>
      <c r="F39" t="s">
        <v>25</v>
      </c>
      <c r="G39" t="s">
        <v>94</v>
      </c>
      <c r="H39" t="s">
        <v>104</v>
      </c>
      <c r="I39" t="s">
        <v>104</v>
      </c>
      <c r="J39" t="s">
        <v>104</v>
      </c>
      <c r="L39" s="2">
        <v>0</v>
      </c>
      <c r="M39">
        <v>1</v>
      </c>
    </row>
    <row r="40" spans="1:13" x14ac:dyDescent="0.25">
      <c r="A40" t="s">
        <v>73</v>
      </c>
      <c r="B40" t="str">
        <f t="shared" si="0"/>
        <v>10G.V.rosea</v>
      </c>
      <c r="C40" t="str">
        <f t="shared" si="1"/>
        <v>10G.V.rosea.Highcomp</v>
      </c>
      <c r="D40" t="s">
        <v>145</v>
      </c>
      <c r="E40">
        <v>10</v>
      </c>
      <c r="F40" t="s">
        <v>25</v>
      </c>
      <c r="G40" t="s">
        <v>94</v>
      </c>
      <c r="H40" t="s">
        <v>112</v>
      </c>
      <c r="I40" t="s">
        <v>121</v>
      </c>
      <c r="J40" t="s">
        <v>114</v>
      </c>
      <c r="L40" s="2">
        <v>0</v>
      </c>
      <c r="M40" t="s">
        <v>114</v>
      </c>
    </row>
    <row r="41" spans="1:13" x14ac:dyDescent="0.25">
      <c r="A41" t="s">
        <v>74</v>
      </c>
      <c r="B41" t="str">
        <f t="shared" si="0"/>
        <v>10H.A.calendula</v>
      </c>
      <c r="C41" t="str">
        <f t="shared" si="1"/>
        <v>10H.A.calendula.Highcomp</v>
      </c>
      <c r="D41" t="s">
        <v>145</v>
      </c>
      <c r="E41">
        <v>10</v>
      </c>
      <c r="F41" t="s">
        <v>27</v>
      </c>
      <c r="G41" t="s">
        <v>95</v>
      </c>
      <c r="H41" t="s">
        <v>102</v>
      </c>
      <c r="I41" t="s">
        <v>113</v>
      </c>
      <c r="J41" t="s">
        <v>113</v>
      </c>
      <c r="L41" s="2">
        <v>0</v>
      </c>
      <c r="M41">
        <v>3</v>
      </c>
    </row>
    <row r="42" spans="1:13" x14ac:dyDescent="0.25">
      <c r="A42" t="s">
        <v>74</v>
      </c>
      <c r="B42" t="str">
        <f t="shared" si="0"/>
        <v>10H.A.calendula</v>
      </c>
      <c r="C42" t="str">
        <f t="shared" si="1"/>
        <v>10H.A.calendula.Highcomp</v>
      </c>
      <c r="D42" t="s">
        <v>145</v>
      </c>
      <c r="E42">
        <v>10</v>
      </c>
      <c r="F42" t="s">
        <v>27</v>
      </c>
      <c r="G42" t="s">
        <v>95</v>
      </c>
      <c r="H42" t="s">
        <v>102</v>
      </c>
      <c r="I42" t="s">
        <v>113</v>
      </c>
      <c r="J42" t="s">
        <v>103</v>
      </c>
      <c r="L42" s="2">
        <v>0</v>
      </c>
      <c r="M42">
        <v>1</v>
      </c>
    </row>
    <row r="43" spans="1:13" x14ac:dyDescent="0.25">
      <c r="A43" t="s">
        <v>74</v>
      </c>
      <c r="B43" t="str">
        <f t="shared" si="0"/>
        <v>10H.H.glutinosum</v>
      </c>
      <c r="C43" t="str">
        <f t="shared" si="1"/>
        <v>10H.H.glutinosum.Highcomp</v>
      </c>
      <c r="D43" t="s">
        <v>145</v>
      </c>
      <c r="E43">
        <v>10</v>
      </c>
      <c r="F43" t="s">
        <v>27</v>
      </c>
      <c r="G43" t="s">
        <v>95</v>
      </c>
      <c r="H43" t="s">
        <v>113</v>
      </c>
      <c r="I43" t="s">
        <v>113</v>
      </c>
      <c r="J43" t="s">
        <v>113</v>
      </c>
      <c r="L43" s="2">
        <v>0</v>
      </c>
      <c r="M43">
        <v>1</v>
      </c>
    </row>
    <row r="44" spans="1:13" x14ac:dyDescent="0.25">
      <c r="A44" t="s">
        <v>74</v>
      </c>
      <c r="B44" t="str">
        <f t="shared" si="0"/>
        <v>10H.H.glutinosum</v>
      </c>
      <c r="C44" t="str">
        <f t="shared" si="1"/>
        <v>10H.H.glutinosum.Highcomp</v>
      </c>
      <c r="D44" t="s">
        <v>145</v>
      </c>
      <c r="E44">
        <v>10</v>
      </c>
      <c r="F44" t="s">
        <v>27</v>
      </c>
      <c r="G44" t="s">
        <v>95</v>
      </c>
      <c r="H44" t="s">
        <v>113</v>
      </c>
      <c r="I44" t="s">
        <v>113</v>
      </c>
      <c r="J44" t="s">
        <v>248</v>
      </c>
      <c r="L44" s="2">
        <v>0</v>
      </c>
      <c r="M44">
        <v>2</v>
      </c>
    </row>
    <row r="45" spans="1:13" x14ac:dyDescent="0.25">
      <c r="A45" t="s">
        <v>74</v>
      </c>
      <c r="B45" t="str">
        <f t="shared" si="0"/>
        <v>10H.P.airoides</v>
      </c>
      <c r="C45" t="str">
        <f t="shared" si="1"/>
        <v>10H.P.airoides.Highcomp</v>
      </c>
      <c r="D45" t="s">
        <v>145</v>
      </c>
      <c r="E45">
        <v>10</v>
      </c>
      <c r="F45" t="s">
        <v>27</v>
      </c>
      <c r="G45" t="s">
        <v>95</v>
      </c>
      <c r="H45" t="s">
        <v>103</v>
      </c>
      <c r="I45" t="s">
        <v>113</v>
      </c>
      <c r="J45" t="s">
        <v>113</v>
      </c>
      <c r="L45" s="2">
        <v>0</v>
      </c>
      <c r="M45">
        <v>1</v>
      </c>
    </row>
    <row r="46" spans="1:13" x14ac:dyDescent="0.25">
      <c r="A46" t="s">
        <v>75</v>
      </c>
      <c r="B46" t="str">
        <f t="shared" si="0"/>
        <v>10I.H.glabra</v>
      </c>
      <c r="C46" t="str">
        <f t="shared" si="1"/>
        <v>10I.H.glabra.Highcomp</v>
      </c>
      <c r="D46" t="s">
        <v>145</v>
      </c>
      <c r="E46">
        <v>10</v>
      </c>
      <c r="F46" t="s">
        <v>29</v>
      </c>
      <c r="G46" t="s">
        <v>94</v>
      </c>
      <c r="H46" t="s">
        <v>105</v>
      </c>
      <c r="I46" t="s">
        <v>121</v>
      </c>
      <c r="J46" t="s">
        <v>251</v>
      </c>
      <c r="L46" s="2">
        <v>0</v>
      </c>
      <c r="M46">
        <v>1</v>
      </c>
    </row>
    <row r="47" spans="1:13" x14ac:dyDescent="0.25">
      <c r="A47" t="s">
        <v>75</v>
      </c>
      <c r="B47" t="str">
        <f t="shared" si="0"/>
        <v>10I.H.glabra</v>
      </c>
      <c r="C47" t="str">
        <f t="shared" si="1"/>
        <v>10I.H.glabra.Highcomp</v>
      </c>
      <c r="D47" t="s">
        <v>145</v>
      </c>
      <c r="E47">
        <v>10</v>
      </c>
      <c r="F47" t="s">
        <v>29</v>
      </c>
      <c r="G47" t="s">
        <v>94</v>
      </c>
      <c r="H47" t="s">
        <v>105</v>
      </c>
      <c r="I47" t="s">
        <v>121</v>
      </c>
      <c r="J47" t="s">
        <v>244</v>
      </c>
      <c r="L47" s="2">
        <v>0</v>
      </c>
      <c r="M47">
        <v>1</v>
      </c>
    </row>
    <row r="48" spans="1:13" x14ac:dyDescent="0.25">
      <c r="A48" t="s">
        <v>75</v>
      </c>
      <c r="B48" t="str">
        <f t="shared" si="0"/>
        <v>10I.M.minima</v>
      </c>
      <c r="C48" t="str">
        <f t="shared" si="1"/>
        <v>10I.M.minima.Highcomp</v>
      </c>
      <c r="D48" t="s">
        <v>145</v>
      </c>
      <c r="E48">
        <v>10</v>
      </c>
      <c r="F48" t="s">
        <v>29</v>
      </c>
      <c r="G48" t="s">
        <v>94</v>
      </c>
      <c r="H48" t="s">
        <v>110</v>
      </c>
      <c r="I48" t="s">
        <v>104</v>
      </c>
      <c r="J48" t="s">
        <v>104</v>
      </c>
      <c r="L48" s="2">
        <v>0</v>
      </c>
      <c r="M48">
        <v>2</v>
      </c>
    </row>
    <row r="49" spans="1:13" x14ac:dyDescent="0.25">
      <c r="A49" t="s">
        <v>75</v>
      </c>
      <c r="B49" t="str">
        <f t="shared" si="0"/>
        <v>10I.P.airoides</v>
      </c>
      <c r="C49" t="str">
        <f t="shared" si="1"/>
        <v>10I.P.airoides.Highcomp</v>
      </c>
      <c r="D49" t="s">
        <v>145</v>
      </c>
      <c r="E49">
        <v>10</v>
      </c>
      <c r="F49" t="s">
        <v>29</v>
      </c>
      <c r="G49" t="s">
        <v>94</v>
      </c>
      <c r="H49" t="s">
        <v>103</v>
      </c>
      <c r="I49" t="s">
        <v>121</v>
      </c>
      <c r="J49" t="s">
        <v>251</v>
      </c>
      <c r="L49" s="2">
        <v>0</v>
      </c>
      <c r="M49">
        <v>1</v>
      </c>
    </row>
    <row r="50" spans="1:13" x14ac:dyDescent="0.25">
      <c r="A50" t="s">
        <v>75</v>
      </c>
      <c r="B50" t="str">
        <f t="shared" si="0"/>
        <v>10I.P.airoides</v>
      </c>
      <c r="C50" t="str">
        <f t="shared" si="1"/>
        <v>10I.P.airoides.Highcomp</v>
      </c>
      <c r="D50" t="s">
        <v>145</v>
      </c>
      <c r="E50">
        <v>10</v>
      </c>
      <c r="F50" t="s">
        <v>29</v>
      </c>
      <c r="G50" t="s">
        <v>94</v>
      </c>
      <c r="H50" t="s">
        <v>103</v>
      </c>
      <c r="I50" t="s">
        <v>121</v>
      </c>
      <c r="J50" t="s">
        <v>233</v>
      </c>
      <c r="L50" s="2">
        <v>0</v>
      </c>
      <c r="M50">
        <v>1</v>
      </c>
    </row>
    <row r="51" spans="1:13" x14ac:dyDescent="0.25">
      <c r="A51" t="s">
        <v>75</v>
      </c>
      <c r="B51" t="str">
        <f t="shared" si="0"/>
        <v>10I.P.airoides</v>
      </c>
      <c r="C51" t="str">
        <f t="shared" si="1"/>
        <v>10I.P.airoides.Highcomp</v>
      </c>
      <c r="D51" t="s">
        <v>145</v>
      </c>
      <c r="E51">
        <v>10</v>
      </c>
      <c r="F51" t="s">
        <v>29</v>
      </c>
      <c r="G51" t="s">
        <v>94</v>
      </c>
      <c r="H51" t="s">
        <v>103</v>
      </c>
      <c r="I51" t="s">
        <v>121</v>
      </c>
      <c r="J51" t="s">
        <v>105</v>
      </c>
      <c r="L51" s="2">
        <v>0</v>
      </c>
      <c r="M51">
        <v>1</v>
      </c>
    </row>
    <row r="52" spans="1:13" x14ac:dyDescent="0.25">
      <c r="A52" t="s">
        <v>76</v>
      </c>
      <c r="B52" t="str">
        <f t="shared" si="0"/>
        <v>10J.H.glutinosum</v>
      </c>
      <c r="C52" t="str">
        <f t="shared" si="1"/>
        <v>10J.H.glutinosum.Highcomp</v>
      </c>
      <c r="D52" t="s">
        <v>145</v>
      </c>
      <c r="E52">
        <v>10</v>
      </c>
      <c r="F52" t="s">
        <v>31</v>
      </c>
      <c r="G52" t="s">
        <v>94</v>
      </c>
      <c r="H52" t="s">
        <v>113</v>
      </c>
      <c r="I52" t="s">
        <v>113</v>
      </c>
      <c r="J52" t="s">
        <v>113</v>
      </c>
      <c r="L52" s="2">
        <v>0</v>
      </c>
      <c r="M52">
        <v>2</v>
      </c>
    </row>
    <row r="53" spans="1:13" x14ac:dyDescent="0.25">
      <c r="A53" t="s">
        <v>76</v>
      </c>
      <c r="B53" t="str">
        <f t="shared" si="0"/>
        <v>10J.H.glutinosum</v>
      </c>
      <c r="C53" t="str">
        <f t="shared" si="1"/>
        <v>10J.H.glutinosum.Highcomp</v>
      </c>
      <c r="D53" t="s">
        <v>145</v>
      </c>
      <c r="E53">
        <v>10</v>
      </c>
      <c r="F53" t="s">
        <v>31</v>
      </c>
      <c r="G53" t="s">
        <v>94</v>
      </c>
      <c r="H53" t="s">
        <v>113</v>
      </c>
      <c r="I53" t="s">
        <v>113</v>
      </c>
      <c r="J53" t="s">
        <v>238</v>
      </c>
      <c r="L53" s="2">
        <v>0</v>
      </c>
      <c r="M53">
        <v>1</v>
      </c>
    </row>
    <row r="54" spans="1:13" x14ac:dyDescent="0.25">
      <c r="A54" t="s">
        <v>76</v>
      </c>
      <c r="B54" t="str">
        <f t="shared" si="0"/>
        <v>10J.H.glutinosum</v>
      </c>
      <c r="C54" t="str">
        <f t="shared" si="1"/>
        <v>10J.H.glutinosum.Highcomp</v>
      </c>
      <c r="D54" t="s">
        <v>145</v>
      </c>
      <c r="E54">
        <v>10</v>
      </c>
      <c r="F54" t="s">
        <v>31</v>
      </c>
      <c r="G54" t="s">
        <v>94</v>
      </c>
      <c r="H54" t="s">
        <v>113</v>
      </c>
      <c r="I54" t="s">
        <v>113</v>
      </c>
      <c r="J54" t="s">
        <v>235</v>
      </c>
      <c r="L54" s="2">
        <v>0</v>
      </c>
      <c r="M54">
        <v>5</v>
      </c>
    </row>
    <row r="55" spans="1:13" x14ac:dyDescent="0.25">
      <c r="A55" t="s">
        <v>77</v>
      </c>
      <c r="B55" t="str">
        <f t="shared" si="0"/>
        <v>10K.A.calendula</v>
      </c>
      <c r="C55" t="str">
        <f t="shared" si="1"/>
        <v>10K.A.calendula.Highcomp</v>
      </c>
      <c r="D55" t="s">
        <v>145</v>
      </c>
      <c r="E55">
        <v>10</v>
      </c>
      <c r="F55" t="s">
        <v>33</v>
      </c>
      <c r="G55" t="s">
        <v>94</v>
      </c>
      <c r="H55" t="s">
        <v>102</v>
      </c>
      <c r="I55" t="s">
        <v>110</v>
      </c>
      <c r="J55" t="s">
        <v>110</v>
      </c>
      <c r="L55" s="2">
        <v>0</v>
      </c>
      <c r="M55">
        <v>1</v>
      </c>
    </row>
    <row r="56" spans="1:13" x14ac:dyDescent="0.25">
      <c r="A56" t="s">
        <v>77</v>
      </c>
      <c r="B56" t="str">
        <f t="shared" si="0"/>
        <v>10K.A.calendula</v>
      </c>
      <c r="C56" t="str">
        <f t="shared" si="1"/>
        <v>10K.A.calendula.Highcomp</v>
      </c>
      <c r="D56" t="s">
        <v>145</v>
      </c>
      <c r="E56">
        <v>10</v>
      </c>
      <c r="F56" t="s">
        <v>33</v>
      </c>
      <c r="G56" t="s">
        <v>94</v>
      </c>
      <c r="H56" t="s">
        <v>102</v>
      </c>
      <c r="I56" t="s">
        <v>110</v>
      </c>
      <c r="J56" t="s">
        <v>162</v>
      </c>
      <c r="L56" s="2">
        <v>0</v>
      </c>
      <c r="M56">
        <v>1</v>
      </c>
    </row>
    <row r="57" spans="1:13" x14ac:dyDescent="0.25">
      <c r="A57" t="s">
        <v>77</v>
      </c>
      <c r="B57" t="str">
        <f t="shared" si="0"/>
        <v>10K.M.minima</v>
      </c>
      <c r="C57" t="str">
        <f t="shared" si="1"/>
        <v>10K.M.minima.Highcomp</v>
      </c>
      <c r="D57" t="s">
        <v>145</v>
      </c>
      <c r="E57">
        <v>10</v>
      </c>
      <c r="F57" t="s">
        <v>33</v>
      </c>
      <c r="G57" t="s">
        <v>94</v>
      </c>
      <c r="H57" t="s">
        <v>110</v>
      </c>
      <c r="I57" t="s">
        <v>110</v>
      </c>
      <c r="J57" t="s">
        <v>110</v>
      </c>
      <c r="L57" s="2">
        <v>0</v>
      </c>
      <c r="M57">
        <v>3</v>
      </c>
    </row>
    <row r="58" spans="1:13" x14ac:dyDescent="0.25">
      <c r="A58" t="s">
        <v>78</v>
      </c>
      <c r="B58" t="str">
        <f t="shared" si="0"/>
        <v>10L.P.canescens</v>
      </c>
      <c r="C58" t="str">
        <f t="shared" si="1"/>
        <v>10L.P.canescens.Highcomp</v>
      </c>
      <c r="D58" t="s">
        <v>145</v>
      </c>
      <c r="E58">
        <v>10</v>
      </c>
      <c r="F58" t="s">
        <v>35</v>
      </c>
      <c r="G58" t="s">
        <v>94</v>
      </c>
      <c r="H58" t="s">
        <v>111</v>
      </c>
      <c r="I58" t="s">
        <v>121</v>
      </c>
      <c r="J58" t="s">
        <v>114</v>
      </c>
      <c r="L58" s="2">
        <v>0</v>
      </c>
      <c r="M58">
        <v>0</v>
      </c>
    </row>
    <row r="59" spans="1:13" x14ac:dyDescent="0.25">
      <c r="A59" t="s">
        <v>50</v>
      </c>
      <c r="B59" t="str">
        <f t="shared" si="0"/>
        <v>12A.H.glutinosum</v>
      </c>
      <c r="C59" t="str">
        <f t="shared" si="1"/>
        <v>12A.H.glutinosum.Highcomp</v>
      </c>
      <c r="D59" t="s">
        <v>145</v>
      </c>
      <c r="E59">
        <v>12</v>
      </c>
      <c r="F59" t="s">
        <v>11</v>
      </c>
      <c r="G59" t="s">
        <v>95</v>
      </c>
      <c r="H59" t="s">
        <v>113</v>
      </c>
      <c r="I59" t="s">
        <v>113</v>
      </c>
      <c r="J59" t="s">
        <v>113</v>
      </c>
      <c r="L59" s="2">
        <v>0</v>
      </c>
      <c r="M59">
        <v>6</v>
      </c>
    </row>
    <row r="60" spans="1:13" x14ac:dyDescent="0.25">
      <c r="A60" t="s">
        <v>50</v>
      </c>
      <c r="B60" t="str">
        <f t="shared" si="0"/>
        <v>12A.H.glutinosum</v>
      </c>
      <c r="C60" t="str">
        <f t="shared" si="1"/>
        <v>12A.H.glutinosum.Highcomp</v>
      </c>
      <c r="D60" t="s">
        <v>145</v>
      </c>
      <c r="E60">
        <v>12</v>
      </c>
      <c r="F60" t="s">
        <v>11</v>
      </c>
      <c r="G60" t="s">
        <v>95</v>
      </c>
      <c r="H60" t="s">
        <v>113</v>
      </c>
      <c r="I60" t="s">
        <v>113</v>
      </c>
      <c r="J60" t="s">
        <v>238</v>
      </c>
      <c r="L60" s="2">
        <v>0</v>
      </c>
      <c r="M60">
        <v>1</v>
      </c>
    </row>
    <row r="61" spans="1:13" x14ac:dyDescent="0.25">
      <c r="A61" t="s">
        <v>50</v>
      </c>
      <c r="B61" t="str">
        <f t="shared" si="0"/>
        <v>12A.P.airoides</v>
      </c>
      <c r="C61" t="str">
        <f t="shared" si="1"/>
        <v>12A.P.airoides.Highcomp</v>
      </c>
      <c r="D61" t="s">
        <v>145</v>
      </c>
      <c r="E61">
        <v>12</v>
      </c>
      <c r="F61" t="s">
        <v>11</v>
      </c>
      <c r="G61" t="s">
        <v>95</v>
      </c>
      <c r="H61" t="s">
        <v>103</v>
      </c>
      <c r="I61" t="s">
        <v>113</v>
      </c>
      <c r="J61" t="s">
        <v>113</v>
      </c>
      <c r="L61" s="2">
        <v>0</v>
      </c>
      <c r="M61">
        <v>4</v>
      </c>
    </row>
    <row r="62" spans="1:13" x14ac:dyDescent="0.25">
      <c r="A62" t="s">
        <v>50</v>
      </c>
      <c r="B62" t="str">
        <f t="shared" si="0"/>
        <v>12A.P.airoides</v>
      </c>
      <c r="C62" t="str">
        <f t="shared" si="1"/>
        <v>12A.P.airoides.Highcomp</v>
      </c>
      <c r="D62" t="s">
        <v>145</v>
      </c>
      <c r="E62">
        <v>12</v>
      </c>
      <c r="F62" t="s">
        <v>11</v>
      </c>
      <c r="G62" t="s">
        <v>95</v>
      </c>
      <c r="H62" t="s">
        <v>103</v>
      </c>
      <c r="I62" t="s">
        <v>113</v>
      </c>
      <c r="J62" t="s">
        <v>242</v>
      </c>
      <c r="L62" s="2">
        <v>0</v>
      </c>
      <c r="M62">
        <v>3</v>
      </c>
    </row>
    <row r="63" spans="1:13" x14ac:dyDescent="0.25">
      <c r="A63" t="s">
        <v>50</v>
      </c>
      <c r="B63" t="str">
        <f t="shared" si="0"/>
        <v>12A.P.canescens</v>
      </c>
      <c r="C63" t="str">
        <f t="shared" si="1"/>
        <v>12A.P.canescens.Highcomp</v>
      </c>
      <c r="D63" t="s">
        <v>145</v>
      </c>
      <c r="E63">
        <v>12</v>
      </c>
      <c r="F63" t="s">
        <v>11</v>
      </c>
      <c r="G63" t="s">
        <v>95</v>
      </c>
      <c r="H63" t="s">
        <v>111</v>
      </c>
      <c r="I63" t="s">
        <v>113</v>
      </c>
      <c r="J63" t="s">
        <v>113</v>
      </c>
      <c r="L63" s="2">
        <v>0</v>
      </c>
      <c r="M63">
        <v>3</v>
      </c>
    </row>
    <row r="64" spans="1:13" x14ac:dyDescent="0.25">
      <c r="A64" t="s">
        <v>50</v>
      </c>
      <c r="B64" t="str">
        <f t="shared" si="0"/>
        <v>12A.P.canescens</v>
      </c>
      <c r="C64" t="str">
        <f t="shared" si="1"/>
        <v>12A.P.canescens.Highcomp</v>
      </c>
      <c r="D64" t="s">
        <v>145</v>
      </c>
      <c r="E64">
        <v>12</v>
      </c>
      <c r="F64" t="s">
        <v>11</v>
      </c>
      <c r="G64" t="s">
        <v>95</v>
      </c>
      <c r="H64" t="s">
        <v>111</v>
      </c>
      <c r="I64" t="s">
        <v>113</v>
      </c>
      <c r="J64" t="s">
        <v>242</v>
      </c>
      <c r="L64" s="2">
        <v>0</v>
      </c>
      <c r="M64">
        <v>2</v>
      </c>
    </row>
    <row r="65" spans="1:13" x14ac:dyDescent="0.25">
      <c r="A65" t="s">
        <v>50</v>
      </c>
      <c r="B65" t="str">
        <f t="shared" si="0"/>
        <v>12A.T.cyanopetala</v>
      </c>
      <c r="C65" t="str">
        <f t="shared" si="1"/>
        <v>12A.T.cyanopetala.Highcomp</v>
      </c>
      <c r="D65" t="s">
        <v>145</v>
      </c>
      <c r="E65">
        <v>12</v>
      </c>
      <c r="F65" t="s">
        <v>11</v>
      </c>
      <c r="G65" t="s">
        <v>95</v>
      </c>
      <c r="H65" t="s">
        <v>104</v>
      </c>
      <c r="I65" t="s">
        <v>121</v>
      </c>
      <c r="J65" t="s">
        <v>103</v>
      </c>
      <c r="L65" s="2">
        <v>0</v>
      </c>
      <c r="M65">
        <v>1</v>
      </c>
    </row>
    <row r="66" spans="1:13" x14ac:dyDescent="0.25">
      <c r="A66" t="s">
        <v>50</v>
      </c>
      <c r="B66" t="str">
        <f t="shared" si="0"/>
        <v>12A.T.cyanopetala</v>
      </c>
      <c r="C66" t="str">
        <f t="shared" si="1"/>
        <v>12A.T.cyanopetala.Highcomp</v>
      </c>
      <c r="D66" t="s">
        <v>145</v>
      </c>
      <c r="E66">
        <v>12</v>
      </c>
      <c r="F66" t="s">
        <v>11</v>
      </c>
      <c r="G66" t="s">
        <v>95</v>
      </c>
      <c r="H66" t="s">
        <v>104</v>
      </c>
      <c r="I66" t="s">
        <v>121</v>
      </c>
      <c r="J66" t="s">
        <v>238</v>
      </c>
      <c r="L66" s="2">
        <v>0</v>
      </c>
      <c r="M66">
        <v>1</v>
      </c>
    </row>
    <row r="67" spans="1:13" s="2" customFormat="1" x14ac:dyDescent="0.25">
      <c r="A67" s="2" t="s">
        <v>51</v>
      </c>
      <c r="B67" s="2" t="str">
        <f t="shared" ref="B67:B130" si="2">A67&amp;"."&amp;H67</f>
        <v>12B.H.glabra</v>
      </c>
      <c r="C67" t="str">
        <f t="shared" ref="C67:C130" si="3">B67&amp;"."&amp;D67</f>
        <v>12B.H.glabra.Highcomp</v>
      </c>
      <c r="D67" t="s">
        <v>145</v>
      </c>
      <c r="E67" s="2">
        <v>12</v>
      </c>
      <c r="F67" s="2" t="s">
        <v>15</v>
      </c>
      <c r="G67" s="2" t="s">
        <v>94</v>
      </c>
      <c r="H67" s="2" t="s">
        <v>105</v>
      </c>
      <c r="I67" s="2" t="s">
        <v>104</v>
      </c>
      <c r="J67" s="2" t="s">
        <v>104</v>
      </c>
      <c r="L67" s="2">
        <v>0</v>
      </c>
      <c r="M67" s="2">
        <v>2</v>
      </c>
    </row>
    <row r="68" spans="1:13" s="2" customFormat="1" x14ac:dyDescent="0.25">
      <c r="A68" s="2" t="s">
        <v>51</v>
      </c>
      <c r="B68" s="2" t="str">
        <f t="shared" si="2"/>
        <v>12B.P.canescens</v>
      </c>
      <c r="C68" t="str">
        <f t="shared" si="3"/>
        <v>12B.P.canescens.Highcomp</v>
      </c>
      <c r="D68" t="s">
        <v>145</v>
      </c>
      <c r="E68" s="2">
        <v>12</v>
      </c>
      <c r="F68" s="2" t="s">
        <v>15</v>
      </c>
      <c r="G68" s="2" t="s">
        <v>94</v>
      </c>
      <c r="H68" s="2" t="s">
        <v>111</v>
      </c>
      <c r="I68" s="2" t="s">
        <v>121</v>
      </c>
      <c r="J68" s="2" t="s">
        <v>241</v>
      </c>
      <c r="L68" s="2">
        <v>0</v>
      </c>
      <c r="M68" s="2">
        <v>1</v>
      </c>
    </row>
    <row r="69" spans="1:13" s="2" customFormat="1" x14ac:dyDescent="0.25">
      <c r="A69" s="2" t="s">
        <v>51</v>
      </c>
      <c r="B69" s="2" t="str">
        <f t="shared" si="2"/>
        <v>12B.V.rosea</v>
      </c>
      <c r="C69" t="str">
        <f t="shared" si="3"/>
        <v>12B.V.rosea.Highcomp</v>
      </c>
      <c r="D69" t="s">
        <v>145</v>
      </c>
      <c r="E69" s="2">
        <v>12</v>
      </c>
      <c r="F69" s="2" t="s">
        <v>15</v>
      </c>
      <c r="G69" s="2" t="s">
        <v>94</v>
      </c>
      <c r="H69" s="2" t="s">
        <v>112</v>
      </c>
      <c r="I69" s="2" t="s">
        <v>112</v>
      </c>
      <c r="J69" s="2" t="s">
        <v>112</v>
      </c>
      <c r="L69" s="2">
        <v>0</v>
      </c>
      <c r="M69" s="2">
        <v>2</v>
      </c>
    </row>
    <row r="70" spans="1:13" x14ac:dyDescent="0.25">
      <c r="A70" t="s">
        <v>52</v>
      </c>
      <c r="B70" t="str">
        <f t="shared" si="2"/>
        <v>12C.A.calendula</v>
      </c>
      <c r="C70" t="str">
        <f t="shared" si="3"/>
        <v>12C.A.calendula.Highcomp</v>
      </c>
      <c r="D70" t="s">
        <v>145</v>
      </c>
      <c r="E70">
        <v>12</v>
      </c>
      <c r="F70" t="s">
        <v>17</v>
      </c>
      <c r="G70" t="s">
        <v>95</v>
      </c>
      <c r="H70" t="s">
        <v>102</v>
      </c>
      <c r="I70" t="s">
        <v>121</v>
      </c>
      <c r="J70" t="s">
        <v>238</v>
      </c>
      <c r="L70" s="2">
        <v>0</v>
      </c>
      <c r="M70">
        <v>1</v>
      </c>
    </row>
    <row r="71" spans="1:13" x14ac:dyDescent="0.25">
      <c r="A71" t="s">
        <v>52</v>
      </c>
      <c r="B71" t="str">
        <f t="shared" si="2"/>
        <v>12C.A.calendula</v>
      </c>
      <c r="C71" t="str">
        <f t="shared" si="3"/>
        <v>12C.A.calendula.Highcomp</v>
      </c>
      <c r="D71" t="s">
        <v>145</v>
      </c>
      <c r="E71">
        <v>12</v>
      </c>
      <c r="F71" t="s">
        <v>17</v>
      </c>
      <c r="G71" t="s">
        <v>95</v>
      </c>
      <c r="H71" t="s">
        <v>102</v>
      </c>
      <c r="I71" t="s">
        <v>121</v>
      </c>
      <c r="J71" t="s">
        <v>113</v>
      </c>
      <c r="L71" s="2">
        <v>0</v>
      </c>
      <c r="M71">
        <v>1</v>
      </c>
    </row>
    <row r="72" spans="1:13" x14ac:dyDescent="0.25">
      <c r="A72" t="s">
        <v>52</v>
      </c>
      <c r="B72" t="str">
        <f t="shared" si="2"/>
        <v>12C.P.airoides</v>
      </c>
      <c r="C72" t="str">
        <f t="shared" si="3"/>
        <v>12C.P.airoides.Highcomp</v>
      </c>
      <c r="D72" t="s">
        <v>145</v>
      </c>
      <c r="E72">
        <v>12</v>
      </c>
      <c r="F72" t="s">
        <v>17</v>
      </c>
      <c r="G72" t="s">
        <v>95</v>
      </c>
      <c r="H72" t="s">
        <v>103</v>
      </c>
      <c r="I72" t="s">
        <v>121</v>
      </c>
      <c r="J72" t="s">
        <v>234</v>
      </c>
      <c r="L72" s="2">
        <v>0</v>
      </c>
      <c r="M72">
        <v>5</v>
      </c>
    </row>
    <row r="73" spans="1:13" x14ac:dyDescent="0.25">
      <c r="A73" t="s">
        <v>52</v>
      </c>
      <c r="B73" t="str">
        <f t="shared" si="2"/>
        <v>12C.P.canescens</v>
      </c>
      <c r="C73" t="str">
        <f t="shared" si="3"/>
        <v>12C.P.canescens.Highcomp</v>
      </c>
      <c r="D73" t="s">
        <v>145</v>
      </c>
      <c r="E73">
        <v>12</v>
      </c>
      <c r="F73" t="s">
        <v>17</v>
      </c>
      <c r="G73" t="s">
        <v>95</v>
      </c>
      <c r="H73" t="s">
        <v>111</v>
      </c>
      <c r="I73" t="s">
        <v>103</v>
      </c>
      <c r="J73" t="s">
        <v>103</v>
      </c>
      <c r="L73" s="2">
        <v>0</v>
      </c>
      <c r="M73">
        <v>1</v>
      </c>
    </row>
    <row r="74" spans="1:13" x14ac:dyDescent="0.25">
      <c r="A74" t="s">
        <v>52</v>
      </c>
      <c r="B74" t="str">
        <f t="shared" si="2"/>
        <v>12C.V.rosea</v>
      </c>
      <c r="C74" t="str">
        <f t="shared" si="3"/>
        <v>12C.V.rosea.Highcomp</v>
      </c>
      <c r="D74" t="s">
        <v>145</v>
      </c>
      <c r="E74">
        <v>12</v>
      </c>
      <c r="F74" t="s">
        <v>17</v>
      </c>
      <c r="G74" t="s">
        <v>95</v>
      </c>
      <c r="H74" t="s">
        <v>112</v>
      </c>
      <c r="I74" t="s">
        <v>121</v>
      </c>
      <c r="J74" t="s">
        <v>235</v>
      </c>
      <c r="L74" s="2">
        <v>0</v>
      </c>
      <c r="M74">
        <v>1</v>
      </c>
    </row>
    <row r="75" spans="1:13" x14ac:dyDescent="0.25">
      <c r="A75" t="s">
        <v>53</v>
      </c>
      <c r="B75" t="str">
        <f t="shared" si="2"/>
        <v>12D.A.calendula</v>
      </c>
      <c r="C75" t="str">
        <f t="shared" si="3"/>
        <v>12D.A.calendula.Highcomp</v>
      </c>
      <c r="D75" t="s">
        <v>145</v>
      </c>
      <c r="E75">
        <v>12</v>
      </c>
      <c r="F75" t="s">
        <v>19</v>
      </c>
      <c r="G75" t="s">
        <v>94</v>
      </c>
      <c r="H75" t="s">
        <v>102</v>
      </c>
      <c r="I75" t="s">
        <v>121</v>
      </c>
      <c r="J75" t="s">
        <v>808</v>
      </c>
      <c r="L75" s="2">
        <v>0</v>
      </c>
      <c r="M75">
        <v>1</v>
      </c>
    </row>
    <row r="76" spans="1:13" x14ac:dyDescent="0.25">
      <c r="A76" t="s">
        <v>53</v>
      </c>
      <c r="B76" t="str">
        <f t="shared" si="2"/>
        <v>12D.A.calendula</v>
      </c>
      <c r="C76" t="str">
        <f t="shared" si="3"/>
        <v>12D.A.calendula.Highcomp</v>
      </c>
      <c r="D76" t="s">
        <v>145</v>
      </c>
      <c r="E76">
        <v>12</v>
      </c>
      <c r="F76" t="s">
        <v>19</v>
      </c>
      <c r="G76" t="s">
        <v>94</v>
      </c>
      <c r="H76" t="s">
        <v>102</v>
      </c>
      <c r="I76" t="s">
        <v>121</v>
      </c>
      <c r="J76" t="s">
        <v>241</v>
      </c>
      <c r="L76" s="2">
        <v>0</v>
      </c>
      <c r="M76">
        <v>1</v>
      </c>
    </row>
    <row r="77" spans="1:13" x14ac:dyDescent="0.25">
      <c r="A77" t="s">
        <v>53</v>
      </c>
      <c r="B77" t="str">
        <f t="shared" si="2"/>
        <v>12D.H.glutinosum</v>
      </c>
      <c r="C77" t="str">
        <f t="shared" si="3"/>
        <v>12D.H.glutinosum.Highcomp</v>
      </c>
      <c r="D77" t="s">
        <v>145</v>
      </c>
      <c r="E77">
        <v>12</v>
      </c>
      <c r="F77" t="s">
        <v>19</v>
      </c>
      <c r="G77" t="s">
        <v>94</v>
      </c>
      <c r="H77" t="s">
        <v>113</v>
      </c>
      <c r="I77" t="s">
        <v>121</v>
      </c>
      <c r="J77" t="s">
        <v>103</v>
      </c>
      <c r="L77" s="2">
        <v>0</v>
      </c>
      <c r="M77">
        <v>1</v>
      </c>
    </row>
    <row r="78" spans="1:13" x14ac:dyDescent="0.25">
      <c r="A78" t="s">
        <v>53</v>
      </c>
      <c r="B78" t="str">
        <f t="shared" si="2"/>
        <v>12D.H.glutinosum</v>
      </c>
      <c r="C78" t="str">
        <f t="shared" si="3"/>
        <v>12D.H.glutinosum.Highcomp</v>
      </c>
      <c r="D78" t="s">
        <v>145</v>
      </c>
      <c r="E78">
        <v>12</v>
      </c>
      <c r="F78" t="s">
        <v>19</v>
      </c>
      <c r="G78" t="s">
        <v>94</v>
      </c>
      <c r="H78" t="s">
        <v>113</v>
      </c>
      <c r="I78" t="s">
        <v>121</v>
      </c>
      <c r="J78" t="s">
        <v>238</v>
      </c>
      <c r="L78" s="2">
        <v>0</v>
      </c>
      <c r="M78">
        <v>1</v>
      </c>
    </row>
    <row r="79" spans="1:13" x14ac:dyDescent="0.25">
      <c r="A79" t="s">
        <v>53</v>
      </c>
      <c r="B79" t="str">
        <f t="shared" si="2"/>
        <v>12D.H.glutinosum</v>
      </c>
      <c r="C79" t="str">
        <f t="shared" si="3"/>
        <v>12D.H.glutinosum.Highcomp</v>
      </c>
      <c r="D79" t="s">
        <v>145</v>
      </c>
      <c r="E79">
        <v>12</v>
      </c>
      <c r="F79" t="s">
        <v>19</v>
      </c>
      <c r="G79" t="s">
        <v>94</v>
      </c>
      <c r="H79" t="s">
        <v>113</v>
      </c>
      <c r="I79" t="s">
        <v>121</v>
      </c>
      <c r="J79" t="s">
        <v>235</v>
      </c>
      <c r="L79" s="2">
        <v>0</v>
      </c>
      <c r="M79">
        <v>1</v>
      </c>
    </row>
    <row r="80" spans="1:13" x14ac:dyDescent="0.25">
      <c r="A80" t="s">
        <v>53</v>
      </c>
      <c r="B80" t="str">
        <f t="shared" si="2"/>
        <v>12D.H.glutinosum</v>
      </c>
      <c r="C80" t="str">
        <f t="shared" si="3"/>
        <v>12D.H.glutinosum.Highcomp</v>
      </c>
      <c r="D80" t="s">
        <v>145</v>
      </c>
      <c r="E80">
        <v>12</v>
      </c>
      <c r="F80" t="s">
        <v>19</v>
      </c>
      <c r="G80" t="s">
        <v>94</v>
      </c>
      <c r="H80" t="s">
        <v>113</v>
      </c>
      <c r="I80" t="s">
        <v>121</v>
      </c>
      <c r="J80" t="s">
        <v>241</v>
      </c>
      <c r="L80" s="2">
        <v>0</v>
      </c>
      <c r="M80">
        <v>2</v>
      </c>
    </row>
    <row r="81" spans="1:13" x14ac:dyDescent="0.25">
      <c r="A81" t="s">
        <v>53</v>
      </c>
      <c r="B81" t="str">
        <f t="shared" si="2"/>
        <v>12D.H.glutinosum</v>
      </c>
      <c r="C81" t="str">
        <f t="shared" si="3"/>
        <v>12D.H.glutinosum.Highcomp</v>
      </c>
      <c r="D81" t="s">
        <v>145</v>
      </c>
      <c r="E81">
        <v>12</v>
      </c>
      <c r="F81" t="s">
        <v>19</v>
      </c>
      <c r="G81" t="s">
        <v>94</v>
      </c>
      <c r="H81" t="s">
        <v>113</v>
      </c>
      <c r="I81" t="s">
        <v>121</v>
      </c>
      <c r="J81" t="s">
        <v>242</v>
      </c>
      <c r="L81" s="2">
        <v>0</v>
      </c>
      <c r="M81">
        <v>1</v>
      </c>
    </row>
    <row r="82" spans="1:13" x14ac:dyDescent="0.25">
      <c r="A82" t="s">
        <v>53</v>
      </c>
      <c r="B82" t="str">
        <f t="shared" si="2"/>
        <v>12D.H.glutinosum</v>
      </c>
      <c r="C82" t="str">
        <f t="shared" si="3"/>
        <v>12D.H.glutinosum.Highcomp</v>
      </c>
      <c r="D82" t="s">
        <v>145</v>
      </c>
      <c r="E82">
        <v>12</v>
      </c>
      <c r="F82" t="s">
        <v>19</v>
      </c>
      <c r="G82" t="s">
        <v>94</v>
      </c>
      <c r="H82" t="s">
        <v>113</v>
      </c>
      <c r="I82" t="s">
        <v>121</v>
      </c>
      <c r="J82" t="s">
        <v>112</v>
      </c>
      <c r="L82" s="2">
        <v>0</v>
      </c>
      <c r="M82">
        <v>1</v>
      </c>
    </row>
    <row r="83" spans="1:13" x14ac:dyDescent="0.25">
      <c r="A83" t="s">
        <v>53</v>
      </c>
      <c r="B83" t="str">
        <f t="shared" si="2"/>
        <v>12D.P.airoides</v>
      </c>
      <c r="C83" t="str">
        <f t="shared" si="3"/>
        <v>12D.P.airoides.Highcomp</v>
      </c>
      <c r="D83" t="s">
        <v>145</v>
      </c>
      <c r="E83">
        <v>12</v>
      </c>
      <c r="F83" t="s">
        <v>19</v>
      </c>
      <c r="G83" t="s">
        <v>94</v>
      </c>
      <c r="H83" t="s">
        <v>103</v>
      </c>
      <c r="I83" t="s">
        <v>121</v>
      </c>
      <c r="J83" t="s">
        <v>103</v>
      </c>
      <c r="L83" s="2">
        <v>0</v>
      </c>
      <c r="M83">
        <v>1</v>
      </c>
    </row>
    <row r="84" spans="1:13" x14ac:dyDescent="0.25">
      <c r="A84" t="s">
        <v>53</v>
      </c>
      <c r="B84" t="str">
        <f t="shared" si="2"/>
        <v>12D.P.airoides</v>
      </c>
      <c r="C84" t="str">
        <f t="shared" si="3"/>
        <v>12D.P.airoides.Highcomp</v>
      </c>
      <c r="D84" t="s">
        <v>145</v>
      </c>
      <c r="E84">
        <v>12</v>
      </c>
      <c r="F84" t="s">
        <v>19</v>
      </c>
      <c r="G84" t="s">
        <v>94</v>
      </c>
      <c r="H84" t="s">
        <v>103</v>
      </c>
      <c r="I84" t="s">
        <v>121</v>
      </c>
      <c r="J84" t="s">
        <v>241</v>
      </c>
      <c r="L84" s="2">
        <v>0</v>
      </c>
      <c r="M84">
        <v>1</v>
      </c>
    </row>
    <row r="85" spans="1:13" x14ac:dyDescent="0.25">
      <c r="A85" t="s">
        <v>53</v>
      </c>
      <c r="B85" t="str">
        <f t="shared" si="2"/>
        <v>12D.V.rosea</v>
      </c>
      <c r="C85" t="str">
        <f t="shared" si="3"/>
        <v>12D.V.rosea.Highcomp</v>
      </c>
      <c r="D85" t="s">
        <v>145</v>
      </c>
      <c r="E85">
        <v>12</v>
      </c>
      <c r="F85" t="s">
        <v>19</v>
      </c>
      <c r="G85" t="s">
        <v>94</v>
      </c>
      <c r="H85" t="s">
        <v>112</v>
      </c>
      <c r="I85" t="s">
        <v>121</v>
      </c>
      <c r="J85" t="s">
        <v>114</v>
      </c>
      <c r="L85" s="2">
        <v>0</v>
      </c>
      <c r="M85">
        <v>0</v>
      </c>
    </row>
    <row r="86" spans="1:13" x14ac:dyDescent="0.25">
      <c r="A86" t="s">
        <v>54</v>
      </c>
      <c r="B86" t="str">
        <f t="shared" si="2"/>
        <v>12E.H.glutinosum</v>
      </c>
      <c r="C86" t="str">
        <f t="shared" si="3"/>
        <v>12E.H.glutinosum.Highcomp</v>
      </c>
      <c r="D86" t="s">
        <v>145</v>
      </c>
      <c r="E86">
        <v>12</v>
      </c>
      <c r="F86" t="s">
        <v>21</v>
      </c>
      <c r="G86" t="s">
        <v>95</v>
      </c>
      <c r="H86" t="s">
        <v>113</v>
      </c>
      <c r="I86" t="s">
        <v>121</v>
      </c>
      <c r="J86" t="s">
        <v>241</v>
      </c>
      <c r="L86" s="2">
        <v>0</v>
      </c>
      <c r="M86">
        <v>2</v>
      </c>
    </row>
    <row r="87" spans="1:13" x14ac:dyDescent="0.25">
      <c r="A87" t="s">
        <v>54</v>
      </c>
      <c r="B87" t="str">
        <f t="shared" si="2"/>
        <v>12E.M.minima</v>
      </c>
      <c r="C87" t="str">
        <f t="shared" si="3"/>
        <v>12E.M.minima.Highcomp</v>
      </c>
      <c r="D87" t="s">
        <v>145</v>
      </c>
      <c r="E87">
        <v>12</v>
      </c>
      <c r="F87" t="s">
        <v>21</v>
      </c>
      <c r="G87" t="s">
        <v>95</v>
      </c>
      <c r="H87" t="s">
        <v>110</v>
      </c>
      <c r="I87" t="s">
        <v>121</v>
      </c>
      <c r="J87" t="s">
        <v>241</v>
      </c>
      <c r="K87" t="s">
        <v>162</v>
      </c>
      <c r="L87" s="2">
        <v>1</v>
      </c>
      <c r="M87">
        <v>2</v>
      </c>
    </row>
    <row r="88" spans="1:13" x14ac:dyDescent="0.25">
      <c r="A88" t="s">
        <v>54</v>
      </c>
      <c r="B88" t="str">
        <f t="shared" si="2"/>
        <v>12E.P.canescens</v>
      </c>
      <c r="C88" t="str">
        <f t="shared" si="3"/>
        <v>12E.P.canescens.Highcomp</v>
      </c>
      <c r="D88" t="s">
        <v>145</v>
      </c>
      <c r="E88">
        <v>12</v>
      </c>
      <c r="F88" t="s">
        <v>21</v>
      </c>
      <c r="G88" t="s">
        <v>95</v>
      </c>
      <c r="H88" t="s">
        <v>111</v>
      </c>
      <c r="I88" t="s">
        <v>121</v>
      </c>
      <c r="J88" t="s">
        <v>162</v>
      </c>
      <c r="L88" s="2">
        <v>0</v>
      </c>
      <c r="M88">
        <v>1</v>
      </c>
    </row>
    <row r="89" spans="1:13" x14ac:dyDescent="0.25">
      <c r="A89" t="s">
        <v>55</v>
      </c>
      <c r="B89" t="str">
        <f t="shared" si="2"/>
        <v>12F.H.glutinosum</v>
      </c>
      <c r="C89" t="str">
        <f t="shared" si="3"/>
        <v>12F.H.glutinosum.Highcomp</v>
      </c>
      <c r="D89" t="s">
        <v>145</v>
      </c>
      <c r="E89">
        <v>12</v>
      </c>
      <c r="F89" t="s">
        <v>23</v>
      </c>
      <c r="G89" t="s">
        <v>94</v>
      </c>
      <c r="H89" t="s">
        <v>113</v>
      </c>
      <c r="I89" t="s">
        <v>110</v>
      </c>
      <c r="J89" t="s">
        <v>238</v>
      </c>
      <c r="L89" s="2">
        <v>0</v>
      </c>
      <c r="M89">
        <v>1</v>
      </c>
    </row>
    <row r="90" spans="1:13" x14ac:dyDescent="0.25">
      <c r="A90" t="s">
        <v>55</v>
      </c>
      <c r="B90" t="str">
        <f t="shared" si="2"/>
        <v>12F.H.glutinosum</v>
      </c>
      <c r="C90" t="str">
        <f t="shared" si="3"/>
        <v>12F.H.glutinosum.Highcomp</v>
      </c>
      <c r="D90" t="s">
        <v>145</v>
      </c>
      <c r="E90">
        <v>12</v>
      </c>
      <c r="F90" t="s">
        <v>23</v>
      </c>
      <c r="G90" t="s">
        <v>94</v>
      </c>
      <c r="H90" t="s">
        <v>113</v>
      </c>
      <c r="I90" t="s">
        <v>110</v>
      </c>
      <c r="J90" t="s">
        <v>103</v>
      </c>
      <c r="L90" s="2">
        <v>0</v>
      </c>
      <c r="M90">
        <v>1</v>
      </c>
    </row>
    <row r="91" spans="1:13" x14ac:dyDescent="0.25">
      <c r="A91" t="s">
        <v>55</v>
      </c>
      <c r="B91" t="str">
        <f t="shared" si="2"/>
        <v>12F.H.glutinosum</v>
      </c>
      <c r="C91" t="str">
        <f t="shared" si="3"/>
        <v>12F.H.glutinosum.Highcomp</v>
      </c>
      <c r="D91" t="s">
        <v>145</v>
      </c>
      <c r="E91">
        <v>12</v>
      </c>
      <c r="F91" t="s">
        <v>23</v>
      </c>
      <c r="G91" t="s">
        <v>94</v>
      </c>
      <c r="H91" t="s">
        <v>113</v>
      </c>
      <c r="I91" t="s">
        <v>110</v>
      </c>
      <c r="J91" t="s">
        <v>808</v>
      </c>
      <c r="L91" s="2">
        <v>0</v>
      </c>
      <c r="M91">
        <v>1</v>
      </c>
    </row>
    <row r="92" spans="1:13" x14ac:dyDescent="0.25">
      <c r="A92" t="s">
        <v>55</v>
      </c>
      <c r="B92" t="str">
        <f t="shared" si="2"/>
        <v>12F.H.glutinosum</v>
      </c>
      <c r="C92" t="str">
        <f t="shared" si="3"/>
        <v>12F.H.glutinosum.Highcomp</v>
      </c>
      <c r="D92" t="s">
        <v>145</v>
      </c>
      <c r="E92">
        <v>12</v>
      </c>
      <c r="F92" t="s">
        <v>23</v>
      </c>
      <c r="G92" t="s">
        <v>94</v>
      </c>
      <c r="H92" t="s">
        <v>113</v>
      </c>
      <c r="I92" t="s">
        <v>110</v>
      </c>
      <c r="J92" t="s">
        <v>113</v>
      </c>
      <c r="L92" s="2">
        <v>0</v>
      </c>
      <c r="M92">
        <v>1</v>
      </c>
    </row>
    <row r="93" spans="1:13" x14ac:dyDescent="0.25">
      <c r="A93" t="s">
        <v>55</v>
      </c>
      <c r="B93" t="str">
        <f t="shared" si="2"/>
        <v>12F.M.minima</v>
      </c>
      <c r="C93" t="str">
        <f t="shared" si="3"/>
        <v>12F.M.minima.Highcomp</v>
      </c>
      <c r="D93" t="s">
        <v>145</v>
      </c>
      <c r="E93">
        <v>12</v>
      </c>
      <c r="F93" t="s">
        <v>23</v>
      </c>
      <c r="G93" t="s">
        <v>94</v>
      </c>
      <c r="H93" t="s">
        <v>110</v>
      </c>
      <c r="I93" t="s">
        <v>103</v>
      </c>
      <c r="J93" t="s">
        <v>114</v>
      </c>
      <c r="L93" s="2">
        <v>0</v>
      </c>
      <c r="M93" t="s">
        <v>114</v>
      </c>
    </row>
    <row r="94" spans="1:13" x14ac:dyDescent="0.25">
      <c r="A94" t="s">
        <v>55</v>
      </c>
      <c r="B94" t="str">
        <f t="shared" si="2"/>
        <v>12F.P.airoides</v>
      </c>
      <c r="C94" t="str">
        <f t="shared" si="3"/>
        <v>12F.P.airoides.Highcomp</v>
      </c>
      <c r="D94" t="s">
        <v>145</v>
      </c>
      <c r="E94">
        <v>12</v>
      </c>
      <c r="F94" t="s">
        <v>23</v>
      </c>
      <c r="G94" t="s">
        <v>94</v>
      </c>
      <c r="H94" t="s">
        <v>103</v>
      </c>
      <c r="I94" t="s">
        <v>103</v>
      </c>
      <c r="J94" t="s">
        <v>114</v>
      </c>
      <c r="L94" s="2">
        <v>0</v>
      </c>
      <c r="M94" t="s">
        <v>114</v>
      </c>
    </row>
    <row r="95" spans="1:13" x14ac:dyDescent="0.25">
      <c r="A95" t="s">
        <v>55</v>
      </c>
      <c r="B95" t="str">
        <f t="shared" si="2"/>
        <v>12F.P.canescens</v>
      </c>
      <c r="C95" t="str">
        <f t="shared" si="3"/>
        <v>12F.P.canescens.Highcomp</v>
      </c>
      <c r="D95" t="s">
        <v>145</v>
      </c>
      <c r="E95">
        <v>12</v>
      </c>
      <c r="F95" t="s">
        <v>23</v>
      </c>
      <c r="G95" t="s">
        <v>94</v>
      </c>
      <c r="H95" t="s">
        <v>111</v>
      </c>
      <c r="I95" t="s">
        <v>113</v>
      </c>
      <c r="J95" t="s">
        <v>113</v>
      </c>
      <c r="L95" s="2">
        <v>0</v>
      </c>
      <c r="M95">
        <v>2</v>
      </c>
    </row>
    <row r="96" spans="1:13" s="2" customFormat="1" x14ac:dyDescent="0.25">
      <c r="A96" s="2" t="s">
        <v>55</v>
      </c>
      <c r="B96" s="2" t="str">
        <f t="shared" si="2"/>
        <v>12F.P.canescens</v>
      </c>
      <c r="C96" t="str">
        <f t="shared" si="3"/>
        <v>12F.P.canescens.Highcomp</v>
      </c>
      <c r="D96" t="s">
        <v>145</v>
      </c>
      <c r="E96" s="2">
        <v>12</v>
      </c>
      <c r="F96" s="2" t="s">
        <v>23</v>
      </c>
      <c r="G96" s="2" t="s">
        <v>94</v>
      </c>
      <c r="H96" s="2" t="s">
        <v>111</v>
      </c>
      <c r="I96" s="2" t="s">
        <v>113</v>
      </c>
      <c r="J96" s="2" t="s">
        <v>797</v>
      </c>
      <c r="L96" s="2">
        <v>0</v>
      </c>
      <c r="M96" s="2">
        <v>1</v>
      </c>
    </row>
    <row r="97" spans="1:13" x14ac:dyDescent="0.25">
      <c r="A97" t="s">
        <v>56</v>
      </c>
      <c r="B97" t="str">
        <f t="shared" si="2"/>
        <v>12G.H.glutinosum</v>
      </c>
      <c r="C97" t="str">
        <f t="shared" si="3"/>
        <v>12G.H.glutinosum.Highcomp</v>
      </c>
      <c r="D97" t="s">
        <v>145</v>
      </c>
      <c r="E97">
        <v>12</v>
      </c>
      <c r="F97" t="s">
        <v>25</v>
      </c>
      <c r="G97" t="s">
        <v>94</v>
      </c>
      <c r="H97" t="s">
        <v>113</v>
      </c>
      <c r="I97" t="s">
        <v>113</v>
      </c>
      <c r="J97" t="s">
        <v>113</v>
      </c>
      <c r="L97" s="2">
        <v>0</v>
      </c>
      <c r="M97">
        <v>3</v>
      </c>
    </row>
    <row r="98" spans="1:13" x14ac:dyDescent="0.25">
      <c r="A98" t="s">
        <v>56</v>
      </c>
      <c r="B98" t="str">
        <f t="shared" si="2"/>
        <v>12G.P.canescens</v>
      </c>
      <c r="C98" t="str">
        <f t="shared" si="3"/>
        <v>12G.P.canescens.Highcomp</v>
      </c>
      <c r="D98" t="s">
        <v>145</v>
      </c>
      <c r="E98">
        <v>12</v>
      </c>
      <c r="F98" t="s">
        <v>25</v>
      </c>
      <c r="G98" t="s">
        <v>94</v>
      </c>
      <c r="H98" t="s">
        <v>111</v>
      </c>
      <c r="I98" t="s">
        <v>121</v>
      </c>
      <c r="J98" t="s">
        <v>112</v>
      </c>
      <c r="L98" s="2">
        <v>0</v>
      </c>
      <c r="M98">
        <v>1</v>
      </c>
    </row>
    <row r="99" spans="1:13" x14ac:dyDescent="0.25">
      <c r="A99" t="s">
        <v>56</v>
      </c>
      <c r="B99" t="str">
        <f t="shared" si="2"/>
        <v>12G.T.cyanopetala</v>
      </c>
      <c r="C99" t="str">
        <f t="shared" si="3"/>
        <v>12G.T.cyanopetala.Highcomp</v>
      </c>
      <c r="D99" t="s">
        <v>145</v>
      </c>
      <c r="E99">
        <v>12</v>
      </c>
      <c r="F99" t="s">
        <v>25</v>
      </c>
      <c r="G99" t="s">
        <v>94</v>
      </c>
      <c r="H99" t="s">
        <v>104</v>
      </c>
      <c r="I99" t="s">
        <v>121</v>
      </c>
      <c r="J99" t="s">
        <v>104</v>
      </c>
      <c r="L99" s="2">
        <v>0</v>
      </c>
      <c r="M99">
        <v>1</v>
      </c>
    </row>
    <row r="100" spans="1:13" x14ac:dyDescent="0.25">
      <c r="A100" t="s">
        <v>56</v>
      </c>
      <c r="B100" t="str">
        <f t="shared" si="2"/>
        <v>12G.V.rosea</v>
      </c>
      <c r="C100" t="str">
        <f t="shared" si="3"/>
        <v>12G.V.rosea.Highcomp</v>
      </c>
      <c r="D100" t="s">
        <v>145</v>
      </c>
      <c r="E100">
        <v>12</v>
      </c>
      <c r="F100" t="s">
        <v>25</v>
      </c>
      <c r="G100" t="s">
        <v>94</v>
      </c>
      <c r="H100" t="s">
        <v>112</v>
      </c>
      <c r="I100" t="s">
        <v>121</v>
      </c>
      <c r="J100" t="s">
        <v>241</v>
      </c>
      <c r="L100" s="2">
        <v>0</v>
      </c>
      <c r="M100">
        <v>4</v>
      </c>
    </row>
    <row r="101" spans="1:13" x14ac:dyDescent="0.25">
      <c r="A101" t="s">
        <v>57</v>
      </c>
      <c r="B101" t="str">
        <f t="shared" si="2"/>
        <v>12H.H.glabra</v>
      </c>
      <c r="C101" t="str">
        <f t="shared" si="3"/>
        <v>12H.H.glabra.Highcomp</v>
      </c>
      <c r="D101" t="s">
        <v>145</v>
      </c>
      <c r="E101">
        <v>12</v>
      </c>
      <c r="F101" t="s">
        <v>27</v>
      </c>
      <c r="G101" t="s">
        <v>94</v>
      </c>
      <c r="H101" t="s">
        <v>105</v>
      </c>
      <c r="I101" t="s">
        <v>121</v>
      </c>
      <c r="J101" t="s">
        <v>247</v>
      </c>
      <c r="L101" s="2">
        <v>0</v>
      </c>
      <c r="M101">
        <v>1</v>
      </c>
    </row>
    <row r="102" spans="1:13" x14ac:dyDescent="0.25">
      <c r="A102" t="s">
        <v>57</v>
      </c>
      <c r="B102" t="str">
        <f t="shared" si="2"/>
        <v>12H.H.glabra</v>
      </c>
      <c r="C102" t="str">
        <f t="shared" si="3"/>
        <v>12H.H.glabra.Highcomp</v>
      </c>
      <c r="D102" t="s">
        <v>145</v>
      </c>
      <c r="E102">
        <v>12</v>
      </c>
      <c r="F102" t="s">
        <v>27</v>
      </c>
      <c r="G102" t="s">
        <v>94</v>
      </c>
      <c r="H102" t="s">
        <v>105</v>
      </c>
      <c r="I102" t="s">
        <v>121</v>
      </c>
      <c r="J102" t="s">
        <v>103</v>
      </c>
      <c r="L102" s="2">
        <v>0</v>
      </c>
      <c r="M102">
        <v>1</v>
      </c>
    </row>
    <row r="103" spans="1:13" x14ac:dyDescent="0.25">
      <c r="A103" t="s">
        <v>57</v>
      </c>
      <c r="B103" t="str">
        <f t="shared" si="2"/>
        <v>12H.H.glabra</v>
      </c>
      <c r="C103" t="str">
        <f t="shared" si="3"/>
        <v>12H.H.glabra.Highcomp</v>
      </c>
      <c r="D103" t="s">
        <v>145</v>
      </c>
      <c r="E103">
        <v>12</v>
      </c>
      <c r="F103" t="s">
        <v>27</v>
      </c>
      <c r="G103" t="s">
        <v>94</v>
      </c>
      <c r="H103" t="s">
        <v>105</v>
      </c>
      <c r="I103" t="s">
        <v>121</v>
      </c>
      <c r="J103" t="s">
        <v>233</v>
      </c>
      <c r="L103" s="2">
        <v>0</v>
      </c>
      <c r="M103">
        <v>6</v>
      </c>
    </row>
    <row r="104" spans="1:13" x14ac:dyDescent="0.25">
      <c r="A104" t="s">
        <v>57</v>
      </c>
      <c r="B104" t="str">
        <f t="shared" si="2"/>
        <v>12H.H.glutinosum</v>
      </c>
      <c r="C104" t="str">
        <f t="shared" si="3"/>
        <v>12H.H.glutinosum.Highcomp</v>
      </c>
      <c r="D104" t="s">
        <v>145</v>
      </c>
      <c r="E104">
        <v>12</v>
      </c>
      <c r="F104" t="s">
        <v>27</v>
      </c>
      <c r="G104" t="s">
        <v>94</v>
      </c>
      <c r="H104" t="s">
        <v>113</v>
      </c>
      <c r="I104" t="s">
        <v>121</v>
      </c>
      <c r="J104" t="s">
        <v>114</v>
      </c>
      <c r="L104" s="2">
        <v>0</v>
      </c>
      <c r="M104" t="s">
        <v>114</v>
      </c>
    </row>
    <row r="105" spans="1:13" x14ac:dyDescent="0.25">
      <c r="A105" t="s">
        <v>57</v>
      </c>
      <c r="B105" t="str">
        <f t="shared" si="2"/>
        <v>12H.V.rosea</v>
      </c>
      <c r="C105" t="str">
        <f t="shared" si="3"/>
        <v>12H.V.rosea.Highcomp</v>
      </c>
      <c r="D105" t="s">
        <v>145</v>
      </c>
      <c r="E105">
        <v>12</v>
      </c>
      <c r="F105" t="s">
        <v>27</v>
      </c>
      <c r="G105" t="s">
        <v>94</v>
      </c>
      <c r="H105" t="s">
        <v>112</v>
      </c>
      <c r="I105" t="s">
        <v>112</v>
      </c>
      <c r="J105" t="s">
        <v>112</v>
      </c>
      <c r="L105" s="2">
        <v>0</v>
      </c>
      <c r="M105">
        <v>2</v>
      </c>
    </row>
    <row r="106" spans="1:13" x14ac:dyDescent="0.25">
      <c r="A106" t="s">
        <v>57</v>
      </c>
      <c r="B106" t="str">
        <f t="shared" si="2"/>
        <v>12H.V.rosea</v>
      </c>
      <c r="C106" t="str">
        <f t="shared" si="3"/>
        <v>12H.V.rosea.Highcomp</v>
      </c>
      <c r="D106" t="s">
        <v>145</v>
      </c>
      <c r="E106">
        <v>12</v>
      </c>
      <c r="F106" t="s">
        <v>27</v>
      </c>
      <c r="G106" t="s">
        <v>94</v>
      </c>
      <c r="H106" t="s">
        <v>112</v>
      </c>
      <c r="I106" t="s">
        <v>112</v>
      </c>
      <c r="J106" t="s">
        <v>247</v>
      </c>
      <c r="L106" s="2">
        <v>0</v>
      </c>
      <c r="M106">
        <v>1</v>
      </c>
    </row>
    <row r="107" spans="1:13" x14ac:dyDescent="0.25">
      <c r="A107" t="s">
        <v>58</v>
      </c>
      <c r="B107" t="str">
        <f t="shared" si="2"/>
        <v>12I.A.calendula</v>
      </c>
      <c r="C107" t="str">
        <f t="shared" si="3"/>
        <v>12I.A.calendula.Highcomp</v>
      </c>
      <c r="D107" t="s">
        <v>145</v>
      </c>
      <c r="E107">
        <v>12</v>
      </c>
      <c r="F107" t="s">
        <v>29</v>
      </c>
      <c r="G107" t="s">
        <v>95</v>
      </c>
      <c r="H107" t="s">
        <v>102</v>
      </c>
      <c r="I107" t="s">
        <v>104</v>
      </c>
      <c r="J107" t="s">
        <v>104</v>
      </c>
      <c r="L107" s="2">
        <v>0</v>
      </c>
      <c r="M107">
        <v>1</v>
      </c>
    </row>
    <row r="108" spans="1:13" x14ac:dyDescent="0.25">
      <c r="A108" t="s">
        <v>58</v>
      </c>
      <c r="B108" t="str">
        <f t="shared" si="2"/>
        <v>12I.A.calendula</v>
      </c>
      <c r="C108" t="str">
        <f t="shared" si="3"/>
        <v>12I.A.calendula.Highcomp</v>
      </c>
      <c r="D108" t="s">
        <v>145</v>
      </c>
      <c r="E108">
        <v>12</v>
      </c>
      <c r="F108" t="s">
        <v>29</v>
      </c>
      <c r="G108" t="s">
        <v>95</v>
      </c>
      <c r="H108" t="s">
        <v>102</v>
      </c>
      <c r="I108" t="s">
        <v>104</v>
      </c>
      <c r="J108" t="s">
        <v>246</v>
      </c>
      <c r="L108" s="2">
        <v>0</v>
      </c>
      <c r="M108">
        <v>1</v>
      </c>
    </row>
    <row r="109" spans="1:13" x14ac:dyDescent="0.25">
      <c r="A109" t="s">
        <v>58</v>
      </c>
      <c r="B109" t="str">
        <f t="shared" si="2"/>
        <v>12I.M.minima</v>
      </c>
      <c r="C109" t="str">
        <f t="shared" si="3"/>
        <v>12I.M.minima.Highcomp</v>
      </c>
      <c r="D109" t="s">
        <v>145</v>
      </c>
      <c r="E109">
        <v>12</v>
      </c>
      <c r="F109" t="s">
        <v>29</v>
      </c>
      <c r="G109" t="s">
        <v>95</v>
      </c>
      <c r="H109" t="s">
        <v>110</v>
      </c>
      <c r="I109" t="s">
        <v>121</v>
      </c>
      <c r="J109" t="s">
        <v>246</v>
      </c>
      <c r="K109" t="s">
        <v>162</v>
      </c>
      <c r="L109" s="2">
        <v>1</v>
      </c>
      <c r="M109">
        <v>1</v>
      </c>
    </row>
    <row r="110" spans="1:13" x14ac:dyDescent="0.25">
      <c r="A110" t="s">
        <v>58</v>
      </c>
      <c r="B110" t="str">
        <f t="shared" si="2"/>
        <v>12I.M.minima</v>
      </c>
      <c r="C110" t="str">
        <f t="shared" si="3"/>
        <v>12I.M.minima.Highcomp</v>
      </c>
      <c r="D110" t="s">
        <v>145</v>
      </c>
      <c r="E110">
        <v>12</v>
      </c>
      <c r="F110" t="s">
        <v>29</v>
      </c>
      <c r="G110" t="s">
        <v>95</v>
      </c>
      <c r="H110" t="s">
        <v>110</v>
      </c>
      <c r="I110" t="s">
        <v>121</v>
      </c>
      <c r="J110" t="s">
        <v>239</v>
      </c>
      <c r="L110" s="2">
        <v>1</v>
      </c>
      <c r="M110">
        <v>1</v>
      </c>
    </row>
    <row r="111" spans="1:13" x14ac:dyDescent="0.25">
      <c r="A111" t="s">
        <v>58</v>
      </c>
      <c r="B111" t="str">
        <f t="shared" si="2"/>
        <v>12I.P.airoides</v>
      </c>
      <c r="C111" t="str">
        <f t="shared" si="3"/>
        <v>12I.P.airoides.Highcomp</v>
      </c>
      <c r="D111" t="s">
        <v>145</v>
      </c>
      <c r="E111">
        <v>12</v>
      </c>
      <c r="F111" t="s">
        <v>29</v>
      </c>
      <c r="G111" t="s">
        <v>95</v>
      </c>
      <c r="H111" t="s">
        <v>103</v>
      </c>
      <c r="I111" t="s">
        <v>121</v>
      </c>
      <c r="J111" t="s">
        <v>249</v>
      </c>
      <c r="L111" s="2">
        <v>0</v>
      </c>
      <c r="M111">
        <v>1</v>
      </c>
    </row>
    <row r="112" spans="1:13" x14ac:dyDescent="0.25">
      <c r="A112" t="s">
        <v>58</v>
      </c>
      <c r="B112" t="str">
        <f t="shared" si="2"/>
        <v>12I.P.airoides</v>
      </c>
      <c r="C112" t="str">
        <f t="shared" si="3"/>
        <v>12I.P.airoides.Highcomp</v>
      </c>
      <c r="D112" t="s">
        <v>145</v>
      </c>
      <c r="E112">
        <v>12</v>
      </c>
      <c r="F112" t="s">
        <v>29</v>
      </c>
      <c r="G112" t="s">
        <v>95</v>
      </c>
      <c r="H112" t="s">
        <v>103</v>
      </c>
      <c r="I112" t="s">
        <v>121</v>
      </c>
      <c r="J112" t="s">
        <v>238</v>
      </c>
      <c r="L112" s="2">
        <v>0</v>
      </c>
      <c r="M112">
        <v>1</v>
      </c>
    </row>
    <row r="113" spans="1:13" x14ac:dyDescent="0.25">
      <c r="A113" t="s">
        <v>59</v>
      </c>
      <c r="B113" t="str">
        <f t="shared" si="2"/>
        <v>12J.H.glabra</v>
      </c>
      <c r="C113" t="str">
        <f t="shared" si="3"/>
        <v>12J.H.glabra.Highcomp</v>
      </c>
      <c r="D113" t="s">
        <v>145</v>
      </c>
      <c r="E113">
        <v>12</v>
      </c>
      <c r="F113" t="s">
        <v>31</v>
      </c>
      <c r="G113" t="s">
        <v>94</v>
      </c>
      <c r="H113" t="s">
        <v>105</v>
      </c>
      <c r="I113" t="s">
        <v>121</v>
      </c>
      <c r="J113" t="s">
        <v>241</v>
      </c>
      <c r="L113" s="2">
        <v>0</v>
      </c>
      <c r="M113">
        <v>1</v>
      </c>
    </row>
    <row r="114" spans="1:13" x14ac:dyDescent="0.25">
      <c r="A114" t="s">
        <v>59</v>
      </c>
      <c r="B114" t="str">
        <f t="shared" si="2"/>
        <v>12J.M.minima</v>
      </c>
      <c r="C114" t="str">
        <f t="shared" si="3"/>
        <v>12J.M.minima.Highcomp</v>
      </c>
      <c r="D114" t="s">
        <v>145</v>
      </c>
      <c r="E114">
        <v>12</v>
      </c>
      <c r="F114" t="s">
        <v>31</v>
      </c>
      <c r="G114" t="s">
        <v>94</v>
      </c>
      <c r="H114" t="s">
        <v>110</v>
      </c>
      <c r="I114" t="s">
        <v>121</v>
      </c>
      <c r="J114" t="s">
        <v>241</v>
      </c>
      <c r="L114" s="2">
        <v>0</v>
      </c>
      <c r="M114">
        <v>2</v>
      </c>
    </row>
    <row r="115" spans="1:13" x14ac:dyDescent="0.25">
      <c r="A115" t="s">
        <v>60</v>
      </c>
      <c r="B115" t="str">
        <f t="shared" si="2"/>
        <v>12K.A.calendula</v>
      </c>
      <c r="C115" t="str">
        <f t="shared" si="3"/>
        <v>12K.A.calendula.Highcomp</v>
      </c>
      <c r="D115" t="s">
        <v>145</v>
      </c>
      <c r="E115">
        <v>12</v>
      </c>
      <c r="F115" t="s">
        <v>33</v>
      </c>
      <c r="G115" t="s">
        <v>95</v>
      </c>
      <c r="H115" t="s">
        <v>102</v>
      </c>
      <c r="I115" t="s">
        <v>104</v>
      </c>
      <c r="J115" t="s">
        <v>104</v>
      </c>
      <c r="L115" s="2">
        <v>0</v>
      </c>
      <c r="M115">
        <v>1</v>
      </c>
    </row>
    <row r="116" spans="1:13" x14ac:dyDescent="0.25">
      <c r="A116" t="s">
        <v>60</v>
      </c>
      <c r="B116" t="str">
        <f t="shared" si="2"/>
        <v>12K.M.minima</v>
      </c>
      <c r="C116" t="str">
        <f t="shared" si="3"/>
        <v>12K.M.minima.Highcomp</v>
      </c>
      <c r="D116" t="s">
        <v>145</v>
      </c>
      <c r="E116">
        <v>12</v>
      </c>
      <c r="F116" t="s">
        <v>33</v>
      </c>
      <c r="G116" t="s">
        <v>95</v>
      </c>
      <c r="H116" t="s">
        <v>110</v>
      </c>
      <c r="I116" t="s">
        <v>121</v>
      </c>
      <c r="J116" t="s">
        <v>241</v>
      </c>
      <c r="L116" s="2">
        <v>0</v>
      </c>
      <c r="M116">
        <v>2</v>
      </c>
    </row>
    <row r="117" spans="1:13" x14ac:dyDescent="0.25">
      <c r="A117" t="s">
        <v>60</v>
      </c>
      <c r="B117" t="str">
        <f t="shared" si="2"/>
        <v>12K.M.minima</v>
      </c>
      <c r="C117" t="str">
        <f t="shared" si="3"/>
        <v>12K.M.minima.Highcomp</v>
      </c>
      <c r="D117" t="s">
        <v>145</v>
      </c>
      <c r="E117">
        <v>12</v>
      </c>
      <c r="F117" t="s">
        <v>33</v>
      </c>
      <c r="G117" t="s">
        <v>95</v>
      </c>
      <c r="H117" t="s">
        <v>110</v>
      </c>
      <c r="I117" t="s">
        <v>121</v>
      </c>
      <c r="J117" t="s">
        <v>246</v>
      </c>
      <c r="L117" s="2">
        <v>0</v>
      </c>
      <c r="M117">
        <v>2</v>
      </c>
    </row>
    <row r="118" spans="1:13" x14ac:dyDescent="0.25">
      <c r="A118" t="s">
        <v>60</v>
      </c>
      <c r="B118" t="str">
        <f t="shared" si="2"/>
        <v>12K.T.cyanopetala</v>
      </c>
      <c r="C118" t="str">
        <f t="shared" si="3"/>
        <v>12K.T.cyanopetala.Highcomp</v>
      </c>
      <c r="D118" t="s">
        <v>145</v>
      </c>
      <c r="E118">
        <v>12</v>
      </c>
      <c r="F118" t="s">
        <v>33</v>
      </c>
      <c r="G118" t="s">
        <v>95</v>
      </c>
      <c r="H118" t="s">
        <v>104</v>
      </c>
      <c r="I118" t="s">
        <v>104</v>
      </c>
      <c r="J118" t="s">
        <v>104</v>
      </c>
      <c r="L118" s="2">
        <v>0</v>
      </c>
      <c r="M118">
        <v>1</v>
      </c>
    </row>
    <row r="119" spans="1:13" x14ac:dyDescent="0.25">
      <c r="A119" t="s">
        <v>60</v>
      </c>
      <c r="B119" t="str">
        <f t="shared" si="2"/>
        <v>12K.T.cyanopetala</v>
      </c>
      <c r="C119" t="str">
        <f t="shared" si="3"/>
        <v>12K.T.cyanopetala.Highcomp</v>
      </c>
      <c r="D119" t="s">
        <v>145</v>
      </c>
      <c r="E119">
        <v>12</v>
      </c>
      <c r="F119" t="s">
        <v>33</v>
      </c>
      <c r="G119" t="s">
        <v>95</v>
      </c>
      <c r="H119" t="s">
        <v>104</v>
      </c>
      <c r="I119" t="s">
        <v>104</v>
      </c>
      <c r="J119" t="s">
        <v>246</v>
      </c>
      <c r="L119" s="2">
        <v>0</v>
      </c>
      <c r="M119">
        <v>2</v>
      </c>
    </row>
    <row r="120" spans="1:13" s="2" customFormat="1" x14ac:dyDescent="0.25">
      <c r="A120" s="2" t="s">
        <v>60</v>
      </c>
      <c r="B120" s="2" t="str">
        <f t="shared" si="2"/>
        <v>12K.T.cyanopetala</v>
      </c>
      <c r="C120" t="str">
        <f t="shared" si="3"/>
        <v>12K.T.cyanopetala.Highcomp</v>
      </c>
      <c r="D120" t="s">
        <v>145</v>
      </c>
      <c r="E120" s="2">
        <v>12</v>
      </c>
      <c r="F120" s="2" t="s">
        <v>33</v>
      </c>
      <c r="G120" s="2" t="s">
        <v>95</v>
      </c>
      <c r="H120" s="2" t="s">
        <v>104</v>
      </c>
      <c r="I120" s="2" t="s">
        <v>104</v>
      </c>
      <c r="J120" s="2" t="s">
        <v>797</v>
      </c>
      <c r="L120" s="2">
        <v>0</v>
      </c>
      <c r="M120" s="2">
        <v>1</v>
      </c>
    </row>
    <row r="121" spans="1:13" x14ac:dyDescent="0.25">
      <c r="A121" t="s">
        <v>60</v>
      </c>
      <c r="B121" t="str">
        <f t="shared" si="2"/>
        <v>12K.T.cyanopetala</v>
      </c>
      <c r="C121" t="str">
        <f t="shared" si="3"/>
        <v>12K.T.cyanopetala.Highcomp</v>
      </c>
      <c r="D121" t="s">
        <v>145</v>
      </c>
      <c r="E121">
        <v>12</v>
      </c>
      <c r="F121" t="s">
        <v>33</v>
      </c>
      <c r="G121" t="s">
        <v>95</v>
      </c>
      <c r="H121" t="s">
        <v>104</v>
      </c>
      <c r="I121" t="s">
        <v>104</v>
      </c>
      <c r="J121" t="s">
        <v>247</v>
      </c>
      <c r="L121" s="2">
        <v>0</v>
      </c>
      <c r="M121">
        <v>1</v>
      </c>
    </row>
    <row r="122" spans="1:13" x14ac:dyDescent="0.25">
      <c r="A122" t="s">
        <v>60</v>
      </c>
      <c r="B122" t="str">
        <f t="shared" si="2"/>
        <v>12K.V.rosea</v>
      </c>
      <c r="C122" t="str">
        <f t="shared" si="3"/>
        <v>12K.V.rosea.Highcomp</v>
      </c>
      <c r="D122" t="s">
        <v>145</v>
      </c>
      <c r="E122">
        <v>12</v>
      </c>
      <c r="F122" t="s">
        <v>33</v>
      </c>
      <c r="G122" t="s">
        <v>95</v>
      </c>
      <c r="H122" t="s">
        <v>112</v>
      </c>
      <c r="I122" t="s">
        <v>121</v>
      </c>
      <c r="J122" t="s">
        <v>114</v>
      </c>
      <c r="L122" s="2">
        <v>0</v>
      </c>
      <c r="M122">
        <v>0</v>
      </c>
    </row>
    <row r="123" spans="1:13" x14ac:dyDescent="0.25">
      <c r="A123" t="s">
        <v>61</v>
      </c>
      <c r="B123" t="str">
        <f t="shared" si="2"/>
        <v>12L.A.calendula</v>
      </c>
      <c r="C123" t="str">
        <f t="shared" si="3"/>
        <v>12L.A.calendula.Highcomp</v>
      </c>
      <c r="D123" t="s">
        <v>145</v>
      </c>
      <c r="E123">
        <v>12</v>
      </c>
      <c r="F123" t="s">
        <v>35</v>
      </c>
      <c r="G123" t="s">
        <v>94</v>
      </c>
      <c r="H123" t="s">
        <v>102</v>
      </c>
      <c r="I123" t="s">
        <v>121</v>
      </c>
      <c r="J123" t="s">
        <v>162</v>
      </c>
      <c r="L123" s="2">
        <v>1</v>
      </c>
      <c r="M123">
        <v>1</v>
      </c>
    </row>
    <row r="124" spans="1:13" x14ac:dyDescent="0.25">
      <c r="A124" t="s">
        <v>61</v>
      </c>
      <c r="B124" t="str">
        <f t="shared" si="2"/>
        <v>12L.M.minima</v>
      </c>
      <c r="C124" t="str">
        <f t="shared" si="3"/>
        <v>12L.M.minima.Highcomp</v>
      </c>
      <c r="D124" t="s">
        <v>145</v>
      </c>
      <c r="E124">
        <v>12</v>
      </c>
      <c r="F124" t="s">
        <v>35</v>
      </c>
      <c r="G124" t="s">
        <v>94</v>
      </c>
      <c r="H124" t="s">
        <v>110</v>
      </c>
      <c r="I124" t="s">
        <v>121</v>
      </c>
      <c r="J124" t="s">
        <v>162</v>
      </c>
      <c r="L124" s="2">
        <v>0</v>
      </c>
      <c r="M124">
        <v>1</v>
      </c>
    </row>
    <row r="125" spans="1:13" x14ac:dyDescent="0.25">
      <c r="A125" t="s">
        <v>61</v>
      </c>
      <c r="B125" t="str">
        <f t="shared" si="2"/>
        <v>12L.M.minima</v>
      </c>
      <c r="C125" t="str">
        <f t="shared" si="3"/>
        <v>12L.M.minima.Highcomp</v>
      </c>
      <c r="D125" t="s">
        <v>145</v>
      </c>
      <c r="E125">
        <v>12</v>
      </c>
      <c r="F125" t="s">
        <v>35</v>
      </c>
      <c r="G125" t="s">
        <v>94</v>
      </c>
      <c r="H125" t="s">
        <v>110</v>
      </c>
      <c r="I125" t="s">
        <v>121</v>
      </c>
      <c r="J125" t="s">
        <v>102</v>
      </c>
      <c r="L125" s="2">
        <v>0</v>
      </c>
      <c r="M125">
        <v>1</v>
      </c>
    </row>
    <row r="126" spans="1:13" x14ac:dyDescent="0.25">
      <c r="A126" t="s">
        <v>61</v>
      </c>
      <c r="B126" t="str">
        <f t="shared" si="2"/>
        <v>12L.V.rosea</v>
      </c>
      <c r="C126" t="str">
        <f t="shared" si="3"/>
        <v>12L.V.rosea.Highcomp</v>
      </c>
      <c r="D126" t="s">
        <v>145</v>
      </c>
      <c r="E126">
        <v>12</v>
      </c>
      <c r="F126" t="s">
        <v>35</v>
      </c>
      <c r="G126" t="s">
        <v>94</v>
      </c>
      <c r="H126" t="s">
        <v>112</v>
      </c>
      <c r="I126" t="s">
        <v>121</v>
      </c>
      <c r="J126" t="s">
        <v>162</v>
      </c>
      <c r="L126" s="2">
        <v>0</v>
      </c>
      <c r="M126">
        <v>1</v>
      </c>
    </row>
    <row r="127" spans="1:13" x14ac:dyDescent="0.25">
      <c r="A127" t="s">
        <v>62</v>
      </c>
      <c r="B127" t="str">
        <f t="shared" si="2"/>
        <v>12M.A.calendula</v>
      </c>
      <c r="C127" t="str">
        <f t="shared" si="3"/>
        <v>12M.A.calendula.Highcomp</v>
      </c>
      <c r="D127" t="s">
        <v>145</v>
      </c>
      <c r="E127">
        <v>12</v>
      </c>
      <c r="F127" t="s">
        <v>37</v>
      </c>
      <c r="G127" t="s">
        <v>95</v>
      </c>
      <c r="H127" t="s">
        <v>102</v>
      </c>
      <c r="I127" t="s">
        <v>121</v>
      </c>
      <c r="J127" t="s">
        <v>114</v>
      </c>
      <c r="L127" s="2">
        <v>0</v>
      </c>
      <c r="M127">
        <v>0</v>
      </c>
    </row>
    <row r="128" spans="1:13" x14ac:dyDescent="0.25">
      <c r="A128" t="s">
        <v>62</v>
      </c>
      <c r="B128" t="str">
        <f t="shared" si="2"/>
        <v>12M.P.airoides</v>
      </c>
      <c r="C128" t="str">
        <f t="shared" si="3"/>
        <v>12M.P.airoides.Highcomp</v>
      </c>
      <c r="D128" t="s">
        <v>145</v>
      </c>
      <c r="E128">
        <v>12</v>
      </c>
      <c r="F128" t="s">
        <v>37</v>
      </c>
      <c r="G128" t="s">
        <v>95</v>
      </c>
      <c r="H128" t="s">
        <v>103</v>
      </c>
      <c r="I128" t="s">
        <v>121</v>
      </c>
      <c r="J128" t="s">
        <v>233</v>
      </c>
      <c r="L128" s="2">
        <v>0</v>
      </c>
      <c r="M128">
        <v>1</v>
      </c>
    </row>
    <row r="129" spans="1:13" x14ac:dyDescent="0.25">
      <c r="A129" t="s">
        <v>62</v>
      </c>
      <c r="B129" t="str">
        <f t="shared" si="2"/>
        <v>12M.P.airoides</v>
      </c>
      <c r="C129" t="str">
        <f t="shared" si="3"/>
        <v>12M.P.airoides.Highcomp</v>
      </c>
      <c r="D129" t="s">
        <v>145</v>
      </c>
      <c r="E129">
        <v>12</v>
      </c>
      <c r="F129" t="s">
        <v>37</v>
      </c>
      <c r="G129" t="s">
        <v>95</v>
      </c>
      <c r="H129" t="s">
        <v>103</v>
      </c>
      <c r="I129" t="s">
        <v>121</v>
      </c>
      <c r="J129" t="s">
        <v>234</v>
      </c>
      <c r="L129" s="2">
        <v>0</v>
      </c>
      <c r="M129">
        <v>1</v>
      </c>
    </row>
    <row r="130" spans="1:13" x14ac:dyDescent="0.25">
      <c r="A130" t="s">
        <v>62</v>
      </c>
      <c r="B130" t="str">
        <f t="shared" si="2"/>
        <v>12M.P.airoides</v>
      </c>
      <c r="C130" t="str">
        <f t="shared" si="3"/>
        <v>12M.P.airoides.Highcomp</v>
      </c>
      <c r="D130" t="s">
        <v>145</v>
      </c>
      <c r="E130">
        <v>12</v>
      </c>
      <c r="F130" t="s">
        <v>37</v>
      </c>
      <c r="G130" t="s">
        <v>95</v>
      </c>
      <c r="H130" t="s">
        <v>103</v>
      </c>
      <c r="I130" t="s">
        <v>121</v>
      </c>
      <c r="J130" t="s">
        <v>241</v>
      </c>
      <c r="L130" s="2">
        <v>0</v>
      </c>
      <c r="M130">
        <v>1</v>
      </c>
    </row>
    <row r="131" spans="1:13" x14ac:dyDescent="0.25">
      <c r="A131" t="s">
        <v>63</v>
      </c>
      <c r="B131" t="str">
        <f t="shared" ref="B131:B194" si="4">A131&amp;"."&amp;H131</f>
        <v>12N.T.cyanopetala</v>
      </c>
      <c r="C131" t="str">
        <f t="shared" ref="C131:C194" si="5">B131&amp;"."&amp;D131</f>
        <v>12N.T.cyanopetala.Highcomp</v>
      </c>
      <c r="D131" t="s">
        <v>145</v>
      </c>
      <c r="E131">
        <v>12</v>
      </c>
      <c r="F131" t="s">
        <v>64</v>
      </c>
      <c r="G131" t="s">
        <v>94</v>
      </c>
      <c r="H131" t="s">
        <v>104</v>
      </c>
      <c r="I131" t="s">
        <v>121</v>
      </c>
      <c r="J131" t="s">
        <v>238</v>
      </c>
      <c r="L131" s="2">
        <v>0</v>
      </c>
      <c r="M131">
        <v>2</v>
      </c>
    </row>
    <row r="132" spans="1:13" x14ac:dyDescent="0.25">
      <c r="A132" t="s">
        <v>63</v>
      </c>
      <c r="B132" t="str">
        <f t="shared" si="4"/>
        <v>12N.T.cyanopetala</v>
      </c>
      <c r="C132" t="str">
        <f t="shared" si="5"/>
        <v>12N.T.cyanopetala.Highcomp</v>
      </c>
      <c r="D132" t="s">
        <v>145</v>
      </c>
      <c r="E132">
        <v>12</v>
      </c>
      <c r="F132" t="s">
        <v>64</v>
      </c>
      <c r="G132" t="s">
        <v>94</v>
      </c>
      <c r="H132" t="s">
        <v>104</v>
      </c>
      <c r="I132" t="s">
        <v>121</v>
      </c>
      <c r="J132" t="s">
        <v>103</v>
      </c>
      <c r="L132" s="2">
        <v>0</v>
      </c>
      <c r="M132">
        <v>1</v>
      </c>
    </row>
    <row r="133" spans="1:13" x14ac:dyDescent="0.25">
      <c r="A133" t="s">
        <v>63</v>
      </c>
      <c r="B133" t="str">
        <f t="shared" si="4"/>
        <v>12N.T.cyanopetala</v>
      </c>
      <c r="C133" t="str">
        <f t="shared" si="5"/>
        <v>12N.T.cyanopetala.Highcomp</v>
      </c>
      <c r="D133" t="s">
        <v>145</v>
      </c>
      <c r="E133">
        <v>12</v>
      </c>
      <c r="F133" t="s">
        <v>64</v>
      </c>
      <c r="G133" t="s">
        <v>94</v>
      </c>
      <c r="H133" t="s">
        <v>104</v>
      </c>
      <c r="I133" t="s">
        <v>121</v>
      </c>
      <c r="J133" t="s">
        <v>248</v>
      </c>
      <c r="L133" s="2">
        <v>0</v>
      </c>
      <c r="M133">
        <v>2</v>
      </c>
    </row>
    <row r="134" spans="1:13" x14ac:dyDescent="0.25">
      <c r="A134" t="s">
        <v>65</v>
      </c>
      <c r="B134" t="str">
        <f t="shared" si="4"/>
        <v>12O.H.glabra</v>
      </c>
      <c r="C134" t="str">
        <f t="shared" si="5"/>
        <v>12O.H.glabra.Highcomp</v>
      </c>
      <c r="D134" t="s">
        <v>145</v>
      </c>
      <c r="E134">
        <v>12</v>
      </c>
      <c r="F134" t="s">
        <v>66</v>
      </c>
      <c r="G134" t="s">
        <v>95</v>
      </c>
      <c r="H134" t="s">
        <v>105</v>
      </c>
      <c r="I134" t="s">
        <v>121</v>
      </c>
      <c r="J134" t="s">
        <v>111</v>
      </c>
      <c r="L134" s="2">
        <v>0</v>
      </c>
      <c r="M134">
        <v>1</v>
      </c>
    </row>
    <row r="135" spans="1:13" x14ac:dyDescent="0.25">
      <c r="A135" t="s">
        <v>65</v>
      </c>
      <c r="B135" t="str">
        <f t="shared" si="4"/>
        <v>12O.H.glabra</v>
      </c>
      <c r="C135" t="str">
        <f t="shared" si="5"/>
        <v>12O.H.glabra.Highcomp</v>
      </c>
      <c r="D135" t="s">
        <v>145</v>
      </c>
      <c r="E135">
        <v>12</v>
      </c>
      <c r="F135" t="s">
        <v>66</v>
      </c>
      <c r="G135" t="s">
        <v>95</v>
      </c>
      <c r="H135" t="s">
        <v>105</v>
      </c>
      <c r="I135" t="s">
        <v>121</v>
      </c>
      <c r="J135" t="s">
        <v>808</v>
      </c>
      <c r="L135" s="2">
        <v>0</v>
      </c>
      <c r="M135">
        <v>1</v>
      </c>
    </row>
    <row r="136" spans="1:13" x14ac:dyDescent="0.25">
      <c r="A136" t="s">
        <v>65</v>
      </c>
      <c r="B136" t="str">
        <f t="shared" si="4"/>
        <v>12O.H.glabra</v>
      </c>
      <c r="C136" t="str">
        <f t="shared" si="5"/>
        <v>12O.H.glabra.Highcomp</v>
      </c>
      <c r="D136" t="s">
        <v>145</v>
      </c>
      <c r="E136">
        <v>12</v>
      </c>
      <c r="F136" t="s">
        <v>66</v>
      </c>
      <c r="G136" t="s">
        <v>95</v>
      </c>
      <c r="H136" t="s">
        <v>105</v>
      </c>
      <c r="I136" t="s">
        <v>121</v>
      </c>
      <c r="J136" t="s">
        <v>247</v>
      </c>
      <c r="L136" s="2">
        <v>0</v>
      </c>
      <c r="M136">
        <v>1</v>
      </c>
    </row>
    <row r="137" spans="1:13" x14ac:dyDescent="0.25">
      <c r="A137" t="s">
        <v>65</v>
      </c>
      <c r="B137" t="str">
        <f t="shared" si="4"/>
        <v>12O.H.glabra</v>
      </c>
      <c r="C137" t="str">
        <f t="shared" si="5"/>
        <v>12O.H.glabra.Highcomp</v>
      </c>
      <c r="D137" t="s">
        <v>145</v>
      </c>
      <c r="E137">
        <v>12</v>
      </c>
      <c r="F137" t="s">
        <v>66</v>
      </c>
      <c r="G137" t="s">
        <v>95</v>
      </c>
      <c r="H137" t="s">
        <v>105</v>
      </c>
      <c r="I137" t="s">
        <v>121</v>
      </c>
      <c r="J137" t="s">
        <v>248</v>
      </c>
      <c r="L137" s="2">
        <v>0</v>
      </c>
      <c r="M137">
        <v>2</v>
      </c>
    </row>
    <row r="138" spans="1:13" x14ac:dyDescent="0.25">
      <c r="A138" t="s">
        <v>10</v>
      </c>
      <c r="B138" t="str">
        <f t="shared" si="4"/>
        <v>15A.A.calendula</v>
      </c>
      <c r="C138" t="str">
        <f t="shared" si="5"/>
        <v>15A.A.calendula.Highcomp</v>
      </c>
      <c r="D138" t="s">
        <v>145</v>
      </c>
      <c r="E138">
        <v>15</v>
      </c>
      <c r="F138" t="s">
        <v>11</v>
      </c>
      <c r="G138" t="s">
        <v>94</v>
      </c>
      <c r="H138" t="s">
        <v>102</v>
      </c>
      <c r="I138" t="s">
        <v>102</v>
      </c>
      <c r="J138" t="s">
        <v>102</v>
      </c>
      <c r="L138" s="2">
        <v>0</v>
      </c>
      <c r="M138">
        <v>1</v>
      </c>
    </row>
    <row r="139" spans="1:13" x14ac:dyDescent="0.25">
      <c r="A139" t="s">
        <v>10</v>
      </c>
      <c r="B139" t="str">
        <f t="shared" si="4"/>
        <v>15A.A.calendula</v>
      </c>
      <c r="C139" t="str">
        <f t="shared" si="5"/>
        <v>15A.A.calendula.Highcomp</v>
      </c>
      <c r="D139" t="s">
        <v>145</v>
      </c>
      <c r="E139">
        <v>16</v>
      </c>
      <c r="F139" t="s">
        <v>11</v>
      </c>
      <c r="G139" t="s">
        <v>94</v>
      </c>
      <c r="H139" t="s">
        <v>102</v>
      </c>
      <c r="I139" t="s">
        <v>102</v>
      </c>
      <c r="J139" t="s">
        <v>111</v>
      </c>
      <c r="L139" s="2">
        <v>0</v>
      </c>
      <c r="M139">
        <v>1</v>
      </c>
    </row>
    <row r="140" spans="1:13" x14ac:dyDescent="0.25">
      <c r="A140" t="s">
        <v>10</v>
      </c>
      <c r="B140" t="str">
        <f t="shared" si="4"/>
        <v>15A.H.glabra</v>
      </c>
      <c r="C140" t="str">
        <f t="shared" si="5"/>
        <v>15A.H.glabra.Highcomp</v>
      </c>
      <c r="D140" t="s">
        <v>145</v>
      </c>
      <c r="E140">
        <v>15</v>
      </c>
      <c r="F140" t="s">
        <v>11</v>
      </c>
      <c r="G140" t="s">
        <v>94</v>
      </c>
      <c r="H140" t="s">
        <v>105</v>
      </c>
      <c r="I140" t="s">
        <v>121</v>
      </c>
      <c r="J140" t="s">
        <v>244</v>
      </c>
      <c r="L140" s="2">
        <v>0</v>
      </c>
      <c r="M140">
        <v>2</v>
      </c>
    </row>
    <row r="141" spans="1:13" x14ac:dyDescent="0.25">
      <c r="A141" t="s">
        <v>10</v>
      </c>
      <c r="B141" t="str">
        <f t="shared" si="4"/>
        <v>15A.H.glabra</v>
      </c>
      <c r="C141" t="str">
        <f t="shared" si="5"/>
        <v>15A.H.glabra.Highcomp</v>
      </c>
      <c r="D141" t="s">
        <v>145</v>
      </c>
      <c r="E141">
        <v>16</v>
      </c>
      <c r="F141" t="s">
        <v>11</v>
      </c>
      <c r="G141" t="s">
        <v>94</v>
      </c>
      <c r="H141" t="s">
        <v>105</v>
      </c>
      <c r="I141" t="s">
        <v>121</v>
      </c>
      <c r="J141" t="s">
        <v>104</v>
      </c>
      <c r="L141" s="2">
        <v>0</v>
      </c>
      <c r="M141">
        <v>1</v>
      </c>
    </row>
    <row r="142" spans="1:13" x14ac:dyDescent="0.25">
      <c r="A142" t="s">
        <v>10</v>
      </c>
      <c r="B142" t="str">
        <f t="shared" si="4"/>
        <v>15A.P.airoides</v>
      </c>
      <c r="C142" t="str">
        <f t="shared" si="5"/>
        <v>15A.P.airoides.Highcomp</v>
      </c>
      <c r="D142" t="s">
        <v>145</v>
      </c>
      <c r="E142">
        <v>15</v>
      </c>
      <c r="F142" t="s">
        <v>11</v>
      </c>
      <c r="G142" t="s">
        <v>94</v>
      </c>
      <c r="H142" t="s">
        <v>103</v>
      </c>
      <c r="I142" t="s">
        <v>121</v>
      </c>
      <c r="J142" t="s">
        <v>245</v>
      </c>
      <c r="L142" s="2">
        <v>0</v>
      </c>
      <c r="M142">
        <v>1</v>
      </c>
    </row>
    <row r="143" spans="1:13" x14ac:dyDescent="0.25">
      <c r="A143" t="s">
        <v>10</v>
      </c>
      <c r="B143" t="str">
        <f t="shared" si="4"/>
        <v>15A.T.cyanopetala</v>
      </c>
      <c r="C143" t="str">
        <f t="shared" si="5"/>
        <v>15A.T.cyanopetala.Highcomp</v>
      </c>
      <c r="D143" t="s">
        <v>145</v>
      </c>
      <c r="E143">
        <v>15</v>
      </c>
      <c r="F143" t="s">
        <v>11</v>
      </c>
      <c r="G143" t="s">
        <v>94</v>
      </c>
      <c r="H143" t="s">
        <v>104</v>
      </c>
      <c r="I143" t="s">
        <v>121</v>
      </c>
      <c r="J143" t="s">
        <v>242</v>
      </c>
      <c r="L143" s="2">
        <v>0</v>
      </c>
      <c r="M143">
        <v>6</v>
      </c>
    </row>
    <row r="144" spans="1:13" x14ac:dyDescent="0.25">
      <c r="A144" t="s">
        <v>14</v>
      </c>
      <c r="B144" t="str">
        <f t="shared" si="4"/>
        <v>15B.A.calendula</v>
      </c>
      <c r="C144" t="str">
        <f t="shared" si="5"/>
        <v>15B.A.calendula.Highcomp</v>
      </c>
      <c r="D144" t="s">
        <v>145</v>
      </c>
      <c r="E144">
        <v>15</v>
      </c>
      <c r="F144" t="s">
        <v>15</v>
      </c>
      <c r="G144" t="s">
        <v>94</v>
      </c>
      <c r="H144" t="s">
        <v>102</v>
      </c>
      <c r="I144" t="s">
        <v>121</v>
      </c>
      <c r="J144" t="s">
        <v>114</v>
      </c>
      <c r="L144" s="2">
        <v>0</v>
      </c>
      <c r="M144" t="s">
        <v>114</v>
      </c>
    </row>
    <row r="145" spans="1:13" x14ac:dyDescent="0.25">
      <c r="A145" t="s">
        <v>14</v>
      </c>
      <c r="B145" t="str">
        <f t="shared" si="4"/>
        <v>15B.M.minima</v>
      </c>
      <c r="C145" t="str">
        <f t="shared" si="5"/>
        <v>15B.M.minima.Highcomp</v>
      </c>
      <c r="D145" t="s">
        <v>145</v>
      </c>
      <c r="E145">
        <v>15</v>
      </c>
      <c r="F145" t="s">
        <v>15</v>
      </c>
      <c r="G145" t="s">
        <v>94</v>
      </c>
      <c r="H145" t="s">
        <v>110</v>
      </c>
      <c r="I145" t="s">
        <v>121</v>
      </c>
      <c r="J145" t="s">
        <v>114</v>
      </c>
      <c r="L145" s="2">
        <v>0</v>
      </c>
      <c r="M145" t="s">
        <v>114</v>
      </c>
    </row>
    <row r="146" spans="1:13" x14ac:dyDescent="0.25">
      <c r="A146" t="s">
        <v>14</v>
      </c>
      <c r="B146" t="str">
        <f t="shared" si="4"/>
        <v>15B.P.canescens</v>
      </c>
      <c r="C146" t="str">
        <f t="shared" si="5"/>
        <v>15B.P.canescens.Highcomp</v>
      </c>
      <c r="D146" t="s">
        <v>145</v>
      </c>
      <c r="E146">
        <v>15</v>
      </c>
      <c r="F146" t="s">
        <v>15</v>
      </c>
      <c r="G146" t="s">
        <v>94</v>
      </c>
      <c r="H146" t="s">
        <v>111</v>
      </c>
      <c r="I146" t="s">
        <v>110</v>
      </c>
      <c r="J146" t="s">
        <v>110</v>
      </c>
      <c r="L146" s="2">
        <v>0</v>
      </c>
      <c r="M146">
        <v>1</v>
      </c>
    </row>
    <row r="147" spans="1:13" x14ac:dyDescent="0.25">
      <c r="A147" t="s">
        <v>14</v>
      </c>
      <c r="B147" t="str">
        <f t="shared" si="4"/>
        <v>15B.T.cyanopetala</v>
      </c>
      <c r="C147" t="str">
        <f t="shared" si="5"/>
        <v>15B.T.cyanopetala.Highcomp</v>
      </c>
      <c r="D147" t="s">
        <v>145</v>
      </c>
      <c r="E147">
        <v>15</v>
      </c>
      <c r="F147" t="s">
        <v>15</v>
      </c>
      <c r="G147" t="s">
        <v>94</v>
      </c>
      <c r="H147" t="s">
        <v>104</v>
      </c>
      <c r="I147" t="s">
        <v>110</v>
      </c>
      <c r="J147" t="s">
        <v>110</v>
      </c>
      <c r="L147" s="2">
        <v>0</v>
      </c>
      <c r="M147">
        <v>1</v>
      </c>
    </row>
    <row r="148" spans="1:13" x14ac:dyDescent="0.25">
      <c r="A148" t="s">
        <v>14</v>
      </c>
      <c r="B148" t="str">
        <f t="shared" si="4"/>
        <v>15B.T.cyanopetala</v>
      </c>
      <c r="C148" t="str">
        <f t="shared" si="5"/>
        <v>15B.T.cyanopetala.Highcomp</v>
      </c>
      <c r="D148" t="s">
        <v>145</v>
      </c>
      <c r="E148">
        <v>16</v>
      </c>
      <c r="F148" t="s">
        <v>15</v>
      </c>
      <c r="G148" t="s">
        <v>94</v>
      </c>
      <c r="H148" t="s">
        <v>104</v>
      </c>
      <c r="I148" t="s">
        <v>110</v>
      </c>
      <c r="J148" t="s">
        <v>104</v>
      </c>
      <c r="L148" s="2">
        <v>0</v>
      </c>
      <c r="M148">
        <v>2</v>
      </c>
    </row>
    <row r="149" spans="1:13" x14ac:dyDescent="0.25">
      <c r="A149" t="s">
        <v>16</v>
      </c>
      <c r="B149" t="str">
        <f t="shared" si="4"/>
        <v>15C.H.glutinosum</v>
      </c>
      <c r="C149" t="str">
        <f t="shared" si="5"/>
        <v>15C.H.glutinosum.Highcomp</v>
      </c>
      <c r="D149" t="s">
        <v>145</v>
      </c>
      <c r="E149">
        <v>15</v>
      </c>
      <c r="F149" t="s">
        <v>17</v>
      </c>
      <c r="G149" t="s">
        <v>95</v>
      </c>
      <c r="H149" t="s">
        <v>113</v>
      </c>
      <c r="I149" t="s">
        <v>104</v>
      </c>
      <c r="J149" t="s">
        <v>104</v>
      </c>
      <c r="L149" s="2">
        <v>0</v>
      </c>
      <c r="M149">
        <v>1</v>
      </c>
    </row>
    <row r="150" spans="1:13" x14ac:dyDescent="0.25">
      <c r="A150" t="s">
        <v>16</v>
      </c>
      <c r="B150" t="str">
        <f t="shared" si="4"/>
        <v>15C.H.glutinosum</v>
      </c>
      <c r="C150" t="str">
        <f t="shared" si="5"/>
        <v>15C.H.glutinosum.Highcomp</v>
      </c>
      <c r="D150" t="s">
        <v>145</v>
      </c>
      <c r="E150">
        <v>16</v>
      </c>
      <c r="F150" t="s">
        <v>17</v>
      </c>
      <c r="G150" t="s">
        <v>95</v>
      </c>
      <c r="H150" t="s">
        <v>113</v>
      </c>
      <c r="I150" t="s">
        <v>104</v>
      </c>
      <c r="J150" t="s">
        <v>113</v>
      </c>
      <c r="L150" s="2">
        <v>0</v>
      </c>
      <c r="M150">
        <v>3</v>
      </c>
    </row>
    <row r="151" spans="1:13" x14ac:dyDescent="0.25">
      <c r="A151" t="s">
        <v>16</v>
      </c>
      <c r="B151" t="str">
        <f t="shared" si="4"/>
        <v>15C.M.minima</v>
      </c>
      <c r="C151" t="str">
        <f t="shared" si="5"/>
        <v>15C.M.minima.Highcomp</v>
      </c>
      <c r="D151" t="s">
        <v>145</v>
      </c>
      <c r="E151">
        <v>15</v>
      </c>
      <c r="F151" t="s">
        <v>17</v>
      </c>
      <c r="G151" t="s">
        <v>95</v>
      </c>
      <c r="H151" t="s">
        <v>110</v>
      </c>
      <c r="I151" t="s">
        <v>121</v>
      </c>
      <c r="J151" t="s">
        <v>104</v>
      </c>
      <c r="L151" s="2">
        <v>0</v>
      </c>
      <c r="M151">
        <v>1</v>
      </c>
    </row>
    <row r="152" spans="1:13" x14ac:dyDescent="0.25">
      <c r="A152" t="s">
        <v>16</v>
      </c>
      <c r="B152" t="str">
        <f t="shared" si="4"/>
        <v>15C.M.minima</v>
      </c>
      <c r="C152" t="str">
        <f t="shared" si="5"/>
        <v>15C.M.minima.Highcomp</v>
      </c>
      <c r="D152" t="s">
        <v>145</v>
      </c>
      <c r="E152">
        <v>16</v>
      </c>
      <c r="F152" t="s">
        <v>17</v>
      </c>
      <c r="G152" t="s">
        <v>95</v>
      </c>
      <c r="H152" t="s">
        <v>110</v>
      </c>
      <c r="I152" t="s">
        <v>121</v>
      </c>
      <c r="J152" t="s">
        <v>241</v>
      </c>
      <c r="L152" s="2">
        <v>0</v>
      </c>
      <c r="M152">
        <v>1</v>
      </c>
    </row>
    <row r="153" spans="1:13" x14ac:dyDescent="0.25">
      <c r="A153" t="s">
        <v>16</v>
      </c>
      <c r="B153" t="str">
        <f t="shared" si="4"/>
        <v>15C.P.canescens</v>
      </c>
      <c r="C153" t="str">
        <f t="shared" si="5"/>
        <v>15C.P.canescens.Highcomp</v>
      </c>
      <c r="D153" t="s">
        <v>145</v>
      </c>
      <c r="E153">
        <v>15</v>
      </c>
      <c r="F153" t="s">
        <v>17</v>
      </c>
      <c r="G153" t="s">
        <v>95</v>
      </c>
      <c r="H153" t="s">
        <v>111</v>
      </c>
      <c r="I153" t="s">
        <v>113</v>
      </c>
      <c r="J153" t="s">
        <v>113</v>
      </c>
      <c r="L153" s="2">
        <v>0</v>
      </c>
      <c r="M153">
        <v>2</v>
      </c>
    </row>
    <row r="154" spans="1:13" x14ac:dyDescent="0.25">
      <c r="A154" t="s">
        <v>16</v>
      </c>
      <c r="B154" t="str">
        <f t="shared" si="4"/>
        <v>15C.P.canescens</v>
      </c>
      <c r="C154" t="str">
        <f t="shared" si="5"/>
        <v>15C.P.canescens.Highcomp</v>
      </c>
      <c r="D154" t="s">
        <v>145</v>
      </c>
      <c r="E154">
        <v>16</v>
      </c>
      <c r="F154" t="s">
        <v>17</v>
      </c>
      <c r="G154" t="s">
        <v>95</v>
      </c>
      <c r="H154" t="s">
        <v>111</v>
      </c>
      <c r="I154" t="s">
        <v>113</v>
      </c>
      <c r="J154" t="s">
        <v>247</v>
      </c>
      <c r="L154" s="2">
        <v>0</v>
      </c>
      <c r="M154">
        <v>3</v>
      </c>
    </row>
    <row r="155" spans="1:13" x14ac:dyDescent="0.25">
      <c r="A155" t="s">
        <v>16</v>
      </c>
      <c r="B155" t="str">
        <f t="shared" si="4"/>
        <v>15C.T.cyanopetala</v>
      </c>
      <c r="C155" t="str">
        <f t="shared" si="5"/>
        <v>15C.T.cyanopetala.Highcomp</v>
      </c>
      <c r="D155" t="s">
        <v>145</v>
      </c>
      <c r="E155">
        <v>15</v>
      </c>
      <c r="F155" t="s">
        <v>17</v>
      </c>
      <c r="G155" t="s">
        <v>95</v>
      </c>
      <c r="H155" t="s">
        <v>104</v>
      </c>
      <c r="I155" t="s">
        <v>121</v>
      </c>
      <c r="J155" t="s">
        <v>247</v>
      </c>
      <c r="L155" s="2">
        <v>0</v>
      </c>
      <c r="M155">
        <v>1</v>
      </c>
    </row>
    <row r="156" spans="1:13" x14ac:dyDescent="0.25">
      <c r="A156" t="s">
        <v>16</v>
      </c>
      <c r="B156" t="str">
        <f t="shared" si="4"/>
        <v>15C.T.cyanopetala</v>
      </c>
      <c r="C156" t="str">
        <f t="shared" si="5"/>
        <v>15C.T.cyanopetala.Highcomp</v>
      </c>
      <c r="D156" t="s">
        <v>145</v>
      </c>
      <c r="E156">
        <v>16</v>
      </c>
      <c r="F156" t="s">
        <v>17</v>
      </c>
      <c r="G156" t="s">
        <v>95</v>
      </c>
      <c r="H156" t="s">
        <v>104</v>
      </c>
      <c r="I156" t="s">
        <v>121</v>
      </c>
      <c r="J156" t="s">
        <v>111</v>
      </c>
      <c r="L156" s="2">
        <v>0</v>
      </c>
      <c r="M156">
        <v>1</v>
      </c>
    </row>
    <row r="157" spans="1:13" x14ac:dyDescent="0.25">
      <c r="A157" t="s">
        <v>18</v>
      </c>
      <c r="B157" t="str">
        <f t="shared" si="4"/>
        <v>15D.H.glutinosum</v>
      </c>
      <c r="C157" t="str">
        <f t="shared" si="5"/>
        <v>15D.H.glutinosum.Highcomp</v>
      </c>
      <c r="D157" t="s">
        <v>145</v>
      </c>
      <c r="E157">
        <v>15</v>
      </c>
      <c r="F157" t="s">
        <v>19</v>
      </c>
      <c r="G157" t="s">
        <v>95</v>
      </c>
      <c r="H157" t="s">
        <v>113</v>
      </c>
      <c r="I157" t="s">
        <v>121</v>
      </c>
      <c r="J157" t="s">
        <v>113</v>
      </c>
      <c r="L157" s="2">
        <v>0</v>
      </c>
      <c r="M157">
        <v>3</v>
      </c>
    </row>
    <row r="158" spans="1:13" x14ac:dyDescent="0.25">
      <c r="A158" t="s">
        <v>18</v>
      </c>
      <c r="B158" t="str">
        <f t="shared" si="4"/>
        <v>15D.H.glutinosum</v>
      </c>
      <c r="C158" t="str">
        <f t="shared" si="5"/>
        <v>15D.H.glutinosum.Highcomp</v>
      </c>
      <c r="D158" t="s">
        <v>145</v>
      </c>
      <c r="E158">
        <v>16</v>
      </c>
      <c r="F158" t="s">
        <v>19</v>
      </c>
      <c r="G158" t="s">
        <v>95</v>
      </c>
      <c r="H158" t="s">
        <v>113</v>
      </c>
      <c r="I158" t="s">
        <v>121</v>
      </c>
      <c r="J158" t="s">
        <v>808</v>
      </c>
      <c r="L158" s="2">
        <v>0</v>
      </c>
      <c r="M158">
        <v>1</v>
      </c>
    </row>
    <row r="159" spans="1:13" x14ac:dyDescent="0.25">
      <c r="A159" t="s">
        <v>18</v>
      </c>
      <c r="B159" t="str">
        <f t="shared" si="4"/>
        <v>15D.H.glutinosum</v>
      </c>
      <c r="C159" t="str">
        <f t="shared" si="5"/>
        <v>15D.H.glutinosum.Highcomp</v>
      </c>
      <c r="D159" t="s">
        <v>145</v>
      </c>
      <c r="E159">
        <v>17</v>
      </c>
      <c r="F159" t="s">
        <v>19</v>
      </c>
      <c r="G159" t="s">
        <v>95</v>
      </c>
      <c r="H159" t="s">
        <v>113</v>
      </c>
      <c r="I159" t="s">
        <v>121</v>
      </c>
      <c r="J159" t="s">
        <v>242</v>
      </c>
      <c r="L159" s="2">
        <v>0</v>
      </c>
      <c r="M159">
        <v>15</v>
      </c>
    </row>
    <row r="160" spans="1:13" x14ac:dyDescent="0.25">
      <c r="A160" t="s">
        <v>18</v>
      </c>
      <c r="B160" t="str">
        <f t="shared" si="4"/>
        <v>15D.P.canescens</v>
      </c>
      <c r="C160" t="str">
        <f t="shared" si="5"/>
        <v>15D.P.canescens.Highcomp</v>
      </c>
      <c r="D160" t="s">
        <v>145</v>
      </c>
      <c r="E160">
        <v>15</v>
      </c>
      <c r="F160" t="s">
        <v>19</v>
      </c>
      <c r="G160" t="s">
        <v>95</v>
      </c>
      <c r="H160" t="s">
        <v>111</v>
      </c>
      <c r="I160" t="s">
        <v>121</v>
      </c>
      <c r="J160" t="s">
        <v>113</v>
      </c>
      <c r="L160" s="2">
        <v>0</v>
      </c>
      <c r="M160">
        <v>2</v>
      </c>
    </row>
    <row r="161" spans="1:13" x14ac:dyDescent="0.25">
      <c r="A161" t="s">
        <v>18</v>
      </c>
      <c r="B161" t="str">
        <f t="shared" si="4"/>
        <v>15D.P.canescens</v>
      </c>
      <c r="C161" t="str">
        <f t="shared" si="5"/>
        <v>15D.P.canescens.Highcomp</v>
      </c>
      <c r="D161" t="s">
        <v>145</v>
      </c>
      <c r="E161">
        <v>16</v>
      </c>
      <c r="F161" t="s">
        <v>19</v>
      </c>
      <c r="G161" t="s">
        <v>95</v>
      </c>
      <c r="H161" t="s">
        <v>111</v>
      </c>
      <c r="I161" t="s">
        <v>121</v>
      </c>
      <c r="J161" t="s">
        <v>242</v>
      </c>
      <c r="L161" s="2">
        <v>0</v>
      </c>
      <c r="M161">
        <v>2</v>
      </c>
    </row>
    <row r="162" spans="1:13" x14ac:dyDescent="0.25">
      <c r="A162" t="s">
        <v>18</v>
      </c>
      <c r="B162" t="str">
        <f t="shared" si="4"/>
        <v>15D.T.cyanopetala</v>
      </c>
      <c r="C162" t="str">
        <f t="shared" si="5"/>
        <v>15D.T.cyanopetala.Highcomp</v>
      </c>
      <c r="D162" t="s">
        <v>145</v>
      </c>
      <c r="E162">
        <v>15</v>
      </c>
      <c r="F162" t="s">
        <v>19</v>
      </c>
      <c r="G162" t="s">
        <v>95</v>
      </c>
      <c r="H162" t="s">
        <v>104</v>
      </c>
      <c r="I162" t="s">
        <v>121</v>
      </c>
      <c r="J162" t="s">
        <v>247</v>
      </c>
      <c r="L162" s="2">
        <v>0</v>
      </c>
      <c r="M162">
        <v>1</v>
      </c>
    </row>
    <row r="163" spans="1:13" x14ac:dyDescent="0.25">
      <c r="A163" t="s">
        <v>18</v>
      </c>
      <c r="B163" t="str">
        <f t="shared" si="4"/>
        <v>15D.T.cyanopetala</v>
      </c>
      <c r="C163" t="str">
        <f t="shared" si="5"/>
        <v>15D.T.cyanopetala.Highcomp</v>
      </c>
      <c r="D163" t="s">
        <v>145</v>
      </c>
      <c r="E163">
        <v>16</v>
      </c>
      <c r="F163" t="s">
        <v>19</v>
      </c>
      <c r="G163" t="s">
        <v>95</v>
      </c>
      <c r="H163" t="s">
        <v>104</v>
      </c>
      <c r="I163" t="s">
        <v>121</v>
      </c>
      <c r="J163" t="s">
        <v>113</v>
      </c>
      <c r="L163" s="2">
        <v>0</v>
      </c>
      <c r="M163">
        <v>3</v>
      </c>
    </row>
    <row r="164" spans="1:13" x14ac:dyDescent="0.25">
      <c r="A164" t="s">
        <v>18</v>
      </c>
      <c r="B164" t="str">
        <f t="shared" si="4"/>
        <v>15D.V.rosea</v>
      </c>
      <c r="C164" t="str">
        <f t="shared" si="5"/>
        <v>15D.V.rosea.Highcomp</v>
      </c>
      <c r="D164" t="s">
        <v>145</v>
      </c>
      <c r="E164">
        <v>15</v>
      </c>
      <c r="F164" t="s">
        <v>19</v>
      </c>
      <c r="G164" t="s">
        <v>95</v>
      </c>
      <c r="H164" t="s">
        <v>112</v>
      </c>
      <c r="I164" t="s">
        <v>113</v>
      </c>
      <c r="J164" t="s">
        <v>113</v>
      </c>
      <c r="L164" s="2">
        <v>0</v>
      </c>
      <c r="M164">
        <v>1</v>
      </c>
    </row>
    <row r="165" spans="1:13" x14ac:dyDescent="0.25">
      <c r="A165" t="s">
        <v>20</v>
      </c>
      <c r="B165" t="str">
        <f t="shared" si="4"/>
        <v>15E.A.calendula</v>
      </c>
      <c r="C165" t="str">
        <f t="shared" si="5"/>
        <v>15E.A.calendula.Highcomp</v>
      </c>
      <c r="D165" t="s">
        <v>145</v>
      </c>
      <c r="E165">
        <v>15</v>
      </c>
      <c r="F165" t="s">
        <v>21</v>
      </c>
      <c r="G165" t="s">
        <v>94</v>
      </c>
      <c r="H165" t="s">
        <v>102</v>
      </c>
      <c r="I165" t="s">
        <v>121</v>
      </c>
      <c r="J165" t="s">
        <v>246</v>
      </c>
      <c r="L165" s="2">
        <v>0</v>
      </c>
      <c r="M165">
        <v>1</v>
      </c>
    </row>
    <row r="166" spans="1:13" x14ac:dyDescent="0.25">
      <c r="A166" t="s">
        <v>20</v>
      </c>
      <c r="B166" t="str">
        <f t="shared" si="4"/>
        <v>15E.H.glutinosum</v>
      </c>
      <c r="C166" t="str">
        <f t="shared" si="5"/>
        <v>15E.H.glutinosum.Highcomp</v>
      </c>
      <c r="D166" t="s">
        <v>145</v>
      </c>
      <c r="E166">
        <v>15</v>
      </c>
      <c r="F166" t="s">
        <v>21</v>
      </c>
      <c r="G166" t="s">
        <v>94</v>
      </c>
      <c r="H166" t="s">
        <v>113</v>
      </c>
      <c r="I166" t="s">
        <v>113</v>
      </c>
      <c r="J166" t="s">
        <v>113</v>
      </c>
      <c r="L166" s="2">
        <v>0</v>
      </c>
      <c r="M166">
        <v>1</v>
      </c>
    </row>
    <row r="167" spans="1:13" x14ac:dyDescent="0.25">
      <c r="A167" t="s">
        <v>20</v>
      </c>
      <c r="B167" t="str">
        <f t="shared" si="4"/>
        <v>15E.M.minima</v>
      </c>
      <c r="C167" t="str">
        <f t="shared" si="5"/>
        <v>15E.M.minima.Highcomp</v>
      </c>
      <c r="D167" t="s">
        <v>145</v>
      </c>
      <c r="E167">
        <v>15</v>
      </c>
      <c r="F167" t="s">
        <v>21</v>
      </c>
      <c r="G167" t="s">
        <v>94</v>
      </c>
      <c r="H167" t="s">
        <v>110</v>
      </c>
      <c r="I167" t="s">
        <v>121</v>
      </c>
      <c r="J167" t="s">
        <v>113</v>
      </c>
      <c r="L167" s="2">
        <v>0</v>
      </c>
      <c r="M167">
        <v>2</v>
      </c>
    </row>
    <row r="168" spans="1:13" x14ac:dyDescent="0.25">
      <c r="A168" t="s">
        <v>20</v>
      </c>
      <c r="B168" t="str">
        <f t="shared" si="4"/>
        <v>15E.M.minima</v>
      </c>
      <c r="C168" t="str">
        <f t="shared" si="5"/>
        <v>15E.M.minima.Highcomp</v>
      </c>
      <c r="D168" t="s">
        <v>145</v>
      </c>
      <c r="E168">
        <v>16</v>
      </c>
      <c r="F168" t="s">
        <v>21</v>
      </c>
      <c r="G168" t="s">
        <v>94</v>
      </c>
      <c r="H168" t="s">
        <v>110</v>
      </c>
      <c r="I168" t="s">
        <v>121</v>
      </c>
      <c r="J168" t="s">
        <v>102</v>
      </c>
      <c r="L168" s="2">
        <v>0</v>
      </c>
      <c r="M168">
        <v>1</v>
      </c>
    </row>
    <row r="169" spans="1:13" x14ac:dyDescent="0.25">
      <c r="A169" t="s">
        <v>20</v>
      </c>
      <c r="B169" t="str">
        <f t="shared" si="4"/>
        <v>15E.P.canescens</v>
      </c>
      <c r="C169" t="str">
        <f t="shared" si="5"/>
        <v>15E.P.canescens.Highcomp</v>
      </c>
      <c r="D169" t="s">
        <v>145</v>
      </c>
      <c r="E169">
        <v>15</v>
      </c>
      <c r="F169" t="s">
        <v>21</v>
      </c>
      <c r="G169" t="s">
        <v>94</v>
      </c>
      <c r="H169" t="s">
        <v>111</v>
      </c>
      <c r="I169" t="s">
        <v>121</v>
      </c>
      <c r="J169" t="s">
        <v>110</v>
      </c>
      <c r="L169" s="2">
        <v>0</v>
      </c>
      <c r="M169">
        <v>1</v>
      </c>
    </row>
    <row r="170" spans="1:13" x14ac:dyDescent="0.25">
      <c r="A170" t="s">
        <v>22</v>
      </c>
      <c r="B170" t="str">
        <f t="shared" si="4"/>
        <v>15F.A.calendula</v>
      </c>
      <c r="C170" t="str">
        <f t="shared" si="5"/>
        <v>15F.A.calendula.Highcomp</v>
      </c>
      <c r="D170" t="s">
        <v>145</v>
      </c>
      <c r="E170">
        <v>15</v>
      </c>
      <c r="F170" t="s">
        <v>23</v>
      </c>
      <c r="G170" t="s">
        <v>95</v>
      </c>
      <c r="H170" t="s">
        <v>102</v>
      </c>
      <c r="I170" t="s">
        <v>121</v>
      </c>
      <c r="J170" t="s">
        <v>236</v>
      </c>
      <c r="L170" s="2">
        <v>0</v>
      </c>
      <c r="M170">
        <v>1</v>
      </c>
    </row>
    <row r="171" spans="1:13" x14ac:dyDescent="0.25">
      <c r="A171" t="s">
        <v>22</v>
      </c>
      <c r="B171" t="str">
        <f t="shared" si="4"/>
        <v>15F.H.glabra</v>
      </c>
      <c r="C171" t="str">
        <f t="shared" si="5"/>
        <v>15F.H.glabra.Highcomp</v>
      </c>
      <c r="D171" t="s">
        <v>145</v>
      </c>
      <c r="E171">
        <v>15</v>
      </c>
      <c r="F171" t="s">
        <v>23</v>
      </c>
      <c r="G171" t="s">
        <v>95</v>
      </c>
      <c r="H171" t="s">
        <v>105</v>
      </c>
      <c r="I171" t="s">
        <v>121</v>
      </c>
      <c r="J171" t="s">
        <v>113</v>
      </c>
      <c r="L171" s="2">
        <v>0</v>
      </c>
      <c r="M171">
        <v>4</v>
      </c>
    </row>
    <row r="172" spans="1:13" x14ac:dyDescent="0.25">
      <c r="A172" t="s">
        <v>22</v>
      </c>
      <c r="B172" t="str">
        <f t="shared" si="4"/>
        <v>15F.H.glabra</v>
      </c>
      <c r="C172" t="str">
        <f t="shared" si="5"/>
        <v>15F.H.glabra.Highcomp</v>
      </c>
      <c r="D172" t="s">
        <v>145</v>
      </c>
      <c r="E172">
        <v>16</v>
      </c>
      <c r="F172" t="s">
        <v>23</v>
      </c>
      <c r="G172" t="s">
        <v>95</v>
      </c>
      <c r="H172" t="s">
        <v>105</v>
      </c>
      <c r="I172" t="s">
        <v>121</v>
      </c>
      <c r="J172" t="s">
        <v>103</v>
      </c>
      <c r="L172" s="2">
        <v>0</v>
      </c>
      <c r="M172">
        <v>1</v>
      </c>
    </row>
    <row r="173" spans="1:13" x14ac:dyDescent="0.25">
      <c r="A173" t="s">
        <v>22</v>
      </c>
      <c r="B173" t="str">
        <f t="shared" si="4"/>
        <v>15F.H.glabra</v>
      </c>
      <c r="C173" t="str">
        <f t="shared" si="5"/>
        <v>15F.H.glabra.Highcomp</v>
      </c>
      <c r="D173" t="s">
        <v>145</v>
      </c>
      <c r="E173">
        <v>17</v>
      </c>
      <c r="F173" t="s">
        <v>23</v>
      </c>
      <c r="G173" t="s">
        <v>95</v>
      </c>
      <c r="H173" t="s">
        <v>105</v>
      </c>
      <c r="I173" t="s">
        <v>121</v>
      </c>
      <c r="J173" t="s">
        <v>234</v>
      </c>
      <c r="L173" s="2">
        <v>0</v>
      </c>
      <c r="M173">
        <v>1</v>
      </c>
    </row>
    <row r="174" spans="1:13" x14ac:dyDescent="0.25">
      <c r="A174" t="s">
        <v>22</v>
      </c>
      <c r="B174" t="str">
        <f t="shared" si="4"/>
        <v>15F.P.airoides</v>
      </c>
      <c r="C174" t="str">
        <f t="shared" si="5"/>
        <v>15F.P.airoides.Highcomp</v>
      </c>
      <c r="D174" t="s">
        <v>145</v>
      </c>
      <c r="E174">
        <v>15</v>
      </c>
      <c r="F174" t="s">
        <v>23</v>
      </c>
      <c r="G174" t="s">
        <v>95</v>
      </c>
      <c r="H174" t="s">
        <v>103</v>
      </c>
      <c r="I174" t="s">
        <v>103</v>
      </c>
      <c r="J174" t="s">
        <v>103</v>
      </c>
      <c r="L174" s="2">
        <v>0</v>
      </c>
      <c r="M174">
        <v>6</v>
      </c>
    </row>
    <row r="175" spans="1:13" x14ac:dyDescent="0.25">
      <c r="A175" t="s">
        <v>22</v>
      </c>
      <c r="B175" t="str">
        <f t="shared" si="4"/>
        <v>15F.P.airoides</v>
      </c>
      <c r="C175" t="str">
        <f t="shared" si="5"/>
        <v>15F.P.airoides.Highcomp</v>
      </c>
      <c r="D175" t="s">
        <v>145</v>
      </c>
      <c r="E175">
        <v>16</v>
      </c>
      <c r="F175" t="s">
        <v>23</v>
      </c>
      <c r="G175" t="s">
        <v>95</v>
      </c>
      <c r="H175" t="s">
        <v>103</v>
      </c>
      <c r="I175" t="s">
        <v>103</v>
      </c>
      <c r="J175" t="s">
        <v>248</v>
      </c>
      <c r="L175" s="2">
        <v>0</v>
      </c>
      <c r="M175">
        <v>4</v>
      </c>
    </row>
    <row r="176" spans="1:13" x14ac:dyDescent="0.25">
      <c r="A176" t="s">
        <v>22</v>
      </c>
      <c r="B176" t="str">
        <f t="shared" si="4"/>
        <v>15F.P.canescens</v>
      </c>
      <c r="C176" t="str">
        <f t="shared" si="5"/>
        <v>15F.P.canescens.Highcomp</v>
      </c>
      <c r="D176" t="s">
        <v>145</v>
      </c>
      <c r="E176">
        <v>15</v>
      </c>
      <c r="F176" t="s">
        <v>23</v>
      </c>
      <c r="G176" t="s">
        <v>95</v>
      </c>
      <c r="H176" t="s">
        <v>111</v>
      </c>
      <c r="I176" t="s">
        <v>121</v>
      </c>
      <c r="J176" t="s">
        <v>112</v>
      </c>
      <c r="L176" s="2">
        <v>1</v>
      </c>
      <c r="M176">
        <v>1</v>
      </c>
    </row>
    <row r="177" spans="1:13" x14ac:dyDescent="0.25">
      <c r="A177" t="s">
        <v>22</v>
      </c>
      <c r="B177" t="str">
        <f t="shared" si="4"/>
        <v>15F.P.canescens</v>
      </c>
      <c r="C177" t="str">
        <f t="shared" si="5"/>
        <v>15F.P.canescens.Highcomp</v>
      </c>
      <c r="D177" t="s">
        <v>145</v>
      </c>
      <c r="E177">
        <v>16</v>
      </c>
      <c r="F177" t="s">
        <v>23</v>
      </c>
      <c r="G177" t="s">
        <v>95</v>
      </c>
      <c r="H177" t="s">
        <v>111</v>
      </c>
      <c r="I177" t="s">
        <v>121</v>
      </c>
      <c r="J177" t="s">
        <v>239</v>
      </c>
      <c r="L177" s="2">
        <v>1</v>
      </c>
      <c r="M177">
        <v>1</v>
      </c>
    </row>
    <row r="178" spans="1:13" x14ac:dyDescent="0.25">
      <c r="A178" t="s">
        <v>22</v>
      </c>
      <c r="B178" t="str">
        <f t="shared" si="4"/>
        <v>15F.P.canescens</v>
      </c>
      <c r="C178" t="str">
        <f t="shared" si="5"/>
        <v>15F.P.canescens.Highcomp</v>
      </c>
      <c r="D178" t="s">
        <v>145</v>
      </c>
      <c r="E178">
        <v>17</v>
      </c>
      <c r="F178" t="s">
        <v>23</v>
      </c>
      <c r="G178" t="s">
        <v>95</v>
      </c>
      <c r="H178" t="s">
        <v>111</v>
      </c>
      <c r="I178" t="s">
        <v>121</v>
      </c>
      <c r="J178" t="s">
        <v>248</v>
      </c>
      <c r="L178" s="2">
        <v>1</v>
      </c>
      <c r="M178">
        <v>5</v>
      </c>
    </row>
    <row r="179" spans="1:13" x14ac:dyDescent="0.25">
      <c r="A179" t="s">
        <v>22</v>
      </c>
      <c r="B179" t="str">
        <f t="shared" si="4"/>
        <v>15F.V.rosea</v>
      </c>
      <c r="C179" t="str">
        <f t="shared" si="5"/>
        <v>15F.V.rosea.Highcomp</v>
      </c>
      <c r="D179" t="s">
        <v>145</v>
      </c>
      <c r="E179">
        <v>15</v>
      </c>
      <c r="F179" t="s">
        <v>23</v>
      </c>
      <c r="G179" t="s">
        <v>95</v>
      </c>
      <c r="H179" t="s">
        <v>112</v>
      </c>
      <c r="I179" t="s">
        <v>103</v>
      </c>
      <c r="J179" t="s">
        <v>103</v>
      </c>
      <c r="L179" s="2">
        <v>0</v>
      </c>
      <c r="M179">
        <v>3</v>
      </c>
    </row>
    <row r="180" spans="1:13" x14ac:dyDescent="0.25">
      <c r="A180" t="s">
        <v>22</v>
      </c>
      <c r="B180" t="str">
        <f t="shared" si="4"/>
        <v>15F.V.rosea</v>
      </c>
      <c r="C180" t="str">
        <f t="shared" si="5"/>
        <v>15F.V.rosea.Highcomp</v>
      </c>
      <c r="D180" t="s">
        <v>145</v>
      </c>
      <c r="E180">
        <v>16</v>
      </c>
      <c r="F180" t="s">
        <v>23</v>
      </c>
      <c r="G180" t="s">
        <v>95</v>
      </c>
      <c r="H180" t="s">
        <v>112</v>
      </c>
      <c r="I180" t="s">
        <v>103</v>
      </c>
      <c r="J180" t="s">
        <v>113</v>
      </c>
      <c r="L180" s="2">
        <v>0</v>
      </c>
      <c r="M180">
        <v>2</v>
      </c>
    </row>
    <row r="181" spans="1:13" x14ac:dyDescent="0.25">
      <c r="A181" t="s">
        <v>22</v>
      </c>
      <c r="B181" t="str">
        <f t="shared" si="4"/>
        <v>15F.V.rosea</v>
      </c>
      <c r="C181" t="str">
        <f t="shared" si="5"/>
        <v>15F.V.rosea.Highcomp</v>
      </c>
      <c r="D181" t="s">
        <v>145</v>
      </c>
      <c r="E181">
        <v>17</v>
      </c>
      <c r="F181" t="s">
        <v>23</v>
      </c>
      <c r="G181" t="s">
        <v>95</v>
      </c>
      <c r="H181" t="s">
        <v>112</v>
      </c>
      <c r="I181" t="s">
        <v>103</v>
      </c>
      <c r="J181" t="s">
        <v>247</v>
      </c>
      <c r="L181" s="2">
        <v>0</v>
      </c>
      <c r="M181">
        <v>1</v>
      </c>
    </row>
    <row r="182" spans="1:13" x14ac:dyDescent="0.25">
      <c r="A182" t="s">
        <v>22</v>
      </c>
      <c r="B182" t="str">
        <f t="shared" si="4"/>
        <v>15F.V.rosea</v>
      </c>
      <c r="C182" t="str">
        <f t="shared" si="5"/>
        <v>15F.V.rosea.Highcomp</v>
      </c>
      <c r="D182" t="s">
        <v>145</v>
      </c>
      <c r="E182">
        <v>18</v>
      </c>
      <c r="F182" t="s">
        <v>23</v>
      </c>
      <c r="G182" t="s">
        <v>95</v>
      </c>
      <c r="H182" t="s">
        <v>112</v>
      </c>
      <c r="I182" t="s">
        <v>103</v>
      </c>
      <c r="J182" t="s">
        <v>248</v>
      </c>
      <c r="L182" s="2">
        <v>0</v>
      </c>
      <c r="M182">
        <v>3</v>
      </c>
    </row>
    <row r="183" spans="1:13" x14ac:dyDescent="0.25">
      <c r="A183" t="s">
        <v>24</v>
      </c>
      <c r="B183" t="str">
        <f t="shared" si="4"/>
        <v>15G.H.glabra</v>
      </c>
      <c r="C183" t="str">
        <f t="shared" si="5"/>
        <v>15G.H.glabra.Highcomp</v>
      </c>
      <c r="D183" t="s">
        <v>145</v>
      </c>
      <c r="E183">
        <v>15</v>
      </c>
      <c r="F183" t="s">
        <v>25</v>
      </c>
      <c r="G183" t="s">
        <v>95</v>
      </c>
      <c r="H183" t="s">
        <v>105</v>
      </c>
      <c r="I183" t="s">
        <v>121</v>
      </c>
      <c r="J183" t="s">
        <v>111</v>
      </c>
      <c r="L183" s="2">
        <v>0</v>
      </c>
      <c r="M183">
        <v>1</v>
      </c>
    </row>
    <row r="184" spans="1:13" x14ac:dyDescent="0.25">
      <c r="A184" t="s">
        <v>24</v>
      </c>
      <c r="B184" t="str">
        <f t="shared" si="4"/>
        <v>15G.H.glabra</v>
      </c>
      <c r="C184" t="str">
        <f t="shared" si="5"/>
        <v>15G.H.glabra.Highcomp</v>
      </c>
      <c r="D184" t="s">
        <v>145</v>
      </c>
      <c r="E184">
        <v>16</v>
      </c>
      <c r="F184" t="s">
        <v>25</v>
      </c>
      <c r="G184" t="s">
        <v>95</v>
      </c>
      <c r="H184" t="s">
        <v>105</v>
      </c>
      <c r="I184" t="s">
        <v>121</v>
      </c>
      <c r="J184" t="s">
        <v>104</v>
      </c>
      <c r="L184" s="2">
        <v>0</v>
      </c>
      <c r="M184">
        <v>1</v>
      </c>
    </row>
    <row r="185" spans="1:13" x14ac:dyDescent="0.25">
      <c r="A185" t="s">
        <v>24</v>
      </c>
      <c r="B185" t="str">
        <f t="shared" si="4"/>
        <v>15G.V.rosea</v>
      </c>
      <c r="C185" t="str">
        <f t="shared" si="5"/>
        <v>15G.V.rosea.Highcomp</v>
      </c>
      <c r="D185" t="s">
        <v>145</v>
      </c>
      <c r="E185">
        <v>15</v>
      </c>
      <c r="F185" t="s">
        <v>25</v>
      </c>
      <c r="G185" t="s">
        <v>95</v>
      </c>
      <c r="H185" t="s">
        <v>112</v>
      </c>
      <c r="I185" t="s">
        <v>112</v>
      </c>
      <c r="J185" t="s">
        <v>112</v>
      </c>
      <c r="L185" s="2">
        <v>0</v>
      </c>
      <c r="M185">
        <v>1</v>
      </c>
    </row>
    <row r="186" spans="1:13" x14ac:dyDescent="0.25">
      <c r="A186" t="s">
        <v>26</v>
      </c>
      <c r="B186" t="str">
        <f t="shared" si="4"/>
        <v>15H.H.glabra</v>
      </c>
      <c r="C186" t="str">
        <f t="shared" si="5"/>
        <v>15H.H.glabra.Highcomp</v>
      </c>
      <c r="D186" t="s">
        <v>145</v>
      </c>
      <c r="E186">
        <v>15</v>
      </c>
      <c r="F186" t="s">
        <v>27</v>
      </c>
      <c r="G186" t="s">
        <v>95</v>
      </c>
      <c r="H186" t="s">
        <v>105</v>
      </c>
      <c r="I186" t="s">
        <v>102</v>
      </c>
      <c r="J186" t="s">
        <v>102</v>
      </c>
      <c r="L186" s="2">
        <v>0</v>
      </c>
      <c r="M186">
        <v>1</v>
      </c>
    </row>
    <row r="187" spans="1:13" x14ac:dyDescent="0.25">
      <c r="A187" t="s">
        <v>26</v>
      </c>
      <c r="B187" t="str">
        <f t="shared" si="4"/>
        <v>15H.H.glabra</v>
      </c>
      <c r="C187" t="str">
        <f t="shared" si="5"/>
        <v>15H.H.glabra.Highcomp</v>
      </c>
      <c r="D187" t="s">
        <v>145</v>
      </c>
      <c r="E187">
        <v>16</v>
      </c>
      <c r="F187" t="s">
        <v>27</v>
      </c>
      <c r="G187" t="s">
        <v>95</v>
      </c>
      <c r="H187" t="s">
        <v>105</v>
      </c>
      <c r="I187" t="s">
        <v>102</v>
      </c>
      <c r="J187" t="s">
        <v>111</v>
      </c>
      <c r="L187" s="2">
        <v>0</v>
      </c>
      <c r="M187">
        <v>1</v>
      </c>
    </row>
    <row r="188" spans="1:13" x14ac:dyDescent="0.25">
      <c r="A188" t="s">
        <v>26</v>
      </c>
      <c r="B188" t="str">
        <f t="shared" si="4"/>
        <v>15H.H.glabra</v>
      </c>
      <c r="C188" t="str">
        <f t="shared" si="5"/>
        <v>15H.H.glabra.Highcomp</v>
      </c>
      <c r="D188" t="s">
        <v>145</v>
      </c>
      <c r="E188">
        <v>17</v>
      </c>
      <c r="F188" t="s">
        <v>27</v>
      </c>
      <c r="G188" t="s">
        <v>95</v>
      </c>
      <c r="H188" t="s">
        <v>105</v>
      </c>
      <c r="I188" t="s">
        <v>102</v>
      </c>
      <c r="J188" t="s">
        <v>242</v>
      </c>
      <c r="L188" s="2">
        <v>0</v>
      </c>
      <c r="M188">
        <v>1</v>
      </c>
    </row>
    <row r="189" spans="1:13" x14ac:dyDescent="0.25">
      <c r="A189" t="s">
        <v>26</v>
      </c>
      <c r="B189" t="str">
        <f t="shared" si="4"/>
        <v>15H.M.minima</v>
      </c>
      <c r="C189" t="str">
        <f t="shared" si="5"/>
        <v>15H.M.minima.Highcomp</v>
      </c>
      <c r="D189" t="s">
        <v>145</v>
      </c>
      <c r="E189">
        <v>15</v>
      </c>
      <c r="F189" t="s">
        <v>27</v>
      </c>
      <c r="G189" t="s">
        <v>95</v>
      </c>
      <c r="H189" t="s">
        <v>110</v>
      </c>
      <c r="I189" t="s">
        <v>111</v>
      </c>
      <c r="J189" t="s">
        <v>111</v>
      </c>
      <c r="L189" s="2">
        <v>0</v>
      </c>
      <c r="M189">
        <v>1</v>
      </c>
    </row>
    <row r="190" spans="1:13" x14ac:dyDescent="0.25">
      <c r="A190" t="s">
        <v>26</v>
      </c>
      <c r="B190" t="str">
        <f t="shared" si="4"/>
        <v>15H.M.minima</v>
      </c>
      <c r="C190" t="str">
        <f t="shared" si="5"/>
        <v>15H.M.minima.Highcomp</v>
      </c>
      <c r="D190" t="s">
        <v>145</v>
      </c>
      <c r="E190">
        <v>16</v>
      </c>
      <c r="F190" t="s">
        <v>27</v>
      </c>
      <c r="G190" t="s">
        <v>95</v>
      </c>
      <c r="H190" t="s">
        <v>110</v>
      </c>
      <c r="I190" t="s">
        <v>111</v>
      </c>
      <c r="J190" t="s">
        <v>242</v>
      </c>
      <c r="L190" s="2">
        <v>0</v>
      </c>
      <c r="M190">
        <v>8</v>
      </c>
    </row>
    <row r="191" spans="1:13" x14ac:dyDescent="0.25">
      <c r="A191" t="s">
        <v>26</v>
      </c>
      <c r="B191" t="str">
        <f t="shared" si="4"/>
        <v>15H.P.canescens</v>
      </c>
      <c r="C191" t="str">
        <f t="shared" si="5"/>
        <v>15H.P.canescens.Highcomp</v>
      </c>
      <c r="D191" t="s">
        <v>145</v>
      </c>
      <c r="E191">
        <v>15</v>
      </c>
      <c r="F191" t="s">
        <v>27</v>
      </c>
      <c r="G191" t="s">
        <v>95</v>
      </c>
      <c r="H191" t="s">
        <v>111</v>
      </c>
      <c r="I191" t="s">
        <v>102</v>
      </c>
      <c r="J191" t="s">
        <v>244</v>
      </c>
      <c r="L191" s="2">
        <v>0</v>
      </c>
      <c r="M191">
        <v>1</v>
      </c>
    </row>
    <row r="192" spans="1:13" x14ac:dyDescent="0.25">
      <c r="A192" t="s">
        <v>26</v>
      </c>
      <c r="B192" t="str">
        <f t="shared" si="4"/>
        <v>15H.P.canescens</v>
      </c>
      <c r="C192" t="str">
        <f t="shared" si="5"/>
        <v>15H.P.canescens.Highcomp</v>
      </c>
      <c r="D192" t="s">
        <v>145</v>
      </c>
      <c r="E192">
        <v>16</v>
      </c>
      <c r="F192" t="s">
        <v>27</v>
      </c>
      <c r="G192" t="s">
        <v>95</v>
      </c>
      <c r="H192" t="s">
        <v>111</v>
      </c>
      <c r="I192" t="s">
        <v>102</v>
      </c>
      <c r="J192" t="s">
        <v>236</v>
      </c>
      <c r="L192" s="2">
        <v>0</v>
      </c>
      <c r="M192">
        <v>1</v>
      </c>
    </row>
    <row r="193" spans="1:13" x14ac:dyDescent="0.25">
      <c r="A193" t="s">
        <v>26</v>
      </c>
      <c r="B193" t="str">
        <f t="shared" si="4"/>
        <v>15H.P.canescens</v>
      </c>
      <c r="C193" t="str">
        <f t="shared" si="5"/>
        <v>15H.P.canescens.Highcomp</v>
      </c>
      <c r="D193" t="s">
        <v>145</v>
      </c>
      <c r="E193">
        <v>17</v>
      </c>
      <c r="F193" t="s">
        <v>27</v>
      </c>
      <c r="G193" t="s">
        <v>95</v>
      </c>
      <c r="H193" t="s">
        <v>111</v>
      </c>
      <c r="I193" t="s">
        <v>102</v>
      </c>
      <c r="J193" t="s">
        <v>102</v>
      </c>
      <c r="L193" s="2">
        <v>0</v>
      </c>
      <c r="M193">
        <v>1</v>
      </c>
    </row>
    <row r="194" spans="1:13" x14ac:dyDescent="0.25">
      <c r="A194" t="s">
        <v>26</v>
      </c>
      <c r="B194" t="str">
        <f t="shared" si="4"/>
        <v>15H.P.canescens</v>
      </c>
      <c r="C194" t="str">
        <f t="shared" si="5"/>
        <v>15H.P.canescens.Highcomp</v>
      </c>
      <c r="D194" t="s">
        <v>145</v>
      </c>
      <c r="E194">
        <v>18</v>
      </c>
      <c r="F194" t="s">
        <v>27</v>
      </c>
      <c r="G194" t="s">
        <v>95</v>
      </c>
      <c r="H194" t="s">
        <v>111</v>
      </c>
      <c r="I194" t="s">
        <v>102</v>
      </c>
      <c r="J194" t="s">
        <v>242</v>
      </c>
      <c r="L194" s="2">
        <v>0</v>
      </c>
      <c r="M194">
        <v>3</v>
      </c>
    </row>
    <row r="195" spans="1:13" x14ac:dyDescent="0.25">
      <c r="A195" t="s">
        <v>28</v>
      </c>
      <c r="B195" t="str">
        <f t="shared" ref="B195:B258" si="6">A195&amp;"."&amp;H195</f>
        <v>15I.H.glutinosum</v>
      </c>
      <c r="C195" t="str">
        <f t="shared" ref="C195:C258" si="7">B195&amp;"."&amp;D195</f>
        <v>15I.H.glutinosum.Highcomp</v>
      </c>
      <c r="D195" t="s">
        <v>145</v>
      </c>
      <c r="E195">
        <v>15</v>
      </c>
      <c r="F195" t="s">
        <v>29</v>
      </c>
      <c r="G195" t="s">
        <v>94</v>
      </c>
      <c r="H195" t="s">
        <v>113</v>
      </c>
      <c r="I195" t="s">
        <v>113</v>
      </c>
      <c r="J195" t="s">
        <v>113</v>
      </c>
      <c r="L195" s="2">
        <v>0</v>
      </c>
      <c r="M195">
        <v>2</v>
      </c>
    </row>
    <row r="196" spans="1:13" x14ac:dyDescent="0.25">
      <c r="A196" t="s">
        <v>28</v>
      </c>
      <c r="B196" t="str">
        <f t="shared" si="6"/>
        <v>15I.H.glutinosum</v>
      </c>
      <c r="C196" t="str">
        <f t="shared" si="7"/>
        <v>15I.H.glutinosum.Highcomp</v>
      </c>
      <c r="D196" t="s">
        <v>145</v>
      </c>
      <c r="E196">
        <v>16</v>
      </c>
      <c r="F196" t="s">
        <v>29</v>
      </c>
      <c r="G196" t="s">
        <v>94</v>
      </c>
      <c r="H196" t="s">
        <v>113</v>
      </c>
      <c r="I196" t="s">
        <v>113</v>
      </c>
      <c r="J196" t="s">
        <v>248</v>
      </c>
      <c r="L196" s="2">
        <v>0</v>
      </c>
      <c r="M196">
        <v>12</v>
      </c>
    </row>
    <row r="197" spans="1:13" x14ac:dyDescent="0.25">
      <c r="A197" t="s">
        <v>28</v>
      </c>
      <c r="B197" t="str">
        <f t="shared" si="6"/>
        <v>15I.H.glutinosum</v>
      </c>
      <c r="C197" t="str">
        <f t="shared" si="7"/>
        <v>15I.H.glutinosum.Highcomp</v>
      </c>
      <c r="D197" t="s">
        <v>145</v>
      </c>
      <c r="E197">
        <v>17</v>
      </c>
      <c r="F197" t="s">
        <v>29</v>
      </c>
      <c r="G197" t="s">
        <v>94</v>
      </c>
      <c r="H197" t="s">
        <v>113</v>
      </c>
      <c r="I197" t="s">
        <v>113</v>
      </c>
      <c r="J197" t="s">
        <v>247</v>
      </c>
      <c r="L197" s="2">
        <v>0</v>
      </c>
      <c r="M197">
        <v>1</v>
      </c>
    </row>
    <row r="198" spans="1:13" x14ac:dyDescent="0.25">
      <c r="A198" t="s">
        <v>28</v>
      </c>
      <c r="B198" t="str">
        <f t="shared" si="6"/>
        <v>15I.H.glutinosum</v>
      </c>
      <c r="C198" t="str">
        <f t="shared" si="7"/>
        <v>15I.H.glutinosum.Highcomp</v>
      </c>
      <c r="D198" t="s">
        <v>145</v>
      </c>
      <c r="E198">
        <v>18</v>
      </c>
      <c r="F198" t="s">
        <v>29</v>
      </c>
      <c r="G198" t="s">
        <v>94</v>
      </c>
      <c r="H198" t="s">
        <v>113</v>
      </c>
      <c r="I198" t="s">
        <v>113</v>
      </c>
      <c r="J198" t="s">
        <v>239</v>
      </c>
      <c r="L198" s="2">
        <v>0</v>
      </c>
      <c r="M198">
        <v>1</v>
      </c>
    </row>
    <row r="199" spans="1:13" x14ac:dyDescent="0.25">
      <c r="A199" t="s">
        <v>28</v>
      </c>
      <c r="B199" t="str">
        <f t="shared" si="6"/>
        <v>15I.P.airoides</v>
      </c>
      <c r="C199" t="str">
        <f t="shared" si="7"/>
        <v>15I.P.airoides.Highcomp</v>
      </c>
      <c r="D199" t="s">
        <v>145</v>
      </c>
      <c r="E199">
        <v>15</v>
      </c>
      <c r="F199" t="s">
        <v>29</v>
      </c>
      <c r="G199" t="s">
        <v>94</v>
      </c>
      <c r="H199" t="s">
        <v>103</v>
      </c>
      <c r="I199" t="s">
        <v>102</v>
      </c>
      <c r="J199" t="s">
        <v>102</v>
      </c>
      <c r="L199" s="2">
        <v>0</v>
      </c>
      <c r="M199">
        <v>1</v>
      </c>
    </row>
    <row r="200" spans="1:13" x14ac:dyDescent="0.25">
      <c r="A200" t="s">
        <v>28</v>
      </c>
      <c r="B200" t="str">
        <f t="shared" si="6"/>
        <v>15I.P.airoides</v>
      </c>
      <c r="C200" t="str">
        <f t="shared" si="7"/>
        <v>15I.P.airoides.Highcomp</v>
      </c>
      <c r="D200" t="s">
        <v>145</v>
      </c>
      <c r="E200">
        <v>16</v>
      </c>
      <c r="F200" t="s">
        <v>29</v>
      </c>
      <c r="G200" t="s">
        <v>94</v>
      </c>
      <c r="H200" t="s">
        <v>103</v>
      </c>
      <c r="I200" t="s">
        <v>102</v>
      </c>
      <c r="J200" t="s">
        <v>103</v>
      </c>
      <c r="L200" s="2">
        <v>0</v>
      </c>
      <c r="M200">
        <v>2</v>
      </c>
    </row>
    <row r="201" spans="1:13" x14ac:dyDescent="0.25">
      <c r="A201" t="s">
        <v>28</v>
      </c>
      <c r="B201" t="str">
        <f t="shared" si="6"/>
        <v>15I.P.canescens</v>
      </c>
      <c r="C201" t="str">
        <f t="shared" si="7"/>
        <v>15I.P.canescens.Highcomp</v>
      </c>
      <c r="D201" t="s">
        <v>145</v>
      </c>
      <c r="E201">
        <v>15</v>
      </c>
      <c r="F201" t="s">
        <v>29</v>
      </c>
      <c r="G201" t="s">
        <v>94</v>
      </c>
      <c r="H201" t="s">
        <v>111</v>
      </c>
      <c r="I201" t="s">
        <v>121</v>
      </c>
      <c r="J201" t="s">
        <v>247</v>
      </c>
      <c r="L201" s="2">
        <v>0</v>
      </c>
      <c r="M201">
        <v>1</v>
      </c>
    </row>
    <row r="202" spans="1:13" x14ac:dyDescent="0.25">
      <c r="A202" t="s">
        <v>28</v>
      </c>
      <c r="B202" t="str">
        <f t="shared" si="6"/>
        <v>15I.P.canescens</v>
      </c>
      <c r="C202" t="str">
        <f t="shared" si="7"/>
        <v>15I.P.canescens.Highcomp</v>
      </c>
      <c r="D202" t="s">
        <v>145</v>
      </c>
      <c r="E202">
        <v>16</v>
      </c>
      <c r="F202" t="s">
        <v>29</v>
      </c>
      <c r="G202" t="s">
        <v>94</v>
      </c>
      <c r="H202" t="s">
        <v>111</v>
      </c>
      <c r="I202" t="s">
        <v>121</v>
      </c>
      <c r="J202" t="s">
        <v>113</v>
      </c>
      <c r="L202" s="2">
        <v>0</v>
      </c>
      <c r="M202">
        <v>3</v>
      </c>
    </row>
    <row r="203" spans="1:13" x14ac:dyDescent="0.25">
      <c r="A203" t="s">
        <v>28</v>
      </c>
      <c r="B203" t="str">
        <f t="shared" si="6"/>
        <v>15I.P.canescens</v>
      </c>
      <c r="C203" t="str">
        <f t="shared" si="7"/>
        <v>15I.P.canescens.Highcomp</v>
      </c>
      <c r="D203" t="s">
        <v>145</v>
      </c>
      <c r="E203">
        <v>17</v>
      </c>
      <c r="F203" t="s">
        <v>29</v>
      </c>
      <c r="G203" t="s">
        <v>94</v>
      </c>
      <c r="H203" t="s">
        <v>111</v>
      </c>
      <c r="I203" t="s">
        <v>121</v>
      </c>
      <c r="J203" t="s">
        <v>248</v>
      </c>
      <c r="L203" s="2">
        <v>0</v>
      </c>
      <c r="M203">
        <v>1</v>
      </c>
    </row>
    <row r="204" spans="1:13" x14ac:dyDescent="0.25">
      <c r="A204" t="s">
        <v>28</v>
      </c>
      <c r="B204" t="str">
        <f t="shared" si="6"/>
        <v>15I.V.rosea</v>
      </c>
      <c r="C204" t="str">
        <f t="shared" si="7"/>
        <v>15I.V.rosea.Highcomp</v>
      </c>
      <c r="D204" t="s">
        <v>145</v>
      </c>
      <c r="E204">
        <v>15</v>
      </c>
      <c r="F204" t="s">
        <v>29</v>
      </c>
      <c r="G204" t="s">
        <v>94</v>
      </c>
      <c r="H204" t="s">
        <v>112</v>
      </c>
      <c r="I204" t="s">
        <v>121</v>
      </c>
      <c r="J204" t="s">
        <v>103</v>
      </c>
      <c r="L204" s="2">
        <v>0</v>
      </c>
      <c r="M204">
        <v>4</v>
      </c>
    </row>
    <row r="205" spans="1:13" x14ac:dyDescent="0.25">
      <c r="A205" t="s">
        <v>28</v>
      </c>
      <c r="B205" t="str">
        <f t="shared" si="6"/>
        <v>15I.V.rosea</v>
      </c>
      <c r="C205" t="str">
        <f t="shared" si="7"/>
        <v>15I.V.rosea.Highcomp</v>
      </c>
      <c r="D205" t="s">
        <v>145</v>
      </c>
      <c r="E205">
        <v>16</v>
      </c>
      <c r="F205" t="s">
        <v>29</v>
      </c>
      <c r="G205" t="s">
        <v>94</v>
      </c>
      <c r="H205" t="s">
        <v>112</v>
      </c>
      <c r="I205" t="s">
        <v>121</v>
      </c>
      <c r="J205" t="s">
        <v>113</v>
      </c>
      <c r="L205" s="2">
        <v>0</v>
      </c>
      <c r="M205">
        <v>6</v>
      </c>
    </row>
    <row r="206" spans="1:13" x14ac:dyDescent="0.25">
      <c r="A206" t="s">
        <v>28</v>
      </c>
      <c r="B206" t="str">
        <f t="shared" si="6"/>
        <v>15I.V.rosea</v>
      </c>
      <c r="C206" t="str">
        <f t="shared" si="7"/>
        <v>15I.V.rosea.Highcomp</v>
      </c>
      <c r="D206" t="s">
        <v>145</v>
      </c>
      <c r="E206">
        <v>17</v>
      </c>
      <c r="F206" t="s">
        <v>29</v>
      </c>
      <c r="G206" t="s">
        <v>94</v>
      </c>
      <c r="H206" t="s">
        <v>112</v>
      </c>
      <c r="I206" t="s">
        <v>121</v>
      </c>
      <c r="J206" t="s">
        <v>248</v>
      </c>
      <c r="L206" s="2">
        <v>0</v>
      </c>
      <c r="M206">
        <v>3</v>
      </c>
    </row>
    <row r="207" spans="1:13" x14ac:dyDescent="0.25">
      <c r="A207" t="s">
        <v>30</v>
      </c>
      <c r="B207" t="str">
        <f t="shared" si="6"/>
        <v>15J.H.glutinosum</v>
      </c>
      <c r="C207" t="str">
        <f t="shared" si="7"/>
        <v>15J.H.glutinosum.Highcomp</v>
      </c>
      <c r="D207" t="s">
        <v>145</v>
      </c>
      <c r="E207">
        <v>15</v>
      </c>
      <c r="F207" t="s">
        <v>31</v>
      </c>
      <c r="G207" t="s">
        <v>95</v>
      </c>
      <c r="H207" t="s">
        <v>113</v>
      </c>
      <c r="I207" t="s">
        <v>121</v>
      </c>
      <c r="J207" t="s">
        <v>113</v>
      </c>
      <c r="L207" s="2">
        <v>0</v>
      </c>
      <c r="M207">
        <v>1</v>
      </c>
    </row>
    <row r="208" spans="1:13" x14ac:dyDescent="0.25">
      <c r="A208" t="s">
        <v>30</v>
      </c>
      <c r="B208" t="str">
        <f t="shared" si="6"/>
        <v>15J.H.glutinosum</v>
      </c>
      <c r="C208" t="str">
        <f t="shared" si="7"/>
        <v>15J.H.glutinosum.Highcomp</v>
      </c>
      <c r="D208" t="s">
        <v>145</v>
      </c>
      <c r="E208">
        <v>16</v>
      </c>
      <c r="F208" t="s">
        <v>31</v>
      </c>
      <c r="G208" t="s">
        <v>95</v>
      </c>
      <c r="H208" t="s">
        <v>113</v>
      </c>
      <c r="I208" t="s">
        <v>121</v>
      </c>
      <c r="J208" t="s">
        <v>103</v>
      </c>
      <c r="L208" s="2">
        <v>0</v>
      </c>
      <c r="M208">
        <v>2</v>
      </c>
    </row>
    <row r="209" spans="1:13" x14ac:dyDescent="0.25">
      <c r="A209" t="s">
        <v>30</v>
      </c>
      <c r="B209" t="str">
        <f t="shared" si="6"/>
        <v>15J.H.glutinosum</v>
      </c>
      <c r="C209" t="str">
        <f t="shared" si="7"/>
        <v>15J.H.glutinosum.Highcomp</v>
      </c>
      <c r="D209" t="s">
        <v>145</v>
      </c>
      <c r="E209">
        <v>17</v>
      </c>
      <c r="F209" t="s">
        <v>31</v>
      </c>
      <c r="G209" t="s">
        <v>95</v>
      </c>
      <c r="H209" t="s">
        <v>113</v>
      </c>
      <c r="I209" t="s">
        <v>121</v>
      </c>
      <c r="J209" t="s">
        <v>248</v>
      </c>
      <c r="L209" s="2">
        <v>0</v>
      </c>
      <c r="M209">
        <v>9</v>
      </c>
    </row>
    <row r="210" spans="1:13" x14ac:dyDescent="0.25">
      <c r="A210" t="s">
        <v>30</v>
      </c>
      <c r="B210" t="str">
        <f t="shared" si="6"/>
        <v>15J.H.glutinosum</v>
      </c>
      <c r="C210" t="str">
        <f t="shared" si="7"/>
        <v>15J.H.glutinosum.Highcomp</v>
      </c>
      <c r="D210" t="s">
        <v>145</v>
      </c>
      <c r="E210">
        <v>18</v>
      </c>
      <c r="F210" t="s">
        <v>31</v>
      </c>
      <c r="G210" t="s">
        <v>95</v>
      </c>
      <c r="H210" t="s">
        <v>113</v>
      </c>
      <c r="I210" t="s">
        <v>121</v>
      </c>
      <c r="J210" t="s">
        <v>111</v>
      </c>
      <c r="L210" s="2">
        <v>0</v>
      </c>
      <c r="M210">
        <v>1</v>
      </c>
    </row>
    <row r="211" spans="1:13" x14ac:dyDescent="0.25">
      <c r="A211" t="s">
        <v>30</v>
      </c>
      <c r="B211" t="str">
        <f t="shared" si="6"/>
        <v>15J.P.airoides</v>
      </c>
      <c r="C211" t="str">
        <f t="shared" si="7"/>
        <v>15J.P.airoides.Highcomp</v>
      </c>
      <c r="D211" t="s">
        <v>145</v>
      </c>
      <c r="E211">
        <v>15</v>
      </c>
      <c r="F211" t="s">
        <v>31</v>
      </c>
      <c r="G211" t="s">
        <v>95</v>
      </c>
      <c r="H211" t="s">
        <v>103</v>
      </c>
      <c r="I211" t="s">
        <v>113</v>
      </c>
      <c r="J211" t="s">
        <v>113</v>
      </c>
      <c r="L211" s="2">
        <v>0</v>
      </c>
      <c r="M211">
        <v>3</v>
      </c>
    </row>
    <row r="212" spans="1:13" x14ac:dyDescent="0.25">
      <c r="A212" t="s">
        <v>30</v>
      </c>
      <c r="B212" t="str">
        <f t="shared" si="6"/>
        <v>15J.P.airoides</v>
      </c>
      <c r="C212" t="str">
        <f t="shared" si="7"/>
        <v>15J.P.airoides.Highcomp</v>
      </c>
      <c r="D212" t="s">
        <v>145</v>
      </c>
      <c r="E212">
        <v>16</v>
      </c>
      <c r="F212" t="s">
        <v>31</v>
      </c>
      <c r="G212" t="s">
        <v>95</v>
      </c>
      <c r="H212" t="s">
        <v>103</v>
      </c>
      <c r="I212" t="s">
        <v>113</v>
      </c>
      <c r="J212" t="s">
        <v>247</v>
      </c>
      <c r="L212" s="2">
        <v>0</v>
      </c>
      <c r="M212">
        <v>1</v>
      </c>
    </row>
    <row r="213" spans="1:13" x14ac:dyDescent="0.25">
      <c r="A213" t="s">
        <v>30</v>
      </c>
      <c r="B213" t="str">
        <f t="shared" si="6"/>
        <v>15J.P.airoides</v>
      </c>
      <c r="C213" t="str">
        <f t="shared" si="7"/>
        <v>15J.P.airoides.Highcomp</v>
      </c>
      <c r="D213" t="s">
        <v>145</v>
      </c>
      <c r="E213">
        <v>17</v>
      </c>
      <c r="F213" t="s">
        <v>31</v>
      </c>
      <c r="G213" t="s">
        <v>95</v>
      </c>
      <c r="H213" t="s">
        <v>103</v>
      </c>
      <c r="I213" t="s">
        <v>113</v>
      </c>
      <c r="J213" t="s">
        <v>111</v>
      </c>
      <c r="L213" s="2">
        <v>0</v>
      </c>
      <c r="M213">
        <v>1</v>
      </c>
    </row>
    <row r="214" spans="1:13" x14ac:dyDescent="0.25">
      <c r="A214" t="s">
        <v>30</v>
      </c>
      <c r="B214" t="str">
        <f t="shared" si="6"/>
        <v>15J.P.airoides</v>
      </c>
      <c r="C214" t="str">
        <f t="shared" si="7"/>
        <v>15J.P.airoides.Highcomp</v>
      </c>
      <c r="D214" t="s">
        <v>145</v>
      </c>
      <c r="E214">
        <v>18</v>
      </c>
      <c r="F214" t="s">
        <v>31</v>
      </c>
      <c r="G214" t="s">
        <v>95</v>
      </c>
      <c r="H214" t="s">
        <v>103</v>
      </c>
      <c r="I214" t="s">
        <v>113</v>
      </c>
      <c r="J214" t="s">
        <v>234</v>
      </c>
      <c r="L214" s="2">
        <v>0</v>
      </c>
      <c r="M214">
        <v>1</v>
      </c>
    </row>
    <row r="215" spans="1:13" x14ac:dyDescent="0.25">
      <c r="A215" t="s">
        <v>30</v>
      </c>
      <c r="B215" t="str">
        <f t="shared" si="6"/>
        <v>15J.P.airoides</v>
      </c>
      <c r="C215" t="str">
        <f t="shared" si="7"/>
        <v>15J.P.airoides.Highcomp</v>
      </c>
      <c r="D215" t="s">
        <v>145</v>
      </c>
      <c r="E215">
        <v>19</v>
      </c>
      <c r="F215" t="s">
        <v>31</v>
      </c>
      <c r="G215" t="s">
        <v>95</v>
      </c>
      <c r="H215" t="s">
        <v>103</v>
      </c>
      <c r="I215" t="s">
        <v>113</v>
      </c>
      <c r="J215" t="s">
        <v>241</v>
      </c>
      <c r="L215" s="2">
        <v>0</v>
      </c>
      <c r="M215">
        <v>1</v>
      </c>
    </row>
    <row r="216" spans="1:13" x14ac:dyDescent="0.25">
      <c r="A216" t="s">
        <v>30</v>
      </c>
      <c r="B216" t="str">
        <f t="shared" si="6"/>
        <v>15J.V.rosea</v>
      </c>
      <c r="C216" t="str">
        <f t="shared" si="7"/>
        <v>15J.V.rosea.Highcomp</v>
      </c>
      <c r="D216" t="s">
        <v>145</v>
      </c>
      <c r="E216">
        <v>15</v>
      </c>
      <c r="F216" t="s">
        <v>31</v>
      </c>
      <c r="G216" t="s">
        <v>95</v>
      </c>
      <c r="H216" t="s">
        <v>112</v>
      </c>
      <c r="I216" t="s">
        <v>103</v>
      </c>
      <c r="J216" t="s">
        <v>114</v>
      </c>
      <c r="L216" s="2">
        <v>0</v>
      </c>
      <c r="M216" t="s">
        <v>114</v>
      </c>
    </row>
    <row r="217" spans="1:13" x14ac:dyDescent="0.25">
      <c r="A217" t="s">
        <v>32</v>
      </c>
      <c r="B217" t="str">
        <f t="shared" si="6"/>
        <v>15K.H.glabra</v>
      </c>
      <c r="C217" t="str">
        <f t="shared" si="7"/>
        <v>15K.H.glabra.Highcomp</v>
      </c>
      <c r="D217" t="s">
        <v>145</v>
      </c>
      <c r="E217">
        <v>15</v>
      </c>
      <c r="F217" t="s">
        <v>33</v>
      </c>
      <c r="G217" t="s">
        <v>94</v>
      </c>
      <c r="H217" t="s">
        <v>105</v>
      </c>
      <c r="I217" t="s">
        <v>121</v>
      </c>
      <c r="J217" t="s">
        <v>247</v>
      </c>
      <c r="L217" s="2">
        <v>0</v>
      </c>
      <c r="M217">
        <v>2</v>
      </c>
    </row>
    <row r="218" spans="1:13" x14ac:dyDescent="0.25">
      <c r="A218" t="s">
        <v>32</v>
      </c>
      <c r="B218" t="str">
        <f t="shared" si="6"/>
        <v>15K.H.glabra</v>
      </c>
      <c r="C218" t="str">
        <f t="shared" si="7"/>
        <v>15K.H.glabra.Highcomp</v>
      </c>
      <c r="D218" t="s">
        <v>145</v>
      </c>
      <c r="E218">
        <v>16</v>
      </c>
      <c r="F218" t="s">
        <v>33</v>
      </c>
      <c r="G218" t="s">
        <v>94</v>
      </c>
      <c r="H218" t="s">
        <v>105</v>
      </c>
      <c r="I218" t="s">
        <v>121</v>
      </c>
      <c r="J218" t="s">
        <v>249</v>
      </c>
      <c r="L218" s="2">
        <v>0</v>
      </c>
      <c r="M218">
        <v>1</v>
      </c>
    </row>
    <row r="219" spans="1:13" x14ac:dyDescent="0.25">
      <c r="A219" t="s">
        <v>34</v>
      </c>
      <c r="B219" t="str">
        <f t="shared" si="6"/>
        <v>15L.V.rosea</v>
      </c>
      <c r="C219" t="str">
        <f t="shared" si="7"/>
        <v>15L.V.rosea.Highcomp</v>
      </c>
      <c r="D219" t="s">
        <v>145</v>
      </c>
      <c r="E219">
        <v>15</v>
      </c>
      <c r="F219" t="s">
        <v>35</v>
      </c>
      <c r="G219" t="s">
        <v>94</v>
      </c>
      <c r="H219" t="s">
        <v>112</v>
      </c>
      <c r="I219" t="s">
        <v>112</v>
      </c>
      <c r="J219" t="s">
        <v>112</v>
      </c>
      <c r="L219" s="2">
        <v>0</v>
      </c>
      <c r="M219">
        <v>1</v>
      </c>
    </row>
    <row r="220" spans="1:13" x14ac:dyDescent="0.25">
      <c r="A220" t="s">
        <v>36</v>
      </c>
      <c r="B220" t="str">
        <f t="shared" si="6"/>
        <v>15M.M.minima</v>
      </c>
      <c r="C220" t="str">
        <f t="shared" si="7"/>
        <v>15M.M.minima.Highcomp</v>
      </c>
      <c r="D220" t="s">
        <v>145</v>
      </c>
      <c r="E220">
        <v>15</v>
      </c>
      <c r="F220" t="s">
        <v>37</v>
      </c>
      <c r="G220" t="s">
        <v>95</v>
      </c>
      <c r="H220" t="s">
        <v>110</v>
      </c>
      <c r="I220" t="s">
        <v>121</v>
      </c>
      <c r="J220" t="s">
        <v>110</v>
      </c>
      <c r="L220" s="2">
        <v>0</v>
      </c>
      <c r="M220">
        <v>1</v>
      </c>
    </row>
    <row r="221" spans="1:13" x14ac:dyDescent="0.25">
      <c r="A221" t="s">
        <v>36</v>
      </c>
      <c r="B221" t="str">
        <f t="shared" si="6"/>
        <v>15M.T.cyanopetala</v>
      </c>
      <c r="C221" t="str">
        <f t="shared" si="7"/>
        <v>15M.T.cyanopetala.Highcomp</v>
      </c>
      <c r="D221" t="s">
        <v>145</v>
      </c>
      <c r="E221">
        <v>15</v>
      </c>
      <c r="F221" t="s">
        <v>37</v>
      </c>
      <c r="G221" t="s">
        <v>95</v>
      </c>
      <c r="H221" t="s">
        <v>104</v>
      </c>
      <c r="I221" t="s">
        <v>121</v>
      </c>
      <c r="J221" t="s">
        <v>104</v>
      </c>
      <c r="L221" s="2">
        <v>0</v>
      </c>
      <c r="M221">
        <v>1</v>
      </c>
    </row>
    <row r="222" spans="1:13" x14ac:dyDescent="0.25">
      <c r="A222" t="s">
        <v>36</v>
      </c>
      <c r="B222" t="str">
        <f t="shared" si="6"/>
        <v>15M.T.cyanopetala</v>
      </c>
      <c r="C222" t="str">
        <f t="shared" si="7"/>
        <v>15M.T.cyanopetala.Highcomp</v>
      </c>
      <c r="D222" t="s">
        <v>145</v>
      </c>
      <c r="E222">
        <v>16</v>
      </c>
      <c r="F222" t="s">
        <v>37</v>
      </c>
      <c r="G222" t="s">
        <v>95</v>
      </c>
      <c r="H222" t="s">
        <v>104</v>
      </c>
      <c r="I222" t="s">
        <v>121</v>
      </c>
      <c r="J222" t="s">
        <v>111</v>
      </c>
      <c r="L222" s="2">
        <v>0</v>
      </c>
      <c r="M222">
        <v>1</v>
      </c>
    </row>
    <row r="223" spans="1:13" x14ac:dyDescent="0.25">
      <c r="A223" t="s">
        <v>36</v>
      </c>
      <c r="B223" t="str">
        <f t="shared" si="6"/>
        <v>15M.T.cyanopetala</v>
      </c>
      <c r="C223" t="str">
        <f t="shared" si="7"/>
        <v>15M.T.cyanopetala.Highcomp</v>
      </c>
      <c r="D223" t="s">
        <v>145</v>
      </c>
      <c r="E223">
        <v>17</v>
      </c>
      <c r="F223" t="s">
        <v>37</v>
      </c>
      <c r="G223" t="s">
        <v>95</v>
      </c>
      <c r="H223" t="s">
        <v>104</v>
      </c>
      <c r="I223" t="s">
        <v>121</v>
      </c>
      <c r="J223" t="s">
        <v>162</v>
      </c>
      <c r="L223" s="2">
        <v>0</v>
      </c>
      <c r="M223">
        <v>1</v>
      </c>
    </row>
    <row r="224" spans="1:13" x14ac:dyDescent="0.25">
      <c r="A224" t="s">
        <v>38</v>
      </c>
      <c r="B224" t="str">
        <f t="shared" si="6"/>
        <v>2A.H.glutinosum</v>
      </c>
      <c r="C224" t="str">
        <f t="shared" si="7"/>
        <v>2A.H.glutinosum.Highcomp</v>
      </c>
      <c r="D224" t="s">
        <v>145</v>
      </c>
      <c r="E224">
        <v>2</v>
      </c>
      <c r="F224" t="s">
        <v>11</v>
      </c>
      <c r="G224" t="s">
        <v>95</v>
      </c>
      <c r="H224" t="s">
        <v>113</v>
      </c>
      <c r="I224" t="s">
        <v>103</v>
      </c>
      <c r="J224" t="s">
        <v>103</v>
      </c>
      <c r="L224" s="2">
        <v>0</v>
      </c>
      <c r="M224">
        <v>3</v>
      </c>
    </row>
    <row r="225" spans="1:13" x14ac:dyDescent="0.25">
      <c r="A225" t="s">
        <v>38</v>
      </c>
      <c r="B225" t="str">
        <f t="shared" si="6"/>
        <v>2A.P.airoides</v>
      </c>
      <c r="C225" t="str">
        <f t="shared" si="7"/>
        <v>2A.P.airoides.Highcomp</v>
      </c>
      <c r="D225" t="s">
        <v>145</v>
      </c>
      <c r="E225">
        <v>2</v>
      </c>
      <c r="F225" t="s">
        <v>11</v>
      </c>
      <c r="G225" t="s">
        <v>95</v>
      </c>
      <c r="H225" t="s">
        <v>103</v>
      </c>
      <c r="I225" t="s">
        <v>103</v>
      </c>
      <c r="J225" t="s">
        <v>103</v>
      </c>
      <c r="L225" s="2">
        <v>0</v>
      </c>
      <c r="M225">
        <v>7</v>
      </c>
    </row>
    <row r="226" spans="1:13" x14ac:dyDescent="0.25">
      <c r="A226" t="s">
        <v>38</v>
      </c>
      <c r="B226" t="str">
        <f t="shared" si="6"/>
        <v>2A.P.airoides</v>
      </c>
      <c r="C226" t="str">
        <f t="shared" si="7"/>
        <v>2A.P.airoides.Highcomp</v>
      </c>
      <c r="D226" t="s">
        <v>145</v>
      </c>
      <c r="E226">
        <v>2</v>
      </c>
      <c r="F226" t="s">
        <v>11</v>
      </c>
      <c r="G226" t="s">
        <v>95</v>
      </c>
      <c r="H226" t="s">
        <v>103</v>
      </c>
      <c r="I226" t="s">
        <v>103</v>
      </c>
      <c r="J226" t="s">
        <v>113</v>
      </c>
      <c r="L226" s="2">
        <v>0</v>
      </c>
      <c r="M226">
        <v>2</v>
      </c>
    </row>
    <row r="227" spans="1:13" x14ac:dyDescent="0.25">
      <c r="A227" t="s">
        <v>38</v>
      </c>
      <c r="B227" t="str">
        <f t="shared" si="6"/>
        <v>2A.P.canescens</v>
      </c>
      <c r="C227" t="str">
        <f t="shared" si="7"/>
        <v>2A.P.canescens.Highcomp</v>
      </c>
      <c r="D227" t="s">
        <v>145</v>
      </c>
      <c r="E227">
        <v>2</v>
      </c>
      <c r="F227" t="s">
        <v>11</v>
      </c>
      <c r="G227" t="s">
        <v>95</v>
      </c>
      <c r="H227" t="s">
        <v>111</v>
      </c>
      <c r="I227" t="s">
        <v>103</v>
      </c>
      <c r="J227" t="s">
        <v>103</v>
      </c>
      <c r="L227" s="2">
        <v>0</v>
      </c>
      <c r="M227">
        <v>2</v>
      </c>
    </row>
    <row r="228" spans="1:13" x14ac:dyDescent="0.25">
      <c r="A228" t="s">
        <v>39</v>
      </c>
      <c r="B228" t="str">
        <f t="shared" si="6"/>
        <v>2B.A.calendula</v>
      </c>
      <c r="C228" t="str">
        <f t="shared" si="7"/>
        <v>2B.A.calendula.Highcomp</v>
      </c>
      <c r="D228" t="s">
        <v>145</v>
      </c>
      <c r="E228">
        <v>2</v>
      </c>
      <c r="F228" t="s">
        <v>15</v>
      </c>
      <c r="G228" t="s">
        <v>94</v>
      </c>
      <c r="H228" t="s">
        <v>102</v>
      </c>
      <c r="I228" t="s">
        <v>102</v>
      </c>
      <c r="J228" t="s">
        <v>235</v>
      </c>
      <c r="L228" s="2">
        <v>0</v>
      </c>
      <c r="M228">
        <v>1</v>
      </c>
    </row>
    <row r="229" spans="1:13" x14ac:dyDescent="0.25">
      <c r="A229" t="s">
        <v>39</v>
      </c>
      <c r="B229" t="str">
        <f t="shared" si="6"/>
        <v>2B.A.calendula</v>
      </c>
      <c r="C229" t="str">
        <f t="shared" si="7"/>
        <v>2B.A.calendula.Highcomp</v>
      </c>
      <c r="D229" t="s">
        <v>145</v>
      </c>
      <c r="E229">
        <v>2</v>
      </c>
      <c r="F229" t="s">
        <v>15</v>
      </c>
      <c r="G229" t="s">
        <v>94</v>
      </c>
      <c r="H229" t="s">
        <v>102</v>
      </c>
      <c r="I229" t="s">
        <v>102</v>
      </c>
      <c r="J229" t="s">
        <v>113</v>
      </c>
      <c r="L229" s="2">
        <v>0</v>
      </c>
      <c r="M229">
        <v>2</v>
      </c>
    </row>
    <row r="230" spans="1:13" x14ac:dyDescent="0.25">
      <c r="A230" t="s">
        <v>39</v>
      </c>
      <c r="B230" t="str">
        <f t="shared" si="6"/>
        <v>2B.A.calendula</v>
      </c>
      <c r="C230" t="str">
        <f t="shared" si="7"/>
        <v>2B.A.calendula.Highcomp</v>
      </c>
      <c r="D230" t="s">
        <v>145</v>
      </c>
      <c r="E230">
        <v>2</v>
      </c>
      <c r="F230" t="s">
        <v>15</v>
      </c>
      <c r="G230" t="s">
        <v>94</v>
      </c>
      <c r="H230" t="s">
        <v>102</v>
      </c>
      <c r="I230" t="s">
        <v>102</v>
      </c>
      <c r="J230" t="s">
        <v>103</v>
      </c>
      <c r="L230" s="2">
        <v>0</v>
      </c>
      <c r="M230">
        <v>3</v>
      </c>
    </row>
    <row r="231" spans="1:13" x14ac:dyDescent="0.25">
      <c r="A231" t="s">
        <v>39</v>
      </c>
      <c r="B231" t="str">
        <f t="shared" si="6"/>
        <v>2B.A.calendula</v>
      </c>
      <c r="C231" t="str">
        <f t="shared" si="7"/>
        <v>2B.A.calendula.Highcomp</v>
      </c>
      <c r="D231" t="s">
        <v>145</v>
      </c>
      <c r="E231">
        <v>2</v>
      </c>
      <c r="F231" t="s">
        <v>15</v>
      </c>
      <c r="G231" t="s">
        <v>94</v>
      </c>
      <c r="H231" t="s">
        <v>102</v>
      </c>
      <c r="I231" t="s">
        <v>102</v>
      </c>
      <c r="J231" t="s">
        <v>233</v>
      </c>
      <c r="L231" s="2">
        <v>0</v>
      </c>
      <c r="M231">
        <v>1</v>
      </c>
    </row>
    <row r="232" spans="1:13" x14ac:dyDescent="0.25">
      <c r="A232" t="s">
        <v>39</v>
      </c>
      <c r="B232" t="str">
        <f t="shared" si="6"/>
        <v>2B.A.calendula</v>
      </c>
      <c r="C232" t="str">
        <f t="shared" si="7"/>
        <v>2B.A.calendula.Highcomp</v>
      </c>
      <c r="D232" t="s">
        <v>145</v>
      </c>
      <c r="E232">
        <v>2</v>
      </c>
      <c r="F232" t="s">
        <v>15</v>
      </c>
      <c r="G232" t="s">
        <v>94</v>
      </c>
      <c r="H232" t="s">
        <v>102</v>
      </c>
      <c r="I232" t="s">
        <v>102</v>
      </c>
      <c r="J232" t="s">
        <v>104</v>
      </c>
      <c r="L232" s="2">
        <v>0</v>
      </c>
      <c r="M232">
        <v>1</v>
      </c>
    </row>
    <row r="233" spans="1:13" x14ac:dyDescent="0.25">
      <c r="A233" t="s">
        <v>39</v>
      </c>
      <c r="B233" t="str">
        <f t="shared" si="6"/>
        <v>2B.H.glutinosum</v>
      </c>
      <c r="C233" t="str">
        <f t="shared" si="7"/>
        <v>2B.H.glutinosum.Highcomp</v>
      </c>
      <c r="D233" t="s">
        <v>145</v>
      </c>
      <c r="E233">
        <v>2</v>
      </c>
      <c r="F233" t="s">
        <v>15</v>
      </c>
      <c r="G233" t="s">
        <v>94</v>
      </c>
      <c r="H233" t="s">
        <v>113</v>
      </c>
      <c r="I233" t="s">
        <v>113</v>
      </c>
      <c r="J233" t="s">
        <v>113</v>
      </c>
      <c r="L233" s="2">
        <v>0</v>
      </c>
      <c r="M233">
        <v>5</v>
      </c>
    </row>
    <row r="234" spans="1:13" x14ac:dyDescent="0.25">
      <c r="A234" t="s">
        <v>39</v>
      </c>
      <c r="B234" t="str">
        <f t="shared" si="6"/>
        <v>2B.H.glutinosum</v>
      </c>
      <c r="C234" t="str">
        <f t="shared" si="7"/>
        <v>2B.H.glutinosum.Highcomp</v>
      </c>
      <c r="D234" t="s">
        <v>145</v>
      </c>
      <c r="E234">
        <v>2</v>
      </c>
      <c r="F234" t="s">
        <v>15</v>
      </c>
      <c r="G234" t="s">
        <v>94</v>
      </c>
      <c r="H234" t="s">
        <v>113</v>
      </c>
      <c r="I234" t="s">
        <v>113</v>
      </c>
      <c r="J234" t="s">
        <v>233</v>
      </c>
      <c r="L234">
        <v>0</v>
      </c>
      <c r="M234">
        <v>4</v>
      </c>
    </row>
    <row r="235" spans="1:13" x14ac:dyDescent="0.25">
      <c r="A235" t="s">
        <v>39</v>
      </c>
      <c r="B235" t="str">
        <f t="shared" si="6"/>
        <v>2B.H.glutinosum</v>
      </c>
      <c r="C235" t="str">
        <f t="shared" si="7"/>
        <v>2B.H.glutinosum.Highcomp</v>
      </c>
      <c r="D235" t="s">
        <v>145</v>
      </c>
      <c r="E235">
        <v>2</v>
      </c>
      <c r="F235" t="s">
        <v>15</v>
      </c>
      <c r="G235" t="s">
        <v>94</v>
      </c>
      <c r="H235" t="s">
        <v>113</v>
      </c>
      <c r="I235" t="s">
        <v>113</v>
      </c>
      <c r="J235" t="s">
        <v>234</v>
      </c>
      <c r="L235">
        <v>0</v>
      </c>
      <c r="M235">
        <v>1</v>
      </c>
    </row>
    <row r="236" spans="1:13" x14ac:dyDescent="0.25">
      <c r="A236" t="s">
        <v>39</v>
      </c>
      <c r="B236" t="str">
        <f t="shared" si="6"/>
        <v>2B.P.airoides</v>
      </c>
      <c r="C236" t="str">
        <f t="shared" si="7"/>
        <v>2B.P.airoides.Highcomp</v>
      </c>
      <c r="D236" t="s">
        <v>145</v>
      </c>
      <c r="E236">
        <v>2</v>
      </c>
      <c r="F236" t="s">
        <v>15</v>
      </c>
      <c r="G236" t="s">
        <v>94</v>
      </c>
      <c r="H236" t="s">
        <v>103</v>
      </c>
      <c r="I236" t="s">
        <v>103</v>
      </c>
      <c r="J236" t="s">
        <v>103</v>
      </c>
      <c r="L236">
        <v>0</v>
      </c>
      <c r="M236">
        <v>3</v>
      </c>
    </row>
    <row r="237" spans="1:13" x14ac:dyDescent="0.25">
      <c r="A237" t="s">
        <v>39</v>
      </c>
      <c r="B237" t="str">
        <f t="shared" si="6"/>
        <v>2B.P.airoides</v>
      </c>
      <c r="C237" t="str">
        <f t="shared" si="7"/>
        <v>2B.P.airoides.Highcomp</v>
      </c>
      <c r="D237" t="s">
        <v>145</v>
      </c>
      <c r="E237">
        <v>2</v>
      </c>
      <c r="F237" t="s">
        <v>15</v>
      </c>
      <c r="G237" t="s">
        <v>94</v>
      </c>
      <c r="H237" t="s">
        <v>103</v>
      </c>
      <c r="I237" t="s">
        <v>103</v>
      </c>
      <c r="J237" t="s">
        <v>104</v>
      </c>
      <c r="L237">
        <v>0</v>
      </c>
      <c r="M237">
        <v>1</v>
      </c>
    </row>
    <row r="238" spans="1:13" x14ac:dyDescent="0.25">
      <c r="A238" t="s">
        <v>39</v>
      </c>
      <c r="B238" t="str">
        <f t="shared" si="6"/>
        <v>2B.P.airoides</v>
      </c>
      <c r="C238" t="str">
        <f t="shared" si="7"/>
        <v>2B.P.airoides.Highcomp</v>
      </c>
      <c r="D238" t="s">
        <v>145</v>
      </c>
      <c r="E238">
        <v>2</v>
      </c>
      <c r="F238" t="s">
        <v>15</v>
      </c>
      <c r="G238" t="s">
        <v>94</v>
      </c>
      <c r="H238" t="s">
        <v>103</v>
      </c>
      <c r="I238" t="s">
        <v>103</v>
      </c>
      <c r="J238" t="s">
        <v>113</v>
      </c>
      <c r="L238">
        <v>0</v>
      </c>
      <c r="M238">
        <v>4</v>
      </c>
    </row>
    <row r="239" spans="1:13" x14ac:dyDescent="0.25">
      <c r="A239" t="s">
        <v>39</v>
      </c>
      <c r="B239" t="str">
        <f t="shared" si="6"/>
        <v>2B.P.canescens</v>
      </c>
      <c r="C239" t="str">
        <f t="shared" si="7"/>
        <v>2B.P.canescens.Highcomp</v>
      </c>
      <c r="D239" t="s">
        <v>145</v>
      </c>
      <c r="E239">
        <v>2</v>
      </c>
      <c r="F239" t="s">
        <v>15</v>
      </c>
      <c r="G239" t="s">
        <v>94</v>
      </c>
      <c r="H239" t="s">
        <v>111</v>
      </c>
      <c r="I239" t="s">
        <v>104</v>
      </c>
      <c r="J239" t="s">
        <v>236</v>
      </c>
      <c r="L239">
        <v>0</v>
      </c>
      <c r="M239">
        <v>1</v>
      </c>
    </row>
    <row r="240" spans="1:13" x14ac:dyDescent="0.25">
      <c r="A240" t="s">
        <v>39</v>
      </c>
      <c r="B240" t="str">
        <f t="shared" si="6"/>
        <v>2B.P.canescens</v>
      </c>
      <c r="C240" t="str">
        <f t="shared" si="7"/>
        <v>2B.P.canescens.Highcomp</v>
      </c>
      <c r="D240" t="s">
        <v>145</v>
      </c>
      <c r="E240">
        <v>2</v>
      </c>
      <c r="F240" t="s">
        <v>15</v>
      </c>
      <c r="G240" t="s">
        <v>94</v>
      </c>
      <c r="H240" t="s">
        <v>111</v>
      </c>
      <c r="I240" t="s">
        <v>104</v>
      </c>
      <c r="J240" t="s">
        <v>103</v>
      </c>
      <c r="L240">
        <v>0</v>
      </c>
      <c r="M240">
        <v>1</v>
      </c>
    </row>
    <row r="241" spans="1:13" x14ac:dyDescent="0.25">
      <c r="A241" t="s">
        <v>39</v>
      </c>
      <c r="B241" t="str">
        <f t="shared" si="6"/>
        <v>2B.P.canescens</v>
      </c>
      <c r="C241" t="str">
        <f t="shared" si="7"/>
        <v>2B.P.canescens.Highcomp</v>
      </c>
      <c r="D241" t="s">
        <v>145</v>
      </c>
      <c r="E241">
        <v>2</v>
      </c>
      <c r="F241" t="s">
        <v>15</v>
      </c>
      <c r="G241" t="s">
        <v>94</v>
      </c>
      <c r="H241" t="s">
        <v>111</v>
      </c>
      <c r="I241" t="s">
        <v>104</v>
      </c>
      <c r="J241" t="s">
        <v>104</v>
      </c>
      <c r="L241">
        <v>0</v>
      </c>
      <c r="M241">
        <v>1</v>
      </c>
    </row>
    <row r="242" spans="1:13" x14ac:dyDescent="0.25">
      <c r="A242" t="s">
        <v>39</v>
      </c>
      <c r="B242" t="str">
        <f t="shared" si="6"/>
        <v>2B.T.cyanopetala</v>
      </c>
      <c r="C242" t="str">
        <f t="shared" si="7"/>
        <v>2B.T.cyanopetala.Highcomp</v>
      </c>
      <c r="D242" t="s">
        <v>145</v>
      </c>
      <c r="E242">
        <v>2</v>
      </c>
      <c r="F242" t="s">
        <v>15</v>
      </c>
      <c r="G242" t="s">
        <v>94</v>
      </c>
      <c r="H242" t="s">
        <v>104</v>
      </c>
      <c r="I242" t="s">
        <v>104</v>
      </c>
      <c r="J242" t="s">
        <v>104</v>
      </c>
      <c r="L242">
        <v>0</v>
      </c>
      <c r="M242">
        <v>3</v>
      </c>
    </row>
    <row r="243" spans="1:13" x14ac:dyDescent="0.25">
      <c r="A243" t="s">
        <v>39</v>
      </c>
      <c r="B243" t="str">
        <f t="shared" si="6"/>
        <v>2B.T.cyanopetala</v>
      </c>
      <c r="C243" t="str">
        <f t="shared" si="7"/>
        <v>2B.T.cyanopetala.Highcomp</v>
      </c>
      <c r="D243" t="s">
        <v>145</v>
      </c>
      <c r="E243">
        <v>2</v>
      </c>
      <c r="F243" t="s">
        <v>15</v>
      </c>
      <c r="G243" t="s">
        <v>94</v>
      </c>
      <c r="H243" t="s">
        <v>104</v>
      </c>
      <c r="I243" t="s">
        <v>104</v>
      </c>
      <c r="J243" t="s">
        <v>113</v>
      </c>
      <c r="L243">
        <v>0</v>
      </c>
      <c r="M243">
        <v>1</v>
      </c>
    </row>
    <row r="244" spans="1:13" x14ac:dyDescent="0.25">
      <c r="A244" t="s">
        <v>40</v>
      </c>
      <c r="B244" t="str">
        <f t="shared" si="6"/>
        <v>2C.H.glutinosum</v>
      </c>
      <c r="C244" t="str">
        <f t="shared" si="7"/>
        <v>2C.H.glutinosum.Highcomp</v>
      </c>
      <c r="D244" t="s">
        <v>145</v>
      </c>
      <c r="E244">
        <v>2</v>
      </c>
      <c r="F244" t="s">
        <v>17</v>
      </c>
      <c r="G244" t="s">
        <v>95</v>
      </c>
      <c r="H244" t="s">
        <v>113</v>
      </c>
      <c r="I244" t="s">
        <v>113</v>
      </c>
      <c r="J244" t="s">
        <v>113</v>
      </c>
      <c r="L244">
        <v>0</v>
      </c>
      <c r="M244">
        <v>1</v>
      </c>
    </row>
    <row r="245" spans="1:13" x14ac:dyDescent="0.25">
      <c r="A245" t="s">
        <v>40</v>
      </c>
      <c r="B245" t="str">
        <f t="shared" si="6"/>
        <v>2C.H.glutinosum</v>
      </c>
      <c r="C245" t="str">
        <f t="shared" si="7"/>
        <v>2C.H.glutinosum.Highcomp</v>
      </c>
      <c r="D245" t="s">
        <v>145</v>
      </c>
      <c r="E245">
        <v>2</v>
      </c>
      <c r="F245" t="s">
        <v>17</v>
      </c>
      <c r="G245" t="s">
        <v>95</v>
      </c>
      <c r="H245" t="s">
        <v>113</v>
      </c>
      <c r="I245" t="s">
        <v>113</v>
      </c>
      <c r="J245" t="s">
        <v>103</v>
      </c>
      <c r="L245">
        <v>0</v>
      </c>
      <c r="M245">
        <v>2</v>
      </c>
    </row>
    <row r="246" spans="1:13" x14ac:dyDescent="0.25">
      <c r="A246" t="s">
        <v>40</v>
      </c>
      <c r="B246" t="str">
        <f t="shared" si="6"/>
        <v>2C.P.airoides</v>
      </c>
      <c r="C246" t="str">
        <f t="shared" si="7"/>
        <v>2C.P.airoides.Highcomp</v>
      </c>
      <c r="D246" t="s">
        <v>145</v>
      </c>
      <c r="E246">
        <v>2</v>
      </c>
      <c r="F246" t="s">
        <v>17</v>
      </c>
      <c r="G246" t="s">
        <v>95</v>
      </c>
      <c r="H246" t="s">
        <v>103</v>
      </c>
      <c r="I246" t="s">
        <v>103</v>
      </c>
      <c r="J246" t="s">
        <v>103</v>
      </c>
      <c r="L246">
        <v>0</v>
      </c>
      <c r="M246">
        <v>6</v>
      </c>
    </row>
    <row r="247" spans="1:13" x14ac:dyDescent="0.25">
      <c r="A247" t="s">
        <v>40</v>
      </c>
      <c r="B247" t="str">
        <f t="shared" si="6"/>
        <v>2C.V.rosea</v>
      </c>
      <c r="C247" t="str">
        <f t="shared" si="7"/>
        <v>2C.V.rosea.Highcomp</v>
      </c>
      <c r="D247" t="s">
        <v>145</v>
      </c>
      <c r="E247">
        <v>2</v>
      </c>
      <c r="F247" t="s">
        <v>17</v>
      </c>
      <c r="G247" t="s">
        <v>95</v>
      </c>
      <c r="H247" t="s">
        <v>112</v>
      </c>
      <c r="I247" t="s">
        <v>103</v>
      </c>
      <c r="J247" t="s">
        <v>103</v>
      </c>
      <c r="K247" t="s">
        <v>243</v>
      </c>
      <c r="L247">
        <v>1</v>
      </c>
      <c r="M247">
        <v>7</v>
      </c>
    </row>
    <row r="248" spans="1:13" x14ac:dyDescent="0.25">
      <c r="A248" t="s">
        <v>40</v>
      </c>
      <c r="B248" t="str">
        <f t="shared" si="6"/>
        <v>2C.V.rosea</v>
      </c>
      <c r="C248" t="str">
        <f t="shared" si="7"/>
        <v>2C.V.rosea.Highcomp</v>
      </c>
      <c r="D248" t="s">
        <v>145</v>
      </c>
      <c r="E248">
        <v>2</v>
      </c>
      <c r="F248" t="s">
        <v>17</v>
      </c>
      <c r="G248" t="s">
        <v>95</v>
      </c>
      <c r="H248" t="s">
        <v>112</v>
      </c>
      <c r="I248" t="s">
        <v>103</v>
      </c>
      <c r="J248" t="s">
        <v>113</v>
      </c>
      <c r="L248">
        <v>1</v>
      </c>
      <c r="M248">
        <v>5</v>
      </c>
    </row>
    <row r="249" spans="1:13" x14ac:dyDescent="0.25">
      <c r="A249" t="s">
        <v>41</v>
      </c>
      <c r="B249" t="str">
        <f t="shared" si="6"/>
        <v>2D.H.glabra</v>
      </c>
      <c r="C249" t="str">
        <f t="shared" si="7"/>
        <v>2D.H.glabra.Highcomp</v>
      </c>
      <c r="D249" t="s">
        <v>145</v>
      </c>
      <c r="E249">
        <v>2</v>
      </c>
      <c r="F249" t="s">
        <v>19</v>
      </c>
      <c r="G249" t="s">
        <v>94</v>
      </c>
      <c r="H249" t="s">
        <v>105</v>
      </c>
      <c r="I249" t="s">
        <v>104</v>
      </c>
      <c r="J249" t="s">
        <v>104</v>
      </c>
      <c r="L249">
        <v>0</v>
      </c>
      <c r="M249">
        <v>3</v>
      </c>
    </row>
    <row r="250" spans="1:13" x14ac:dyDescent="0.25">
      <c r="A250" t="s">
        <v>41</v>
      </c>
      <c r="B250" t="str">
        <f t="shared" si="6"/>
        <v>2D.H.glabra</v>
      </c>
      <c r="C250" t="str">
        <f t="shared" si="7"/>
        <v>2D.H.glabra.Highcomp</v>
      </c>
      <c r="D250" t="s">
        <v>145</v>
      </c>
      <c r="E250">
        <v>2</v>
      </c>
      <c r="F250" t="s">
        <v>19</v>
      </c>
      <c r="G250" t="s">
        <v>94</v>
      </c>
      <c r="H250" t="s">
        <v>105</v>
      </c>
      <c r="I250" t="s">
        <v>104</v>
      </c>
      <c r="J250" t="s">
        <v>113</v>
      </c>
      <c r="L250">
        <v>0</v>
      </c>
      <c r="M250">
        <v>1</v>
      </c>
    </row>
    <row r="251" spans="1:13" x14ac:dyDescent="0.25">
      <c r="A251" t="s">
        <v>41</v>
      </c>
      <c r="B251" t="str">
        <f t="shared" si="6"/>
        <v>2D.H.glabra</v>
      </c>
      <c r="C251" t="str">
        <f t="shared" si="7"/>
        <v>2D.H.glabra.Highcomp</v>
      </c>
      <c r="D251" t="s">
        <v>145</v>
      </c>
      <c r="E251">
        <v>2</v>
      </c>
      <c r="F251" t="s">
        <v>19</v>
      </c>
      <c r="G251" t="s">
        <v>94</v>
      </c>
      <c r="H251" t="s">
        <v>105</v>
      </c>
      <c r="I251" t="s">
        <v>104</v>
      </c>
      <c r="J251" t="s">
        <v>237</v>
      </c>
      <c r="L251">
        <v>0</v>
      </c>
      <c r="M251">
        <v>1</v>
      </c>
    </row>
    <row r="252" spans="1:13" x14ac:dyDescent="0.25">
      <c r="A252" t="s">
        <v>41</v>
      </c>
      <c r="B252" t="str">
        <f t="shared" si="6"/>
        <v>2D.H.glabra</v>
      </c>
      <c r="C252" t="str">
        <f t="shared" si="7"/>
        <v>2D.H.glabra.Highcomp</v>
      </c>
      <c r="D252" t="s">
        <v>145</v>
      </c>
      <c r="E252">
        <v>2</v>
      </c>
      <c r="F252" t="s">
        <v>19</v>
      </c>
      <c r="G252" t="s">
        <v>94</v>
      </c>
      <c r="H252" t="s">
        <v>105</v>
      </c>
      <c r="I252" t="s">
        <v>104</v>
      </c>
      <c r="J252" t="s">
        <v>239</v>
      </c>
      <c r="L252">
        <v>0</v>
      </c>
      <c r="M252">
        <v>1</v>
      </c>
    </row>
    <row r="253" spans="1:13" x14ac:dyDescent="0.25">
      <c r="A253" t="s">
        <v>41</v>
      </c>
      <c r="B253" t="str">
        <f t="shared" si="6"/>
        <v>2D.H.glutinosum</v>
      </c>
      <c r="C253" t="str">
        <f t="shared" si="7"/>
        <v>2D.H.glutinosum.Highcomp</v>
      </c>
      <c r="D253" t="s">
        <v>145</v>
      </c>
      <c r="E253">
        <v>2</v>
      </c>
      <c r="F253" t="s">
        <v>19</v>
      </c>
      <c r="G253" t="s">
        <v>94</v>
      </c>
      <c r="H253" t="s">
        <v>113</v>
      </c>
      <c r="I253" t="s">
        <v>104</v>
      </c>
      <c r="J253" t="s">
        <v>237</v>
      </c>
      <c r="L253">
        <v>0</v>
      </c>
      <c r="M253">
        <v>1</v>
      </c>
    </row>
    <row r="254" spans="1:13" x14ac:dyDescent="0.25">
      <c r="A254" t="s">
        <v>41</v>
      </c>
      <c r="B254" t="str">
        <f t="shared" si="6"/>
        <v>2D.H.glutinosum</v>
      </c>
      <c r="C254" t="str">
        <f t="shared" si="7"/>
        <v>2D.H.glutinosum.Highcomp</v>
      </c>
      <c r="D254" t="s">
        <v>145</v>
      </c>
      <c r="E254">
        <v>2</v>
      </c>
      <c r="F254" t="s">
        <v>19</v>
      </c>
      <c r="G254" t="s">
        <v>94</v>
      </c>
      <c r="H254" t="s">
        <v>113</v>
      </c>
      <c r="I254" t="s">
        <v>104</v>
      </c>
      <c r="J254" t="s">
        <v>113</v>
      </c>
      <c r="L254">
        <v>0</v>
      </c>
      <c r="M254">
        <v>7</v>
      </c>
    </row>
    <row r="255" spans="1:13" x14ac:dyDescent="0.25">
      <c r="A255" t="s">
        <v>41</v>
      </c>
      <c r="B255" t="str">
        <f t="shared" si="6"/>
        <v>2D.H.glutinosum</v>
      </c>
      <c r="C255" t="str">
        <f t="shared" si="7"/>
        <v>2D.H.glutinosum.Highcomp</v>
      </c>
      <c r="D255" t="s">
        <v>145</v>
      </c>
      <c r="E255">
        <v>2</v>
      </c>
      <c r="F255" t="s">
        <v>19</v>
      </c>
      <c r="G255" t="s">
        <v>94</v>
      </c>
      <c r="H255" t="s">
        <v>113</v>
      </c>
      <c r="I255" t="s">
        <v>104</v>
      </c>
      <c r="J255" t="s">
        <v>104</v>
      </c>
      <c r="L255">
        <v>0</v>
      </c>
      <c r="M255">
        <v>1</v>
      </c>
    </row>
    <row r="256" spans="1:13" x14ac:dyDescent="0.25">
      <c r="A256" t="s">
        <v>41</v>
      </c>
      <c r="B256" t="str">
        <f t="shared" si="6"/>
        <v>2D.H.glutinosum</v>
      </c>
      <c r="C256" t="str">
        <f t="shared" si="7"/>
        <v>2D.H.glutinosum.Highcomp</v>
      </c>
      <c r="D256" t="s">
        <v>145</v>
      </c>
      <c r="E256">
        <v>2</v>
      </c>
      <c r="F256" t="s">
        <v>19</v>
      </c>
      <c r="G256" t="s">
        <v>94</v>
      </c>
      <c r="H256" t="s">
        <v>113</v>
      </c>
      <c r="I256" t="s">
        <v>104</v>
      </c>
      <c r="J256" t="s">
        <v>238</v>
      </c>
      <c r="L256">
        <v>0</v>
      </c>
      <c r="M256">
        <v>1</v>
      </c>
    </row>
    <row r="257" spans="1:13" x14ac:dyDescent="0.25">
      <c r="A257" t="s">
        <v>41</v>
      </c>
      <c r="B257" t="str">
        <f t="shared" si="6"/>
        <v>2D.P.airoides</v>
      </c>
      <c r="C257" t="str">
        <f t="shared" si="7"/>
        <v>2D.P.airoides.Highcomp</v>
      </c>
      <c r="D257" t="s">
        <v>145</v>
      </c>
      <c r="E257">
        <v>2</v>
      </c>
      <c r="F257" t="s">
        <v>19</v>
      </c>
      <c r="G257" t="s">
        <v>94</v>
      </c>
      <c r="H257" t="s">
        <v>103</v>
      </c>
      <c r="I257" t="s">
        <v>113</v>
      </c>
      <c r="J257" t="s">
        <v>103</v>
      </c>
      <c r="L257">
        <v>0</v>
      </c>
      <c r="M257">
        <v>2</v>
      </c>
    </row>
    <row r="258" spans="1:13" x14ac:dyDescent="0.25">
      <c r="A258" t="s">
        <v>41</v>
      </c>
      <c r="B258" t="str">
        <f t="shared" si="6"/>
        <v>2D.P.airoides</v>
      </c>
      <c r="C258" t="str">
        <f t="shared" si="7"/>
        <v>2D.P.airoides.Highcomp</v>
      </c>
      <c r="D258" t="s">
        <v>145</v>
      </c>
      <c r="E258">
        <v>2</v>
      </c>
      <c r="F258" t="s">
        <v>19</v>
      </c>
      <c r="G258" t="s">
        <v>94</v>
      </c>
      <c r="H258" t="s">
        <v>103</v>
      </c>
      <c r="I258" t="s">
        <v>113</v>
      </c>
      <c r="J258" t="s">
        <v>113</v>
      </c>
      <c r="L258">
        <v>0</v>
      </c>
      <c r="M258">
        <v>3</v>
      </c>
    </row>
    <row r="259" spans="1:13" x14ac:dyDescent="0.25">
      <c r="A259" t="s">
        <v>42</v>
      </c>
      <c r="B259" t="str">
        <f t="shared" ref="B259:B322" si="8">A259&amp;"."&amp;H259</f>
        <v>2E.H.glabra</v>
      </c>
      <c r="C259" t="str">
        <f t="shared" ref="C259:C322" si="9">B259&amp;"."&amp;D259</f>
        <v>2E.H.glabra.Highcomp</v>
      </c>
      <c r="D259" t="s">
        <v>145</v>
      </c>
      <c r="E259">
        <v>2</v>
      </c>
      <c r="F259" t="s">
        <v>21</v>
      </c>
      <c r="G259" t="s">
        <v>94</v>
      </c>
      <c r="H259" t="s">
        <v>105</v>
      </c>
      <c r="I259" t="s">
        <v>121</v>
      </c>
      <c r="J259" t="s">
        <v>242</v>
      </c>
      <c r="L259">
        <v>0</v>
      </c>
      <c r="M259">
        <v>6</v>
      </c>
    </row>
    <row r="260" spans="1:13" x14ac:dyDescent="0.25">
      <c r="A260" t="s">
        <v>42</v>
      </c>
      <c r="B260" t="str">
        <f t="shared" si="8"/>
        <v>2E.M.minima</v>
      </c>
      <c r="C260" t="str">
        <f t="shared" si="9"/>
        <v>2E.M.minima.Highcomp</v>
      </c>
      <c r="D260" t="s">
        <v>145</v>
      </c>
      <c r="E260">
        <v>2</v>
      </c>
      <c r="F260" t="s">
        <v>21</v>
      </c>
      <c r="G260" t="s">
        <v>94</v>
      </c>
      <c r="H260" t="s">
        <v>110</v>
      </c>
      <c r="I260" t="s">
        <v>113</v>
      </c>
      <c r="J260" t="s">
        <v>104</v>
      </c>
      <c r="L260">
        <v>0</v>
      </c>
      <c r="M260">
        <v>2</v>
      </c>
    </row>
    <row r="261" spans="1:13" x14ac:dyDescent="0.25">
      <c r="A261" t="s">
        <v>42</v>
      </c>
      <c r="B261" t="str">
        <f t="shared" si="8"/>
        <v>2E.M.minima</v>
      </c>
      <c r="C261" t="str">
        <f t="shared" si="9"/>
        <v>2E.M.minima.Highcomp</v>
      </c>
      <c r="D261" t="s">
        <v>145</v>
      </c>
      <c r="E261">
        <v>2</v>
      </c>
      <c r="F261" t="s">
        <v>21</v>
      </c>
      <c r="G261" t="s">
        <v>94</v>
      </c>
      <c r="H261" t="s">
        <v>110</v>
      </c>
      <c r="I261" t="s">
        <v>113</v>
      </c>
      <c r="J261" t="s">
        <v>242</v>
      </c>
      <c r="L261">
        <v>0</v>
      </c>
      <c r="M261">
        <v>5</v>
      </c>
    </row>
    <row r="262" spans="1:13" x14ac:dyDescent="0.25">
      <c r="A262" t="s">
        <v>42</v>
      </c>
      <c r="B262" t="str">
        <f t="shared" si="8"/>
        <v>2E.M.minima</v>
      </c>
      <c r="C262" t="str">
        <f t="shared" si="9"/>
        <v>2E.M.minima.Highcomp</v>
      </c>
      <c r="D262" t="s">
        <v>145</v>
      </c>
      <c r="E262">
        <v>2</v>
      </c>
      <c r="F262" t="s">
        <v>21</v>
      </c>
      <c r="G262" t="s">
        <v>94</v>
      </c>
      <c r="H262" t="s">
        <v>110</v>
      </c>
      <c r="I262" t="s">
        <v>113</v>
      </c>
      <c r="J262" t="s">
        <v>113</v>
      </c>
      <c r="L262">
        <v>0</v>
      </c>
      <c r="M262">
        <v>2</v>
      </c>
    </row>
    <row r="263" spans="1:13" x14ac:dyDescent="0.25">
      <c r="A263" t="s">
        <v>42</v>
      </c>
      <c r="B263" t="str">
        <f t="shared" si="8"/>
        <v>2E.P.canescens</v>
      </c>
      <c r="C263" t="str">
        <f t="shared" si="9"/>
        <v>2E.P.canescens.Highcomp</v>
      </c>
      <c r="D263" t="s">
        <v>145</v>
      </c>
      <c r="E263">
        <v>2</v>
      </c>
      <c r="F263" t="s">
        <v>21</v>
      </c>
      <c r="G263" t="s">
        <v>94</v>
      </c>
      <c r="H263" t="s">
        <v>111</v>
      </c>
      <c r="I263" t="s">
        <v>110</v>
      </c>
      <c r="J263" t="s">
        <v>113</v>
      </c>
      <c r="L263">
        <v>0</v>
      </c>
      <c r="M263">
        <v>1</v>
      </c>
    </row>
    <row r="264" spans="1:13" x14ac:dyDescent="0.25">
      <c r="A264" t="s">
        <v>42</v>
      </c>
      <c r="B264" t="str">
        <f t="shared" si="8"/>
        <v>2E.P.canescens</v>
      </c>
      <c r="C264" t="str">
        <f t="shared" si="9"/>
        <v>2E.P.canescens.Highcomp</v>
      </c>
      <c r="D264" t="s">
        <v>145</v>
      </c>
      <c r="E264">
        <v>2</v>
      </c>
      <c r="F264" t="s">
        <v>21</v>
      </c>
      <c r="G264" t="s">
        <v>94</v>
      </c>
      <c r="H264" t="s">
        <v>111</v>
      </c>
      <c r="I264" t="s">
        <v>110</v>
      </c>
      <c r="J264" t="s">
        <v>110</v>
      </c>
      <c r="L264">
        <v>0</v>
      </c>
      <c r="M264">
        <v>1</v>
      </c>
    </row>
    <row r="265" spans="1:13" x14ac:dyDescent="0.25">
      <c r="A265" t="s">
        <v>42</v>
      </c>
      <c r="B265" t="str">
        <f t="shared" si="8"/>
        <v>2E.T.cyanopetala</v>
      </c>
      <c r="C265" t="str">
        <f t="shared" si="9"/>
        <v>2E.T.cyanopetala.Highcomp</v>
      </c>
      <c r="D265" t="s">
        <v>145</v>
      </c>
      <c r="E265">
        <v>2</v>
      </c>
      <c r="F265" t="s">
        <v>21</v>
      </c>
      <c r="G265" t="s">
        <v>94</v>
      </c>
      <c r="H265" t="s">
        <v>104</v>
      </c>
      <c r="I265" t="s">
        <v>121</v>
      </c>
      <c r="J265" t="s">
        <v>110</v>
      </c>
      <c r="L265">
        <v>1</v>
      </c>
      <c r="M265">
        <v>2</v>
      </c>
    </row>
    <row r="266" spans="1:13" x14ac:dyDescent="0.25">
      <c r="A266" t="s">
        <v>42</v>
      </c>
      <c r="B266" t="str">
        <f t="shared" si="8"/>
        <v>2E.T.cyanopetala</v>
      </c>
      <c r="C266" t="str">
        <f t="shared" si="9"/>
        <v>2E.T.cyanopetala.Highcomp</v>
      </c>
      <c r="D266" t="s">
        <v>145</v>
      </c>
      <c r="E266">
        <v>2</v>
      </c>
      <c r="F266" t="s">
        <v>21</v>
      </c>
      <c r="G266" t="s">
        <v>94</v>
      </c>
      <c r="H266" t="s">
        <v>104</v>
      </c>
      <c r="I266" t="s">
        <v>121</v>
      </c>
      <c r="J266" t="s">
        <v>240</v>
      </c>
      <c r="L266">
        <v>1</v>
      </c>
      <c r="M266">
        <v>2</v>
      </c>
    </row>
    <row r="267" spans="1:13" x14ac:dyDescent="0.25">
      <c r="A267" t="s">
        <v>42</v>
      </c>
      <c r="B267" t="str">
        <f t="shared" si="8"/>
        <v>2E.T.cyanopetala</v>
      </c>
      <c r="C267" t="str">
        <f t="shared" si="9"/>
        <v>2E.T.cyanopetala.Highcomp</v>
      </c>
      <c r="D267" t="s">
        <v>145</v>
      </c>
      <c r="E267">
        <v>2</v>
      </c>
      <c r="F267" t="s">
        <v>21</v>
      </c>
      <c r="G267" t="s">
        <v>94</v>
      </c>
      <c r="H267" t="s">
        <v>104</v>
      </c>
      <c r="I267" t="s">
        <v>121</v>
      </c>
      <c r="J267" t="s">
        <v>241</v>
      </c>
      <c r="L267">
        <v>1</v>
      </c>
      <c r="M267">
        <v>1</v>
      </c>
    </row>
    <row r="268" spans="1:13" x14ac:dyDescent="0.25">
      <c r="A268" t="s">
        <v>43</v>
      </c>
      <c r="B268" t="str">
        <f t="shared" si="8"/>
        <v>2F.H.glabra</v>
      </c>
      <c r="C268" t="str">
        <f t="shared" si="9"/>
        <v>2F.H.glabra.Highcomp</v>
      </c>
      <c r="D268" t="s">
        <v>145</v>
      </c>
      <c r="E268">
        <v>2</v>
      </c>
      <c r="F268" t="s">
        <v>23</v>
      </c>
      <c r="G268" t="s">
        <v>94</v>
      </c>
      <c r="H268" t="s">
        <v>105</v>
      </c>
      <c r="I268" t="s">
        <v>104</v>
      </c>
      <c r="J268" t="s">
        <v>104</v>
      </c>
      <c r="L268">
        <v>0</v>
      </c>
      <c r="M268">
        <v>1</v>
      </c>
    </row>
    <row r="269" spans="1:13" x14ac:dyDescent="0.25">
      <c r="A269" t="s">
        <v>43</v>
      </c>
      <c r="B269" t="str">
        <f t="shared" si="8"/>
        <v>2F.M.minima</v>
      </c>
      <c r="C269" t="str">
        <f t="shared" si="9"/>
        <v>2F.M.minima.Highcomp</v>
      </c>
      <c r="D269" t="s">
        <v>145</v>
      </c>
      <c r="E269">
        <v>2</v>
      </c>
      <c r="F269" t="s">
        <v>23</v>
      </c>
      <c r="G269" t="s">
        <v>94</v>
      </c>
      <c r="H269" t="s">
        <v>110</v>
      </c>
      <c r="I269" t="s">
        <v>110</v>
      </c>
      <c r="J269" t="s">
        <v>110</v>
      </c>
      <c r="L269">
        <v>0</v>
      </c>
      <c r="M269">
        <v>1</v>
      </c>
    </row>
    <row r="270" spans="1:13" x14ac:dyDescent="0.25">
      <c r="A270" t="s">
        <v>43</v>
      </c>
      <c r="B270" t="str">
        <f t="shared" si="8"/>
        <v>2F.P.canescens</v>
      </c>
      <c r="C270" t="str">
        <f t="shared" si="9"/>
        <v>2F.P.canescens.Highcomp</v>
      </c>
      <c r="D270" t="s">
        <v>145</v>
      </c>
      <c r="E270">
        <v>2</v>
      </c>
      <c r="F270" t="s">
        <v>23</v>
      </c>
      <c r="G270" t="s">
        <v>94</v>
      </c>
      <c r="H270" t="s">
        <v>111</v>
      </c>
      <c r="I270" t="s">
        <v>121</v>
      </c>
      <c r="J270" t="s">
        <v>114</v>
      </c>
      <c r="L270">
        <v>0</v>
      </c>
      <c r="M270" t="s">
        <v>114</v>
      </c>
    </row>
    <row r="271" spans="1:13" x14ac:dyDescent="0.25">
      <c r="A271" t="s">
        <v>43</v>
      </c>
      <c r="B271" t="str">
        <f t="shared" si="8"/>
        <v>2F.T.cyanopetala</v>
      </c>
      <c r="C271" t="str">
        <f t="shared" si="9"/>
        <v>2F.T.cyanopetala.Highcomp</v>
      </c>
      <c r="D271" t="s">
        <v>145</v>
      </c>
      <c r="E271">
        <v>2</v>
      </c>
      <c r="F271" t="s">
        <v>23</v>
      </c>
      <c r="G271" t="s">
        <v>94</v>
      </c>
      <c r="H271" t="s">
        <v>104</v>
      </c>
      <c r="I271" t="s">
        <v>104</v>
      </c>
      <c r="J271" t="s">
        <v>104</v>
      </c>
      <c r="L271">
        <v>0</v>
      </c>
      <c r="M271">
        <v>1</v>
      </c>
    </row>
    <row r="272" spans="1:13" x14ac:dyDescent="0.25">
      <c r="A272" t="s">
        <v>43</v>
      </c>
      <c r="B272" t="str">
        <f t="shared" si="8"/>
        <v>2F.T.cyanopetala</v>
      </c>
      <c r="C272" t="str">
        <f t="shared" si="9"/>
        <v>2F.T.cyanopetala.Highcomp</v>
      </c>
      <c r="D272" t="s">
        <v>145</v>
      </c>
      <c r="E272">
        <v>2</v>
      </c>
      <c r="F272" t="s">
        <v>23</v>
      </c>
      <c r="G272" t="s">
        <v>94</v>
      </c>
      <c r="H272" t="s">
        <v>104</v>
      </c>
      <c r="I272" t="s">
        <v>104</v>
      </c>
      <c r="J272" t="s">
        <v>808</v>
      </c>
      <c r="L272">
        <v>0</v>
      </c>
      <c r="M272">
        <v>1</v>
      </c>
    </row>
    <row r="273" spans="1:13" x14ac:dyDescent="0.25">
      <c r="A273" t="s">
        <v>44</v>
      </c>
      <c r="B273" t="str">
        <f t="shared" si="8"/>
        <v>2G.A.calendula</v>
      </c>
      <c r="C273" t="str">
        <f t="shared" si="9"/>
        <v>2G.A.calendula.Highcomp</v>
      </c>
      <c r="D273" t="s">
        <v>145</v>
      </c>
      <c r="E273">
        <v>2</v>
      </c>
      <c r="F273" t="s">
        <v>25</v>
      </c>
      <c r="G273" t="s">
        <v>95</v>
      </c>
      <c r="H273" t="s">
        <v>102</v>
      </c>
      <c r="I273" t="s">
        <v>102</v>
      </c>
      <c r="J273" t="s">
        <v>102</v>
      </c>
      <c r="L273">
        <v>0</v>
      </c>
      <c r="M273">
        <v>1</v>
      </c>
    </row>
    <row r="274" spans="1:13" x14ac:dyDescent="0.25">
      <c r="A274" t="s">
        <v>44</v>
      </c>
      <c r="B274" t="str">
        <f t="shared" si="8"/>
        <v>2G.M.minima</v>
      </c>
      <c r="C274" t="str">
        <f t="shared" si="9"/>
        <v>2G.M.minima.Highcomp</v>
      </c>
      <c r="D274" t="s">
        <v>145</v>
      </c>
      <c r="E274">
        <v>2</v>
      </c>
      <c r="F274" t="s">
        <v>25</v>
      </c>
      <c r="G274" t="s">
        <v>95</v>
      </c>
      <c r="H274" t="s">
        <v>110</v>
      </c>
      <c r="I274" t="s">
        <v>121</v>
      </c>
      <c r="J274" t="s">
        <v>114</v>
      </c>
      <c r="K274" t="s">
        <v>162</v>
      </c>
      <c r="L274">
        <v>1</v>
      </c>
      <c r="M274">
        <v>0</v>
      </c>
    </row>
    <row r="275" spans="1:13" x14ac:dyDescent="0.25">
      <c r="A275" t="s">
        <v>44</v>
      </c>
      <c r="B275" t="str">
        <f t="shared" si="8"/>
        <v>2G.T.cyanopetala</v>
      </c>
      <c r="C275" t="str">
        <f t="shared" si="9"/>
        <v>2G.T.cyanopetala.Highcomp</v>
      </c>
      <c r="D275" t="s">
        <v>145</v>
      </c>
      <c r="E275">
        <v>2</v>
      </c>
      <c r="F275" t="s">
        <v>25</v>
      </c>
      <c r="G275" t="s">
        <v>95</v>
      </c>
      <c r="H275" t="s">
        <v>104</v>
      </c>
      <c r="I275" t="s">
        <v>112</v>
      </c>
      <c r="J275" t="s">
        <v>112</v>
      </c>
      <c r="L275">
        <v>0</v>
      </c>
      <c r="M275">
        <v>1</v>
      </c>
    </row>
    <row r="276" spans="1:13" x14ac:dyDescent="0.25">
      <c r="A276" t="s">
        <v>44</v>
      </c>
      <c r="B276" t="str">
        <f t="shared" si="8"/>
        <v>2G.T.cyanopetala</v>
      </c>
      <c r="C276" t="str">
        <f t="shared" si="9"/>
        <v>2G.T.cyanopetala.Highcomp</v>
      </c>
      <c r="D276" t="s">
        <v>145</v>
      </c>
      <c r="E276">
        <v>2</v>
      </c>
      <c r="F276" t="s">
        <v>25</v>
      </c>
      <c r="G276" t="s">
        <v>95</v>
      </c>
      <c r="H276" t="s">
        <v>104</v>
      </c>
      <c r="I276" t="s">
        <v>112</v>
      </c>
      <c r="J276" t="s">
        <v>162</v>
      </c>
      <c r="L276">
        <v>0</v>
      </c>
      <c r="M276">
        <v>1</v>
      </c>
    </row>
    <row r="277" spans="1:13" x14ac:dyDescent="0.25">
      <c r="A277" t="s">
        <v>44</v>
      </c>
      <c r="B277" t="str">
        <f t="shared" si="8"/>
        <v>2G.T.cyanopetala</v>
      </c>
      <c r="C277" t="str">
        <f t="shared" si="9"/>
        <v>2G.T.cyanopetala.Highcomp</v>
      </c>
      <c r="D277" t="s">
        <v>145</v>
      </c>
      <c r="E277">
        <v>2</v>
      </c>
      <c r="F277" t="s">
        <v>25</v>
      </c>
      <c r="G277" t="s">
        <v>95</v>
      </c>
      <c r="H277" t="s">
        <v>104</v>
      </c>
      <c r="I277" t="s">
        <v>112</v>
      </c>
      <c r="J277" t="s">
        <v>113</v>
      </c>
      <c r="L277">
        <v>0</v>
      </c>
      <c r="M277">
        <v>1</v>
      </c>
    </row>
    <row r="278" spans="1:13" x14ac:dyDescent="0.25">
      <c r="A278" t="s">
        <v>44</v>
      </c>
      <c r="B278" t="str">
        <f t="shared" si="8"/>
        <v>2G.V.rosea</v>
      </c>
      <c r="C278" t="str">
        <f t="shared" si="9"/>
        <v>2G.V.rosea.Highcomp</v>
      </c>
      <c r="D278" t="s">
        <v>145</v>
      </c>
      <c r="E278">
        <v>2</v>
      </c>
      <c r="F278" t="s">
        <v>25</v>
      </c>
      <c r="G278" t="s">
        <v>95</v>
      </c>
      <c r="H278" t="s">
        <v>112</v>
      </c>
      <c r="I278" t="s">
        <v>121</v>
      </c>
      <c r="J278" t="s">
        <v>114</v>
      </c>
      <c r="L278">
        <v>0</v>
      </c>
      <c r="M278" t="s">
        <v>114</v>
      </c>
    </row>
    <row r="279" spans="1:13" x14ac:dyDescent="0.25">
      <c r="A279" t="s">
        <v>45</v>
      </c>
      <c r="B279" t="str">
        <f t="shared" si="8"/>
        <v>2H.A.calendula</v>
      </c>
      <c r="C279" t="str">
        <f t="shared" si="9"/>
        <v>2H.A.calendula.Highcomp</v>
      </c>
      <c r="D279" t="s">
        <v>145</v>
      </c>
      <c r="E279">
        <v>2</v>
      </c>
      <c r="F279" t="s">
        <v>27</v>
      </c>
      <c r="G279" t="s">
        <v>95</v>
      </c>
      <c r="H279" t="s">
        <v>102</v>
      </c>
      <c r="I279" t="s">
        <v>113</v>
      </c>
      <c r="J279" t="s">
        <v>113</v>
      </c>
      <c r="L279">
        <v>0</v>
      </c>
      <c r="M279">
        <v>2</v>
      </c>
    </row>
    <row r="280" spans="1:13" x14ac:dyDescent="0.25">
      <c r="A280" t="s">
        <v>45</v>
      </c>
      <c r="B280" t="str">
        <f t="shared" si="8"/>
        <v>2H.H.glabra</v>
      </c>
      <c r="C280" t="str">
        <f t="shared" si="9"/>
        <v>2H.H.glabra.Highcomp</v>
      </c>
      <c r="D280" t="s">
        <v>145</v>
      </c>
      <c r="E280">
        <v>2</v>
      </c>
      <c r="F280" t="s">
        <v>27</v>
      </c>
      <c r="G280" t="s">
        <v>95</v>
      </c>
      <c r="H280" t="s">
        <v>105</v>
      </c>
      <c r="I280" t="s">
        <v>113</v>
      </c>
      <c r="J280" t="s">
        <v>113</v>
      </c>
      <c r="L280">
        <v>0</v>
      </c>
      <c r="M280">
        <v>6</v>
      </c>
    </row>
    <row r="281" spans="1:13" x14ac:dyDescent="0.25">
      <c r="A281" t="s">
        <v>45</v>
      </c>
      <c r="B281" t="str">
        <f t="shared" si="8"/>
        <v>2H.V.rosea</v>
      </c>
      <c r="C281" t="str">
        <f t="shared" si="9"/>
        <v>2H.V.rosea.Highcomp</v>
      </c>
      <c r="D281" t="s">
        <v>145</v>
      </c>
      <c r="E281">
        <v>2</v>
      </c>
      <c r="F281" t="s">
        <v>27</v>
      </c>
      <c r="G281" t="s">
        <v>95</v>
      </c>
      <c r="H281" t="s">
        <v>112</v>
      </c>
      <c r="I281" t="s">
        <v>121</v>
      </c>
      <c r="J281" t="s">
        <v>113</v>
      </c>
      <c r="L281">
        <v>0</v>
      </c>
      <c r="M281">
        <v>8</v>
      </c>
    </row>
    <row r="282" spans="1:13" x14ac:dyDescent="0.25">
      <c r="A282" t="s">
        <v>45</v>
      </c>
      <c r="B282" t="str">
        <f t="shared" si="8"/>
        <v>2H.V.rosea</v>
      </c>
      <c r="C282" t="str">
        <f t="shared" si="9"/>
        <v>2H.V.rosea.Highcomp</v>
      </c>
      <c r="D282" t="s">
        <v>145</v>
      </c>
      <c r="E282">
        <v>2</v>
      </c>
      <c r="F282" t="s">
        <v>27</v>
      </c>
      <c r="G282" t="s">
        <v>95</v>
      </c>
      <c r="H282" t="s">
        <v>112</v>
      </c>
      <c r="I282" t="s">
        <v>121</v>
      </c>
      <c r="J282" t="s">
        <v>103</v>
      </c>
      <c r="L282">
        <v>0</v>
      </c>
      <c r="M282">
        <v>1</v>
      </c>
    </row>
    <row r="283" spans="1:13" x14ac:dyDescent="0.25">
      <c r="A283" t="s">
        <v>46</v>
      </c>
      <c r="B283" t="str">
        <f t="shared" si="8"/>
        <v>2I.A.calendula</v>
      </c>
      <c r="C283" t="str">
        <f t="shared" si="9"/>
        <v>2I.A.calendula.Highcomp</v>
      </c>
      <c r="D283" t="s">
        <v>145</v>
      </c>
      <c r="E283">
        <v>2</v>
      </c>
      <c r="F283" t="s">
        <v>29</v>
      </c>
      <c r="G283" t="s">
        <v>95</v>
      </c>
      <c r="H283" t="s">
        <v>102</v>
      </c>
      <c r="I283" t="s">
        <v>121</v>
      </c>
      <c r="J283" t="s">
        <v>114</v>
      </c>
      <c r="L283">
        <v>0</v>
      </c>
      <c r="M283" t="s">
        <v>114</v>
      </c>
    </row>
    <row r="284" spans="1:13" x14ac:dyDescent="0.25">
      <c r="A284" t="s">
        <v>46</v>
      </c>
      <c r="B284" t="str">
        <f t="shared" si="8"/>
        <v>2I.M.minima</v>
      </c>
      <c r="C284" t="str">
        <f t="shared" si="9"/>
        <v>2I.M.minima.Highcomp</v>
      </c>
      <c r="D284" t="s">
        <v>145</v>
      </c>
      <c r="E284">
        <v>2</v>
      </c>
      <c r="F284" t="s">
        <v>29</v>
      </c>
      <c r="G284" t="s">
        <v>95</v>
      </c>
      <c r="H284" t="s">
        <v>110</v>
      </c>
      <c r="I284" t="s">
        <v>113</v>
      </c>
      <c r="J284" t="s">
        <v>113</v>
      </c>
      <c r="L284">
        <v>0</v>
      </c>
      <c r="M284">
        <v>3</v>
      </c>
    </row>
    <row r="285" spans="1:13" x14ac:dyDescent="0.25">
      <c r="A285" t="s">
        <v>46</v>
      </c>
      <c r="B285" t="str">
        <f t="shared" si="8"/>
        <v>2I.V.rosea</v>
      </c>
      <c r="C285" t="str">
        <f t="shared" si="9"/>
        <v>2I.V.rosea.Highcomp</v>
      </c>
      <c r="D285" t="s">
        <v>145</v>
      </c>
      <c r="E285">
        <v>2</v>
      </c>
      <c r="F285" t="s">
        <v>29</v>
      </c>
      <c r="G285" t="s">
        <v>95</v>
      </c>
      <c r="H285" t="s">
        <v>112</v>
      </c>
      <c r="I285" t="s">
        <v>121</v>
      </c>
      <c r="J285" t="s">
        <v>114</v>
      </c>
      <c r="L285">
        <v>0</v>
      </c>
      <c r="M285" t="s">
        <v>114</v>
      </c>
    </row>
    <row r="286" spans="1:13" x14ac:dyDescent="0.25">
      <c r="A286" t="s">
        <v>47</v>
      </c>
      <c r="B286" t="str">
        <f t="shared" si="8"/>
        <v>2J.V.rosea</v>
      </c>
      <c r="C286" t="str">
        <f t="shared" si="9"/>
        <v>2J.V.rosea.Highcomp</v>
      </c>
      <c r="D286" t="s">
        <v>145</v>
      </c>
      <c r="E286">
        <v>2</v>
      </c>
      <c r="F286" t="s">
        <v>31</v>
      </c>
      <c r="G286" t="s">
        <v>94</v>
      </c>
      <c r="H286" t="s">
        <v>112</v>
      </c>
      <c r="I286" t="s">
        <v>112</v>
      </c>
      <c r="J286" t="s">
        <v>112</v>
      </c>
      <c r="L286">
        <v>0</v>
      </c>
      <c r="M286">
        <v>1</v>
      </c>
    </row>
    <row r="287" spans="1:13" x14ac:dyDescent="0.25">
      <c r="A287" t="s">
        <v>47</v>
      </c>
      <c r="B287" t="str">
        <f t="shared" si="8"/>
        <v>2J.V.rosea</v>
      </c>
      <c r="C287" t="str">
        <f t="shared" si="9"/>
        <v>2J.V.rosea.Highcomp</v>
      </c>
      <c r="D287" t="s">
        <v>145</v>
      </c>
      <c r="E287">
        <v>2</v>
      </c>
      <c r="F287" t="s">
        <v>31</v>
      </c>
      <c r="G287" t="s">
        <v>94</v>
      </c>
      <c r="H287" t="s">
        <v>112</v>
      </c>
      <c r="I287" t="s">
        <v>112</v>
      </c>
      <c r="J287" t="s">
        <v>113</v>
      </c>
      <c r="L287">
        <v>0</v>
      </c>
      <c r="M287">
        <v>1</v>
      </c>
    </row>
    <row r="288" spans="1:13" x14ac:dyDescent="0.25">
      <c r="A288" t="s">
        <v>48</v>
      </c>
      <c r="B288" t="str">
        <f t="shared" si="8"/>
        <v>2K.H.glabra</v>
      </c>
      <c r="C288" t="str">
        <f t="shared" si="9"/>
        <v>2K.H.glabra.Highcomp</v>
      </c>
      <c r="D288" t="s">
        <v>145</v>
      </c>
      <c r="E288">
        <v>2</v>
      </c>
      <c r="F288" t="s">
        <v>33</v>
      </c>
      <c r="G288" t="s">
        <v>95</v>
      </c>
      <c r="H288" t="s">
        <v>105</v>
      </c>
      <c r="I288" t="s">
        <v>104</v>
      </c>
      <c r="J288" t="s">
        <v>103</v>
      </c>
      <c r="L288">
        <v>0</v>
      </c>
      <c r="M288">
        <v>1</v>
      </c>
    </row>
    <row r="289" spans="1:13" x14ac:dyDescent="0.25">
      <c r="A289" t="s">
        <v>48</v>
      </c>
      <c r="B289" t="str">
        <f t="shared" si="8"/>
        <v>2K.H.glabra</v>
      </c>
      <c r="C289" t="str">
        <f t="shared" si="9"/>
        <v>2K.H.glabra.Highcomp</v>
      </c>
      <c r="D289" t="s">
        <v>145</v>
      </c>
      <c r="E289">
        <v>2</v>
      </c>
      <c r="F289" t="s">
        <v>33</v>
      </c>
      <c r="G289" t="s">
        <v>95</v>
      </c>
      <c r="H289" t="s">
        <v>105</v>
      </c>
      <c r="I289" t="s">
        <v>104</v>
      </c>
      <c r="J289" t="s">
        <v>104</v>
      </c>
      <c r="L289">
        <v>0</v>
      </c>
      <c r="M289">
        <v>2</v>
      </c>
    </row>
    <row r="290" spans="1:13" x14ac:dyDescent="0.25">
      <c r="A290" t="s">
        <v>48</v>
      </c>
      <c r="B290" t="str">
        <f t="shared" si="8"/>
        <v>2K.P.canescens</v>
      </c>
      <c r="C290" t="str">
        <f t="shared" si="9"/>
        <v>2K.P.canescens.Highcomp</v>
      </c>
      <c r="D290" t="s">
        <v>145</v>
      </c>
      <c r="E290">
        <v>2</v>
      </c>
      <c r="F290" t="s">
        <v>33</v>
      </c>
      <c r="G290" t="s">
        <v>95</v>
      </c>
      <c r="H290" t="s">
        <v>111</v>
      </c>
      <c r="I290" t="s">
        <v>113</v>
      </c>
      <c r="J290" t="s">
        <v>113</v>
      </c>
      <c r="L290">
        <v>0</v>
      </c>
      <c r="M290">
        <v>1</v>
      </c>
    </row>
    <row r="291" spans="1:13" x14ac:dyDescent="0.25">
      <c r="A291" t="s">
        <v>48</v>
      </c>
      <c r="B291" t="str">
        <f t="shared" si="8"/>
        <v>2K.P.canescens</v>
      </c>
      <c r="C291" t="str">
        <f t="shared" si="9"/>
        <v>2K.P.canescens.Highcomp</v>
      </c>
      <c r="D291" t="s">
        <v>145</v>
      </c>
      <c r="E291">
        <v>2</v>
      </c>
      <c r="F291" t="s">
        <v>33</v>
      </c>
      <c r="G291" t="s">
        <v>95</v>
      </c>
      <c r="H291" t="s">
        <v>111</v>
      </c>
      <c r="I291" t="s">
        <v>113</v>
      </c>
      <c r="J291" t="s">
        <v>241</v>
      </c>
      <c r="L291">
        <v>0</v>
      </c>
      <c r="M291">
        <v>1</v>
      </c>
    </row>
    <row r="292" spans="1:13" x14ac:dyDescent="0.25">
      <c r="A292" t="s">
        <v>48</v>
      </c>
      <c r="B292" t="str">
        <f t="shared" si="8"/>
        <v>2K.T.cyanopetala</v>
      </c>
      <c r="C292" t="str">
        <f t="shared" si="9"/>
        <v>2K.T.cyanopetala.Highcomp</v>
      </c>
      <c r="D292" t="s">
        <v>145</v>
      </c>
      <c r="E292">
        <v>2</v>
      </c>
      <c r="F292" t="s">
        <v>33</v>
      </c>
      <c r="G292" t="s">
        <v>95</v>
      </c>
      <c r="H292" t="s">
        <v>104</v>
      </c>
      <c r="I292" t="s">
        <v>121</v>
      </c>
      <c r="J292" t="s">
        <v>113</v>
      </c>
      <c r="L292">
        <v>0</v>
      </c>
      <c r="M292">
        <v>5</v>
      </c>
    </row>
    <row r="293" spans="1:13" x14ac:dyDescent="0.25">
      <c r="A293" t="s">
        <v>48</v>
      </c>
      <c r="B293" t="str">
        <f t="shared" si="8"/>
        <v>2K.T.cyanopetala</v>
      </c>
      <c r="C293" t="str">
        <f t="shared" si="9"/>
        <v>2K.T.cyanopetala.Highcomp</v>
      </c>
      <c r="D293" t="s">
        <v>145</v>
      </c>
      <c r="E293">
        <v>2</v>
      </c>
      <c r="F293" t="s">
        <v>33</v>
      </c>
      <c r="G293" t="s">
        <v>95</v>
      </c>
      <c r="H293" t="s">
        <v>104</v>
      </c>
      <c r="I293" t="s">
        <v>121</v>
      </c>
      <c r="J293" t="s">
        <v>104</v>
      </c>
      <c r="L293">
        <v>0</v>
      </c>
      <c r="M293">
        <v>2</v>
      </c>
    </row>
    <row r="294" spans="1:13" x14ac:dyDescent="0.25">
      <c r="A294" t="s">
        <v>48</v>
      </c>
      <c r="B294" t="str">
        <f t="shared" si="8"/>
        <v>2K.T.cyanopetala</v>
      </c>
      <c r="C294" t="str">
        <f t="shared" si="9"/>
        <v>2K.T.cyanopetala.Highcomp</v>
      </c>
      <c r="D294" t="s">
        <v>145</v>
      </c>
      <c r="E294">
        <v>2</v>
      </c>
      <c r="F294" t="s">
        <v>33</v>
      </c>
      <c r="G294" t="s">
        <v>95</v>
      </c>
      <c r="H294" t="s">
        <v>104</v>
      </c>
      <c r="I294" t="s">
        <v>121</v>
      </c>
      <c r="J294" t="s">
        <v>103</v>
      </c>
      <c r="L294">
        <v>0</v>
      </c>
      <c r="M294">
        <v>1</v>
      </c>
    </row>
    <row r="295" spans="1:13" x14ac:dyDescent="0.25">
      <c r="A295" t="s">
        <v>49</v>
      </c>
      <c r="B295" t="str">
        <f t="shared" si="8"/>
        <v>2L.A.calendula</v>
      </c>
      <c r="C295" t="str">
        <f t="shared" si="9"/>
        <v>2L.A.calendula.Highcomp</v>
      </c>
      <c r="D295" t="s">
        <v>145</v>
      </c>
      <c r="E295">
        <v>2</v>
      </c>
      <c r="F295" t="s">
        <v>35</v>
      </c>
      <c r="G295" t="s">
        <v>94</v>
      </c>
      <c r="H295" t="s">
        <v>102</v>
      </c>
      <c r="I295" t="s">
        <v>112</v>
      </c>
      <c r="J295" t="s">
        <v>112</v>
      </c>
      <c r="L295">
        <v>0</v>
      </c>
      <c r="M295">
        <v>1</v>
      </c>
    </row>
    <row r="296" spans="1:13" x14ac:dyDescent="0.25">
      <c r="A296" t="s">
        <v>49</v>
      </c>
      <c r="B296" t="str">
        <f t="shared" si="8"/>
        <v>2L.A.calendula</v>
      </c>
      <c r="C296" t="str">
        <f t="shared" si="9"/>
        <v>2L.A.calendula.Highcomp</v>
      </c>
      <c r="D296" t="s">
        <v>145</v>
      </c>
      <c r="E296">
        <v>2</v>
      </c>
      <c r="F296" t="s">
        <v>35</v>
      </c>
      <c r="G296" t="s">
        <v>94</v>
      </c>
      <c r="H296" t="s">
        <v>102</v>
      </c>
      <c r="I296" t="s">
        <v>112</v>
      </c>
      <c r="J296" t="s">
        <v>104</v>
      </c>
      <c r="L296">
        <v>0</v>
      </c>
      <c r="M296">
        <v>5</v>
      </c>
    </row>
    <row r="297" spans="1:13" x14ac:dyDescent="0.25">
      <c r="A297" t="s">
        <v>49</v>
      </c>
      <c r="B297" t="str">
        <f t="shared" si="8"/>
        <v>2L.V.rosea</v>
      </c>
      <c r="C297" t="str">
        <f t="shared" si="9"/>
        <v>2L.V.rosea.Highcomp</v>
      </c>
      <c r="D297" t="s">
        <v>145</v>
      </c>
      <c r="E297">
        <v>2</v>
      </c>
      <c r="F297" t="s">
        <v>35</v>
      </c>
      <c r="G297" t="s">
        <v>94</v>
      </c>
      <c r="H297" t="s">
        <v>112</v>
      </c>
      <c r="I297" t="s">
        <v>112</v>
      </c>
      <c r="J297" t="s">
        <v>112</v>
      </c>
      <c r="L297">
        <v>0</v>
      </c>
      <c r="M297">
        <v>1</v>
      </c>
    </row>
    <row r="298" spans="1:13" x14ac:dyDescent="0.25">
      <c r="A298" t="s">
        <v>49</v>
      </c>
      <c r="B298" t="str">
        <f t="shared" si="8"/>
        <v>2L.V.rosea</v>
      </c>
      <c r="C298" t="str">
        <f t="shared" si="9"/>
        <v>2L.V.rosea.Highcomp</v>
      </c>
      <c r="D298" t="s">
        <v>145</v>
      </c>
      <c r="E298">
        <v>2</v>
      </c>
      <c r="F298" t="s">
        <v>35</v>
      </c>
      <c r="G298" t="s">
        <v>94</v>
      </c>
      <c r="H298" t="s">
        <v>112</v>
      </c>
      <c r="I298" t="s">
        <v>112</v>
      </c>
      <c r="J298" t="s">
        <v>103</v>
      </c>
      <c r="L298">
        <v>0</v>
      </c>
      <c r="M298">
        <v>1</v>
      </c>
    </row>
    <row r="299" spans="1:13" x14ac:dyDescent="0.25">
      <c r="A299" t="s">
        <v>79</v>
      </c>
      <c r="B299" t="str">
        <f t="shared" si="8"/>
        <v>6A.H.glutinosum</v>
      </c>
      <c r="C299" t="str">
        <f t="shared" si="9"/>
        <v>6A.H.glutinosum.Highcomp</v>
      </c>
      <c r="D299" t="s">
        <v>145</v>
      </c>
      <c r="E299">
        <v>6</v>
      </c>
      <c r="F299" t="s">
        <v>11</v>
      </c>
      <c r="G299" t="s">
        <v>95</v>
      </c>
      <c r="H299" t="s">
        <v>113</v>
      </c>
      <c r="I299" t="s">
        <v>113</v>
      </c>
      <c r="J299" t="s">
        <v>113</v>
      </c>
      <c r="L299">
        <v>0</v>
      </c>
      <c r="M299">
        <v>4</v>
      </c>
    </row>
    <row r="300" spans="1:13" x14ac:dyDescent="0.25">
      <c r="A300" t="s">
        <v>79</v>
      </c>
      <c r="B300" t="str">
        <f t="shared" si="8"/>
        <v>6A.P.airoides</v>
      </c>
      <c r="C300" t="str">
        <f t="shared" si="9"/>
        <v>6A.P.airoides.Highcomp</v>
      </c>
      <c r="D300" t="s">
        <v>145</v>
      </c>
      <c r="E300">
        <v>6</v>
      </c>
      <c r="F300" t="s">
        <v>11</v>
      </c>
      <c r="G300" t="s">
        <v>95</v>
      </c>
      <c r="H300" t="s">
        <v>103</v>
      </c>
      <c r="I300" t="s">
        <v>113</v>
      </c>
      <c r="J300" t="s">
        <v>113</v>
      </c>
      <c r="L300">
        <v>0</v>
      </c>
      <c r="M300">
        <v>7</v>
      </c>
    </row>
    <row r="301" spans="1:13" x14ac:dyDescent="0.25">
      <c r="A301" t="s">
        <v>79</v>
      </c>
      <c r="B301" t="str">
        <f t="shared" si="8"/>
        <v>6A.P.airoides</v>
      </c>
      <c r="C301" t="str">
        <f t="shared" si="9"/>
        <v>6A.P.airoides.Highcomp</v>
      </c>
      <c r="D301" t="s">
        <v>145</v>
      </c>
      <c r="E301">
        <v>6</v>
      </c>
      <c r="F301" t="s">
        <v>11</v>
      </c>
      <c r="G301" t="s">
        <v>95</v>
      </c>
      <c r="H301" t="s">
        <v>103</v>
      </c>
      <c r="I301" t="s">
        <v>113</v>
      </c>
      <c r="J301" t="s">
        <v>103</v>
      </c>
      <c r="L301">
        <v>0</v>
      </c>
      <c r="M301">
        <v>4</v>
      </c>
    </row>
    <row r="302" spans="1:13" x14ac:dyDescent="0.25">
      <c r="A302" t="s">
        <v>79</v>
      </c>
      <c r="B302" t="str">
        <f t="shared" si="8"/>
        <v>6A.P.canescens</v>
      </c>
      <c r="C302" t="str">
        <f t="shared" si="9"/>
        <v>6A.P.canescens.Highcomp</v>
      </c>
      <c r="D302" t="s">
        <v>145</v>
      </c>
      <c r="E302">
        <v>6</v>
      </c>
      <c r="F302" t="s">
        <v>11</v>
      </c>
      <c r="G302" t="s">
        <v>95</v>
      </c>
      <c r="H302" t="s">
        <v>111</v>
      </c>
      <c r="I302" t="s">
        <v>113</v>
      </c>
      <c r="J302" t="s">
        <v>234</v>
      </c>
      <c r="L302">
        <v>0</v>
      </c>
      <c r="M302">
        <v>1</v>
      </c>
    </row>
    <row r="303" spans="1:13" x14ac:dyDescent="0.25">
      <c r="A303" t="s">
        <v>79</v>
      </c>
      <c r="B303" t="str">
        <f t="shared" si="8"/>
        <v>6A.P.canescens</v>
      </c>
      <c r="C303" t="str">
        <f t="shared" si="9"/>
        <v>6A.P.canescens.Highcomp</v>
      </c>
      <c r="D303" t="s">
        <v>145</v>
      </c>
      <c r="E303">
        <v>6</v>
      </c>
      <c r="F303" t="s">
        <v>11</v>
      </c>
      <c r="G303" t="s">
        <v>95</v>
      </c>
      <c r="H303" t="s">
        <v>111</v>
      </c>
      <c r="I303" t="s">
        <v>113</v>
      </c>
      <c r="J303" t="s">
        <v>113</v>
      </c>
      <c r="L303">
        <v>0</v>
      </c>
      <c r="M303">
        <v>5</v>
      </c>
    </row>
    <row r="304" spans="1:13" x14ac:dyDescent="0.25">
      <c r="A304" t="s">
        <v>79</v>
      </c>
      <c r="B304" t="str">
        <f t="shared" si="8"/>
        <v>6A.P.canescens</v>
      </c>
      <c r="C304" t="str">
        <f t="shared" si="9"/>
        <v>6A.P.canescens.Highcomp</v>
      </c>
      <c r="D304" t="s">
        <v>145</v>
      </c>
      <c r="E304">
        <v>6</v>
      </c>
      <c r="F304" t="s">
        <v>11</v>
      </c>
      <c r="G304" t="s">
        <v>95</v>
      </c>
      <c r="H304" t="s">
        <v>111</v>
      </c>
      <c r="I304" t="s">
        <v>113</v>
      </c>
      <c r="J304" t="s">
        <v>103</v>
      </c>
      <c r="L304">
        <v>0</v>
      </c>
      <c r="M304">
        <v>1</v>
      </c>
    </row>
    <row r="305" spans="1:13" x14ac:dyDescent="0.25">
      <c r="A305" t="s">
        <v>80</v>
      </c>
      <c r="B305" t="str">
        <f t="shared" si="8"/>
        <v>6B.H.glabra</v>
      </c>
      <c r="C305" t="str">
        <f t="shared" si="9"/>
        <v>6B.H.glabra.Highcomp</v>
      </c>
      <c r="D305" t="s">
        <v>145</v>
      </c>
      <c r="E305">
        <v>6</v>
      </c>
      <c r="F305" t="s">
        <v>15</v>
      </c>
      <c r="G305" t="s">
        <v>95</v>
      </c>
      <c r="H305" t="s">
        <v>105</v>
      </c>
      <c r="I305" t="s">
        <v>121</v>
      </c>
      <c r="J305" t="s">
        <v>113</v>
      </c>
      <c r="L305">
        <v>0</v>
      </c>
      <c r="M305">
        <v>1</v>
      </c>
    </row>
    <row r="306" spans="1:13" x14ac:dyDescent="0.25">
      <c r="A306" t="s">
        <v>80</v>
      </c>
      <c r="B306" t="str">
        <f t="shared" si="8"/>
        <v>6B.H.glabra</v>
      </c>
      <c r="C306" t="str">
        <f t="shared" si="9"/>
        <v>6B.H.glabra.Highcomp</v>
      </c>
      <c r="D306" t="s">
        <v>145</v>
      </c>
      <c r="E306">
        <v>6</v>
      </c>
      <c r="F306" t="s">
        <v>15</v>
      </c>
      <c r="G306" t="s">
        <v>95</v>
      </c>
      <c r="H306" t="s">
        <v>105</v>
      </c>
      <c r="I306" t="s">
        <v>121</v>
      </c>
      <c r="J306" t="s">
        <v>103</v>
      </c>
      <c r="L306">
        <v>0</v>
      </c>
      <c r="M306">
        <v>9</v>
      </c>
    </row>
    <row r="307" spans="1:13" x14ac:dyDescent="0.25">
      <c r="A307" t="s">
        <v>80</v>
      </c>
      <c r="B307" t="str">
        <f t="shared" si="8"/>
        <v>6B.H.glutinosum</v>
      </c>
      <c r="C307" t="str">
        <f t="shared" si="9"/>
        <v>6B.H.glutinosum.Highcomp</v>
      </c>
      <c r="D307" t="s">
        <v>145</v>
      </c>
      <c r="E307">
        <v>6</v>
      </c>
      <c r="F307" t="s">
        <v>15</v>
      </c>
      <c r="G307" t="s">
        <v>95</v>
      </c>
      <c r="H307" t="s">
        <v>113</v>
      </c>
      <c r="I307" t="s">
        <v>113</v>
      </c>
      <c r="J307" t="s">
        <v>113</v>
      </c>
      <c r="L307">
        <v>0</v>
      </c>
      <c r="M307">
        <v>6</v>
      </c>
    </row>
    <row r="308" spans="1:13" x14ac:dyDescent="0.25">
      <c r="A308" t="s">
        <v>80</v>
      </c>
      <c r="B308" t="str">
        <f t="shared" si="8"/>
        <v>6B.P.airoides</v>
      </c>
      <c r="C308" t="str">
        <f t="shared" si="9"/>
        <v>6B.P.airoides.Highcomp</v>
      </c>
      <c r="D308" t="s">
        <v>145</v>
      </c>
      <c r="E308">
        <v>6</v>
      </c>
      <c r="F308" t="s">
        <v>15</v>
      </c>
      <c r="G308" t="s">
        <v>95</v>
      </c>
      <c r="H308" t="s">
        <v>103</v>
      </c>
      <c r="I308" t="s">
        <v>113</v>
      </c>
      <c r="J308" t="s">
        <v>113</v>
      </c>
      <c r="L308">
        <v>0</v>
      </c>
      <c r="M308">
        <v>1</v>
      </c>
    </row>
    <row r="309" spans="1:13" x14ac:dyDescent="0.25">
      <c r="A309" t="s">
        <v>80</v>
      </c>
      <c r="B309" t="str">
        <f t="shared" si="8"/>
        <v>6B.P.airoides</v>
      </c>
      <c r="C309" t="str">
        <f t="shared" si="9"/>
        <v>6B.P.airoides.Highcomp</v>
      </c>
      <c r="D309" t="s">
        <v>145</v>
      </c>
      <c r="E309">
        <v>6</v>
      </c>
      <c r="F309" t="s">
        <v>15</v>
      </c>
      <c r="G309" t="s">
        <v>95</v>
      </c>
      <c r="H309" t="s">
        <v>103</v>
      </c>
      <c r="I309" t="s">
        <v>113</v>
      </c>
      <c r="J309" t="s">
        <v>103</v>
      </c>
      <c r="L309">
        <v>0</v>
      </c>
      <c r="M309">
        <v>2</v>
      </c>
    </row>
    <row r="310" spans="1:13" x14ac:dyDescent="0.25">
      <c r="A310" t="s">
        <v>81</v>
      </c>
      <c r="B310" t="str">
        <f t="shared" si="8"/>
        <v>6C.H.glabra</v>
      </c>
      <c r="C310" t="str">
        <f t="shared" si="9"/>
        <v>6C.H.glabra.Highcomp</v>
      </c>
      <c r="D310" t="s">
        <v>145</v>
      </c>
      <c r="E310">
        <v>6</v>
      </c>
      <c r="F310" t="s">
        <v>17</v>
      </c>
      <c r="G310" t="s">
        <v>94</v>
      </c>
      <c r="H310" t="s">
        <v>105</v>
      </c>
      <c r="I310" t="s">
        <v>113</v>
      </c>
      <c r="J310" t="s">
        <v>113</v>
      </c>
      <c r="L310">
        <v>0</v>
      </c>
      <c r="M310">
        <v>6</v>
      </c>
    </row>
    <row r="311" spans="1:13" x14ac:dyDescent="0.25">
      <c r="A311" t="s">
        <v>81</v>
      </c>
      <c r="B311" t="str">
        <f t="shared" si="8"/>
        <v>6C.H.glutinosum</v>
      </c>
      <c r="C311" t="str">
        <f t="shared" si="9"/>
        <v>6C.H.glutinosum.Highcomp</v>
      </c>
      <c r="D311" t="s">
        <v>145</v>
      </c>
      <c r="E311">
        <v>6</v>
      </c>
      <c r="F311" t="s">
        <v>17</v>
      </c>
      <c r="G311" t="s">
        <v>94</v>
      </c>
      <c r="H311" t="s">
        <v>113</v>
      </c>
      <c r="I311" t="s">
        <v>113</v>
      </c>
      <c r="J311" t="s">
        <v>113</v>
      </c>
      <c r="L311">
        <v>0</v>
      </c>
      <c r="M311">
        <v>6</v>
      </c>
    </row>
    <row r="312" spans="1:13" x14ac:dyDescent="0.25">
      <c r="A312" t="s">
        <v>81</v>
      </c>
      <c r="B312" t="str">
        <f t="shared" si="8"/>
        <v>6C.P.airoides</v>
      </c>
      <c r="C312" t="str">
        <f t="shared" si="9"/>
        <v>6C.P.airoides.Highcomp</v>
      </c>
      <c r="D312" t="s">
        <v>145</v>
      </c>
      <c r="E312">
        <v>6</v>
      </c>
      <c r="F312" t="s">
        <v>17</v>
      </c>
      <c r="G312" t="s">
        <v>94</v>
      </c>
      <c r="H312" t="s">
        <v>103</v>
      </c>
      <c r="I312" t="s">
        <v>113</v>
      </c>
      <c r="J312" t="s">
        <v>113</v>
      </c>
      <c r="L312">
        <v>0</v>
      </c>
      <c r="M312">
        <v>5</v>
      </c>
    </row>
    <row r="313" spans="1:13" x14ac:dyDescent="0.25">
      <c r="A313" t="s">
        <v>81</v>
      </c>
      <c r="B313" t="str">
        <f t="shared" si="8"/>
        <v>6C.P.airoides</v>
      </c>
      <c r="C313" t="str">
        <f t="shared" si="9"/>
        <v>6C.P.airoides.Highcomp</v>
      </c>
      <c r="D313" t="s">
        <v>145</v>
      </c>
      <c r="E313">
        <v>6</v>
      </c>
      <c r="F313" t="s">
        <v>17</v>
      </c>
      <c r="G313" t="s">
        <v>94</v>
      </c>
      <c r="H313" t="s">
        <v>103</v>
      </c>
      <c r="I313" t="s">
        <v>113</v>
      </c>
      <c r="J313" t="s">
        <v>103</v>
      </c>
      <c r="L313">
        <v>0</v>
      </c>
      <c r="M313">
        <v>1</v>
      </c>
    </row>
    <row r="314" spans="1:13" x14ac:dyDescent="0.25">
      <c r="A314" t="s">
        <v>82</v>
      </c>
      <c r="B314" t="str">
        <f t="shared" si="8"/>
        <v>6D.A.calendula</v>
      </c>
      <c r="C314" t="str">
        <f t="shared" si="9"/>
        <v>6D.A.calendula.Highcomp</v>
      </c>
      <c r="D314" t="s">
        <v>145</v>
      </c>
      <c r="E314">
        <v>6</v>
      </c>
      <c r="F314" t="s">
        <v>19</v>
      </c>
      <c r="G314" t="s">
        <v>94</v>
      </c>
      <c r="H314" t="s">
        <v>102</v>
      </c>
      <c r="I314" t="s">
        <v>102</v>
      </c>
      <c r="J314" t="s">
        <v>102</v>
      </c>
      <c r="L314">
        <v>0</v>
      </c>
      <c r="M314">
        <v>1</v>
      </c>
    </row>
    <row r="315" spans="1:13" x14ac:dyDescent="0.25">
      <c r="A315" t="s">
        <v>82</v>
      </c>
      <c r="B315" t="str">
        <f t="shared" si="8"/>
        <v>6D.H.glutinosum</v>
      </c>
      <c r="C315" t="str">
        <f t="shared" si="9"/>
        <v>6D.H.glutinosum.Highcomp</v>
      </c>
      <c r="D315" t="s">
        <v>145</v>
      </c>
      <c r="E315">
        <v>6</v>
      </c>
      <c r="F315" t="s">
        <v>19</v>
      </c>
      <c r="G315" t="s">
        <v>94</v>
      </c>
      <c r="H315" t="s">
        <v>113</v>
      </c>
      <c r="I315" t="s">
        <v>113</v>
      </c>
      <c r="J315" t="s">
        <v>113</v>
      </c>
      <c r="L315">
        <v>0</v>
      </c>
      <c r="M315">
        <v>4</v>
      </c>
    </row>
    <row r="316" spans="1:13" x14ac:dyDescent="0.25">
      <c r="A316" t="s">
        <v>82</v>
      </c>
      <c r="B316" t="str">
        <f t="shared" si="8"/>
        <v>6D.H.glutinosum</v>
      </c>
      <c r="C316" t="str">
        <f t="shared" si="9"/>
        <v>6D.H.glutinosum.Highcomp</v>
      </c>
      <c r="D316" t="s">
        <v>145</v>
      </c>
      <c r="E316">
        <v>6</v>
      </c>
      <c r="F316" t="s">
        <v>19</v>
      </c>
      <c r="G316" t="s">
        <v>94</v>
      </c>
      <c r="H316" t="s">
        <v>113</v>
      </c>
      <c r="I316" t="s">
        <v>113</v>
      </c>
      <c r="J316" t="s">
        <v>241</v>
      </c>
      <c r="L316">
        <v>0</v>
      </c>
      <c r="M316">
        <v>1</v>
      </c>
    </row>
    <row r="317" spans="1:13" x14ac:dyDescent="0.25">
      <c r="A317" t="s">
        <v>82</v>
      </c>
      <c r="B317" t="str">
        <f t="shared" si="8"/>
        <v>6D.H.glutinosum</v>
      </c>
      <c r="C317" t="str">
        <f t="shared" si="9"/>
        <v>6D.H.glutinosum.Highcomp</v>
      </c>
      <c r="D317" t="s">
        <v>145</v>
      </c>
      <c r="E317">
        <v>6</v>
      </c>
      <c r="F317" t="s">
        <v>19</v>
      </c>
      <c r="G317" t="s">
        <v>94</v>
      </c>
      <c r="H317" t="s">
        <v>113</v>
      </c>
      <c r="I317" t="s">
        <v>113</v>
      </c>
      <c r="J317" t="s">
        <v>808</v>
      </c>
      <c r="L317">
        <v>0</v>
      </c>
      <c r="M317">
        <v>1</v>
      </c>
    </row>
    <row r="318" spans="1:13" x14ac:dyDescent="0.25">
      <c r="A318" t="s">
        <v>82</v>
      </c>
      <c r="B318" t="str">
        <f t="shared" si="8"/>
        <v>6D.H.glutinosum</v>
      </c>
      <c r="C318" t="str">
        <f t="shared" si="9"/>
        <v>6D.H.glutinosum.Highcomp</v>
      </c>
      <c r="D318" t="s">
        <v>145</v>
      </c>
      <c r="E318">
        <v>6</v>
      </c>
      <c r="F318" t="s">
        <v>19</v>
      </c>
      <c r="G318" t="s">
        <v>94</v>
      </c>
      <c r="H318" t="s">
        <v>113</v>
      </c>
      <c r="I318" t="s">
        <v>113</v>
      </c>
      <c r="J318" t="s">
        <v>103</v>
      </c>
      <c r="L318">
        <v>0</v>
      </c>
      <c r="M318">
        <v>1</v>
      </c>
    </row>
    <row r="319" spans="1:13" x14ac:dyDescent="0.25">
      <c r="A319" t="s">
        <v>82</v>
      </c>
      <c r="B319" t="str">
        <f t="shared" si="8"/>
        <v>6D.T.cyanopetala</v>
      </c>
      <c r="C319" t="str">
        <f t="shared" si="9"/>
        <v>6D.T.cyanopetala.Highcomp</v>
      </c>
      <c r="D319" t="s">
        <v>145</v>
      </c>
      <c r="E319">
        <v>6</v>
      </c>
      <c r="F319" t="s">
        <v>19</v>
      </c>
      <c r="G319" t="s">
        <v>94</v>
      </c>
      <c r="H319" t="s">
        <v>104</v>
      </c>
      <c r="I319" t="s">
        <v>113</v>
      </c>
      <c r="J319" t="s">
        <v>113</v>
      </c>
      <c r="L319">
        <v>0</v>
      </c>
      <c r="M319">
        <v>3</v>
      </c>
    </row>
    <row r="320" spans="1:13" x14ac:dyDescent="0.25">
      <c r="A320" t="s">
        <v>83</v>
      </c>
      <c r="B320" t="str">
        <f t="shared" si="8"/>
        <v>6E.A.calendula</v>
      </c>
      <c r="C320" t="str">
        <f t="shared" si="9"/>
        <v>6E.A.calendula.Highcomp</v>
      </c>
      <c r="D320" t="s">
        <v>145</v>
      </c>
      <c r="E320">
        <v>6</v>
      </c>
      <c r="F320" t="s">
        <v>21</v>
      </c>
      <c r="G320" t="s">
        <v>94</v>
      </c>
      <c r="H320" t="s">
        <v>102</v>
      </c>
      <c r="I320" t="s">
        <v>121</v>
      </c>
      <c r="J320" t="s">
        <v>114</v>
      </c>
      <c r="L320">
        <v>0</v>
      </c>
      <c r="M320">
        <v>0</v>
      </c>
    </row>
    <row r="321" spans="1:13" x14ac:dyDescent="0.25">
      <c r="A321" t="s">
        <v>83</v>
      </c>
      <c r="B321" t="str">
        <f t="shared" si="8"/>
        <v>6E.P.airoides</v>
      </c>
      <c r="C321" t="str">
        <f t="shared" si="9"/>
        <v>6E.P.airoides.Highcomp</v>
      </c>
      <c r="D321" t="s">
        <v>145</v>
      </c>
      <c r="E321">
        <v>6</v>
      </c>
      <c r="F321" t="s">
        <v>21</v>
      </c>
      <c r="G321" t="s">
        <v>94</v>
      </c>
      <c r="H321" t="s">
        <v>103</v>
      </c>
      <c r="I321" t="s">
        <v>103</v>
      </c>
      <c r="J321" t="s">
        <v>103</v>
      </c>
      <c r="L321">
        <v>0</v>
      </c>
      <c r="M321">
        <v>2</v>
      </c>
    </row>
    <row r="322" spans="1:13" x14ac:dyDescent="0.25">
      <c r="A322" t="s">
        <v>83</v>
      </c>
      <c r="B322" t="str">
        <f t="shared" si="8"/>
        <v>6E.P.airoides</v>
      </c>
      <c r="C322" t="str">
        <f t="shared" si="9"/>
        <v>6E.P.airoides.Highcomp</v>
      </c>
      <c r="D322" t="s">
        <v>145</v>
      </c>
      <c r="E322">
        <v>6</v>
      </c>
      <c r="F322" t="s">
        <v>21</v>
      </c>
      <c r="G322" t="s">
        <v>94</v>
      </c>
      <c r="H322" t="s">
        <v>103</v>
      </c>
      <c r="I322" t="s">
        <v>103</v>
      </c>
      <c r="J322" t="s">
        <v>246</v>
      </c>
      <c r="L322">
        <v>0</v>
      </c>
      <c r="M322">
        <v>1</v>
      </c>
    </row>
    <row r="323" spans="1:13" x14ac:dyDescent="0.25">
      <c r="A323" t="s">
        <v>83</v>
      </c>
      <c r="B323" t="str">
        <f t="shared" ref="B323:B372" si="10">A323&amp;"."&amp;H323</f>
        <v>6E.P.airoides</v>
      </c>
      <c r="C323" t="str">
        <f t="shared" ref="C323:C372" si="11">B323&amp;"."&amp;D323</f>
        <v>6E.P.airoides.Highcomp</v>
      </c>
      <c r="D323" t="s">
        <v>145</v>
      </c>
      <c r="E323">
        <v>6</v>
      </c>
      <c r="F323" t="s">
        <v>21</v>
      </c>
      <c r="G323" t="s">
        <v>94</v>
      </c>
      <c r="H323" t="s">
        <v>103</v>
      </c>
      <c r="I323" t="s">
        <v>103</v>
      </c>
      <c r="J323" t="s">
        <v>239</v>
      </c>
      <c r="L323">
        <v>0</v>
      </c>
      <c r="M323">
        <v>1</v>
      </c>
    </row>
    <row r="324" spans="1:13" x14ac:dyDescent="0.25">
      <c r="A324" t="s">
        <v>83</v>
      </c>
      <c r="B324" t="str">
        <f t="shared" si="10"/>
        <v>6E.P.canescens</v>
      </c>
      <c r="C324" t="str">
        <f t="shared" si="11"/>
        <v>6E.P.canescens.Highcomp</v>
      </c>
      <c r="D324" t="s">
        <v>145</v>
      </c>
      <c r="E324">
        <v>6</v>
      </c>
      <c r="F324" t="s">
        <v>21</v>
      </c>
      <c r="G324" t="s">
        <v>94</v>
      </c>
      <c r="H324" t="s">
        <v>111</v>
      </c>
      <c r="I324" t="s">
        <v>121</v>
      </c>
      <c r="J324" t="s">
        <v>114</v>
      </c>
      <c r="L324">
        <v>0</v>
      </c>
      <c r="M324">
        <v>0</v>
      </c>
    </row>
    <row r="325" spans="1:13" x14ac:dyDescent="0.25">
      <c r="A325" t="s">
        <v>84</v>
      </c>
      <c r="B325" t="str">
        <f t="shared" si="10"/>
        <v>6F.A.calendula</v>
      </c>
      <c r="C325" t="str">
        <f t="shared" si="11"/>
        <v>6F.A.calendula.Highcomp</v>
      </c>
      <c r="D325" t="s">
        <v>145</v>
      </c>
      <c r="E325">
        <v>6</v>
      </c>
      <c r="F325" t="s">
        <v>23</v>
      </c>
      <c r="G325" t="s">
        <v>95</v>
      </c>
      <c r="H325" t="s">
        <v>102</v>
      </c>
      <c r="I325" t="s">
        <v>121</v>
      </c>
      <c r="J325" t="s">
        <v>254</v>
      </c>
      <c r="L325">
        <v>0</v>
      </c>
      <c r="M325">
        <v>3</v>
      </c>
    </row>
    <row r="326" spans="1:13" x14ac:dyDescent="0.25">
      <c r="A326" t="s">
        <v>84</v>
      </c>
      <c r="B326" t="str">
        <f t="shared" si="10"/>
        <v>6F.A.calendula</v>
      </c>
      <c r="C326" t="str">
        <f t="shared" si="11"/>
        <v>6F.A.calendula.Highcomp</v>
      </c>
      <c r="D326" t="s">
        <v>145</v>
      </c>
      <c r="E326">
        <v>6</v>
      </c>
      <c r="F326" t="s">
        <v>23</v>
      </c>
      <c r="G326" t="s">
        <v>95</v>
      </c>
      <c r="H326" t="s">
        <v>102</v>
      </c>
      <c r="I326" t="s">
        <v>121</v>
      </c>
      <c r="J326" t="s">
        <v>248</v>
      </c>
      <c r="L326">
        <v>0</v>
      </c>
      <c r="M326">
        <v>1</v>
      </c>
    </row>
    <row r="327" spans="1:13" x14ac:dyDescent="0.25">
      <c r="A327" t="s">
        <v>84</v>
      </c>
      <c r="B327" t="str">
        <f t="shared" si="10"/>
        <v>6F.A.calendula</v>
      </c>
      <c r="C327" t="str">
        <f t="shared" si="11"/>
        <v>6F.A.calendula.Highcomp</v>
      </c>
      <c r="D327" t="s">
        <v>145</v>
      </c>
      <c r="E327">
        <v>6</v>
      </c>
      <c r="F327" t="s">
        <v>23</v>
      </c>
      <c r="G327" t="s">
        <v>95</v>
      </c>
      <c r="H327" t="s">
        <v>102</v>
      </c>
      <c r="I327" t="s">
        <v>121</v>
      </c>
      <c r="J327" t="s">
        <v>233</v>
      </c>
      <c r="L327">
        <v>0</v>
      </c>
      <c r="M327">
        <v>1</v>
      </c>
    </row>
    <row r="328" spans="1:13" x14ac:dyDescent="0.25">
      <c r="A328" t="s">
        <v>84</v>
      </c>
      <c r="B328" t="str">
        <f t="shared" si="10"/>
        <v>6F.A.calendula</v>
      </c>
      <c r="C328" t="str">
        <f t="shared" si="11"/>
        <v>6F.A.calendula.Highcomp</v>
      </c>
      <c r="D328" t="s">
        <v>145</v>
      </c>
      <c r="E328">
        <v>6</v>
      </c>
      <c r="F328" t="s">
        <v>23</v>
      </c>
      <c r="G328" t="s">
        <v>95</v>
      </c>
      <c r="H328" t="s">
        <v>102</v>
      </c>
      <c r="I328" t="s">
        <v>121</v>
      </c>
      <c r="J328" t="s">
        <v>103</v>
      </c>
      <c r="L328">
        <v>0</v>
      </c>
      <c r="M328">
        <v>5</v>
      </c>
    </row>
    <row r="329" spans="1:13" x14ac:dyDescent="0.25">
      <c r="A329" t="s">
        <v>84</v>
      </c>
      <c r="B329" t="str">
        <f t="shared" si="10"/>
        <v>6F.H.glabra</v>
      </c>
      <c r="C329" t="str">
        <f t="shared" si="11"/>
        <v>6F.H.glabra.Highcomp</v>
      </c>
      <c r="D329" t="s">
        <v>145</v>
      </c>
      <c r="E329">
        <v>6</v>
      </c>
      <c r="F329" t="s">
        <v>23</v>
      </c>
      <c r="G329" t="s">
        <v>95</v>
      </c>
      <c r="H329" t="s">
        <v>105</v>
      </c>
      <c r="I329" t="s">
        <v>103</v>
      </c>
      <c r="J329" t="s">
        <v>114</v>
      </c>
      <c r="L329">
        <v>0</v>
      </c>
      <c r="M329" t="s">
        <v>114</v>
      </c>
    </row>
    <row r="330" spans="1:13" x14ac:dyDescent="0.25">
      <c r="A330" t="s">
        <v>84</v>
      </c>
      <c r="B330" t="str">
        <f t="shared" si="10"/>
        <v>6F.P.canescens</v>
      </c>
      <c r="C330" t="str">
        <f t="shared" si="11"/>
        <v>6F.P.canescens.Highcomp</v>
      </c>
      <c r="D330" t="s">
        <v>145</v>
      </c>
      <c r="E330">
        <v>6</v>
      </c>
      <c r="F330" t="s">
        <v>23</v>
      </c>
      <c r="G330" t="s">
        <v>95</v>
      </c>
      <c r="H330" t="s">
        <v>111</v>
      </c>
      <c r="I330" t="s">
        <v>103</v>
      </c>
      <c r="J330" t="s">
        <v>103</v>
      </c>
      <c r="L330">
        <v>0</v>
      </c>
      <c r="M330">
        <v>2</v>
      </c>
    </row>
    <row r="331" spans="1:13" x14ac:dyDescent="0.25">
      <c r="A331" t="s">
        <v>84</v>
      </c>
      <c r="B331" t="str">
        <f t="shared" si="10"/>
        <v>6F.P.canescens</v>
      </c>
      <c r="C331" t="str">
        <f t="shared" si="11"/>
        <v>6F.P.canescens.Highcomp</v>
      </c>
      <c r="D331" t="s">
        <v>145</v>
      </c>
      <c r="E331">
        <v>6</v>
      </c>
      <c r="F331" t="s">
        <v>23</v>
      </c>
      <c r="G331" t="s">
        <v>95</v>
      </c>
      <c r="H331" t="s">
        <v>111</v>
      </c>
      <c r="I331" t="s">
        <v>103</v>
      </c>
      <c r="J331" t="s">
        <v>247</v>
      </c>
      <c r="L331">
        <v>0</v>
      </c>
      <c r="M331">
        <v>1</v>
      </c>
    </row>
    <row r="332" spans="1:13" x14ac:dyDescent="0.25">
      <c r="A332" t="s">
        <v>84</v>
      </c>
      <c r="B332" t="str">
        <f t="shared" si="10"/>
        <v>6F.P.canescens</v>
      </c>
      <c r="C332" t="str">
        <f t="shared" si="11"/>
        <v>6F.P.canescens.Highcomp</v>
      </c>
      <c r="D332" t="s">
        <v>145</v>
      </c>
      <c r="E332">
        <v>6</v>
      </c>
      <c r="F332" t="s">
        <v>23</v>
      </c>
      <c r="G332" t="s">
        <v>95</v>
      </c>
      <c r="H332" t="s">
        <v>111</v>
      </c>
      <c r="I332" t="s">
        <v>103</v>
      </c>
      <c r="J332" t="s">
        <v>233</v>
      </c>
      <c r="L332">
        <v>0</v>
      </c>
      <c r="M332">
        <v>1</v>
      </c>
    </row>
    <row r="333" spans="1:13" x14ac:dyDescent="0.25">
      <c r="A333" t="s">
        <v>84</v>
      </c>
      <c r="B333" t="str">
        <f t="shared" si="10"/>
        <v>6F.P.canescens</v>
      </c>
      <c r="C333" t="str">
        <f t="shared" si="11"/>
        <v>6F.P.canescens.Highcomp</v>
      </c>
      <c r="D333" t="s">
        <v>145</v>
      </c>
      <c r="E333">
        <v>6</v>
      </c>
      <c r="F333" t="s">
        <v>23</v>
      </c>
      <c r="G333" t="s">
        <v>95</v>
      </c>
      <c r="H333" t="s">
        <v>111</v>
      </c>
      <c r="I333" t="s">
        <v>103</v>
      </c>
      <c r="J333" t="s">
        <v>808</v>
      </c>
      <c r="L333">
        <v>0</v>
      </c>
      <c r="M333">
        <v>1</v>
      </c>
    </row>
    <row r="334" spans="1:13" x14ac:dyDescent="0.25">
      <c r="A334" t="s">
        <v>84</v>
      </c>
      <c r="B334" t="str">
        <f t="shared" si="10"/>
        <v>6F.V.rosea</v>
      </c>
      <c r="C334" t="str">
        <f t="shared" si="11"/>
        <v>6F.V.rosea.Highcomp</v>
      </c>
      <c r="D334" t="s">
        <v>145</v>
      </c>
      <c r="E334">
        <v>6</v>
      </c>
      <c r="F334" t="s">
        <v>23</v>
      </c>
      <c r="G334" t="s">
        <v>95</v>
      </c>
      <c r="H334" t="s">
        <v>112</v>
      </c>
      <c r="I334" t="s">
        <v>103</v>
      </c>
      <c r="J334" t="s">
        <v>236</v>
      </c>
      <c r="L334">
        <v>0</v>
      </c>
      <c r="M334">
        <v>1</v>
      </c>
    </row>
    <row r="335" spans="1:13" x14ac:dyDescent="0.25">
      <c r="A335" t="s">
        <v>84</v>
      </c>
      <c r="B335" t="str">
        <f t="shared" si="10"/>
        <v>6F.V.rosea</v>
      </c>
      <c r="C335" t="str">
        <f t="shared" si="11"/>
        <v>6F.V.rosea.Highcomp</v>
      </c>
      <c r="D335" t="s">
        <v>145</v>
      </c>
      <c r="E335">
        <v>6</v>
      </c>
      <c r="F335" t="s">
        <v>23</v>
      </c>
      <c r="G335" t="s">
        <v>95</v>
      </c>
      <c r="H335" t="s">
        <v>112</v>
      </c>
      <c r="I335" t="s">
        <v>103</v>
      </c>
      <c r="J335" t="s">
        <v>103</v>
      </c>
      <c r="L335">
        <v>0</v>
      </c>
      <c r="M335">
        <v>2</v>
      </c>
    </row>
    <row r="336" spans="1:13" x14ac:dyDescent="0.25">
      <c r="A336" t="s">
        <v>84</v>
      </c>
      <c r="B336" t="str">
        <f t="shared" si="10"/>
        <v>6F.V.rosea</v>
      </c>
      <c r="C336" t="str">
        <f t="shared" si="11"/>
        <v>6F.V.rosea.Highcomp</v>
      </c>
      <c r="D336" t="s">
        <v>145</v>
      </c>
      <c r="E336">
        <v>6</v>
      </c>
      <c r="F336" t="s">
        <v>23</v>
      </c>
      <c r="G336" t="s">
        <v>95</v>
      </c>
      <c r="H336" t="s">
        <v>112</v>
      </c>
      <c r="I336" t="s">
        <v>103</v>
      </c>
      <c r="J336" t="s">
        <v>808</v>
      </c>
      <c r="L336">
        <v>0</v>
      </c>
      <c r="M336">
        <v>1</v>
      </c>
    </row>
    <row r="337" spans="1:13" x14ac:dyDescent="0.25">
      <c r="A337" t="s">
        <v>84</v>
      </c>
      <c r="B337" t="str">
        <f t="shared" si="10"/>
        <v>6F.V.rosea</v>
      </c>
      <c r="C337" t="str">
        <f t="shared" si="11"/>
        <v>6F.V.rosea.Highcomp</v>
      </c>
      <c r="D337" t="s">
        <v>145</v>
      </c>
      <c r="E337">
        <v>6</v>
      </c>
      <c r="F337" t="s">
        <v>23</v>
      </c>
      <c r="G337" t="s">
        <v>95</v>
      </c>
      <c r="H337" t="s">
        <v>112</v>
      </c>
      <c r="I337" t="s">
        <v>103</v>
      </c>
      <c r="J337" t="s">
        <v>239</v>
      </c>
      <c r="L337">
        <v>0</v>
      </c>
      <c r="M337">
        <v>2</v>
      </c>
    </row>
    <row r="338" spans="1:13" x14ac:dyDescent="0.25">
      <c r="A338" t="s">
        <v>85</v>
      </c>
      <c r="B338" t="str">
        <f t="shared" si="10"/>
        <v>6G.H.glabra</v>
      </c>
      <c r="C338" t="str">
        <f t="shared" si="11"/>
        <v>6G.H.glabra.Highcomp</v>
      </c>
      <c r="D338" t="s">
        <v>145</v>
      </c>
      <c r="E338">
        <v>6</v>
      </c>
      <c r="F338" t="s">
        <v>25</v>
      </c>
      <c r="G338" t="s">
        <v>94</v>
      </c>
      <c r="H338" t="s">
        <v>105</v>
      </c>
      <c r="I338" t="s">
        <v>103</v>
      </c>
      <c r="J338" t="s">
        <v>810</v>
      </c>
      <c r="L338">
        <v>0</v>
      </c>
      <c r="M338">
        <v>1</v>
      </c>
    </row>
    <row r="339" spans="1:13" x14ac:dyDescent="0.25">
      <c r="A339" t="s">
        <v>85</v>
      </c>
      <c r="B339" t="str">
        <f t="shared" si="10"/>
        <v>6G.H.glabra</v>
      </c>
      <c r="C339" t="str">
        <f t="shared" si="11"/>
        <v>6G.H.glabra.Highcomp</v>
      </c>
      <c r="D339" t="s">
        <v>145</v>
      </c>
      <c r="E339">
        <v>6</v>
      </c>
      <c r="F339" t="s">
        <v>25</v>
      </c>
      <c r="G339" t="s">
        <v>94</v>
      </c>
      <c r="H339" t="s">
        <v>105</v>
      </c>
      <c r="I339" t="s">
        <v>103</v>
      </c>
      <c r="J339" t="s">
        <v>104</v>
      </c>
      <c r="L339">
        <v>0</v>
      </c>
      <c r="M339">
        <v>1</v>
      </c>
    </row>
    <row r="340" spans="1:13" x14ac:dyDescent="0.25">
      <c r="A340" t="s">
        <v>85</v>
      </c>
      <c r="B340" t="str">
        <f t="shared" si="10"/>
        <v>6G.H.glabra</v>
      </c>
      <c r="C340" t="str">
        <f t="shared" si="11"/>
        <v>6G.H.glabra.Highcomp</v>
      </c>
      <c r="D340" t="s">
        <v>145</v>
      </c>
      <c r="E340">
        <v>6</v>
      </c>
      <c r="F340" t="s">
        <v>25</v>
      </c>
      <c r="G340" t="s">
        <v>94</v>
      </c>
      <c r="H340" t="s">
        <v>105</v>
      </c>
      <c r="I340" t="s">
        <v>103</v>
      </c>
      <c r="J340" t="s">
        <v>110</v>
      </c>
      <c r="L340">
        <v>0</v>
      </c>
      <c r="M340">
        <v>1</v>
      </c>
    </row>
    <row r="341" spans="1:13" x14ac:dyDescent="0.25">
      <c r="A341" t="s">
        <v>85</v>
      </c>
      <c r="B341" t="str">
        <f t="shared" si="10"/>
        <v>6G.H.glabra</v>
      </c>
      <c r="C341" t="str">
        <f t="shared" si="11"/>
        <v>6G.H.glabra.Highcomp</v>
      </c>
      <c r="D341" t="s">
        <v>145</v>
      </c>
      <c r="E341">
        <v>6</v>
      </c>
      <c r="F341" t="s">
        <v>25</v>
      </c>
      <c r="G341" t="s">
        <v>94</v>
      </c>
      <c r="H341" t="s">
        <v>105</v>
      </c>
      <c r="I341" t="s">
        <v>103</v>
      </c>
      <c r="J341" t="s">
        <v>103</v>
      </c>
      <c r="L341">
        <v>0</v>
      </c>
      <c r="M341">
        <v>4</v>
      </c>
    </row>
    <row r="342" spans="1:13" x14ac:dyDescent="0.25">
      <c r="A342" t="s">
        <v>85</v>
      </c>
      <c r="B342" t="str">
        <f t="shared" si="10"/>
        <v>6G.M.minima</v>
      </c>
      <c r="C342" t="str">
        <f t="shared" si="11"/>
        <v>6G.M.minima.Highcomp</v>
      </c>
      <c r="D342" t="s">
        <v>145</v>
      </c>
      <c r="E342">
        <v>6</v>
      </c>
      <c r="F342" t="s">
        <v>25</v>
      </c>
      <c r="G342" t="s">
        <v>94</v>
      </c>
      <c r="H342" t="s">
        <v>110</v>
      </c>
      <c r="I342" t="s">
        <v>103</v>
      </c>
      <c r="J342" t="s">
        <v>103</v>
      </c>
      <c r="L342">
        <v>0</v>
      </c>
      <c r="M342">
        <v>9</v>
      </c>
    </row>
    <row r="343" spans="1:13" x14ac:dyDescent="0.25">
      <c r="A343" t="s">
        <v>85</v>
      </c>
      <c r="B343" t="str">
        <f t="shared" si="10"/>
        <v>6G.M.minima</v>
      </c>
      <c r="C343" t="str">
        <f t="shared" si="11"/>
        <v>6G.M.minima.Highcomp</v>
      </c>
      <c r="D343" t="s">
        <v>145</v>
      </c>
      <c r="E343">
        <v>6</v>
      </c>
      <c r="F343" t="s">
        <v>25</v>
      </c>
      <c r="G343" t="s">
        <v>94</v>
      </c>
      <c r="H343" t="s">
        <v>110</v>
      </c>
      <c r="I343" t="s">
        <v>103</v>
      </c>
      <c r="J343" t="s">
        <v>248</v>
      </c>
      <c r="L343">
        <v>0</v>
      </c>
      <c r="M343">
        <v>4</v>
      </c>
    </row>
    <row r="344" spans="1:13" x14ac:dyDescent="0.25">
      <c r="A344" t="s">
        <v>85</v>
      </c>
      <c r="B344" t="str">
        <f t="shared" si="10"/>
        <v>6G.M.minima</v>
      </c>
      <c r="C344" t="str">
        <f t="shared" si="11"/>
        <v>6G.M.minima.Highcomp</v>
      </c>
      <c r="D344" t="s">
        <v>145</v>
      </c>
      <c r="E344">
        <v>6</v>
      </c>
      <c r="F344" t="s">
        <v>25</v>
      </c>
      <c r="G344" t="s">
        <v>94</v>
      </c>
      <c r="H344" t="s">
        <v>110</v>
      </c>
      <c r="I344" t="s">
        <v>103</v>
      </c>
      <c r="J344" t="s">
        <v>233</v>
      </c>
      <c r="L344">
        <v>0</v>
      </c>
      <c r="M344">
        <v>3</v>
      </c>
    </row>
    <row r="345" spans="1:13" x14ac:dyDescent="0.25">
      <c r="A345" t="s">
        <v>85</v>
      </c>
      <c r="B345" t="str">
        <f t="shared" si="10"/>
        <v>6G.M.minima</v>
      </c>
      <c r="C345" t="str">
        <f t="shared" si="11"/>
        <v>6G.M.minima.Highcomp</v>
      </c>
      <c r="D345" t="s">
        <v>145</v>
      </c>
      <c r="E345">
        <v>6</v>
      </c>
      <c r="F345" t="s">
        <v>25</v>
      </c>
      <c r="G345" t="s">
        <v>94</v>
      </c>
      <c r="H345" t="s">
        <v>110</v>
      </c>
      <c r="I345" t="s">
        <v>103</v>
      </c>
      <c r="J345" t="s">
        <v>110</v>
      </c>
      <c r="L345">
        <v>0</v>
      </c>
      <c r="M345">
        <v>1</v>
      </c>
    </row>
    <row r="346" spans="1:13" x14ac:dyDescent="0.25">
      <c r="A346" t="s">
        <v>86</v>
      </c>
      <c r="B346" t="str">
        <f t="shared" si="10"/>
        <v>6H.M.minima</v>
      </c>
      <c r="C346" t="str">
        <f t="shared" si="11"/>
        <v>6H.M.minima.Highcomp</v>
      </c>
      <c r="D346" t="s">
        <v>145</v>
      </c>
      <c r="E346">
        <v>6</v>
      </c>
      <c r="F346" t="s">
        <v>27</v>
      </c>
      <c r="G346" t="s">
        <v>94</v>
      </c>
      <c r="H346" t="s">
        <v>110</v>
      </c>
      <c r="I346" t="s">
        <v>121</v>
      </c>
      <c r="J346" t="s">
        <v>246</v>
      </c>
      <c r="L346">
        <v>0</v>
      </c>
      <c r="M346">
        <v>1</v>
      </c>
    </row>
    <row r="347" spans="1:13" x14ac:dyDescent="0.25">
      <c r="A347" t="s">
        <v>86</v>
      </c>
      <c r="B347" t="str">
        <f t="shared" si="10"/>
        <v>6H.M.minima</v>
      </c>
      <c r="C347" t="str">
        <f t="shared" si="11"/>
        <v>6H.M.minima.Highcomp</v>
      </c>
      <c r="D347" t="s">
        <v>145</v>
      </c>
      <c r="E347">
        <v>6</v>
      </c>
      <c r="F347" t="s">
        <v>27</v>
      </c>
      <c r="G347" t="s">
        <v>94</v>
      </c>
      <c r="H347" t="s">
        <v>110</v>
      </c>
      <c r="I347" t="s">
        <v>121</v>
      </c>
      <c r="J347" t="s">
        <v>242</v>
      </c>
      <c r="L347">
        <v>0</v>
      </c>
      <c r="M347">
        <v>2</v>
      </c>
    </row>
    <row r="348" spans="1:13" x14ac:dyDescent="0.25">
      <c r="A348" t="s">
        <v>86</v>
      </c>
      <c r="B348" t="str">
        <f t="shared" si="10"/>
        <v>6H.V.rosea</v>
      </c>
      <c r="C348" t="str">
        <f t="shared" si="11"/>
        <v>6H.V.rosea.Highcomp</v>
      </c>
      <c r="D348" t="s">
        <v>145</v>
      </c>
      <c r="E348">
        <v>6</v>
      </c>
      <c r="F348" t="s">
        <v>27</v>
      </c>
      <c r="G348" t="s">
        <v>94</v>
      </c>
      <c r="H348" t="s">
        <v>112</v>
      </c>
      <c r="I348" t="s">
        <v>110</v>
      </c>
      <c r="J348" t="s">
        <v>110</v>
      </c>
      <c r="L348">
        <v>0</v>
      </c>
      <c r="M348">
        <v>1</v>
      </c>
    </row>
    <row r="349" spans="1:13" x14ac:dyDescent="0.25">
      <c r="A349" t="s">
        <v>86</v>
      </c>
      <c r="B349" t="str">
        <f t="shared" si="10"/>
        <v>6H.V.rosea</v>
      </c>
      <c r="C349" t="str">
        <f t="shared" si="11"/>
        <v>6H.V.rosea.Highcomp</v>
      </c>
      <c r="D349" t="s">
        <v>145</v>
      </c>
      <c r="E349">
        <v>6</v>
      </c>
      <c r="F349" t="s">
        <v>27</v>
      </c>
      <c r="G349" t="s">
        <v>94</v>
      </c>
      <c r="H349" t="s">
        <v>112</v>
      </c>
      <c r="I349" t="s">
        <v>110</v>
      </c>
      <c r="J349" t="s">
        <v>246</v>
      </c>
      <c r="L349">
        <v>0</v>
      </c>
      <c r="M349">
        <v>1</v>
      </c>
    </row>
    <row r="350" spans="1:13" x14ac:dyDescent="0.25">
      <c r="A350" t="s">
        <v>87</v>
      </c>
      <c r="B350" t="str">
        <f t="shared" si="10"/>
        <v>6I.A.calendula</v>
      </c>
      <c r="C350" t="str">
        <f t="shared" si="11"/>
        <v>6I.A.calendula.Highcomp</v>
      </c>
      <c r="D350" t="s">
        <v>145</v>
      </c>
      <c r="E350">
        <v>6</v>
      </c>
      <c r="F350" t="s">
        <v>29</v>
      </c>
      <c r="G350" t="s">
        <v>95</v>
      </c>
      <c r="H350" t="s">
        <v>102</v>
      </c>
      <c r="I350" t="s">
        <v>110</v>
      </c>
      <c r="J350" t="s">
        <v>110</v>
      </c>
      <c r="L350">
        <v>0</v>
      </c>
      <c r="M350">
        <v>3</v>
      </c>
    </row>
    <row r="351" spans="1:13" x14ac:dyDescent="0.25">
      <c r="A351" t="s">
        <v>87</v>
      </c>
      <c r="B351" t="str">
        <f t="shared" si="10"/>
        <v>6I.A.calendula</v>
      </c>
      <c r="C351" t="str">
        <f t="shared" si="11"/>
        <v>6I.A.calendula.Highcomp</v>
      </c>
      <c r="D351" t="s">
        <v>145</v>
      </c>
      <c r="E351">
        <v>6</v>
      </c>
      <c r="F351" t="s">
        <v>29</v>
      </c>
      <c r="G351" t="s">
        <v>95</v>
      </c>
      <c r="H351" t="s">
        <v>102</v>
      </c>
      <c r="I351" t="s">
        <v>110</v>
      </c>
      <c r="J351" t="s">
        <v>246</v>
      </c>
      <c r="L351">
        <v>0</v>
      </c>
      <c r="M351">
        <v>1</v>
      </c>
    </row>
    <row r="352" spans="1:13" x14ac:dyDescent="0.25">
      <c r="A352" t="s">
        <v>87</v>
      </c>
      <c r="B352" t="str">
        <f t="shared" si="10"/>
        <v>6I.A.calendula</v>
      </c>
      <c r="C352" t="str">
        <f t="shared" si="11"/>
        <v>6I.A.calendula.Highcomp</v>
      </c>
      <c r="D352" t="s">
        <v>145</v>
      </c>
      <c r="E352">
        <v>6</v>
      </c>
      <c r="F352" t="s">
        <v>29</v>
      </c>
      <c r="G352" t="s">
        <v>95</v>
      </c>
      <c r="H352" t="s">
        <v>102</v>
      </c>
      <c r="I352" t="s">
        <v>110</v>
      </c>
      <c r="J352" t="s">
        <v>242</v>
      </c>
      <c r="L352">
        <v>0</v>
      </c>
      <c r="M352">
        <v>2</v>
      </c>
    </row>
    <row r="353" spans="1:13" x14ac:dyDescent="0.25">
      <c r="A353" t="s">
        <v>87</v>
      </c>
      <c r="B353" t="str">
        <f t="shared" si="10"/>
        <v>6I.M.minima</v>
      </c>
      <c r="C353" t="str">
        <f t="shared" si="11"/>
        <v>6I.M.minima.Highcomp</v>
      </c>
      <c r="D353" t="s">
        <v>145</v>
      </c>
      <c r="E353">
        <v>6</v>
      </c>
      <c r="F353" t="s">
        <v>29</v>
      </c>
      <c r="G353" t="s">
        <v>95</v>
      </c>
      <c r="H353" t="s">
        <v>110</v>
      </c>
      <c r="I353" t="s">
        <v>110</v>
      </c>
      <c r="J353" t="s">
        <v>110</v>
      </c>
      <c r="L353">
        <v>0</v>
      </c>
      <c r="M353">
        <v>1</v>
      </c>
    </row>
    <row r="354" spans="1:13" x14ac:dyDescent="0.25">
      <c r="A354" t="s">
        <v>88</v>
      </c>
      <c r="B354" t="str">
        <f t="shared" si="10"/>
        <v>6J.M.minima</v>
      </c>
      <c r="C354" t="str">
        <f t="shared" si="11"/>
        <v>6J.M.minima.Highcomp</v>
      </c>
      <c r="D354" t="s">
        <v>145</v>
      </c>
      <c r="E354">
        <v>6</v>
      </c>
      <c r="F354" t="s">
        <v>31</v>
      </c>
      <c r="G354" t="s">
        <v>95</v>
      </c>
      <c r="H354" t="s">
        <v>110</v>
      </c>
      <c r="I354" t="s">
        <v>113</v>
      </c>
      <c r="J354" t="s">
        <v>113</v>
      </c>
      <c r="L354">
        <v>0</v>
      </c>
      <c r="M354">
        <v>3</v>
      </c>
    </row>
    <row r="355" spans="1:13" x14ac:dyDescent="0.25">
      <c r="A355" t="s">
        <v>88</v>
      </c>
      <c r="B355" t="str">
        <f t="shared" si="10"/>
        <v>6J.M.minima</v>
      </c>
      <c r="C355" t="str">
        <f t="shared" si="11"/>
        <v>6J.M.minima.Highcomp</v>
      </c>
      <c r="D355" t="s">
        <v>145</v>
      </c>
      <c r="E355">
        <v>6</v>
      </c>
      <c r="F355" t="s">
        <v>31</v>
      </c>
      <c r="G355" t="s">
        <v>95</v>
      </c>
      <c r="H355" t="s">
        <v>110</v>
      </c>
      <c r="I355" t="s">
        <v>113</v>
      </c>
      <c r="J355" t="s">
        <v>103</v>
      </c>
      <c r="L355">
        <v>0</v>
      </c>
      <c r="M355">
        <v>1</v>
      </c>
    </row>
    <row r="356" spans="1:13" x14ac:dyDescent="0.25">
      <c r="A356" t="s">
        <v>88</v>
      </c>
      <c r="B356" t="str">
        <f t="shared" si="10"/>
        <v>6J.V.rosea</v>
      </c>
      <c r="C356" t="str">
        <f t="shared" si="11"/>
        <v>6J.V.rosea.Highcomp</v>
      </c>
      <c r="D356" t="s">
        <v>145</v>
      </c>
      <c r="E356">
        <v>6</v>
      </c>
      <c r="F356" t="s">
        <v>31</v>
      </c>
      <c r="G356" t="s">
        <v>95</v>
      </c>
      <c r="H356" t="s">
        <v>112</v>
      </c>
      <c r="I356" t="s">
        <v>113</v>
      </c>
      <c r="J356" t="s">
        <v>113</v>
      </c>
      <c r="L356">
        <v>0</v>
      </c>
      <c r="M356">
        <v>2</v>
      </c>
    </row>
    <row r="357" spans="1:13" x14ac:dyDescent="0.25">
      <c r="A357" t="s">
        <v>89</v>
      </c>
      <c r="B357" t="str">
        <f t="shared" si="10"/>
        <v>6K.T.cyanopetala</v>
      </c>
      <c r="C357" t="str">
        <f t="shared" si="11"/>
        <v>6K.T.cyanopetala.Highcomp</v>
      </c>
      <c r="D357" t="s">
        <v>145</v>
      </c>
      <c r="E357">
        <v>6</v>
      </c>
      <c r="F357" t="s">
        <v>33</v>
      </c>
      <c r="G357" t="s">
        <v>95</v>
      </c>
      <c r="H357" t="s">
        <v>104</v>
      </c>
      <c r="I357" t="s">
        <v>104</v>
      </c>
      <c r="J357" t="s">
        <v>104</v>
      </c>
      <c r="L357">
        <v>1</v>
      </c>
      <c r="M357">
        <v>1</v>
      </c>
    </row>
    <row r="358" spans="1:13" x14ac:dyDescent="0.25">
      <c r="A358" t="s">
        <v>89</v>
      </c>
      <c r="B358" t="str">
        <f t="shared" si="10"/>
        <v>6K.T.cyanopetala</v>
      </c>
      <c r="C358" t="str">
        <f t="shared" si="11"/>
        <v>6K.T.cyanopetala.Highcomp</v>
      </c>
      <c r="D358" t="s">
        <v>145</v>
      </c>
      <c r="E358">
        <v>6</v>
      </c>
      <c r="F358" t="s">
        <v>33</v>
      </c>
      <c r="G358" t="s">
        <v>95</v>
      </c>
      <c r="H358" t="s">
        <v>104</v>
      </c>
      <c r="I358" t="s">
        <v>104</v>
      </c>
      <c r="J358" t="s">
        <v>103</v>
      </c>
      <c r="L358">
        <v>1</v>
      </c>
      <c r="M358">
        <v>1</v>
      </c>
    </row>
    <row r="359" spans="1:13" x14ac:dyDescent="0.25">
      <c r="A359" t="s">
        <v>89</v>
      </c>
      <c r="B359" t="str">
        <f t="shared" si="10"/>
        <v>6K.T.cyanopetala</v>
      </c>
      <c r="C359" t="str">
        <f t="shared" si="11"/>
        <v>6K.T.cyanopetala.Highcomp</v>
      </c>
      <c r="D359" t="s">
        <v>145</v>
      </c>
      <c r="E359">
        <v>6</v>
      </c>
      <c r="F359" t="s">
        <v>33</v>
      </c>
      <c r="G359" t="s">
        <v>95</v>
      </c>
      <c r="H359" t="s">
        <v>104</v>
      </c>
      <c r="I359" t="s">
        <v>104</v>
      </c>
      <c r="J359" t="s">
        <v>246</v>
      </c>
      <c r="L359">
        <v>1</v>
      </c>
      <c r="M359">
        <v>1</v>
      </c>
    </row>
    <row r="360" spans="1:13" x14ac:dyDescent="0.25">
      <c r="A360" t="s">
        <v>89</v>
      </c>
      <c r="B360" t="str">
        <f t="shared" si="10"/>
        <v>6K.V.rosea</v>
      </c>
      <c r="C360" t="str">
        <f t="shared" si="11"/>
        <v>6K.V.rosea.Highcomp</v>
      </c>
      <c r="D360" t="s">
        <v>145</v>
      </c>
      <c r="E360">
        <v>6</v>
      </c>
      <c r="F360" t="s">
        <v>33</v>
      </c>
      <c r="G360" t="s">
        <v>95</v>
      </c>
      <c r="H360" t="s">
        <v>112</v>
      </c>
      <c r="I360" t="s">
        <v>113</v>
      </c>
      <c r="J360" t="s">
        <v>113</v>
      </c>
      <c r="K360" t="s">
        <v>255</v>
      </c>
      <c r="L360">
        <v>0</v>
      </c>
      <c r="M360">
        <v>4</v>
      </c>
    </row>
    <row r="361" spans="1:13" x14ac:dyDescent="0.25">
      <c r="A361" t="s">
        <v>90</v>
      </c>
      <c r="B361" t="str">
        <f t="shared" si="10"/>
        <v>6L.P.canescens</v>
      </c>
      <c r="C361" t="str">
        <f t="shared" si="11"/>
        <v>6L.P.canescens.Highcomp</v>
      </c>
      <c r="D361" t="s">
        <v>145</v>
      </c>
      <c r="E361">
        <v>6</v>
      </c>
      <c r="F361" t="s">
        <v>35</v>
      </c>
      <c r="G361" t="s">
        <v>94</v>
      </c>
      <c r="H361" t="s">
        <v>111</v>
      </c>
      <c r="I361" t="s">
        <v>121</v>
      </c>
      <c r="J361" t="s">
        <v>253</v>
      </c>
      <c r="L361">
        <v>0</v>
      </c>
      <c r="M361">
        <v>3</v>
      </c>
    </row>
    <row r="362" spans="1:13" x14ac:dyDescent="0.25">
      <c r="A362" t="s">
        <v>90</v>
      </c>
      <c r="B362" t="str">
        <f t="shared" si="10"/>
        <v>6L.P.canescens</v>
      </c>
      <c r="C362" t="str">
        <f t="shared" si="11"/>
        <v>6L.P.canescens.Highcomp</v>
      </c>
      <c r="D362" t="s">
        <v>145</v>
      </c>
      <c r="E362">
        <v>6</v>
      </c>
      <c r="F362" t="s">
        <v>35</v>
      </c>
      <c r="G362" t="s">
        <v>94</v>
      </c>
      <c r="H362" t="s">
        <v>111</v>
      </c>
      <c r="I362" t="s">
        <v>121</v>
      </c>
      <c r="J362" t="s">
        <v>162</v>
      </c>
      <c r="L362">
        <v>0</v>
      </c>
      <c r="M362">
        <v>1</v>
      </c>
    </row>
    <row r="363" spans="1:13" x14ac:dyDescent="0.25">
      <c r="A363" t="s">
        <v>90</v>
      </c>
      <c r="B363" t="str">
        <f t="shared" si="10"/>
        <v>6L.T.cyanopetala</v>
      </c>
      <c r="C363" t="str">
        <f t="shared" si="11"/>
        <v>6L.T.cyanopetala.Highcomp</v>
      </c>
      <c r="D363" t="s">
        <v>145</v>
      </c>
      <c r="E363">
        <v>6</v>
      </c>
      <c r="F363" t="s">
        <v>35</v>
      </c>
      <c r="G363" t="s">
        <v>94</v>
      </c>
      <c r="H363" t="s">
        <v>104</v>
      </c>
      <c r="I363" t="s">
        <v>111</v>
      </c>
      <c r="J363" t="s">
        <v>111</v>
      </c>
      <c r="L363">
        <v>1</v>
      </c>
      <c r="M363">
        <v>1</v>
      </c>
    </row>
    <row r="364" spans="1:13" x14ac:dyDescent="0.25">
      <c r="A364" t="s">
        <v>90</v>
      </c>
      <c r="B364" t="str">
        <f t="shared" si="10"/>
        <v>6L.T.cyanopetala</v>
      </c>
      <c r="C364" t="str">
        <f t="shared" si="11"/>
        <v>6L.T.cyanopetala.Highcomp</v>
      </c>
      <c r="D364" t="s">
        <v>145</v>
      </c>
      <c r="E364">
        <v>6</v>
      </c>
      <c r="F364" t="s">
        <v>35</v>
      </c>
      <c r="G364" t="s">
        <v>94</v>
      </c>
      <c r="H364" t="s">
        <v>104</v>
      </c>
      <c r="I364" t="s">
        <v>111</v>
      </c>
      <c r="J364" t="s">
        <v>253</v>
      </c>
      <c r="L364">
        <v>1</v>
      </c>
      <c r="M364">
        <v>2</v>
      </c>
    </row>
    <row r="365" spans="1:13" x14ac:dyDescent="0.25">
      <c r="A365" t="s">
        <v>91</v>
      </c>
      <c r="B365" t="str">
        <f t="shared" si="10"/>
        <v>6M.V.rosea</v>
      </c>
      <c r="C365" t="str">
        <f t="shared" si="11"/>
        <v>6M.V.rosea.Highcomp</v>
      </c>
      <c r="D365" t="s">
        <v>145</v>
      </c>
      <c r="E365">
        <v>6</v>
      </c>
      <c r="F365" t="s">
        <v>37</v>
      </c>
      <c r="G365" t="s">
        <v>94</v>
      </c>
      <c r="H365" t="s">
        <v>112</v>
      </c>
      <c r="I365" t="s">
        <v>112</v>
      </c>
      <c r="J365" t="s">
        <v>112</v>
      </c>
      <c r="L365">
        <v>0</v>
      </c>
      <c r="M365">
        <v>1</v>
      </c>
    </row>
    <row r="366" spans="1:13" x14ac:dyDescent="0.25">
      <c r="A366" t="s">
        <v>92</v>
      </c>
      <c r="B366" t="str">
        <f t="shared" si="10"/>
        <v>6N.V.rosea</v>
      </c>
      <c r="C366" t="str">
        <f t="shared" si="11"/>
        <v>6N.V.rosea.Highcomp</v>
      </c>
      <c r="D366" t="s">
        <v>145</v>
      </c>
      <c r="E366">
        <v>6</v>
      </c>
      <c r="F366" t="s">
        <v>64</v>
      </c>
      <c r="G366" t="s">
        <v>94</v>
      </c>
      <c r="H366" t="s">
        <v>112</v>
      </c>
      <c r="I366" t="s">
        <v>102</v>
      </c>
      <c r="J366" t="s">
        <v>102</v>
      </c>
      <c r="L366">
        <v>0</v>
      </c>
      <c r="M366">
        <v>2</v>
      </c>
    </row>
    <row r="367" spans="1:13" x14ac:dyDescent="0.25">
      <c r="A367" t="s">
        <v>92</v>
      </c>
      <c r="B367" t="str">
        <f t="shared" si="10"/>
        <v>6N.V.rosea</v>
      </c>
      <c r="C367" t="str">
        <f t="shared" si="11"/>
        <v>6N.V.rosea.Highcomp</v>
      </c>
      <c r="D367" t="s">
        <v>145</v>
      </c>
      <c r="E367">
        <v>6</v>
      </c>
      <c r="F367" t="s">
        <v>64</v>
      </c>
      <c r="G367" t="s">
        <v>94</v>
      </c>
      <c r="H367" t="s">
        <v>112</v>
      </c>
      <c r="I367" t="s">
        <v>102</v>
      </c>
      <c r="J367" t="s">
        <v>241</v>
      </c>
      <c r="L367">
        <v>0</v>
      </c>
      <c r="M367">
        <v>1</v>
      </c>
    </row>
    <row r="368" spans="1:13" x14ac:dyDescent="0.25">
      <c r="A368" t="s">
        <v>93</v>
      </c>
      <c r="B368" t="str">
        <f t="shared" si="10"/>
        <v>6O.T.cyanopetala</v>
      </c>
      <c r="C368" t="str">
        <f t="shared" si="11"/>
        <v>6O.T.cyanopetala.Highcomp</v>
      </c>
      <c r="D368" t="s">
        <v>145</v>
      </c>
      <c r="E368">
        <v>6</v>
      </c>
      <c r="F368" t="s">
        <v>66</v>
      </c>
      <c r="G368" t="s">
        <v>95</v>
      </c>
      <c r="H368" t="s">
        <v>104</v>
      </c>
      <c r="I368" t="s">
        <v>103</v>
      </c>
      <c r="J368" t="s">
        <v>104</v>
      </c>
      <c r="L368">
        <v>0</v>
      </c>
      <c r="M368">
        <v>1</v>
      </c>
    </row>
    <row r="369" spans="1:13" x14ac:dyDescent="0.25">
      <c r="A369" t="s">
        <v>93</v>
      </c>
      <c r="B369" t="str">
        <f t="shared" si="10"/>
        <v>6O.T.cyanopetala</v>
      </c>
      <c r="C369" t="str">
        <f t="shared" si="11"/>
        <v>6O.T.cyanopetala.Highcomp</v>
      </c>
      <c r="D369" t="s">
        <v>145</v>
      </c>
      <c r="E369">
        <v>6</v>
      </c>
      <c r="F369" t="s">
        <v>66</v>
      </c>
      <c r="G369" t="s">
        <v>95</v>
      </c>
      <c r="H369" t="s">
        <v>104</v>
      </c>
      <c r="I369" t="s">
        <v>103</v>
      </c>
      <c r="J369" t="s">
        <v>111</v>
      </c>
      <c r="L369">
        <v>0</v>
      </c>
      <c r="M369">
        <v>1</v>
      </c>
    </row>
    <row r="370" spans="1:13" x14ac:dyDescent="0.25">
      <c r="A370" t="s">
        <v>93</v>
      </c>
      <c r="B370" t="str">
        <f t="shared" si="10"/>
        <v>6O.T.cyanopetala</v>
      </c>
      <c r="C370" t="str">
        <f t="shared" si="11"/>
        <v>6O.T.cyanopetala.Highcomp</v>
      </c>
      <c r="D370" t="s">
        <v>145</v>
      </c>
      <c r="E370">
        <v>6</v>
      </c>
      <c r="F370" t="s">
        <v>66</v>
      </c>
      <c r="G370" t="s">
        <v>95</v>
      </c>
      <c r="H370" t="s">
        <v>104</v>
      </c>
      <c r="I370" t="s">
        <v>103</v>
      </c>
      <c r="J370" t="s">
        <v>103</v>
      </c>
      <c r="L370">
        <v>0</v>
      </c>
      <c r="M370">
        <v>4</v>
      </c>
    </row>
    <row r="371" spans="1:13" x14ac:dyDescent="0.25">
      <c r="A371" t="s">
        <v>93</v>
      </c>
      <c r="B371" t="str">
        <f t="shared" si="10"/>
        <v>6O.T.cyanopetala</v>
      </c>
      <c r="C371" t="str">
        <f t="shared" si="11"/>
        <v>6O.T.cyanopetala.Highcomp</v>
      </c>
      <c r="D371" t="s">
        <v>145</v>
      </c>
      <c r="E371">
        <v>6</v>
      </c>
      <c r="F371" t="s">
        <v>66</v>
      </c>
      <c r="G371" t="s">
        <v>95</v>
      </c>
      <c r="H371" t="s">
        <v>104</v>
      </c>
      <c r="I371" t="s">
        <v>103</v>
      </c>
      <c r="J371" t="s">
        <v>238</v>
      </c>
      <c r="L371">
        <v>0</v>
      </c>
      <c r="M371">
        <v>2</v>
      </c>
    </row>
    <row r="372" spans="1:13" x14ac:dyDescent="0.25">
      <c r="A372" t="s">
        <v>93</v>
      </c>
      <c r="B372" t="str">
        <f t="shared" si="10"/>
        <v>6O.T.cyanopetala</v>
      </c>
      <c r="C372" t="str">
        <f t="shared" si="11"/>
        <v>6O.T.cyanopetala.Highcomp</v>
      </c>
      <c r="D372" t="s">
        <v>145</v>
      </c>
      <c r="E372">
        <v>6</v>
      </c>
      <c r="F372" t="s">
        <v>66</v>
      </c>
      <c r="G372" t="s">
        <v>95</v>
      </c>
      <c r="H372" t="s">
        <v>104</v>
      </c>
      <c r="I372" t="s">
        <v>103</v>
      </c>
      <c r="J372" t="s">
        <v>246</v>
      </c>
      <c r="L372">
        <v>0</v>
      </c>
      <c r="M372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E38" sqref="E38"/>
    </sheetView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389"/>
  <sheetViews>
    <sheetView workbookViewId="0">
      <selection sqref="A1:XFD1"/>
    </sheetView>
  </sheetViews>
  <sheetFormatPr defaultRowHeight="15" x14ac:dyDescent="0.25"/>
  <cols>
    <col min="1" max="1" width="5.7109375" bestFit="1" customWidth="1"/>
    <col min="2" max="2" width="10.140625" bestFit="1" customWidth="1"/>
    <col min="3" max="3" width="10.28515625" bestFit="1" customWidth="1"/>
    <col min="4" max="4" width="8.140625" bestFit="1" customWidth="1"/>
    <col min="5" max="5" width="13.42578125" bestFit="1" customWidth="1"/>
    <col min="6" max="6" width="20" bestFit="1" customWidth="1"/>
    <col min="7" max="7" width="23.140625" bestFit="1" customWidth="1"/>
    <col min="8" max="8" width="33.85546875" customWidth="1"/>
    <col min="9" max="9" width="24.140625" bestFit="1" customWidth="1"/>
    <col min="10" max="10" width="27.5703125" bestFit="1" customWidth="1"/>
    <col min="11" max="11" width="11.85546875" bestFit="1" customWidth="1"/>
    <col min="12" max="12" width="11.140625" bestFit="1" customWidth="1"/>
    <col min="13" max="13" width="6.85546875" bestFit="1" customWidth="1"/>
    <col min="14" max="15" width="12.5703125" customWidth="1"/>
    <col min="16" max="21" width="20.5703125" customWidth="1"/>
    <col min="22" max="22" width="24.42578125" bestFit="1" customWidth="1"/>
    <col min="23" max="25" width="33.28515625" bestFit="1" customWidth="1"/>
    <col min="26" max="26" width="37.28515625" bestFit="1" customWidth="1"/>
    <col min="27" max="27" width="18" bestFit="1" customWidth="1"/>
    <col min="28" max="30" width="28.5703125" bestFit="1" customWidth="1"/>
    <col min="31" max="31" width="22.42578125" bestFit="1" customWidth="1"/>
    <col min="32" max="34" width="33.28515625" bestFit="1" customWidth="1"/>
    <col min="35" max="35" width="37.28515625" bestFit="1" customWidth="1"/>
    <col min="36" max="36" width="29.140625" bestFit="1" customWidth="1"/>
    <col min="37" max="38" width="28.5703125" bestFit="1" customWidth="1"/>
    <col min="39" max="39" width="33.140625" bestFit="1" customWidth="1"/>
    <col min="40" max="40" width="16.85546875" bestFit="1" customWidth="1"/>
    <col min="41" max="43" width="26.42578125" bestFit="1" customWidth="1"/>
    <col min="44" max="44" width="30.42578125" bestFit="1" customWidth="1"/>
    <col min="45" max="47" width="23.42578125" bestFit="1" customWidth="1"/>
    <col min="48" max="48" width="27.42578125" bestFit="1" customWidth="1"/>
    <col min="49" max="49" width="13.28515625" bestFit="1" customWidth="1"/>
    <col min="50" max="50" width="21.7109375" bestFit="1" customWidth="1"/>
    <col min="51" max="51" width="12.7109375" bestFit="1" customWidth="1"/>
    <col min="52" max="53" width="5.5703125" bestFit="1" customWidth="1"/>
    <col min="54" max="54" width="5.28515625" bestFit="1" customWidth="1"/>
    <col min="55" max="55" width="5.140625" bestFit="1" customWidth="1"/>
    <col min="56" max="56" width="14.5703125" bestFit="1" customWidth="1"/>
    <col min="57" max="57" width="9.42578125" bestFit="1" customWidth="1"/>
    <col min="58" max="58" width="9" bestFit="1" customWidth="1"/>
    <col min="59" max="59" width="6.28515625" bestFit="1" customWidth="1"/>
    <col min="60" max="60" width="30.42578125" bestFit="1" customWidth="1"/>
    <col min="61" max="61" width="17.85546875" bestFit="1" customWidth="1"/>
    <col min="62" max="62" width="20.5703125" bestFit="1" customWidth="1"/>
    <col min="63" max="63" width="11.85546875" bestFit="1" customWidth="1"/>
    <col min="64" max="64" width="19.7109375" bestFit="1" customWidth="1"/>
    <col min="65" max="65" width="24.140625" bestFit="1" customWidth="1"/>
    <col min="66" max="66" width="39.7109375" bestFit="1" customWidth="1"/>
    <col min="67" max="67" width="11" bestFit="1" customWidth="1"/>
  </cols>
  <sheetData>
    <row r="1" spans="1:101" x14ac:dyDescent="0.25">
      <c r="A1" t="s">
        <v>96</v>
      </c>
      <c r="B1" t="s">
        <v>146</v>
      </c>
      <c r="C1" t="s">
        <v>1</v>
      </c>
      <c r="D1" t="s">
        <v>2</v>
      </c>
      <c r="E1" t="s">
        <v>97</v>
      </c>
      <c r="F1" t="s">
        <v>144</v>
      </c>
      <c r="G1" t="s">
        <v>143</v>
      </c>
      <c r="H1" t="s">
        <v>754</v>
      </c>
      <c r="I1" t="s">
        <v>664</v>
      </c>
      <c r="J1" t="s">
        <v>275</v>
      </c>
      <c r="K1" t="s">
        <v>232</v>
      </c>
      <c r="L1" t="s">
        <v>98</v>
      </c>
      <c r="M1" t="s">
        <v>99</v>
      </c>
      <c r="N1" t="s">
        <v>122</v>
      </c>
      <c r="O1" t="s">
        <v>1034</v>
      </c>
      <c r="P1" t="s">
        <v>791</v>
      </c>
      <c r="Q1" t="s">
        <v>149</v>
      </c>
      <c r="R1" t="s">
        <v>150</v>
      </c>
      <c r="S1" t="s">
        <v>1035</v>
      </c>
      <c r="T1" t="s">
        <v>1036</v>
      </c>
      <c r="U1" t="s">
        <v>790</v>
      </c>
      <c r="V1" t="s">
        <v>101</v>
      </c>
      <c r="W1" t="s">
        <v>100</v>
      </c>
      <c r="X1" t="s">
        <v>123</v>
      </c>
      <c r="Y1" t="s">
        <v>124</v>
      </c>
      <c r="Z1" t="s">
        <v>125</v>
      </c>
      <c r="AA1" t="s">
        <v>126</v>
      </c>
      <c r="AB1" t="s">
        <v>131</v>
      </c>
      <c r="AC1" t="s">
        <v>106</v>
      </c>
      <c r="AD1" t="s">
        <v>107</v>
      </c>
      <c r="AE1" t="s">
        <v>108</v>
      </c>
      <c r="AF1" t="s">
        <v>109</v>
      </c>
      <c r="AG1" t="s">
        <v>127</v>
      </c>
      <c r="AH1" t="s">
        <v>128</v>
      </c>
      <c r="AI1" t="s">
        <v>129</v>
      </c>
      <c r="AJ1" t="s">
        <v>130</v>
      </c>
      <c r="AK1" t="s">
        <v>115</v>
      </c>
      <c r="AL1" t="s">
        <v>116</v>
      </c>
      <c r="AM1" t="s">
        <v>117</v>
      </c>
      <c r="AN1" t="s">
        <v>118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3</v>
      </c>
      <c r="BA1" t="s">
        <v>4</v>
      </c>
      <c r="BB1" t="s">
        <v>5</v>
      </c>
      <c r="BC1" t="s">
        <v>6</v>
      </c>
      <c r="BD1" t="s">
        <v>7</v>
      </c>
      <c r="BE1" t="s">
        <v>9</v>
      </c>
      <c r="BF1" t="s">
        <v>12</v>
      </c>
      <c r="BG1" t="s">
        <v>13</v>
      </c>
      <c r="BH1" t="s">
        <v>8</v>
      </c>
      <c r="BI1" t="s">
        <v>258</v>
      </c>
      <c r="BJ1" t="s">
        <v>194</v>
      </c>
      <c r="BK1" t="s">
        <v>230</v>
      </c>
      <c r="BL1" t="s">
        <v>184</v>
      </c>
      <c r="BM1" t="s">
        <v>185</v>
      </c>
      <c r="BN1" t="s">
        <v>218</v>
      </c>
      <c r="BO1" t="s">
        <v>665</v>
      </c>
      <c r="BP1" t="s">
        <v>746</v>
      </c>
      <c r="BQ1" t="s">
        <v>787</v>
      </c>
      <c r="BR1" t="s">
        <v>788</v>
      </c>
      <c r="BS1" t="s">
        <v>1028</v>
      </c>
      <c r="BT1" t="s">
        <v>1029</v>
      </c>
      <c r="BU1" t="s">
        <v>1030</v>
      </c>
      <c r="BV1" t="s">
        <v>1031</v>
      </c>
      <c r="BW1" t="s">
        <v>1032</v>
      </c>
      <c r="BX1" t="s">
        <v>1033</v>
      </c>
      <c r="BY1" t="s">
        <v>1022</v>
      </c>
      <c r="BZ1" t="s">
        <v>1023</v>
      </c>
      <c r="CA1" t="s">
        <v>1024</v>
      </c>
      <c r="CB1" t="s">
        <v>1025</v>
      </c>
      <c r="CC1" t="s">
        <v>1026</v>
      </c>
      <c r="CD1" t="s">
        <v>1027</v>
      </c>
      <c r="CE1" t="s">
        <v>1042</v>
      </c>
      <c r="CF1" t="s">
        <v>1045</v>
      </c>
      <c r="CG1" t="s">
        <v>1046</v>
      </c>
      <c r="CH1" t="s">
        <v>1047</v>
      </c>
      <c r="CI1" t="s">
        <v>1048</v>
      </c>
      <c r="CJ1" t="s">
        <v>1049</v>
      </c>
      <c r="CK1" t="s">
        <v>1050</v>
      </c>
      <c r="CL1" t="s">
        <v>1051</v>
      </c>
      <c r="CM1" t="s">
        <v>1052</v>
      </c>
      <c r="CN1" t="s">
        <v>1053</v>
      </c>
      <c r="CO1" t="s">
        <v>1054</v>
      </c>
      <c r="CP1" t="s">
        <v>1055</v>
      </c>
      <c r="CQ1" t="s">
        <v>1056</v>
      </c>
      <c r="CR1" t="s">
        <v>1057</v>
      </c>
      <c r="CS1" t="s">
        <v>1058</v>
      </c>
      <c r="CT1" t="s">
        <v>1059</v>
      </c>
      <c r="CU1" t="s">
        <v>1060</v>
      </c>
      <c r="CV1" t="s">
        <v>1061</v>
      </c>
      <c r="CW1" t="s">
        <v>1043</v>
      </c>
    </row>
    <row r="2" spans="1:101" x14ac:dyDescent="0.25">
      <c r="A2" t="s">
        <v>67</v>
      </c>
      <c r="B2">
        <v>10</v>
      </c>
      <c r="C2" t="s">
        <v>11</v>
      </c>
      <c r="D2" t="s">
        <v>94</v>
      </c>
      <c r="E2" t="s">
        <v>113</v>
      </c>
      <c r="F2" t="s">
        <v>145</v>
      </c>
      <c r="G2" t="s">
        <v>259</v>
      </c>
      <c r="H2" t="str">
        <f t="shared" ref="H2:H65" si="0">G2&amp;"."&amp;D2</f>
        <v>H.glutinosum.Highcomp.Open</v>
      </c>
      <c r="I2" t="s">
        <v>666</v>
      </c>
      <c r="J2" t="s">
        <v>276</v>
      </c>
      <c r="K2">
        <v>3</v>
      </c>
      <c r="L2">
        <v>40</v>
      </c>
      <c r="M2">
        <v>35</v>
      </c>
      <c r="N2">
        <v>40</v>
      </c>
      <c r="O2">
        <f>N2-M2</f>
        <v>5</v>
      </c>
      <c r="P2">
        <v>5</v>
      </c>
      <c r="Q2">
        <v>10</v>
      </c>
      <c r="R2">
        <v>5</v>
      </c>
      <c r="S2">
        <f>AVERAGE(Q2:R2)</f>
        <v>7.5</v>
      </c>
      <c r="T2">
        <f>S2/N2</f>
        <v>0.1875</v>
      </c>
      <c r="V2" t="s">
        <v>121</v>
      </c>
      <c r="W2" t="s">
        <v>114</v>
      </c>
      <c r="X2">
        <v>20.8</v>
      </c>
      <c r="Y2">
        <v>19.8</v>
      </c>
      <c r="Z2">
        <v>21.8</v>
      </c>
      <c r="AA2">
        <v>20.8</v>
      </c>
      <c r="AB2">
        <v>20.8</v>
      </c>
      <c r="AC2">
        <v>19.3</v>
      </c>
      <c r="AD2">
        <v>19.3</v>
      </c>
      <c r="AE2">
        <v>18.399999999999999</v>
      </c>
      <c r="AF2">
        <v>19</v>
      </c>
      <c r="AG2">
        <v>23.3</v>
      </c>
      <c r="AH2">
        <v>21.3</v>
      </c>
      <c r="AI2">
        <v>22.8</v>
      </c>
      <c r="AJ2">
        <v>22.466666669999999</v>
      </c>
      <c r="AK2">
        <v>20.8</v>
      </c>
      <c r="AL2">
        <v>19.8</v>
      </c>
      <c r="AM2">
        <v>20.3</v>
      </c>
      <c r="AN2">
        <v>20.3</v>
      </c>
      <c r="AO2">
        <v>22.466666669999999</v>
      </c>
      <c r="AP2">
        <v>11</v>
      </c>
      <c r="AQ2">
        <v>10</v>
      </c>
      <c r="AR2" t="s">
        <v>114</v>
      </c>
      <c r="AS2">
        <v>10.5</v>
      </c>
      <c r="AT2">
        <v>9</v>
      </c>
      <c r="AU2">
        <v>11</v>
      </c>
      <c r="AV2" t="s">
        <v>114</v>
      </c>
      <c r="AW2">
        <v>10</v>
      </c>
      <c r="AX2">
        <v>10.5</v>
      </c>
      <c r="AY2">
        <v>-10.3</v>
      </c>
      <c r="AZ2">
        <v>20</v>
      </c>
      <c r="BA2">
        <v>10</v>
      </c>
      <c r="BB2">
        <v>15</v>
      </c>
      <c r="BC2">
        <v>0</v>
      </c>
      <c r="BD2">
        <v>1</v>
      </c>
      <c r="BE2">
        <v>0</v>
      </c>
      <c r="BF2">
        <v>1</v>
      </c>
      <c r="BG2">
        <v>0</v>
      </c>
      <c r="BI2">
        <v>7.7</v>
      </c>
      <c r="BJ2">
        <v>0.70399999999999996</v>
      </c>
      <c r="BK2">
        <v>0</v>
      </c>
      <c r="BL2">
        <v>1</v>
      </c>
      <c r="BM2">
        <v>1</v>
      </c>
      <c r="BN2">
        <v>9</v>
      </c>
      <c r="BO2">
        <v>0</v>
      </c>
      <c r="BP2">
        <f t="shared" ref="BP2:BP14" si="1">BN2-BO2</f>
        <v>9</v>
      </c>
      <c r="BQ2">
        <v>0</v>
      </c>
      <c r="BR2">
        <f t="shared" ref="BR2:BR14" si="2">BN2-BQ2</f>
        <v>9</v>
      </c>
      <c r="BS2">
        <v>8.2750580000000004E-2</v>
      </c>
      <c r="BT2">
        <v>0.36144256949999998</v>
      </c>
      <c r="BU2">
        <v>10.854577915</v>
      </c>
      <c r="BV2">
        <v>-8.2750580000000004E-2</v>
      </c>
      <c r="BW2">
        <v>0.36144256949999998</v>
      </c>
      <c r="BX2">
        <v>-10.854577915</v>
      </c>
      <c r="BY2">
        <v>1.3695316980672801E-2</v>
      </c>
      <c r="BZ2">
        <v>0.26128146209352499</v>
      </c>
      <c r="CA2">
        <v>235.643723425612</v>
      </c>
      <c r="CB2">
        <v>1.3695316980672801E-2</v>
      </c>
      <c r="CC2">
        <v>0.26128146209352499</v>
      </c>
      <c r="CD2">
        <v>235.643723425612</v>
      </c>
      <c r="CE2">
        <v>1.6417060000000001E-2</v>
      </c>
      <c r="CF2">
        <v>5.390397180872E-4</v>
      </c>
      <c r="CG2">
        <v>1.09447066666667E-2</v>
      </c>
      <c r="CH2">
        <v>5.5167053333333299E-2</v>
      </c>
      <c r="CI2">
        <v>0.24096171299999999</v>
      </c>
      <c r="CJ2">
        <v>7.2363852766666703</v>
      </c>
      <c r="CK2">
        <v>1.09447066666667E-2</v>
      </c>
      <c r="CL2">
        <v>-5.5167053333333299E-2</v>
      </c>
      <c r="CM2">
        <v>0.24096171299999999</v>
      </c>
      <c r="CN2">
        <v>-7.2363852766666703</v>
      </c>
      <c r="CO2">
        <v>3.5935981205813299E-4</v>
      </c>
      <c r="CP2">
        <v>9.1302113204485297E-3</v>
      </c>
      <c r="CQ2">
        <v>0.17418764139568299</v>
      </c>
      <c r="CR2">
        <v>157.09581561707401</v>
      </c>
      <c r="CS2">
        <v>3.5935981205813299E-4</v>
      </c>
      <c r="CT2">
        <v>9.1302113204485297E-3</v>
      </c>
      <c r="CU2">
        <v>0.17418764139568299</v>
      </c>
      <c r="CV2">
        <v>157.09581561707401</v>
      </c>
      <c r="CW2">
        <v>1.6417060000000001E-2</v>
      </c>
    </row>
    <row r="3" spans="1:101" x14ac:dyDescent="0.25">
      <c r="A3" t="s">
        <v>67</v>
      </c>
      <c r="B3">
        <v>10</v>
      </c>
      <c r="C3" t="s">
        <v>11</v>
      </c>
      <c r="D3" t="s">
        <v>94</v>
      </c>
      <c r="E3" t="s">
        <v>103</v>
      </c>
      <c r="F3" t="s">
        <v>145</v>
      </c>
      <c r="G3" t="s">
        <v>260</v>
      </c>
      <c r="H3" t="str">
        <f t="shared" si="0"/>
        <v>P.airoides.Highcomp.Open</v>
      </c>
      <c r="I3" t="s">
        <v>667</v>
      </c>
      <c r="J3" t="s">
        <v>277</v>
      </c>
      <c r="K3">
        <v>1</v>
      </c>
      <c r="L3">
        <v>70</v>
      </c>
      <c r="M3">
        <v>35</v>
      </c>
      <c r="N3">
        <v>70</v>
      </c>
      <c r="O3">
        <f t="shared" ref="O3:O66" si="3">N3-M3</f>
        <v>35</v>
      </c>
      <c r="P3">
        <v>25</v>
      </c>
      <c r="Q3">
        <v>10</v>
      </c>
      <c r="R3">
        <v>0</v>
      </c>
      <c r="S3">
        <f t="shared" ref="S3:S66" si="4">AVERAGE(Q3:R3)</f>
        <v>5</v>
      </c>
      <c r="T3">
        <f t="shared" ref="T3:T66" si="5">S3/N3</f>
        <v>7.1428571428571425E-2</v>
      </c>
      <c r="V3" t="s">
        <v>121</v>
      </c>
      <c r="W3" t="s">
        <v>114</v>
      </c>
      <c r="X3">
        <v>20.8</v>
      </c>
      <c r="Y3">
        <v>19.8</v>
      </c>
      <c r="Z3">
        <v>21.8</v>
      </c>
      <c r="AA3">
        <v>20.8</v>
      </c>
      <c r="AB3">
        <v>20.8</v>
      </c>
      <c r="AC3">
        <v>17.899999999999999</v>
      </c>
      <c r="AD3">
        <v>17.399999999999999</v>
      </c>
      <c r="AE3">
        <v>18.399999999999999</v>
      </c>
      <c r="AF3">
        <v>17.899999999999999</v>
      </c>
      <c r="AG3">
        <v>23.3</v>
      </c>
      <c r="AH3">
        <v>21.3</v>
      </c>
      <c r="AI3">
        <v>22.8</v>
      </c>
      <c r="AJ3">
        <v>22.466666669999999</v>
      </c>
      <c r="AK3">
        <v>21.3</v>
      </c>
      <c r="AL3">
        <v>20.3</v>
      </c>
      <c r="AM3">
        <v>20.3</v>
      </c>
      <c r="AN3">
        <v>20.633333329999999</v>
      </c>
      <c r="AO3">
        <v>22.466666669999999</v>
      </c>
      <c r="AP3">
        <v>11</v>
      </c>
      <c r="AQ3">
        <v>10</v>
      </c>
      <c r="AR3" t="s">
        <v>114</v>
      </c>
      <c r="AS3">
        <v>10.5</v>
      </c>
      <c r="AT3">
        <v>8.5</v>
      </c>
      <c r="AU3">
        <v>9</v>
      </c>
      <c r="AV3" t="s">
        <v>114</v>
      </c>
      <c r="AW3">
        <v>8.75</v>
      </c>
      <c r="AX3">
        <v>10.5</v>
      </c>
      <c r="AY3">
        <v>-10.3</v>
      </c>
      <c r="AZ3">
        <v>20</v>
      </c>
      <c r="BA3">
        <v>10</v>
      </c>
      <c r="BB3">
        <v>15</v>
      </c>
      <c r="BC3">
        <v>0</v>
      </c>
      <c r="BD3">
        <v>1</v>
      </c>
      <c r="BE3">
        <v>0</v>
      </c>
      <c r="BF3">
        <v>1</v>
      </c>
      <c r="BG3">
        <v>0</v>
      </c>
      <c r="BI3">
        <v>7.7</v>
      </c>
      <c r="BJ3">
        <v>0.70399999999999996</v>
      </c>
      <c r="BK3">
        <v>0</v>
      </c>
      <c r="BL3">
        <v>4</v>
      </c>
      <c r="BM3">
        <v>4</v>
      </c>
      <c r="BN3">
        <v>167</v>
      </c>
      <c r="BO3">
        <v>368.5</v>
      </c>
      <c r="BP3">
        <f t="shared" si="1"/>
        <v>-201.5</v>
      </c>
      <c r="BQ3">
        <v>204</v>
      </c>
      <c r="BR3">
        <f t="shared" si="2"/>
        <v>-37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 t="s">
        <v>114</v>
      </c>
      <c r="BZ3" t="s">
        <v>114</v>
      </c>
      <c r="CA3" t="s">
        <v>114</v>
      </c>
      <c r="CB3" t="s">
        <v>114</v>
      </c>
      <c r="CC3" t="s">
        <v>114</v>
      </c>
      <c r="CD3" t="s">
        <v>114</v>
      </c>
      <c r="CE3">
        <v>0</v>
      </c>
      <c r="CF3" t="s">
        <v>114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 t="s">
        <v>114</v>
      </c>
      <c r="CP3" t="s">
        <v>114</v>
      </c>
      <c r="CQ3" t="s">
        <v>114</v>
      </c>
      <c r="CR3" t="s">
        <v>114</v>
      </c>
      <c r="CS3" t="s">
        <v>114</v>
      </c>
      <c r="CT3" t="s">
        <v>114</v>
      </c>
      <c r="CU3" t="s">
        <v>114</v>
      </c>
      <c r="CV3" t="s">
        <v>114</v>
      </c>
      <c r="CW3">
        <v>0</v>
      </c>
    </row>
    <row r="4" spans="1:101" x14ac:dyDescent="0.25">
      <c r="A4" t="s">
        <v>67</v>
      </c>
      <c r="B4">
        <v>10</v>
      </c>
      <c r="C4" t="s">
        <v>11</v>
      </c>
      <c r="D4" t="s">
        <v>94</v>
      </c>
      <c r="E4" t="s">
        <v>112</v>
      </c>
      <c r="F4" t="s">
        <v>145</v>
      </c>
      <c r="G4" t="s">
        <v>261</v>
      </c>
      <c r="H4" t="str">
        <f t="shared" si="0"/>
        <v>V.rosea.Highcomp.Open</v>
      </c>
      <c r="I4" t="s">
        <v>668</v>
      </c>
      <c r="J4" t="s">
        <v>278</v>
      </c>
      <c r="K4">
        <v>3</v>
      </c>
      <c r="L4">
        <v>25</v>
      </c>
      <c r="M4">
        <v>70</v>
      </c>
      <c r="N4">
        <v>25</v>
      </c>
      <c r="O4">
        <f t="shared" si="3"/>
        <v>-45</v>
      </c>
      <c r="P4">
        <v>45</v>
      </c>
      <c r="Q4">
        <v>150</v>
      </c>
      <c r="R4">
        <v>40</v>
      </c>
      <c r="S4">
        <f t="shared" si="4"/>
        <v>95</v>
      </c>
      <c r="T4">
        <f t="shared" si="5"/>
        <v>3.8</v>
      </c>
      <c r="V4" t="s">
        <v>121</v>
      </c>
      <c r="W4" t="s">
        <v>114</v>
      </c>
      <c r="X4">
        <v>20.8</v>
      </c>
      <c r="Y4">
        <v>19.8</v>
      </c>
      <c r="Z4">
        <v>21.8</v>
      </c>
      <c r="AA4">
        <v>20.8</v>
      </c>
      <c r="AB4">
        <v>20.8</v>
      </c>
      <c r="AC4">
        <v>18.399999999999999</v>
      </c>
      <c r="AD4">
        <v>18.399999999999999</v>
      </c>
      <c r="AE4">
        <v>19.3</v>
      </c>
      <c r="AF4">
        <v>18.7</v>
      </c>
      <c r="AG4">
        <v>23.3</v>
      </c>
      <c r="AH4">
        <v>21.3</v>
      </c>
      <c r="AI4">
        <v>22.8</v>
      </c>
      <c r="AJ4">
        <v>22.466666669999999</v>
      </c>
      <c r="AK4">
        <v>20.3</v>
      </c>
      <c r="AL4">
        <v>23.3</v>
      </c>
      <c r="AM4">
        <v>19.3</v>
      </c>
      <c r="AN4">
        <v>20.966666669999999</v>
      </c>
      <c r="AO4">
        <v>22.466666669999999</v>
      </c>
      <c r="AP4">
        <v>11</v>
      </c>
      <c r="AQ4">
        <v>10</v>
      </c>
      <c r="AR4" t="s">
        <v>114</v>
      </c>
      <c r="AS4">
        <v>10.5</v>
      </c>
      <c r="AT4">
        <v>7.6</v>
      </c>
      <c r="AU4">
        <v>8.1</v>
      </c>
      <c r="AV4" t="s">
        <v>114</v>
      </c>
      <c r="AW4">
        <v>7.85</v>
      </c>
      <c r="AX4">
        <v>10.5</v>
      </c>
      <c r="AY4">
        <v>-10.3</v>
      </c>
      <c r="AZ4">
        <v>20</v>
      </c>
      <c r="BA4">
        <v>10</v>
      </c>
      <c r="BB4">
        <v>15</v>
      </c>
      <c r="BC4">
        <v>0</v>
      </c>
      <c r="BD4">
        <v>1</v>
      </c>
      <c r="BE4">
        <v>0</v>
      </c>
      <c r="BF4">
        <v>1</v>
      </c>
      <c r="BG4">
        <v>0</v>
      </c>
      <c r="BI4">
        <v>7.7</v>
      </c>
      <c r="BJ4">
        <v>0.70399999999999996</v>
      </c>
      <c r="BK4">
        <v>0</v>
      </c>
      <c r="BL4">
        <v>96</v>
      </c>
      <c r="BM4">
        <v>96</v>
      </c>
      <c r="BN4">
        <v>379</v>
      </c>
      <c r="BO4">
        <v>62</v>
      </c>
      <c r="BP4">
        <f t="shared" si="1"/>
        <v>317</v>
      </c>
      <c r="BQ4">
        <v>44</v>
      </c>
      <c r="BR4">
        <f t="shared" si="2"/>
        <v>335</v>
      </c>
      <c r="BS4">
        <v>43.00415211</v>
      </c>
      <c r="BT4">
        <v>2.2663836215000002</v>
      </c>
      <c r="BU4">
        <v>12.069343555</v>
      </c>
      <c r="BV4">
        <v>-43.00415211</v>
      </c>
      <c r="BW4">
        <v>2.2663836215000002</v>
      </c>
      <c r="BX4">
        <v>5.645560455</v>
      </c>
      <c r="BY4">
        <v>1168.8443459341199</v>
      </c>
      <c r="BZ4">
        <v>5.0748491025264702E-4</v>
      </c>
      <c r="CA4">
        <v>63.744705702119603</v>
      </c>
      <c r="CB4">
        <v>1168.8443459341199</v>
      </c>
      <c r="CC4">
        <v>5.0748491025264702E-4</v>
      </c>
      <c r="CD4">
        <v>291.33810769723999</v>
      </c>
      <c r="CE4">
        <v>1.914065755</v>
      </c>
      <c r="CF4">
        <v>2.7346355968986501E-2</v>
      </c>
      <c r="CG4">
        <v>1.9530432099999999</v>
      </c>
      <c r="CH4">
        <v>34.945877046666702</v>
      </c>
      <c r="CI4">
        <v>2.2716933866666702</v>
      </c>
      <c r="CJ4">
        <v>10.187490070000001</v>
      </c>
      <c r="CK4">
        <v>1.9530432099999999</v>
      </c>
      <c r="CL4">
        <v>-34.945877046666702</v>
      </c>
      <c r="CM4">
        <v>2.2716933866666702</v>
      </c>
      <c r="CN4">
        <v>1.6224459366666699</v>
      </c>
      <c r="CO4">
        <v>1.8230903979324298E-2</v>
      </c>
      <c r="CP4">
        <v>779.22956395607798</v>
      </c>
      <c r="CQ4">
        <v>3.3832327350176498E-4</v>
      </c>
      <c r="CR4">
        <v>42.496470468079799</v>
      </c>
      <c r="CS4">
        <v>1.8230903979324298E-2</v>
      </c>
      <c r="CT4">
        <v>779.22956395607798</v>
      </c>
      <c r="CU4">
        <v>3.3832327350176498E-4</v>
      </c>
      <c r="CV4">
        <v>194.22540513149301</v>
      </c>
      <c r="CW4">
        <v>1.914065755</v>
      </c>
    </row>
    <row r="5" spans="1:101" x14ac:dyDescent="0.25">
      <c r="A5" t="s">
        <v>68</v>
      </c>
      <c r="B5">
        <v>10</v>
      </c>
      <c r="C5" t="s">
        <v>15</v>
      </c>
      <c r="D5" t="s">
        <v>95</v>
      </c>
      <c r="E5" t="s">
        <v>113</v>
      </c>
      <c r="F5" t="s">
        <v>145</v>
      </c>
      <c r="G5" t="s">
        <v>259</v>
      </c>
      <c r="H5" t="str">
        <f t="shared" si="0"/>
        <v>H.glutinosum.Highcomp.Shade</v>
      </c>
      <c r="I5" t="s">
        <v>669</v>
      </c>
      <c r="J5" t="s">
        <v>279</v>
      </c>
      <c r="K5">
        <v>1</v>
      </c>
      <c r="L5">
        <v>120</v>
      </c>
      <c r="M5">
        <v>35</v>
      </c>
      <c r="N5">
        <v>120</v>
      </c>
      <c r="O5">
        <f t="shared" si="3"/>
        <v>85</v>
      </c>
      <c r="P5">
        <v>10</v>
      </c>
      <c r="Q5">
        <v>25</v>
      </c>
      <c r="R5">
        <v>15</v>
      </c>
      <c r="S5">
        <f t="shared" si="4"/>
        <v>20</v>
      </c>
      <c r="T5">
        <f t="shared" si="5"/>
        <v>0.16666666666666666</v>
      </c>
      <c r="V5" t="s">
        <v>121</v>
      </c>
      <c r="W5" t="s">
        <v>114</v>
      </c>
      <c r="X5">
        <v>13.5</v>
      </c>
      <c r="Y5">
        <v>12</v>
      </c>
      <c r="Z5">
        <v>16.899999999999999</v>
      </c>
      <c r="AA5">
        <v>14.133333329999999</v>
      </c>
      <c r="AB5">
        <v>14.133333329999999</v>
      </c>
      <c r="AC5">
        <v>17.399999999999999</v>
      </c>
      <c r="AD5">
        <v>18.399999999999999</v>
      </c>
      <c r="AE5">
        <v>18.899999999999999</v>
      </c>
      <c r="AF5">
        <v>18.233333330000001</v>
      </c>
      <c r="AG5">
        <v>20.3</v>
      </c>
      <c r="AH5">
        <v>14.4</v>
      </c>
      <c r="AI5">
        <v>20.3</v>
      </c>
      <c r="AJ5">
        <v>18.333333329999999</v>
      </c>
      <c r="AK5">
        <v>22.8</v>
      </c>
      <c r="AL5">
        <v>23.3</v>
      </c>
      <c r="AM5">
        <v>19.8</v>
      </c>
      <c r="AN5">
        <v>21.966666669999999</v>
      </c>
      <c r="AO5">
        <v>18.333333329999999</v>
      </c>
      <c r="AP5">
        <v>5.6</v>
      </c>
      <c r="AQ5">
        <v>6.6</v>
      </c>
      <c r="AR5">
        <v>7.1</v>
      </c>
      <c r="AS5">
        <v>6.4333333330000002</v>
      </c>
      <c r="AT5">
        <v>8.1</v>
      </c>
      <c r="AU5">
        <v>8.5</v>
      </c>
      <c r="AV5">
        <v>7.6</v>
      </c>
      <c r="AW5">
        <v>8.0666666669999998</v>
      </c>
      <c r="AX5">
        <v>6.4333333330000002</v>
      </c>
      <c r="AY5">
        <v>-7.7</v>
      </c>
      <c r="AZ5">
        <v>50</v>
      </c>
      <c r="BA5">
        <v>45</v>
      </c>
      <c r="BB5">
        <v>3</v>
      </c>
      <c r="BC5">
        <v>10</v>
      </c>
      <c r="BD5">
        <v>0</v>
      </c>
      <c r="BE5">
        <v>1</v>
      </c>
      <c r="BF5">
        <v>0</v>
      </c>
      <c r="BG5">
        <v>3</v>
      </c>
      <c r="BI5">
        <v>7.5</v>
      </c>
      <c r="BJ5">
        <v>44.895000000000003</v>
      </c>
      <c r="BK5">
        <v>0</v>
      </c>
      <c r="BL5">
        <v>1</v>
      </c>
      <c r="BM5">
        <v>1</v>
      </c>
      <c r="BN5">
        <v>0</v>
      </c>
      <c r="BO5">
        <v>1.6666669999999999</v>
      </c>
      <c r="BP5">
        <f t="shared" si="1"/>
        <v>-1.6666669999999999</v>
      </c>
      <c r="BQ5">
        <v>0</v>
      </c>
      <c r="BR5">
        <f t="shared" si="2"/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 t="s">
        <v>114</v>
      </c>
      <c r="BZ5" t="s">
        <v>114</v>
      </c>
      <c r="CA5" t="s">
        <v>114</v>
      </c>
      <c r="CB5" t="s">
        <v>114</v>
      </c>
      <c r="CC5" t="s">
        <v>114</v>
      </c>
      <c r="CD5" t="s">
        <v>114</v>
      </c>
      <c r="CE5">
        <v>0</v>
      </c>
      <c r="CF5" t="s">
        <v>114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 t="s">
        <v>114</v>
      </c>
      <c r="CP5" t="s">
        <v>114</v>
      </c>
      <c r="CQ5" t="s">
        <v>114</v>
      </c>
      <c r="CR5" t="s">
        <v>114</v>
      </c>
      <c r="CS5" t="s">
        <v>114</v>
      </c>
      <c r="CT5" t="s">
        <v>114</v>
      </c>
      <c r="CU5" t="s">
        <v>114</v>
      </c>
      <c r="CV5" t="s">
        <v>114</v>
      </c>
      <c r="CW5">
        <v>0</v>
      </c>
    </row>
    <row r="6" spans="1:101" x14ac:dyDescent="0.25">
      <c r="A6" t="s">
        <v>68</v>
      </c>
      <c r="B6">
        <v>10</v>
      </c>
      <c r="C6" t="s">
        <v>15</v>
      </c>
      <c r="D6" t="s">
        <v>95</v>
      </c>
      <c r="E6" t="s">
        <v>110</v>
      </c>
      <c r="F6" t="s">
        <v>145</v>
      </c>
      <c r="G6" t="s">
        <v>262</v>
      </c>
      <c r="H6" t="str">
        <f t="shared" si="0"/>
        <v>M.minima.Highcomp.Shade</v>
      </c>
      <c r="I6" t="s">
        <v>670</v>
      </c>
      <c r="J6" t="s">
        <v>280</v>
      </c>
      <c r="K6">
        <v>2</v>
      </c>
      <c r="L6">
        <v>45</v>
      </c>
      <c r="M6">
        <v>55</v>
      </c>
      <c r="N6">
        <v>45</v>
      </c>
      <c r="O6">
        <f t="shared" si="3"/>
        <v>-10</v>
      </c>
      <c r="P6">
        <v>12</v>
      </c>
      <c r="Q6">
        <v>10</v>
      </c>
      <c r="R6">
        <v>7</v>
      </c>
      <c r="S6">
        <f t="shared" si="4"/>
        <v>8.5</v>
      </c>
      <c r="T6">
        <f t="shared" si="5"/>
        <v>0.18888888888888888</v>
      </c>
      <c r="V6" t="s">
        <v>113</v>
      </c>
      <c r="W6">
        <v>35</v>
      </c>
      <c r="X6">
        <v>13.5</v>
      </c>
      <c r="Y6">
        <v>12</v>
      </c>
      <c r="Z6">
        <v>16.899999999999999</v>
      </c>
      <c r="AA6">
        <v>14.133333329999999</v>
      </c>
      <c r="AB6">
        <v>14.133333329999999</v>
      </c>
      <c r="AC6">
        <v>12</v>
      </c>
      <c r="AD6">
        <v>12</v>
      </c>
      <c r="AE6">
        <v>13.5</v>
      </c>
      <c r="AF6">
        <v>12.5</v>
      </c>
      <c r="AG6">
        <v>20.3</v>
      </c>
      <c r="AH6">
        <v>14.4</v>
      </c>
      <c r="AI6">
        <v>20.3</v>
      </c>
      <c r="AJ6">
        <v>18.333333329999999</v>
      </c>
      <c r="AK6">
        <v>15.9</v>
      </c>
      <c r="AL6">
        <v>16.399999999999999</v>
      </c>
      <c r="AM6">
        <v>14.9</v>
      </c>
      <c r="AN6">
        <v>15.733333330000001</v>
      </c>
      <c r="AO6">
        <v>18.333333329999999</v>
      </c>
      <c r="AP6">
        <v>5.6</v>
      </c>
      <c r="AQ6">
        <v>6.6</v>
      </c>
      <c r="AR6">
        <v>7.1</v>
      </c>
      <c r="AS6">
        <v>6.4333333330000002</v>
      </c>
      <c r="AT6">
        <v>4.0999999999999996</v>
      </c>
      <c r="AU6">
        <v>5.0999999999999996</v>
      </c>
      <c r="AV6">
        <v>4.5999999999999996</v>
      </c>
      <c r="AW6">
        <v>4.5999999999999996</v>
      </c>
      <c r="AX6">
        <v>6.4333333330000002</v>
      </c>
      <c r="AY6">
        <v>-7.7</v>
      </c>
      <c r="AZ6">
        <v>50</v>
      </c>
      <c r="BA6">
        <v>45</v>
      </c>
      <c r="BB6">
        <v>3</v>
      </c>
      <c r="BC6">
        <v>10</v>
      </c>
      <c r="BD6">
        <v>0</v>
      </c>
      <c r="BE6">
        <v>1</v>
      </c>
      <c r="BF6">
        <v>0</v>
      </c>
      <c r="BG6">
        <v>3</v>
      </c>
      <c r="BI6">
        <v>7.5</v>
      </c>
      <c r="BJ6">
        <v>44.895000000000003</v>
      </c>
      <c r="BK6">
        <v>0</v>
      </c>
      <c r="BL6">
        <v>0</v>
      </c>
      <c r="BM6">
        <v>0</v>
      </c>
      <c r="BN6">
        <v>0</v>
      </c>
      <c r="BO6">
        <v>0</v>
      </c>
      <c r="BP6">
        <f t="shared" si="1"/>
        <v>0</v>
      </c>
      <c r="BQ6">
        <v>0</v>
      </c>
      <c r="BR6">
        <f t="shared" si="2"/>
        <v>0</v>
      </c>
      <c r="BS6">
        <v>10.496706189999999</v>
      </c>
      <c r="BT6">
        <v>0.329493333</v>
      </c>
      <c r="BU6">
        <v>11.843850679999999</v>
      </c>
      <c r="BV6">
        <v>-10.496706189999999</v>
      </c>
      <c r="BW6">
        <v>0.329493333</v>
      </c>
      <c r="BX6">
        <v>11.843850679999999</v>
      </c>
      <c r="BY6" t="s">
        <v>114</v>
      </c>
      <c r="BZ6" t="s">
        <v>114</v>
      </c>
      <c r="CA6" t="s">
        <v>114</v>
      </c>
      <c r="CB6" t="s">
        <v>114</v>
      </c>
      <c r="CC6" t="s">
        <v>114</v>
      </c>
      <c r="CD6" t="s">
        <v>114</v>
      </c>
      <c r="CE6">
        <v>0.6959573</v>
      </c>
      <c r="CF6" t="s">
        <v>114</v>
      </c>
      <c r="CG6">
        <v>0.6959573</v>
      </c>
      <c r="CH6">
        <v>10.496706189999999</v>
      </c>
      <c r="CI6">
        <v>0.329493333</v>
      </c>
      <c r="CJ6">
        <v>11.843850679999999</v>
      </c>
      <c r="CK6">
        <v>0.6959573</v>
      </c>
      <c r="CL6">
        <v>-10.496706189999999</v>
      </c>
      <c r="CM6">
        <v>0.329493333</v>
      </c>
      <c r="CN6">
        <v>11.843850679999999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0.6959573</v>
      </c>
    </row>
    <row r="7" spans="1:101" x14ac:dyDescent="0.25">
      <c r="A7" t="s">
        <v>68</v>
      </c>
      <c r="B7">
        <v>10</v>
      </c>
      <c r="C7" t="s">
        <v>15</v>
      </c>
      <c r="D7" t="s">
        <v>95</v>
      </c>
      <c r="E7" t="s">
        <v>111</v>
      </c>
      <c r="F7" t="s">
        <v>145</v>
      </c>
      <c r="G7" t="s">
        <v>263</v>
      </c>
      <c r="H7" t="str">
        <f t="shared" si="0"/>
        <v>P.canescens.Highcomp.Shade</v>
      </c>
      <c r="I7" t="s">
        <v>671</v>
      </c>
      <c r="J7" t="s">
        <v>281</v>
      </c>
      <c r="K7">
        <v>1</v>
      </c>
      <c r="L7">
        <v>250</v>
      </c>
      <c r="M7">
        <v>260</v>
      </c>
      <c r="N7">
        <v>250</v>
      </c>
      <c r="O7">
        <f t="shared" si="3"/>
        <v>-10</v>
      </c>
      <c r="P7">
        <v>75</v>
      </c>
      <c r="Q7">
        <v>110</v>
      </c>
      <c r="R7">
        <v>30</v>
      </c>
      <c r="S7">
        <f t="shared" si="4"/>
        <v>70</v>
      </c>
      <c r="T7">
        <f t="shared" si="5"/>
        <v>0.28000000000000003</v>
      </c>
      <c r="V7" t="s">
        <v>121</v>
      </c>
      <c r="W7" t="s">
        <v>114</v>
      </c>
      <c r="X7">
        <v>13.5</v>
      </c>
      <c r="Y7">
        <v>12</v>
      </c>
      <c r="Z7">
        <v>16.899999999999999</v>
      </c>
      <c r="AA7">
        <v>14.133333329999999</v>
      </c>
      <c r="AB7">
        <v>14.133333329999999</v>
      </c>
      <c r="AC7">
        <v>16.399999999999999</v>
      </c>
      <c r="AD7">
        <v>17.399999999999999</v>
      </c>
      <c r="AE7">
        <v>15.9</v>
      </c>
      <c r="AF7">
        <v>16.56666667</v>
      </c>
      <c r="AG7">
        <v>20.3</v>
      </c>
      <c r="AH7">
        <v>14.4</v>
      </c>
      <c r="AI7">
        <v>20.3</v>
      </c>
      <c r="AJ7">
        <v>18.333333329999999</v>
      </c>
      <c r="AK7">
        <v>18.399999999999999</v>
      </c>
      <c r="AL7">
        <v>20.8</v>
      </c>
      <c r="AM7">
        <v>21.8</v>
      </c>
      <c r="AN7">
        <v>20.333333329999999</v>
      </c>
      <c r="AO7">
        <v>18.333333329999999</v>
      </c>
      <c r="AP7">
        <v>5.6</v>
      </c>
      <c r="AQ7">
        <v>6.6</v>
      </c>
      <c r="AR7">
        <v>7.1</v>
      </c>
      <c r="AS7">
        <v>6.4333333330000002</v>
      </c>
      <c r="AT7">
        <v>2.5</v>
      </c>
      <c r="AU7">
        <v>5.6</v>
      </c>
      <c r="AV7">
        <v>6.6</v>
      </c>
      <c r="AW7">
        <v>4.9000000000000004</v>
      </c>
      <c r="AX7">
        <v>6.4333333330000002</v>
      </c>
      <c r="AY7">
        <v>-7.7</v>
      </c>
      <c r="AZ7">
        <v>50</v>
      </c>
      <c r="BA7">
        <v>45</v>
      </c>
      <c r="BB7">
        <v>3</v>
      </c>
      <c r="BC7">
        <v>10</v>
      </c>
      <c r="BD7">
        <v>0</v>
      </c>
      <c r="BE7">
        <v>1</v>
      </c>
      <c r="BF7">
        <v>0</v>
      </c>
      <c r="BG7">
        <v>3</v>
      </c>
      <c r="BI7">
        <v>7.5</v>
      </c>
      <c r="BJ7">
        <v>44.895000000000003</v>
      </c>
      <c r="BK7">
        <v>0</v>
      </c>
      <c r="BL7">
        <v>51</v>
      </c>
      <c r="BM7">
        <v>30</v>
      </c>
      <c r="BN7">
        <v>1620</v>
      </c>
      <c r="BO7">
        <v>639.25</v>
      </c>
      <c r="BP7">
        <f t="shared" si="1"/>
        <v>980.75</v>
      </c>
      <c r="BQ7">
        <v>613</v>
      </c>
      <c r="BR7">
        <f t="shared" si="2"/>
        <v>1007</v>
      </c>
      <c r="BS7">
        <v>5.4831169299999996</v>
      </c>
      <c r="BT7">
        <v>0.63534888899999997</v>
      </c>
      <c r="BU7">
        <v>2.4388925600000002</v>
      </c>
      <c r="BV7">
        <v>-5.4831169299999996</v>
      </c>
      <c r="BW7">
        <v>-0.63534888899999997</v>
      </c>
      <c r="BX7">
        <v>-2.4388925600000002</v>
      </c>
      <c r="BY7" t="s">
        <v>114</v>
      </c>
      <c r="BZ7" t="s">
        <v>114</v>
      </c>
      <c r="CA7" t="s">
        <v>114</v>
      </c>
      <c r="CB7" t="s">
        <v>114</v>
      </c>
      <c r="CC7" t="s">
        <v>114</v>
      </c>
      <c r="CD7" t="s">
        <v>114</v>
      </c>
      <c r="CE7">
        <v>1.8570710000000001E-2</v>
      </c>
      <c r="CF7" t="s">
        <v>114</v>
      </c>
      <c r="CG7">
        <v>1.8570710000000001E-2</v>
      </c>
      <c r="CH7">
        <v>5.4831169299999996</v>
      </c>
      <c r="CI7">
        <v>0.63534888899999997</v>
      </c>
      <c r="CJ7">
        <v>2.4388925600000002</v>
      </c>
      <c r="CK7">
        <v>-1.8570710000000001E-2</v>
      </c>
      <c r="CL7">
        <v>-5.4831169299999996</v>
      </c>
      <c r="CM7">
        <v>-0.63534888899999997</v>
      </c>
      <c r="CN7">
        <v>-2.4388925600000002</v>
      </c>
      <c r="CO7" t="s">
        <v>114</v>
      </c>
      <c r="CP7" t="s">
        <v>114</v>
      </c>
      <c r="CQ7" t="s">
        <v>114</v>
      </c>
      <c r="CR7" t="s">
        <v>114</v>
      </c>
      <c r="CS7" t="s">
        <v>114</v>
      </c>
      <c r="CT7" t="s">
        <v>114</v>
      </c>
      <c r="CU7" t="s">
        <v>114</v>
      </c>
      <c r="CV7" t="s">
        <v>114</v>
      </c>
      <c r="CW7">
        <v>-1.8570710000000001E-2</v>
      </c>
    </row>
    <row r="8" spans="1:101" x14ac:dyDescent="0.25">
      <c r="A8" t="s">
        <v>68</v>
      </c>
      <c r="B8">
        <v>10</v>
      </c>
      <c r="C8" t="s">
        <v>15</v>
      </c>
      <c r="D8" t="s">
        <v>95</v>
      </c>
      <c r="E8" t="s">
        <v>104</v>
      </c>
      <c r="F8" t="s">
        <v>145</v>
      </c>
      <c r="G8" t="s">
        <v>264</v>
      </c>
      <c r="H8" t="str">
        <f t="shared" si="0"/>
        <v>T.cyanopetala.Highcomp.Shade</v>
      </c>
      <c r="I8" t="s">
        <v>672</v>
      </c>
      <c r="J8" t="s">
        <v>282</v>
      </c>
      <c r="K8">
        <v>0</v>
      </c>
      <c r="L8" t="s">
        <v>114</v>
      </c>
      <c r="M8" t="s">
        <v>114</v>
      </c>
      <c r="N8" t="s">
        <v>114</v>
      </c>
      <c r="O8" t="s">
        <v>114</v>
      </c>
      <c r="P8" t="s">
        <v>114</v>
      </c>
      <c r="Q8" t="s">
        <v>114</v>
      </c>
      <c r="R8" t="s">
        <v>114</v>
      </c>
      <c r="S8" t="s">
        <v>114</v>
      </c>
      <c r="T8" t="s">
        <v>114</v>
      </c>
      <c r="U8" t="s">
        <v>114</v>
      </c>
      <c r="V8" t="s">
        <v>121</v>
      </c>
      <c r="W8" t="s">
        <v>114</v>
      </c>
      <c r="X8">
        <v>13.5</v>
      </c>
      <c r="Y8">
        <v>12</v>
      </c>
      <c r="Z8">
        <v>16.899999999999999</v>
      </c>
      <c r="AA8">
        <v>14.133333329999999</v>
      </c>
      <c r="AB8">
        <v>14.133333329999999</v>
      </c>
      <c r="AC8">
        <v>13.9</v>
      </c>
      <c r="AD8">
        <v>13.9</v>
      </c>
      <c r="AE8">
        <v>15.4</v>
      </c>
      <c r="AF8">
        <v>14.4</v>
      </c>
      <c r="AG8">
        <v>20.3</v>
      </c>
      <c r="AH8">
        <v>14.4</v>
      </c>
      <c r="AI8">
        <v>20.3</v>
      </c>
      <c r="AJ8">
        <v>18.333333329999999</v>
      </c>
      <c r="AK8">
        <v>13</v>
      </c>
      <c r="AL8">
        <v>15.4</v>
      </c>
      <c r="AM8">
        <v>17.899999999999999</v>
      </c>
      <c r="AN8">
        <v>15.43333333</v>
      </c>
      <c r="AO8">
        <v>18.333333329999999</v>
      </c>
      <c r="AP8">
        <v>5.6</v>
      </c>
      <c r="AQ8">
        <v>6.6</v>
      </c>
      <c r="AR8">
        <v>7.1</v>
      </c>
      <c r="AS8">
        <v>6.4333333330000002</v>
      </c>
      <c r="AT8">
        <v>5.6</v>
      </c>
      <c r="AU8">
        <v>5.6</v>
      </c>
      <c r="AV8">
        <v>5.0999999999999996</v>
      </c>
      <c r="AW8">
        <v>5.4333333330000002</v>
      </c>
      <c r="AX8">
        <v>6.4333333330000002</v>
      </c>
      <c r="AY8">
        <v>-7.7</v>
      </c>
      <c r="AZ8">
        <v>50</v>
      </c>
      <c r="BA8">
        <v>45</v>
      </c>
      <c r="BB8">
        <v>3</v>
      </c>
      <c r="BC8">
        <v>10</v>
      </c>
      <c r="BD8">
        <v>0</v>
      </c>
      <c r="BE8">
        <v>1</v>
      </c>
      <c r="BF8">
        <v>0</v>
      </c>
      <c r="BG8">
        <v>3</v>
      </c>
      <c r="BI8">
        <v>7.5</v>
      </c>
      <c r="BJ8">
        <v>44.895000000000003</v>
      </c>
      <c r="BK8">
        <v>1</v>
      </c>
      <c r="BL8">
        <v>8</v>
      </c>
      <c r="BM8">
        <v>7</v>
      </c>
      <c r="BN8">
        <v>62</v>
      </c>
      <c r="BO8">
        <v>21</v>
      </c>
      <c r="BP8">
        <f t="shared" si="1"/>
        <v>41</v>
      </c>
      <c r="BQ8">
        <v>0</v>
      </c>
      <c r="BR8">
        <f t="shared" si="2"/>
        <v>62</v>
      </c>
      <c r="BS8" t="s">
        <v>114</v>
      </c>
      <c r="BT8" t="s">
        <v>114</v>
      </c>
      <c r="BU8" t="s">
        <v>114</v>
      </c>
      <c r="BV8" t="s">
        <v>114</v>
      </c>
      <c r="BW8" t="s">
        <v>114</v>
      </c>
      <c r="BX8" t="s">
        <v>114</v>
      </c>
      <c r="BY8" t="s">
        <v>114</v>
      </c>
      <c r="BZ8" t="s">
        <v>114</v>
      </c>
      <c r="CA8" t="s">
        <v>114</v>
      </c>
      <c r="CB8" t="s">
        <v>114</v>
      </c>
      <c r="CC8" t="s">
        <v>114</v>
      </c>
      <c r="CD8" t="s">
        <v>114</v>
      </c>
      <c r="CE8" t="s">
        <v>114</v>
      </c>
      <c r="CF8" t="s">
        <v>114</v>
      </c>
      <c r="CG8" t="s">
        <v>114</v>
      </c>
      <c r="CH8" t="s">
        <v>114</v>
      </c>
      <c r="CI8" t="s">
        <v>114</v>
      </c>
      <c r="CJ8" t="s">
        <v>114</v>
      </c>
      <c r="CK8" t="s">
        <v>114</v>
      </c>
      <c r="CL8" t="s">
        <v>114</v>
      </c>
      <c r="CM8" t="s">
        <v>114</v>
      </c>
      <c r="CN8" t="s">
        <v>114</v>
      </c>
      <c r="CO8" t="s">
        <v>114</v>
      </c>
      <c r="CP8" t="s">
        <v>114</v>
      </c>
      <c r="CQ8" t="s">
        <v>114</v>
      </c>
      <c r="CR8" t="s">
        <v>114</v>
      </c>
      <c r="CS8" t="s">
        <v>114</v>
      </c>
      <c r="CT8" t="s">
        <v>114</v>
      </c>
      <c r="CU8" t="s">
        <v>114</v>
      </c>
      <c r="CV8" t="s">
        <v>114</v>
      </c>
      <c r="CW8" t="s">
        <v>114</v>
      </c>
    </row>
    <row r="9" spans="1:101" x14ac:dyDescent="0.25">
      <c r="A9" t="s">
        <v>69</v>
      </c>
      <c r="B9">
        <v>10</v>
      </c>
      <c r="C9" t="s">
        <v>17</v>
      </c>
      <c r="D9" t="s">
        <v>95</v>
      </c>
      <c r="E9" t="s">
        <v>102</v>
      </c>
      <c r="F9" t="s">
        <v>145</v>
      </c>
      <c r="G9" t="s">
        <v>265</v>
      </c>
      <c r="H9" t="str">
        <f t="shared" si="0"/>
        <v>A.calendula.Highcomp.Shade</v>
      </c>
      <c r="I9" t="s">
        <v>673</v>
      </c>
      <c r="J9" t="s">
        <v>283</v>
      </c>
      <c r="K9">
        <v>3</v>
      </c>
      <c r="L9">
        <v>120</v>
      </c>
      <c r="M9">
        <v>110</v>
      </c>
      <c r="N9">
        <v>120</v>
      </c>
      <c r="O9">
        <f t="shared" si="3"/>
        <v>10</v>
      </c>
      <c r="P9">
        <v>140</v>
      </c>
      <c r="Q9">
        <v>135</v>
      </c>
      <c r="R9">
        <v>105</v>
      </c>
      <c r="S9">
        <f t="shared" si="4"/>
        <v>120</v>
      </c>
      <c r="T9">
        <f t="shared" si="5"/>
        <v>1</v>
      </c>
      <c r="V9" t="s">
        <v>102</v>
      </c>
      <c r="W9">
        <v>110</v>
      </c>
      <c r="X9">
        <v>17.899999999999999</v>
      </c>
      <c r="Y9">
        <v>21.3</v>
      </c>
      <c r="Z9">
        <v>15.9</v>
      </c>
      <c r="AA9">
        <v>18.366666670000001</v>
      </c>
      <c r="AB9">
        <v>18.366666670000001</v>
      </c>
      <c r="AC9">
        <v>16.899999999999999</v>
      </c>
      <c r="AD9">
        <v>16.899999999999999</v>
      </c>
      <c r="AE9">
        <v>15.4</v>
      </c>
      <c r="AF9">
        <v>16.399999999999999</v>
      </c>
      <c r="AG9">
        <v>18.399999999999999</v>
      </c>
      <c r="AH9">
        <v>19.3</v>
      </c>
      <c r="AI9">
        <v>24.3</v>
      </c>
      <c r="AJ9">
        <v>20.666666670000001</v>
      </c>
      <c r="AK9">
        <v>18.899999999999999</v>
      </c>
      <c r="AL9">
        <v>19.3</v>
      </c>
      <c r="AM9">
        <v>22.8</v>
      </c>
      <c r="AN9">
        <v>20.333333329999999</v>
      </c>
      <c r="AO9">
        <v>20.666666670000001</v>
      </c>
      <c r="AP9">
        <v>10</v>
      </c>
      <c r="AQ9">
        <v>12.5</v>
      </c>
      <c r="AR9">
        <v>9</v>
      </c>
      <c r="AS9">
        <v>10.5</v>
      </c>
      <c r="AT9">
        <v>8.1</v>
      </c>
      <c r="AU9">
        <v>8.5</v>
      </c>
      <c r="AV9">
        <v>8.5</v>
      </c>
      <c r="AW9">
        <v>8.3666666670000005</v>
      </c>
      <c r="AX9">
        <v>10.5</v>
      </c>
      <c r="AY9">
        <v>-7.8666666669999996</v>
      </c>
      <c r="AZ9">
        <v>35</v>
      </c>
      <c r="BA9">
        <v>5</v>
      </c>
      <c r="BB9">
        <v>3</v>
      </c>
      <c r="BC9">
        <v>3</v>
      </c>
      <c r="BD9">
        <v>0</v>
      </c>
      <c r="BE9">
        <v>0</v>
      </c>
      <c r="BF9">
        <v>0</v>
      </c>
      <c r="BG9">
        <v>0</v>
      </c>
      <c r="BI9">
        <v>11.5</v>
      </c>
      <c r="BJ9">
        <v>42.4</v>
      </c>
      <c r="BK9">
        <v>0</v>
      </c>
      <c r="BL9">
        <v>16</v>
      </c>
      <c r="BM9">
        <v>15</v>
      </c>
      <c r="BN9">
        <v>398</v>
      </c>
      <c r="BO9">
        <v>274</v>
      </c>
      <c r="BP9">
        <f t="shared" si="1"/>
        <v>124</v>
      </c>
      <c r="BQ9">
        <v>190</v>
      </c>
      <c r="BR9">
        <f t="shared" si="2"/>
        <v>208</v>
      </c>
      <c r="BS9">
        <v>23.76599328</v>
      </c>
      <c r="BT9">
        <v>0.53958577399999996</v>
      </c>
      <c r="BU9">
        <v>4.4932827299999998</v>
      </c>
      <c r="BV9">
        <v>-23.76599328</v>
      </c>
      <c r="BW9">
        <v>0.53958577399999996</v>
      </c>
      <c r="BX9">
        <v>4.4932827299999998</v>
      </c>
      <c r="BY9">
        <v>1129.64487317001</v>
      </c>
      <c r="BZ9">
        <v>0.58230561500635802</v>
      </c>
      <c r="CA9">
        <v>40.379179383432501</v>
      </c>
      <c r="CB9">
        <v>1129.64487317001</v>
      </c>
      <c r="CC9">
        <v>0.58230561500635802</v>
      </c>
      <c r="CD9">
        <v>40.379179383432501</v>
      </c>
      <c r="CE9">
        <v>0.37155294500000002</v>
      </c>
      <c r="CF9">
        <v>0.27610318187634603</v>
      </c>
      <c r="CG9">
        <v>0.49540392666666699</v>
      </c>
      <c r="CH9">
        <v>31.68799104</v>
      </c>
      <c r="CI9">
        <v>0.71944769866666702</v>
      </c>
      <c r="CJ9">
        <v>5.99104364</v>
      </c>
      <c r="CK9">
        <v>0.49540392666666699</v>
      </c>
      <c r="CL9">
        <v>-31.68799104</v>
      </c>
      <c r="CM9">
        <v>0.71944769866666702</v>
      </c>
      <c r="CN9">
        <v>5.99104364</v>
      </c>
      <c r="CO9">
        <v>0.18406878791756401</v>
      </c>
      <c r="CP9">
        <v>753.09658211333999</v>
      </c>
      <c r="CQ9">
        <v>0.38820374333757202</v>
      </c>
      <c r="CR9">
        <v>26.919452922288301</v>
      </c>
      <c r="CS9">
        <v>0.18406878791756401</v>
      </c>
      <c r="CT9">
        <v>753.09658211333999</v>
      </c>
      <c r="CU9">
        <v>0.38820374333757202</v>
      </c>
      <c r="CV9">
        <v>26.919452922288301</v>
      </c>
      <c r="CW9">
        <v>0.37155294500000002</v>
      </c>
    </row>
    <row r="10" spans="1:101" x14ac:dyDescent="0.25">
      <c r="A10" t="s">
        <v>69</v>
      </c>
      <c r="B10">
        <v>10</v>
      </c>
      <c r="C10" t="s">
        <v>17</v>
      </c>
      <c r="D10" t="s">
        <v>95</v>
      </c>
      <c r="E10" t="s">
        <v>113</v>
      </c>
      <c r="F10" t="s">
        <v>145</v>
      </c>
      <c r="G10" t="s">
        <v>259</v>
      </c>
      <c r="H10" t="str">
        <f t="shared" si="0"/>
        <v>H.glutinosum.Highcomp.Shade</v>
      </c>
      <c r="I10" t="s">
        <v>669</v>
      </c>
      <c r="J10" t="s">
        <v>284</v>
      </c>
      <c r="K10">
        <v>3</v>
      </c>
      <c r="L10">
        <v>35</v>
      </c>
      <c r="M10">
        <v>5</v>
      </c>
      <c r="N10">
        <v>35</v>
      </c>
      <c r="O10">
        <f t="shared" si="3"/>
        <v>30</v>
      </c>
      <c r="P10">
        <v>9</v>
      </c>
      <c r="Q10">
        <v>30</v>
      </c>
      <c r="R10">
        <v>0</v>
      </c>
      <c r="S10">
        <f t="shared" si="4"/>
        <v>15</v>
      </c>
      <c r="T10">
        <f t="shared" si="5"/>
        <v>0.42857142857142855</v>
      </c>
      <c r="U10" t="s">
        <v>15</v>
      </c>
      <c r="V10" t="s">
        <v>113</v>
      </c>
      <c r="W10">
        <v>55</v>
      </c>
      <c r="X10">
        <v>17.899999999999999</v>
      </c>
      <c r="Y10">
        <v>21.3</v>
      </c>
      <c r="Z10">
        <v>15.9</v>
      </c>
      <c r="AA10">
        <v>18.366666670000001</v>
      </c>
      <c r="AB10">
        <v>18.366666670000001</v>
      </c>
      <c r="AC10">
        <v>19.3</v>
      </c>
      <c r="AD10">
        <v>18.399999999999999</v>
      </c>
      <c r="AE10">
        <v>19.8</v>
      </c>
      <c r="AF10">
        <v>19.166666670000001</v>
      </c>
      <c r="AG10">
        <v>18.399999999999999</v>
      </c>
      <c r="AH10">
        <v>19.3</v>
      </c>
      <c r="AI10">
        <v>24.3</v>
      </c>
      <c r="AJ10">
        <v>20.666666670000001</v>
      </c>
      <c r="AK10">
        <v>21.3</v>
      </c>
      <c r="AL10">
        <v>21.8</v>
      </c>
      <c r="AM10">
        <v>21.3</v>
      </c>
      <c r="AN10">
        <v>21.466666669999999</v>
      </c>
      <c r="AO10">
        <v>20.666666670000001</v>
      </c>
      <c r="AP10">
        <v>10</v>
      </c>
      <c r="AQ10">
        <v>12.5</v>
      </c>
      <c r="AR10">
        <v>9</v>
      </c>
      <c r="AS10">
        <v>10.5</v>
      </c>
      <c r="AT10">
        <v>12</v>
      </c>
      <c r="AU10">
        <v>13</v>
      </c>
      <c r="AV10">
        <v>13</v>
      </c>
      <c r="AW10">
        <v>12.66666667</v>
      </c>
      <c r="AX10">
        <v>10.5</v>
      </c>
      <c r="AY10">
        <v>-7.8666666669999996</v>
      </c>
      <c r="AZ10">
        <v>35</v>
      </c>
      <c r="BA10">
        <v>5</v>
      </c>
      <c r="BB10">
        <v>3</v>
      </c>
      <c r="BC10">
        <v>3</v>
      </c>
      <c r="BD10">
        <v>0</v>
      </c>
      <c r="BE10">
        <v>0</v>
      </c>
      <c r="BF10">
        <v>0</v>
      </c>
      <c r="BG10">
        <v>0</v>
      </c>
      <c r="BI10">
        <v>11.5</v>
      </c>
      <c r="BJ10">
        <v>42.4</v>
      </c>
      <c r="BK10">
        <v>0</v>
      </c>
      <c r="BL10">
        <v>3</v>
      </c>
      <c r="BM10">
        <v>3</v>
      </c>
      <c r="BN10">
        <v>5</v>
      </c>
      <c r="BO10">
        <v>1.6666669999999999</v>
      </c>
      <c r="BP10">
        <f t="shared" si="1"/>
        <v>3.3333330000000001</v>
      </c>
      <c r="BQ10">
        <v>0</v>
      </c>
      <c r="BR10">
        <f t="shared" si="2"/>
        <v>5</v>
      </c>
      <c r="BS10">
        <v>24.257575769999999</v>
      </c>
      <c r="BT10">
        <v>0.34551327399999998</v>
      </c>
      <c r="BU10">
        <v>1.21476564</v>
      </c>
      <c r="BV10">
        <v>-24.257575769999999</v>
      </c>
      <c r="BW10">
        <v>0.34551327399999998</v>
      </c>
      <c r="BX10">
        <v>1.21476564</v>
      </c>
      <c r="BY10">
        <v>1176.85996447458</v>
      </c>
      <c r="BZ10">
        <v>0.23875884502039799</v>
      </c>
      <c r="CA10">
        <v>2.9513111202492199</v>
      </c>
      <c r="CB10">
        <v>1176.85996447458</v>
      </c>
      <c r="CC10">
        <v>0.23875884502039799</v>
      </c>
      <c r="CD10">
        <v>2.9513111202492199</v>
      </c>
      <c r="CE10">
        <v>0.100515305</v>
      </c>
      <c r="CF10">
        <v>2.0206653078486E-2</v>
      </c>
      <c r="CG10">
        <v>0.13402040666666701</v>
      </c>
      <c r="CH10">
        <v>32.343434360000003</v>
      </c>
      <c r="CI10">
        <v>0.46068436533333301</v>
      </c>
      <c r="CJ10">
        <v>1.61968752</v>
      </c>
      <c r="CK10">
        <v>-0.13402040666666701</v>
      </c>
      <c r="CL10">
        <v>-32.343434360000003</v>
      </c>
      <c r="CM10">
        <v>0.46068436533333301</v>
      </c>
      <c r="CN10">
        <v>1.61968752</v>
      </c>
      <c r="CO10">
        <v>1.3471102052324E-2</v>
      </c>
      <c r="CP10">
        <v>784.57330964972095</v>
      </c>
      <c r="CQ10">
        <v>0.159172563346932</v>
      </c>
      <c r="CR10">
        <v>1.9675407468328101</v>
      </c>
      <c r="CS10">
        <v>1.3471102052324E-2</v>
      </c>
      <c r="CT10">
        <v>784.57330964972095</v>
      </c>
      <c r="CU10">
        <v>0.159172563346932</v>
      </c>
      <c r="CV10">
        <v>1.9675407468328101</v>
      </c>
      <c r="CW10">
        <v>-0.100515305</v>
      </c>
    </row>
    <row r="11" spans="1:101" x14ac:dyDescent="0.25">
      <c r="A11" t="s">
        <v>69</v>
      </c>
      <c r="B11">
        <v>10</v>
      </c>
      <c r="C11" t="s">
        <v>17</v>
      </c>
      <c r="D11" t="s">
        <v>95</v>
      </c>
      <c r="E11" t="s">
        <v>103</v>
      </c>
      <c r="F11" t="s">
        <v>145</v>
      </c>
      <c r="G11" t="s">
        <v>260</v>
      </c>
      <c r="H11" t="str">
        <f t="shared" si="0"/>
        <v>P.airoides.Highcomp.Shade</v>
      </c>
      <c r="I11" t="s">
        <v>674</v>
      </c>
      <c r="J11" t="s">
        <v>285</v>
      </c>
      <c r="K11">
        <v>3</v>
      </c>
      <c r="L11">
        <v>110</v>
      </c>
      <c r="M11">
        <v>30</v>
      </c>
      <c r="N11">
        <v>110</v>
      </c>
      <c r="O11">
        <f t="shared" si="3"/>
        <v>80</v>
      </c>
      <c r="P11">
        <v>30</v>
      </c>
      <c r="Q11">
        <v>30</v>
      </c>
      <c r="R11">
        <v>20</v>
      </c>
      <c r="S11">
        <f t="shared" si="4"/>
        <v>25</v>
      </c>
      <c r="T11">
        <f t="shared" si="5"/>
        <v>0.22727272727272727</v>
      </c>
      <c r="V11" t="s">
        <v>103</v>
      </c>
      <c r="W11">
        <v>40</v>
      </c>
      <c r="X11">
        <v>17.899999999999999</v>
      </c>
      <c r="Y11">
        <v>21.3</v>
      </c>
      <c r="Z11">
        <v>15.9</v>
      </c>
      <c r="AA11">
        <v>18.366666670000001</v>
      </c>
      <c r="AB11">
        <v>18.366666670000001</v>
      </c>
      <c r="AC11">
        <v>15.4</v>
      </c>
      <c r="AD11">
        <v>18.399999999999999</v>
      </c>
      <c r="AE11">
        <v>16.899999999999999</v>
      </c>
      <c r="AF11">
        <v>16.899999999999999</v>
      </c>
      <c r="AG11">
        <v>18.399999999999999</v>
      </c>
      <c r="AH11">
        <v>19.3</v>
      </c>
      <c r="AI11">
        <v>24.3</v>
      </c>
      <c r="AJ11">
        <v>20.666666670000001</v>
      </c>
      <c r="AK11">
        <v>20.3</v>
      </c>
      <c r="AL11">
        <v>19.8</v>
      </c>
      <c r="AM11">
        <v>22.3</v>
      </c>
      <c r="AN11">
        <v>20.8</v>
      </c>
      <c r="AO11">
        <v>20.666666670000001</v>
      </c>
      <c r="AP11">
        <v>10</v>
      </c>
      <c r="AQ11">
        <v>12.5</v>
      </c>
      <c r="AR11">
        <v>9</v>
      </c>
      <c r="AS11">
        <v>10.5</v>
      </c>
      <c r="AT11">
        <v>11.5</v>
      </c>
      <c r="AU11">
        <v>11.5</v>
      </c>
      <c r="AV11">
        <v>10.5</v>
      </c>
      <c r="AW11">
        <v>11.16666667</v>
      </c>
      <c r="AX11">
        <v>10.5</v>
      </c>
      <c r="AY11">
        <v>-7.8666666669999996</v>
      </c>
      <c r="AZ11">
        <v>35</v>
      </c>
      <c r="BA11">
        <v>5</v>
      </c>
      <c r="BB11">
        <v>3</v>
      </c>
      <c r="BC11">
        <v>3</v>
      </c>
      <c r="BD11">
        <v>0</v>
      </c>
      <c r="BE11">
        <v>0</v>
      </c>
      <c r="BF11">
        <v>0</v>
      </c>
      <c r="BG11">
        <v>0</v>
      </c>
      <c r="BI11">
        <v>11.5</v>
      </c>
      <c r="BJ11">
        <v>42.4</v>
      </c>
      <c r="BK11">
        <v>0</v>
      </c>
      <c r="BL11">
        <v>6</v>
      </c>
      <c r="BM11">
        <v>6</v>
      </c>
      <c r="BN11">
        <v>437</v>
      </c>
      <c r="BO11">
        <v>194</v>
      </c>
      <c r="BP11">
        <f t="shared" si="1"/>
        <v>243</v>
      </c>
      <c r="BQ11">
        <v>0</v>
      </c>
      <c r="BR11">
        <f t="shared" si="2"/>
        <v>437</v>
      </c>
      <c r="BS11">
        <v>16.56313132</v>
      </c>
      <c r="BT11">
        <v>0.16533921966666701</v>
      </c>
      <c r="BU11">
        <v>3.41677461</v>
      </c>
      <c r="BV11">
        <v>-16.56313132</v>
      </c>
      <c r="BW11">
        <v>-0.15667919833333299</v>
      </c>
      <c r="BX11">
        <v>3.3396801900000002</v>
      </c>
      <c r="BY11">
        <v>289.22613008771498</v>
      </c>
      <c r="BZ11">
        <v>7.5736628348332696E-2</v>
      </c>
      <c r="CA11">
        <v>33.851055037481999</v>
      </c>
      <c r="CB11">
        <v>289.22613008771498</v>
      </c>
      <c r="CC11">
        <v>7.9919657902742094E-2</v>
      </c>
      <c r="CD11">
        <v>34.632382483575299</v>
      </c>
      <c r="CE11">
        <v>5.3314686666666701E-2</v>
      </c>
      <c r="CF11">
        <v>6.40316232728923E-3</v>
      </c>
      <c r="CG11">
        <v>5.3314686666666701E-2</v>
      </c>
      <c r="CH11">
        <v>16.56313132</v>
      </c>
      <c r="CI11">
        <v>0.16533921966666701</v>
      </c>
      <c r="CJ11">
        <v>3.41677461</v>
      </c>
      <c r="CK11">
        <v>5.3314686666666701E-2</v>
      </c>
      <c r="CL11">
        <v>-16.56313132</v>
      </c>
      <c r="CM11">
        <v>-0.15667919833333299</v>
      </c>
      <c r="CN11">
        <v>3.3396801900000002</v>
      </c>
      <c r="CO11">
        <v>6.40316232728923E-3</v>
      </c>
      <c r="CP11">
        <v>289.22613008771498</v>
      </c>
      <c r="CQ11">
        <v>7.5736628348332696E-2</v>
      </c>
      <c r="CR11">
        <v>33.851055037481999</v>
      </c>
      <c r="CS11">
        <v>6.40316232728923E-3</v>
      </c>
      <c r="CT11">
        <v>289.22613008771498</v>
      </c>
      <c r="CU11">
        <v>7.9919657902742094E-2</v>
      </c>
      <c r="CV11">
        <v>34.632382483575299</v>
      </c>
      <c r="CW11">
        <v>5.3314686666666701E-2</v>
      </c>
    </row>
    <row r="12" spans="1:101" x14ac:dyDescent="0.25">
      <c r="A12" t="s">
        <v>69</v>
      </c>
      <c r="B12">
        <v>10</v>
      </c>
      <c r="C12" t="s">
        <v>17</v>
      </c>
      <c r="D12" t="s">
        <v>95</v>
      </c>
      <c r="E12" t="s">
        <v>111</v>
      </c>
      <c r="F12" t="s">
        <v>145</v>
      </c>
      <c r="G12" t="s">
        <v>263</v>
      </c>
      <c r="H12" t="str">
        <f t="shared" si="0"/>
        <v>P.canescens.Highcomp.Shade</v>
      </c>
      <c r="I12" t="s">
        <v>671</v>
      </c>
      <c r="J12" t="s">
        <v>286</v>
      </c>
      <c r="K12">
        <v>3</v>
      </c>
      <c r="L12">
        <v>150</v>
      </c>
      <c r="M12">
        <v>210</v>
      </c>
      <c r="N12">
        <v>150</v>
      </c>
      <c r="O12">
        <f t="shared" si="3"/>
        <v>-60</v>
      </c>
      <c r="P12">
        <v>45</v>
      </c>
      <c r="Q12">
        <v>40</v>
      </c>
      <c r="R12">
        <v>30</v>
      </c>
      <c r="S12">
        <f t="shared" si="4"/>
        <v>35</v>
      </c>
      <c r="T12">
        <f t="shared" si="5"/>
        <v>0.23333333333333334</v>
      </c>
      <c r="V12" t="s">
        <v>121</v>
      </c>
      <c r="W12" t="s">
        <v>114</v>
      </c>
      <c r="X12">
        <v>17.899999999999999</v>
      </c>
      <c r="Y12">
        <v>21.3</v>
      </c>
      <c r="Z12">
        <v>15.9</v>
      </c>
      <c r="AA12">
        <v>18.366666670000001</v>
      </c>
      <c r="AB12">
        <v>18.366666670000001</v>
      </c>
      <c r="AC12">
        <v>17.399999999999999</v>
      </c>
      <c r="AD12">
        <v>18.399999999999999</v>
      </c>
      <c r="AE12">
        <v>18.399999999999999</v>
      </c>
      <c r="AF12">
        <v>18.06666667</v>
      </c>
      <c r="AG12">
        <v>18.399999999999999</v>
      </c>
      <c r="AH12">
        <v>19.3</v>
      </c>
      <c r="AI12">
        <v>24.3</v>
      </c>
      <c r="AJ12">
        <v>20.666666670000001</v>
      </c>
      <c r="AK12">
        <v>22.8</v>
      </c>
      <c r="AL12">
        <v>19.3</v>
      </c>
      <c r="AM12">
        <v>23.8</v>
      </c>
      <c r="AN12">
        <v>21.966666669999999</v>
      </c>
      <c r="AO12">
        <v>20.666666670000001</v>
      </c>
      <c r="AP12">
        <v>10</v>
      </c>
      <c r="AQ12">
        <v>12.5</v>
      </c>
      <c r="AR12">
        <v>9</v>
      </c>
      <c r="AS12">
        <v>10.5</v>
      </c>
      <c r="AT12">
        <v>9.5</v>
      </c>
      <c r="AU12">
        <v>12</v>
      </c>
      <c r="AV12">
        <v>13</v>
      </c>
      <c r="AW12">
        <v>11.5</v>
      </c>
      <c r="AX12">
        <v>10.5</v>
      </c>
      <c r="AY12">
        <v>-7.8666666669999996</v>
      </c>
      <c r="AZ12">
        <v>35</v>
      </c>
      <c r="BA12">
        <v>5</v>
      </c>
      <c r="BB12">
        <v>3</v>
      </c>
      <c r="BC12">
        <v>3</v>
      </c>
      <c r="BD12">
        <v>0</v>
      </c>
      <c r="BE12">
        <v>0</v>
      </c>
      <c r="BF12">
        <v>0</v>
      </c>
      <c r="BG12">
        <v>0</v>
      </c>
      <c r="BI12">
        <v>11.5</v>
      </c>
      <c r="BJ12">
        <v>42.4</v>
      </c>
      <c r="BK12">
        <v>0</v>
      </c>
      <c r="BL12">
        <v>6</v>
      </c>
      <c r="BM12">
        <v>3</v>
      </c>
      <c r="BN12">
        <v>123</v>
      </c>
      <c r="BO12">
        <v>639.25</v>
      </c>
      <c r="BP12">
        <f t="shared" si="1"/>
        <v>-516.25</v>
      </c>
      <c r="BQ12">
        <v>245</v>
      </c>
      <c r="BR12">
        <f t="shared" si="2"/>
        <v>-122</v>
      </c>
      <c r="BS12">
        <v>37.301298729999999</v>
      </c>
      <c r="BT12">
        <v>8.5137659000000004E-2</v>
      </c>
      <c r="BU12">
        <v>4.1354695399999999</v>
      </c>
      <c r="BV12">
        <v>-37.301298729999999</v>
      </c>
      <c r="BW12">
        <v>8.5137659000000004E-2</v>
      </c>
      <c r="BX12">
        <v>4.1354695399999999</v>
      </c>
      <c r="BY12" t="s">
        <v>114</v>
      </c>
      <c r="BZ12" t="s">
        <v>114</v>
      </c>
      <c r="CA12" t="s">
        <v>114</v>
      </c>
      <c r="CB12" t="s">
        <v>114</v>
      </c>
      <c r="CC12" t="s">
        <v>114</v>
      </c>
      <c r="CD12" t="s">
        <v>114</v>
      </c>
      <c r="CE12">
        <v>2.3536109999999999E-2</v>
      </c>
      <c r="CF12" t="s">
        <v>114</v>
      </c>
      <c r="CG12">
        <v>2.3536109999999999E-2</v>
      </c>
      <c r="CH12">
        <v>37.301298729999999</v>
      </c>
      <c r="CI12">
        <v>8.5137659000000004E-2</v>
      </c>
      <c r="CJ12">
        <v>4.1354695399999999</v>
      </c>
      <c r="CK12">
        <v>-2.3536109999999999E-2</v>
      </c>
      <c r="CL12">
        <v>-37.301298729999999</v>
      </c>
      <c r="CM12">
        <v>8.5137659000000004E-2</v>
      </c>
      <c r="CN12">
        <v>4.1354695399999999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-2.3536109999999999E-2</v>
      </c>
    </row>
    <row r="13" spans="1:101" x14ac:dyDescent="0.25">
      <c r="A13" t="s">
        <v>69</v>
      </c>
      <c r="B13">
        <v>10</v>
      </c>
      <c r="C13" t="s">
        <v>17</v>
      </c>
      <c r="D13" t="s">
        <v>95</v>
      </c>
      <c r="E13" t="s">
        <v>112</v>
      </c>
      <c r="F13" t="s">
        <v>145</v>
      </c>
      <c r="G13" t="s">
        <v>261</v>
      </c>
      <c r="H13" t="str">
        <f t="shared" si="0"/>
        <v>V.rosea.Highcomp.Shade</v>
      </c>
      <c r="I13" t="s">
        <v>675</v>
      </c>
      <c r="J13" t="s">
        <v>287</v>
      </c>
      <c r="K13">
        <v>2</v>
      </c>
      <c r="L13" t="s">
        <v>114</v>
      </c>
      <c r="M13" t="s">
        <v>114</v>
      </c>
      <c r="N13" t="s">
        <v>114</v>
      </c>
      <c r="O13" t="s">
        <v>114</v>
      </c>
      <c r="P13" t="s">
        <v>114</v>
      </c>
      <c r="Q13" t="s">
        <v>114</v>
      </c>
      <c r="R13" t="s">
        <v>114</v>
      </c>
      <c r="S13" t="s">
        <v>114</v>
      </c>
      <c r="T13" t="s">
        <v>114</v>
      </c>
      <c r="U13" t="s">
        <v>114</v>
      </c>
      <c r="V13" t="s">
        <v>121</v>
      </c>
      <c r="W13" t="s">
        <v>114</v>
      </c>
      <c r="X13">
        <v>17.899999999999999</v>
      </c>
      <c r="Y13">
        <v>21.3</v>
      </c>
      <c r="Z13">
        <v>15.9</v>
      </c>
      <c r="AA13">
        <v>18.366666670000001</v>
      </c>
      <c r="AB13">
        <v>18.366666670000001</v>
      </c>
      <c r="AC13">
        <v>19.3</v>
      </c>
      <c r="AD13">
        <v>19.8</v>
      </c>
      <c r="AE13">
        <v>17.899999999999999</v>
      </c>
      <c r="AF13">
        <v>19</v>
      </c>
      <c r="AG13">
        <v>18.399999999999999</v>
      </c>
      <c r="AH13">
        <v>19.3</v>
      </c>
      <c r="AI13">
        <v>24.3</v>
      </c>
      <c r="AJ13">
        <v>20.666666670000001</v>
      </c>
      <c r="AK13">
        <v>21.8</v>
      </c>
      <c r="AL13">
        <v>20.3</v>
      </c>
      <c r="AM13">
        <v>17.899999999999999</v>
      </c>
      <c r="AN13">
        <v>20</v>
      </c>
      <c r="AO13">
        <v>20.666666670000001</v>
      </c>
      <c r="AP13">
        <v>10</v>
      </c>
      <c r="AQ13">
        <v>12.5</v>
      </c>
      <c r="AR13">
        <v>9</v>
      </c>
      <c r="AS13">
        <v>10.5</v>
      </c>
      <c r="AT13">
        <v>12</v>
      </c>
      <c r="AU13">
        <v>11.5</v>
      </c>
      <c r="AV13">
        <v>10</v>
      </c>
      <c r="AW13">
        <v>11.16666667</v>
      </c>
      <c r="AX13">
        <v>10.5</v>
      </c>
      <c r="AY13">
        <v>-7.8666666669999996</v>
      </c>
      <c r="AZ13">
        <v>35</v>
      </c>
      <c r="BA13">
        <v>5</v>
      </c>
      <c r="BB13">
        <v>3</v>
      </c>
      <c r="BC13">
        <v>3</v>
      </c>
      <c r="BD13">
        <v>0</v>
      </c>
      <c r="BE13">
        <v>0</v>
      </c>
      <c r="BF13">
        <v>0</v>
      </c>
      <c r="BG13">
        <v>0</v>
      </c>
      <c r="BI13">
        <v>11.5</v>
      </c>
      <c r="BJ13">
        <v>42.4</v>
      </c>
      <c r="BK13">
        <v>1</v>
      </c>
      <c r="BL13">
        <v>15</v>
      </c>
      <c r="BM13">
        <v>15</v>
      </c>
      <c r="BN13">
        <v>77</v>
      </c>
      <c r="BO13">
        <v>155</v>
      </c>
      <c r="BP13">
        <f t="shared" si="1"/>
        <v>-78</v>
      </c>
      <c r="BQ13">
        <v>37</v>
      </c>
      <c r="BR13">
        <f t="shared" si="2"/>
        <v>40</v>
      </c>
      <c r="BS13">
        <v>67.1789773</v>
      </c>
      <c r="BT13">
        <v>2.2504543259999998</v>
      </c>
      <c r="BU13">
        <v>17.714904010000001</v>
      </c>
      <c r="BV13">
        <v>-67.1789773</v>
      </c>
      <c r="BW13">
        <v>2.2504543259999998</v>
      </c>
      <c r="BX13">
        <v>17.714904010000001</v>
      </c>
      <c r="BY13" t="s">
        <v>114</v>
      </c>
      <c r="BZ13" t="s">
        <v>114</v>
      </c>
      <c r="CA13" t="s">
        <v>114</v>
      </c>
      <c r="CB13" t="s">
        <v>114</v>
      </c>
      <c r="CC13" t="s">
        <v>114</v>
      </c>
      <c r="CD13" t="s">
        <v>114</v>
      </c>
      <c r="CE13">
        <v>1.7971333899999999</v>
      </c>
      <c r="CF13" t="s">
        <v>114</v>
      </c>
      <c r="CG13">
        <v>1.7971333899999999</v>
      </c>
      <c r="CH13">
        <v>67.1789773</v>
      </c>
      <c r="CI13">
        <v>2.2504543259999998</v>
      </c>
      <c r="CJ13">
        <v>17.714904010000001</v>
      </c>
      <c r="CK13">
        <v>1.7971333899999999</v>
      </c>
      <c r="CL13">
        <v>-67.1789773</v>
      </c>
      <c r="CM13">
        <v>2.2504543259999998</v>
      </c>
      <c r="CN13">
        <v>17.714904010000001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1.7971333899999999</v>
      </c>
    </row>
    <row r="14" spans="1:101" x14ac:dyDescent="0.25">
      <c r="A14" t="s">
        <v>70</v>
      </c>
      <c r="B14">
        <v>10</v>
      </c>
      <c r="C14" t="s">
        <v>19</v>
      </c>
      <c r="D14" t="s">
        <v>95</v>
      </c>
      <c r="E14" t="s">
        <v>102</v>
      </c>
      <c r="F14" t="s">
        <v>145</v>
      </c>
      <c r="G14" t="s">
        <v>265</v>
      </c>
      <c r="H14" t="str">
        <f t="shared" si="0"/>
        <v>A.calendula.Highcomp.Shade</v>
      </c>
      <c r="I14" t="s">
        <v>673</v>
      </c>
      <c r="J14" t="s">
        <v>288</v>
      </c>
      <c r="K14">
        <v>2</v>
      </c>
      <c r="L14">
        <v>90</v>
      </c>
      <c r="M14">
        <v>100</v>
      </c>
      <c r="N14">
        <v>90</v>
      </c>
      <c r="O14">
        <f t="shared" si="3"/>
        <v>-10</v>
      </c>
      <c r="P14">
        <v>105</v>
      </c>
      <c r="Q14">
        <v>95</v>
      </c>
      <c r="R14">
        <v>20</v>
      </c>
      <c r="S14">
        <f t="shared" si="4"/>
        <v>57.5</v>
      </c>
      <c r="T14">
        <f t="shared" si="5"/>
        <v>0.63888888888888884</v>
      </c>
      <c r="U14" t="s">
        <v>15</v>
      </c>
      <c r="V14" t="s">
        <v>121</v>
      </c>
      <c r="W14" t="s">
        <v>114</v>
      </c>
      <c r="X14">
        <v>17.899999999999999</v>
      </c>
      <c r="Y14">
        <v>15.4</v>
      </c>
      <c r="Z14">
        <v>18.399999999999999</v>
      </c>
      <c r="AA14">
        <v>17.233333330000001</v>
      </c>
      <c r="AB14">
        <v>17.233333330000001</v>
      </c>
      <c r="AC14">
        <v>16.899999999999999</v>
      </c>
      <c r="AD14">
        <v>15.9</v>
      </c>
      <c r="AE14">
        <v>11.5</v>
      </c>
      <c r="AF14">
        <v>14.766666669999999</v>
      </c>
      <c r="AG14">
        <v>16.899999999999999</v>
      </c>
      <c r="AH14">
        <v>15.9</v>
      </c>
      <c r="AI14">
        <v>19.8</v>
      </c>
      <c r="AJ14">
        <v>17.533333330000001</v>
      </c>
      <c r="AK14">
        <v>17.399999999999999</v>
      </c>
      <c r="AL14">
        <v>15.9</v>
      </c>
      <c r="AM14">
        <v>17.399999999999999</v>
      </c>
      <c r="AN14">
        <v>16.899999999999999</v>
      </c>
      <c r="AO14">
        <v>17.533333330000001</v>
      </c>
      <c r="AP14">
        <v>5.6</v>
      </c>
      <c r="AQ14">
        <v>6.6</v>
      </c>
      <c r="AR14" t="s">
        <v>114</v>
      </c>
      <c r="AS14">
        <v>6.1</v>
      </c>
      <c r="AT14">
        <v>5.0999999999999996</v>
      </c>
      <c r="AU14">
        <v>6.1</v>
      </c>
      <c r="AV14">
        <v>6.1</v>
      </c>
      <c r="AW14">
        <v>5.766666667</v>
      </c>
      <c r="AX14">
        <v>6.1</v>
      </c>
      <c r="AY14">
        <v>-11.133333329999999</v>
      </c>
      <c r="AZ14">
        <v>35</v>
      </c>
      <c r="BA14">
        <v>55</v>
      </c>
      <c r="BB14">
        <v>1</v>
      </c>
      <c r="BC14">
        <v>5</v>
      </c>
      <c r="BD14">
        <v>1</v>
      </c>
      <c r="BE14">
        <v>0</v>
      </c>
      <c r="BF14">
        <v>0</v>
      </c>
      <c r="BG14">
        <v>2</v>
      </c>
      <c r="BI14">
        <v>11.2</v>
      </c>
      <c r="BJ14">
        <v>42.911000000000001</v>
      </c>
      <c r="BK14">
        <v>0</v>
      </c>
      <c r="BL14">
        <v>9</v>
      </c>
      <c r="BM14">
        <v>9</v>
      </c>
      <c r="BN14">
        <v>306</v>
      </c>
      <c r="BO14">
        <v>274</v>
      </c>
      <c r="BP14">
        <f t="shared" si="1"/>
        <v>32</v>
      </c>
      <c r="BQ14">
        <v>124</v>
      </c>
      <c r="BR14">
        <f t="shared" si="2"/>
        <v>182</v>
      </c>
      <c r="BS14">
        <v>14.29629628</v>
      </c>
      <c r="BT14">
        <v>0.28373600799999998</v>
      </c>
      <c r="BU14">
        <v>1.3753441200000001</v>
      </c>
      <c r="BV14">
        <v>-14.29629628</v>
      </c>
      <c r="BW14">
        <v>-0.28373600799999998</v>
      </c>
      <c r="BX14">
        <v>1.3753441200000001</v>
      </c>
      <c r="BY14">
        <v>408.768174651084</v>
      </c>
      <c r="BZ14">
        <v>0.16101224447155199</v>
      </c>
      <c r="CA14">
        <v>3.7831428968371501</v>
      </c>
      <c r="CB14">
        <v>408.768174651084</v>
      </c>
      <c r="CC14">
        <v>0.16101224447155199</v>
      </c>
      <c r="CD14">
        <v>3.7831428968371501</v>
      </c>
      <c r="CE14">
        <v>0.53393209500000005</v>
      </c>
      <c r="CF14">
        <v>0.57016696414217805</v>
      </c>
      <c r="CG14">
        <v>0.53393209500000005</v>
      </c>
      <c r="CH14">
        <v>14.29629628</v>
      </c>
      <c r="CI14">
        <v>0.28373600799999998</v>
      </c>
      <c r="CJ14">
        <v>1.3753441200000001</v>
      </c>
      <c r="CK14">
        <v>0.53393209500000005</v>
      </c>
      <c r="CL14">
        <v>-14.29629628</v>
      </c>
      <c r="CM14">
        <v>-0.28373600799999998</v>
      </c>
      <c r="CN14">
        <v>1.3753441200000001</v>
      </c>
      <c r="CO14">
        <v>0.57016696414217805</v>
      </c>
      <c r="CP14">
        <v>408.768174651084</v>
      </c>
      <c r="CQ14">
        <v>0.16101224447155199</v>
      </c>
      <c r="CR14">
        <v>3.7831428968371501</v>
      </c>
      <c r="CS14">
        <v>0.57016696414217805</v>
      </c>
      <c r="CT14">
        <v>408.768174651084</v>
      </c>
      <c r="CU14">
        <v>0.16101224447155199</v>
      </c>
      <c r="CV14">
        <v>3.7831428968371501</v>
      </c>
      <c r="CW14">
        <v>0.53393209500000005</v>
      </c>
    </row>
    <row r="15" spans="1:101" x14ac:dyDescent="0.25">
      <c r="A15" t="s">
        <v>70</v>
      </c>
      <c r="B15">
        <v>10</v>
      </c>
      <c r="C15" t="s">
        <v>19</v>
      </c>
      <c r="D15" t="s">
        <v>95</v>
      </c>
      <c r="E15" t="s">
        <v>105</v>
      </c>
      <c r="F15" t="s">
        <v>145</v>
      </c>
      <c r="G15" t="s">
        <v>266</v>
      </c>
      <c r="H15" t="str">
        <f t="shared" si="0"/>
        <v>H.glabra.Highcomp.Shade</v>
      </c>
      <c r="I15" t="s">
        <v>676</v>
      </c>
      <c r="J15" t="s">
        <v>289</v>
      </c>
      <c r="K15">
        <v>4</v>
      </c>
      <c r="L15">
        <v>15</v>
      </c>
      <c r="M15">
        <v>50</v>
      </c>
      <c r="N15">
        <v>15</v>
      </c>
      <c r="O15">
        <f t="shared" si="3"/>
        <v>-35</v>
      </c>
      <c r="P15">
        <v>25</v>
      </c>
      <c r="Q15">
        <v>25</v>
      </c>
      <c r="R15">
        <v>15</v>
      </c>
      <c r="S15">
        <f t="shared" si="4"/>
        <v>20</v>
      </c>
      <c r="T15">
        <f t="shared" si="5"/>
        <v>1.3333333333333333</v>
      </c>
      <c r="V15" t="s">
        <v>121</v>
      </c>
      <c r="W15" t="s">
        <v>114</v>
      </c>
      <c r="X15">
        <v>17.899999999999999</v>
      </c>
      <c r="Y15">
        <v>15.4</v>
      </c>
      <c r="Z15">
        <v>18.399999999999999</v>
      </c>
      <c r="AA15">
        <v>17.233333330000001</v>
      </c>
      <c r="AB15">
        <v>17.233333330000001</v>
      </c>
      <c r="AC15">
        <v>14.4</v>
      </c>
      <c r="AD15">
        <v>13</v>
      </c>
      <c r="AE15">
        <v>13.9</v>
      </c>
      <c r="AF15">
        <v>13.766666669999999</v>
      </c>
      <c r="AG15">
        <v>16.899999999999999</v>
      </c>
      <c r="AH15">
        <v>15.9</v>
      </c>
      <c r="AI15">
        <v>19.8</v>
      </c>
      <c r="AJ15">
        <v>17.533333330000001</v>
      </c>
      <c r="AK15">
        <v>13.5</v>
      </c>
      <c r="AL15">
        <v>15.4</v>
      </c>
      <c r="AM15">
        <v>13.9</v>
      </c>
      <c r="AN15">
        <v>14.266666669999999</v>
      </c>
      <c r="AO15">
        <v>17.533333330000001</v>
      </c>
      <c r="AP15">
        <v>5.6</v>
      </c>
      <c r="AQ15">
        <v>6.6</v>
      </c>
      <c r="AR15" t="s">
        <v>114</v>
      </c>
      <c r="AS15">
        <v>6.1</v>
      </c>
      <c r="AT15">
        <v>4.5999999999999996</v>
      </c>
      <c r="AU15">
        <v>5.6</v>
      </c>
      <c r="AV15">
        <v>6.1</v>
      </c>
      <c r="AW15">
        <v>5.4333333330000002</v>
      </c>
      <c r="AX15">
        <v>6.1</v>
      </c>
      <c r="AY15">
        <v>-11.133333329999999</v>
      </c>
      <c r="AZ15">
        <v>35</v>
      </c>
      <c r="BA15">
        <v>55</v>
      </c>
      <c r="BB15">
        <v>1</v>
      </c>
      <c r="BC15">
        <v>5</v>
      </c>
      <c r="BD15">
        <v>1</v>
      </c>
      <c r="BE15">
        <v>0</v>
      </c>
      <c r="BF15">
        <v>0</v>
      </c>
      <c r="BG15">
        <v>2</v>
      </c>
      <c r="BI15">
        <v>11.2</v>
      </c>
      <c r="BJ15">
        <v>42.911000000000001</v>
      </c>
      <c r="BK15">
        <v>0</v>
      </c>
      <c r="BL15">
        <v>1</v>
      </c>
      <c r="BM15">
        <v>1</v>
      </c>
      <c r="BN15" t="s">
        <v>114</v>
      </c>
      <c r="BO15">
        <v>215.5</v>
      </c>
      <c r="BP15" t="s">
        <v>114</v>
      </c>
      <c r="BQ15">
        <v>326</v>
      </c>
      <c r="BR15" t="s">
        <v>114</v>
      </c>
      <c r="BS15">
        <v>41.881507380000002</v>
      </c>
      <c r="BT15">
        <v>1.53536559466667</v>
      </c>
      <c r="BU15">
        <v>20.518134329999999</v>
      </c>
      <c r="BV15">
        <v>-41.881507380000002</v>
      </c>
      <c r="BW15">
        <v>-1.2832433759999999</v>
      </c>
      <c r="BX15">
        <v>20.518134329999999</v>
      </c>
      <c r="BY15">
        <v>630.08699374806497</v>
      </c>
      <c r="BZ15">
        <v>1.71916741670016</v>
      </c>
      <c r="CA15">
        <v>60.662399707916499</v>
      </c>
      <c r="CB15">
        <v>630.08699374806497</v>
      </c>
      <c r="CC15">
        <v>2.7851183375575301</v>
      </c>
      <c r="CD15">
        <v>60.662399707916499</v>
      </c>
      <c r="CE15" t="s">
        <v>114</v>
      </c>
      <c r="CF15" t="s">
        <v>114</v>
      </c>
      <c r="CG15" t="s">
        <v>114</v>
      </c>
      <c r="CH15">
        <v>42.869463860000003</v>
      </c>
      <c r="CI15">
        <v>1.468639255</v>
      </c>
      <c r="CJ15">
        <v>20.7688282475</v>
      </c>
      <c r="CK15" t="s">
        <v>114</v>
      </c>
      <c r="CL15">
        <v>-42.869463860000003</v>
      </c>
      <c r="CM15">
        <v>-1.279547591</v>
      </c>
      <c r="CN15">
        <v>20.7688282475</v>
      </c>
      <c r="CO15" t="s">
        <v>114</v>
      </c>
      <c r="CP15">
        <v>423.96222785753901</v>
      </c>
      <c r="CQ15">
        <v>1.1639212287546801</v>
      </c>
      <c r="CR15">
        <v>40.6929895663637</v>
      </c>
      <c r="CS15" t="s">
        <v>114</v>
      </c>
      <c r="CT15">
        <v>423.96222785753901</v>
      </c>
      <c r="CU15">
        <v>1.8568001936787499</v>
      </c>
      <c r="CV15">
        <v>40.6929895663637</v>
      </c>
      <c r="CW15" t="s">
        <v>114</v>
      </c>
    </row>
    <row r="16" spans="1:101" x14ac:dyDescent="0.25">
      <c r="A16" t="s">
        <v>70</v>
      </c>
      <c r="B16">
        <v>10</v>
      </c>
      <c r="C16" t="s">
        <v>19</v>
      </c>
      <c r="D16" t="s">
        <v>95</v>
      </c>
      <c r="E16" t="s">
        <v>111</v>
      </c>
      <c r="F16" t="s">
        <v>145</v>
      </c>
      <c r="G16" t="s">
        <v>263</v>
      </c>
      <c r="H16" t="str">
        <f t="shared" si="0"/>
        <v>P.canescens.Highcomp.Shade</v>
      </c>
      <c r="I16" t="s">
        <v>671</v>
      </c>
      <c r="J16" t="s">
        <v>290</v>
      </c>
      <c r="K16">
        <v>1</v>
      </c>
      <c r="L16">
        <v>290</v>
      </c>
      <c r="M16">
        <v>205</v>
      </c>
      <c r="N16">
        <v>290</v>
      </c>
      <c r="O16">
        <f t="shared" si="3"/>
        <v>85</v>
      </c>
      <c r="P16">
        <v>75</v>
      </c>
      <c r="Q16">
        <v>140</v>
      </c>
      <c r="R16">
        <v>50</v>
      </c>
      <c r="S16">
        <f t="shared" si="4"/>
        <v>95</v>
      </c>
      <c r="T16">
        <f t="shared" si="5"/>
        <v>0.32758620689655171</v>
      </c>
      <c r="V16" t="s">
        <v>121</v>
      </c>
      <c r="W16" t="s">
        <v>114</v>
      </c>
      <c r="X16">
        <v>17.899999999999999</v>
      </c>
      <c r="Y16">
        <v>15.4</v>
      </c>
      <c r="Z16">
        <v>18.399999999999999</v>
      </c>
      <c r="AA16">
        <v>17.233333330000001</v>
      </c>
      <c r="AB16">
        <v>17.233333330000001</v>
      </c>
      <c r="AC16">
        <v>16.899999999999999</v>
      </c>
      <c r="AD16">
        <v>14.4</v>
      </c>
      <c r="AE16">
        <v>14.9</v>
      </c>
      <c r="AF16">
        <v>15.4</v>
      </c>
      <c r="AG16">
        <v>16.899999999999999</v>
      </c>
      <c r="AH16">
        <v>15.9</v>
      </c>
      <c r="AI16">
        <v>19.8</v>
      </c>
      <c r="AJ16">
        <v>17.533333330000001</v>
      </c>
      <c r="AK16">
        <v>18.399999999999999</v>
      </c>
      <c r="AL16">
        <v>16.399999999999999</v>
      </c>
      <c r="AM16">
        <v>16.399999999999999</v>
      </c>
      <c r="AN16">
        <v>17.06666667</v>
      </c>
      <c r="AO16">
        <v>17.533333330000001</v>
      </c>
      <c r="AP16">
        <v>5.6</v>
      </c>
      <c r="AQ16">
        <v>6.6</v>
      </c>
      <c r="AR16" t="s">
        <v>114</v>
      </c>
      <c r="AS16">
        <v>6.1</v>
      </c>
      <c r="AT16">
        <v>5.6</v>
      </c>
      <c r="AU16">
        <v>5.6</v>
      </c>
      <c r="AV16" t="s">
        <v>114</v>
      </c>
      <c r="AW16">
        <v>5.6</v>
      </c>
      <c r="AX16">
        <v>6.1</v>
      </c>
      <c r="AY16">
        <v>-11.133333329999999</v>
      </c>
      <c r="AZ16">
        <v>35</v>
      </c>
      <c r="BA16">
        <v>55</v>
      </c>
      <c r="BB16">
        <v>1</v>
      </c>
      <c r="BC16">
        <v>5</v>
      </c>
      <c r="BD16">
        <v>1</v>
      </c>
      <c r="BE16">
        <v>0</v>
      </c>
      <c r="BF16">
        <v>0</v>
      </c>
      <c r="BG16">
        <v>2</v>
      </c>
      <c r="BI16">
        <v>11.2</v>
      </c>
      <c r="BJ16">
        <v>42.911000000000001</v>
      </c>
      <c r="BK16">
        <v>0</v>
      </c>
      <c r="BL16">
        <v>42</v>
      </c>
      <c r="BM16">
        <v>25</v>
      </c>
      <c r="BN16">
        <v>1305</v>
      </c>
      <c r="BO16">
        <v>639.25</v>
      </c>
      <c r="BP16">
        <f t="shared" ref="BP16:BP42" si="6">BN16-BO16</f>
        <v>665.75</v>
      </c>
      <c r="BQ16">
        <v>851</v>
      </c>
      <c r="BR16">
        <f t="shared" ref="BR16:BR37" si="7">BN16-BQ16</f>
        <v>454</v>
      </c>
      <c r="BS16">
        <v>37.301298729999999</v>
      </c>
      <c r="BT16">
        <v>8.5137659000000004E-2</v>
      </c>
      <c r="BU16">
        <v>4.1354695399999999</v>
      </c>
      <c r="BV16">
        <v>-37.301298729999999</v>
      </c>
      <c r="BW16">
        <v>8.5137659000000004E-2</v>
      </c>
      <c r="BX16">
        <v>4.1354695399999999</v>
      </c>
      <c r="BY16" t="s">
        <v>114</v>
      </c>
      <c r="BZ16" t="s">
        <v>114</v>
      </c>
      <c r="CA16" t="s">
        <v>114</v>
      </c>
      <c r="CB16" t="s">
        <v>114</v>
      </c>
      <c r="CC16" t="s">
        <v>114</v>
      </c>
      <c r="CD16" t="s">
        <v>114</v>
      </c>
      <c r="CE16">
        <v>2.3536109999999999E-2</v>
      </c>
      <c r="CF16" t="s">
        <v>114</v>
      </c>
      <c r="CG16">
        <v>2.3536109999999999E-2</v>
      </c>
      <c r="CH16">
        <v>37.301298729999999</v>
      </c>
      <c r="CI16">
        <v>8.5137659000000004E-2</v>
      </c>
      <c r="CJ16">
        <v>4.1354695399999999</v>
      </c>
      <c r="CK16">
        <v>-2.3536109999999999E-2</v>
      </c>
      <c r="CL16">
        <v>-37.301298729999999</v>
      </c>
      <c r="CM16">
        <v>8.5137659000000004E-2</v>
      </c>
      <c r="CN16">
        <v>4.1354695399999999</v>
      </c>
      <c r="CO16" t="s">
        <v>114</v>
      </c>
      <c r="CP16" t="s">
        <v>114</v>
      </c>
      <c r="CQ16" t="s">
        <v>114</v>
      </c>
      <c r="CR16" t="s">
        <v>114</v>
      </c>
      <c r="CS16" t="s">
        <v>114</v>
      </c>
      <c r="CT16" t="s">
        <v>114</v>
      </c>
      <c r="CU16" t="s">
        <v>114</v>
      </c>
      <c r="CV16" t="s">
        <v>114</v>
      </c>
      <c r="CW16">
        <v>-2.3536109999999999E-2</v>
      </c>
    </row>
    <row r="17" spans="1:101" x14ac:dyDescent="0.25">
      <c r="A17" t="s">
        <v>71</v>
      </c>
      <c r="B17">
        <v>10</v>
      </c>
      <c r="C17" t="s">
        <v>21</v>
      </c>
      <c r="D17" t="s">
        <v>94</v>
      </c>
      <c r="E17" t="s">
        <v>102</v>
      </c>
      <c r="F17" t="s">
        <v>145</v>
      </c>
      <c r="G17" t="s">
        <v>265</v>
      </c>
      <c r="H17" t="str">
        <f t="shared" si="0"/>
        <v>A.calendula.Highcomp.Open</v>
      </c>
      <c r="I17" t="s">
        <v>677</v>
      </c>
      <c r="J17" t="s">
        <v>291</v>
      </c>
      <c r="K17" t="s">
        <v>114</v>
      </c>
      <c r="L17">
        <v>160</v>
      </c>
      <c r="M17">
        <v>115</v>
      </c>
      <c r="N17">
        <v>160</v>
      </c>
      <c r="O17">
        <f t="shared" si="3"/>
        <v>45</v>
      </c>
      <c r="P17">
        <v>180</v>
      </c>
      <c r="Q17">
        <v>160</v>
      </c>
      <c r="R17">
        <v>110</v>
      </c>
      <c r="S17">
        <f t="shared" si="4"/>
        <v>135</v>
      </c>
      <c r="T17">
        <f t="shared" si="5"/>
        <v>0.84375</v>
      </c>
      <c r="V17" t="s">
        <v>121</v>
      </c>
      <c r="W17" t="s">
        <v>114</v>
      </c>
      <c r="X17">
        <v>11.5</v>
      </c>
      <c r="Y17">
        <v>11.5</v>
      </c>
      <c r="Z17">
        <v>12.5</v>
      </c>
      <c r="AA17">
        <v>11.83333333</v>
      </c>
      <c r="AB17">
        <v>11.83333333</v>
      </c>
      <c r="AC17">
        <v>13.9</v>
      </c>
      <c r="AD17">
        <v>13</v>
      </c>
      <c r="AE17">
        <v>12.5</v>
      </c>
      <c r="AF17">
        <v>13.133333329999999</v>
      </c>
      <c r="AG17">
        <v>14.4</v>
      </c>
      <c r="AH17">
        <v>13</v>
      </c>
      <c r="AI17">
        <v>14</v>
      </c>
      <c r="AJ17">
        <v>13.8</v>
      </c>
      <c r="AK17">
        <v>13.9</v>
      </c>
      <c r="AL17">
        <v>14.4</v>
      </c>
      <c r="AM17">
        <v>16.399999999999999</v>
      </c>
      <c r="AN17">
        <v>14.9</v>
      </c>
      <c r="AO17">
        <v>13.8</v>
      </c>
      <c r="AP17">
        <v>3.6</v>
      </c>
      <c r="AQ17">
        <v>5.6</v>
      </c>
      <c r="AR17">
        <v>8.1</v>
      </c>
      <c r="AS17">
        <v>5.766666667</v>
      </c>
      <c r="AT17">
        <v>6.1</v>
      </c>
      <c r="AU17">
        <v>6.6</v>
      </c>
      <c r="AV17">
        <v>6.1</v>
      </c>
      <c r="AW17">
        <v>6.266666667</v>
      </c>
      <c r="AX17">
        <v>5.766666667</v>
      </c>
      <c r="AY17">
        <v>-6.0666666669999998</v>
      </c>
      <c r="AZ17">
        <v>15</v>
      </c>
      <c r="BA17">
        <v>20</v>
      </c>
      <c r="BB17">
        <v>0</v>
      </c>
      <c r="BC17">
        <v>40</v>
      </c>
      <c r="BD17">
        <v>0</v>
      </c>
      <c r="BE17">
        <v>1</v>
      </c>
      <c r="BF17">
        <v>0</v>
      </c>
      <c r="BG17">
        <v>1</v>
      </c>
      <c r="BI17">
        <v>6.9</v>
      </c>
      <c r="BJ17">
        <v>2.4950000000000001</v>
      </c>
      <c r="BK17">
        <v>0</v>
      </c>
      <c r="BL17">
        <v>22</v>
      </c>
      <c r="BM17">
        <v>22</v>
      </c>
      <c r="BN17">
        <v>583</v>
      </c>
      <c r="BO17">
        <v>560.5</v>
      </c>
      <c r="BP17">
        <f t="shared" si="6"/>
        <v>22.5</v>
      </c>
      <c r="BQ17">
        <v>405</v>
      </c>
      <c r="BR17">
        <f t="shared" si="7"/>
        <v>178</v>
      </c>
      <c r="BS17" t="s">
        <v>114</v>
      </c>
      <c r="BT17" t="s">
        <v>114</v>
      </c>
      <c r="BU17" t="s">
        <v>114</v>
      </c>
      <c r="BV17" t="s">
        <v>114</v>
      </c>
      <c r="BW17" t="s">
        <v>114</v>
      </c>
      <c r="BX17" t="s">
        <v>114</v>
      </c>
      <c r="BY17" t="s">
        <v>114</v>
      </c>
      <c r="BZ17" t="s">
        <v>114</v>
      </c>
      <c r="CA17" t="s">
        <v>114</v>
      </c>
      <c r="CB17" t="s">
        <v>114</v>
      </c>
      <c r="CC17" t="s">
        <v>114</v>
      </c>
      <c r="CD17" t="s">
        <v>114</v>
      </c>
      <c r="CE17" t="s">
        <v>114</v>
      </c>
      <c r="CF17" t="s">
        <v>114</v>
      </c>
      <c r="CG17" t="s">
        <v>114</v>
      </c>
      <c r="CH17" t="s">
        <v>114</v>
      </c>
      <c r="CI17" t="s">
        <v>114</v>
      </c>
      <c r="CJ17" t="s">
        <v>114</v>
      </c>
      <c r="CK17" t="s">
        <v>114</v>
      </c>
      <c r="CL17" t="s">
        <v>114</v>
      </c>
      <c r="CM17" t="s">
        <v>114</v>
      </c>
      <c r="CN17" t="s">
        <v>114</v>
      </c>
      <c r="CO17" t="s">
        <v>114</v>
      </c>
      <c r="CP17" t="s">
        <v>114</v>
      </c>
      <c r="CQ17" t="s">
        <v>114</v>
      </c>
      <c r="CR17" t="s">
        <v>114</v>
      </c>
      <c r="CS17" t="s">
        <v>114</v>
      </c>
      <c r="CT17" t="s">
        <v>114</v>
      </c>
      <c r="CU17" t="s">
        <v>114</v>
      </c>
      <c r="CV17" t="s">
        <v>114</v>
      </c>
      <c r="CW17" t="s">
        <v>114</v>
      </c>
    </row>
    <row r="18" spans="1:101" x14ac:dyDescent="0.25">
      <c r="A18" t="s">
        <v>71</v>
      </c>
      <c r="B18">
        <v>10</v>
      </c>
      <c r="C18" t="s">
        <v>21</v>
      </c>
      <c r="D18" t="s">
        <v>94</v>
      </c>
      <c r="E18" t="s">
        <v>111</v>
      </c>
      <c r="F18" t="s">
        <v>145</v>
      </c>
      <c r="G18" t="s">
        <v>263</v>
      </c>
      <c r="H18" t="str">
        <f t="shared" si="0"/>
        <v>P.canescens.Highcomp.Open</v>
      </c>
      <c r="I18" t="s">
        <v>678</v>
      </c>
      <c r="J18" t="s">
        <v>292</v>
      </c>
      <c r="K18">
        <v>2</v>
      </c>
      <c r="L18">
        <v>330</v>
      </c>
      <c r="M18">
        <v>190</v>
      </c>
      <c r="N18">
        <v>330</v>
      </c>
      <c r="O18">
        <f t="shared" si="3"/>
        <v>140</v>
      </c>
      <c r="P18">
        <v>110</v>
      </c>
      <c r="Q18">
        <v>200</v>
      </c>
      <c r="R18">
        <v>50</v>
      </c>
      <c r="S18">
        <f t="shared" si="4"/>
        <v>125</v>
      </c>
      <c r="T18">
        <f t="shared" si="5"/>
        <v>0.37878787878787878</v>
      </c>
      <c r="U18" t="s">
        <v>15</v>
      </c>
      <c r="V18" t="s">
        <v>111</v>
      </c>
      <c r="W18">
        <v>170</v>
      </c>
      <c r="X18">
        <v>11.5</v>
      </c>
      <c r="Y18">
        <v>11.5</v>
      </c>
      <c r="Z18">
        <v>12.5</v>
      </c>
      <c r="AA18">
        <v>11.83333333</v>
      </c>
      <c r="AB18">
        <v>11.83333333</v>
      </c>
      <c r="AC18">
        <v>13.5</v>
      </c>
      <c r="AD18">
        <v>14.4</v>
      </c>
      <c r="AE18">
        <v>15.4</v>
      </c>
      <c r="AF18">
        <v>14.43333333</v>
      </c>
      <c r="AG18">
        <v>14.4</v>
      </c>
      <c r="AH18">
        <v>13</v>
      </c>
      <c r="AI18">
        <v>14</v>
      </c>
      <c r="AJ18">
        <v>13.8</v>
      </c>
      <c r="AK18">
        <v>13.9</v>
      </c>
      <c r="AL18">
        <v>15.9</v>
      </c>
      <c r="AM18">
        <v>17.399999999999999</v>
      </c>
      <c r="AN18">
        <v>15.733333330000001</v>
      </c>
      <c r="AO18">
        <v>13.8</v>
      </c>
      <c r="AP18">
        <v>3.6</v>
      </c>
      <c r="AQ18">
        <v>5.6</v>
      </c>
      <c r="AR18">
        <v>8.1</v>
      </c>
      <c r="AS18">
        <v>5.766666667</v>
      </c>
      <c r="AT18">
        <v>5.6</v>
      </c>
      <c r="AU18">
        <v>6.6</v>
      </c>
      <c r="AV18">
        <v>5.0999999999999996</v>
      </c>
      <c r="AW18">
        <v>5.766666667</v>
      </c>
      <c r="AX18">
        <v>5.766666667</v>
      </c>
      <c r="AY18">
        <v>-6.0666666669999998</v>
      </c>
      <c r="AZ18">
        <v>15</v>
      </c>
      <c r="BA18">
        <v>20</v>
      </c>
      <c r="BB18">
        <v>0</v>
      </c>
      <c r="BC18">
        <v>40</v>
      </c>
      <c r="BD18">
        <v>0</v>
      </c>
      <c r="BE18">
        <v>1</v>
      </c>
      <c r="BF18">
        <v>0</v>
      </c>
      <c r="BG18">
        <v>1</v>
      </c>
      <c r="BI18">
        <v>6.9</v>
      </c>
      <c r="BJ18">
        <v>2.4950000000000001</v>
      </c>
      <c r="BK18">
        <v>0</v>
      </c>
      <c r="BL18">
        <v>41</v>
      </c>
      <c r="BM18">
        <v>30</v>
      </c>
      <c r="BN18">
        <v>3137</v>
      </c>
      <c r="BO18">
        <v>2412</v>
      </c>
      <c r="BP18">
        <f t="shared" si="6"/>
        <v>725</v>
      </c>
      <c r="BQ18">
        <v>2519</v>
      </c>
      <c r="BR18">
        <f t="shared" si="7"/>
        <v>618</v>
      </c>
      <c r="BS18">
        <v>31.085714265</v>
      </c>
      <c r="BT18">
        <v>0.21434500000000001</v>
      </c>
      <c r="BU18">
        <v>2.3265815949999999</v>
      </c>
      <c r="BV18">
        <v>-31.085714265</v>
      </c>
      <c r="BW18">
        <v>-0.21434500000000001</v>
      </c>
      <c r="BX18">
        <v>-2.3265815949999999</v>
      </c>
      <c r="BY18">
        <v>1932.64326273045</v>
      </c>
      <c r="BZ18">
        <v>9.1887558049999998E-2</v>
      </c>
      <c r="CA18">
        <v>10.825963836385499</v>
      </c>
      <c r="CB18">
        <v>1932.64326273045</v>
      </c>
      <c r="CC18">
        <v>9.1887558049999998E-2</v>
      </c>
      <c r="CD18">
        <v>10.825963836385499</v>
      </c>
      <c r="CE18" t="s">
        <v>114</v>
      </c>
      <c r="CF18" t="s">
        <v>114</v>
      </c>
      <c r="CG18" t="s">
        <v>114</v>
      </c>
      <c r="CH18">
        <v>31.085714265</v>
      </c>
      <c r="CI18">
        <v>0.21434500000000001</v>
      </c>
      <c r="CJ18">
        <v>2.3265815949999999</v>
      </c>
      <c r="CK18" t="s">
        <v>114</v>
      </c>
      <c r="CL18">
        <v>-31.085714265</v>
      </c>
      <c r="CM18">
        <v>-0.21434500000000001</v>
      </c>
      <c r="CN18">
        <v>-2.3265815949999999</v>
      </c>
      <c r="CO18" t="s">
        <v>114</v>
      </c>
      <c r="CP18">
        <v>1932.64326273045</v>
      </c>
      <c r="CQ18">
        <v>9.1887558049999998E-2</v>
      </c>
      <c r="CR18">
        <v>10.825963836385499</v>
      </c>
      <c r="CS18" t="s">
        <v>114</v>
      </c>
      <c r="CT18">
        <v>1932.64326273045</v>
      </c>
      <c r="CU18">
        <v>9.1887558049999998E-2</v>
      </c>
      <c r="CV18">
        <v>10.825963836385499</v>
      </c>
      <c r="CW18" t="s">
        <v>114</v>
      </c>
    </row>
    <row r="19" spans="1:101" x14ac:dyDescent="0.25">
      <c r="A19" t="s">
        <v>71</v>
      </c>
      <c r="B19">
        <v>10</v>
      </c>
      <c r="C19" t="s">
        <v>21</v>
      </c>
      <c r="D19" t="s">
        <v>94</v>
      </c>
      <c r="E19" t="s">
        <v>104</v>
      </c>
      <c r="F19" t="s">
        <v>145</v>
      </c>
      <c r="G19" t="s">
        <v>264</v>
      </c>
      <c r="H19" t="str">
        <f t="shared" si="0"/>
        <v>T.cyanopetala.Highcomp.Open</v>
      </c>
      <c r="I19" t="s">
        <v>679</v>
      </c>
      <c r="J19" t="s">
        <v>293</v>
      </c>
      <c r="K19">
        <v>1</v>
      </c>
      <c r="L19">
        <v>25</v>
      </c>
      <c r="M19">
        <v>140</v>
      </c>
      <c r="N19">
        <v>25</v>
      </c>
      <c r="O19">
        <f t="shared" si="3"/>
        <v>-115</v>
      </c>
      <c r="P19">
        <v>20</v>
      </c>
      <c r="Q19">
        <v>15</v>
      </c>
      <c r="R19">
        <v>5</v>
      </c>
      <c r="S19">
        <f t="shared" si="4"/>
        <v>10</v>
      </c>
      <c r="T19">
        <f t="shared" si="5"/>
        <v>0.4</v>
      </c>
      <c r="V19" t="s">
        <v>104</v>
      </c>
      <c r="W19">
        <v>50</v>
      </c>
      <c r="X19">
        <v>11.5</v>
      </c>
      <c r="Y19">
        <v>11.5</v>
      </c>
      <c r="Z19">
        <v>12.5</v>
      </c>
      <c r="AA19">
        <v>11.83333333</v>
      </c>
      <c r="AB19">
        <v>11.83333333</v>
      </c>
      <c r="AC19">
        <v>11.5</v>
      </c>
      <c r="AD19">
        <v>11.5</v>
      </c>
      <c r="AE19">
        <v>12.5</v>
      </c>
      <c r="AF19">
        <v>11.83333333</v>
      </c>
      <c r="AG19">
        <v>14.4</v>
      </c>
      <c r="AH19">
        <v>13</v>
      </c>
      <c r="AI19">
        <v>14</v>
      </c>
      <c r="AJ19">
        <v>13.8</v>
      </c>
      <c r="AK19">
        <v>14.9</v>
      </c>
      <c r="AL19">
        <v>17.399999999999999</v>
      </c>
      <c r="AM19">
        <v>18.399999999999999</v>
      </c>
      <c r="AN19">
        <v>16.899999999999999</v>
      </c>
      <c r="AO19">
        <v>13.8</v>
      </c>
      <c r="AP19">
        <v>3.6</v>
      </c>
      <c r="AQ19">
        <v>5.6</v>
      </c>
      <c r="AR19">
        <v>8.1</v>
      </c>
      <c r="AS19">
        <v>5.766666667</v>
      </c>
      <c r="AT19">
        <v>4.0999999999999996</v>
      </c>
      <c r="AU19">
        <v>6.1</v>
      </c>
      <c r="AV19">
        <v>7.6</v>
      </c>
      <c r="AW19">
        <v>5.9333333330000002</v>
      </c>
      <c r="AX19">
        <v>5.766666667</v>
      </c>
      <c r="AY19">
        <v>-6.0666666669999998</v>
      </c>
      <c r="AZ19">
        <v>15</v>
      </c>
      <c r="BA19">
        <v>20</v>
      </c>
      <c r="BB19">
        <v>0</v>
      </c>
      <c r="BC19">
        <v>40</v>
      </c>
      <c r="BD19">
        <v>0</v>
      </c>
      <c r="BE19">
        <v>1</v>
      </c>
      <c r="BF19">
        <v>0</v>
      </c>
      <c r="BG19">
        <v>1</v>
      </c>
      <c r="BI19">
        <v>6.9</v>
      </c>
      <c r="BJ19">
        <v>2.4950000000000001</v>
      </c>
      <c r="BK19">
        <v>0</v>
      </c>
      <c r="BL19">
        <v>3</v>
      </c>
      <c r="BM19">
        <v>3</v>
      </c>
      <c r="BN19">
        <v>8</v>
      </c>
      <c r="BO19">
        <v>150</v>
      </c>
      <c r="BP19">
        <f t="shared" si="6"/>
        <v>-142</v>
      </c>
      <c r="BQ19">
        <v>150</v>
      </c>
      <c r="BR19">
        <f t="shared" si="7"/>
        <v>-142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 t="s">
        <v>114</v>
      </c>
      <c r="BZ19" t="s">
        <v>114</v>
      </c>
      <c r="CA19" t="s">
        <v>114</v>
      </c>
      <c r="CB19" t="s">
        <v>114</v>
      </c>
      <c r="CC19" t="s">
        <v>114</v>
      </c>
      <c r="CD19" t="s">
        <v>114</v>
      </c>
      <c r="CE19">
        <v>0</v>
      </c>
      <c r="CF19" t="s">
        <v>114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 t="s">
        <v>114</v>
      </c>
      <c r="CP19" t="s">
        <v>114</v>
      </c>
      <c r="CQ19" t="s">
        <v>114</v>
      </c>
      <c r="CR19" t="s">
        <v>114</v>
      </c>
      <c r="CS19" t="s">
        <v>114</v>
      </c>
      <c r="CT19" t="s">
        <v>114</v>
      </c>
      <c r="CU19" t="s">
        <v>114</v>
      </c>
      <c r="CV19" t="s">
        <v>114</v>
      </c>
      <c r="CW19">
        <v>0</v>
      </c>
    </row>
    <row r="20" spans="1:101" x14ac:dyDescent="0.25">
      <c r="A20" t="s">
        <v>72</v>
      </c>
      <c r="B20">
        <v>10</v>
      </c>
      <c r="C20" t="s">
        <v>23</v>
      </c>
      <c r="D20" t="s">
        <v>95</v>
      </c>
      <c r="E20" t="s">
        <v>105</v>
      </c>
      <c r="F20" t="s">
        <v>145</v>
      </c>
      <c r="G20" t="s">
        <v>266</v>
      </c>
      <c r="H20" t="str">
        <f t="shared" si="0"/>
        <v>H.glabra.Highcomp.Shade</v>
      </c>
      <c r="I20" t="s">
        <v>676</v>
      </c>
      <c r="J20" t="s">
        <v>294</v>
      </c>
      <c r="K20">
        <v>1</v>
      </c>
      <c r="L20">
        <v>60</v>
      </c>
      <c r="M20">
        <v>35</v>
      </c>
      <c r="N20">
        <v>60</v>
      </c>
      <c r="O20">
        <f t="shared" si="3"/>
        <v>25</v>
      </c>
      <c r="P20">
        <v>150</v>
      </c>
      <c r="Q20">
        <v>150</v>
      </c>
      <c r="R20">
        <v>120</v>
      </c>
      <c r="S20">
        <f t="shared" si="4"/>
        <v>135</v>
      </c>
      <c r="T20">
        <f t="shared" si="5"/>
        <v>2.25</v>
      </c>
      <c r="U20" t="s">
        <v>792</v>
      </c>
      <c r="V20" t="s">
        <v>121</v>
      </c>
      <c r="W20" t="s">
        <v>114</v>
      </c>
      <c r="X20">
        <v>12</v>
      </c>
      <c r="Y20">
        <v>14.9</v>
      </c>
      <c r="Z20">
        <v>15.4</v>
      </c>
      <c r="AA20">
        <v>14.1</v>
      </c>
      <c r="AB20">
        <v>14.1</v>
      </c>
      <c r="AC20">
        <v>16.899999999999999</v>
      </c>
      <c r="AD20">
        <v>17.399999999999999</v>
      </c>
      <c r="AE20">
        <v>17.399999999999999</v>
      </c>
      <c r="AF20">
        <v>17.233333330000001</v>
      </c>
      <c r="AG20">
        <v>14.4</v>
      </c>
      <c r="AH20">
        <v>14.9</v>
      </c>
      <c r="AI20">
        <v>16.899999999999999</v>
      </c>
      <c r="AJ20">
        <v>15.4</v>
      </c>
      <c r="AK20">
        <v>21.3</v>
      </c>
      <c r="AL20">
        <v>18.399999999999999</v>
      </c>
      <c r="AM20">
        <v>19.3</v>
      </c>
      <c r="AN20">
        <v>19.666666670000001</v>
      </c>
      <c r="AO20">
        <v>15.4</v>
      </c>
      <c r="AP20">
        <v>8.5</v>
      </c>
      <c r="AQ20">
        <v>8.5</v>
      </c>
      <c r="AR20">
        <v>11</v>
      </c>
      <c r="AS20">
        <v>9.3333333330000006</v>
      </c>
      <c r="AT20">
        <v>8.5</v>
      </c>
      <c r="AU20">
        <v>8.5</v>
      </c>
      <c r="AV20">
        <v>9.5</v>
      </c>
      <c r="AW20">
        <v>8.8333333330000006</v>
      </c>
      <c r="AX20">
        <v>9.3333333330000006</v>
      </c>
      <c r="AY20">
        <v>-4.766666667</v>
      </c>
      <c r="AZ20">
        <v>20</v>
      </c>
      <c r="BA20">
        <v>0</v>
      </c>
      <c r="BB20">
        <v>1</v>
      </c>
      <c r="BC20">
        <v>5</v>
      </c>
      <c r="BD20">
        <v>0</v>
      </c>
      <c r="BE20">
        <v>1</v>
      </c>
      <c r="BF20">
        <v>0</v>
      </c>
      <c r="BG20">
        <v>5</v>
      </c>
      <c r="BI20">
        <v>7.9</v>
      </c>
      <c r="BJ20">
        <v>46.957999999999998</v>
      </c>
      <c r="BK20">
        <v>0</v>
      </c>
      <c r="BL20">
        <v>10</v>
      </c>
      <c r="BM20">
        <v>10</v>
      </c>
      <c r="BN20">
        <v>504</v>
      </c>
      <c r="BO20">
        <v>215.5</v>
      </c>
      <c r="BP20">
        <f t="shared" si="6"/>
        <v>288.5</v>
      </c>
      <c r="BQ20">
        <v>105</v>
      </c>
      <c r="BR20">
        <f t="shared" si="7"/>
        <v>399</v>
      </c>
      <c r="BS20">
        <v>20</v>
      </c>
      <c r="BT20">
        <v>0.38519902900000003</v>
      </c>
      <c r="BU20">
        <v>18.458924209999999</v>
      </c>
      <c r="BV20">
        <v>-20</v>
      </c>
      <c r="BW20">
        <v>0.38519902900000003</v>
      </c>
      <c r="BX20">
        <v>18.458924209999999</v>
      </c>
      <c r="BY20" t="s">
        <v>114</v>
      </c>
      <c r="BZ20" t="s">
        <v>114</v>
      </c>
      <c r="CA20" t="s">
        <v>114</v>
      </c>
      <c r="CB20" t="s">
        <v>114</v>
      </c>
      <c r="CC20" t="s">
        <v>114</v>
      </c>
      <c r="CD20" t="s">
        <v>114</v>
      </c>
      <c r="CE20">
        <v>1.9657163499999999</v>
      </c>
      <c r="CF20" t="s">
        <v>114</v>
      </c>
      <c r="CG20">
        <v>1.9657163499999999</v>
      </c>
      <c r="CH20">
        <v>20</v>
      </c>
      <c r="CI20">
        <v>0.38519902900000003</v>
      </c>
      <c r="CJ20">
        <v>18.458924209999999</v>
      </c>
      <c r="CK20">
        <v>1.9657163499999999</v>
      </c>
      <c r="CL20">
        <v>-20</v>
      </c>
      <c r="CM20">
        <v>0.38519902900000003</v>
      </c>
      <c r="CN20">
        <v>18.458924209999999</v>
      </c>
      <c r="CO20" t="s">
        <v>114</v>
      </c>
      <c r="CP20" t="s">
        <v>114</v>
      </c>
      <c r="CQ20" t="s">
        <v>114</v>
      </c>
      <c r="CR20" t="s">
        <v>114</v>
      </c>
      <c r="CS20" t="s">
        <v>114</v>
      </c>
      <c r="CT20" t="s">
        <v>114</v>
      </c>
      <c r="CU20" t="s">
        <v>114</v>
      </c>
      <c r="CV20" t="s">
        <v>114</v>
      </c>
      <c r="CW20">
        <v>1.9657163499999999</v>
      </c>
    </row>
    <row r="21" spans="1:101" x14ac:dyDescent="0.25">
      <c r="A21" t="s">
        <v>72</v>
      </c>
      <c r="B21">
        <v>10</v>
      </c>
      <c r="C21" t="s">
        <v>23</v>
      </c>
      <c r="D21" t="s">
        <v>95</v>
      </c>
      <c r="E21" t="s">
        <v>111</v>
      </c>
      <c r="F21" t="s">
        <v>145</v>
      </c>
      <c r="G21" t="s">
        <v>263</v>
      </c>
      <c r="H21" t="str">
        <f t="shared" si="0"/>
        <v>P.canescens.Highcomp.Shade</v>
      </c>
      <c r="I21" t="s">
        <v>671</v>
      </c>
      <c r="J21" t="s">
        <v>295</v>
      </c>
      <c r="K21">
        <v>0</v>
      </c>
      <c r="L21">
        <v>80</v>
      </c>
      <c r="M21">
        <v>280</v>
      </c>
      <c r="N21">
        <v>80</v>
      </c>
      <c r="O21">
        <f t="shared" si="3"/>
        <v>-200</v>
      </c>
      <c r="P21">
        <v>70</v>
      </c>
      <c r="Q21">
        <v>70</v>
      </c>
      <c r="R21">
        <v>45</v>
      </c>
      <c r="S21">
        <f t="shared" si="4"/>
        <v>57.5</v>
      </c>
      <c r="T21">
        <f t="shared" si="5"/>
        <v>0.71875</v>
      </c>
      <c r="U21" t="s">
        <v>29</v>
      </c>
      <c r="V21" t="s">
        <v>121</v>
      </c>
      <c r="W21" t="s">
        <v>114</v>
      </c>
      <c r="X21">
        <v>12</v>
      </c>
      <c r="Y21">
        <v>14.9</v>
      </c>
      <c r="Z21">
        <v>15.4</v>
      </c>
      <c r="AA21">
        <v>14.1</v>
      </c>
      <c r="AB21">
        <v>14.1</v>
      </c>
      <c r="AC21">
        <v>16.399999999999999</v>
      </c>
      <c r="AD21">
        <v>18.399999999999999</v>
      </c>
      <c r="AE21">
        <v>18.399999999999999</v>
      </c>
      <c r="AF21">
        <v>17.733333330000001</v>
      </c>
      <c r="AG21">
        <v>14.4</v>
      </c>
      <c r="AH21">
        <v>14.9</v>
      </c>
      <c r="AI21">
        <v>16.899999999999999</v>
      </c>
      <c r="AJ21">
        <v>15.4</v>
      </c>
      <c r="AK21">
        <v>19.8</v>
      </c>
      <c r="AL21">
        <v>18.399999999999999</v>
      </c>
      <c r="AM21">
        <v>19.8</v>
      </c>
      <c r="AN21">
        <v>19.333333329999999</v>
      </c>
      <c r="AO21">
        <v>15.4</v>
      </c>
      <c r="AP21">
        <v>8.5</v>
      </c>
      <c r="AQ21">
        <v>8.5</v>
      </c>
      <c r="AR21">
        <v>11</v>
      </c>
      <c r="AS21">
        <v>9.3333333330000006</v>
      </c>
      <c r="AT21">
        <v>8.5</v>
      </c>
      <c r="AU21">
        <v>8.5</v>
      </c>
      <c r="AV21">
        <v>11</v>
      </c>
      <c r="AW21">
        <v>9.3333333330000006</v>
      </c>
      <c r="AX21">
        <v>9.3333333330000006</v>
      </c>
      <c r="AY21">
        <v>-4.766666667</v>
      </c>
      <c r="AZ21">
        <v>20</v>
      </c>
      <c r="BA21">
        <v>0</v>
      </c>
      <c r="BB21">
        <v>1</v>
      </c>
      <c r="BC21">
        <v>5</v>
      </c>
      <c r="BD21">
        <v>0</v>
      </c>
      <c r="BE21">
        <v>1</v>
      </c>
      <c r="BF21">
        <v>0</v>
      </c>
      <c r="BG21">
        <v>5</v>
      </c>
      <c r="BI21">
        <v>7.9</v>
      </c>
      <c r="BJ21">
        <v>46.957999999999998</v>
      </c>
      <c r="BK21">
        <v>0</v>
      </c>
      <c r="BL21">
        <v>12</v>
      </c>
      <c r="BM21">
        <v>8</v>
      </c>
      <c r="BN21">
        <v>444</v>
      </c>
      <c r="BO21">
        <v>639.25</v>
      </c>
      <c r="BP21">
        <f t="shared" si="6"/>
        <v>-195.25</v>
      </c>
      <c r="BQ21">
        <v>848</v>
      </c>
      <c r="BR21">
        <f t="shared" si="7"/>
        <v>-404</v>
      </c>
      <c r="BS21" t="s">
        <v>114</v>
      </c>
      <c r="BT21" t="s">
        <v>114</v>
      </c>
      <c r="BU21" t="s">
        <v>114</v>
      </c>
      <c r="BV21" t="s">
        <v>114</v>
      </c>
      <c r="BW21" t="s">
        <v>114</v>
      </c>
      <c r="BX21" t="s">
        <v>114</v>
      </c>
      <c r="BY21" t="s">
        <v>114</v>
      </c>
      <c r="BZ21" t="s">
        <v>114</v>
      </c>
      <c r="CA21" t="s">
        <v>114</v>
      </c>
      <c r="CB21" t="s">
        <v>114</v>
      </c>
      <c r="CC21" t="s">
        <v>114</v>
      </c>
      <c r="CD21" t="s">
        <v>114</v>
      </c>
      <c r="CE21" t="s">
        <v>114</v>
      </c>
      <c r="CF21" t="s">
        <v>114</v>
      </c>
      <c r="CG21" t="s">
        <v>114</v>
      </c>
      <c r="CH21" t="s">
        <v>114</v>
      </c>
      <c r="CI21" t="s">
        <v>114</v>
      </c>
      <c r="CJ21" t="s">
        <v>114</v>
      </c>
      <c r="CK21" t="s">
        <v>114</v>
      </c>
      <c r="CL21" t="s">
        <v>114</v>
      </c>
      <c r="CM21" t="s">
        <v>114</v>
      </c>
      <c r="CN21" t="s">
        <v>114</v>
      </c>
      <c r="CO21" t="s">
        <v>114</v>
      </c>
      <c r="CP21" t="s">
        <v>114</v>
      </c>
      <c r="CQ21" t="s">
        <v>114</v>
      </c>
      <c r="CR21" t="s">
        <v>114</v>
      </c>
      <c r="CS21" t="s">
        <v>114</v>
      </c>
      <c r="CT21" t="s">
        <v>114</v>
      </c>
      <c r="CU21" t="s">
        <v>114</v>
      </c>
      <c r="CV21" t="s">
        <v>114</v>
      </c>
      <c r="CW21" t="s">
        <v>114</v>
      </c>
    </row>
    <row r="22" spans="1:101" x14ac:dyDescent="0.25">
      <c r="A22" t="s">
        <v>72</v>
      </c>
      <c r="B22">
        <v>10</v>
      </c>
      <c r="C22" t="s">
        <v>23</v>
      </c>
      <c r="D22" t="s">
        <v>95</v>
      </c>
      <c r="E22" t="s">
        <v>104</v>
      </c>
      <c r="F22" t="s">
        <v>145</v>
      </c>
      <c r="G22" t="s">
        <v>264</v>
      </c>
      <c r="H22" t="str">
        <f t="shared" si="0"/>
        <v>T.cyanopetala.Highcomp.Shade</v>
      </c>
      <c r="I22" t="s">
        <v>672</v>
      </c>
      <c r="J22" t="s">
        <v>296</v>
      </c>
      <c r="K22">
        <v>2</v>
      </c>
      <c r="L22">
        <v>20</v>
      </c>
      <c r="M22">
        <v>120</v>
      </c>
      <c r="N22">
        <v>20</v>
      </c>
      <c r="O22">
        <f t="shared" si="3"/>
        <v>-100</v>
      </c>
      <c r="P22">
        <v>13</v>
      </c>
      <c r="Q22">
        <v>12</v>
      </c>
      <c r="R22">
        <v>5</v>
      </c>
      <c r="S22">
        <f t="shared" si="4"/>
        <v>8.5</v>
      </c>
      <c r="T22">
        <f t="shared" si="5"/>
        <v>0.42499999999999999</v>
      </c>
      <c r="U22" t="s">
        <v>29</v>
      </c>
      <c r="V22" t="s">
        <v>104</v>
      </c>
      <c r="W22">
        <v>15</v>
      </c>
      <c r="X22">
        <v>12</v>
      </c>
      <c r="Y22">
        <v>14.9</v>
      </c>
      <c r="Z22">
        <v>15.4</v>
      </c>
      <c r="AA22">
        <v>14.1</v>
      </c>
      <c r="AB22">
        <v>14.1</v>
      </c>
      <c r="AC22">
        <v>12.5</v>
      </c>
      <c r="AD22">
        <v>13</v>
      </c>
      <c r="AE22">
        <v>13.5</v>
      </c>
      <c r="AF22">
        <v>13</v>
      </c>
      <c r="AG22">
        <v>14.4</v>
      </c>
      <c r="AH22">
        <v>14.9</v>
      </c>
      <c r="AI22">
        <v>16.899999999999999</v>
      </c>
      <c r="AJ22">
        <v>15.4</v>
      </c>
      <c r="AK22">
        <v>13.5</v>
      </c>
      <c r="AL22">
        <v>14.9</v>
      </c>
      <c r="AM22">
        <v>14.9</v>
      </c>
      <c r="AN22">
        <v>14.43333333</v>
      </c>
      <c r="AO22">
        <v>15.4</v>
      </c>
      <c r="AP22">
        <v>8.5</v>
      </c>
      <c r="AQ22">
        <v>8.5</v>
      </c>
      <c r="AR22">
        <v>11</v>
      </c>
      <c r="AS22">
        <v>9.3333333330000006</v>
      </c>
      <c r="AT22">
        <v>5.6</v>
      </c>
      <c r="AU22">
        <v>5.6</v>
      </c>
      <c r="AV22">
        <v>6.1</v>
      </c>
      <c r="AW22">
        <v>5.766666667</v>
      </c>
      <c r="AX22">
        <v>9.3333333330000006</v>
      </c>
      <c r="AY22">
        <v>-4.766666667</v>
      </c>
      <c r="AZ22">
        <v>20</v>
      </c>
      <c r="BA22">
        <v>0</v>
      </c>
      <c r="BB22">
        <v>1</v>
      </c>
      <c r="BC22">
        <v>5</v>
      </c>
      <c r="BD22">
        <v>0</v>
      </c>
      <c r="BE22">
        <v>1</v>
      </c>
      <c r="BF22">
        <v>0</v>
      </c>
      <c r="BG22">
        <v>5</v>
      </c>
      <c r="BI22">
        <v>7.9</v>
      </c>
      <c r="BJ22">
        <v>46.957999999999998</v>
      </c>
      <c r="BK22">
        <v>0</v>
      </c>
      <c r="BL22">
        <v>2</v>
      </c>
      <c r="BM22">
        <v>2</v>
      </c>
      <c r="BN22">
        <v>6</v>
      </c>
      <c r="BO22">
        <v>21</v>
      </c>
      <c r="BP22">
        <f t="shared" si="6"/>
        <v>-15</v>
      </c>
      <c r="BQ22">
        <v>42</v>
      </c>
      <c r="BR22">
        <f t="shared" si="7"/>
        <v>-36</v>
      </c>
      <c r="BS22">
        <v>19.46875</v>
      </c>
      <c r="BT22">
        <v>2.0128571500000001E-2</v>
      </c>
      <c r="BU22">
        <v>2.28468128</v>
      </c>
      <c r="BV22">
        <v>19.46875</v>
      </c>
      <c r="BW22">
        <v>2.0128571500000001E-2</v>
      </c>
      <c r="BX22">
        <v>2.28468128</v>
      </c>
      <c r="BY22">
        <v>758.064453125</v>
      </c>
      <c r="BZ22">
        <v>8.1031878126122496E-4</v>
      </c>
      <c r="CA22">
        <v>10.4395371023649</v>
      </c>
      <c r="CB22">
        <v>758.064453125</v>
      </c>
      <c r="CC22">
        <v>8.1031878126122496E-4</v>
      </c>
      <c r="CD22">
        <v>10.4395371023649</v>
      </c>
      <c r="CE22">
        <v>7.1456640000000002E-2</v>
      </c>
      <c r="CF22">
        <v>1.02121028001792E-2</v>
      </c>
      <c r="CG22">
        <v>7.1456640000000002E-2</v>
      </c>
      <c r="CH22">
        <v>19.46875</v>
      </c>
      <c r="CI22">
        <v>2.0128571500000001E-2</v>
      </c>
      <c r="CJ22">
        <v>2.28468128</v>
      </c>
      <c r="CK22">
        <v>7.1456640000000002E-2</v>
      </c>
      <c r="CL22">
        <v>19.46875</v>
      </c>
      <c r="CM22">
        <v>2.0128571500000001E-2</v>
      </c>
      <c r="CN22">
        <v>2.28468128</v>
      </c>
      <c r="CO22">
        <v>1.02121028001792E-2</v>
      </c>
      <c r="CP22">
        <v>758.064453125</v>
      </c>
      <c r="CQ22">
        <v>8.1031878126122496E-4</v>
      </c>
      <c r="CR22">
        <v>10.4395371023649</v>
      </c>
      <c r="CS22">
        <v>1.02121028001792E-2</v>
      </c>
      <c r="CT22">
        <v>758.064453125</v>
      </c>
      <c r="CU22">
        <v>8.1031878126122496E-4</v>
      </c>
      <c r="CV22">
        <v>10.4395371023649</v>
      </c>
      <c r="CW22">
        <v>7.1456640000000002E-2</v>
      </c>
    </row>
    <row r="23" spans="1:101" x14ac:dyDescent="0.25">
      <c r="A23" t="s">
        <v>72</v>
      </c>
      <c r="B23">
        <v>10</v>
      </c>
      <c r="C23" t="s">
        <v>23</v>
      </c>
      <c r="D23" t="s">
        <v>95</v>
      </c>
      <c r="E23" t="s">
        <v>112</v>
      </c>
      <c r="F23" t="s">
        <v>145</v>
      </c>
      <c r="G23" t="s">
        <v>261</v>
      </c>
      <c r="H23" t="str">
        <f t="shared" si="0"/>
        <v>V.rosea.Highcomp.Shade</v>
      </c>
      <c r="I23" t="s">
        <v>675</v>
      </c>
      <c r="J23" t="s">
        <v>297</v>
      </c>
      <c r="K23">
        <v>1</v>
      </c>
      <c r="L23">
        <v>40</v>
      </c>
      <c r="M23">
        <v>100</v>
      </c>
      <c r="N23">
        <v>40</v>
      </c>
      <c r="O23">
        <f t="shared" si="3"/>
        <v>-60</v>
      </c>
      <c r="P23">
        <v>50</v>
      </c>
      <c r="Q23">
        <v>140</v>
      </c>
      <c r="R23">
        <v>80</v>
      </c>
      <c r="S23">
        <f t="shared" si="4"/>
        <v>110</v>
      </c>
      <c r="T23">
        <f t="shared" si="5"/>
        <v>2.75</v>
      </c>
      <c r="V23" t="s">
        <v>121</v>
      </c>
      <c r="W23" t="s">
        <v>114</v>
      </c>
      <c r="X23">
        <v>12</v>
      </c>
      <c r="Y23">
        <v>14.9</v>
      </c>
      <c r="Z23">
        <v>15.4</v>
      </c>
      <c r="AA23">
        <v>14.1</v>
      </c>
      <c r="AB23">
        <v>14.1</v>
      </c>
      <c r="AC23">
        <v>14.9</v>
      </c>
      <c r="AD23">
        <v>14.9</v>
      </c>
      <c r="AE23">
        <v>14.9</v>
      </c>
      <c r="AF23">
        <v>14.9</v>
      </c>
      <c r="AG23">
        <v>14.4</v>
      </c>
      <c r="AH23">
        <v>14.9</v>
      </c>
      <c r="AI23">
        <v>16.899999999999999</v>
      </c>
      <c r="AJ23">
        <v>15.4</v>
      </c>
      <c r="AK23">
        <v>14.9</v>
      </c>
      <c r="AL23">
        <v>16.899999999999999</v>
      </c>
      <c r="AM23">
        <v>17.399999999999999</v>
      </c>
      <c r="AN23">
        <v>16.399999999999999</v>
      </c>
      <c r="AO23">
        <v>15.4</v>
      </c>
      <c r="AP23">
        <v>8.5</v>
      </c>
      <c r="AQ23">
        <v>8.5</v>
      </c>
      <c r="AR23">
        <v>11</v>
      </c>
      <c r="AS23">
        <v>9.3333333330000006</v>
      </c>
      <c r="AT23">
        <v>7.6</v>
      </c>
      <c r="AU23">
        <v>7.6</v>
      </c>
      <c r="AV23">
        <v>9</v>
      </c>
      <c r="AW23">
        <v>8.0666666669999998</v>
      </c>
      <c r="AX23">
        <v>9.3333333330000006</v>
      </c>
      <c r="AY23">
        <v>-4.766666667</v>
      </c>
      <c r="AZ23">
        <v>20</v>
      </c>
      <c r="BA23">
        <v>0</v>
      </c>
      <c r="BB23">
        <v>1</v>
      </c>
      <c r="BC23">
        <v>5</v>
      </c>
      <c r="BD23">
        <v>0</v>
      </c>
      <c r="BE23">
        <v>1</v>
      </c>
      <c r="BF23">
        <v>0</v>
      </c>
      <c r="BG23">
        <v>5</v>
      </c>
      <c r="BI23">
        <v>7.9</v>
      </c>
      <c r="BJ23">
        <v>46.957999999999998</v>
      </c>
      <c r="BK23">
        <v>0</v>
      </c>
      <c r="BL23">
        <v>0</v>
      </c>
      <c r="BM23">
        <v>0</v>
      </c>
      <c r="BN23">
        <v>0</v>
      </c>
      <c r="BO23">
        <v>155</v>
      </c>
      <c r="BP23">
        <f t="shared" si="6"/>
        <v>-155</v>
      </c>
      <c r="BQ23">
        <v>155</v>
      </c>
      <c r="BR23">
        <f t="shared" si="7"/>
        <v>-155</v>
      </c>
      <c r="BS23">
        <v>22.40625</v>
      </c>
      <c r="BT23">
        <v>2.2574700270000001</v>
      </c>
      <c r="BU23">
        <v>8.4170409999999993</v>
      </c>
      <c r="BV23">
        <v>-22.40625</v>
      </c>
      <c r="BW23">
        <v>2.2574700270000001</v>
      </c>
      <c r="BX23">
        <v>8.4170409999999993</v>
      </c>
      <c r="BY23" t="s">
        <v>114</v>
      </c>
      <c r="BZ23" t="s">
        <v>114</v>
      </c>
      <c r="CA23" t="s">
        <v>114</v>
      </c>
      <c r="CB23" t="s">
        <v>114</v>
      </c>
      <c r="CC23" t="s">
        <v>114</v>
      </c>
      <c r="CD23" t="s">
        <v>114</v>
      </c>
      <c r="CE23">
        <v>2.0818590499999998</v>
      </c>
      <c r="CF23" t="s">
        <v>114</v>
      </c>
      <c r="CG23">
        <v>2.0818590499999998</v>
      </c>
      <c r="CH23">
        <v>22.40625</v>
      </c>
      <c r="CI23">
        <v>2.2574700270000001</v>
      </c>
      <c r="CJ23">
        <v>8.4170409999999993</v>
      </c>
      <c r="CK23">
        <v>2.0818590499999998</v>
      </c>
      <c r="CL23">
        <v>-22.40625</v>
      </c>
      <c r="CM23">
        <v>2.2574700270000001</v>
      </c>
      <c r="CN23">
        <v>8.4170409999999993</v>
      </c>
      <c r="CO23" t="s">
        <v>114</v>
      </c>
      <c r="CP23" t="s">
        <v>114</v>
      </c>
      <c r="CQ23" t="s">
        <v>114</v>
      </c>
      <c r="CR23" t="s">
        <v>114</v>
      </c>
      <c r="CS23" t="s">
        <v>114</v>
      </c>
      <c r="CT23" t="s">
        <v>114</v>
      </c>
      <c r="CU23" t="s">
        <v>114</v>
      </c>
      <c r="CV23" t="s">
        <v>114</v>
      </c>
      <c r="CW23">
        <v>2.0818590499999998</v>
      </c>
    </row>
    <row r="24" spans="1:101" x14ac:dyDescent="0.25">
      <c r="A24" t="s">
        <v>73</v>
      </c>
      <c r="B24">
        <v>10</v>
      </c>
      <c r="C24" t="s">
        <v>25</v>
      </c>
      <c r="D24" t="s">
        <v>94</v>
      </c>
      <c r="E24" t="s">
        <v>105</v>
      </c>
      <c r="F24" t="s">
        <v>145</v>
      </c>
      <c r="G24" t="s">
        <v>266</v>
      </c>
      <c r="H24" t="str">
        <f t="shared" si="0"/>
        <v>H.glabra.Highcomp.Open</v>
      </c>
      <c r="I24" t="s">
        <v>680</v>
      </c>
      <c r="J24" t="s">
        <v>298</v>
      </c>
      <c r="K24">
        <v>1</v>
      </c>
      <c r="L24">
        <v>30</v>
      </c>
      <c r="M24">
        <v>45</v>
      </c>
      <c r="N24">
        <v>30</v>
      </c>
      <c r="O24">
        <f t="shared" si="3"/>
        <v>-15</v>
      </c>
      <c r="P24">
        <v>70</v>
      </c>
      <c r="Q24">
        <v>70</v>
      </c>
      <c r="R24">
        <v>20</v>
      </c>
      <c r="S24">
        <f t="shared" si="4"/>
        <v>45</v>
      </c>
      <c r="T24">
        <f t="shared" si="5"/>
        <v>1.5</v>
      </c>
      <c r="U24" t="s">
        <v>15</v>
      </c>
      <c r="V24" t="s">
        <v>112</v>
      </c>
      <c r="W24">
        <v>60</v>
      </c>
      <c r="X24">
        <v>12.5</v>
      </c>
      <c r="Y24">
        <v>15.4</v>
      </c>
      <c r="Z24">
        <v>14.9</v>
      </c>
      <c r="AA24">
        <v>14.266666669999999</v>
      </c>
      <c r="AB24">
        <v>14.266666669999999</v>
      </c>
      <c r="AC24">
        <v>12.5</v>
      </c>
      <c r="AD24">
        <v>11</v>
      </c>
      <c r="AE24">
        <v>14.4</v>
      </c>
      <c r="AF24">
        <v>12.633333329999999</v>
      </c>
      <c r="AG24">
        <v>13.9</v>
      </c>
      <c r="AH24">
        <v>13.9</v>
      </c>
      <c r="AI24">
        <v>15.9</v>
      </c>
      <c r="AJ24">
        <v>14.56666667</v>
      </c>
      <c r="AK24">
        <v>13.9</v>
      </c>
      <c r="AL24">
        <v>12</v>
      </c>
      <c r="AM24">
        <v>14.4</v>
      </c>
      <c r="AN24">
        <v>13.43333333</v>
      </c>
      <c r="AO24">
        <v>14.56666667</v>
      </c>
      <c r="AP24">
        <v>4.0999999999999996</v>
      </c>
      <c r="AQ24">
        <v>6.6</v>
      </c>
      <c r="AR24">
        <v>6.6</v>
      </c>
      <c r="AS24">
        <v>5.766666667</v>
      </c>
      <c r="AT24">
        <v>6.6</v>
      </c>
      <c r="AU24">
        <v>5.6</v>
      </c>
      <c r="AV24">
        <v>5.0999999999999996</v>
      </c>
      <c r="AW24">
        <v>5.766666667</v>
      </c>
      <c r="AX24">
        <v>5.766666667</v>
      </c>
      <c r="AY24">
        <v>-8.5</v>
      </c>
      <c r="AZ24">
        <v>45</v>
      </c>
      <c r="BA24">
        <v>0</v>
      </c>
      <c r="BB24">
        <v>1</v>
      </c>
      <c r="BC24">
        <v>8</v>
      </c>
      <c r="BD24">
        <v>0</v>
      </c>
      <c r="BE24">
        <v>0</v>
      </c>
      <c r="BF24">
        <v>0</v>
      </c>
      <c r="BG24">
        <v>2</v>
      </c>
      <c r="BI24">
        <v>9.6999999999999993</v>
      </c>
      <c r="BJ24">
        <v>7.2759999999999998</v>
      </c>
      <c r="BK24">
        <v>0</v>
      </c>
      <c r="BL24">
        <v>9</v>
      </c>
      <c r="BM24">
        <v>9</v>
      </c>
      <c r="BN24">
        <v>266</v>
      </c>
      <c r="BO24">
        <v>257.5</v>
      </c>
      <c r="BP24">
        <f t="shared" si="6"/>
        <v>8.5</v>
      </c>
      <c r="BQ24">
        <v>177</v>
      </c>
      <c r="BR24">
        <f t="shared" si="7"/>
        <v>89</v>
      </c>
      <c r="BS24">
        <v>2.40625</v>
      </c>
      <c r="BT24">
        <v>1.8722709980000001</v>
      </c>
      <c r="BU24">
        <v>10.04188321</v>
      </c>
      <c r="BV24">
        <v>2.40625</v>
      </c>
      <c r="BW24">
        <v>-1.8722709980000001</v>
      </c>
      <c r="BX24">
        <v>10.04188321</v>
      </c>
      <c r="BY24" t="s">
        <v>114</v>
      </c>
      <c r="BZ24" t="s">
        <v>114</v>
      </c>
      <c r="CA24" t="s">
        <v>114</v>
      </c>
      <c r="CB24" t="s">
        <v>114</v>
      </c>
      <c r="CC24" t="s">
        <v>114</v>
      </c>
      <c r="CD24" t="s">
        <v>114</v>
      </c>
      <c r="CE24">
        <v>0.1161427</v>
      </c>
      <c r="CF24" t="s">
        <v>114</v>
      </c>
      <c r="CG24">
        <v>0.1161427</v>
      </c>
      <c r="CH24">
        <v>2.40625</v>
      </c>
      <c r="CI24">
        <v>1.8722709980000001</v>
      </c>
      <c r="CJ24">
        <v>10.04188321</v>
      </c>
      <c r="CK24">
        <v>-0.1161427</v>
      </c>
      <c r="CL24">
        <v>2.40625</v>
      </c>
      <c r="CM24">
        <v>-1.8722709980000001</v>
      </c>
      <c r="CN24">
        <v>10.04188321</v>
      </c>
      <c r="CO24" t="s">
        <v>114</v>
      </c>
      <c r="CP24" t="s">
        <v>114</v>
      </c>
      <c r="CQ24" t="s">
        <v>114</v>
      </c>
      <c r="CR24" t="s">
        <v>114</v>
      </c>
      <c r="CS24" t="s">
        <v>114</v>
      </c>
      <c r="CT24" t="s">
        <v>114</v>
      </c>
      <c r="CU24" t="s">
        <v>114</v>
      </c>
      <c r="CV24" t="s">
        <v>114</v>
      </c>
      <c r="CW24">
        <v>-0.1161427</v>
      </c>
    </row>
    <row r="25" spans="1:101" x14ac:dyDescent="0.25">
      <c r="A25" t="s">
        <v>73</v>
      </c>
      <c r="B25">
        <v>10</v>
      </c>
      <c r="C25" t="s">
        <v>25</v>
      </c>
      <c r="D25" t="s">
        <v>94</v>
      </c>
      <c r="E25" t="s">
        <v>110</v>
      </c>
      <c r="F25" t="s">
        <v>145</v>
      </c>
      <c r="G25" t="s">
        <v>262</v>
      </c>
      <c r="H25" t="str">
        <f t="shared" si="0"/>
        <v>M.minima.Highcomp.Open</v>
      </c>
      <c r="I25" t="s">
        <v>681</v>
      </c>
      <c r="J25" t="s">
        <v>299</v>
      </c>
      <c r="K25">
        <v>5</v>
      </c>
      <c r="L25">
        <v>25</v>
      </c>
      <c r="M25">
        <v>25</v>
      </c>
      <c r="N25">
        <v>25</v>
      </c>
      <c r="O25">
        <f t="shared" si="3"/>
        <v>0</v>
      </c>
      <c r="P25">
        <v>6</v>
      </c>
      <c r="Q25">
        <v>4</v>
      </c>
      <c r="R25">
        <v>3</v>
      </c>
      <c r="S25">
        <f t="shared" si="4"/>
        <v>3.5</v>
      </c>
      <c r="T25">
        <f t="shared" si="5"/>
        <v>0.14000000000000001</v>
      </c>
      <c r="V25" t="s">
        <v>110</v>
      </c>
      <c r="W25">
        <v>25</v>
      </c>
      <c r="X25">
        <v>12.5</v>
      </c>
      <c r="Y25">
        <v>15.4</v>
      </c>
      <c r="Z25">
        <v>14.9</v>
      </c>
      <c r="AA25">
        <v>14.266666669999999</v>
      </c>
      <c r="AB25">
        <v>14.266666669999999</v>
      </c>
      <c r="AC25">
        <v>12</v>
      </c>
      <c r="AD25">
        <v>13.9</v>
      </c>
      <c r="AE25">
        <v>14.4</v>
      </c>
      <c r="AF25">
        <v>13.43333333</v>
      </c>
      <c r="AG25">
        <v>13.9</v>
      </c>
      <c r="AH25">
        <v>13.9</v>
      </c>
      <c r="AI25">
        <v>15.9</v>
      </c>
      <c r="AJ25">
        <v>14.56666667</v>
      </c>
      <c r="AK25">
        <v>10</v>
      </c>
      <c r="AL25">
        <v>13</v>
      </c>
      <c r="AM25">
        <v>9.5</v>
      </c>
      <c r="AN25">
        <v>10.83333333</v>
      </c>
      <c r="AO25">
        <v>14.56666667</v>
      </c>
      <c r="AP25">
        <v>4.0999999999999996</v>
      </c>
      <c r="AQ25">
        <v>6.6</v>
      </c>
      <c r="AR25">
        <v>6.6</v>
      </c>
      <c r="AS25">
        <v>5.766666667</v>
      </c>
      <c r="AT25">
        <v>5.0999999999999996</v>
      </c>
      <c r="AU25">
        <v>5.0999999999999996</v>
      </c>
      <c r="AV25">
        <v>7</v>
      </c>
      <c r="AW25">
        <v>5.733333333</v>
      </c>
      <c r="AX25">
        <v>5.766666667</v>
      </c>
      <c r="AY25">
        <v>-8.5</v>
      </c>
      <c r="AZ25">
        <v>45</v>
      </c>
      <c r="BA25">
        <v>0</v>
      </c>
      <c r="BB25">
        <v>1</v>
      </c>
      <c r="BC25">
        <v>8</v>
      </c>
      <c r="BD25">
        <v>0</v>
      </c>
      <c r="BE25">
        <v>0</v>
      </c>
      <c r="BF25">
        <v>0</v>
      </c>
      <c r="BG25">
        <v>2</v>
      </c>
      <c r="BI25">
        <v>9.6999999999999993</v>
      </c>
      <c r="BJ25">
        <v>7.2759999999999998</v>
      </c>
      <c r="BK25">
        <v>0</v>
      </c>
      <c r="BL25">
        <v>2</v>
      </c>
      <c r="BM25">
        <v>2</v>
      </c>
      <c r="BN25">
        <v>2</v>
      </c>
      <c r="BO25">
        <v>7.6666670000000003</v>
      </c>
      <c r="BP25">
        <f t="shared" si="6"/>
        <v>-5.6666670000000003</v>
      </c>
      <c r="BQ25">
        <v>9</v>
      </c>
      <c r="BR25">
        <f t="shared" si="7"/>
        <v>-7</v>
      </c>
      <c r="BS25">
        <v>19.576086953333299</v>
      </c>
      <c r="BT25">
        <v>0.184457597333333</v>
      </c>
      <c r="BU25">
        <v>2.1429025199999998</v>
      </c>
      <c r="BV25">
        <v>-19.576086953333299</v>
      </c>
      <c r="BW25">
        <v>0.184457597333333</v>
      </c>
      <c r="BX25">
        <v>0.37935110666666699</v>
      </c>
      <c r="BY25">
        <v>598.05801030335101</v>
      </c>
      <c r="BZ25">
        <v>4.2089364252379899E-2</v>
      </c>
      <c r="CA25">
        <v>3.7678147474575199</v>
      </c>
      <c r="CB25">
        <v>598.05801030335101</v>
      </c>
      <c r="CC25">
        <v>4.2089364252379899E-2</v>
      </c>
      <c r="CD25">
        <v>10.4400006695972</v>
      </c>
      <c r="CE25" t="s">
        <v>114</v>
      </c>
      <c r="CF25" t="s">
        <v>114</v>
      </c>
      <c r="CG25" t="s">
        <v>114</v>
      </c>
      <c r="CH25">
        <v>11.745652172</v>
      </c>
      <c r="CI25">
        <v>0.1106745584</v>
      </c>
      <c r="CJ25">
        <v>1.285741512</v>
      </c>
      <c r="CK25" t="s">
        <v>114</v>
      </c>
      <c r="CL25">
        <v>-11.745652172</v>
      </c>
      <c r="CM25">
        <v>0.1106745584</v>
      </c>
      <c r="CN25">
        <v>0.22761066399999999</v>
      </c>
      <c r="CO25" t="s">
        <v>114</v>
      </c>
      <c r="CP25">
        <v>413.99595927301601</v>
      </c>
      <c r="CQ25">
        <v>3.1252063690385801E-2</v>
      </c>
      <c r="CR25">
        <v>3.2615167367954601</v>
      </c>
      <c r="CS25" t="s">
        <v>114</v>
      </c>
      <c r="CT25">
        <v>413.99595927301601</v>
      </c>
      <c r="CU25">
        <v>3.1252063690385801E-2</v>
      </c>
      <c r="CV25">
        <v>5.2631725134373699</v>
      </c>
      <c r="CW25" t="s">
        <v>114</v>
      </c>
    </row>
    <row r="26" spans="1:101" x14ac:dyDescent="0.25">
      <c r="A26" t="s">
        <v>73</v>
      </c>
      <c r="B26">
        <v>10</v>
      </c>
      <c r="C26" t="s">
        <v>25</v>
      </c>
      <c r="D26" t="s">
        <v>94</v>
      </c>
      <c r="E26" t="s">
        <v>104</v>
      </c>
      <c r="F26" t="s">
        <v>145</v>
      </c>
      <c r="G26" t="s">
        <v>264</v>
      </c>
      <c r="H26" t="str">
        <f t="shared" si="0"/>
        <v>T.cyanopetala.Highcomp.Open</v>
      </c>
      <c r="I26" t="s">
        <v>679</v>
      </c>
      <c r="J26" t="s">
        <v>300</v>
      </c>
      <c r="K26">
        <v>1</v>
      </c>
      <c r="L26">
        <v>30</v>
      </c>
      <c r="M26">
        <v>45</v>
      </c>
      <c r="N26">
        <v>30</v>
      </c>
      <c r="O26">
        <f t="shared" si="3"/>
        <v>-15</v>
      </c>
      <c r="P26">
        <v>24</v>
      </c>
      <c r="Q26">
        <v>20</v>
      </c>
      <c r="R26">
        <v>10</v>
      </c>
      <c r="S26">
        <f t="shared" si="4"/>
        <v>15</v>
      </c>
      <c r="T26">
        <f t="shared" si="5"/>
        <v>0.5</v>
      </c>
      <c r="V26" t="s">
        <v>104</v>
      </c>
      <c r="W26">
        <v>40</v>
      </c>
      <c r="X26">
        <v>12.5</v>
      </c>
      <c r="Y26">
        <v>15.4</v>
      </c>
      <c r="Z26">
        <v>14.9</v>
      </c>
      <c r="AA26">
        <v>14.266666669999999</v>
      </c>
      <c r="AB26">
        <v>14.266666669999999</v>
      </c>
      <c r="AC26">
        <v>12.5</v>
      </c>
      <c r="AD26">
        <v>12.5</v>
      </c>
      <c r="AE26">
        <v>11.5</v>
      </c>
      <c r="AF26">
        <v>12.16666667</v>
      </c>
      <c r="AG26">
        <v>13.9</v>
      </c>
      <c r="AH26">
        <v>13.9</v>
      </c>
      <c r="AI26">
        <v>15.9</v>
      </c>
      <c r="AJ26">
        <v>14.56666667</v>
      </c>
      <c r="AK26">
        <v>11.5</v>
      </c>
      <c r="AL26">
        <v>12</v>
      </c>
      <c r="AM26">
        <v>13</v>
      </c>
      <c r="AN26">
        <v>12.16666667</v>
      </c>
      <c r="AO26">
        <v>14.56666667</v>
      </c>
      <c r="AP26">
        <v>4.0999999999999996</v>
      </c>
      <c r="AQ26">
        <v>6.6</v>
      </c>
      <c r="AR26">
        <v>6.6</v>
      </c>
      <c r="AS26">
        <v>5.766666667</v>
      </c>
      <c r="AT26">
        <v>5.6</v>
      </c>
      <c r="AU26">
        <v>6.1</v>
      </c>
      <c r="AV26">
        <v>6.1</v>
      </c>
      <c r="AW26">
        <v>5.9333333330000002</v>
      </c>
      <c r="AX26">
        <v>5.766666667</v>
      </c>
      <c r="AY26">
        <v>-8.5</v>
      </c>
      <c r="AZ26">
        <v>45</v>
      </c>
      <c r="BA26">
        <v>0</v>
      </c>
      <c r="BB26">
        <v>1</v>
      </c>
      <c r="BC26">
        <v>8</v>
      </c>
      <c r="BD26">
        <v>0</v>
      </c>
      <c r="BE26">
        <v>0</v>
      </c>
      <c r="BF26">
        <v>0</v>
      </c>
      <c r="BG26">
        <v>2</v>
      </c>
      <c r="BI26">
        <v>9.6999999999999993</v>
      </c>
      <c r="BJ26">
        <v>7.2759999999999998</v>
      </c>
      <c r="BK26">
        <v>0</v>
      </c>
      <c r="BL26">
        <v>2</v>
      </c>
      <c r="BM26">
        <v>2</v>
      </c>
      <c r="BN26">
        <v>12</v>
      </c>
      <c r="BO26">
        <v>150</v>
      </c>
      <c r="BP26">
        <f t="shared" si="6"/>
        <v>-138</v>
      </c>
      <c r="BQ26">
        <v>50</v>
      </c>
      <c r="BR26">
        <f t="shared" si="7"/>
        <v>-38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 t="s">
        <v>114</v>
      </c>
      <c r="BZ26" t="s">
        <v>114</v>
      </c>
      <c r="CA26" t="s">
        <v>114</v>
      </c>
      <c r="CB26" t="s">
        <v>114</v>
      </c>
      <c r="CC26" t="s">
        <v>114</v>
      </c>
      <c r="CD26" t="s">
        <v>114</v>
      </c>
      <c r="CE26">
        <v>0</v>
      </c>
      <c r="CF26" t="s">
        <v>114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 t="s">
        <v>114</v>
      </c>
      <c r="CP26" t="s">
        <v>114</v>
      </c>
      <c r="CQ26" t="s">
        <v>114</v>
      </c>
      <c r="CR26" t="s">
        <v>114</v>
      </c>
      <c r="CS26" t="s">
        <v>114</v>
      </c>
      <c r="CT26" t="s">
        <v>114</v>
      </c>
      <c r="CU26" t="s">
        <v>114</v>
      </c>
      <c r="CV26" t="s">
        <v>114</v>
      </c>
      <c r="CW26">
        <v>0</v>
      </c>
    </row>
    <row r="27" spans="1:101" x14ac:dyDescent="0.25">
      <c r="A27" t="s">
        <v>73</v>
      </c>
      <c r="B27">
        <v>10</v>
      </c>
      <c r="C27" t="s">
        <v>25</v>
      </c>
      <c r="D27" t="s">
        <v>94</v>
      </c>
      <c r="E27" t="s">
        <v>112</v>
      </c>
      <c r="F27" t="s">
        <v>145</v>
      </c>
      <c r="G27" t="s">
        <v>261</v>
      </c>
      <c r="H27" t="str">
        <f t="shared" si="0"/>
        <v>V.rosea.Highcomp.Open</v>
      </c>
      <c r="I27" t="s">
        <v>668</v>
      </c>
      <c r="J27" t="s">
        <v>301</v>
      </c>
      <c r="K27" t="s">
        <v>114</v>
      </c>
      <c r="L27">
        <v>60</v>
      </c>
      <c r="M27">
        <v>70</v>
      </c>
      <c r="N27">
        <v>60</v>
      </c>
      <c r="O27">
        <f t="shared" si="3"/>
        <v>-10</v>
      </c>
      <c r="P27">
        <v>40</v>
      </c>
      <c r="Q27">
        <v>120</v>
      </c>
      <c r="R27">
        <v>40</v>
      </c>
      <c r="S27">
        <f t="shared" si="4"/>
        <v>80</v>
      </c>
      <c r="T27">
        <f t="shared" si="5"/>
        <v>1.3333333333333333</v>
      </c>
      <c r="U27" t="s">
        <v>792</v>
      </c>
      <c r="V27" t="s">
        <v>114</v>
      </c>
      <c r="W27" t="s">
        <v>114</v>
      </c>
      <c r="X27">
        <v>12.5</v>
      </c>
      <c r="Y27">
        <v>15.4</v>
      </c>
      <c r="Z27">
        <v>14.9</v>
      </c>
      <c r="AA27">
        <v>14.266666669999999</v>
      </c>
      <c r="AB27">
        <v>14.266666669999999</v>
      </c>
      <c r="AC27">
        <v>12</v>
      </c>
      <c r="AD27">
        <v>16.399999999999999</v>
      </c>
      <c r="AE27">
        <v>13.9</v>
      </c>
      <c r="AF27">
        <v>14.1</v>
      </c>
      <c r="AG27">
        <v>13.9</v>
      </c>
      <c r="AH27">
        <v>13.9</v>
      </c>
      <c r="AI27">
        <v>15.9</v>
      </c>
      <c r="AJ27">
        <v>14.56666667</v>
      </c>
      <c r="AK27">
        <v>17.899999999999999</v>
      </c>
      <c r="AL27">
        <v>13.9</v>
      </c>
      <c r="AM27">
        <v>14.4</v>
      </c>
      <c r="AN27">
        <v>15.4</v>
      </c>
      <c r="AO27">
        <v>14.56666667</v>
      </c>
      <c r="AP27">
        <v>4.0999999999999996</v>
      </c>
      <c r="AQ27">
        <v>6.6</v>
      </c>
      <c r="AR27">
        <v>6.6</v>
      </c>
      <c r="AS27">
        <v>5.766666667</v>
      </c>
      <c r="AT27">
        <v>4.5999999999999996</v>
      </c>
      <c r="AU27">
        <v>4.5999999999999996</v>
      </c>
      <c r="AV27">
        <v>6.6</v>
      </c>
      <c r="AW27">
        <v>5.266666667</v>
      </c>
      <c r="AX27">
        <v>5.766666667</v>
      </c>
      <c r="AY27">
        <v>-8.5</v>
      </c>
      <c r="AZ27">
        <v>45</v>
      </c>
      <c r="BA27">
        <v>0</v>
      </c>
      <c r="BB27">
        <v>1</v>
      </c>
      <c r="BC27">
        <v>8</v>
      </c>
      <c r="BD27">
        <v>0</v>
      </c>
      <c r="BE27">
        <v>0</v>
      </c>
      <c r="BF27">
        <v>0</v>
      </c>
      <c r="BG27">
        <v>2</v>
      </c>
      <c r="BI27">
        <v>9.6999999999999993</v>
      </c>
      <c r="BJ27">
        <v>7.2759999999999998</v>
      </c>
      <c r="BK27">
        <v>0</v>
      </c>
      <c r="BL27">
        <v>31</v>
      </c>
      <c r="BM27">
        <v>29</v>
      </c>
      <c r="BN27">
        <v>90</v>
      </c>
      <c r="BO27">
        <v>62</v>
      </c>
      <c r="BP27">
        <f t="shared" si="6"/>
        <v>28</v>
      </c>
      <c r="BQ27">
        <v>80</v>
      </c>
      <c r="BR27">
        <f t="shared" si="7"/>
        <v>10</v>
      </c>
      <c r="BS27" t="s">
        <v>114</v>
      </c>
      <c r="BT27" t="s">
        <v>114</v>
      </c>
      <c r="BU27" t="s">
        <v>114</v>
      </c>
      <c r="BV27" t="s">
        <v>114</v>
      </c>
      <c r="BW27" t="s">
        <v>114</v>
      </c>
      <c r="BX27" t="s">
        <v>114</v>
      </c>
      <c r="BY27" t="s">
        <v>114</v>
      </c>
      <c r="BZ27" t="s">
        <v>114</v>
      </c>
      <c r="CA27" t="s">
        <v>114</v>
      </c>
      <c r="CB27" t="s">
        <v>114</v>
      </c>
      <c r="CC27" t="s">
        <v>114</v>
      </c>
      <c r="CD27" t="s">
        <v>114</v>
      </c>
      <c r="CE27" t="s">
        <v>114</v>
      </c>
      <c r="CF27" t="s">
        <v>114</v>
      </c>
      <c r="CG27" t="s">
        <v>114</v>
      </c>
      <c r="CH27" t="s">
        <v>114</v>
      </c>
      <c r="CI27" t="s">
        <v>114</v>
      </c>
      <c r="CJ27" t="s">
        <v>114</v>
      </c>
      <c r="CK27" t="s">
        <v>114</v>
      </c>
      <c r="CL27" t="s">
        <v>114</v>
      </c>
      <c r="CM27" t="s">
        <v>114</v>
      </c>
      <c r="CN27" t="s">
        <v>114</v>
      </c>
      <c r="CO27" t="s">
        <v>114</v>
      </c>
      <c r="CP27" t="s">
        <v>114</v>
      </c>
      <c r="CQ27" t="s">
        <v>114</v>
      </c>
      <c r="CR27" t="s">
        <v>114</v>
      </c>
      <c r="CS27" t="s">
        <v>114</v>
      </c>
      <c r="CT27" t="s">
        <v>114</v>
      </c>
      <c r="CU27" t="s">
        <v>114</v>
      </c>
      <c r="CV27" t="s">
        <v>114</v>
      </c>
      <c r="CW27" t="s">
        <v>114</v>
      </c>
    </row>
    <row r="28" spans="1:101" x14ac:dyDescent="0.25">
      <c r="A28" t="s">
        <v>74</v>
      </c>
      <c r="B28">
        <v>10</v>
      </c>
      <c r="C28" t="s">
        <v>27</v>
      </c>
      <c r="D28" t="s">
        <v>95</v>
      </c>
      <c r="E28" t="s">
        <v>102</v>
      </c>
      <c r="F28" t="s">
        <v>145</v>
      </c>
      <c r="G28" t="s">
        <v>265</v>
      </c>
      <c r="H28" t="str">
        <f t="shared" si="0"/>
        <v>A.calendula.Highcomp.Shade</v>
      </c>
      <c r="I28" t="s">
        <v>673</v>
      </c>
      <c r="J28" t="s">
        <v>302</v>
      </c>
      <c r="K28">
        <v>4</v>
      </c>
      <c r="L28">
        <v>140</v>
      </c>
      <c r="M28">
        <v>110</v>
      </c>
      <c r="N28">
        <v>140</v>
      </c>
      <c r="O28">
        <f t="shared" si="3"/>
        <v>30</v>
      </c>
      <c r="P28">
        <v>170</v>
      </c>
      <c r="Q28">
        <v>160</v>
      </c>
      <c r="R28">
        <v>110</v>
      </c>
      <c r="S28">
        <f t="shared" si="4"/>
        <v>135</v>
      </c>
      <c r="T28">
        <f t="shared" si="5"/>
        <v>0.9642857142857143</v>
      </c>
      <c r="V28" t="s">
        <v>113</v>
      </c>
      <c r="W28">
        <v>20</v>
      </c>
      <c r="X28">
        <v>15.4</v>
      </c>
      <c r="Y28">
        <v>13</v>
      </c>
      <c r="Z28">
        <v>13.5</v>
      </c>
      <c r="AA28">
        <v>13.96666667</v>
      </c>
      <c r="AB28">
        <v>13.96666667</v>
      </c>
      <c r="AC28">
        <v>15.4</v>
      </c>
      <c r="AD28">
        <v>15.4</v>
      </c>
      <c r="AE28">
        <v>15.9</v>
      </c>
      <c r="AF28">
        <v>15.56666667</v>
      </c>
      <c r="AG28">
        <v>19.3</v>
      </c>
      <c r="AH28">
        <v>18.8</v>
      </c>
      <c r="AI28">
        <v>17.899999999999999</v>
      </c>
      <c r="AJ28">
        <v>18.666666670000001</v>
      </c>
      <c r="AK28">
        <v>19.8</v>
      </c>
      <c r="AL28">
        <v>18.399999999999999</v>
      </c>
      <c r="AM28">
        <v>18.399999999999999</v>
      </c>
      <c r="AN28">
        <v>18.866666670000001</v>
      </c>
      <c r="AO28">
        <v>18.666666670000001</v>
      </c>
      <c r="AP28">
        <v>6.6</v>
      </c>
      <c r="AQ28">
        <v>7.1</v>
      </c>
      <c r="AR28">
        <v>7.6</v>
      </c>
      <c r="AS28">
        <v>7.1</v>
      </c>
      <c r="AT28">
        <v>6.1</v>
      </c>
      <c r="AU28">
        <v>6.6</v>
      </c>
      <c r="AV28">
        <v>7.1</v>
      </c>
      <c r="AW28">
        <v>6.6</v>
      </c>
      <c r="AX28">
        <v>7.1</v>
      </c>
      <c r="AY28">
        <v>-6.8666666669999996</v>
      </c>
      <c r="AZ28">
        <v>55</v>
      </c>
      <c r="BA28">
        <v>40</v>
      </c>
      <c r="BB28">
        <v>2</v>
      </c>
      <c r="BC28">
        <v>1</v>
      </c>
      <c r="BD28">
        <v>0</v>
      </c>
      <c r="BE28">
        <v>0</v>
      </c>
      <c r="BF28">
        <v>0</v>
      </c>
      <c r="BG28">
        <v>1</v>
      </c>
      <c r="BI28">
        <v>4.7</v>
      </c>
      <c r="BJ28">
        <v>43.395000000000003</v>
      </c>
      <c r="BK28">
        <v>0</v>
      </c>
      <c r="BL28">
        <v>19</v>
      </c>
      <c r="BM28">
        <v>19</v>
      </c>
      <c r="BN28">
        <v>307</v>
      </c>
      <c r="BO28">
        <v>274</v>
      </c>
      <c r="BP28">
        <f t="shared" si="6"/>
        <v>33</v>
      </c>
      <c r="BQ28">
        <v>508</v>
      </c>
      <c r="BR28">
        <f t="shared" si="7"/>
        <v>-201</v>
      </c>
      <c r="BS28">
        <v>7.2670454549999999</v>
      </c>
      <c r="BT28">
        <v>0.72716325800000003</v>
      </c>
      <c r="BU28">
        <v>3.8525754600000002</v>
      </c>
      <c r="BV28">
        <v>-6.2838804750000001</v>
      </c>
      <c r="BW28">
        <v>0.72716325800000003</v>
      </c>
      <c r="BX28">
        <v>2.7044587199999999</v>
      </c>
      <c r="BY28">
        <v>78.974307648172498</v>
      </c>
      <c r="BZ28">
        <v>0.229866758514709</v>
      </c>
      <c r="CA28">
        <v>14.628193936368101</v>
      </c>
      <c r="CB28">
        <v>105.619899290072</v>
      </c>
      <c r="CC28">
        <v>0.229866758514709</v>
      </c>
      <c r="CD28">
        <v>29.6846753499884</v>
      </c>
      <c r="CE28">
        <v>0.83631285</v>
      </c>
      <c r="CF28">
        <v>2.3251878998645E-2</v>
      </c>
      <c r="CG28">
        <v>0.89022467500000002</v>
      </c>
      <c r="CH28">
        <v>4.1251052174999998</v>
      </c>
      <c r="CI28">
        <v>0.557654129</v>
      </c>
      <c r="CJ28">
        <v>5.2048048199999997</v>
      </c>
      <c r="CK28">
        <v>0.89022467500000002</v>
      </c>
      <c r="CL28">
        <v>-2.6503577475000002</v>
      </c>
      <c r="CM28">
        <v>0.557654129</v>
      </c>
      <c r="CN28">
        <v>4.6307464500000002</v>
      </c>
      <c r="CO28">
        <v>1.16259394993225E-2</v>
      </c>
      <c r="CP28">
        <v>39.487153824086199</v>
      </c>
      <c r="CQ28">
        <v>0.114933379257355</v>
      </c>
      <c r="CR28">
        <v>7.3140969681840398</v>
      </c>
      <c r="CS28">
        <v>1.16259394993225E-2</v>
      </c>
      <c r="CT28">
        <v>52.809949645036198</v>
      </c>
      <c r="CU28">
        <v>0.114933379257355</v>
      </c>
      <c r="CV28">
        <v>14.8423376749942</v>
      </c>
      <c r="CW28">
        <v>0.83631285</v>
      </c>
    </row>
    <row r="29" spans="1:101" x14ac:dyDescent="0.25">
      <c r="A29" t="s">
        <v>74</v>
      </c>
      <c r="B29">
        <v>10</v>
      </c>
      <c r="C29" t="s">
        <v>27</v>
      </c>
      <c r="D29" t="s">
        <v>95</v>
      </c>
      <c r="E29" t="s">
        <v>113</v>
      </c>
      <c r="F29" t="s">
        <v>145</v>
      </c>
      <c r="G29" t="s">
        <v>259</v>
      </c>
      <c r="H29" t="str">
        <f t="shared" si="0"/>
        <v>H.glutinosum.Highcomp.Shade</v>
      </c>
      <c r="I29" t="s">
        <v>669</v>
      </c>
      <c r="J29" t="s">
        <v>303</v>
      </c>
      <c r="K29">
        <v>3</v>
      </c>
      <c r="L29">
        <v>80</v>
      </c>
      <c r="M29">
        <v>40</v>
      </c>
      <c r="N29">
        <v>80</v>
      </c>
      <c r="O29">
        <f t="shared" si="3"/>
        <v>40</v>
      </c>
      <c r="P29">
        <v>7</v>
      </c>
      <c r="Q29">
        <v>7</v>
      </c>
      <c r="R29">
        <v>5</v>
      </c>
      <c r="S29">
        <f t="shared" si="4"/>
        <v>6</v>
      </c>
      <c r="T29">
        <f t="shared" si="5"/>
        <v>7.4999999999999997E-2</v>
      </c>
      <c r="V29" t="s">
        <v>113</v>
      </c>
      <c r="W29">
        <v>50</v>
      </c>
      <c r="X29">
        <v>15.4</v>
      </c>
      <c r="Y29">
        <v>13</v>
      </c>
      <c r="Z29">
        <v>13.5</v>
      </c>
      <c r="AA29">
        <v>13.96666667</v>
      </c>
      <c r="AB29">
        <v>13.96666667</v>
      </c>
      <c r="AC29">
        <v>16.899999999999999</v>
      </c>
      <c r="AD29">
        <v>17.899999999999999</v>
      </c>
      <c r="AE29">
        <v>17.399999999999999</v>
      </c>
      <c r="AF29">
        <v>17.399999999999999</v>
      </c>
      <c r="AG29">
        <v>19.3</v>
      </c>
      <c r="AH29">
        <v>18.8</v>
      </c>
      <c r="AI29">
        <v>17.899999999999999</v>
      </c>
      <c r="AJ29">
        <v>18.666666670000001</v>
      </c>
      <c r="AK29">
        <v>19.8</v>
      </c>
      <c r="AL29">
        <v>20.3</v>
      </c>
      <c r="AM29">
        <v>20.8</v>
      </c>
      <c r="AN29">
        <v>20.3</v>
      </c>
      <c r="AO29">
        <v>18.666666670000001</v>
      </c>
      <c r="AP29">
        <v>6.6</v>
      </c>
      <c r="AQ29">
        <v>7.1</v>
      </c>
      <c r="AR29">
        <v>7.6</v>
      </c>
      <c r="AS29">
        <v>7.1</v>
      </c>
      <c r="AT29">
        <v>8.5</v>
      </c>
      <c r="AU29">
        <v>8.5</v>
      </c>
      <c r="AV29">
        <v>8.1</v>
      </c>
      <c r="AW29">
        <v>8.3666666670000005</v>
      </c>
      <c r="AX29">
        <v>7.1</v>
      </c>
      <c r="AY29">
        <v>-6.8666666669999996</v>
      </c>
      <c r="AZ29">
        <v>55</v>
      </c>
      <c r="BA29">
        <v>40</v>
      </c>
      <c r="BB29">
        <v>2</v>
      </c>
      <c r="BC29">
        <v>1</v>
      </c>
      <c r="BD29">
        <v>0</v>
      </c>
      <c r="BE29">
        <v>0</v>
      </c>
      <c r="BF29">
        <v>0</v>
      </c>
      <c r="BG29">
        <v>1</v>
      </c>
      <c r="BI29">
        <v>4.7</v>
      </c>
      <c r="BJ29">
        <v>43.395000000000003</v>
      </c>
      <c r="BK29">
        <v>0</v>
      </c>
      <c r="BL29">
        <v>1</v>
      </c>
      <c r="BM29">
        <v>1</v>
      </c>
      <c r="BN29">
        <v>3</v>
      </c>
      <c r="BO29">
        <v>1.6666669999999999</v>
      </c>
      <c r="BP29">
        <f t="shared" si="6"/>
        <v>1.3333330000000001</v>
      </c>
      <c r="BQ29">
        <v>5</v>
      </c>
      <c r="BR29">
        <f t="shared" si="7"/>
        <v>-2</v>
      </c>
      <c r="BS29">
        <v>8.2750580000000004E-2</v>
      </c>
      <c r="BT29">
        <v>0.36144256949999998</v>
      </c>
      <c r="BU29">
        <v>10.854577915</v>
      </c>
      <c r="BV29">
        <v>-8.2750580000000004E-2</v>
      </c>
      <c r="BW29">
        <v>0.36144256949999998</v>
      </c>
      <c r="BX29">
        <v>-10.854577915</v>
      </c>
      <c r="BY29">
        <v>1.3695316980672801E-2</v>
      </c>
      <c r="BZ29">
        <v>0.26128146209352499</v>
      </c>
      <c r="CA29">
        <v>235.643723425612</v>
      </c>
      <c r="CB29">
        <v>1.3695316980672801E-2</v>
      </c>
      <c r="CC29">
        <v>0.26128146209352499</v>
      </c>
      <c r="CD29">
        <v>235.643723425612</v>
      </c>
      <c r="CE29">
        <v>1.6417060000000001E-2</v>
      </c>
      <c r="CF29">
        <v>5.390397180872E-4</v>
      </c>
      <c r="CG29">
        <v>2.1889413333333298E-2</v>
      </c>
      <c r="CH29">
        <v>0.110334106666667</v>
      </c>
      <c r="CI29">
        <v>0.48192342599999999</v>
      </c>
      <c r="CJ29">
        <v>14.4727705533333</v>
      </c>
      <c r="CK29">
        <v>2.1889413333333298E-2</v>
      </c>
      <c r="CL29">
        <v>-0.110334106666667</v>
      </c>
      <c r="CM29">
        <v>0.48192342599999999</v>
      </c>
      <c r="CN29">
        <v>-14.4727705533333</v>
      </c>
      <c r="CO29">
        <v>3.5935981205813299E-4</v>
      </c>
      <c r="CP29">
        <v>9.1302113204485297E-3</v>
      </c>
      <c r="CQ29">
        <v>0.17418764139568299</v>
      </c>
      <c r="CR29">
        <v>157.09581561707401</v>
      </c>
      <c r="CS29">
        <v>3.5935981205813299E-4</v>
      </c>
      <c r="CT29">
        <v>9.1302113204485297E-3</v>
      </c>
      <c r="CU29">
        <v>0.17418764139568299</v>
      </c>
      <c r="CV29">
        <v>157.09581561707401</v>
      </c>
      <c r="CW29">
        <v>1.6417060000000001E-2</v>
      </c>
    </row>
    <row r="30" spans="1:101" x14ac:dyDescent="0.25">
      <c r="A30" t="s">
        <v>74</v>
      </c>
      <c r="B30">
        <v>10</v>
      </c>
      <c r="C30" t="s">
        <v>27</v>
      </c>
      <c r="D30" t="s">
        <v>95</v>
      </c>
      <c r="E30" t="s">
        <v>103</v>
      </c>
      <c r="F30" t="s">
        <v>145</v>
      </c>
      <c r="G30" t="s">
        <v>260</v>
      </c>
      <c r="H30" t="str">
        <f t="shared" si="0"/>
        <v>P.airoides.Highcomp.Shade</v>
      </c>
      <c r="I30" t="s">
        <v>674</v>
      </c>
      <c r="J30" t="s">
        <v>304</v>
      </c>
      <c r="K30">
        <v>1</v>
      </c>
      <c r="L30">
        <v>50</v>
      </c>
      <c r="M30">
        <v>60</v>
      </c>
      <c r="N30">
        <v>50</v>
      </c>
      <c r="O30">
        <f t="shared" si="3"/>
        <v>-10</v>
      </c>
      <c r="P30">
        <v>23</v>
      </c>
      <c r="Q30">
        <v>25</v>
      </c>
      <c r="R30">
        <v>10</v>
      </c>
      <c r="S30">
        <f t="shared" si="4"/>
        <v>17.5</v>
      </c>
      <c r="T30">
        <f t="shared" si="5"/>
        <v>0.35</v>
      </c>
      <c r="V30" t="s">
        <v>113</v>
      </c>
      <c r="W30">
        <v>50</v>
      </c>
      <c r="X30">
        <v>15.4</v>
      </c>
      <c r="Y30">
        <v>13</v>
      </c>
      <c r="Z30">
        <v>13.5</v>
      </c>
      <c r="AA30">
        <v>13.96666667</v>
      </c>
      <c r="AB30">
        <v>13.96666667</v>
      </c>
      <c r="AC30">
        <v>15.4</v>
      </c>
      <c r="AD30">
        <v>15.9</v>
      </c>
      <c r="AE30">
        <v>15.9</v>
      </c>
      <c r="AF30">
        <v>15.733333330000001</v>
      </c>
      <c r="AG30">
        <v>19.3</v>
      </c>
      <c r="AH30">
        <v>18.8</v>
      </c>
      <c r="AI30">
        <v>17.899999999999999</v>
      </c>
      <c r="AJ30">
        <v>18.666666670000001</v>
      </c>
      <c r="AK30">
        <v>16.899999999999999</v>
      </c>
      <c r="AL30">
        <v>19.3</v>
      </c>
      <c r="AM30">
        <v>19.8</v>
      </c>
      <c r="AN30">
        <v>18.666666670000001</v>
      </c>
      <c r="AO30">
        <v>18.666666670000001</v>
      </c>
      <c r="AP30">
        <v>6.6</v>
      </c>
      <c r="AQ30">
        <v>7.1</v>
      </c>
      <c r="AR30">
        <v>7.6</v>
      </c>
      <c r="AS30">
        <v>7.1</v>
      </c>
      <c r="AT30">
        <v>6.6</v>
      </c>
      <c r="AU30">
        <v>7.6</v>
      </c>
      <c r="AV30">
        <v>7.1</v>
      </c>
      <c r="AW30">
        <v>7.1</v>
      </c>
      <c r="AX30">
        <v>7.1</v>
      </c>
      <c r="AY30">
        <v>-6.8666666669999996</v>
      </c>
      <c r="AZ30">
        <v>55</v>
      </c>
      <c r="BA30">
        <v>40</v>
      </c>
      <c r="BB30">
        <v>2</v>
      </c>
      <c r="BC30">
        <v>1</v>
      </c>
      <c r="BD30">
        <v>0</v>
      </c>
      <c r="BE30">
        <v>0</v>
      </c>
      <c r="BF30">
        <v>0</v>
      </c>
      <c r="BG30">
        <v>1</v>
      </c>
      <c r="BI30">
        <v>4.7</v>
      </c>
      <c r="BJ30">
        <v>43.395000000000003</v>
      </c>
      <c r="BK30">
        <v>0</v>
      </c>
      <c r="BL30">
        <v>5</v>
      </c>
      <c r="BM30">
        <v>5</v>
      </c>
      <c r="BN30">
        <v>249</v>
      </c>
      <c r="BO30">
        <v>194</v>
      </c>
      <c r="BP30">
        <f t="shared" si="6"/>
        <v>55</v>
      </c>
      <c r="BQ30">
        <v>388</v>
      </c>
      <c r="BR30">
        <f t="shared" si="7"/>
        <v>-139</v>
      </c>
      <c r="BS30">
        <v>14.53409091</v>
      </c>
      <c r="BT30">
        <v>0.67803651600000003</v>
      </c>
      <c r="BU30">
        <v>7.7051509200000003</v>
      </c>
      <c r="BV30">
        <v>14.53409091</v>
      </c>
      <c r="BW30">
        <v>-0.67803651600000003</v>
      </c>
      <c r="BX30">
        <v>7.7051509200000003</v>
      </c>
      <c r="BY30" t="s">
        <v>114</v>
      </c>
      <c r="BZ30" t="s">
        <v>114</v>
      </c>
      <c r="CA30" t="s">
        <v>114</v>
      </c>
      <c r="CB30" t="s">
        <v>114</v>
      </c>
      <c r="CC30" t="s">
        <v>114</v>
      </c>
      <c r="CD30" t="s">
        <v>114</v>
      </c>
      <c r="CE30">
        <v>0.21564729999999999</v>
      </c>
      <c r="CF30" t="s">
        <v>114</v>
      </c>
      <c r="CG30">
        <v>0.21564729999999999</v>
      </c>
      <c r="CH30">
        <v>14.53409091</v>
      </c>
      <c r="CI30">
        <v>0.67803651600000003</v>
      </c>
      <c r="CJ30">
        <v>7.7051509200000003</v>
      </c>
      <c r="CK30">
        <v>0.21564729999999999</v>
      </c>
      <c r="CL30">
        <v>14.53409091</v>
      </c>
      <c r="CM30">
        <v>-0.67803651600000003</v>
      </c>
      <c r="CN30">
        <v>7.7051509200000003</v>
      </c>
      <c r="CO30" t="s">
        <v>114</v>
      </c>
      <c r="CP30" t="s">
        <v>114</v>
      </c>
      <c r="CQ30" t="s">
        <v>114</v>
      </c>
      <c r="CR30" t="s">
        <v>114</v>
      </c>
      <c r="CS30" t="s">
        <v>114</v>
      </c>
      <c r="CT30" t="s">
        <v>114</v>
      </c>
      <c r="CU30" t="s">
        <v>114</v>
      </c>
      <c r="CV30" t="s">
        <v>114</v>
      </c>
      <c r="CW30">
        <v>0.21564729999999999</v>
      </c>
    </row>
    <row r="31" spans="1:101" x14ac:dyDescent="0.25">
      <c r="A31" t="s">
        <v>75</v>
      </c>
      <c r="B31">
        <v>10</v>
      </c>
      <c r="C31" t="s">
        <v>29</v>
      </c>
      <c r="D31" t="s">
        <v>94</v>
      </c>
      <c r="E31" t="s">
        <v>105</v>
      </c>
      <c r="F31" t="s">
        <v>145</v>
      </c>
      <c r="G31" t="s">
        <v>266</v>
      </c>
      <c r="H31" t="str">
        <f t="shared" si="0"/>
        <v>H.glabra.Highcomp.Open</v>
      </c>
      <c r="I31" t="s">
        <v>680</v>
      </c>
      <c r="J31" t="s">
        <v>305</v>
      </c>
      <c r="K31">
        <v>2</v>
      </c>
      <c r="L31">
        <v>40</v>
      </c>
      <c r="M31">
        <v>45</v>
      </c>
      <c r="N31">
        <v>40</v>
      </c>
      <c r="O31">
        <f t="shared" si="3"/>
        <v>-5</v>
      </c>
      <c r="P31">
        <v>90</v>
      </c>
      <c r="Q31">
        <v>90</v>
      </c>
      <c r="R31">
        <v>85</v>
      </c>
      <c r="S31">
        <f t="shared" si="4"/>
        <v>87.5</v>
      </c>
      <c r="T31">
        <f t="shared" si="5"/>
        <v>2.1875</v>
      </c>
      <c r="V31" t="s">
        <v>121</v>
      </c>
      <c r="W31" t="s">
        <v>114</v>
      </c>
      <c r="X31">
        <v>13.5</v>
      </c>
      <c r="Y31">
        <v>14.9</v>
      </c>
      <c r="Z31">
        <v>14.9</v>
      </c>
      <c r="AA31">
        <v>14.43333333</v>
      </c>
      <c r="AB31">
        <v>14.43333333</v>
      </c>
      <c r="AC31">
        <v>14.4</v>
      </c>
      <c r="AD31">
        <v>13.5</v>
      </c>
      <c r="AE31">
        <v>13.9</v>
      </c>
      <c r="AF31">
        <v>13.93333333</v>
      </c>
      <c r="AG31">
        <v>13</v>
      </c>
      <c r="AH31">
        <v>16.399999999999999</v>
      </c>
      <c r="AI31">
        <v>15.9</v>
      </c>
      <c r="AJ31">
        <v>15.1</v>
      </c>
      <c r="AK31">
        <v>15.4</v>
      </c>
      <c r="AL31">
        <v>16.399999999999999</v>
      </c>
      <c r="AM31">
        <v>18.899999999999999</v>
      </c>
      <c r="AN31">
        <v>16.899999999999999</v>
      </c>
      <c r="AO31">
        <v>15.1</v>
      </c>
      <c r="AP31">
        <v>5.0999999999999996</v>
      </c>
      <c r="AQ31">
        <v>6.1</v>
      </c>
      <c r="AR31">
        <v>7.1</v>
      </c>
      <c r="AS31">
        <v>6.1</v>
      </c>
      <c r="AT31">
        <v>5.0999999999999996</v>
      </c>
      <c r="AU31">
        <v>5.6</v>
      </c>
      <c r="AV31">
        <v>6.6</v>
      </c>
      <c r="AW31">
        <v>5.766666667</v>
      </c>
      <c r="AX31">
        <v>6.1</v>
      </c>
      <c r="AY31">
        <v>-8.3333333330000006</v>
      </c>
      <c r="AZ31">
        <v>65</v>
      </c>
      <c r="BA31">
        <v>2</v>
      </c>
      <c r="BB31">
        <v>0</v>
      </c>
      <c r="BC31">
        <v>8</v>
      </c>
      <c r="BD31">
        <v>0</v>
      </c>
      <c r="BE31">
        <v>0</v>
      </c>
      <c r="BF31">
        <v>0</v>
      </c>
      <c r="BG31">
        <v>1</v>
      </c>
      <c r="BI31">
        <v>15.4</v>
      </c>
      <c r="BJ31">
        <v>33.924999999999997</v>
      </c>
      <c r="BK31">
        <v>0</v>
      </c>
      <c r="BL31">
        <v>7</v>
      </c>
      <c r="BM31">
        <v>6</v>
      </c>
      <c r="BN31">
        <v>527</v>
      </c>
      <c r="BO31">
        <v>257.5</v>
      </c>
      <c r="BP31">
        <f t="shared" si="6"/>
        <v>269.5</v>
      </c>
      <c r="BQ31">
        <v>338</v>
      </c>
      <c r="BR31">
        <f t="shared" si="7"/>
        <v>189</v>
      </c>
      <c r="BS31">
        <v>12.5</v>
      </c>
      <c r="BT31">
        <v>1.1034840930000001</v>
      </c>
      <c r="BU31">
        <v>14.984584480000001</v>
      </c>
      <c r="BV31">
        <v>-12.5</v>
      </c>
      <c r="BW31">
        <v>-1.1034840930000001</v>
      </c>
      <c r="BX31">
        <v>14.984584480000001</v>
      </c>
      <c r="BY31">
        <v>50</v>
      </c>
      <c r="BZ31">
        <v>1.5018593442280299</v>
      </c>
      <c r="CA31">
        <v>34.387029655320397</v>
      </c>
      <c r="CB31">
        <v>50</v>
      </c>
      <c r="CC31">
        <v>1.5018593442280299</v>
      </c>
      <c r="CD31">
        <v>34.387029655320397</v>
      </c>
      <c r="CE31" t="s">
        <v>114</v>
      </c>
      <c r="CF31" t="s">
        <v>114</v>
      </c>
      <c r="CG31" t="s">
        <v>114</v>
      </c>
      <c r="CH31">
        <v>12.5</v>
      </c>
      <c r="CI31">
        <v>1.1034840930000001</v>
      </c>
      <c r="CJ31">
        <v>14.984584480000001</v>
      </c>
      <c r="CK31" t="s">
        <v>114</v>
      </c>
      <c r="CL31">
        <v>-12.5</v>
      </c>
      <c r="CM31">
        <v>-1.1034840930000001</v>
      </c>
      <c r="CN31">
        <v>14.984584480000001</v>
      </c>
      <c r="CO31" t="s">
        <v>114</v>
      </c>
      <c r="CP31">
        <v>50</v>
      </c>
      <c r="CQ31">
        <v>1.5018593442280299</v>
      </c>
      <c r="CR31">
        <v>34.387029655320397</v>
      </c>
      <c r="CS31" t="s">
        <v>114</v>
      </c>
      <c r="CT31">
        <v>50</v>
      </c>
      <c r="CU31">
        <v>1.5018593442280299</v>
      </c>
      <c r="CV31">
        <v>34.387029655320397</v>
      </c>
      <c r="CW31" t="s">
        <v>114</v>
      </c>
    </row>
    <row r="32" spans="1:101" x14ac:dyDescent="0.25">
      <c r="A32" t="s">
        <v>75</v>
      </c>
      <c r="B32">
        <v>10</v>
      </c>
      <c r="C32" t="s">
        <v>29</v>
      </c>
      <c r="D32" t="s">
        <v>94</v>
      </c>
      <c r="E32" t="s">
        <v>110</v>
      </c>
      <c r="F32" t="s">
        <v>145</v>
      </c>
      <c r="G32" t="s">
        <v>262</v>
      </c>
      <c r="H32" t="str">
        <f t="shared" si="0"/>
        <v>M.minima.Highcomp.Open</v>
      </c>
      <c r="I32" t="s">
        <v>681</v>
      </c>
      <c r="J32" t="s">
        <v>306</v>
      </c>
      <c r="K32">
        <v>2</v>
      </c>
      <c r="L32">
        <v>120</v>
      </c>
      <c r="M32">
        <v>40</v>
      </c>
      <c r="N32">
        <v>120</v>
      </c>
      <c r="O32">
        <f t="shared" si="3"/>
        <v>80</v>
      </c>
      <c r="P32">
        <v>10</v>
      </c>
      <c r="Q32">
        <v>200</v>
      </c>
      <c r="R32">
        <v>0</v>
      </c>
      <c r="S32">
        <f t="shared" si="4"/>
        <v>100</v>
      </c>
      <c r="T32">
        <f t="shared" si="5"/>
        <v>0.83333333333333337</v>
      </c>
      <c r="V32" t="s">
        <v>104</v>
      </c>
      <c r="W32">
        <v>40</v>
      </c>
      <c r="X32">
        <v>13.5</v>
      </c>
      <c r="Y32">
        <v>14.9</v>
      </c>
      <c r="Z32">
        <v>14.9</v>
      </c>
      <c r="AA32">
        <v>14.43333333</v>
      </c>
      <c r="AB32">
        <v>14.43333333</v>
      </c>
      <c r="AC32">
        <v>13.9</v>
      </c>
      <c r="AD32">
        <v>13.9</v>
      </c>
      <c r="AE32">
        <v>13.9</v>
      </c>
      <c r="AF32">
        <v>13.9</v>
      </c>
      <c r="AG32">
        <v>13</v>
      </c>
      <c r="AH32">
        <v>16.399999999999999</v>
      </c>
      <c r="AI32">
        <v>15.9</v>
      </c>
      <c r="AJ32">
        <v>15.1</v>
      </c>
      <c r="AK32">
        <v>15.4</v>
      </c>
      <c r="AL32">
        <v>15.9</v>
      </c>
      <c r="AM32">
        <v>15.9</v>
      </c>
      <c r="AN32">
        <v>15.733333330000001</v>
      </c>
      <c r="AO32">
        <v>15.1</v>
      </c>
      <c r="AP32">
        <v>5.0999999999999996</v>
      </c>
      <c r="AQ32">
        <v>6.1</v>
      </c>
      <c r="AR32">
        <v>7.1</v>
      </c>
      <c r="AS32">
        <v>6.1</v>
      </c>
      <c r="AT32">
        <v>4.0999999999999996</v>
      </c>
      <c r="AU32">
        <v>6.1</v>
      </c>
      <c r="AV32">
        <v>6.1</v>
      </c>
      <c r="AW32">
        <v>5.4333333330000002</v>
      </c>
      <c r="AX32">
        <v>6.1</v>
      </c>
      <c r="AY32">
        <v>-8.3333333330000006</v>
      </c>
      <c r="AZ32">
        <v>65</v>
      </c>
      <c r="BA32">
        <v>2</v>
      </c>
      <c r="BB32">
        <v>0</v>
      </c>
      <c r="BC32">
        <v>8</v>
      </c>
      <c r="BD32">
        <v>0</v>
      </c>
      <c r="BE32">
        <v>0</v>
      </c>
      <c r="BF32">
        <v>0</v>
      </c>
      <c r="BG32">
        <v>1</v>
      </c>
      <c r="BI32">
        <v>15.4</v>
      </c>
      <c r="BJ32">
        <v>33.924999999999997</v>
      </c>
      <c r="BK32">
        <v>0</v>
      </c>
      <c r="BL32">
        <v>11</v>
      </c>
      <c r="BM32">
        <v>11</v>
      </c>
      <c r="BN32">
        <v>11</v>
      </c>
      <c r="BO32">
        <v>7.6666670000000003</v>
      </c>
      <c r="BP32">
        <f t="shared" si="6"/>
        <v>3.3333329999999997</v>
      </c>
      <c r="BQ32">
        <v>5</v>
      </c>
      <c r="BR32">
        <f t="shared" si="7"/>
        <v>6</v>
      </c>
      <c r="BS32">
        <v>40.676630430000003</v>
      </c>
      <c r="BT32">
        <v>1.3679666669999999</v>
      </c>
      <c r="BU32">
        <v>1.0783229999999999</v>
      </c>
      <c r="BV32">
        <v>-40.676630430000003</v>
      </c>
      <c r="BW32">
        <v>-1.3679666669999999</v>
      </c>
      <c r="BX32">
        <v>1.0783229999999999</v>
      </c>
      <c r="BY32" t="s">
        <v>114</v>
      </c>
      <c r="BZ32" t="s">
        <v>114</v>
      </c>
      <c r="CA32" t="s">
        <v>114</v>
      </c>
      <c r="CB32" t="s">
        <v>114</v>
      </c>
      <c r="CC32" t="s">
        <v>114</v>
      </c>
      <c r="CD32" t="s">
        <v>114</v>
      </c>
      <c r="CE32">
        <v>0.50204910000000003</v>
      </c>
      <c r="CF32" t="s">
        <v>114</v>
      </c>
      <c r="CG32">
        <v>0.50204910000000003</v>
      </c>
      <c r="CH32">
        <v>40.676630430000003</v>
      </c>
      <c r="CI32">
        <v>1.3679666669999999</v>
      </c>
      <c r="CJ32">
        <v>1.0783229999999999</v>
      </c>
      <c r="CK32">
        <v>0.50204910000000003</v>
      </c>
      <c r="CL32">
        <v>-40.676630430000003</v>
      </c>
      <c r="CM32">
        <v>-1.3679666669999999</v>
      </c>
      <c r="CN32">
        <v>1.0783229999999999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0.50204910000000003</v>
      </c>
    </row>
    <row r="33" spans="1:101" x14ac:dyDescent="0.25">
      <c r="A33" t="s">
        <v>75</v>
      </c>
      <c r="B33">
        <v>10</v>
      </c>
      <c r="C33" t="s">
        <v>29</v>
      </c>
      <c r="D33" t="s">
        <v>94</v>
      </c>
      <c r="E33" t="s">
        <v>103</v>
      </c>
      <c r="F33" t="s">
        <v>145</v>
      </c>
      <c r="G33" t="s">
        <v>260</v>
      </c>
      <c r="H33" t="str">
        <f t="shared" si="0"/>
        <v>P.airoides.Highcomp.Open</v>
      </c>
      <c r="I33" t="s">
        <v>667</v>
      </c>
      <c r="J33" t="s">
        <v>307</v>
      </c>
      <c r="K33">
        <v>3</v>
      </c>
      <c r="L33">
        <v>45</v>
      </c>
      <c r="M33">
        <v>70</v>
      </c>
      <c r="N33">
        <v>45</v>
      </c>
      <c r="O33">
        <f t="shared" si="3"/>
        <v>-25</v>
      </c>
      <c r="P33">
        <v>35</v>
      </c>
      <c r="Q33">
        <v>25</v>
      </c>
      <c r="R33">
        <v>20</v>
      </c>
      <c r="S33">
        <f t="shared" si="4"/>
        <v>22.5</v>
      </c>
      <c r="T33">
        <f t="shared" si="5"/>
        <v>0.5</v>
      </c>
      <c r="V33" t="s">
        <v>114</v>
      </c>
      <c r="W33" t="s">
        <v>114</v>
      </c>
      <c r="X33">
        <v>13.5</v>
      </c>
      <c r="Y33">
        <v>14.9</v>
      </c>
      <c r="Z33">
        <v>14.9</v>
      </c>
      <c r="AA33">
        <v>14.43333333</v>
      </c>
      <c r="AB33">
        <v>14.43333333</v>
      </c>
      <c r="AC33">
        <v>12</v>
      </c>
      <c r="AD33">
        <v>12</v>
      </c>
      <c r="AE33">
        <v>11</v>
      </c>
      <c r="AF33">
        <v>11.66666667</v>
      </c>
      <c r="AG33">
        <v>13</v>
      </c>
      <c r="AH33">
        <v>16.399999999999999</v>
      </c>
      <c r="AI33">
        <v>15.9</v>
      </c>
      <c r="AJ33">
        <v>15.1</v>
      </c>
      <c r="AK33">
        <v>12.5</v>
      </c>
      <c r="AL33">
        <v>13</v>
      </c>
      <c r="AM33">
        <v>13</v>
      </c>
      <c r="AN33">
        <v>12.83333333</v>
      </c>
      <c r="AO33">
        <v>15.1</v>
      </c>
      <c r="AP33">
        <v>5.0999999999999996</v>
      </c>
      <c r="AQ33">
        <v>6.1</v>
      </c>
      <c r="AR33">
        <v>7.1</v>
      </c>
      <c r="AS33">
        <v>6.1</v>
      </c>
      <c r="AT33">
        <v>4.0999999999999996</v>
      </c>
      <c r="AU33">
        <v>5.0999999999999996</v>
      </c>
      <c r="AV33">
        <v>4.5999999999999996</v>
      </c>
      <c r="AW33">
        <v>4.5999999999999996</v>
      </c>
      <c r="AX33">
        <v>6.1</v>
      </c>
      <c r="AY33">
        <v>-8.3333333330000006</v>
      </c>
      <c r="AZ33">
        <v>65</v>
      </c>
      <c r="BA33">
        <v>2</v>
      </c>
      <c r="BB33">
        <v>0</v>
      </c>
      <c r="BC33">
        <v>8</v>
      </c>
      <c r="BD33">
        <v>0</v>
      </c>
      <c r="BE33">
        <v>0</v>
      </c>
      <c r="BF33">
        <v>0</v>
      </c>
      <c r="BG33">
        <v>1</v>
      </c>
      <c r="BI33">
        <v>15.4</v>
      </c>
      <c r="BJ33">
        <v>33.924999999999997</v>
      </c>
      <c r="BK33">
        <v>0</v>
      </c>
      <c r="BL33">
        <v>3</v>
      </c>
      <c r="BM33">
        <v>3</v>
      </c>
      <c r="BN33">
        <v>189</v>
      </c>
      <c r="BO33">
        <v>368.5</v>
      </c>
      <c r="BP33">
        <f t="shared" si="6"/>
        <v>-179.5</v>
      </c>
      <c r="BQ33">
        <v>533</v>
      </c>
      <c r="BR33">
        <f t="shared" si="7"/>
        <v>-344</v>
      </c>
      <c r="BS33">
        <v>17.281906923333299</v>
      </c>
      <c r="BT33">
        <v>0.33085472833333301</v>
      </c>
      <c r="BU33">
        <v>15.5938448266667</v>
      </c>
      <c r="BV33">
        <v>12.10698197</v>
      </c>
      <c r="BW33">
        <v>-0.33085472833333301</v>
      </c>
      <c r="BX33">
        <v>-15.5938448266667</v>
      </c>
      <c r="BY33">
        <v>144.528438537965</v>
      </c>
      <c r="BZ33">
        <v>8.4076195036080298E-2</v>
      </c>
      <c r="CA33">
        <v>63.858128613532998</v>
      </c>
      <c r="CB33">
        <v>372.65638026524198</v>
      </c>
      <c r="CC33">
        <v>8.4076195036080298E-2</v>
      </c>
      <c r="CD33">
        <v>63.858128613532998</v>
      </c>
      <c r="CE33" t="s">
        <v>114</v>
      </c>
      <c r="CF33" t="s">
        <v>114</v>
      </c>
      <c r="CG33" t="s">
        <v>114</v>
      </c>
      <c r="CH33">
        <v>17.281906923333299</v>
      </c>
      <c r="CI33">
        <v>0.33085472833333301</v>
      </c>
      <c r="CJ33">
        <v>15.5938448266667</v>
      </c>
      <c r="CK33" t="s">
        <v>114</v>
      </c>
      <c r="CL33">
        <v>12.10698197</v>
      </c>
      <c r="CM33">
        <v>-0.33085472833333301</v>
      </c>
      <c r="CN33">
        <v>-15.5938448266667</v>
      </c>
      <c r="CO33" t="s">
        <v>114</v>
      </c>
      <c r="CP33">
        <v>144.528438537965</v>
      </c>
      <c r="CQ33">
        <v>8.4076195036080298E-2</v>
      </c>
      <c r="CR33">
        <v>63.858128613532998</v>
      </c>
      <c r="CS33" t="s">
        <v>114</v>
      </c>
      <c r="CT33">
        <v>372.65638026524198</v>
      </c>
      <c r="CU33">
        <v>8.4076195036080298E-2</v>
      </c>
      <c r="CV33">
        <v>63.858128613532998</v>
      </c>
      <c r="CW33" t="s">
        <v>114</v>
      </c>
    </row>
    <row r="34" spans="1:101" x14ac:dyDescent="0.25">
      <c r="A34" t="s">
        <v>76</v>
      </c>
      <c r="B34">
        <v>10</v>
      </c>
      <c r="C34" t="s">
        <v>31</v>
      </c>
      <c r="D34" t="s">
        <v>94</v>
      </c>
      <c r="E34" t="s">
        <v>113</v>
      </c>
      <c r="F34" t="s">
        <v>145</v>
      </c>
      <c r="G34" t="s">
        <v>259</v>
      </c>
      <c r="H34" t="str">
        <f t="shared" si="0"/>
        <v>H.glutinosum.Highcomp.Open</v>
      </c>
      <c r="I34" t="s">
        <v>666</v>
      </c>
      <c r="J34" t="s">
        <v>308</v>
      </c>
      <c r="K34">
        <v>8</v>
      </c>
      <c r="L34">
        <v>90</v>
      </c>
      <c r="M34">
        <v>20</v>
      </c>
      <c r="N34">
        <v>90</v>
      </c>
      <c r="O34">
        <f t="shared" si="3"/>
        <v>70</v>
      </c>
      <c r="P34">
        <v>20</v>
      </c>
      <c r="Q34">
        <v>13</v>
      </c>
      <c r="R34">
        <v>8</v>
      </c>
      <c r="S34">
        <f t="shared" si="4"/>
        <v>10.5</v>
      </c>
      <c r="T34">
        <f t="shared" si="5"/>
        <v>0.11666666666666667</v>
      </c>
      <c r="U34" t="s">
        <v>15</v>
      </c>
      <c r="V34" t="s">
        <v>113</v>
      </c>
      <c r="W34">
        <v>20</v>
      </c>
      <c r="X34">
        <v>16.899999999999999</v>
      </c>
      <c r="Y34">
        <v>17.899999999999999</v>
      </c>
      <c r="Z34">
        <v>17.899999999999999</v>
      </c>
      <c r="AA34">
        <v>17.56666667</v>
      </c>
      <c r="AB34">
        <v>17.56666667</v>
      </c>
      <c r="AC34">
        <v>13.9</v>
      </c>
      <c r="AD34">
        <v>13.9</v>
      </c>
      <c r="AE34">
        <v>15.4</v>
      </c>
      <c r="AF34">
        <v>14.4</v>
      </c>
      <c r="AG34">
        <v>13</v>
      </c>
      <c r="AH34">
        <v>16.399999999999999</v>
      </c>
      <c r="AI34">
        <v>15.9</v>
      </c>
      <c r="AJ34">
        <v>15.1</v>
      </c>
      <c r="AK34">
        <v>18.399999999999999</v>
      </c>
      <c r="AL34">
        <v>17.899999999999999</v>
      </c>
      <c r="AM34">
        <v>17.399999999999999</v>
      </c>
      <c r="AN34">
        <v>17.899999999999999</v>
      </c>
      <c r="AO34">
        <v>15.1</v>
      </c>
      <c r="AP34">
        <v>10</v>
      </c>
      <c r="AQ34">
        <v>10.5</v>
      </c>
      <c r="AR34">
        <v>11.5</v>
      </c>
      <c r="AS34">
        <v>10.66666667</v>
      </c>
      <c r="AT34">
        <v>8.5</v>
      </c>
      <c r="AU34">
        <v>6.6</v>
      </c>
      <c r="AV34">
        <v>7.1</v>
      </c>
      <c r="AW34">
        <v>7.4</v>
      </c>
      <c r="AX34">
        <v>10.66666667</v>
      </c>
      <c r="AY34">
        <v>-6.9</v>
      </c>
      <c r="AZ34">
        <v>5</v>
      </c>
      <c r="BA34">
        <v>50</v>
      </c>
      <c r="BB34">
        <v>1</v>
      </c>
      <c r="BC34">
        <v>3</v>
      </c>
      <c r="BD34">
        <v>0</v>
      </c>
      <c r="BE34">
        <v>0</v>
      </c>
      <c r="BF34">
        <v>1</v>
      </c>
      <c r="BG34">
        <v>5</v>
      </c>
      <c r="BI34">
        <v>9.6999999999999993</v>
      </c>
      <c r="BJ34">
        <v>11.682</v>
      </c>
      <c r="BK34">
        <v>0</v>
      </c>
      <c r="BL34">
        <v>3</v>
      </c>
      <c r="BM34">
        <v>3</v>
      </c>
      <c r="BN34">
        <v>9</v>
      </c>
      <c r="BO34">
        <v>0</v>
      </c>
      <c r="BP34">
        <f t="shared" si="6"/>
        <v>9</v>
      </c>
      <c r="BQ34">
        <v>0</v>
      </c>
      <c r="BR34">
        <f t="shared" si="7"/>
        <v>9</v>
      </c>
      <c r="BS34">
        <v>17.419191926666699</v>
      </c>
      <c r="BT34">
        <v>0.46302293233333303</v>
      </c>
      <c r="BU34">
        <v>3.0992876699999998</v>
      </c>
      <c r="BV34">
        <v>-17.419191926666699</v>
      </c>
      <c r="BW34">
        <v>0.46302293233333303</v>
      </c>
      <c r="BX34">
        <v>-1.47960015</v>
      </c>
      <c r="BY34">
        <v>728.72046300357795</v>
      </c>
      <c r="BZ34">
        <v>0.16080498191504899</v>
      </c>
      <c r="CA34">
        <v>12.129925404790599</v>
      </c>
      <c r="CB34">
        <v>728.72046300357795</v>
      </c>
      <c r="CC34">
        <v>0.16080498191504899</v>
      </c>
      <c r="CD34">
        <v>23.254476591091599</v>
      </c>
      <c r="CE34">
        <v>9.4908553333333298E-2</v>
      </c>
      <c r="CF34">
        <v>2.1414478168985E-2</v>
      </c>
      <c r="CG34">
        <v>0.13610601250000001</v>
      </c>
      <c r="CH34">
        <v>30.789772742499999</v>
      </c>
      <c r="CI34">
        <v>0.519146873625</v>
      </c>
      <c r="CJ34">
        <v>2.37699851625</v>
      </c>
      <c r="CK34">
        <v>-0.11518225</v>
      </c>
      <c r="CL34">
        <v>-30.789772742499999</v>
      </c>
      <c r="CM34">
        <v>0.519146873625</v>
      </c>
      <c r="CN34">
        <v>0.65991558375000003</v>
      </c>
      <c r="CO34">
        <v>8.6960884385945403E-3</v>
      </c>
      <c r="CP34">
        <v>599.78921995137</v>
      </c>
      <c r="CQ34">
        <v>0.10267766006229501</v>
      </c>
      <c r="CR34">
        <v>4.4980166265399104</v>
      </c>
      <c r="CS34">
        <v>1.4705112351266101E-2</v>
      </c>
      <c r="CT34">
        <v>599.78921995137</v>
      </c>
      <c r="CU34">
        <v>0.10267766006229501</v>
      </c>
      <c r="CV34">
        <v>10.4575976192012</v>
      </c>
      <c r="CW34">
        <v>-3.91118533333333E-2</v>
      </c>
    </row>
    <row r="35" spans="1:101" x14ac:dyDescent="0.25">
      <c r="A35" t="s">
        <v>77</v>
      </c>
      <c r="B35">
        <v>10</v>
      </c>
      <c r="C35" t="s">
        <v>33</v>
      </c>
      <c r="D35" t="s">
        <v>94</v>
      </c>
      <c r="E35" t="s">
        <v>102</v>
      </c>
      <c r="F35" t="s">
        <v>145</v>
      </c>
      <c r="G35" t="s">
        <v>265</v>
      </c>
      <c r="H35" t="str">
        <f t="shared" si="0"/>
        <v>A.calendula.Highcomp.Open</v>
      </c>
      <c r="I35" t="s">
        <v>677</v>
      </c>
      <c r="J35" t="s">
        <v>309</v>
      </c>
      <c r="K35">
        <v>2</v>
      </c>
      <c r="L35">
        <v>140</v>
      </c>
      <c r="M35">
        <v>80</v>
      </c>
      <c r="N35">
        <v>140</v>
      </c>
      <c r="O35">
        <f t="shared" si="3"/>
        <v>60</v>
      </c>
      <c r="P35">
        <v>190</v>
      </c>
      <c r="Q35">
        <v>190</v>
      </c>
      <c r="R35">
        <v>120</v>
      </c>
      <c r="S35">
        <f t="shared" si="4"/>
        <v>155</v>
      </c>
      <c r="T35">
        <f t="shared" si="5"/>
        <v>1.1071428571428572</v>
      </c>
      <c r="V35" t="s">
        <v>110</v>
      </c>
      <c r="W35">
        <v>70</v>
      </c>
      <c r="X35">
        <v>14.4</v>
      </c>
      <c r="Y35">
        <v>18.399999999999999</v>
      </c>
      <c r="Z35">
        <v>16.899999999999999</v>
      </c>
      <c r="AA35">
        <v>16.56666667</v>
      </c>
      <c r="AB35">
        <v>16.56666667</v>
      </c>
      <c r="AC35">
        <v>15.4</v>
      </c>
      <c r="AD35">
        <v>15.4</v>
      </c>
      <c r="AE35">
        <v>15.9</v>
      </c>
      <c r="AF35">
        <v>15.56666667</v>
      </c>
      <c r="AG35">
        <v>16.399999999999999</v>
      </c>
      <c r="AH35">
        <v>16.899999999999999</v>
      </c>
      <c r="AI35">
        <v>16.899999999999999</v>
      </c>
      <c r="AJ35">
        <v>16.733333330000001</v>
      </c>
      <c r="AK35">
        <v>18.899999999999999</v>
      </c>
      <c r="AL35">
        <v>16.399999999999999</v>
      </c>
      <c r="AM35">
        <v>19.399999999999999</v>
      </c>
      <c r="AN35">
        <v>18.233333330000001</v>
      </c>
      <c r="AO35">
        <v>16.733333330000001</v>
      </c>
      <c r="AP35">
        <v>3.6</v>
      </c>
      <c r="AQ35">
        <v>5.0999999999999996</v>
      </c>
      <c r="AR35">
        <v>7.1</v>
      </c>
      <c r="AS35">
        <v>5.266666667</v>
      </c>
      <c r="AT35">
        <v>4.0999999999999996</v>
      </c>
      <c r="AU35">
        <v>5.0999999999999996</v>
      </c>
      <c r="AV35">
        <v>7.6</v>
      </c>
      <c r="AW35">
        <v>5.6</v>
      </c>
      <c r="AX35">
        <v>5.266666667</v>
      </c>
      <c r="AY35">
        <v>-11.3</v>
      </c>
      <c r="AZ35">
        <v>2</v>
      </c>
      <c r="BA35">
        <v>25</v>
      </c>
      <c r="BB35">
        <v>0</v>
      </c>
      <c r="BC35">
        <v>15</v>
      </c>
      <c r="BD35">
        <v>0</v>
      </c>
      <c r="BE35">
        <v>0</v>
      </c>
      <c r="BF35">
        <v>0</v>
      </c>
      <c r="BG35">
        <v>20</v>
      </c>
      <c r="BI35">
        <v>4.5999999999999996</v>
      </c>
      <c r="BJ35">
        <v>31.262</v>
      </c>
      <c r="BK35">
        <v>0</v>
      </c>
      <c r="BL35">
        <v>34</v>
      </c>
      <c r="BM35">
        <v>30</v>
      </c>
      <c r="BN35">
        <v>578</v>
      </c>
      <c r="BO35">
        <v>560.5</v>
      </c>
      <c r="BP35">
        <f t="shared" si="6"/>
        <v>17.5</v>
      </c>
      <c r="BQ35">
        <v>716</v>
      </c>
      <c r="BR35">
        <f t="shared" si="7"/>
        <v>-138</v>
      </c>
      <c r="BS35">
        <v>6.8410751850000002</v>
      </c>
      <c r="BT35">
        <v>1.1585583335</v>
      </c>
      <c r="BU35">
        <v>5.8901662449999996</v>
      </c>
      <c r="BV35">
        <v>6.8410751850000002</v>
      </c>
      <c r="BW35">
        <v>-1.0999066664999999</v>
      </c>
      <c r="BX35">
        <v>-5.8901662449999996</v>
      </c>
      <c r="BY35">
        <v>43.036856380904197</v>
      </c>
      <c r="BZ35">
        <v>2.4195893500222798</v>
      </c>
      <c r="CA35">
        <v>0.72806182958313004</v>
      </c>
      <c r="CB35">
        <v>43.036856380904197</v>
      </c>
      <c r="CC35">
        <v>2.68451482424459</v>
      </c>
      <c r="CD35">
        <v>0.72806182958313004</v>
      </c>
      <c r="CE35" t="s">
        <v>114</v>
      </c>
      <c r="CF35" t="s">
        <v>114</v>
      </c>
      <c r="CG35" t="s">
        <v>114</v>
      </c>
      <c r="CH35">
        <v>6.8410751850000002</v>
      </c>
      <c r="CI35">
        <v>1.1585583335</v>
      </c>
      <c r="CJ35">
        <v>5.8901662449999996</v>
      </c>
      <c r="CK35" t="s">
        <v>114</v>
      </c>
      <c r="CL35">
        <v>6.8410751850000002</v>
      </c>
      <c r="CM35">
        <v>-1.0999066664999999</v>
      </c>
      <c r="CN35">
        <v>-5.8901662449999996</v>
      </c>
      <c r="CO35" t="s">
        <v>114</v>
      </c>
      <c r="CP35">
        <v>43.036856380904197</v>
      </c>
      <c r="CQ35">
        <v>2.4195893500222798</v>
      </c>
      <c r="CR35">
        <v>0.72806182958313004</v>
      </c>
      <c r="CS35" t="s">
        <v>114</v>
      </c>
      <c r="CT35">
        <v>43.036856380904197</v>
      </c>
      <c r="CU35">
        <v>2.68451482424459</v>
      </c>
      <c r="CV35">
        <v>0.72806182958313004</v>
      </c>
      <c r="CW35" t="s">
        <v>114</v>
      </c>
    </row>
    <row r="36" spans="1:101" x14ac:dyDescent="0.25">
      <c r="A36" t="s">
        <v>77</v>
      </c>
      <c r="B36">
        <v>10</v>
      </c>
      <c r="C36" t="s">
        <v>33</v>
      </c>
      <c r="D36" t="s">
        <v>94</v>
      </c>
      <c r="E36" t="s">
        <v>110</v>
      </c>
      <c r="F36" t="s">
        <v>145</v>
      </c>
      <c r="G36" t="s">
        <v>262</v>
      </c>
      <c r="H36" t="str">
        <f t="shared" si="0"/>
        <v>M.minima.Highcomp.Open</v>
      </c>
      <c r="I36" t="s">
        <v>681</v>
      </c>
      <c r="J36" t="s">
        <v>310</v>
      </c>
      <c r="K36">
        <v>3</v>
      </c>
      <c r="L36">
        <v>85</v>
      </c>
      <c r="M36">
        <v>50</v>
      </c>
      <c r="N36">
        <v>85</v>
      </c>
      <c r="O36">
        <f t="shared" si="3"/>
        <v>35</v>
      </c>
      <c r="P36">
        <v>15</v>
      </c>
      <c r="Q36">
        <v>10</v>
      </c>
      <c r="R36">
        <v>10</v>
      </c>
      <c r="S36">
        <f t="shared" si="4"/>
        <v>10</v>
      </c>
      <c r="T36">
        <f t="shared" si="5"/>
        <v>0.11764705882352941</v>
      </c>
      <c r="V36" t="s">
        <v>110</v>
      </c>
      <c r="W36">
        <v>85</v>
      </c>
      <c r="X36">
        <v>14.4</v>
      </c>
      <c r="Y36">
        <v>18.399999999999999</v>
      </c>
      <c r="Z36">
        <v>16.899999999999999</v>
      </c>
      <c r="AA36">
        <v>16.56666667</v>
      </c>
      <c r="AB36">
        <v>16.56666667</v>
      </c>
      <c r="AC36">
        <v>12.5</v>
      </c>
      <c r="AD36">
        <v>13.5</v>
      </c>
      <c r="AE36">
        <v>13.9</v>
      </c>
      <c r="AF36">
        <v>13.3</v>
      </c>
      <c r="AG36">
        <v>16.399999999999999</v>
      </c>
      <c r="AH36">
        <v>16.899999999999999</v>
      </c>
      <c r="AI36">
        <v>16.899999999999999</v>
      </c>
      <c r="AJ36">
        <v>16.733333330000001</v>
      </c>
      <c r="AK36">
        <v>15.9</v>
      </c>
      <c r="AL36">
        <v>13.5</v>
      </c>
      <c r="AM36">
        <v>16.399999999999999</v>
      </c>
      <c r="AN36">
        <v>15.266666669999999</v>
      </c>
      <c r="AO36">
        <v>16.733333330000001</v>
      </c>
      <c r="AP36">
        <v>3.6</v>
      </c>
      <c r="AQ36">
        <v>5.0999999999999996</v>
      </c>
      <c r="AR36">
        <v>7.1</v>
      </c>
      <c r="AS36">
        <v>5.266666667</v>
      </c>
      <c r="AT36">
        <v>3.6</v>
      </c>
      <c r="AU36">
        <v>3.1</v>
      </c>
      <c r="AV36">
        <v>2.7</v>
      </c>
      <c r="AW36">
        <v>3.1333333329999999</v>
      </c>
      <c r="AX36">
        <v>5.266666667</v>
      </c>
      <c r="AY36">
        <v>-11.3</v>
      </c>
      <c r="AZ36">
        <v>2</v>
      </c>
      <c r="BA36">
        <v>25</v>
      </c>
      <c r="BB36">
        <v>0</v>
      </c>
      <c r="BC36">
        <v>15</v>
      </c>
      <c r="BD36">
        <v>0</v>
      </c>
      <c r="BE36">
        <v>0</v>
      </c>
      <c r="BF36">
        <v>0</v>
      </c>
      <c r="BG36">
        <v>20</v>
      </c>
      <c r="BI36">
        <v>4.5999999999999996</v>
      </c>
      <c r="BJ36">
        <v>31.262</v>
      </c>
      <c r="BK36">
        <v>0</v>
      </c>
      <c r="BL36">
        <v>6</v>
      </c>
      <c r="BM36">
        <v>6</v>
      </c>
      <c r="BN36">
        <v>6</v>
      </c>
      <c r="BO36">
        <v>7.6666670000000003</v>
      </c>
      <c r="BP36">
        <f t="shared" si="6"/>
        <v>-1.6666670000000003</v>
      </c>
      <c r="BQ36">
        <v>9</v>
      </c>
      <c r="BR36">
        <f t="shared" si="7"/>
        <v>-3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 t="s">
        <v>114</v>
      </c>
      <c r="BZ36" t="s">
        <v>114</v>
      </c>
      <c r="CA36" t="s">
        <v>114</v>
      </c>
      <c r="CB36" t="s">
        <v>114</v>
      </c>
      <c r="CC36" t="s">
        <v>114</v>
      </c>
      <c r="CD36" t="s">
        <v>114</v>
      </c>
      <c r="CE36">
        <v>0</v>
      </c>
      <c r="CF36" t="s">
        <v>114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</row>
    <row r="37" spans="1:101" x14ac:dyDescent="0.25">
      <c r="A37" t="s">
        <v>78</v>
      </c>
      <c r="B37">
        <v>10</v>
      </c>
      <c r="C37" t="s">
        <v>35</v>
      </c>
      <c r="D37" t="s">
        <v>94</v>
      </c>
      <c r="E37" t="s">
        <v>111</v>
      </c>
      <c r="F37" t="s">
        <v>145</v>
      </c>
      <c r="G37" t="s">
        <v>263</v>
      </c>
      <c r="H37" t="str">
        <f t="shared" si="0"/>
        <v>P.canescens.Highcomp.Open</v>
      </c>
      <c r="I37" t="s">
        <v>678</v>
      </c>
      <c r="J37" t="s">
        <v>311</v>
      </c>
      <c r="K37">
        <v>0</v>
      </c>
      <c r="L37">
        <v>250</v>
      </c>
      <c r="M37">
        <v>300</v>
      </c>
      <c r="N37">
        <v>250</v>
      </c>
      <c r="O37">
        <f t="shared" si="3"/>
        <v>-50</v>
      </c>
      <c r="P37">
        <v>90</v>
      </c>
      <c r="Q37">
        <v>100</v>
      </c>
      <c r="R37">
        <v>70</v>
      </c>
      <c r="S37">
        <f t="shared" si="4"/>
        <v>85</v>
      </c>
      <c r="T37">
        <f t="shared" si="5"/>
        <v>0.34</v>
      </c>
      <c r="V37" t="s">
        <v>112</v>
      </c>
      <c r="W37">
        <v>85</v>
      </c>
      <c r="X37">
        <v>16.899999999999999</v>
      </c>
      <c r="Y37">
        <v>15.9</v>
      </c>
      <c r="Z37">
        <v>17.899999999999999</v>
      </c>
      <c r="AA37">
        <v>16.899999999999999</v>
      </c>
      <c r="AB37">
        <v>16.899999999999999</v>
      </c>
      <c r="AC37">
        <v>16.399999999999999</v>
      </c>
      <c r="AD37">
        <v>16.899999999999999</v>
      </c>
      <c r="AE37">
        <v>17.899999999999999</v>
      </c>
      <c r="AF37">
        <v>17.06666667</v>
      </c>
      <c r="AG37">
        <v>17.899999999999999</v>
      </c>
      <c r="AH37">
        <v>18.399999999999999</v>
      </c>
      <c r="AI37">
        <v>18.399999999999999</v>
      </c>
      <c r="AJ37">
        <v>18.233333330000001</v>
      </c>
      <c r="AK37">
        <v>18.399999999999999</v>
      </c>
      <c r="AL37">
        <v>19.3</v>
      </c>
      <c r="AM37">
        <v>19.3</v>
      </c>
      <c r="AN37">
        <v>19</v>
      </c>
      <c r="AO37">
        <v>18.233333330000001</v>
      </c>
      <c r="AP37">
        <v>8.5</v>
      </c>
      <c r="AQ37">
        <v>8.5</v>
      </c>
      <c r="AR37">
        <v>9</v>
      </c>
      <c r="AS37">
        <v>8.6666666669999994</v>
      </c>
      <c r="AT37">
        <v>6.1</v>
      </c>
      <c r="AU37">
        <v>7.6</v>
      </c>
      <c r="AV37">
        <v>8.5</v>
      </c>
      <c r="AW37">
        <v>7.4</v>
      </c>
      <c r="AX37">
        <v>8.6666666669999994</v>
      </c>
      <c r="AY37">
        <v>-8.2333333329999991</v>
      </c>
      <c r="AZ37">
        <v>15</v>
      </c>
      <c r="BA37">
        <v>30</v>
      </c>
      <c r="BB37">
        <v>5</v>
      </c>
      <c r="BC37">
        <v>2</v>
      </c>
      <c r="BD37">
        <v>0</v>
      </c>
      <c r="BE37">
        <v>0</v>
      </c>
      <c r="BF37">
        <v>3</v>
      </c>
      <c r="BG37">
        <v>1</v>
      </c>
      <c r="BI37">
        <v>13.6</v>
      </c>
      <c r="BJ37">
        <v>5.9870000000000001</v>
      </c>
      <c r="BK37">
        <v>0</v>
      </c>
      <c r="BL37">
        <v>50</v>
      </c>
      <c r="BM37">
        <v>45</v>
      </c>
      <c r="BN37">
        <v>4122</v>
      </c>
      <c r="BO37">
        <v>2412</v>
      </c>
      <c r="BP37">
        <f t="shared" si="6"/>
        <v>1710</v>
      </c>
      <c r="BQ37">
        <v>2305</v>
      </c>
      <c r="BR37">
        <f t="shared" si="7"/>
        <v>1817</v>
      </c>
      <c r="BS37" t="s">
        <v>114</v>
      </c>
      <c r="BT37" t="s">
        <v>114</v>
      </c>
      <c r="BU37" t="s">
        <v>114</v>
      </c>
      <c r="BV37" t="s">
        <v>114</v>
      </c>
      <c r="BW37" t="s">
        <v>114</v>
      </c>
      <c r="BX37" t="s">
        <v>114</v>
      </c>
      <c r="BY37" t="s">
        <v>114</v>
      </c>
      <c r="BZ37" t="s">
        <v>114</v>
      </c>
      <c r="CA37" t="s">
        <v>114</v>
      </c>
      <c r="CB37" t="s">
        <v>114</v>
      </c>
      <c r="CC37" t="s">
        <v>114</v>
      </c>
      <c r="CD37" t="s">
        <v>114</v>
      </c>
      <c r="CE37" t="s">
        <v>114</v>
      </c>
      <c r="CF37" t="s">
        <v>114</v>
      </c>
      <c r="CG37" t="s">
        <v>114</v>
      </c>
      <c r="CH37" t="s">
        <v>114</v>
      </c>
      <c r="CI37" t="s">
        <v>114</v>
      </c>
      <c r="CJ37" t="s">
        <v>114</v>
      </c>
      <c r="CK37" t="s">
        <v>114</v>
      </c>
      <c r="CL37" t="s">
        <v>114</v>
      </c>
      <c r="CM37" t="s">
        <v>114</v>
      </c>
      <c r="CN37" t="s">
        <v>114</v>
      </c>
      <c r="CO37" t="s">
        <v>114</v>
      </c>
      <c r="CP37" t="s">
        <v>114</v>
      </c>
      <c r="CQ37" t="s">
        <v>114</v>
      </c>
      <c r="CR37" t="s">
        <v>114</v>
      </c>
      <c r="CS37" t="s">
        <v>114</v>
      </c>
      <c r="CT37" t="s">
        <v>114</v>
      </c>
      <c r="CU37" t="s">
        <v>114</v>
      </c>
      <c r="CV37" t="s">
        <v>114</v>
      </c>
      <c r="CW37" t="s">
        <v>114</v>
      </c>
    </row>
    <row r="38" spans="1:101" x14ac:dyDescent="0.25">
      <c r="A38" t="s">
        <v>50</v>
      </c>
      <c r="B38">
        <v>12</v>
      </c>
      <c r="C38" t="s">
        <v>11</v>
      </c>
      <c r="D38" t="s">
        <v>95</v>
      </c>
      <c r="E38" t="s">
        <v>113</v>
      </c>
      <c r="F38" t="s">
        <v>145</v>
      </c>
      <c r="G38" t="s">
        <v>259</v>
      </c>
      <c r="H38" t="str">
        <f t="shared" si="0"/>
        <v>H.glutinosum.Highcomp.Shade</v>
      </c>
      <c r="I38" t="s">
        <v>682</v>
      </c>
      <c r="J38" t="s">
        <v>312</v>
      </c>
      <c r="K38">
        <v>7</v>
      </c>
      <c r="L38">
        <v>100</v>
      </c>
      <c r="M38">
        <v>120</v>
      </c>
      <c r="N38">
        <v>100</v>
      </c>
      <c r="O38">
        <f t="shared" si="3"/>
        <v>-20</v>
      </c>
      <c r="P38">
        <v>10</v>
      </c>
      <c r="Q38">
        <v>20</v>
      </c>
      <c r="R38">
        <v>15</v>
      </c>
      <c r="S38">
        <f t="shared" si="4"/>
        <v>17.5</v>
      </c>
      <c r="T38">
        <f t="shared" si="5"/>
        <v>0.17499999999999999</v>
      </c>
      <c r="U38" t="s">
        <v>23</v>
      </c>
      <c r="V38" t="s">
        <v>113</v>
      </c>
      <c r="W38">
        <v>50</v>
      </c>
      <c r="X38">
        <v>16.899999999999999</v>
      </c>
      <c r="Y38">
        <v>16.399999999999999</v>
      </c>
      <c r="Z38">
        <v>14.4</v>
      </c>
      <c r="AA38">
        <v>15.9</v>
      </c>
      <c r="AB38">
        <v>15.9</v>
      </c>
      <c r="AC38">
        <v>15.9</v>
      </c>
      <c r="AD38">
        <v>16.399999999999999</v>
      </c>
      <c r="AE38">
        <v>16.899999999999999</v>
      </c>
      <c r="AF38">
        <v>16.399999999999999</v>
      </c>
      <c r="AG38">
        <v>15.4</v>
      </c>
      <c r="AH38">
        <v>18.399999999999999</v>
      </c>
      <c r="AI38">
        <v>16.899999999999999</v>
      </c>
      <c r="AJ38">
        <v>16.899999999999999</v>
      </c>
      <c r="AK38">
        <v>17.399999999999999</v>
      </c>
      <c r="AL38">
        <v>17.399999999999999</v>
      </c>
      <c r="AM38">
        <v>16.899999999999999</v>
      </c>
      <c r="AN38">
        <v>17.233333330000001</v>
      </c>
      <c r="AO38">
        <v>16.899999999999999</v>
      </c>
      <c r="AP38">
        <v>8.5</v>
      </c>
      <c r="AQ38">
        <v>8.5</v>
      </c>
      <c r="AR38">
        <v>5.6</v>
      </c>
      <c r="AS38">
        <v>7.5333333329999999</v>
      </c>
      <c r="AT38">
        <v>8.5</v>
      </c>
      <c r="AU38">
        <v>8.5</v>
      </c>
      <c r="AV38">
        <v>9</v>
      </c>
      <c r="AW38">
        <v>8.6666666669999994</v>
      </c>
      <c r="AX38">
        <v>7.5333333329999999</v>
      </c>
      <c r="AY38">
        <v>-8.3666666670000005</v>
      </c>
      <c r="AZ38">
        <v>25</v>
      </c>
      <c r="BA38">
        <v>50</v>
      </c>
      <c r="BB38">
        <v>0</v>
      </c>
      <c r="BC38">
        <v>20</v>
      </c>
      <c r="BD38">
        <v>1</v>
      </c>
      <c r="BE38">
        <v>1</v>
      </c>
      <c r="BF38">
        <v>0</v>
      </c>
      <c r="BG38">
        <v>0</v>
      </c>
      <c r="BI38">
        <v>9.1</v>
      </c>
      <c r="BJ38">
        <v>47.033999999999999</v>
      </c>
      <c r="BK38">
        <v>0</v>
      </c>
      <c r="BL38">
        <v>1</v>
      </c>
      <c r="BM38">
        <v>1</v>
      </c>
      <c r="BN38">
        <v>0</v>
      </c>
      <c r="BO38">
        <v>7</v>
      </c>
      <c r="BP38">
        <f t="shared" si="6"/>
        <v>-7</v>
      </c>
      <c r="BQ38" t="s">
        <v>114</v>
      </c>
      <c r="BR38" t="s">
        <v>114</v>
      </c>
      <c r="BS38">
        <v>1.87121212</v>
      </c>
      <c r="BT38">
        <v>0.3490211245</v>
      </c>
      <c r="BU38">
        <v>3.4341658650000002</v>
      </c>
      <c r="BV38">
        <v>-1.87121212</v>
      </c>
      <c r="BW38">
        <v>0.3490211245</v>
      </c>
      <c r="BX38">
        <v>-3.4341658650000002</v>
      </c>
      <c r="BY38">
        <v>7.0028695960697904</v>
      </c>
      <c r="BZ38">
        <v>0.243631490694489</v>
      </c>
      <c r="CA38">
        <v>23.586990376662399</v>
      </c>
      <c r="CB38">
        <v>7.0028695960697904</v>
      </c>
      <c r="CC38">
        <v>0.243631490694489</v>
      </c>
      <c r="CD38">
        <v>23.586990376662399</v>
      </c>
      <c r="CE38">
        <v>4.1847524999999997E-2</v>
      </c>
      <c r="CF38">
        <v>3.5024306972512502E-3</v>
      </c>
      <c r="CG38">
        <v>1.19564357142857E-2</v>
      </c>
      <c r="CH38">
        <v>0.53463203428571404</v>
      </c>
      <c r="CI38">
        <v>9.97203212857143E-2</v>
      </c>
      <c r="CJ38">
        <v>0.98119024714285696</v>
      </c>
      <c r="CK38">
        <v>1.19564357142857E-2</v>
      </c>
      <c r="CL38">
        <v>-0.53463203428571404</v>
      </c>
      <c r="CM38">
        <v>9.97203212857143E-2</v>
      </c>
      <c r="CN38">
        <v>-0.98119024714285696</v>
      </c>
      <c r="CO38">
        <v>1.00069448492893E-3</v>
      </c>
      <c r="CP38">
        <v>2.0008198845913698</v>
      </c>
      <c r="CQ38">
        <v>6.9608997341282605E-2</v>
      </c>
      <c r="CR38">
        <v>6.7391401076178301</v>
      </c>
      <c r="CS38">
        <v>1.00069448492893E-3</v>
      </c>
      <c r="CT38">
        <v>2.0008198845913698</v>
      </c>
      <c r="CU38">
        <v>6.9608997341282605E-2</v>
      </c>
      <c r="CV38">
        <v>6.7391401076178301</v>
      </c>
      <c r="CW38">
        <v>4.1847524999999997E-2</v>
      </c>
    </row>
    <row r="39" spans="1:101" x14ac:dyDescent="0.25">
      <c r="A39" t="s">
        <v>50</v>
      </c>
      <c r="B39">
        <v>12</v>
      </c>
      <c r="C39" t="s">
        <v>11</v>
      </c>
      <c r="D39" t="s">
        <v>95</v>
      </c>
      <c r="E39" t="s">
        <v>103</v>
      </c>
      <c r="F39" t="s">
        <v>145</v>
      </c>
      <c r="G39" t="s">
        <v>260</v>
      </c>
      <c r="H39" t="str">
        <f t="shared" si="0"/>
        <v>P.airoides.Highcomp.Shade</v>
      </c>
      <c r="I39" t="s">
        <v>683</v>
      </c>
      <c r="J39" t="s">
        <v>313</v>
      </c>
      <c r="K39">
        <v>7</v>
      </c>
      <c r="L39">
        <v>100</v>
      </c>
      <c r="M39">
        <v>60</v>
      </c>
      <c r="N39">
        <v>100</v>
      </c>
      <c r="O39">
        <f t="shared" si="3"/>
        <v>40</v>
      </c>
      <c r="P39">
        <v>35</v>
      </c>
      <c r="Q39">
        <v>40</v>
      </c>
      <c r="R39">
        <v>15</v>
      </c>
      <c r="S39">
        <f t="shared" si="4"/>
        <v>27.5</v>
      </c>
      <c r="T39">
        <f t="shared" si="5"/>
        <v>0.27500000000000002</v>
      </c>
      <c r="V39" t="s">
        <v>113</v>
      </c>
      <c r="W39">
        <v>70</v>
      </c>
      <c r="X39">
        <v>16.899999999999999</v>
      </c>
      <c r="Y39">
        <v>16.399999999999999</v>
      </c>
      <c r="Z39">
        <v>14.4</v>
      </c>
      <c r="AA39">
        <v>15.9</v>
      </c>
      <c r="AB39">
        <v>15.9</v>
      </c>
      <c r="AC39">
        <v>15.9</v>
      </c>
      <c r="AD39">
        <v>16.399999999999999</v>
      </c>
      <c r="AE39">
        <v>17.399999999999999</v>
      </c>
      <c r="AF39">
        <v>16.56666667</v>
      </c>
      <c r="AG39">
        <v>15.4</v>
      </c>
      <c r="AH39">
        <v>18.399999999999999</v>
      </c>
      <c r="AI39">
        <v>16.899999999999999</v>
      </c>
      <c r="AJ39">
        <v>16.899999999999999</v>
      </c>
      <c r="AK39">
        <v>15.4</v>
      </c>
      <c r="AL39">
        <v>21.3</v>
      </c>
      <c r="AM39">
        <v>17.899999999999999</v>
      </c>
      <c r="AN39">
        <v>18.2</v>
      </c>
      <c r="AO39">
        <v>16.899999999999999</v>
      </c>
      <c r="AP39">
        <v>8.5</v>
      </c>
      <c r="AQ39">
        <v>8.5</v>
      </c>
      <c r="AR39">
        <v>5.6</v>
      </c>
      <c r="AS39">
        <v>7.5333333329999999</v>
      </c>
      <c r="AT39">
        <v>8.1</v>
      </c>
      <c r="AU39">
        <v>9</v>
      </c>
      <c r="AV39">
        <v>11</v>
      </c>
      <c r="AW39">
        <v>9.3666666670000005</v>
      </c>
      <c r="AX39">
        <v>7.5333333329999999</v>
      </c>
      <c r="AY39">
        <v>-8.3666666670000005</v>
      </c>
      <c r="AZ39">
        <v>25</v>
      </c>
      <c r="BA39">
        <v>50</v>
      </c>
      <c r="BB39">
        <v>0</v>
      </c>
      <c r="BC39">
        <v>20</v>
      </c>
      <c r="BD39">
        <v>1</v>
      </c>
      <c r="BE39">
        <v>1</v>
      </c>
      <c r="BF39">
        <v>0</v>
      </c>
      <c r="BG39">
        <v>0</v>
      </c>
      <c r="BI39">
        <v>9.1</v>
      </c>
      <c r="BJ39">
        <v>47.033999999999999</v>
      </c>
      <c r="BK39">
        <v>0</v>
      </c>
      <c r="BL39">
        <v>6</v>
      </c>
      <c r="BM39">
        <v>6</v>
      </c>
      <c r="BN39">
        <v>410</v>
      </c>
      <c r="BO39">
        <v>290.75</v>
      </c>
      <c r="BP39">
        <f t="shared" si="6"/>
        <v>119.25</v>
      </c>
      <c r="BQ39">
        <v>338</v>
      </c>
      <c r="BR39">
        <f>BN39-BQ39</f>
        <v>72</v>
      </c>
      <c r="BS39">
        <v>27.808712119999999</v>
      </c>
      <c r="BT39" t="s">
        <v>114</v>
      </c>
      <c r="BU39">
        <v>7.153407895</v>
      </c>
      <c r="BV39">
        <v>-13.274621209999999</v>
      </c>
      <c r="BW39" t="s">
        <v>114</v>
      </c>
      <c r="BX39">
        <v>7.153407895</v>
      </c>
      <c r="BY39">
        <v>352.43113653796399</v>
      </c>
      <c r="BZ39" t="s">
        <v>114</v>
      </c>
      <c r="CA39">
        <v>0.60884073127230198</v>
      </c>
      <c r="CB39">
        <v>1546.6489395460701</v>
      </c>
      <c r="CC39" t="s">
        <v>114</v>
      </c>
      <c r="CD39">
        <v>0.60884073127230198</v>
      </c>
      <c r="CE39" t="s">
        <v>114</v>
      </c>
      <c r="CF39" t="s">
        <v>114</v>
      </c>
      <c r="CG39" t="s">
        <v>114</v>
      </c>
      <c r="CH39">
        <v>25.912337661428602</v>
      </c>
      <c r="CI39" t="s">
        <v>114</v>
      </c>
      <c r="CJ39">
        <v>7.2322283271428596</v>
      </c>
      <c r="CK39" t="s">
        <v>114</v>
      </c>
      <c r="CL39">
        <v>-9.30194805</v>
      </c>
      <c r="CM39" t="s">
        <v>114</v>
      </c>
      <c r="CN39">
        <v>7.2322283271428596</v>
      </c>
      <c r="CO39" t="s">
        <v>114</v>
      </c>
      <c r="CP39">
        <v>201.389220878836</v>
      </c>
      <c r="CQ39" t="s">
        <v>114</v>
      </c>
      <c r="CR39">
        <v>0.34790898929845798</v>
      </c>
      <c r="CS39" t="s">
        <v>114</v>
      </c>
      <c r="CT39">
        <v>883.79939402632601</v>
      </c>
      <c r="CU39" t="s">
        <v>114</v>
      </c>
      <c r="CV39">
        <v>0.34790898929845798</v>
      </c>
      <c r="CW39" t="s">
        <v>114</v>
      </c>
    </row>
    <row r="40" spans="1:101" x14ac:dyDescent="0.25">
      <c r="A40" t="s">
        <v>50</v>
      </c>
      <c r="B40">
        <v>12</v>
      </c>
      <c r="C40" t="s">
        <v>11</v>
      </c>
      <c r="D40" t="s">
        <v>95</v>
      </c>
      <c r="E40" t="s">
        <v>111</v>
      </c>
      <c r="F40" t="s">
        <v>145</v>
      </c>
      <c r="G40" t="s">
        <v>263</v>
      </c>
      <c r="H40" t="str">
        <f t="shared" si="0"/>
        <v>P.canescens.Highcomp.Shade</v>
      </c>
      <c r="I40" t="s">
        <v>684</v>
      </c>
      <c r="J40" t="s">
        <v>314</v>
      </c>
      <c r="K40">
        <v>5</v>
      </c>
      <c r="L40">
        <v>290</v>
      </c>
      <c r="M40">
        <v>270</v>
      </c>
      <c r="N40">
        <v>290</v>
      </c>
      <c r="O40">
        <f t="shared" si="3"/>
        <v>20</v>
      </c>
      <c r="P40">
        <v>60</v>
      </c>
      <c r="Q40">
        <v>200</v>
      </c>
      <c r="R40">
        <v>90</v>
      </c>
      <c r="S40">
        <f t="shared" si="4"/>
        <v>145</v>
      </c>
      <c r="T40">
        <f t="shared" si="5"/>
        <v>0.5</v>
      </c>
      <c r="V40" t="s">
        <v>113</v>
      </c>
      <c r="W40">
        <v>80</v>
      </c>
      <c r="X40">
        <v>16.899999999999999</v>
      </c>
      <c r="Y40">
        <v>16.399999999999999</v>
      </c>
      <c r="Z40">
        <v>14.4</v>
      </c>
      <c r="AA40">
        <v>15.9</v>
      </c>
      <c r="AB40">
        <v>15.9</v>
      </c>
      <c r="AC40">
        <v>17.899999999999999</v>
      </c>
      <c r="AD40">
        <v>17.899999999999999</v>
      </c>
      <c r="AE40">
        <v>16.899999999999999</v>
      </c>
      <c r="AF40">
        <v>17.56666667</v>
      </c>
      <c r="AG40">
        <v>15.4</v>
      </c>
      <c r="AH40">
        <v>18.399999999999999</v>
      </c>
      <c r="AI40">
        <v>16.899999999999999</v>
      </c>
      <c r="AJ40">
        <v>16.899999999999999</v>
      </c>
      <c r="AK40">
        <v>17.100000000000001</v>
      </c>
      <c r="AL40">
        <v>18.399999999999999</v>
      </c>
      <c r="AM40">
        <v>19.8</v>
      </c>
      <c r="AN40">
        <v>18.43333333</v>
      </c>
      <c r="AO40">
        <v>16.899999999999999</v>
      </c>
      <c r="AP40">
        <v>8.5</v>
      </c>
      <c r="AQ40">
        <v>8.5</v>
      </c>
      <c r="AR40">
        <v>5.6</v>
      </c>
      <c r="AS40">
        <v>7.5333333329999999</v>
      </c>
      <c r="AT40">
        <v>8.5</v>
      </c>
      <c r="AU40">
        <v>8.5</v>
      </c>
      <c r="AV40">
        <v>9</v>
      </c>
      <c r="AW40">
        <v>8.6666666669999994</v>
      </c>
      <c r="AX40">
        <v>7.5333333329999999</v>
      </c>
      <c r="AY40">
        <v>-8.3666666670000005</v>
      </c>
      <c r="AZ40">
        <v>25</v>
      </c>
      <c r="BA40">
        <v>50</v>
      </c>
      <c r="BB40">
        <v>0</v>
      </c>
      <c r="BC40">
        <v>20</v>
      </c>
      <c r="BD40">
        <v>1</v>
      </c>
      <c r="BE40">
        <v>1</v>
      </c>
      <c r="BF40">
        <v>0</v>
      </c>
      <c r="BG40">
        <v>0</v>
      </c>
      <c r="BI40">
        <v>9.1</v>
      </c>
      <c r="BJ40">
        <v>47.033999999999999</v>
      </c>
      <c r="BK40">
        <v>0</v>
      </c>
      <c r="BL40">
        <v>10</v>
      </c>
      <c r="BM40">
        <v>9</v>
      </c>
      <c r="BN40">
        <v>414</v>
      </c>
      <c r="BO40">
        <v>955.66669999999999</v>
      </c>
      <c r="BP40">
        <f t="shared" si="6"/>
        <v>-541.66669999999999</v>
      </c>
      <c r="BQ40">
        <v>655</v>
      </c>
      <c r="BR40">
        <f>BN40-BQ40</f>
        <v>-241</v>
      </c>
      <c r="BS40">
        <v>27.808712119999999</v>
      </c>
      <c r="BT40" t="s">
        <v>114</v>
      </c>
      <c r="BU40">
        <v>1.154195235</v>
      </c>
      <c r="BV40">
        <v>-16.59485931</v>
      </c>
      <c r="BW40" t="s">
        <v>114</v>
      </c>
      <c r="BX40">
        <v>1.154195235</v>
      </c>
      <c r="BY40">
        <v>550.77871103738698</v>
      </c>
      <c r="BZ40" t="s">
        <v>114</v>
      </c>
      <c r="CA40">
        <v>0.60884073127230098</v>
      </c>
      <c r="CB40">
        <v>1546.6489395460701</v>
      </c>
      <c r="CC40" t="s">
        <v>114</v>
      </c>
      <c r="CD40">
        <v>0.60884073127230098</v>
      </c>
      <c r="CE40" t="s">
        <v>114</v>
      </c>
      <c r="CF40" t="s">
        <v>114</v>
      </c>
      <c r="CG40" t="s">
        <v>114</v>
      </c>
      <c r="CH40">
        <v>24.489740258000001</v>
      </c>
      <c r="CI40" t="s">
        <v>114</v>
      </c>
      <c r="CJ40">
        <v>1.26454384</v>
      </c>
      <c r="CK40" t="s">
        <v>114</v>
      </c>
      <c r="CL40">
        <v>-11.033116886</v>
      </c>
      <c r="CM40" t="s">
        <v>114</v>
      </c>
      <c r="CN40">
        <v>1.26454384</v>
      </c>
      <c r="CO40" t="s">
        <v>114</v>
      </c>
      <c r="CP40">
        <v>330.46722662243201</v>
      </c>
      <c r="CQ40" t="s">
        <v>114</v>
      </c>
      <c r="CR40">
        <v>0.36530443876338098</v>
      </c>
      <c r="CS40" t="s">
        <v>114</v>
      </c>
      <c r="CT40">
        <v>927.98936372764194</v>
      </c>
      <c r="CU40" t="s">
        <v>114</v>
      </c>
      <c r="CV40">
        <v>0.36530443876338098</v>
      </c>
      <c r="CW40" t="s">
        <v>114</v>
      </c>
    </row>
    <row r="41" spans="1:101" x14ac:dyDescent="0.25">
      <c r="A41" t="s">
        <v>50</v>
      </c>
      <c r="B41">
        <v>12</v>
      </c>
      <c r="C41" t="s">
        <v>11</v>
      </c>
      <c r="D41" t="s">
        <v>95</v>
      </c>
      <c r="E41" t="s">
        <v>104</v>
      </c>
      <c r="F41" t="s">
        <v>145</v>
      </c>
      <c r="G41" t="s">
        <v>264</v>
      </c>
      <c r="H41" t="str">
        <f t="shared" si="0"/>
        <v>T.cyanopetala.Highcomp.Shade</v>
      </c>
      <c r="I41" t="s">
        <v>685</v>
      </c>
      <c r="J41" t="s">
        <v>315</v>
      </c>
      <c r="K41">
        <v>2</v>
      </c>
      <c r="L41">
        <v>40</v>
      </c>
      <c r="M41">
        <v>40</v>
      </c>
      <c r="N41">
        <v>40</v>
      </c>
      <c r="O41">
        <f t="shared" si="3"/>
        <v>0</v>
      </c>
      <c r="P41">
        <v>20</v>
      </c>
      <c r="Q41">
        <v>15</v>
      </c>
      <c r="R41">
        <v>10</v>
      </c>
      <c r="S41">
        <f t="shared" si="4"/>
        <v>12.5</v>
      </c>
      <c r="T41">
        <f t="shared" si="5"/>
        <v>0.3125</v>
      </c>
      <c r="V41" t="s">
        <v>121</v>
      </c>
      <c r="W41" t="s">
        <v>114</v>
      </c>
      <c r="X41">
        <v>16.899999999999999</v>
      </c>
      <c r="Y41">
        <v>16.399999999999999</v>
      </c>
      <c r="Z41">
        <v>14.4</v>
      </c>
      <c r="AA41">
        <v>15.9</v>
      </c>
      <c r="AB41">
        <v>15.9</v>
      </c>
      <c r="AC41">
        <v>14.4</v>
      </c>
      <c r="AD41">
        <v>14.4</v>
      </c>
      <c r="AE41">
        <v>13</v>
      </c>
      <c r="AF41">
        <v>13.93333333</v>
      </c>
      <c r="AG41">
        <v>15.4</v>
      </c>
      <c r="AH41">
        <v>18.399999999999999</v>
      </c>
      <c r="AI41">
        <v>16.899999999999999</v>
      </c>
      <c r="AJ41">
        <v>16.899999999999999</v>
      </c>
      <c r="AK41">
        <v>13.9</v>
      </c>
      <c r="AL41">
        <v>14.9</v>
      </c>
      <c r="AM41">
        <v>16.399999999999999</v>
      </c>
      <c r="AN41">
        <v>15.06666667</v>
      </c>
      <c r="AO41">
        <v>16.899999999999999</v>
      </c>
      <c r="AP41">
        <v>8.5</v>
      </c>
      <c r="AQ41">
        <v>8.5</v>
      </c>
      <c r="AR41">
        <v>5.6</v>
      </c>
      <c r="AS41">
        <v>7.5333333329999999</v>
      </c>
      <c r="AT41">
        <v>7.6</v>
      </c>
      <c r="AU41">
        <v>6.6</v>
      </c>
      <c r="AV41">
        <v>6.1</v>
      </c>
      <c r="AW41">
        <v>6.766666667</v>
      </c>
      <c r="AX41">
        <v>7.5333333329999999</v>
      </c>
      <c r="AY41">
        <v>-8.3666666670000005</v>
      </c>
      <c r="AZ41">
        <v>25</v>
      </c>
      <c r="BA41">
        <v>50</v>
      </c>
      <c r="BB41">
        <v>0</v>
      </c>
      <c r="BC41">
        <v>20</v>
      </c>
      <c r="BD41">
        <v>1</v>
      </c>
      <c r="BE41">
        <v>1</v>
      </c>
      <c r="BF41">
        <v>0</v>
      </c>
      <c r="BG41">
        <v>0</v>
      </c>
      <c r="BI41">
        <v>9.1</v>
      </c>
      <c r="BJ41">
        <v>47.033999999999999</v>
      </c>
      <c r="BK41">
        <v>0</v>
      </c>
      <c r="BL41">
        <v>2</v>
      </c>
      <c r="BM41">
        <v>2</v>
      </c>
      <c r="BN41">
        <v>6</v>
      </c>
      <c r="BO41">
        <v>22</v>
      </c>
      <c r="BP41">
        <f t="shared" si="6"/>
        <v>-16</v>
      </c>
      <c r="BQ41">
        <v>20</v>
      </c>
      <c r="BR41">
        <f>BN41-BQ41</f>
        <v>-14</v>
      </c>
      <c r="BS41">
        <v>21.041666665000001</v>
      </c>
      <c r="BT41">
        <v>2.3854993824999999</v>
      </c>
      <c r="BU41">
        <v>3.478786355</v>
      </c>
      <c r="BV41">
        <v>21.041666665000001</v>
      </c>
      <c r="BW41">
        <v>2.3854993824999999</v>
      </c>
      <c r="BX41">
        <v>3.478786355</v>
      </c>
      <c r="BY41">
        <v>58.2300347581944</v>
      </c>
      <c r="BZ41">
        <v>2.0011467643364601E-4</v>
      </c>
      <c r="CA41">
        <v>0.35013317837612801</v>
      </c>
      <c r="CB41">
        <v>58.2300347581944</v>
      </c>
      <c r="CC41">
        <v>2.0011467643364601E-4</v>
      </c>
      <c r="CD41">
        <v>0.35013317837612801</v>
      </c>
      <c r="CE41">
        <v>0.14967117499999999</v>
      </c>
      <c r="CF41">
        <v>4.4802921251761302E-2</v>
      </c>
      <c r="CG41">
        <v>0.14967117499999999</v>
      </c>
      <c r="CH41">
        <v>21.041666665000001</v>
      </c>
      <c r="CI41">
        <v>2.3854993824999999</v>
      </c>
      <c r="CJ41">
        <v>3.478786355</v>
      </c>
      <c r="CK41">
        <v>0.12793207500000001</v>
      </c>
      <c r="CL41">
        <v>21.041666665000001</v>
      </c>
      <c r="CM41">
        <v>2.3854993824999999</v>
      </c>
      <c r="CN41">
        <v>3.478786355</v>
      </c>
      <c r="CO41">
        <v>3.2733231627611298E-2</v>
      </c>
      <c r="CP41">
        <v>58.2300347581944</v>
      </c>
      <c r="CQ41">
        <v>2.0011467643364601E-4</v>
      </c>
      <c r="CR41">
        <v>0.35013317837612801</v>
      </c>
      <c r="CS41">
        <v>4.4802921251761302E-2</v>
      </c>
      <c r="CT41">
        <v>58.2300347581944</v>
      </c>
      <c r="CU41">
        <v>2.0011467643364601E-4</v>
      </c>
      <c r="CV41">
        <v>0.35013317837612801</v>
      </c>
      <c r="CW41">
        <v>0.12793207500000001</v>
      </c>
    </row>
    <row r="42" spans="1:101" x14ac:dyDescent="0.25">
      <c r="A42" t="s">
        <v>51</v>
      </c>
      <c r="B42">
        <v>12</v>
      </c>
      <c r="C42" t="s">
        <v>15</v>
      </c>
      <c r="D42" t="s">
        <v>94</v>
      </c>
      <c r="E42" t="s">
        <v>105</v>
      </c>
      <c r="F42" t="s">
        <v>145</v>
      </c>
      <c r="G42" t="s">
        <v>266</v>
      </c>
      <c r="H42" t="str">
        <f t="shared" si="0"/>
        <v>H.glabra.Highcomp.Open</v>
      </c>
      <c r="I42" t="s">
        <v>686</v>
      </c>
      <c r="J42" t="s">
        <v>316</v>
      </c>
      <c r="K42" t="s">
        <v>114</v>
      </c>
      <c r="L42">
        <v>50</v>
      </c>
      <c r="M42">
        <v>50</v>
      </c>
      <c r="N42">
        <v>50</v>
      </c>
      <c r="O42">
        <f t="shared" si="3"/>
        <v>0</v>
      </c>
      <c r="P42">
        <v>120</v>
      </c>
      <c r="Q42">
        <v>120</v>
      </c>
      <c r="R42">
        <v>100</v>
      </c>
      <c r="S42">
        <f t="shared" si="4"/>
        <v>110</v>
      </c>
      <c r="T42">
        <f t="shared" si="5"/>
        <v>2.2000000000000002</v>
      </c>
      <c r="V42" t="s">
        <v>104</v>
      </c>
      <c r="W42">
        <v>40</v>
      </c>
      <c r="X42">
        <v>13</v>
      </c>
      <c r="Y42">
        <v>13.9</v>
      </c>
      <c r="Z42">
        <v>14.4</v>
      </c>
      <c r="AA42">
        <v>13.766666669999999</v>
      </c>
      <c r="AB42">
        <v>13.766666669999999</v>
      </c>
      <c r="AC42">
        <v>17.399999999999999</v>
      </c>
      <c r="AD42">
        <v>20.3</v>
      </c>
      <c r="AE42">
        <v>15.9</v>
      </c>
      <c r="AF42">
        <v>17.866666670000001</v>
      </c>
      <c r="AG42">
        <v>14.4</v>
      </c>
      <c r="AH42">
        <v>14.4</v>
      </c>
      <c r="AI42">
        <v>15.4</v>
      </c>
      <c r="AJ42">
        <v>14.733333330000001</v>
      </c>
      <c r="AK42">
        <v>17.899999999999999</v>
      </c>
      <c r="AL42">
        <v>18.399999999999999</v>
      </c>
      <c r="AM42">
        <v>14.9</v>
      </c>
      <c r="AN42">
        <v>17.06666667</v>
      </c>
      <c r="AO42">
        <v>14.733333330000001</v>
      </c>
      <c r="AP42">
        <v>5.6</v>
      </c>
      <c r="AQ42">
        <v>4.5999999999999996</v>
      </c>
      <c r="AR42">
        <v>5.0999999999999996</v>
      </c>
      <c r="AS42">
        <v>5.0999999999999996</v>
      </c>
      <c r="AT42">
        <v>5.0999999999999996</v>
      </c>
      <c r="AU42">
        <v>6.1</v>
      </c>
      <c r="AV42">
        <v>7.6</v>
      </c>
      <c r="AW42">
        <v>6.266666667</v>
      </c>
      <c r="AX42">
        <v>5.0999999999999996</v>
      </c>
      <c r="AY42">
        <v>-8.6666666669999994</v>
      </c>
      <c r="AZ42">
        <v>70</v>
      </c>
      <c r="BA42">
        <v>0</v>
      </c>
      <c r="BB42">
        <v>0</v>
      </c>
      <c r="BC42">
        <v>5</v>
      </c>
      <c r="BD42">
        <v>1</v>
      </c>
      <c r="BE42">
        <v>0</v>
      </c>
      <c r="BF42">
        <v>0</v>
      </c>
      <c r="BG42">
        <v>0</v>
      </c>
      <c r="BI42">
        <v>13.3</v>
      </c>
      <c r="BJ42">
        <v>4.7930000000000001</v>
      </c>
      <c r="BK42">
        <v>0</v>
      </c>
      <c r="BL42">
        <v>3</v>
      </c>
      <c r="BM42">
        <v>3</v>
      </c>
      <c r="BN42">
        <v>158</v>
      </c>
      <c r="BO42">
        <v>308.33330000000001</v>
      </c>
      <c r="BP42">
        <f t="shared" si="6"/>
        <v>-150.33330000000001</v>
      </c>
      <c r="BQ42">
        <v>338</v>
      </c>
      <c r="BR42">
        <f>BN42-BQ42</f>
        <v>-180</v>
      </c>
      <c r="BS42">
        <v>46.4375</v>
      </c>
      <c r="BT42">
        <v>2.0103032199999999</v>
      </c>
      <c r="BU42">
        <v>14.561728260000001</v>
      </c>
      <c r="BV42">
        <v>-46.4375</v>
      </c>
      <c r="BW42">
        <v>-2.0103032199999999</v>
      </c>
      <c r="BX42">
        <v>14.561728260000001</v>
      </c>
      <c r="BY42" t="s">
        <v>114</v>
      </c>
      <c r="BZ42" t="s">
        <v>114</v>
      </c>
      <c r="CA42" t="s">
        <v>114</v>
      </c>
      <c r="CB42" t="s">
        <v>114</v>
      </c>
      <c r="CC42" t="s">
        <v>114</v>
      </c>
      <c r="CD42" t="s">
        <v>114</v>
      </c>
      <c r="CE42">
        <v>1.6881131</v>
      </c>
      <c r="CF42" t="s">
        <v>114</v>
      </c>
      <c r="CG42">
        <v>1.6881131</v>
      </c>
      <c r="CH42">
        <v>46.4375</v>
      </c>
      <c r="CI42">
        <v>2.0103032199999999</v>
      </c>
      <c r="CJ42">
        <v>14.561728260000001</v>
      </c>
      <c r="CK42">
        <v>1.6881131</v>
      </c>
      <c r="CL42">
        <v>-46.4375</v>
      </c>
      <c r="CM42">
        <v>-2.0103032199999999</v>
      </c>
      <c r="CN42">
        <v>14.561728260000001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1.6881131</v>
      </c>
    </row>
    <row r="43" spans="1:101" x14ac:dyDescent="0.25">
      <c r="A43" t="s">
        <v>51</v>
      </c>
      <c r="B43">
        <v>12</v>
      </c>
      <c r="C43" t="s">
        <v>15</v>
      </c>
      <c r="D43" t="s">
        <v>94</v>
      </c>
      <c r="E43" t="s">
        <v>111</v>
      </c>
      <c r="F43" t="s">
        <v>145</v>
      </c>
      <c r="G43" t="s">
        <v>263</v>
      </c>
      <c r="H43" t="str">
        <f t="shared" si="0"/>
        <v>P.canescens.Highcomp.Open</v>
      </c>
      <c r="I43" t="s">
        <v>687</v>
      </c>
      <c r="J43" t="s">
        <v>317</v>
      </c>
      <c r="K43" t="s">
        <v>114</v>
      </c>
      <c r="L43">
        <v>180</v>
      </c>
      <c r="M43">
        <v>250</v>
      </c>
      <c r="N43">
        <v>180</v>
      </c>
      <c r="O43">
        <f t="shared" si="3"/>
        <v>-70</v>
      </c>
      <c r="P43">
        <v>70</v>
      </c>
      <c r="Q43">
        <v>110</v>
      </c>
      <c r="R43">
        <v>60</v>
      </c>
      <c r="S43">
        <f t="shared" si="4"/>
        <v>85</v>
      </c>
      <c r="T43">
        <f t="shared" si="5"/>
        <v>0.47222222222222221</v>
      </c>
      <c r="V43" t="s">
        <v>121</v>
      </c>
      <c r="W43" t="s">
        <v>114</v>
      </c>
      <c r="X43">
        <v>13</v>
      </c>
      <c r="Y43">
        <v>13.9</v>
      </c>
      <c r="Z43">
        <v>14.4</v>
      </c>
      <c r="AA43">
        <v>13.766666669999999</v>
      </c>
      <c r="AB43">
        <v>13.766666669999999</v>
      </c>
      <c r="AC43">
        <v>14.4</v>
      </c>
      <c r="AD43">
        <v>13</v>
      </c>
      <c r="AE43">
        <v>15.4</v>
      </c>
      <c r="AF43">
        <v>14.266666669999999</v>
      </c>
      <c r="AG43">
        <v>14.4</v>
      </c>
      <c r="AH43">
        <v>14.4</v>
      </c>
      <c r="AI43">
        <v>15.4</v>
      </c>
      <c r="AJ43">
        <v>14.733333330000001</v>
      </c>
      <c r="AK43">
        <v>11</v>
      </c>
      <c r="AL43">
        <v>13</v>
      </c>
      <c r="AM43">
        <v>13.9</v>
      </c>
      <c r="AN43">
        <v>12.633333329999999</v>
      </c>
      <c r="AO43">
        <v>14.733333330000001</v>
      </c>
      <c r="AP43">
        <v>5.6</v>
      </c>
      <c r="AQ43">
        <v>4.5999999999999996</v>
      </c>
      <c r="AR43">
        <v>5.0999999999999996</v>
      </c>
      <c r="AS43">
        <v>5.0999999999999996</v>
      </c>
      <c r="AT43">
        <v>5.6</v>
      </c>
      <c r="AU43">
        <v>5.0999999999999996</v>
      </c>
      <c r="AV43">
        <v>8.1</v>
      </c>
      <c r="AW43">
        <v>6.266666667</v>
      </c>
      <c r="AX43">
        <v>5.0999999999999996</v>
      </c>
      <c r="AY43">
        <v>-8.6666666669999994</v>
      </c>
      <c r="AZ43">
        <v>70</v>
      </c>
      <c r="BA43">
        <v>0</v>
      </c>
      <c r="BB43">
        <v>0</v>
      </c>
      <c r="BC43">
        <v>5</v>
      </c>
      <c r="BD43">
        <v>1</v>
      </c>
      <c r="BE43">
        <v>0</v>
      </c>
      <c r="BF43">
        <v>0</v>
      </c>
      <c r="BG43">
        <v>0</v>
      </c>
      <c r="BI43">
        <v>13.3</v>
      </c>
      <c r="BJ43">
        <v>4.7930000000000001</v>
      </c>
      <c r="BK43">
        <v>0</v>
      </c>
      <c r="BL43">
        <v>18</v>
      </c>
      <c r="BM43">
        <v>15</v>
      </c>
      <c r="BN43" t="s">
        <v>114</v>
      </c>
      <c r="BO43">
        <v>422.66669999999999</v>
      </c>
      <c r="BP43" t="s">
        <v>114</v>
      </c>
      <c r="BQ43">
        <v>424</v>
      </c>
      <c r="BR43" t="s">
        <v>114</v>
      </c>
      <c r="BS43">
        <v>19.02857143</v>
      </c>
      <c r="BT43">
        <v>0.41088000000000002</v>
      </c>
      <c r="BU43">
        <v>6.1148542900000002</v>
      </c>
      <c r="BV43">
        <v>-19.02857143</v>
      </c>
      <c r="BW43">
        <v>-0.41088000000000002</v>
      </c>
      <c r="BX43">
        <v>-6.1148542900000002</v>
      </c>
      <c r="BY43" t="s">
        <v>114</v>
      </c>
      <c r="BZ43" t="s">
        <v>114</v>
      </c>
      <c r="CA43" t="s">
        <v>114</v>
      </c>
      <c r="CB43" t="s">
        <v>114</v>
      </c>
      <c r="CC43" t="s">
        <v>114</v>
      </c>
      <c r="CD43" t="s">
        <v>114</v>
      </c>
      <c r="CE43">
        <v>0.10717457</v>
      </c>
      <c r="CF43" t="s">
        <v>114</v>
      </c>
      <c r="CG43">
        <v>0.10717457</v>
      </c>
      <c r="CH43">
        <v>19.02857143</v>
      </c>
      <c r="CI43">
        <v>0.41088000000000002</v>
      </c>
      <c r="CJ43">
        <v>6.1148542900000002</v>
      </c>
      <c r="CK43">
        <v>0.10717457</v>
      </c>
      <c r="CL43">
        <v>-19.02857143</v>
      </c>
      <c r="CM43">
        <v>-0.41088000000000002</v>
      </c>
      <c r="CN43">
        <v>-6.1148542900000002</v>
      </c>
      <c r="CO43" t="s">
        <v>114</v>
      </c>
      <c r="CP43" t="s">
        <v>114</v>
      </c>
      <c r="CQ43" t="s">
        <v>114</v>
      </c>
      <c r="CR43" t="s">
        <v>114</v>
      </c>
      <c r="CS43" t="s">
        <v>114</v>
      </c>
      <c r="CT43" t="s">
        <v>114</v>
      </c>
      <c r="CU43" t="s">
        <v>114</v>
      </c>
      <c r="CV43" t="s">
        <v>114</v>
      </c>
      <c r="CW43">
        <v>0.10717457</v>
      </c>
    </row>
    <row r="44" spans="1:101" x14ac:dyDescent="0.25">
      <c r="A44" t="s">
        <v>51</v>
      </c>
      <c r="B44">
        <v>12</v>
      </c>
      <c r="C44" t="s">
        <v>15</v>
      </c>
      <c r="D44" t="s">
        <v>94</v>
      </c>
      <c r="E44" t="s">
        <v>112</v>
      </c>
      <c r="F44" t="s">
        <v>145</v>
      </c>
      <c r="G44" t="s">
        <v>261</v>
      </c>
      <c r="H44" t="str">
        <f t="shared" si="0"/>
        <v>V.rosea.Highcomp.Open</v>
      </c>
      <c r="I44" t="s">
        <v>688</v>
      </c>
      <c r="J44" t="s">
        <v>318</v>
      </c>
      <c r="K44" t="s">
        <v>114</v>
      </c>
      <c r="L44">
        <v>120</v>
      </c>
      <c r="M44">
        <v>50</v>
      </c>
      <c r="N44">
        <v>120</v>
      </c>
      <c r="O44">
        <f t="shared" si="3"/>
        <v>70</v>
      </c>
      <c r="P44">
        <v>60</v>
      </c>
      <c r="Q44">
        <v>280</v>
      </c>
      <c r="R44">
        <v>160</v>
      </c>
      <c r="S44">
        <f t="shared" si="4"/>
        <v>220</v>
      </c>
      <c r="T44">
        <f t="shared" si="5"/>
        <v>1.8333333333333333</v>
      </c>
      <c r="V44" t="s">
        <v>112</v>
      </c>
      <c r="W44">
        <v>80</v>
      </c>
      <c r="X44">
        <v>13</v>
      </c>
      <c r="Y44">
        <v>13.9</v>
      </c>
      <c r="Z44">
        <v>14.4</v>
      </c>
      <c r="AA44">
        <v>13.766666669999999</v>
      </c>
      <c r="AB44">
        <v>13.766666669999999</v>
      </c>
      <c r="AC44">
        <v>10</v>
      </c>
      <c r="AD44">
        <v>11.5</v>
      </c>
      <c r="AE44">
        <v>14.4</v>
      </c>
      <c r="AF44">
        <v>11.96666667</v>
      </c>
      <c r="AG44">
        <v>14.4</v>
      </c>
      <c r="AH44">
        <v>14.4</v>
      </c>
      <c r="AI44">
        <v>15.4</v>
      </c>
      <c r="AJ44">
        <v>14.733333330000001</v>
      </c>
      <c r="AK44">
        <v>21.8</v>
      </c>
      <c r="AL44">
        <v>13.9</v>
      </c>
      <c r="AM44">
        <v>16.899999999999999</v>
      </c>
      <c r="AN44">
        <v>17.533333330000001</v>
      </c>
      <c r="AO44">
        <v>14.733333330000001</v>
      </c>
      <c r="AP44">
        <v>5.6</v>
      </c>
      <c r="AQ44">
        <v>4.5999999999999996</v>
      </c>
      <c r="AR44">
        <v>5.0999999999999996</v>
      </c>
      <c r="AS44">
        <v>5.0999999999999996</v>
      </c>
      <c r="AT44">
        <v>6.6</v>
      </c>
      <c r="AU44">
        <v>7.1</v>
      </c>
      <c r="AV44">
        <v>8.1</v>
      </c>
      <c r="AW44">
        <v>7.266666667</v>
      </c>
      <c r="AX44">
        <v>5.0999999999999996</v>
      </c>
      <c r="AY44">
        <v>-8.6666666669999994</v>
      </c>
      <c r="AZ44">
        <v>70</v>
      </c>
      <c r="BA44">
        <v>0</v>
      </c>
      <c r="BB44">
        <v>0</v>
      </c>
      <c r="BC44">
        <v>5</v>
      </c>
      <c r="BD44">
        <v>1</v>
      </c>
      <c r="BE44">
        <v>0</v>
      </c>
      <c r="BF44">
        <v>0</v>
      </c>
      <c r="BG44">
        <v>0</v>
      </c>
      <c r="BI44">
        <v>13.3</v>
      </c>
      <c r="BJ44">
        <v>4.7930000000000001</v>
      </c>
      <c r="BK44">
        <v>0</v>
      </c>
      <c r="BL44">
        <v>73</v>
      </c>
      <c r="BM44">
        <v>73</v>
      </c>
      <c r="BN44">
        <v>277</v>
      </c>
      <c r="BO44">
        <v>184.8</v>
      </c>
      <c r="BP44">
        <f t="shared" ref="BP44:BP56" si="8">BN44-BO44</f>
        <v>92.199999999999989</v>
      </c>
      <c r="BQ44">
        <v>366</v>
      </c>
      <c r="BR44">
        <f t="shared" ref="BR44:BR56" si="9">BN44-BQ44</f>
        <v>-89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 t="s">
        <v>114</v>
      </c>
      <c r="BZ44" t="s">
        <v>114</v>
      </c>
      <c r="CA44" t="s">
        <v>114</v>
      </c>
      <c r="CB44" t="s">
        <v>114</v>
      </c>
      <c r="CC44" t="s">
        <v>114</v>
      </c>
      <c r="CD44" t="s">
        <v>114</v>
      </c>
      <c r="CE44">
        <v>0</v>
      </c>
      <c r="CF44" t="s">
        <v>114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</row>
    <row r="45" spans="1:101" x14ac:dyDescent="0.25">
      <c r="A45" t="s">
        <v>52</v>
      </c>
      <c r="B45">
        <v>12</v>
      </c>
      <c r="C45" t="s">
        <v>17</v>
      </c>
      <c r="D45" t="s">
        <v>95</v>
      </c>
      <c r="E45" t="s">
        <v>102</v>
      </c>
      <c r="F45" t="s">
        <v>145</v>
      </c>
      <c r="G45" t="s">
        <v>265</v>
      </c>
      <c r="H45" t="str">
        <f t="shared" si="0"/>
        <v>A.calendula.Highcomp.Shade</v>
      </c>
      <c r="I45" t="s">
        <v>689</v>
      </c>
      <c r="J45" t="s">
        <v>319</v>
      </c>
      <c r="K45">
        <v>2</v>
      </c>
      <c r="L45">
        <v>110</v>
      </c>
      <c r="M45">
        <v>120</v>
      </c>
      <c r="N45">
        <v>110</v>
      </c>
      <c r="O45">
        <f t="shared" si="3"/>
        <v>-10</v>
      </c>
      <c r="P45">
        <v>150</v>
      </c>
      <c r="Q45">
        <v>140</v>
      </c>
      <c r="R45">
        <v>140</v>
      </c>
      <c r="S45">
        <f t="shared" si="4"/>
        <v>140</v>
      </c>
      <c r="T45">
        <f t="shared" si="5"/>
        <v>1.2727272727272727</v>
      </c>
      <c r="V45" t="s">
        <v>121</v>
      </c>
      <c r="W45" t="s">
        <v>114</v>
      </c>
      <c r="X45">
        <v>13</v>
      </c>
      <c r="Y45">
        <v>13.9</v>
      </c>
      <c r="Z45">
        <v>14.4</v>
      </c>
      <c r="AA45">
        <v>13.766666669999999</v>
      </c>
      <c r="AB45">
        <v>13.766666669999999</v>
      </c>
      <c r="AC45">
        <v>17.899999999999999</v>
      </c>
      <c r="AD45">
        <v>15.9</v>
      </c>
      <c r="AE45">
        <v>16.399999999999999</v>
      </c>
      <c r="AF45">
        <v>16.733333330000001</v>
      </c>
      <c r="AG45">
        <v>17.899999999999999</v>
      </c>
      <c r="AH45">
        <v>17.399999999999999</v>
      </c>
      <c r="AI45">
        <v>18.399999999999999</v>
      </c>
      <c r="AJ45">
        <v>17.899999999999999</v>
      </c>
      <c r="AK45">
        <v>15.4</v>
      </c>
      <c r="AL45">
        <v>16.399999999999999</v>
      </c>
      <c r="AM45">
        <v>18.399999999999999</v>
      </c>
      <c r="AN45">
        <v>16.733333330000001</v>
      </c>
      <c r="AO45">
        <v>17.899999999999999</v>
      </c>
      <c r="AP45">
        <v>6.1</v>
      </c>
      <c r="AQ45">
        <v>7.6</v>
      </c>
      <c r="AR45">
        <v>8.5</v>
      </c>
      <c r="AS45">
        <v>7.4</v>
      </c>
      <c r="AT45">
        <v>5.6</v>
      </c>
      <c r="AU45">
        <v>6.6</v>
      </c>
      <c r="AV45">
        <v>8.5</v>
      </c>
      <c r="AW45">
        <v>6.9</v>
      </c>
      <c r="AX45">
        <v>7.4</v>
      </c>
      <c r="AY45">
        <v>-6.3666666669999996</v>
      </c>
      <c r="AZ45">
        <v>55</v>
      </c>
      <c r="BA45">
        <v>10</v>
      </c>
      <c r="BB45">
        <v>5</v>
      </c>
      <c r="BC45">
        <v>2</v>
      </c>
      <c r="BD45">
        <v>0</v>
      </c>
      <c r="BE45">
        <v>0</v>
      </c>
      <c r="BF45">
        <v>0</v>
      </c>
      <c r="BG45">
        <v>0</v>
      </c>
      <c r="BI45">
        <v>6.4</v>
      </c>
      <c r="BJ45">
        <v>42.4</v>
      </c>
      <c r="BK45">
        <v>0</v>
      </c>
      <c r="BL45">
        <v>20</v>
      </c>
      <c r="BM45">
        <v>20</v>
      </c>
      <c r="BN45">
        <v>647</v>
      </c>
      <c r="BO45">
        <v>545.5</v>
      </c>
      <c r="BP45">
        <f t="shared" si="8"/>
        <v>101.5</v>
      </c>
      <c r="BQ45">
        <v>924</v>
      </c>
      <c r="BR45">
        <f t="shared" si="9"/>
        <v>-277</v>
      </c>
      <c r="BS45">
        <v>1.87121212</v>
      </c>
      <c r="BT45">
        <v>0.73716612449999996</v>
      </c>
      <c r="BU45">
        <v>3.4341658650000002</v>
      </c>
      <c r="BV45">
        <v>-0.88804713999999996</v>
      </c>
      <c r="BW45">
        <v>0.73716612449999996</v>
      </c>
      <c r="BX45">
        <v>3.1228683149999998</v>
      </c>
      <c r="BY45">
        <v>1.5772554457243599</v>
      </c>
      <c r="BZ45">
        <v>0.243631490694489</v>
      </c>
      <c r="CA45">
        <v>19.5046130256619</v>
      </c>
      <c r="CB45">
        <v>7.0028695960697904</v>
      </c>
      <c r="CC45">
        <v>0.243631490694489</v>
      </c>
      <c r="CD45">
        <v>23.586990376662399</v>
      </c>
      <c r="CE45">
        <v>0.98598402500000004</v>
      </c>
      <c r="CF45">
        <v>3.5024306972512402E-3</v>
      </c>
      <c r="CG45">
        <v>0.98598402500000004</v>
      </c>
      <c r="CH45">
        <v>1.87121212</v>
      </c>
      <c r="CI45">
        <v>0.73716612449999996</v>
      </c>
      <c r="CJ45">
        <v>3.4341658650000002</v>
      </c>
      <c r="CK45">
        <v>0.98598402500000004</v>
      </c>
      <c r="CL45">
        <v>-0.88804713999999996</v>
      </c>
      <c r="CM45">
        <v>0.73716612449999996</v>
      </c>
      <c r="CN45">
        <v>3.1228683149999998</v>
      </c>
      <c r="CO45">
        <v>3.5024306972512402E-3</v>
      </c>
      <c r="CP45">
        <v>1.5772554457243599</v>
      </c>
      <c r="CQ45">
        <v>0.243631490694489</v>
      </c>
      <c r="CR45">
        <v>19.5046130256619</v>
      </c>
      <c r="CS45">
        <v>3.5024306972512402E-3</v>
      </c>
      <c r="CT45">
        <v>7.0028695960697904</v>
      </c>
      <c r="CU45">
        <v>0.243631490694489</v>
      </c>
      <c r="CV45">
        <v>23.586990376662399</v>
      </c>
      <c r="CW45">
        <v>0.98598402500000004</v>
      </c>
    </row>
    <row r="46" spans="1:101" x14ac:dyDescent="0.25">
      <c r="A46" t="s">
        <v>52</v>
      </c>
      <c r="B46">
        <v>12</v>
      </c>
      <c r="C46" t="s">
        <v>17</v>
      </c>
      <c r="D46" t="s">
        <v>95</v>
      </c>
      <c r="E46" t="s">
        <v>103</v>
      </c>
      <c r="F46" t="s">
        <v>145</v>
      </c>
      <c r="G46" t="s">
        <v>260</v>
      </c>
      <c r="H46" t="str">
        <f t="shared" si="0"/>
        <v>P.airoides.Highcomp.Shade</v>
      </c>
      <c r="I46" t="s">
        <v>683</v>
      </c>
      <c r="J46" t="s">
        <v>320</v>
      </c>
      <c r="K46">
        <v>5</v>
      </c>
      <c r="L46">
        <v>40</v>
      </c>
      <c r="M46">
        <v>60</v>
      </c>
      <c r="N46">
        <v>40</v>
      </c>
      <c r="O46">
        <f t="shared" si="3"/>
        <v>-20</v>
      </c>
      <c r="P46">
        <v>38</v>
      </c>
      <c r="Q46">
        <v>40</v>
      </c>
      <c r="R46">
        <v>30</v>
      </c>
      <c r="S46">
        <f t="shared" si="4"/>
        <v>35</v>
      </c>
      <c r="T46">
        <f t="shared" si="5"/>
        <v>0.875</v>
      </c>
      <c r="V46" t="s">
        <v>121</v>
      </c>
      <c r="W46" t="s">
        <v>114</v>
      </c>
      <c r="X46">
        <v>13</v>
      </c>
      <c r="Y46">
        <v>13.9</v>
      </c>
      <c r="Z46">
        <v>14.4</v>
      </c>
      <c r="AA46">
        <v>13.766666669999999</v>
      </c>
      <c r="AB46">
        <v>13.766666669999999</v>
      </c>
      <c r="AC46">
        <v>18.399999999999999</v>
      </c>
      <c r="AD46">
        <v>18.399999999999999</v>
      </c>
      <c r="AE46">
        <v>16.899999999999999</v>
      </c>
      <c r="AF46">
        <v>17.899999999999999</v>
      </c>
      <c r="AG46">
        <v>17.899999999999999</v>
      </c>
      <c r="AH46">
        <v>17.399999999999999</v>
      </c>
      <c r="AI46">
        <v>18.399999999999999</v>
      </c>
      <c r="AJ46">
        <v>17.899999999999999</v>
      </c>
      <c r="AK46">
        <v>16.899999999999999</v>
      </c>
      <c r="AL46">
        <v>16.399999999999999</v>
      </c>
      <c r="AM46">
        <v>17.399999999999999</v>
      </c>
      <c r="AN46">
        <v>16.899999999999999</v>
      </c>
      <c r="AO46">
        <v>17.899999999999999</v>
      </c>
      <c r="AP46">
        <v>6.1</v>
      </c>
      <c r="AQ46">
        <v>7.6</v>
      </c>
      <c r="AR46">
        <v>8.5</v>
      </c>
      <c r="AS46">
        <v>7.4</v>
      </c>
      <c r="AT46">
        <v>5.6</v>
      </c>
      <c r="AU46">
        <v>7.6</v>
      </c>
      <c r="AV46" t="s">
        <v>114</v>
      </c>
      <c r="AW46">
        <v>6.6</v>
      </c>
      <c r="AX46">
        <v>7.4</v>
      </c>
      <c r="AY46">
        <v>-6.3666666669999996</v>
      </c>
      <c r="AZ46">
        <v>55</v>
      </c>
      <c r="BA46">
        <v>10</v>
      </c>
      <c r="BB46">
        <v>5</v>
      </c>
      <c r="BC46">
        <v>2</v>
      </c>
      <c r="BD46">
        <v>0</v>
      </c>
      <c r="BE46">
        <v>0</v>
      </c>
      <c r="BF46">
        <v>0</v>
      </c>
      <c r="BG46">
        <v>0</v>
      </c>
      <c r="BI46">
        <v>6.4</v>
      </c>
      <c r="BJ46">
        <v>42.4</v>
      </c>
      <c r="BK46">
        <v>0</v>
      </c>
      <c r="BL46">
        <v>0</v>
      </c>
      <c r="BM46">
        <v>0</v>
      </c>
      <c r="BN46">
        <v>0</v>
      </c>
      <c r="BO46">
        <v>290.75</v>
      </c>
      <c r="BP46">
        <f t="shared" si="8"/>
        <v>-290.75</v>
      </c>
      <c r="BQ46">
        <v>177</v>
      </c>
      <c r="BR46">
        <f t="shared" si="9"/>
        <v>-177</v>
      </c>
      <c r="BS46">
        <v>8.4791666699999997</v>
      </c>
      <c r="BT46">
        <v>2.7738405000000001E-2</v>
      </c>
      <c r="BU46">
        <v>4.4395758599999997</v>
      </c>
      <c r="BV46">
        <v>8.4791666699999997</v>
      </c>
      <c r="BW46">
        <v>2.7738405000000001E-2</v>
      </c>
      <c r="BX46">
        <v>-4.4395758599999997</v>
      </c>
      <c r="BY46" t="s">
        <v>114</v>
      </c>
      <c r="BZ46" t="s">
        <v>114</v>
      </c>
      <c r="CA46" t="s">
        <v>114</v>
      </c>
      <c r="CB46" t="s">
        <v>114</v>
      </c>
      <c r="CC46" t="s">
        <v>114</v>
      </c>
      <c r="CD46" t="s">
        <v>114</v>
      </c>
      <c r="CE46">
        <v>2.0505059700000001</v>
      </c>
      <c r="CF46" t="s">
        <v>114</v>
      </c>
      <c r="CG46">
        <v>2.0505059700000001</v>
      </c>
      <c r="CH46">
        <v>8.4791666699999997</v>
      </c>
      <c r="CI46">
        <v>2.7738405000000001E-2</v>
      </c>
      <c r="CJ46">
        <v>4.4395758599999997</v>
      </c>
      <c r="CK46">
        <v>-2.0505059700000001</v>
      </c>
      <c r="CL46">
        <v>8.4791666699999997</v>
      </c>
      <c r="CM46">
        <v>2.7738405000000001E-2</v>
      </c>
      <c r="CN46">
        <v>-4.4395758599999997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-2.0505059700000001</v>
      </c>
    </row>
    <row r="47" spans="1:101" x14ac:dyDescent="0.25">
      <c r="A47" t="s">
        <v>52</v>
      </c>
      <c r="B47">
        <v>12</v>
      </c>
      <c r="C47" t="s">
        <v>17</v>
      </c>
      <c r="D47" t="s">
        <v>95</v>
      </c>
      <c r="E47" t="s">
        <v>111</v>
      </c>
      <c r="F47" t="s">
        <v>145</v>
      </c>
      <c r="G47" t="s">
        <v>263</v>
      </c>
      <c r="H47" t="str">
        <f t="shared" si="0"/>
        <v>P.canescens.Highcomp.Shade</v>
      </c>
      <c r="I47" t="s">
        <v>684</v>
      </c>
      <c r="J47" t="s">
        <v>321</v>
      </c>
      <c r="K47">
        <v>1</v>
      </c>
      <c r="L47">
        <v>300</v>
      </c>
      <c r="M47">
        <v>290</v>
      </c>
      <c r="N47">
        <v>300</v>
      </c>
      <c r="O47">
        <f t="shared" si="3"/>
        <v>10</v>
      </c>
      <c r="P47">
        <v>70</v>
      </c>
      <c r="Q47">
        <v>55</v>
      </c>
      <c r="R47">
        <v>10</v>
      </c>
      <c r="S47">
        <f t="shared" si="4"/>
        <v>32.5</v>
      </c>
      <c r="T47">
        <f t="shared" si="5"/>
        <v>0.10833333333333334</v>
      </c>
      <c r="V47" t="s">
        <v>103</v>
      </c>
      <c r="W47">
        <v>80</v>
      </c>
      <c r="X47">
        <v>13</v>
      </c>
      <c r="Y47">
        <v>13.9</v>
      </c>
      <c r="Z47">
        <v>14.4</v>
      </c>
      <c r="AA47">
        <v>13.766666669999999</v>
      </c>
      <c r="AB47">
        <v>13.766666669999999</v>
      </c>
      <c r="AC47">
        <v>17.399999999999999</v>
      </c>
      <c r="AD47">
        <v>17.899999999999999</v>
      </c>
      <c r="AE47">
        <v>17.899999999999999</v>
      </c>
      <c r="AF47">
        <v>17.733333330000001</v>
      </c>
      <c r="AG47">
        <v>17.899999999999999</v>
      </c>
      <c r="AH47">
        <v>17.399999999999999</v>
      </c>
      <c r="AI47">
        <v>18.399999999999999</v>
      </c>
      <c r="AJ47">
        <v>17.899999999999999</v>
      </c>
      <c r="AK47">
        <v>19.3</v>
      </c>
      <c r="AL47">
        <v>19.8</v>
      </c>
      <c r="AM47">
        <v>17.399999999999999</v>
      </c>
      <c r="AN47">
        <v>18.833333329999999</v>
      </c>
      <c r="AO47">
        <v>17.899999999999999</v>
      </c>
      <c r="AP47">
        <v>6.1</v>
      </c>
      <c r="AQ47">
        <v>7.6</v>
      </c>
      <c r="AR47">
        <v>8.5</v>
      </c>
      <c r="AS47">
        <v>7.4</v>
      </c>
      <c r="AT47">
        <v>7.1</v>
      </c>
      <c r="AU47">
        <v>7.1</v>
      </c>
      <c r="AV47">
        <v>5.0999999999999996</v>
      </c>
      <c r="AW47">
        <v>6.4333333330000002</v>
      </c>
      <c r="AX47">
        <v>7.4</v>
      </c>
      <c r="AY47">
        <v>-6.3666666669999996</v>
      </c>
      <c r="AZ47">
        <v>55</v>
      </c>
      <c r="BA47">
        <v>10</v>
      </c>
      <c r="BB47">
        <v>5</v>
      </c>
      <c r="BC47">
        <v>2</v>
      </c>
      <c r="BD47">
        <v>0</v>
      </c>
      <c r="BE47">
        <v>0</v>
      </c>
      <c r="BF47">
        <v>0</v>
      </c>
      <c r="BG47">
        <v>0</v>
      </c>
      <c r="BI47">
        <v>6.4</v>
      </c>
      <c r="BJ47">
        <v>42.4</v>
      </c>
      <c r="BK47">
        <v>0</v>
      </c>
      <c r="BL47">
        <v>27</v>
      </c>
      <c r="BM47">
        <v>22</v>
      </c>
      <c r="BN47">
        <v>319</v>
      </c>
      <c r="BO47">
        <v>955.66669999999999</v>
      </c>
      <c r="BP47">
        <f t="shared" si="8"/>
        <v>-636.66669999999999</v>
      </c>
      <c r="BQ47">
        <v>782</v>
      </c>
      <c r="BR47">
        <f t="shared" si="9"/>
        <v>-463</v>
      </c>
      <c r="BS47">
        <v>3.3202381000000001</v>
      </c>
      <c r="BT47">
        <v>7.2147627000000006E-2</v>
      </c>
      <c r="BU47">
        <v>5.9992126600000004</v>
      </c>
      <c r="BV47">
        <v>-3.3202381000000001</v>
      </c>
      <c r="BW47">
        <v>7.2147627000000006E-2</v>
      </c>
      <c r="BX47">
        <v>-5.9992126600000004</v>
      </c>
      <c r="BY47" t="s">
        <v>114</v>
      </c>
      <c r="BZ47" t="s">
        <v>114</v>
      </c>
      <c r="CA47" t="s">
        <v>114</v>
      </c>
      <c r="CB47" t="s">
        <v>114</v>
      </c>
      <c r="CC47" t="s">
        <v>114</v>
      </c>
      <c r="CD47" t="s">
        <v>114</v>
      </c>
      <c r="CE47">
        <v>3.8152800000000001E-2</v>
      </c>
      <c r="CF47" t="s">
        <v>114</v>
      </c>
      <c r="CG47">
        <v>3.8152800000000001E-2</v>
      </c>
      <c r="CH47">
        <v>3.3202381000000001</v>
      </c>
      <c r="CI47">
        <v>7.2147627000000006E-2</v>
      </c>
      <c r="CJ47">
        <v>5.9992126600000004</v>
      </c>
      <c r="CK47">
        <v>-3.8152800000000001E-2</v>
      </c>
      <c r="CL47">
        <v>-3.3202381000000001</v>
      </c>
      <c r="CM47">
        <v>7.2147627000000006E-2</v>
      </c>
      <c r="CN47">
        <v>-5.9992126600000004</v>
      </c>
      <c r="CO47" t="s">
        <v>114</v>
      </c>
      <c r="CP47" t="s">
        <v>114</v>
      </c>
      <c r="CQ47" t="s">
        <v>114</v>
      </c>
      <c r="CR47" t="s">
        <v>114</v>
      </c>
      <c r="CS47" t="s">
        <v>114</v>
      </c>
      <c r="CT47" t="s">
        <v>114</v>
      </c>
      <c r="CU47" t="s">
        <v>114</v>
      </c>
      <c r="CV47" t="s">
        <v>114</v>
      </c>
      <c r="CW47">
        <v>-3.8152800000000001E-2</v>
      </c>
    </row>
    <row r="48" spans="1:101" x14ac:dyDescent="0.25">
      <c r="A48" t="s">
        <v>52</v>
      </c>
      <c r="B48">
        <v>12</v>
      </c>
      <c r="C48" t="s">
        <v>17</v>
      </c>
      <c r="D48" t="s">
        <v>95</v>
      </c>
      <c r="E48" t="s">
        <v>112</v>
      </c>
      <c r="F48" t="s">
        <v>145</v>
      </c>
      <c r="G48" t="s">
        <v>261</v>
      </c>
      <c r="H48" t="str">
        <f t="shared" si="0"/>
        <v>V.rosea.Highcomp.Shade</v>
      </c>
      <c r="I48" t="s">
        <v>690</v>
      </c>
      <c r="J48" t="s">
        <v>322</v>
      </c>
      <c r="K48">
        <v>1</v>
      </c>
      <c r="L48">
        <v>65</v>
      </c>
      <c r="M48">
        <v>85</v>
      </c>
      <c r="N48">
        <v>65</v>
      </c>
      <c r="O48">
        <f t="shared" si="3"/>
        <v>-20</v>
      </c>
      <c r="P48">
        <v>65</v>
      </c>
      <c r="Q48">
        <v>200</v>
      </c>
      <c r="R48">
        <v>45</v>
      </c>
      <c r="S48">
        <f t="shared" si="4"/>
        <v>122.5</v>
      </c>
      <c r="T48">
        <f t="shared" si="5"/>
        <v>1.8846153846153846</v>
      </c>
      <c r="V48" t="s">
        <v>121</v>
      </c>
      <c r="W48" t="s">
        <v>114</v>
      </c>
      <c r="X48">
        <v>13</v>
      </c>
      <c r="Y48">
        <v>13.9</v>
      </c>
      <c r="Z48">
        <v>14.4</v>
      </c>
      <c r="AA48">
        <v>13.766666669999999</v>
      </c>
      <c r="AB48">
        <v>13.766666669999999</v>
      </c>
      <c r="AC48">
        <v>12.5</v>
      </c>
      <c r="AD48">
        <v>13</v>
      </c>
      <c r="AE48">
        <v>13.5</v>
      </c>
      <c r="AF48">
        <v>13</v>
      </c>
      <c r="AG48">
        <v>17.899999999999999</v>
      </c>
      <c r="AH48">
        <v>17.399999999999999</v>
      </c>
      <c r="AI48">
        <v>18.399999999999999</v>
      </c>
      <c r="AJ48">
        <v>17.899999999999999</v>
      </c>
      <c r="AK48">
        <v>13.5</v>
      </c>
      <c r="AL48">
        <v>18.399999999999999</v>
      </c>
      <c r="AM48">
        <v>15.4</v>
      </c>
      <c r="AN48">
        <v>15.766666669999999</v>
      </c>
      <c r="AO48">
        <v>17.899999999999999</v>
      </c>
      <c r="AP48">
        <v>6.1</v>
      </c>
      <c r="AQ48">
        <v>7.6</v>
      </c>
      <c r="AR48">
        <v>8.5</v>
      </c>
      <c r="AS48">
        <v>7.4</v>
      </c>
      <c r="AT48">
        <v>7.1</v>
      </c>
      <c r="AU48">
        <v>7.6</v>
      </c>
      <c r="AV48">
        <v>6.6</v>
      </c>
      <c r="AW48">
        <v>7.1</v>
      </c>
      <c r="AX48">
        <v>7.4</v>
      </c>
      <c r="AY48">
        <v>-6.3666666669999996</v>
      </c>
      <c r="AZ48">
        <v>55</v>
      </c>
      <c r="BA48">
        <v>10</v>
      </c>
      <c r="BB48">
        <v>5</v>
      </c>
      <c r="BC48">
        <v>2</v>
      </c>
      <c r="BD48">
        <v>0</v>
      </c>
      <c r="BE48">
        <v>0</v>
      </c>
      <c r="BF48">
        <v>0</v>
      </c>
      <c r="BG48">
        <v>0</v>
      </c>
      <c r="BI48">
        <v>6.4</v>
      </c>
      <c r="BJ48">
        <v>42.4</v>
      </c>
      <c r="BK48">
        <v>0</v>
      </c>
      <c r="BL48">
        <v>13</v>
      </c>
      <c r="BM48">
        <v>10</v>
      </c>
      <c r="BN48">
        <v>37</v>
      </c>
      <c r="BO48">
        <v>133</v>
      </c>
      <c r="BP48">
        <f t="shared" si="8"/>
        <v>-96</v>
      </c>
      <c r="BQ48">
        <v>257</v>
      </c>
      <c r="BR48">
        <f t="shared" si="9"/>
        <v>-220</v>
      </c>
      <c r="BS48">
        <v>67.1789773</v>
      </c>
      <c r="BT48">
        <v>2.2504543259999998</v>
      </c>
      <c r="BU48">
        <v>17.714904010000001</v>
      </c>
      <c r="BV48">
        <v>-67.1789773</v>
      </c>
      <c r="BW48">
        <v>2.2504543259999998</v>
      </c>
      <c r="BX48">
        <v>17.714904010000001</v>
      </c>
      <c r="BY48" t="s">
        <v>114</v>
      </c>
      <c r="BZ48" t="s">
        <v>114</v>
      </c>
      <c r="CA48" t="s">
        <v>114</v>
      </c>
      <c r="CB48" t="s">
        <v>114</v>
      </c>
      <c r="CC48" t="s">
        <v>114</v>
      </c>
      <c r="CD48" t="s">
        <v>114</v>
      </c>
      <c r="CE48">
        <v>1.7971333899999999</v>
      </c>
      <c r="CF48" t="s">
        <v>114</v>
      </c>
      <c r="CG48">
        <v>1.7971333899999999</v>
      </c>
      <c r="CH48">
        <v>67.1789773</v>
      </c>
      <c r="CI48">
        <v>2.2504543259999998</v>
      </c>
      <c r="CJ48">
        <v>17.714904010000001</v>
      </c>
      <c r="CK48">
        <v>1.7971333899999999</v>
      </c>
      <c r="CL48">
        <v>-67.1789773</v>
      </c>
      <c r="CM48">
        <v>2.2504543259999998</v>
      </c>
      <c r="CN48">
        <v>17.714904010000001</v>
      </c>
      <c r="CO48" t="s">
        <v>114</v>
      </c>
      <c r="CP48" t="s">
        <v>114</v>
      </c>
      <c r="CQ48" t="s">
        <v>114</v>
      </c>
      <c r="CR48" t="s">
        <v>114</v>
      </c>
      <c r="CS48" t="s">
        <v>114</v>
      </c>
      <c r="CT48" t="s">
        <v>114</v>
      </c>
      <c r="CU48" t="s">
        <v>114</v>
      </c>
      <c r="CV48" t="s">
        <v>114</v>
      </c>
      <c r="CW48">
        <v>1.7971333899999999</v>
      </c>
    </row>
    <row r="49" spans="1:101" x14ac:dyDescent="0.25">
      <c r="A49" t="s">
        <v>53</v>
      </c>
      <c r="B49">
        <v>12</v>
      </c>
      <c r="C49" t="s">
        <v>19</v>
      </c>
      <c r="D49" t="s">
        <v>94</v>
      </c>
      <c r="E49" t="s">
        <v>102</v>
      </c>
      <c r="F49" t="s">
        <v>145</v>
      </c>
      <c r="G49" t="s">
        <v>265</v>
      </c>
      <c r="H49" t="str">
        <f t="shared" si="0"/>
        <v>A.calendula.Highcomp.Open</v>
      </c>
      <c r="I49" t="s">
        <v>691</v>
      </c>
      <c r="J49" t="s">
        <v>323</v>
      </c>
      <c r="K49">
        <v>2</v>
      </c>
      <c r="L49" t="s">
        <v>114</v>
      </c>
      <c r="M49" t="s">
        <v>114</v>
      </c>
      <c r="N49" t="s">
        <v>114</v>
      </c>
      <c r="O49" t="s">
        <v>114</v>
      </c>
      <c r="P49" t="s">
        <v>114</v>
      </c>
      <c r="Q49" t="s">
        <v>114</v>
      </c>
      <c r="R49" t="s">
        <v>114</v>
      </c>
      <c r="S49" t="s">
        <v>114</v>
      </c>
      <c r="T49" t="s">
        <v>114</v>
      </c>
      <c r="U49" t="s">
        <v>114</v>
      </c>
      <c r="V49" t="s">
        <v>121</v>
      </c>
      <c r="W49" t="s">
        <v>114</v>
      </c>
      <c r="X49">
        <v>17.399999999999999</v>
      </c>
      <c r="Y49">
        <v>15.9</v>
      </c>
      <c r="Z49">
        <v>14.9</v>
      </c>
      <c r="AA49">
        <v>16.06666667</v>
      </c>
      <c r="AB49">
        <v>16.06666667</v>
      </c>
      <c r="AC49">
        <v>16.899999999999999</v>
      </c>
      <c r="AD49">
        <v>16.399999999999999</v>
      </c>
      <c r="AE49">
        <v>18.399999999999999</v>
      </c>
      <c r="AF49">
        <v>17.233333330000001</v>
      </c>
      <c r="AG49">
        <v>17.399999999999999</v>
      </c>
      <c r="AH49">
        <v>17.399999999999999</v>
      </c>
      <c r="AI49">
        <v>18.399999999999999</v>
      </c>
      <c r="AJ49">
        <v>17.733333330000001</v>
      </c>
      <c r="AK49">
        <v>19.3</v>
      </c>
      <c r="AL49">
        <v>17.399999999999999</v>
      </c>
      <c r="AM49">
        <v>18.899999999999999</v>
      </c>
      <c r="AN49">
        <v>18.533333330000001</v>
      </c>
      <c r="AO49">
        <v>17.733333330000001</v>
      </c>
      <c r="AP49">
        <v>6.1</v>
      </c>
      <c r="AQ49">
        <v>9</v>
      </c>
      <c r="AR49">
        <v>8.5</v>
      </c>
      <c r="AS49">
        <v>7.8666666669999996</v>
      </c>
      <c r="AT49">
        <v>6.6</v>
      </c>
      <c r="AU49">
        <v>6.1</v>
      </c>
      <c r="AV49">
        <v>6.6</v>
      </c>
      <c r="AW49">
        <v>6.4333333330000002</v>
      </c>
      <c r="AX49">
        <v>7.8666666669999996</v>
      </c>
      <c r="AY49">
        <v>-8.1999999999999993</v>
      </c>
      <c r="AZ49">
        <v>8</v>
      </c>
      <c r="BA49">
        <v>80</v>
      </c>
      <c r="BB49">
        <v>3</v>
      </c>
      <c r="BC49">
        <v>0</v>
      </c>
      <c r="BD49">
        <v>1</v>
      </c>
      <c r="BE49">
        <v>0</v>
      </c>
      <c r="BF49">
        <v>0</v>
      </c>
      <c r="BG49">
        <v>0</v>
      </c>
      <c r="BI49">
        <v>11.2</v>
      </c>
      <c r="BJ49">
        <v>2.4319999999999999</v>
      </c>
      <c r="BK49">
        <v>0</v>
      </c>
      <c r="BL49">
        <v>15</v>
      </c>
      <c r="BM49">
        <v>10</v>
      </c>
      <c r="BN49">
        <v>412</v>
      </c>
      <c r="BO49">
        <v>485.5</v>
      </c>
      <c r="BP49">
        <f t="shared" si="8"/>
        <v>-73.5</v>
      </c>
      <c r="BQ49">
        <v>0</v>
      </c>
      <c r="BR49">
        <f t="shared" si="9"/>
        <v>412</v>
      </c>
      <c r="BS49">
        <v>23.655092610000001</v>
      </c>
      <c r="BT49">
        <v>2.9114769415000001</v>
      </c>
      <c r="BU49">
        <v>1.6866994749999999</v>
      </c>
      <c r="BV49">
        <v>-23.655092610000001</v>
      </c>
      <c r="BW49">
        <v>-2.3283230525</v>
      </c>
      <c r="BX49">
        <v>0.42294110499999998</v>
      </c>
      <c r="BY49">
        <v>62.813367681944399</v>
      </c>
      <c r="BZ49">
        <v>10.8421764736058</v>
      </c>
      <c r="CA49">
        <v>0.35775835659724198</v>
      </c>
      <c r="CB49">
        <v>62.813367681944399</v>
      </c>
      <c r="CC49">
        <v>16.953395961772401</v>
      </c>
      <c r="CD49">
        <v>5.6899102379305502</v>
      </c>
      <c r="CE49" t="s">
        <v>114</v>
      </c>
      <c r="CF49" t="s">
        <v>114</v>
      </c>
      <c r="CG49" t="s">
        <v>114</v>
      </c>
      <c r="CH49">
        <v>23.655092610000001</v>
      </c>
      <c r="CI49">
        <v>2.9114769415000001</v>
      </c>
      <c r="CJ49">
        <v>1.6866994749999999</v>
      </c>
      <c r="CK49" t="s">
        <v>114</v>
      </c>
      <c r="CL49">
        <v>-23.655092610000001</v>
      </c>
      <c r="CM49">
        <v>-2.3283230525</v>
      </c>
      <c r="CN49">
        <v>0.42294110499999998</v>
      </c>
      <c r="CO49" t="s">
        <v>114</v>
      </c>
      <c r="CP49">
        <v>62.813367681944399</v>
      </c>
      <c r="CQ49">
        <v>10.8421764736058</v>
      </c>
      <c r="CR49">
        <v>0.35775835659724198</v>
      </c>
      <c r="CS49" t="s">
        <v>114</v>
      </c>
      <c r="CT49">
        <v>62.813367681944399</v>
      </c>
      <c r="CU49">
        <v>16.953395961772401</v>
      </c>
      <c r="CV49">
        <v>5.6899102379305502</v>
      </c>
      <c r="CW49" t="s">
        <v>114</v>
      </c>
    </row>
    <row r="50" spans="1:101" x14ac:dyDescent="0.25">
      <c r="A50" t="s">
        <v>53</v>
      </c>
      <c r="B50">
        <v>12</v>
      </c>
      <c r="C50" t="s">
        <v>19</v>
      </c>
      <c r="D50" t="s">
        <v>94</v>
      </c>
      <c r="E50" t="s">
        <v>113</v>
      </c>
      <c r="F50" t="s">
        <v>145</v>
      </c>
      <c r="G50" t="s">
        <v>259</v>
      </c>
      <c r="H50" t="str">
        <f t="shared" si="0"/>
        <v>H.glutinosum.Highcomp.Open</v>
      </c>
      <c r="I50" t="s">
        <v>692</v>
      </c>
      <c r="J50" t="s">
        <v>324</v>
      </c>
      <c r="K50">
        <v>7</v>
      </c>
      <c r="L50">
        <v>40</v>
      </c>
      <c r="M50">
        <v>10</v>
      </c>
      <c r="N50">
        <v>40</v>
      </c>
      <c r="O50">
        <f t="shared" si="3"/>
        <v>30</v>
      </c>
      <c r="P50">
        <v>8</v>
      </c>
      <c r="Q50">
        <v>5</v>
      </c>
      <c r="R50">
        <v>3</v>
      </c>
      <c r="S50">
        <f t="shared" si="4"/>
        <v>4</v>
      </c>
      <c r="T50">
        <f t="shared" si="5"/>
        <v>0.1</v>
      </c>
      <c r="V50" t="s">
        <v>121</v>
      </c>
      <c r="W50" t="s">
        <v>114</v>
      </c>
      <c r="X50">
        <v>17.399999999999999</v>
      </c>
      <c r="Y50">
        <v>15.9</v>
      </c>
      <c r="Z50">
        <v>14.9</v>
      </c>
      <c r="AA50">
        <v>16.06666667</v>
      </c>
      <c r="AB50">
        <v>16.06666667</v>
      </c>
      <c r="AC50">
        <v>13.9</v>
      </c>
      <c r="AD50">
        <v>16.899999999999999</v>
      </c>
      <c r="AE50">
        <v>16.899999999999999</v>
      </c>
      <c r="AF50">
        <v>15.9</v>
      </c>
      <c r="AG50">
        <v>17.399999999999999</v>
      </c>
      <c r="AH50">
        <v>17.399999999999999</v>
      </c>
      <c r="AI50">
        <v>18.399999999999999</v>
      </c>
      <c r="AJ50">
        <v>17.733333330000001</v>
      </c>
      <c r="AK50">
        <v>15.4</v>
      </c>
      <c r="AL50">
        <v>16.899999999999999</v>
      </c>
      <c r="AM50">
        <v>18.399999999999999</v>
      </c>
      <c r="AN50">
        <v>16.899999999999999</v>
      </c>
      <c r="AO50">
        <v>17.733333330000001</v>
      </c>
      <c r="AP50">
        <v>6.1</v>
      </c>
      <c r="AQ50">
        <v>9</v>
      </c>
      <c r="AR50">
        <v>8.5</v>
      </c>
      <c r="AS50">
        <v>7.8666666669999996</v>
      </c>
      <c r="AT50">
        <v>6.1</v>
      </c>
      <c r="AU50">
        <v>5.0999999999999996</v>
      </c>
      <c r="AV50">
        <v>7.6</v>
      </c>
      <c r="AW50">
        <v>6.266666667</v>
      </c>
      <c r="AX50">
        <v>7.8666666669999996</v>
      </c>
      <c r="AY50">
        <v>-8.1999999999999993</v>
      </c>
      <c r="AZ50">
        <v>8</v>
      </c>
      <c r="BA50">
        <v>80</v>
      </c>
      <c r="BB50">
        <v>3</v>
      </c>
      <c r="BC50">
        <v>0</v>
      </c>
      <c r="BD50">
        <v>1</v>
      </c>
      <c r="BE50">
        <v>0</v>
      </c>
      <c r="BF50">
        <v>0</v>
      </c>
      <c r="BG50">
        <v>0</v>
      </c>
      <c r="BI50">
        <v>11.2</v>
      </c>
      <c r="BJ50">
        <v>2.4319999999999999</v>
      </c>
      <c r="BK50">
        <v>0</v>
      </c>
      <c r="BL50">
        <v>1</v>
      </c>
      <c r="BM50">
        <v>1</v>
      </c>
      <c r="BN50">
        <v>2</v>
      </c>
      <c r="BO50">
        <v>2.75</v>
      </c>
      <c r="BP50">
        <f t="shared" si="8"/>
        <v>-0.75</v>
      </c>
      <c r="BQ50">
        <v>0</v>
      </c>
      <c r="BR50">
        <f t="shared" si="9"/>
        <v>2</v>
      </c>
      <c r="BS50">
        <v>28.552556821666698</v>
      </c>
      <c r="BT50" t="s">
        <v>114</v>
      </c>
      <c r="BU50">
        <v>6.86877754333333</v>
      </c>
      <c r="BV50">
        <v>-22.331281568333299</v>
      </c>
      <c r="BW50" t="s">
        <v>114</v>
      </c>
      <c r="BX50">
        <v>-6.0589337833333303</v>
      </c>
      <c r="BY50">
        <v>408.74299107966903</v>
      </c>
      <c r="BZ50" t="s">
        <v>114</v>
      </c>
      <c r="CA50">
        <v>25.0780842245412</v>
      </c>
      <c r="CB50">
        <v>788.61782856405296</v>
      </c>
      <c r="CC50" t="s">
        <v>114</v>
      </c>
      <c r="CD50">
        <v>37.641395843319998</v>
      </c>
      <c r="CE50" t="s">
        <v>114</v>
      </c>
      <c r="CF50" t="s">
        <v>114</v>
      </c>
      <c r="CG50" t="s">
        <v>114</v>
      </c>
      <c r="CH50">
        <v>28.793966452857099</v>
      </c>
      <c r="CI50" t="s">
        <v>114</v>
      </c>
      <c r="CJ50">
        <v>7.00477968714286</v>
      </c>
      <c r="CK50" t="s">
        <v>114</v>
      </c>
      <c r="CL50">
        <v>-23.4614448071429</v>
      </c>
      <c r="CM50" t="s">
        <v>114</v>
      </c>
      <c r="CN50">
        <v>-6.3106278928571404</v>
      </c>
      <c r="CO50" t="s">
        <v>114</v>
      </c>
      <c r="CP50">
        <v>341.02710950327798</v>
      </c>
      <c r="CQ50" t="s">
        <v>114</v>
      </c>
      <c r="CR50">
        <v>21.027879602296501</v>
      </c>
      <c r="CS50" t="s">
        <v>114</v>
      </c>
      <c r="CT50">
        <v>666.12240642787197</v>
      </c>
      <c r="CU50" t="s">
        <v>114</v>
      </c>
      <c r="CV50">
        <v>31.811279342816199</v>
      </c>
      <c r="CW50" t="s">
        <v>114</v>
      </c>
    </row>
    <row r="51" spans="1:101" x14ac:dyDescent="0.25">
      <c r="A51" t="s">
        <v>53</v>
      </c>
      <c r="B51">
        <v>12</v>
      </c>
      <c r="C51" t="s">
        <v>19</v>
      </c>
      <c r="D51" t="s">
        <v>94</v>
      </c>
      <c r="E51" t="s">
        <v>103</v>
      </c>
      <c r="F51" t="s">
        <v>145</v>
      </c>
      <c r="G51" t="s">
        <v>260</v>
      </c>
      <c r="H51" t="str">
        <f t="shared" si="0"/>
        <v>P.airoides.Highcomp.Open</v>
      </c>
      <c r="I51" t="s">
        <v>693</v>
      </c>
      <c r="J51" t="s">
        <v>325</v>
      </c>
      <c r="K51">
        <v>2</v>
      </c>
      <c r="L51">
        <v>20</v>
      </c>
      <c r="M51">
        <v>60</v>
      </c>
      <c r="N51">
        <v>20</v>
      </c>
      <c r="O51">
        <f t="shared" si="3"/>
        <v>-40</v>
      </c>
      <c r="P51">
        <v>12</v>
      </c>
      <c r="Q51">
        <v>5</v>
      </c>
      <c r="R51">
        <v>2</v>
      </c>
      <c r="S51">
        <f t="shared" si="4"/>
        <v>3.5</v>
      </c>
      <c r="T51">
        <f t="shared" si="5"/>
        <v>0.17499999999999999</v>
      </c>
      <c r="V51" t="s">
        <v>121</v>
      </c>
      <c r="W51" t="s">
        <v>114</v>
      </c>
      <c r="X51">
        <v>17.399999999999999</v>
      </c>
      <c r="Y51">
        <v>15.9</v>
      </c>
      <c r="Z51">
        <v>14.9</v>
      </c>
      <c r="AA51">
        <v>16.06666667</v>
      </c>
      <c r="AB51">
        <v>16.06666667</v>
      </c>
      <c r="AC51">
        <v>17.399999999999999</v>
      </c>
      <c r="AD51">
        <v>17.899999999999999</v>
      </c>
      <c r="AE51">
        <v>17.899999999999999</v>
      </c>
      <c r="AF51">
        <v>17.733333330000001</v>
      </c>
      <c r="AG51">
        <v>17.399999999999999</v>
      </c>
      <c r="AH51">
        <v>17.399999999999999</v>
      </c>
      <c r="AI51">
        <v>18.399999999999999</v>
      </c>
      <c r="AJ51">
        <v>17.733333330000001</v>
      </c>
      <c r="AK51">
        <v>16.899999999999999</v>
      </c>
      <c r="AL51">
        <v>17.399999999999999</v>
      </c>
      <c r="AM51">
        <v>17.899999999999999</v>
      </c>
      <c r="AN51">
        <v>17.399999999999999</v>
      </c>
      <c r="AO51">
        <v>17.733333330000001</v>
      </c>
      <c r="AP51">
        <v>6.1</v>
      </c>
      <c r="AQ51">
        <v>9</v>
      </c>
      <c r="AR51">
        <v>8.5</v>
      </c>
      <c r="AS51">
        <v>7.8666666669999996</v>
      </c>
      <c r="AT51">
        <v>7.6</v>
      </c>
      <c r="AU51">
        <v>6.6</v>
      </c>
      <c r="AV51">
        <v>6.1</v>
      </c>
      <c r="AW51">
        <v>6.766666667</v>
      </c>
      <c r="AX51">
        <v>7.8666666669999996</v>
      </c>
      <c r="AY51">
        <v>-8.1999999999999993</v>
      </c>
      <c r="AZ51">
        <v>8</v>
      </c>
      <c r="BA51">
        <v>80</v>
      </c>
      <c r="BB51">
        <v>3</v>
      </c>
      <c r="BC51">
        <v>0</v>
      </c>
      <c r="BD51">
        <v>1</v>
      </c>
      <c r="BE51">
        <v>0</v>
      </c>
      <c r="BF51">
        <v>0</v>
      </c>
      <c r="BG51">
        <v>0</v>
      </c>
      <c r="BI51">
        <v>11.2</v>
      </c>
      <c r="BJ51">
        <v>2.4319999999999999</v>
      </c>
      <c r="BK51">
        <v>0</v>
      </c>
      <c r="BL51">
        <v>0</v>
      </c>
      <c r="BM51">
        <v>0</v>
      </c>
      <c r="BN51">
        <v>0</v>
      </c>
      <c r="BO51">
        <v>313.5</v>
      </c>
      <c r="BP51">
        <f t="shared" si="8"/>
        <v>-313.5</v>
      </c>
      <c r="BQ51">
        <v>441</v>
      </c>
      <c r="BR51">
        <f t="shared" si="9"/>
        <v>-441</v>
      </c>
      <c r="BS51">
        <v>7.8541666650000002</v>
      </c>
      <c r="BT51">
        <v>0.24151381350000001</v>
      </c>
      <c r="BU51">
        <v>5.7820814999999998E-2</v>
      </c>
      <c r="BV51">
        <v>-7.8541666650000002</v>
      </c>
      <c r="BW51">
        <v>-0.24151381350000001</v>
      </c>
      <c r="BX51">
        <v>-5.7820814999999998E-2</v>
      </c>
      <c r="BY51">
        <v>123.375868003194</v>
      </c>
      <c r="BZ51">
        <v>0.116657844222626</v>
      </c>
      <c r="CA51">
        <v>6.6864932945284502E-3</v>
      </c>
      <c r="CB51">
        <v>123.375868003194</v>
      </c>
      <c r="CC51">
        <v>0.116657844222626</v>
      </c>
      <c r="CD51">
        <v>6.6864932945284502E-3</v>
      </c>
      <c r="CE51">
        <v>7.2663685000000006E-2</v>
      </c>
      <c r="CF51">
        <v>1.05600222355585E-2</v>
      </c>
      <c r="CG51">
        <v>7.2663685000000006E-2</v>
      </c>
      <c r="CH51">
        <v>7.8541666650000002</v>
      </c>
      <c r="CI51">
        <v>0.24151381350000001</v>
      </c>
      <c r="CJ51">
        <v>5.7820814999999998E-2</v>
      </c>
      <c r="CK51">
        <v>7.2663685000000006E-2</v>
      </c>
      <c r="CL51">
        <v>-7.8541666650000002</v>
      </c>
      <c r="CM51">
        <v>-0.24151381350000001</v>
      </c>
      <c r="CN51">
        <v>-5.7820814999999998E-2</v>
      </c>
      <c r="CO51">
        <v>1.05600222355585E-2</v>
      </c>
      <c r="CP51">
        <v>123.375868003194</v>
      </c>
      <c r="CQ51">
        <v>0.116657844222626</v>
      </c>
      <c r="CR51">
        <v>6.6864932945284502E-3</v>
      </c>
      <c r="CS51">
        <v>1.05600222355585E-2</v>
      </c>
      <c r="CT51">
        <v>123.375868003194</v>
      </c>
      <c r="CU51">
        <v>0.116657844222626</v>
      </c>
      <c r="CV51">
        <v>6.6864932945284502E-3</v>
      </c>
      <c r="CW51">
        <v>7.2663685000000006E-2</v>
      </c>
    </row>
    <row r="52" spans="1:101" x14ac:dyDescent="0.25">
      <c r="A52" t="s">
        <v>53</v>
      </c>
      <c r="B52">
        <v>12</v>
      </c>
      <c r="C52" t="s">
        <v>19</v>
      </c>
      <c r="D52" t="s">
        <v>94</v>
      </c>
      <c r="E52" t="s">
        <v>112</v>
      </c>
      <c r="F52" t="s">
        <v>145</v>
      </c>
      <c r="G52" t="s">
        <v>261</v>
      </c>
      <c r="H52" t="str">
        <f t="shared" si="0"/>
        <v>V.rosea.Highcomp.Open</v>
      </c>
      <c r="I52" t="s">
        <v>688</v>
      </c>
      <c r="J52" t="s">
        <v>326</v>
      </c>
      <c r="K52">
        <v>0</v>
      </c>
      <c r="L52">
        <v>40</v>
      </c>
      <c r="M52">
        <v>40</v>
      </c>
      <c r="N52">
        <v>40</v>
      </c>
      <c r="O52">
        <f t="shared" si="3"/>
        <v>0</v>
      </c>
      <c r="P52">
        <v>40</v>
      </c>
      <c r="Q52">
        <v>90</v>
      </c>
      <c r="R52">
        <v>80</v>
      </c>
      <c r="S52">
        <f t="shared" si="4"/>
        <v>85</v>
      </c>
      <c r="T52">
        <f t="shared" si="5"/>
        <v>2.125</v>
      </c>
      <c r="V52" t="s">
        <v>121</v>
      </c>
      <c r="W52" t="s">
        <v>114</v>
      </c>
      <c r="X52">
        <v>17.399999999999999</v>
      </c>
      <c r="Y52">
        <v>15.9</v>
      </c>
      <c r="Z52">
        <v>14.9</v>
      </c>
      <c r="AA52">
        <v>16.06666667</v>
      </c>
      <c r="AB52">
        <v>16.06666667</v>
      </c>
      <c r="AC52">
        <v>16.899999999999999</v>
      </c>
      <c r="AD52">
        <v>16.399999999999999</v>
      </c>
      <c r="AE52">
        <v>16.899999999999999</v>
      </c>
      <c r="AF52">
        <v>16.733333330000001</v>
      </c>
      <c r="AG52">
        <v>17.399999999999999</v>
      </c>
      <c r="AH52">
        <v>17.399999999999999</v>
      </c>
      <c r="AI52">
        <v>18.399999999999999</v>
      </c>
      <c r="AJ52">
        <v>17.733333330000001</v>
      </c>
      <c r="AK52">
        <v>17.399999999999999</v>
      </c>
      <c r="AL52">
        <v>17.399999999999999</v>
      </c>
      <c r="AM52">
        <v>18.399999999999999</v>
      </c>
      <c r="AN52">
        <v>17.733333330000001</v>
      </c>
      <c r="AO52">
        <v>17.733333330000001</v>
      </c>
      <c r="AP52">
        <v>6.1</v>
      </c>
      <c r="AQ52">
        <v>9</v>
      </c>
      <c r="AR52">
        <v>8.5</v>
      </c>
      <c r="AS52">
        <v>7.8666666669999996</v>
      </c>
      <c r="AT52">
        <v>6.6</v>
      </c>
      <c r="AU52">
        <v>6.6</v>
      </c>
      <c r="AV52">
        <v>6.1</v>
      </c>
      <c r="AW52">
        <v>6.4333333330000002</v>
      </c>
      <c r="AX52">
        <v>7.8666666669999996</v>
      </c>
      <c r="AY52">
        <v>-8.1999999999999993</v>
      </c>
      <c r="AZ52">
        <v>8</v>
      </c>
      <c r="BA52">
        <v>80</v>
      </c>
      <c r="BB52">
        <v>3</v>
      </c>
      <c r="BC52">
        <v>0</v>
      </c>
      <c r="BD52">
        <v>1</v>
      </c>
      <c r="BE52">
        <v>0</v>
      </c>
      <c r="BF52">
        <v>0</v>
      </c>
      <c r="BG52">
        <v>0</v>
      </c>
      <c r="BI52">
        <v>11.2</v>
      </c>
      <c r="BJ52">
        <v>2.4319999999999999</v>
      </c>
      <c r="BK52">
        <v>0</v>
      </c>
      <c r="BL52">
        <v>9</v>
      </c>
      <c r="BM52">
        <v>8</v>
      </c>
      <c r="BN52">
        <v>27</v>
      </c>
      <c r="BO52">
        <v>184.8</v>
      </c>
      <c r="BP52">
        <f t="shared" si="8"/>
        <v>-157.80000000000001</v>
      </c>
      <c r="BQ52">
        <v>36</v>
      </c>
      <c r="BR52">
        <f t="shared" si="9"/>
        <v>-9</v>
      </c>
      <c r="BS52" t="s">
        <v>114</v>
      </c>
      <c r="BT52" t="s">
        <v>114</v>
      </c>
      <c r="BU52" t="s">
        <v>114</v>
      </c>
      <c r="BV52" t="s">
        <v>114</v>
      </c>
      <c r="BW52" t="s">
        <v>114</v>
      </c>
      <c r="BX52" t="s">
        <v>114</v>
      </c>
      <c r="BY52" t="s">
        <v>114</v>
      </c>
      <c r="BZ52" t="s">
        <v>114</v>
      </c>
      <c r="CA52" t="s">
        <v>114</v>
      </c>
      <c r="CB52" t="s">
        <v>114</v>
      </c>
      <c r="CC52" t="s">
        <v>114</v>
      </c>
      <c r="CD52" t="s">
        <v>114</v>
      </c>
      <c r="CE52" t="s">
        <v>114</v>
      </c>
      <c r="CF52" t="s">
        <v>114</v>
      </c>
      <c r="CG52" t="s">
        <v>114</v>
      </c>
      <c r="CH52" t="s">
        <v>114</v>
      </c>
      <c r="CI52" t="s">
        <v>114</v>
      </c>
      <c r="CJ52" t="s">
        <v>114</v>
      </c>
      <c r="CK52" t="s">
        <v>114</v>
      </c>
      <c r="CL52" t="s">
        <v>114</v>
      </c>
      <c r="CM52" t="s">
        <v>114</v>
      </c>
      <c r="CN52" t="s">
        <v>114</v>
      </c>
      <c r="CO52" t="s">
        <v>114</v>
      </c>
      <c r="CP52" t="s">
        <v>114</v>
      </c>
      <c r="CQ52" t="s">
        <v>114</v>
      </c>
      <c r="CR52" t="s">
        <v>114</v>
      </c>
      <c r="CS52" t="s">
        <v>114</v>
      </c>
      <c r="CT52" t="s">
        <v>114</v>
      </c>
      <c r="CU52" t="s">
        <v>114</v>
      </c>
      <c r="CV52" t="s">
        <v>114</v>
      </c>
      <c r="CW52" t="s">
        <v>114</v>
      </c>
    </row>
    <row r="53" spans="1:101" x14ac:dyDescent="0.25">
      <c r="A53" t="s">
        <v>54</v>
      </c>
      <c r="B53">
        <v>12</v>
      </c>
      <c r="C53" t="s">
        <v>21</v>
      </c>
      <c r="D53" t="s">
        <v>95</v>
      </c>
      <c r="E53" t="s">
        <v>113</v>
      </c>
      <c r="F53" t="s">
        <v>145</v>
      </c>
      <c r="G53" t="s">
        <v>259</v>
      </c>
      <c r="H53" t="str">
        <f t="shared" si="0"/>
        <v>H.glutinosum.Highcomp.Shade</v>
      </c>
      <c r="I53" t="s">
        <v>682</v>
      </c>
      <c r="J53" t="s">
        <v>327</v>
      </c>
      <c r="K53">
        <v>2</v>
      </c>
      <c r="L53">
        <v>35</v>
      </c>
      <c r="M53">
        <v>90</v>
      </c>
      <c r="N53">
        <v>35</v>
      </c>
      <c r="O53">
        <f t="shared" si="3"/>
        <v>-55</v>
      </c>
      <c r="P53">
        <v>10</v>
      </c>
      <c r="Q53">
        <v>15</v>
      </c>
      <c r="R53">
        <v>5</v>
      </c>
      <c r="S53">
        <f t="shared" si="4"/>
        <v>10</v>
      </c>
      <c r="T53">
        <f t="shared" si="5"/>
        <v>0.2857142857142857</v>
      </c>
      <c r="V53" t="s">
        <v>121</v>
      </c>
      <c r="W53" t="s">
        <v>114</v>
      </c>
      <c r="X53">
        <v>13</v>
      </c>
      <c r="Y53">
        <v>13.9</v>
      </c>
      <c r="Z53">
        <v>17.399999999999999</v>
      </c>
      <c r="AA53">
        <v>14.766666669999999</v>
      </c>
      <c r="AB53">
        <v>14.766666669999999</v>
      </c>
      <c r="AC53">
        <v>15.4</v>
      </c>
      <c r="AD53">
        <v>14.4</v>
      </c>
      <c r="AE53">
        <v>13.5</v>
      </c>
      <c r="AF53">
        <v>14.43333333</v>
      </c>
      <c r="AG53">
        <v>17.399999999999999</v>
      </c>
      <c r="AH53">
        <v>17.899999999999999</v>
      </c>
      <c r="AI53">
        <v>18.899999999999999</v>
      </c>
      <c r="AJ53">
        <v>18.06666667</v>
      </c>
      <c r="AK53">
        <v>14.9</v>
      </c>
      <c r="AL53">
        <v>14.9</v>
      </c>
      <c r="AM53">
        <v>16.399999999999999</v>
      </c>
      <c r="AN53">
        <v>15.4</v>
      </c>
      <c r="AO53">
        <v>18.06666667</v>
      </c>
      <c r="AP53">
        <v>5.9</v>
      </c>
      <c r="AQ53">
        <v>6.3</v>
      </c>
      <c r="AR53">
        <v>6.3</v>
      </c>
      <c r="AS53">
        <v>6.1666666670000003</v>
      </c>
      <c r="AT53">
        <v>5.3</v>
      </c>
      <c r="AU53">
        <v>5.3</v>
      </c>
      <c r="AV53">
        <v>5.9</v>
      </c>
      <c r="AW53">
        <v>5.5</v>
      </c>
      <c r="AX53">
        <v>6.1666666670000003</v>
      </c>
      <c r="AY53">
        <v>-8.6</v>
      </c>
      <c r="AZ53">
        <v>15</v>
      </c>
      <c r="BA53">
        <v>20</v>
      </c>
      <c r="BB53">
        <v>0</v>
      </c>
      <c r="BC53">
        <v>0</v>
      </c>
      <c r="BD53">
        <v>1</v>
      </c>
      <c r="BE53">
        <v>0</v>
      </c>
      <c r="BF53">
        <v>1</v>
      </c>
      <c r="BG53">
        <v>0</v>
      </c>
      <c r="BI53">
        <v>13</v>
      </c>
      <c r="BJ53">
        <v>42.4</v>
      </c>
      <c r="BK53">
        <v>0</v>
      </c>
      <c r="BL53">
        <v>0</v>
      </c>
      <c r="BM53">
        <v>0</v>
      </c>
      <c r="BN53">
        <v>0</v>
      </c>
      <c r="BO53">
        <v>7</v>
      </c>
      <c r="BP53">
        <f t="shared" si="8"/>
        <v>-7</v>
      </c>
      <c r="BQ53">
        <v>7</v>
      </c>
      <c r="BR53">
        <f t="shared" si="9"/>
        <v>-7</v>
      </c>
      <c r="BS53">
        <v>30.242424239999998</v>
      </c>
      <c r="BT53">
        <v>0.19500888899999999</v>
      </c>
      <c r="BU53">
        <v>7.8207925500000002</v>
      </c>
      <c r="BV53">
        <v>-30.242424239999998</v>
      </c>
      <c r="BW53">
        <v>0.19500888899999999</v>
      </c>
      <c r="BX53">
        <v>-7.8207925500000002</v>
      </c>
      <c r="BY53" t="s">
        <v>114</v>
      </c>
      <c r="BZ53" t="s">
        <v>114</v>
      </c>
      <c r="CA53" t="s">
        <v>114</v>
      </c>
      <c r="CB53" t="s">
        <v>114</v>
      </c>
      <c r="CC53" t="s">
        <v>114</v>
      </c>
      <c r="CD53" t="s">
        <v>114</v>
      </c>
      <c r="CE53">
        <v>7.0319930000000003E-2</v>
      </c>
      <c r="CF53" t="s">
        <v>114</v>
      </c>
      <c r="CG53">
        <v>7.0319930000000003E-2</v>
      </c>
      <c r="CH53">
        <v>30.242424239999998</v>
      </c>
      <c r="CI53">
        <v>0.19500888899999999</v>
      </c>
      <c r="CJ53">
        <v>7.8207925500000002</v>
      </c>
      <c r="CK53">
        <v>-7.0319930000000003E-2</v>
      </c>
      <c r="CL53">
        <v>-30.242424239999998</v>
      </c>
      <c r="CM53">
        <v>0.19500888899999999</v>
      </c>
      <c r="CN53">
        <v>-7.8207925500000002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-7.0319930000000003E-2</v>
      </c>
    </row>
    <row r="54" spans="1:101" x14ac:dyDescent="0.25">
      <c r="A54" t="s">
        <v>54</v>
      </c>
      <c r="B54">
        <v>12</v>
      </c>
      <c r="C54" t="s">
        <v>21</v>
      </c>
      <c r="D54" t="s">
        <v>95</v>
      </c>
      <c r="E54" t="s">
        <v>110</v>
      </c>
      <c r="F54" t="s">
        <v>145</v>
      </c>
      <c r="G54" t="s">
        <v>262</v>
      </c>
      <c r="H54" t="str">
        <f t="shared" si="0"/>
        <v>M.minima.Highcomp.Shade</v>
      </c>
      <c r="I54" t="s">
        <v>694</v>
      </c>
      <c r="J54" t="s">
        <v>328</v>
      </c>
      <c r="K54">
        <v>2</v>
      </c>
      <c r="L54">
        <v>70</v>
      </c>
      <c r="M54">
        <v>90</v>
      </c>
      <c r="N54">
        <v>70</v>
      </c>
      <c r="O54">
        <f t="shared" si="3"/>
        <v>-20</v>
      </c>
      <c r="P54">
        <v>18</v>
      </c>
      <c r="Q54">
        <v>20</v>
      </c>
      <c r="R54">
        <v>10</v>
      </c>
      <c r="S54">
        <f t="shared" si="4"/>
        <v>15</v>
      </c>
      <c r="T54">
        <f t="shared" si="5"/>
        <v>0.21428571428571427</v>
      </c>
      <c r="V54" t="s">
        <v>121</v>
      </c>
      <c r="W54" t="s">
        <v>114</v>
      </c>
      <c r="X54">
        <v>13</v>
      </c>
      <c r="Y54">
        <v>13.9</v>
      </c>
      <c r="Z54">
        <v>17.399999999999999</v>
      </c>
      <c r="AA54">
        <v>14.766666669999999</v>
      </c>
      <c r="AB54">
        <v>14.766666669999999</v>
      </c>
      <c r="AC54">
        <v>15.4</v>
      </c>
      <c r="AD54">
        <v>17.399999999999999</v>
      </c>
      <c r="AE54">
        <v>11.5</v>
      </c>
      <c r="AF54">
        <v>14.766666669999999</v>
      </c>
      <c r="AG54">
        <v>17.399999999999999</v>
      </c>
      <c r="AH54">
        <v>17.899999999999999</v>
      </c>
      <c r="AI54">
        <v>18.899999999999999</v>
      </c>
      <c r="AJ54">
        <v>18.06666667</v>
      </c>
      <c r="AK54">
        <v>17.399999999999999</v>
      </c>
      <c r="AL54">
        <v>17.399999999999999</v>
      </c>
      <c r="AM54">
        <v>17.899999999999999</v>
      </c>
      <c r="AN54">
        <v>17.56666667</v>
      </c>
      <c r="AO54">
        <v>18.06666667</v>
      </c>
      <c r="AP54">
        <v>5.9</v>
      </c>
      <c r="AQ54">
        <v>6.3</v>
      </c>
      <c r="AR54">
        <v>6.3</v>
      </c>
      <c r="AS54">
        <v>6.1666666670000003</v>
      </c>
      <c r="AT54">
        <v>5.3</v>
      </c>
      <c r="AU54">
        <v>6.3</v>
      </c>
      <c r="AV54">
        <v>5.6</v>
      </c>
      <c r="AW54">
        <v>5.733333333</v>
      </c>
      <c r="AX54">
        <v>6.1666666670000003</v>
      </c>
      <c r="AY54">
        <v>-8.6</v>
      </c>
      <c r="AZ54">
        <v>15</v>
      </c>
      <c r="BA54">
        <v>20</v>
      </c>
      <c r="BB54">
        <v>0</v>
      </c>
      <c r="BC54">
        <v>0</v>
      </c>
      <c r="BD54">
        <v>1</v>
      </c>
      <c r="BE54">
        <v>0</v>
      </c>
      <c r="BF54">
        <v>1</v>
      </c>
      <c r="BG54">
        <v>0</v>
      </c>
      <c r="BI54">
        <v>13</v>
      </c>
      <c r="BJ54">
        <v>42.4</v>
      </c>
      <c r="BK54">
        <v>1</v>
      </c>
      <c r="BL54">
        <v>2</v>
      </c>
      <c r="BM54">
        <v>2</v>
      </c>
      <c r="BN54">
        <v>2</v>
      </c>
      <c r="BO54">
        <v>9</v>
      </c>
      <c r="BP54">
        <f t="shared" si="8"/>
        <v>-7</v>
      </c>
      <c r="BQ54">
        <v>1</v>
      </c>
      <c r="BR54">
        <f t="shared" si="9"/>
        <v>1</v>
      </c>
      <c r="BS54">
        <v>40.739130430000003</v>
      </c>
      <c r="BT54">
        <v>0.52450222199999996</v>
      </c>
      <c r="BU54">
        <v>4.0230581299999999</v>
      </c>
      <c r="BV54">
        <v>-40.739130430000003</v>
      </c>
      <c r="BW54">
        <v>0.52450222199999996</v>
      </c>
      <c r="BX54">
        <v>4.0230581299999999</v>
      </c>
      <c r="BY54" t="s">
        <v>114</v>
      </c>
      <c r="BZ54" t="s">
        <v>114</v>
      </c>
      <c r="CA54" t="s">
        <v>114</v>
      </c>
      <c r="CB54" t="s">
        <v>114</v>
      </c>
      <c r="CC54" t="s">
        <v>114</v>
      </c>
      <c r="CD54" t="s">
        <v>114</v>
      </c>
      <c r="CE54">
        <v>0.62563736999999997</v>
      </c>
      <c r="CF54" t="s">
        <v>114</v>
      </c>
      <c r="CG54">
        <v>0.62563736999999997</v>
      </c>
      <c r="CH54">
        <v>40.739130430000003</v>
      </c>
      <c r="CI54">
        <v>0.52450222199999996</v>
      </c>
      <c r="CJ54">
        <v>4.0230581299999999</v>
      </c>
      <c r="CK54">
        <v>0.62563736999999997</v>
      </c>
      <c r="CL54">
        <v>-40.739130430000003</v>
      </c>
      <c r="CM54">
        <v>0.52450222199999996</v>
      </c>
      <c r="CN54">
        <v>4.0230581299999999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0.62563736999999997</v>
      </c>
    </row>
    <row r="55" spans="1:101" x14ac:dyDescent="0.25">
      <c r="A55" t="s">
        <v>54</v>
      </c>
      <c r="B55">
        <v>12</v>
      </c>
      <c r="C55" t="s">
        <v>21</v>
      </c>
      <c r="D55" t="s">
        <v>95</v>
      </c>
      <c r="E55" t="s">
        <v>111</v>
      </c>
      <c r="F55" t="s">
        <v>145</v>
      </c>
      <c r="G55" t="s">
        <v>263</v>
      </c>
      <c r="H55" t="str">
        <f t="shared" si="0"/>
        <v>P.canescens.Highcomp.Shade</v>
      </c>
      <c r="I55" t="s">
        <v>684</v>
      </c>
      <c r="J55" t="s">
        <v>329</v>
      </c>
      <c r="K55">
        <v>1</v>
      </c>
      <c r="L55">
        <v>360</v>
      </c>
      <c r="M55">
        <v>280</v>
      </c>
      <c r="N55">
        <v>360</v>
      </c>
      <c r="O55">
        <f t="shared" si="3"/>
        <v>80</v>
      </c>
      <c r="P55">
        <v>100</v>
      </c>
      <c r="Q55">
        <v>260</v>
      </c>
      <c r="R55">
        <v>100</v>
      </c>
      <c r="S55">
        <f t="shared" si="4"/>
        <v>180</v>
      </c>
      <c r="T55">
        <f t="shared" si="5"/>
        <v>0.5</v>
      </c>
      <c r="V55" t="s">
        <v>121</v>
      </c>
      <c r="W55" t="s">
        <v>114</v>
      </c>
      <c r="X55">
        <v>13</v>
      </c>
      <c r="Y55">
        <v>13.9</v>
      </c>
      <c r="Z55">
        <v>17.399999999999999</v>
      </c>
      <c r="AA55">
        <v>14.766666669999999</v>
      </c>
      <c r="AB55">
        <v>14.766666669999999</v>
      </c>
      <c r="AC55">
        <v>17.399999999999999</v>
      </c>
      <c r="AD55">
        <v>14.9</v>
      </c>
      <c r="AE55">
        <v>15.9</v>
      </c>
      <c r="AF55">
        <v>16.06666667</v>
      </c>
      <c r="AG55">
        <v>17.399999999999999</v>
      </c>
      <c r="AH55">
        <v>17.899999999999999</v>
      </c>
      <c r="AI55">
        <v>18.899999999999999</v>
      </c>
      <c r="AJ55">
        <v>18.06666667</v>
      </c>
      <c r="AK55">
        <v>17.399999999999999</v>
      </c>
      <c r="AL55">
        <v>17.399999999999999</v>
      </c>
      <c r="AM55">
        <v>18.899999999999999</v>
      </c>
      <c r="AN55">
        <v>17.899999999999999</v>
      </c>
      <c r="AO55">
        <v>18.06666667</v>
      </c>
      <c r="AP55">
        <v>5.9</v>
      </c>
      <c r="AQ55">
        <v>6.3</v>
      </c>
      <c r="AR55">
        <v>6.3</v>
      </c>
      <c r="AS55">
        <v>6.1666666670000003</v>
      </c>
      <c r="AT55">
        <v>7.6</v>
      </c>
      <c r="AU55">
        <v>5.9</v>
      </c>
      <c r="AV55">
        <v>7.2</v>
      </c>
      <c r="AW55">
        <v>6.9</v>
      </c>
      <c r="AX55">
        <v>6.1666666670000003</v>
      </c>
      <c r="AY55">
        <v>-8.6</v>
      </c>
      <c r="AZ55">
        <v>15</v>
      </c>
      <c r="BA55">
        <v>20</v>
      </c>
      <c r="BB55">
        <v>0</v>
      </c>
      <c r="BC55">
        <v>0</v>
      </c>
      <c r="BD55">
        <v>1</v>
      </c>
      <c r="BE55">
        <v>0</v>
      </c>
      <c r="BF55">
        <v>1</v>
      </c>
      <c r="BG55">
        <v>0</v>
      </c>
      <c r="BI55">
        <v>13</v>
      </c>
      <c r="BJ55">
        <v>42.4</v>
      </c>
      <c r="BK55">
        <v>0</v>
      </c>
      <c r="BL55">
        <v>59</v>
      </c>
      <c r="BM55">
        <v>39</v>
      </c>
      <c r="BN55">
        <v>2126</v>
      </c>
      <c r="BO55">
        <v>955.66669999999999</v>
      </c>
      <c r="BP55">
        <f t="shared" si="8"/>
        <v>1170.3333</v>
      </c>
      <c r="BQ55">
        <v>1430</v>
      </c>
      <c r="BR55">
        <f t="shared" si="9"/>
        <v>696</v>
      </c>
      <c r="BS55">
        <v>12.43296703</v>
      </c>
      <c r="BT55">
        <v>3.2524988889999999</v>
      </c>
      <c r="BU55">
        <v>11.344611909999999</v>
      </c>
      <c r="BV55">
        <v>12.43296703</v>
      </c>
      <c r="BW55">
        <v>-3.2524988889999999</v>
      </c>
      <c r="BX55">
        <v>-11.344611909999999</v>
      </c>
      <c r="BY55" t="s">
        <v>114</v>
      </c>
      <c r="BZ55" t="s">
        <v>114</v>
      </c>
      <c r="CA55" t="s">
        <v>114</v>
      </c>
      <c r="CB55" t="s">
        <v>114</v>
      </c>
      <c r="CC55" t="s">
        <v>114</v>
      </c>
      <c r="CD55" t="s">
        <v>114</v>
      </c>
      <c r="CE55" t="s">
        <v>114</v>
      </c>
      <c r="CF55" t="s">
        <v>114</v>
      </c>
      <c r="CG55" t="s">
        <v>114</v>
      </c>
      <c r="CH55">
        <v>12.43296703</v>
      </c>
      <c r="CI55">
        <v>3.2524988889999999</v>
      </c>
      <c r="CJ55">
        <v>11.344611909999999</v>
      </c>
      <c r="CK55" t="s">
        <v>114</v>
      </c>
      <c r="CL55">
        <v>12.43296703</v>
      </c>
      <c r="CM55">
        <v>-3.2524988889999999</v>
      </c>
      <c r="CN55">
        <v>-11.344611909999999</v>
      </c>
      <c r="CO55" t="s">
        <v>114</v>
      </c>
      <c r="CP55" t="s">
        <v>114</v>
      </c>
      <c r="CQ55" t="s">
        <v>114</v>
      </c>
      <c r="CR55" t="s">
        <v>114</v>
      </c>
      <c r="CS55" t="s">
        <v>114</v>
      </c>
      <c r="CT55" t="s">
        <v>114</v>
      </c>
      <c r="CU55" t="s">
        <v>114</v>
      </c>
      <c r="CV55" t="s">
        <v>114</v>
      </c>
      <c r="CW55" t="s">
        <v>114</v>
      </c>
    </row>
    <row r="56" spans="1:101" x14ac:dyDescent="0.25">
      <c r="A56" t="s">
        <v>55</v>
      </c>
      <c r="B56">
        <v>12</v>
      </c>
      <c r="C56" t="s">
        <v>23</v>
      </c>
      <c r="D56" t="s">
        <v>94</v>
      </c>
      <c r="E56" t="s">
        <v>113</v>
      </c>
      <c r="F56" t="s">
        <v>145</v>
      </c>
      <c r="G56" t="s">
        <v>259</v>
      </c>
      <c r="H56" t="str">
        <f t="shared" si="0"/>
        <v>H.glutinosum.Highcomp.Open</v>
      </c>
      <c r="I56" t="s">
        <v>692</v>
      </c>
      <c r="J56" t="s">
        <v>330</v>
      </c>
      <c r="K56">
        <v>4</v>
      </c>
      <c r="L56">
        <v>110</v>
      </c>
      <c r="M56">
        <v>50</v>
      </c>
      <c r="N56">
        <v>110</v>
      </c>
      <c r="O56">
        <f t="shared" si="3"/>
        <v>60</v>
      </c>
      <c r="P56">
        <v>10</v>
      </c>
      <c r="Q56">
        <v>50</v>
      </c>
      <c r="R56">
        <v>35</v>
      </c>
      <c r="S56">
        <f t="shared" si="4"/>
        <v>42.5</v>
      </c>
      <c r="T56">
        <f t="shared" si="5"/>
        <v>0.38636363636363635</v>
      </c>
      <c r="V56" t="s">
        <v>110</v>
      </c>
      <c r="W56">
        <v>80</v>
      </c>
      <c r="X56">
        <v>20.3</v>
      </c>
      <c r="Y56">
        <v>21.8</v>
      </c>
      <c r="Z56">
        <v>22.3</v>
      </c>
      <c r="AA56">
        <v>21.466666669999999</v>
      </c>
      <c r="AB56">
        <v>21.466666669999999</v>
      </c>
      <c r="AC56">
        <v>21.3</v>
      </c>
      <c r="AD56">
        <v>23.3</v>
      </c>
      <c r="AE56">
        <v>18.899999999999999</v>
      </c>
      <c r="AF56">
        <v>21.166666670000001</v>
      </c>
      <c r="AG56">
        <v>24.7</v>
      </c>
      <c r="AH56">
        <v>22.8</v>
      </c>
      <c r="AI56">
        <v>24.7</v>
      </c>
      <c r="AJ56">
        <v>24.06666667</v>
      </c>
      <c r="AK56">
        <v>21.8</v>
      </c>
      <c r="AL56">
        <v>21.3</v>
      </c>
      <c r="AM56">
        <v>28.2</v>
      </c>
      <c r="AN56">
        <v>23.766666669999999</v>
      </c>
      <c r="AO56">
        <v>24.06666667</v>
      </c>
      <c r="AP56">
        <v>8.5</v>
      </c>
      <c r="AQ56">
        <v>8.5</v>
      </c>
      <c r="AR56">
        <v>9.5</v>
      </c>
      <c r="AS56">
        <v>8.8333333330000006</v>
      </c>
      <c r="AT56">
        <v>8.5</v>
      </c>
      <c r="AU56">
        <v>12.5</v>
      </c>
      <c r="AV56">
        <v>10</v>
      </c>
      <c r="AW56">
        <v>10.33333333</v>
      </c>
      <c r="AX56">
        <v>8.8333333330000006</v>
      </c>
      <c r="AY56">
        <v>-12.633333329999999</v>
      </c>
      <c r="AZ56">
        <v>5</v>
      </c>
      <c r="BA56">
        <v>80</v>
      </c>
      <c r="BB56">
        <v>2</v>
      </c>
      <c r="BC56">
        <v>5</v>
      </c>
      <c r="BD56">
        <v>0</v>
      </c>
      <c r="BE56">
        <v>1</v>
      </c>
      <c r="BF56">
        <v>1</v>
      </c>
      <c r="BG56">
        <v>0</v>
      </c>
      <c r="BI56">
        <v>11.3</v>
      </c>
      <c r="BJ56">
        <v>1.375</v>
      </c>
      <c r="BK56">
        <v>0</v>
      </c>
      <c r="BL56">
        <v>6</v>
      </c>
      <c r="BM56">
        <v>6</v>
      </c>
      <c r="BN56">
        <v>48</v>
      </c>
      <c r="BO56">
        <v>2.75</v>
      </c>
      <c r="BP56">
        <f t="shared" si="8"/>
        <v>45.25</v>
      </c>
      <c r="BQ56">
        <v>0</v>
      </c>
      <c r="BR56">
        <f t="shared" si="9"/>
        <v>48</v>
      </c>
      <c r="BS56">
        <v>9.3276515225000001</v>
      </c>
      <c r="BT56">
        <v>1.75100593975</v>
      </c>
      <c r="BU56">
        <v>4.7552190625000001</v>
      </c>
      <c r="BV56">
        <v>-9.3276515225000001</v>
      </c>
      <c r="BW56">
        <v>-1.06296655725</v>
      </c>
      <c r="BX56">
        <v>-4.7552190625000001</v>
      </c>
      <c r="BY56">
        <v>79.840607994562703</v>
      </c>
      <c r="BZ56">
        <v>6.7855580499163102</v>
      </c>
      <c r="CA56">
        <v>11.958069319056399</v>
      </c>
      <c r="CB56">
        <v>79.840607994562703</v>
      </c>
      <c r="CC56">
        <v>9.3670565821934595</v>
      </c>
      <c r="CD56">
        <v>11.958069319056399</v>
      </c>
      <c r="CE56" t="s">
        <v>114</v>
      </c>
      <c r="CF56" t="s">
        <v>114</v>
      </c>
      <c r="CG56" t="s">
        <v>114</v>
      </c>
      <c r="CH56">
        <v>9.3276515225000001</v>
      </c>
      <c r="CI56">
        <v>1.75100593975</v>
      </c>
      <c r="CJ56">
        <v>4.7552190625000001</v>
      </c>
      <c r="CK56" t="s">
        <v>114</v>
      </c>
      <c r="CL56">
        <v>-9.3276515225000001</v>
      </c>
      <c r="CM56">
        <v>-1.06296655725</v>
      </c>
      <c r="CN56">
        <v>-4.7552190625000001</v>
      </c>
      <c r="CO56" t="s">
        <v>114</v>
      </c>
      <c r="CP56">
        <v>79.840607994562703</v>
      </c>
      <c r="CQ56">
        <v>6.7855580499163102</v>
      </c>
      <c r="CR56">
        <v>11.958069319056399</v>
      </c>
      <c r="CS56" t="s">
        <v>114</v>
      </c>
      <c r="CT56">
        <v>79.840607994562703</v>
      </c>
      <c r="CU56">
        <v>9.3670565821934595</v>
      </c>
      <c r="CV56">
        <v>11.958069319056399</v>
      </c>
      <c r="CW56" t="s">
        <v>114</v>
      </c>
    </row>
    <row r="57" spans="1:101" x14ac:dyDescent="0.25">
      <c r="A57" t="s">
        <v>55</v>
      </c>
      <c r="B57">
        <v>12</v>
      </c>
      <c r="C57" t="s">
        <v>23</v>
      </c>
      <c r="D57" t="s">
        <v>94</v>
      </c>
      <c r="E57" t="s">
        <v>110</v>
      </c>
      <c r="F57" t="s">
        <v>145</v>
      </c>
      <c r="G57" t="s">
        <v>262</v>
      </c>
      <c r="H57" t="str">
        <f t="shared" si="0"/>
        <v>M.minima.Highcomp.Open</v>
      </c>
      <c r="I57" t="s">
        <v>695</v>
      </c>
      <c r="J57" t="s">
        <v>331</v>
      </c>
      <c r="K57" t="s">
        <v>114</v>
      </c>
      <c r="L57">
        <v>80</v>
      </c>
      <c r="M57">
        <v>30</v>
      </c>
      <c r="N57">
        <v>80</v>
      </c>
      <c r="O57">
        <f t="shared" si="3"/>
        <v>50</v>
      </c>
      <c r="P57">
        <v>12</v>
      </c>
      <c r="Q57">
        <v>65</v>
      </c>
      <c r="R57">
        <v>0</v>
      </c>
      <c r="S57">
        <f t="shared" si="4"/>
        <v>32.5</v>
      </c>
      <c r="T57">
        <f t="shared" si="5"/>
        <v>0.40625</v>
      </c>
      <c r="V57" t="s">
        <v>103</v>
      </c>
      <c r="W57">
        <v>30</v>
      </c>
      <c r="X57">
        <v>20.3</v>
      </c>
      <c r="Y57">
        <v>21.8</v>
      </c>
      <c r="Z57">
        <v>22.3</v>
      </c>
      <c r="AA57">
        <v>21.466666669999999</v>
      </c>
      <c r="AB57">
        <v>21.466666669999999</v>
      </c>
      <c r="AC57">
        <v>19.3</v>
      </c>
      <c r="AD57">
        <v>22.8</v>
      </c>
      <c r="AE57">
        <v>19.8</v>
      </c>
      <c r="AF57">
        <v>20.633333329999999</v>
      </c>
      <c r="AG57">
        <v>24.7</v>
      </c>
      <c r="AH57">
        <v>22.8</v>
      </c>
      <c r="AI57">
        <v>24.7</v>
      </c>
      <c r="AJ57">
        <v>24.06666667</v>
      </c>
      <c r="AK57">
        <v>20.3</v>
      </c>
      <c r="AL57">
        <v>20.8</v>
      </c>
      <c r="AM57">
        <v>20.8</v>
      </c>
      <c r="AN57">
        <v>20.633333329999999</v>
      </c>
      <c r="AO57">
        <v>24.06666667</v>
      </c>
      <c r="AP57">
        <v>8.5</v>
      </c>
      <c r="AQ57">
        <v>8.5</v>
      </c>
      <c r="AR57">
        <v>9.5</v>
      </c>
      <c r="AS57">
        <v>8.8333333330000006</v>
      </c>
      <c r="AT57">
        <v>7.1</v>
      </c>
      <c r="AU57">
        <v>9</v>
      </c>
      <c r="AV57">
        <v>7.1</v>
      </c>
      <c r="AW57">
        <v>7.733333333</v>
      </c>
      <c r="AX57">
        <v>8.8333333330000006</v>
      </c>
      <c r="AY57">
        <v>-12.633333329999999</v>
      </c>
      <c r="AZ57">
        <v>5</v>
      </c>
      <c r="BA57">
        <v>80</v>
      </c>
      <c r="BB57">
        <v>2</v>
      </c>
      <c r="BC57">
        <v>5</v>
      </c>
      <c r="BD57">
        <v>0</v>
      </c>
      <c r="BE57">
        <v>1</v>
      </c>
      <c r="BF57">
        <v>1</v>
      </c>
      <c r="BG57">
        <v>0</v>
      </c>
      <c r="BI57">
        <v>11.3</v>
      </c>
      <c r="BJ57">
        <v>1.375</v>
      </c>
      <c r="BK57">
        <v>0</v>
      </c>
      <c r="BL57" t="s">
        <v>114</v>
      </c>
      <c r="BM57" t="s">
        <v>114</v>
      </c>
      <c r="BN57" t="s">
        <v>114</v>
      </c>
      <c r="BO57">
        <v>8</v>
      </c>
      <c r="BP57" t="s">
        <v>114</v>
      </c>
      <c r="BQ57">
        <v>1</v>
      </c>
      <c r="BR57" t="s">
        <v>114</v>
      </c>
      <c r="BS57" t="s">
        <v>114</v>
      </c>
      <c r="BT57" t="s">
        <v>114</v>
      </c>
      <c r="BU57" t="s">
        <v>114</v>
      </c>
      <c r="BV57" t="s">
        <v>114</v>
      </c>
      <c r="BW57" t="s">
        <v>114</v>
      </c>
      <c r="BX57" t="s">
        <v>114</v>
      </c>
      <c r="BY57" t="s">
        <v>114</v>
      </c>
      <c r="BZ57" t="s">
        <v>114</v>
      </c>
      <c r="CA57" t="s">
        <v>114</v>
      </c>
      <c r="CB57" t="s">
        <v>114</v>
      </c>
      <c r="CC57" t="s">
        <v>114</v>
      </c>
      <c r="CD57" t="s">
        <v>114</v>
      </c>
      <c r="CE57" t="s">
        <v>114</v>
      </c>
      <c r="CF57" t="s">
        <v>114</v>
      </c>
      <c r="CG57" t="s">
        <v>114</v>
      </c>
      <c r="CH57" t="s">
        <v>114</v>
      </c>
      <c r="CI57" t="s">
        <v>114</v>
      </c>
      <c r="CJ57" t="s">
        <v>114</v>
      </c>
      <c r="CK57" t="s">
        <v>114</v>
      </c>
      <c r="CL57" t="s">
        <v>114</v>
      </c>
      <c r="CM57" t="s">
        <v>114</v>
      </c>
      <c r="CN57" t="s">
        <v>114</v>
      </c>
      <c r="CO57" t="s">
        <v>114</v>
      </c>
      <c r="CP57" t="s">
        <v>114</v>
      </c>
      <c r="CQ57" t="s">
        <v>114</v>
      </c>
      <c r="CR57" t="s">
        <v>114</v>
      </c>
      <c r="CS57" t="s">
        <v>114</v>
      </c>
      <c r="CT57" t="s">
        <v>114</v>
      </c>
      <c r="CU57" t="s">
        <v>114</v>
      </c>
      <c r="CV57" t="s">
        <v>114</v>
      </c>
      <c r="CW57" t="s">
        <v>114</v>
      </c>
    </row>
    <row r="58" spans="1:101" x14ac:dyDescent="0.25">
      <c r="A58" t="s">
        <v>55</v>
      </c>
      <c r="B58">
        <v>12</v>
      </c>
      <c r="C58" t="s">
        <v>23</v>
      </c>
      <c r="D58" t="s">
        <v>94</v>
      </c>
      <c r="E58" t="s">
        <v>103</v>
      </c>
      <c r="F58" t="s">
        <v>145</v>
      </c>
      <c r="G58" t="s">
        <v>260</v>
      </c>
      <c r="H58" t="str">
        <f t="shared" si="0"/>
        <v>P.airoides.Highcomp.Open</v>
      </c>
      <c r="I58" t="s">
        <v>693</v>
      </c>
      <c r="J58" t="s">
        <v>332</v>
      </c>
      <c r="K58" t="s">
        <v>114</v>
      </c>
      <c r="L58">
        <v>50</v>
      </c>
      <c r="M58">
        <v>50</v>
      </c>
      <c r="N58">
        <v>50</v>
      </c>
      <c r="O58">
        <f t="shared" si="3"/>
        <v>0</v>
      </c>
      <c r="P58">
        <v>30</v>
      </c>
      <c r="Q58">
        <v>15</v>
      </c>
      <c r="R58">
        <v>10</v>
      </c>
      <c r="S58">
        <f t="shared" si="4"/>
        <v>12.5</v>
      </c>
      <c r="T58">
        <f t="shared" si="5"/>
        <v>0.25</v>
      </c>
      <c r="V58" t="s">
        <v>103</v>
      </c>
      <c r="W58">
        <v>30</v>
      </c>
      <c r="X58">
        <v>20.3</v>
      </c>
      <c r="Y58">
        <v>21.8</v>
      </c>
      <c r="Z58">
        <v>22.3</v>
      </c>
      <c r="AA58">
        <v>21.466666669999999</v>
      </c>
      <c r="AB58">
        <v>21.466666669999999</v>
      </c>
      <c r="AC58">
        <v>18.899999999999999</v>
      </c>
      <c r="AD58">
        <v>19.8</v>
      </c>
      <c r="AE58">
        <v>20.8</v>
      </c>
      <c r="AF58">
        <v>19.833333329999999</v>
      </c>
      <c r="AG58">
        <v>24.7</v>
      </c>
      <c r="AH58">
        <v>22.8</v>
      </c>
      <c r="AI58">
        <v>24.7</v>
      </c>
      <c r="AJ58">
        <v>24.06666667</v>
      </c>
      <c r="AK58">
        <v>20.3</v>
      </c>
      <c r="AL58">
        <v>21.3</v>
      </c>
      <c r="AM58">
        <v>22.3</v>
      </c>
      <c r="AN58">
        <v>21.3</v>
      </c>
      <c r="AO58">
        <v>24.06666667</v>
      </c>
      <c r="AP58">
        <v>8.5</v>
      </c>
      <c r="AQ58">
        <v>8.5</v>
      </c>
      <c r="AR58">
        <v>9.5</v>
      </c>
      <c r="AS58">
        <v>8.8333333330000006</v>
      </c>
      <c r="AT58">
        <v>8.5</v>
      </c>
      <c r="AU58">
        <v>8.5</v>
      </c>
      <c r="AV58">
        <v>9</v>
      </c>
      <c r="AW58">
        <v>8.6666666669999994</v>
      </c>
      <c r="AX58">
        <v>8.8333333330000006</v>
      </c>
      <c r="AY58">
        <v>-12.633333329999999</v>
      </c>
      <c r="AZ58">
        <v>5</v>
      </c>
      <c r="BA58">
        <v>80</v>
      </c>
      <c r="BB58">
        <v>2</v>
      </c>
      <c r="BC58">
        <v>5</v>
      </c>
      <c r="BD58">
        <v>0</v>
      </c>
      <c r="BE58">
        <v>1</v>
      </c>
      <c r="BF58">
        <v>1</v>
      </c>
      <c r="BG58">
        <v>0</v>
      </c>
      <c r="BI58">
        <v>11.3</v>
      </c>
      <c r="BJ58">
        <v>1.375</v>
      </c>
      <c r="BK58">
        <v>0</v>
      </c>
      <c r="BL58">
        <v>4</v>
      </c>
      <c r="BM58">
        <v>4</v>
      </c>
      <c r="BN58">
        <v>215</v>
      </c>
      <c r="BO58">
        <v>313.5</v>
      </c>
      <c r="BP58">
        <f t="shared" ref="BP58:BP75" si="10">BN58-BO58</f>
        <v>-98.5</v>
      </c>
      <c r="BQ58">
        <v>186</v>
      </c>
      <c r="BR58">
        <f t="shared" ref="BR58:BR75" si="11">BN58-BQ58</f>
        <v>29</v>
      </c>
      <c r="BS58" t="s">
        <v>114</v>
      </c>
      <c r="BT58" t="s">
        <v>114</v>
      </c>
      <c r="BU58" t="s">
        <v>114</v>
      </c>
      <c r="BV58" t="s">
        <v>114</v>
      </c>
      <c r="BW58" t="s">
        <v>114</v>
      </c>
      <c r="BX58" t="s">
        <v>114</v>
      </c>
      <c r="BY58" t="s">
        <v>114</v>
      </c>
      <c r="BZ58" t="s">
        <v>114</v>
      </c>
      <c r="CA58" t="s">
        <v>114</v>
      </c>
      <c r="CB58" t="s">
        <v>114</v>
      </c>
      <c r="CC58" t="s">
        <v>114</v>
      </c>
      <c r="CD58" t="s">
        <v>114</v>
      </c>
      <c r="CE58" t="s">
        <v>114</v>
      </c>
      <c r="CF58" t="s">
        <v>114</v>
      </c>
      <c r="CG58" t="s">
        <v>114</v>
      </c>
      <c r="CH58" t="s">
        <v>114</v>
      </c>
      <c r="CI58" t="s">
        <v>114</v>
      </c>
      <c r="CJ58" t="s">
        <v>114</v>
      </c>
      <c r="CK58" t="s">
        <v>114</v>
      </c>
      <c r="CL58" t="s">
        <v>114</v>
      </c>
      <c r="CM58" t="s">
        <v>114</v>
      </c>
      <c r="CN58" t="s">
        <v>114</v>
      </c>
      <c r="CO58" t="s">
        <v>114</v>
      </c>
      <c r="CP58" t="s">
        <v>114</v>
      </c>
      <c r="CQ58" t="s">
        <v>114</v>
      </c>
      <c r="CR58" t="s">
        <v>114</v>
      </c>
      <c r="CS58" t="s">
        <v>114</v>
      </c>
      <c r="CT58" t="s">
        <v>114</v>
      </c>
      <c r="CU58" t="s">
        <v>114</v>
      </c>
      <c r="CV58" t="s">
        <v>114</v>
      </c>
      <c r="CW58" t="s">
        <v>114</v>
      </c>
    </row>
    <row r="59" spans="1:101" x14ac:dyDescent="0.25">
      <c r="A59" t="s">
        <v>55</v>
      </c>
      <c r="B59">
        <v>12</v>
      </c>
      <c r="C59" t="s">
        <v>23</v>
      </c>
      <c r="D59" t="s">
        <v>94</v>
      </c>
      <c r="E59" t="s">
        <v>111</v>
      </c>
      <c r="F59" t="s">
        <v>145</v>
      </c>
      <c r="G59" t="s">
        <v>263</v>
      </c>
      <c r="H59" t="str">
        <f t="shared" si="0"/>
        <v>P.canescens.Highcomp.Open</v>
      </c>
      <c r="I59" t="s">
        <v>687</v>
      </c>
      <c r="J59" t="s">
        <v>333</v>
      </c>
      <c r="K59">
        <v>3</v>
      </c>
      <c r="L59">
        <v>290</v>
      </c>
      <c r="M59">
        <v>290</v>
      </c>
      <c r="N59">
        <v>290</v>
      </c>
      <c r="O59">
        <f t="shared" si="3"/>
        <v>0</v>
      </c>
      <c r="P59">
        <v>60</v>
      </c>
      <c r="Q59">
        <v>70</v>
      </c>
      <c r="R59">
        <v>0</v>
      </c>
      <c r="S59">
        <f t="shared" si="4"/>
        <v>35</v>
      </c>
      <c r="T59">
        <f t="shared" si="5"/>
        <v>0.1206896551724138</v>
      </c>
      <c r="V59" t="s">
        <v>113</v>
      </c>
      <c r="W59">
        <v>95</v>
      </c>
      <c r="X59">
        <v>20.3</v>
      </c>
      <c r="Y59">
        <v>21.8</v>
      </c>
      <c r="Z59">
        <v>22.3</v>
      </c>
      <c r="AA59">
        <v>21.466666669999999</v>
      </c>
      <c r="AB59">
        <v>21.466666669999999</v>
      </c>
      <c r="AC59">
        <v>19.3</v>
      </c>
      <c r="AD59">
        <v>20.8</v>
      </c>
      <c r="AE59">
        <v>20.8</v>
      </c>
      <c r="AF59">
        <v>20.3</v>
      </c>
      <c r="AG59">
        <v>24.7</v>
      </c>
      <c r="AH59">
        <v>22.8</v>
      </c>
      <c r="AI59">
        <v>24.7</v>
      </c>
      <c r="AJ59">
        <v>24.06666667</v>
      </c>
      <c r="AK59">
        <v>22.8</v>
      </c>
      <c r="AL59">
        <v>20.8</v>
      </c>
      <c r="AM59">
        <v>18.399999999999999</v>
      </c>
      <c r="AN59">
        <v>20.666666670000001</v>
      </c>
      <c r="AO59">
        <v>24.06666667</v>
      </c>
      <c r="AP59">
        <v>8.5</v>
      </c>
      <c r="AQ59">
        <v>8.5</v>
      </c>
      <c r="AR59">
        <v>9.5</v>
      </c>
      <c r="AS59">
        <v>8.8333333330000006</v>
      </c>
      <c r="AT59">
        <v>8.5</v>
      </c>
      <c r="AU59">
        <v>9</v>
      </c>
      <c r="AV59">
        <v>12.5</v>
      </c>
      <c r="AW59">
        <v>10</v>
      </c>
      <c r="AX59">
        <v>8.8333333330000006</v>
      </c>
      <c r="AY59">
        <v>-12.633333329999999</v>
      </c>
      <c r="AZ59">
        <v>5</v>
      </c>
      <c r="BA59">
        <v>80</v>
      </c>
      <c r="BB59">
        <v>2</v>
      </c>
      <c r="BC59">
        <v>5</v>
      </c>
      <c r="BD59">
        <v>0</v>
      </c>
      <c r="BE59">
        <v>1</v>
      </c>
      <c r="BF59">
        <v>1</v>
      </c>
      <c r="BG59">
        <v>0</v>
      </c>
      <c r="BI59">
        <v>11.3</v>
      </c>
      <c r="BJ59">
        <v>1.375</v>
      </c>
      <c r="BK59">
        <v>0</v>
      </c>
      <c r="BL59">
        <v>7</v>
      </c>
      <c r="BM59">
        <v>6</v>
      </c>
      <c r="BN59">
        <v>338</v>
      </c>
      <c r="BO59">
        <v>422.66669999999999</v>
      </c>
      <c r="BP59">
        <f t="shared" si="10"/>
        <v>-84.666699999999992</v>
      </c>
      <c r="BQ59">
        <v>844</v>
      </c>
      <c r="BR59">
        <f t="shared" si="11"/>
        <v>-506</v>
      </c>
      <c r="BS59">
        <v>47.84848487</v>
      </c>
      <c r="BT59">
        <v>1.414273621</v>
      </c>
      <c r="BU59">
        <v>1.85844487</v>
      </c>
      <c r="BV59">
        <v>-36.634632060000001</v>
      </c>
      <c r="BW59">
        <v>-1.414273621</v>
      </c>
      <c r="BX59">
        <v>-0.15250660999999999</v>
      </c>
      <c r="BY59">
        <v>2684.1925323431601</v>
      </c>
      <c r="BZ59">
        <v>1.30697174986142</v>
      </c>
      <c r="CA59">
        <v>4.6516532187384302E-2</v>
      </c>
      <c r="CB59">
        <v>4578.9550087092402</v>
      </c>
      <c r="CC59">
        <v>1.30697174986142</v>
      </c>
      <c r="CD59">
        <v>6.9076346696586297</v>
      </c>
      <c r="CE59">
        <v>0.18983562000000001</v>
      </c>
      <c r="CF59">
        <v>3.0460648570880002E-4</v>
      </c>
      <c r="CG59">
        <v>0.18572191333333299</v>
      </c>
      <c r="CH59">
        <v>35.636940850000002</v>
      </c>
      <c r="CI59">
        <v>1.14481204366667</v>
      </c>
      <c r="CJ59">
        <v>1.8076093333333301</v>
      </c>
      <c r="CK59">
        <v>0.18572191333333299</v>
      </c>
      <c r="CL59">
        <v>-20.6851371033333</v>
      </c>
      <c r="CM59">
        <v>-1.14481204366667</v>
      </c>
      <c r="CN59">
        <v>0.46697501333333302</v>
      </c>
      <c r="CO59">
        <v>2.03070990472533E-4</v>
      </c>
      <c r="CP59">
        <v>1789.4616882287701</v>
      </c>
      <c r="CQ59">
        <v>0.871314499907616</v>
      </c>
      <c r="CR59">
        <v>3.10110214582562E-2</v>
      </c>
      <c r="CS59">
        <v>2.03070990472533E-4</v>
      </c>
      <c r="CT59">
        <v>3052.63667247283</v>
      </c>
      <c r="CU59">
        <v>0.871314499907616</v>
      </c>
      <c r="CV59">
        <v>4.6050897797724204</v>
      </c>
      <c r="CW59">
        <v>0.18983562000000001</v>
      </c>
    </row>
    <row r="60" spans="1:101" x14ac:dyDescent="0.25">
      <c r="A60" t="s">
        <v>56</v>
      </c>
      <c r="B60">
        <v>12</v>
      </c>
      <c r="C60" t="s">
        <v>25</v>
      </c>
      <c r="D60" t="s">
        <v>94</v>
      </c>
      <c r="E60" t="s">
        <v>113</v>
      </c>
      <c r="F60" t="s">
        <v>145</v>
      </c>
      <c r="G60" t="s">
        <v>259</v>
      </c>
      <c r="H60" t="str">
        <f t="shared" si="0"/>
        <v>H.glutinosum.Highcomp.Open</v>
      </c>
      <c r="I60" t="s">
        <v>692</v>
      </c>
      <c r="J60" t="s">
        <v>334</v>
      </c>
      <c r="K60">
        <v>3</v>
      </c>
      <c r="L60">
        <v>80</v>
      </c>
      <c r="M60">
        <v>40</v>
      </c>
      <c r="N60">
        <v>80</v>
      </c>
      <c r="O60">
        <f t="shared" si="3"/>
        <v>40</v>
      </c>
      <c r="P60">
        <v>8</v>
      </c>
      <c r="Q60">
        <v>10</v>
      </c>
      <c r="R60">
        <v>5</v>
      </c>
      <c r="S60">
        <f t="shared" si="4"/>
        <v>7.5</v>
      </c>
      <c r="T60">
        <f t="shared" si="5"/>
        <v>9.375E-2</v>
      </c>
      <c r="V60" t="s">
        <v>113</v>
      </c>
      <c r="W60">
        <v>40</v>
      </c>
      <c r="X60">
        <v>10.5</v>
      </c>
      <c r="Y60">
        <v>10.5</v>
      </c>
      <c r="Z60">
        <v>12.5</v>
      </c>
      <c r="AA60">
        <v>11.16666667</v>
      </c>
      <c r="AB60">
        <v>11.16666667</v>
      </c>
      <c r="AC60">
        <v>16.399999999999999</v>
      </c>
      <c r="AD60">
        <v>15.9</v>
      </c>
      <c r="AE60">
        <v>14.9</v>
      </c>
      <c r="AF60">
        <v>15.733333330000001</v>
      </c>
      <c r="AG60">
        <v>12</v>
      </c>
      <c r="AH60">
        <v>12.5</v>
      </c>
      <c r="AI60">
        <v>13.5</v>
      </c>
      <c r="AJ60">
        <v>12.66666667</v>
      </c>
      <c r="AK60">
        <v>11.5</v>
      </c>
      <c r="AL60">
        <v>14.4</v>
      </c>
      <c r="AM60">
        <v>14.9</v>
      </c>
      <c r="AN60">
        <v>13.6</v>
      </c>
      <c r="AO60">
        <v>12.66666667</v>
      </c>
      <c r="AP60">
        <v>6.6</v>
      </c>
      <c r="AQ60">
        <v>5.0999999999999996</v>
      </c>
      <c r="AR60">
        <v>8.1</v>
      </c>
      <c r="AS60">
        <v>6.6</v>
      </c>
      <c r="AT60">
        <v>8.1</v>
      </c>
      <c r="AU60">
        <v>6.1</v>
      </c>
      <c r="AV60">
        <v>8.1</v>
      </c>
      <c r="AW60">
        <v>7.4333333330000002</v>
      </c>
      <c r="AX60">
        <v>6.6</v>
      </c>
      <c r="AY60">
        <v>-4.5666666669999998</v>
      </c>
      <c r="AZ60">
        <v>50</v>
      </c>
      <c r="BA60">
        <v>25</v>
      </c>
      <c r="BB60">
        <v>0</v>
      </c>
      <c r="BC60">
        <v>10</v>
      </c>
      <c r="BD60">
        <v>1</v>
      </c>
      <c r="BE60">
        <v>0</v>
      </c>
      <c r="BF60">
        <v>0</v>
      </c>
      <c r="BG60">
        <v>0</v>
      </c>
      <c r="BI60">
        <v>12.7</v>
      </c>
      <c r="BJ60">
        <v>11.087999999999999</v>
      </c>
      <c r="BK60">
        <v>0</v>
      </c>
      <c r="BL60">
        <v>1</v>
      </c>
      <c r="BM60">
        <v>1</v>
      </c>
      <c r="BN60">
        <v>3</v>
      </c>
      <c r="BO60">
        <v>2.75</v>
      </c>
      <c r="BP60">
        <f t="shared" si="10"/>
        <v>0.25</v>
      </c>
      <c r="BQ60">
        <v>2</v>
      </c>
      <c r="BR60">
        <f t="shared" si="11"/>
        <v>1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 t="s">
        <v>114</v>
      </c>
      <c r="BZ60" t="s">
        <v>114</v>
      </c>
      <c r="CA60" t="s">
        <v>114</v>
      </c>
      <c r="CB60" t="s">
        <v>114</v>
      </c>
      <c r="CC60" t="s">
        <v>114</v>
      </c>
      <c r="CD60" t="s">
        <v>114</v>
      </c>
      <c r="CE60">
        <v>0</v>
      </c>
      <c r="CF60" t="s">
        <v>114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</row>
    <row r="61" spans="1:101" x14ac:dyDescent="0.25">
      <c r="A61" t="s">
        <v>56</v>
      </c>
      <c r="B61">
        <v>12</v>
      </c>
      <c r="C61" t="s">
        <v>25</v>
      </c>
      <c r="D61" t="s">
        <v>94</v>
      </c>
      <c r="E61" t="s">
        <v>111</v>
      </c>
      <c r="F61" t="s">
        <v>145</v>
      </c>
      <c r="G61" t="s">
        <v>263</v>
      </c>
      <c r="H61" t="str">
        <f t="shared" si="0"/>
        <v>P.canescens.Highcomp.Open</v>
      </c>
      <c r="I61" t="s">
        <v>687</v>
      </c>
      <c r="J61" t="s">
        <v>335</v>
      </c>
      <c r="K61">
        <v>1</v>
      </c>
      <c r="L61">
        <v>180</v>
      </c>
      <c r="M61">
        <v>240</v>
      </c>
      <c r="N61">
        <v>180</v>
      </c>
      <c r="O61">
        <f t="shared" si="3"/>
        <v>-60</v>
      </c>
      <c r="P61">
        <v>50</v>
      </c>
      <c r="Q61">
        <v>35</v>
      </c>
      <c r="R61">
        <v>10</v>
      </c>
      <c r="S61">
        <f t="shared" si="4"/>
        <v>22.5</v>
      </c>
      <c r="T61">
        <f t="shared" si="5"/>
        <v>0.125</v>
      </c>
      <c r="V61" t="s">
        <v>121</v>
      </c>
      <c r="W61" t="s">
        <v>114</v>
      </c>
      <c r="X61">
        <v>10.5</v>
      </c>
      <c r="Y61">
        <v>10.5</v>
      </c>
      <c r="Z61">
        <v>12.5</v>
      </c>
      <c r="AA61">
        <v>11.16666667</v>
      </c>
      <c r="AB61">
        <v>11.16666667</v>
      </c>
      <c r="AC61">
        <v>12.5</v>
      </c>
      <c r="AD61">
        <v>11.5</v>
      </c>
      <c r="AE61">
        <v>11.5</v>
      </c>
      <c r="AF61">
        <v>11.83333333</v>
      </c>
      <c r="AG61">
        <v>12</v>
      </c>
      <c r="AH61">
        <v>12.5</v>
      </c>
      <c r="AI61">
        <v>13.5</v>
      </c>
      <c r="AJ61">
        <v>12.66666667</v>
      </c>
      <c r="AK61">
        <v>11</v>
      </c>
      <c r="AL61">
        <v>13</v>
      </c>
      <c r="AM61">
        <v>13.9</v>
      </c>
      <c r="AN61">
        <v>12.633333329999999</v>
      </c>
      <c r="AO61">
        <v>12.66666667</v>
      </c>
      <c r="AP61">
        <v>6.6</v>
      </c>
      <c r="AQ61">
        <v>5.0999999999999996</v>
      </c>
      <c r="AR61">
        <v>8.1</v>
      </c>
      <c r="AS61">
        <v>6.6</v>
      </c>
      <c r="AT61">
        <v>5.6</v>
      </c>
      <c r="AU61">
        <v>5.6</v>
      </c>
      <c r="AV61">
        <v>6.1</v>
      </c>
      <c r="AW61">
        <v>5.766666667</v>
      </c>
      <c r="AX61">
        <v>6.6</v>
      </c>
      <c r="AY61">
        <v>-4.5666666669999998</v>
      </c>
      <c r="AZ61">
        <v>50</v>
      </c>
      <c r="BA61">
        <v>25</v>
      </c>
      <c r="BB61">
        <v>0</v>
      </c>
      <c r="BC61">
        <v>10</v>
      </c>
      <c r="BD61">
        <v>1</v>
      </c>
      <c r="BE61">
        <v>0</v>
      </c>
      <c r="BF61">
        <v>0</v>
      </c>
      <c r="BG61">
        <v>0</v>
      </c>
      <c r="BI61">
        <v>12.7</v>
      </c>
      <c r="BJ61">
        <v>11.087999999999999</v>
      </c>
      <c r="BK61">
        <v>0</v>
      </c>
      <c r="BL61">
        <v>10</v>
      </c>
      <c r="BM61">
        <v>4</v>
      </c>
      <c r="BN61">
        <v>96</v>
      </c>
      <c r="BO61">
        <v>422.66669999999999</v>
      </c>
      <c r="BP61">
        <f t="shared" si="10"/>
        <v>-326.66669999999999</v>
      </c>
      <c r="BQ61">
        <v>0</v>
      </c>
      <c r="BR61">
        <f t="shared" si="11"/>
        <v>96</v>
      </c>
      <c r="BS61">
        <v>29.87767857</v>
      </c>
      <c r="BT61">
        <v>2.1653166669999999</v>
      </c>
      <c r="BU61">
        <v>13.579434470000001</v>
      </c>
      <c r="BV61">
        <v>29.87767857</v>
      </c>
      <c r="BW61">
        <v>-2.1653166669999999</v>
      </c>
      <c r="BX61">
        <v>-13.579434470000001</v>
      </c>
      <c r="BY61" t="s">
        <v>114</v>
      </c>
      <c r="BZ61" t="s">
        <v>114</v>
      </c>
      <c r="CA61" t="s">
        <v>114</v>
      </c>
      <c r="CB61" t="s">
        <v>114</v>
      </c>
      <c r="CC61" t="s">
        <v>114</v>
      </c>
      <c r="CD61" t="s">
        <v>114</v>
      </c>
      <c r="CE61">
        <v>1.8206694999999999</v>
      </c>
      <c r="CF61" t="s">
        <v>114</v>
      </c>
      <c r="CG61">
        <v>1.8206694999999999</v>
      </c>
      <c r="CH61">
        <v>29.87767857</v>
      </c>
      <c r="CI61">
        <v>2.1653166669999999</v>
      </c>
      <c r="CJ61">
        <v>13.579434470000001</v>
      </c>
      <c r="CK61">
        <v>-1.8206694999999999</v>
      </c>
      <c r="CL61">
        <v>29.87767857</v>
      </c>
      <c r="CM61">
        <v>-2.1653166669999999</v>
      </c>
      <c r="CN61">
        <v>-13.579434470000001</v>
      </c>
      <c r="CO61" t="s">
        <v>114</v>
      </c>
      <c r="CP61" t="s">
        <v>114</v>
      </c>
      <c r="CQ61" t="s">
        <v>114</v>
      </c>
      <c r="CR61" t="s">
        <v>114</v>
      </c>
      <c r="CS61" t="s">
        <v>114</v>
      </c>
      <c r="CT61" t="s">
        <v>114</v>
      </c>
      <c r="CU61" t="s">
        <v>114</v>
      </c>
      <c r="CV61" t="s">
        <v>114</v>
      </c>
      <c r="CW61">
        <v>-1.8206694999999999</v>
      </c>
    </row>
    <row r="62" spans="1:101" x14ac:dyDescent="0.25">
      <c r="A62" t="s">
        <v>56</v>
      </c>
      <c r="B62">
        <v>12</v>
      </c>
      <c r="C62" t="s">
        <v>25</v>
      </c>
      <c r="D62" t="s">
        <v>94</v>
      </c>
      <c r="E62" t="s">
        <v>104</v>
      </c>
      <c r="F62" t="s">
        <v>145</v>
      </c>
      <c r="G62" t="s">
        <v>264</v>
      </c>
      <c r="H62" t="str">
        <f t="shared" si="0"/>
        <v>T.cyanopetala.Highcomp.Open</v>
      </c>
      <c r="I62" t="s">
        <v>696</v>
      </c>
      <c r="J62" t="s">
        <v>336</v>
      </c>
      <c r="K62">
        <v>1</v>
      </c>
      <c r="L62">
        <v>25</v>
      </c>
      <c r="M62">
        <v>55</v>
      </c>
      <c r="N62">
        <v>25</v>
      </c>
      <c r="O62">
        <f t="shared" si="3"/>
        <v>-30</v>
      </c>
      <c r="P62">
        <v>15</v>
      </c>
      <c r="Q62">
        <v>15</v>
      </c>
      <c r="R62">
        <v>5</v>
      </c>
      <c r="S62">
        <f t="shared" si="4"/>
        <v>10</v>
      </c>
      <c r="T62">
        <f t="shared" si="5"/>
        <v>0.4</v>
      </c>
      <c r="V62" t="s">
        <v>121</v>
      </c>
      <c r="W62" t="s">
        <v>114</v>
      </c>
      <c r="X62">
        <v>10.5</v>
      </c>
      <c r="Y62">
        <v>10.5</v>
      </c>
      <c r="Z62">
        <v>12.5</v>
      </c>
      <c r="AA62">
        <v>11.16666667</v>
      </c>
      <c r="AB62">
        <v>11.16666667</v>
      </c>
      <c r="AC62">
        <v>12</v>
      </c>
      <c r="AD62">
        <v>11.5</v>
      </c>
      <c r="AE62">
        <v>12.5</v>
      </c>
      <c r="AF62">
        <v>12</v>
      </c>
      <c r="AG62">
        <v>12</v>
      </c>
      <c r="AH62">
        <v>12.5</v>
      </c>
      <c r="AI62">
        <v>13.5</v>
      </c>
      <c r="AJ62">
        <v>12.66666667</v>
      </c>
      <c r="AK62">
        <v>15.4</v>
      </c>
      <c r="AL62">
        <v>14</v>
      </c>
      <c r="AM62">
        <v>14.4</v>
      </c>
      <c r="AN62">
        <v>14.6</v>
      </c>
      <c r="AO62">
        <v>12.66666667</v>
      </c>
      <c r="AP62">
        <v>6.6</v>
      </c>
      <c r="AQ62">
        <v>5.0999999999999996</v>
      </c>
      <c r="AR62">
        <v>8.1</v>
      </c>
      <c r="AS62">
        <v>6.6</v>
      </c>
      <c r="AT62">
        <v>5.6</v>
      </c>
      <c r="AU62">
        <v>6.1</v>
      </c>
      <c r="AV62">
        <v>6.6</v>
      </c>
      <c r="AW62">
        <v>6.1</v>
      </c>
      <c r="AX62">
        <v>6.6</v>
      </c>
      <c r="AY62">
        <v>-4.5666666669999998</v>
      </c>
      <c r="AZ62">
        <v>50</v>
      </c>
      <c r="BA62">
        <v>25</v>
      </c>
      <c r="BB62">
        <v>0</v>
      </c>
      <c r="BC62">
        <v>10</v>
      </c>
      <c r="BD62">
        <v>1</v>
      </c>
      <c r="BE62">
        <v>0</v>
      </c>
      <c r="BF62">
        <v>0</v>
      </c>
      <c r="BG62">
        <v>0</v>
      </c>
      <c r="BI62">
        <v>12.7</v>
      </c>
      <c r="BJ62">
        <v>11.087999999999999</v>
      </c>
      <c r="BK62">
        <v>0</v>
      </c>
      <c r="BL62">
        <v>1</v>
      </c>
      <c r="BM62">
        <v>1</v>
      </c>
      <c r="BN62">
        <v>4</v>
      </c>
      <c r="BO62">
        <v>32.5</v>
      </c>
      <c r="BP62">
        <f t="shared" si="10"/>
        <v>-28.5</v>
      </c>
      <c r="BQ62">
        <v>43</v>
      </c>
      <c r="BR62">
        <f t="shared" si="11"/>
        <v>-39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 t="s">
        <v>114</v>
      </c>
      <c r="BZ62" t="s">
        <v>114</v>
      </c>
      <c r="CA62" t="s">
        <v>114</v>
      </c>
      <c r="CB62" t="s">
        <v>114</v>
      </c>
      <c r="CC62" t="s">
        <v>114</v>
      </c>
      <c r="CD62" t="s">
        <v>114</v>
      </c>
      <c r="CE62">
        <v>0</v>
      </c>
      <c r="CF62" t="s">
        <v>114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 t="s">
        <v>114</v>
      </c>
      <c r="CP62" t="s">
        <v>114</v>
      </c>
      <c r="CQ62" t="s">
        <v>114</v>
      </c>
      <c r="CR62" t="s">
        <v>114</v>
      </c>
      <c r="CS62" t="s">
        <v>114</v>
      </c>
      <c r="CT62" t="s">
        <v>114</v>
      </c>
      <c r="CU62" t="s">
        <v>114</v>
      </c>
      <c r="CV62" t="s">
        <v>114</v>
      </c>
      <c r="CW62">
        <v>0</v>
      </c>
    </row>
    <row r="63" spans="1:101" x14ac:dyDescent="0.25">
      <c r="A63" t="s">
        <v>56</v>
      </c>
      <c r="B63">
        <v>12</v>
      </c>
      <c r="C63" t="s">
        <v>25</v>
      </c>
      <c r="D63" t="s">
        <v>94</v>
      </c>
      <c r="E63" t="s">
        <v>112</v>
      </c>
      <c r="F63" t="s">
        <v>145</v>
      </c>
      <c r="G63" t="s">
        <v>261</v>
      </c>
      <c r="H63" t="str">
        <f t="shared" si="0"/>
        <v>V.rosea.Highcomp.Open</v>
      </c>
      <c r="I63" t="s">
        <v>688</v>
      </c>
      <c r="J63" t="s">
        <v>337</v>
      </c>
      <c r="K63">
        <v>4</v>
      </c>
      <c r="L63">
        <v>35</v>
      </c>
      <c r="M63">
        <v>60</v>
      </c>
      <c r="N63">
        <v>35</v>
      </c>
      <c r="O63">
        <f t="shared" si="3"/>
        <v>-25</v>
      </c>
      <c r="P63">
        <v>40</v>
      </c>
      <c r="Q63">
        <v>70</v>
      </c>
      <c r="R63">
        <v>10</v>
      </c>
      <c r="S63">
        <f t="shared" si="4"/>
        <v>40</v>
      </c>
      <c r="T63">
        <f t="shared" si="5"/>
        <v>1.1428571428571428</v>
      </c>
      <c r="V63" t="s">
        <v>121</v>
      </c>
      <c r="W63" t="s">
        <v>114</v>
      </c>
      <c r="X63">
        <v>10.5</v>
      </c>
      <c r="Y63">
        <v>10.5</v>
      </c>
      <c r="Z63">
        <v>12.5</v>
      </c>
      <c r="AA63">
        <v>11.16666667</v>
      </c>
      <c r="AB63">
        <v>11.16666667</v>
      </c>
      <c r="AC63">
        <v>14.4</v>
      </c>
      <c r="AD63">
        <v>12.5</v>
      </c>
      <c r="AE63">
        <v>13</v>
      </c>
      <c r="AF63">
        <v>13.3</v>
      </c>
      <c r="AG63">
        <v>12</v>
      </c>
      <c r="AH63">
        <v>12.5</v>
      </c>
      <c r="AI63">
        <v>13.5</v>
      </c>
      <c r="AJ63">
        <v>12.66666667</v>
      </c>
      <c r="AK63">
        <v>12</v>
      </c>
      <c r="AL63">
        <v>13.9</v>
      </c>
      <c r="AM63">
        <v>13</v>
      </c>
      <c r="AN63">
        <v>12.96666667</v>
      </c>
      <c r="AO63">
        <v>12.66666667</v>
      </c>
      <c r="AP63">
        <v>6.6</v>
      </c>
      <c r="AQ63">
        <v>5.0999999999999996</v>
      </c>
      <c r="AR63">
        <v>8.1</v>
      </c>
      <c r="AS63">
        <v>6.6</v>
      </c>
      <c r="AT63">
        <v>5.0999999999999996</v>
      </c>
      <c r="AU63">
        <v>5.6</v>
      </c>
      <c r="AV63">
        <v>6.6</v>
      </c>
      <c r="AW63">
        <v>5.766666667</v>
      </c>
      <c r="AX63">
        <v>6.6</v>
      </c>
      <c r="AY63">
        <v>-4.5666666669999998</v>
      </c>
      <c r="AZ63">
        <v>50</v>
      </c>
      <c r="BA63">
        <v>25</v>
      </c>
      <c r="BB63">
        <v>0</v>
      </c>
      <c r="BC63">
        <v>10</v>
      </c>
      <c r="BD63">
        <v>1</v>
      </c>
      <c r="BE63">
        <v>0</v>
      </c>
      <c r="BF63">
        <v>0</v>
      </c>
      <c r="BG63">
        <v>0</v>
      </c>
      <c r="BI63">
        <v>12.7</v>
      </c>
      <c r="BJ63">
        <v>11.087999999999999</v>
      </c>
      <c r="BK63">
        <v>0</v>
      </c>
      <c r="BL63">
        <v>11</v>
      </c>
      <c r="BM63">
        <v>6</v>
      </c>
      <c r="BN63">
        <v>19</v>
      </c>
      <c r="BO63">
        <v>184.8</v>
      </c>
      <c r="BP63">
        <f t="shared" si="10"/>
        <v>-165.8</v>
      </c>
      <c r="BQ63">
        <v>248</v>
      </c>
      <c r="BR63">
        <f t="shared" si="11"/>
        <v>-229</v>
      </c>
      <c r="BS63">
        <v>48.90625</v>
      </c>
      <c r="BT63">
        <v>1.754436667</v>
      </c>
      <c r="BU63">
        <v>7.4645801799999996</v>
      </c>
      <c r="BV63">
        <v>-48.90625</v>
      </c>
      <c r="BW63">
        <v>1.754436667</v>
      </c>
      <c r="BX63">
        <v>7.4645801799999996</v>
      </c>
      <c r="BY63" t="s">
        <v>114</v>
      </c>
      <c r="BZ63" t="s">
        <v>114</v>
      </c>
      <c r="CA63" t="s">
        <v>114</v>
      </c>
      <c r="CB63" t="s">
        <v>114</v>
      </c>
      <c r="CC63" t="s">
        <v>114</v>
      </c>
      <c r="CD63" t="s">
        <v>114</v>
      </c>
      <c r="CE63">
        <v>1.9278440699999999</v>
      </c>
      <c r="CF63" t="s">
        <v>114</v>
      </c>
      <c r="CG63">
        <v>1.9278440699999999</v>
      </c>
      <c r="CH63">
        <v>48.90625</v>
      </c>
      <c r="CI63">
        <v>1.754436667</v>
      </c>
      <c r="CJ63">
        <v>7.4645801799999996</v>
      </c>
      <c r="CK63">
        <v>1.9278440699999999</v>
      </c>
      <c r="CL63">
        <v>-48.90625</v>
      </c>
      <c r="CM63">
        <v>1.754436667</v>
      </c>
      <c r="CN63">
        <v>7.4645801799999996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1.9278440699999999</v>
      </c>
    </row>
    <row r="64" spans="1:101" x14ac:dyDescent="0.25">
      <c r="A64" t="s">
        <v>57</v>
      </c>
      <c r="B64">
        <v>12</v>
      </c>
      <c r="C64" t="s">
        <v>27</v>
      </c>
      <c r="D64" t="s">
        <v>94</v>
      </c>
      <c r="E64" t="s">
        <v>105</v>
      </c>
      <c r="F64" t="s">
        <v>145</v>
      </c>
      <c r="G64" t="s">
        <v>266</v>
      </c>
      <c r="H64" t="str">
        <f t="shared" si="0"/>
        <v>H.glabra.Highcomp.Open</v>
      </c>
      <c r="I64" t="s">
        <v>686</v>
      </c>
      <c r="J64" t="s">
        <v>338</v>
      </c>
      <c r="K64">
        <v>8</v>
      </c>
      <c r="L64">
        <v>40</v>
      </c>
      <c r="M64">
        <v>30</v>
      </c>
      <c r="N64">
        <v>40</v>
      </c>
      <c r="O64">
        <f t="shared" si="3"/>
        <v>10</v>
      </c>
      <c r="P64">
        <v>80</v>
      </c>
      <c r="Q64">
        <v>80</v>
      </c>
      <c r="R64">
        <v>65</v>
      </c>
      <c r="S64">
        <f t="shared" si="4"/>
        <v>72.5</v>
      </c>
      <c r="T64">
        <f t="shared" si="5"/>
        <v>1.8125</v>
      </c>
      <c r="V64" t="s">
        <v>121</v>
      </c>
      <c r="W64" t="s">
        <v>114</v>
      </c>
      <c r="X64">
        <v>13</v>
      </c>
      <c r="Y64">
        <v>10</v>
      </c>
      <c r="Z64">
        <v>12</v>
      </c>
      <c r="AA64">
        <v>11.66666667</v>
      </c>
      <c r="AB64">
        <v>11.66666667</v>
      </c>
      <c r="AC64">
        <v>11</v>
      </c>
      <c r="AD64">
        <v>11</v>
      </c>
      <c r="AE64">
        <v>10.5</v>
      </c>
      <c r="AF64">
        <v>10.83333333</v>
      </c>
      <c r="AG64">
        <v>13.5</v>
      </c>
      <c r="AH64">
        <v>12</v>
      </c>
      <c r="AI64">
        <v>13.9</v>
      </c>
      <c r="AJ64">
        <v>13.133333329999999</v>
      </c>
      <c r="AK64">
        <v>9.5</v>
      </c>
      <c r="AL64">
        <v>12</v>
      </c>
      <c r="AM64">
        <v>10.5</v>
      </c>
      <c r="AN64">
        <v>10.66666667</v>
      </c>
      <c r="AO64">
        <v>13.133333329999999</v>
      </c>
      <c r="AP64">
        <v>4.0999999999999996</v>
      </c>
      <c r="AQ64">
        <v>5.6</v>
      </c>
      <c r="AR64">
        <v>5.6</v>
      </c>
      <c r="AS64">
        <v>5.0999999999999996</v>
      </c>
      <c r="AT64">
        <v>4.5999999999999996</v>
      </c>
      <c r="AU64">
        <v>4.5999999999999996</v>
      </c>
      <c r="AV64">
        <v>5.6</v>
      </c>
      <c r="AW64">
        <v>4.9333333330000002</v>
      </c>
      <c r="AX64">
        <v>5.0999999999999996</v>
      </c>
      <c r="AY64">
        <v>-6.5666666669999998</v>
      </c>
      <c r="AZ64">
        <v>50</v>
      </c>
      <c r="BA64">
        <v>0</v>
      </c>
      <c r="BB64">
        <v>0</v>
      </c>
      <c r="BC64">
        <v>20</v>
      </c>
      <c r="BD64">
        <v>1</v>
      </c>
      <c r="BE64">
        <v>0</v>
      </c>
      <c r="BF64">
        <v>0</v>
      </c>
      <c r="BG64">
        <v>0</v>
      </c>
      <c r="BI64">
        <v>20.9</v>
      </c>
      <c r="BJ64">
        <v>21.853999999999999</v>
      </c>
      <c r="BK64">
        <v>0</v>
      </c>
      <c r="BL64">
        <v>6</v>
      </c>
      <c r="BM64">
        <v>6</v>
      </c>
      <c r="BN64">
        <v>285</v>
      </c>
      <c r="BO64">
        <v>308.33330000000001</v>
      </c>
      <c r="BP64">
        <f t="shared" si="10"/>
        <v>-23.333300000000008</v>
      </c>
      <c r="BQ64">
        <v>506</v>
      </c>
      <c r="BR64">
        <f t="shared" si="11"/>
        <v>-221</v>
      </c>
      <c r="BS64">
        <v>23.6848919966667</v>
      </c>
      <c r="BT64">
        <v>0.346602517666667</v>
      </c>
      <c r="BU64">
        <v>15.7891487933333</v>
      </c>
      <c r="BV64">
        <v>-22.545588516666701</v>
      </c>
      <c r="BW64">
        <v>0.346602517666667</v>
      </c>
      <c r="BX64">
        <v>12.6202837533333</v>
      </c>
      <c r="BY64">
        <v>377.27001256239299</v>
      </c>
      <c r="BZ64">
        <v>2.6613327495652401E-4</v>
      </c>
      <c r="CA64">
        <v>104.921508738436</v>
      </c>
      <c r="CB64">
        <v>456.275833558763</v>
      </c>
      <c r="CC64">
        <v>2.6613327495652401E-4</v>
      </c>
      <c r="CD64">
        <v>239.959995143491</v>
      </c>
      <c r="CE64">
        <v>1.74489932</v>
      </c>
      <c r="CF64">
        <v>2.3673132592295702E-2</v>
      </c>
      <c r="CG64">
        <v>1.6831783762500001</v>
      </c>
      <c r="CH64">
        <v>32.97811831125</v>
      </c>
      <c r="CI64">
        <v>0.342437076625</v>
      </c>
      <c r="CJ64">
        <v>8.8917417724999996</v>
      </c>
      <c r="CK64">
        <v>1.6831783762500001</v>
      </c>
      <c r="CL64">
        <v>-32.550879506249998</v>
      </c>
      <c r="CM64">
        <v>0.342437076625</v>
      </c>
      <c r="CN64">
        <v>1.7617954325</v>
      </c>
      <c r="CO64">
        <v>9.3759635274380804E-3</v>
      </c>
      <c r="CP64">
        <v>167.01249867547099</v>
      </c>
      <c r="CQ64" s="4">
        <v>8.7935837922390603E-5</v>
      </c>
      <c r="CR64">
        <v>62.599898687124004</v>
      </c>
      <c r="CS64">
        <v>9.3759635274380804E-3</v>
      </c>
      <c r="CT64">
        <v>199.008533784495</v>
      </c>
      <c r="CU64" s="4">
        <v>8.7935837922390603E-5</v>
      </c>
      <c r="CV64">
        <v>149.410354233231</v>
      </c>
      <c r="CW64">
        <v>1.74489932</v>
      </c>
    </row>
    <row r="65" spans="1:101" x14ac:dyDescent="0.25">
      <c r="A65" t="s">
        <v>57</v>
      </c>
      <c r="B65">
        <v>12</v>
      </c>
      <c r="C65" t="s">
        <v>27</v>
      </c>
      <c r="D65" t="s">
        <v>94</v>
      </c>
      <c r="E65" t="s">
        <v>113</v>
      </c>
      <c r="F65" t="s">
        <v>145</v>
      </c>
      <c r="G65" t="s">
        <v>259</v>
      </c>
      <c r="H65" t="str">
        <f t="shared" si="0"/>
        <v>H.glutinosum.Highcomp.Open</v>
      </c>
      <c r="I65" t="s">
        <v>692</v>
      </c>
      <c r="J65" t="s">
        <v>339</v>
      </c>
      <c r="K65" t="s">
        <v>114</v>
      </c>
      <c r="L65">
        <v>40</v>
      </c>
      <c r="M65">
        <v>65</v>
      </c>
      <c r="N65">
        <v>40</v>
      </c>
      <c r="O65">
        <f t="shared" si="3"/>
        <v>-25</v>
      </c>
      <c r="P65">
        <v>8</v>
      </c>
      <c r="Q65">
        <v>10</v>
      </c>
      <c r="R65">
        <v>2</v>
      </c>
      <c r="S65">
        <f t="shared" si="4"/>
        <v>6</v>
      </c>
      <c r="T65">
        <f t="shared" si="5"/>
        <v>0.15</v>
      </c>
      <c r="V65" t="s">
        <v>121</v>
      </c>
      <c r="W65" t="s">
        <v>114</v>
      </c>
      <c r="X65" t="s">
        <v>114</v>
      </c>
      <c r="Y65" t="s">
        <v>114</v>
      </c>
      <c r="Z65" t="s">
        <v>114</v>
      </c>
      <c r="AA65" t="s">
        <v>114</v>
      </c>
      <c r="AB65" t="s">
        <v>114</v>
      </c>
      <c r="AC65" t="s">
        <v>114</v>
      </c>
      <c r="AD65" t="s">
        <v>114</v>
      </c>
      <c r="AE65" t="s">
        <v>114</v>
      </c>
      <c r="AF65" t="s">
        <v>114</v>
      </c>
      <c r="AG65">
        <v>13.5</v>
      </c>
      <c r="AH65">
        <v>12</v>
      </c>
      <c r="AI65">
        <v>13.9</v>
      </c>
      <c r="AJ65">
        <v>13.133333329999999</v>
      </c>
      <c r="AK65">
        <v>11</v>
      </c>
      <c r="AL65">
        <v>8.5</v>
      </c>
      <c r="AM65">
        <v>13.5</v>
      </c>
      <c r="AN65">
        <v>11</v>
      </c>
      <c r="AO65">
        <v>13.133333329999999</v>
      </c>
      <c r="AP65">
        <v>4.0999999999999996</v>
      </c>
      <c r="AQ65">
        <v>5.6</v>
      </c>
      <c r="AR65">
        <v>5.6</v>
      </c>
      <c r="AS65">
        <v>5.0999999999999996</v>
      </c>
      <c r="AT65">
        <v>5.6</v>
      </c>
      <c r="AU65">
        <v>6.1</v>
      </c>
      <c r="AV65">
        <v>7.1</v>
      </c>
      <c r="AW65">
        <v>6.266666667</v>
      </c>
      <c r="AX65">
        <v>5.0999999999999996</v>
      </c>
      <c r="AY65" t="s">
        <v>114</v>
      </c>
      <c r="AZ65">
        <v>50</v>
      </c>
      <c r="BA65">
        <v>0</v>
      </c>
      <c r="BB65">
        <v>0</v>
      </c>
      <c r="BC65">
        <v>20</v>
      </c>
      <c r="BD65">
        <v>1</v>
      </c>
      <c r="BE65">
        <v>0</v>
      </c>
      <c r="BF65">
        <v>0</v>
      </c>
      <c r="BG65">
        <v>0</v>
      </c>
      <c r="BH65" t="s">
        <v>119</v>
      </c>
      <c r="BI65">
        <v>20.9</v>
      </c>
      <c r="BJ65">
        <v>21.853999999999999</v>
      </c>
      <c r="BK65">
        <v>0</v>
      </c>
      <c r="BL65">
        <v>1</v>
      </c>
      <c r="BM65">
        <v>1</v>
      </c>
      <c r="BN65">
        <v>5</v>
      </c>
      <c r="BO65">
        <v>2.75</v>
      </c>
      <c r="BP65">
        <f t="shared" si="10"/>
        <v>2.25</v>
      </c>
      <c r="BQ65">
        <v>9</v>
      </c>
      <c r="BR65">
        <f t="shared" si="11"/>
        <v>-4</v>
      </c>
      <c r="BS65" t="s">
        <v>114</v>
      </c>
      <c r="BT65" t="s">
        <v>114</v>
      </c>
      <c r="BU65" t="s">
        <v>114</v>
      </c>
      <c r="BV65" t="s">
        <v>114</v>
      </c>
      <c r="BW65" t="s">
        <v>114</v>
      </c>
      <c r="BX65" t="s">
        <v>114</v>
      </c>
      <c r="BY65" t="s">
        <v>114</v>
      </c>
      <c r="BZ65" t="s">
        <v>114</v>
      </c>
      <c r="CA65" t="s">
        <v>114</v>
      </c>
      <c r="CB65" t="s">
        <v>114</v>
      </c>
      <c r="CC65" t="s">
        <v>114</v>
      </c>
      <c r="CD65" t="s">
        <v>114</v>
      </c>
      <c r="CE65" t="s">
        <v>114</v>
      </c>
      <c r="CF65" t="s">
        <v>114</v>
      </c>
      <c r="CG65" t="s">
        <v>114</v>
      </c>
      <c r="CH65" t="s">
        <v>114</v>
      </c>
      <c r="CI65" t="s">
        <v>114</v>
      </c>
      <c r="CJ65" t="s">
        <v>114</v>
      </c>
      <c r="CK65" t="s">
        <v>114</v>
      </c>
      <c r="CL65" t="s">
        <v>114</v>
      </c>
      <c r="CM65" t="s">
        <v>114</v>
      </c>
      <c r="CN65" t="s">
        <v>114</v>
      </c>
      <c r="CO65" t="s">
        <v>114</v>
      </c>
      <c r="CP65" t="s">
        <v>114</v>
      </c>
      <c r="CQ65" t="s">
        <v>114</v>
      </c>
      <c r="CR65" t="s">
        <v>114</v>
      </c>
      <c r="CS65" t="s">
        <v>114</v>
      </c>
      <c r="CT65" t="s">
        <v>114</v>
      </c>
      <c r="CU65" t="s">
        <v>114</v>
      </c>
      <c r="CV65" t="s">
        <v>114</v>
      </c>
      <c r="CW65" t="s">
        <v>114</v>
      </c>
    </row>
    <row r="66" spans="1:101" x14ac:dyDescent="0.25">
      <c r="A66" t="s">
        <v>57</v>
      </c>
      <c r="B66">
        <v>12</v>
      </c>
      <c r="C66" t="s">
        <v>27</v>
      </c>
      <c r="D66" t="s">
        <v>94</v>
      </c>
      <c r="E66" t="s">
        <v>112</v>
      </c>
      <c r="F66" t="s">
        <v>145</v>
      </c>
      <c r="G66" t="s">
        <v>261</v>
      </c>
      <c r="H66" t="str">
        <f t="shared" ref="H66:H129" si="12">G66&amp;"."&amp;D66</f>
        <v>V.rosea.Highcomp.Open</v>
      </c>
      <c r="I66" t="s">
        <v>688</v>
      </c>
      <c r="J66" t="s">
        <v>340</v>
      </c>
      <c r="K66">
        <v>3</v>
      </c>
      <c r="L66">
        <v>35</v>
      </c>
      <c r="M66">
        <v>100</v>
      </c>
      <c r="N66">
        <v>35</v>
      </c>
      <c r="O66">
        <f t="shared" si="3"/>
        <v>-65</v>
      </c>
      <c r="P66">
        <v>45</v>
      </c>
      <c r="Q66">
        <v>120</v>
      </c>
      <c r="R66">
        <v>95</v>
      </c>
      <c r="S66">
        <f t="shared" si="4"/>
        <v>107.5</v>
      </c>
      <c r="T66">
        <f t="shared" si="5"/>
        <v>3.0714285714285716</v>
      </c>
      <c r="V66" t="s">
        <v>112</v>
      </c>
      <c r="W66">
        <v>55</v>
      </c>
      <c r="X66">
        <v>13</v>
      </c>
      <c r="Y66">
        <v>10</v>
      </c>
      <c r="Z66">
        <v>12</v>
      </c>
      <c r="AA66">
        <v>11.66666667</v>
      </c>
      <c r="AB66">
        <v>11.66666667</v>
      </c>
      <c r="AC66">
        <v>11</v>
      </c>
      <c r="AD66">
        <v>11.5</v>
      </c>
      <c r="AE66">
        <v>8.5</v>
      </c>
      <c r="AF66">
        <v>10.33333333</v>
      </c>
      <c r="AG66">
        <v>13.5</v>
      </c>
      <c r="AH66">
        <v>12</v>
      </c>
      <c r="AI66">
        <v>13.9</v>
      </c>
      <c r="AJ66">
        <v>13.133333329999999</v>
      </c>
      <c r="AK66">
        <v>13</v>
      </c>
      <c r="AL66">
        <v>11</v>
      </c>
      <c r="AM66">
        <v>12</v>
      </c>
      <c r="AN66">
        <v>12</v>
      </c>
      <c r="AO66">
        <v>13.133333329999999</v>
      </c>
      <c r="AP66">
        <v>4.0999999999999996</v>
      </c>
      <c r="AQ66">
        <v>5.6</v>
      </c>
      <c r="AR66">
        <v>5.6</v>
      </c>
      <c r="AS66">
        <v>5.0999999999999996</v>
      </c>
      <c r="AT66">
        <v>6.1</v>
      </c>
      <c r="AU66">
        <v>6.6</v>
      </c>
      <c r="AV66">
        <v>5.6</v>
      </c>
      <c r="AW66">
        <v>6.1</v>
      </c>
      <c r="AX66">
        <v>5.0999999999999996</v>
      </c>
      <c r="AY66">
        <v>-6.5666666669999998</v>
      </c>
      <c r="AZ66">
        <v>50</v>
      </c>
      <c r="BA66">
        <v>0</v>
      </c>
      <c r="BB66">
        <v>0</v>
      </c>
      <c r="BC66">
        <v>20</v>
      </c>
      <c r="BD66">
        <v>1</v>
      </c>
      <c r="BE66">
        <v>0</v>
      </c>
      <c r="BF66">
        <v>0</v>
      </c>
      <c r="BG66">
        <v>0</v>
      </c>
      <c r="BI66">
        <v>20.9</v>
      </c>
      <c r="BJ66">
        <v>21.853999999999999</v>
      </c>
      <c r="BK66">
        <v>0</v>
      </c>
      <c r="BL66">
        <v>73</v>
      </c>
      <c r="BM66">
        <v>22</v>
      </c>
      <c r="BN66">
        <v>95</v>
      </c>
      <c r="BO66">
        <v>184.8</v>
      </c>
      <c r="BP66">
        <f t="shared" si="10"/>
        <v>-89.800000000000011</v>
      </c>
      <c r="BQ66">
        <v>74</v>
      </c>
      <c r="BR66">
        <f t="shared" si="11"/>
        <v>21</v>
      </c>
      <c r="BS66">
        <v>0.34864739</v>
      </c>
      <c r="BT66">
        <v>1.1034737214999999</v>
      </c>
      <c r="BU66">
        <v>7.4750802949999997</v>
      </c>
      <c r="BV66">
        <v>-0.34864739</v>
      </c>
      <c r="BW66">
        <v>1.1034737214999999</v>
      </c>
      <c r="BX66">
        <v>7.4750802949999997</v>
      </c>
      <c r="BY66">
        <v>0.24311000510762401</v>
      </c>
      <c r="BZ66">
        <v>2.43530850808212</v>
      </c>
      <c r="CA66">
        <v>111.753650833395</v>
      </c>
      <c r="CB66">
        <v>0.24311000510762401</v>
      </c>
      <c r="CC66">
        <v>2.43530850808212</v>
      </c>
      <c r="CD66">
        <v>111.753650833395</v>
      </c>
      <c r="CE66">
        <v>1.0191604249999999</v>
      </c>
      <c r="CF66">
        <v>2.0773759437723598</v>
      </c>
      <c r="CG66">
        <v>0.67944028333333295</v>
      </c>
      <c r="CH66">
        <v>0.23243159333333299</v>
      </c>
      <c r="CI66">
        <v>0.735649147666667</v>
      </c>
      <c r="CJ66">
        <v>4.9833868633333296</v>
      </c>
      <c r="CK66">
        <v>0.67944028333333295</v>
      </c>
      <c r="CL66">
        <v>-0.23243159333333299</v>
      </c>
      <c r="CM66">
        <v>0.735649147666667</v>
      </c>
      <c r="CN66">
        <v>4.9833868633333296</v>
      </c>
      <c r="CO66">
        <v>1.3849172958482401</v>
      </c>
      <c r="CP66">
        <v>0.16207333673841601</v>
      </c>
      <c r="CQ66">
        <v>1.62353900538808</v>
      </c>
      <c r="CR66">
        <v>74.502433888929701</v>
      </c>
      <c r="CS66">
        <v>1.3849172958482401</v>
      </c>
      <c r="CT66">
        <v>0.16207333673841601</v>
      </c>
      <c r="CU66">
        <v>1.62353900538808</v>
      </c>
      <c r="CV66">
        <v>74.502433888929701</v>
      </c>
      <c r="CW66">
        <v>1.0191604249999999</v>
      </c>
    </row>
    <row r="67" spans="1:101" x14ac:dyDescent="0.25">
      <c r="A67" t="s">
        <v>58</v>
      </c>
      <c r="B67">
        <v>12</v>
      </c>
      <c r="C67" t="s">
        <v>29</v>
      </c>
      <c r="D67" t="s">
        <v>95</v>
      </c>
      <c r="E67" t="s">
        <v>102</v>
      </c>
      <c r="F67" t="s">
        <v>145</v>
      </c>
      <c r="G67" t="s">
        <v>265</v>
      </c>
      <c r="H67" t="str">
        <f t="shared" si="12"/>
        <v>A.calendula.Highcomp.Shade</v>
      </c>
      <c r="I67" t="s">
        <v>689</v>
      </c>
      <c r="J67" t="s">
        <v>341</v>
      </c>
      <c r="K67">
        <v>2</v>
      </c>
      <c r="L67">
        <v>200</v>
      </c>
      <c r="M67">
        <v>85</v>
      </c>
      <c r="N67">
        <v>200</v>
      </c>
      <c r="O67">
        <f t="shared" ref="O67:O130" si="13">N67-M67</f>
        <v>115</v>
      </c>
      <c r="P67">
        <v>220</v>
      </c>
      <c r="Q67">
        <v>220</v>
      </c>
      <c r="R67">
        <v>160</v>
      </c>
      <c r="S67">
        <f t="shared" ref="S67:S130" si="14">AVERAGE(Q67:R67)</f>
        <v>190</v>
      </c>
      <c r="T67">
        <f t="shared" ref="T67:T130" si="15">S67/N67</f>
        <v>0.95</v>
      </c>
      <c r="V67" t="s">
        <v>104</v>
      </c>
      <c r="W67">
        <v>100</v>
      </c>
      <c r="X67">
        <v>13</v>
      </c>
      <c r="Y67">
        <v>12.5</v>
      </c>
      <c r="Z67">
        <v>10.5</v>
      </c>
      <c r="AA67">
        <v>12</v>
      </c>
      <c r="AB67">
        <v>12</v>
      </c>
      <c r="AC67">
        <v>13.9</v>
      </c>
      <c r="AD67">
        <v>12</v>
      </c>
      <c r="AE67">
        <v>14.9</v>
      </c>
      <c r="AF67">
        <v>13.6</v>
      </c>
      <c r="AG67">
        <v>13.5</v>
      </c>
      <c r="AH67">
        <v>13</v>
      </c>
      <c r="AI67">
        <v>12</v>
      </c>
      <c r="AJ67">
        <v>12.83333333</v>
      </c>
      <c r="AK67">
        <v>14.4</v>
      </c>
      <c r="AL67">
        <v>15.4</v>
      </c>
      <c r="AM67">
        <v>15.4</v>
      </c>
      <c r="AN67">
        <v>15.06666667</v>
      </c>
      <c r="AO67">
        <v>12.83333333</v>
      </c>
      <c r="AP67">
        <v>4.5999999999999996</v>
      </c>
      <c r="AQ67">
        <v>5.6</v>
      </c>
      <c r="AR67">
        <v>4.9000000000000004</v>
      </c>
      <c r="AS67">
        <v>5.0333333329999999</v>
      </c>
      <c r="AT67">
        <v>3.9</v>
      </c>
      <c r="AU67">
        <v>5.3</v>
      </c>
      <c r="AV67">
        <v>5.6</v>
      </c>
      <c r="AW67">
        <v>4.9333333330000002</v>
      </c>
      <c r="AX67">
        <v>5.0333333329999999</v>
      </c>
      <c r="AY67">
        <v>-6.9666666670000001</v>
      </c>
      <c r="AZ67">
        <v>60</v>
      </c>
      <c r="BA67">
        <v>0</v>
      </c>
      <c r="BB67">
        <v>10</v>
      </c>
      <c r="BC67">
        <v>10</v>
      </c>
      <c r="BD67">
        <v>1</v>
      </c>
      <c r="BE67">
        <v>1</v>
      </c>
      <c r="BF67">
        <v>0</v>
      </c>
      <c r="BG67">
        <v>0</v>
      </c>
      <c r="BI67">
        <v>14.9</v>
      </c>
      <c r="BJ67">
        <v>43.93</v>
      </c>
      <c r="BK67">
        <v>0</v>
      </c>
      <c r="BL67">
        <v>30</v>
      </c>
      <c r="BM67">
        <v>30</v>
      </c>
      <c r="BN67">
        <v>965</v>
      </c>
      <c r="BO67">
        <v>545.5</v>
      </c>
      <c r="BP67">
        <f t="shared" si="10"/>
        <v>419.5</v>
      </c>
      <c r="BQ67">
        <v>171</v>
      </c>
      <c r="BR67">
        <f t="shared" si="11"/>
        <v>794</v>
      </c>
      <c r="BS67">
        <v>32.35300926</v>
      </c>
      <c r="BT67">
        <v>0.75796250750000005</v>
      </c>
      <c r="BU67">
        <v>2.8559647799999999</v>
      </c>
      <c r="BV67">
        <v>-32.35300926</v>
      </c>
      <c r="BW67">
        <v>-0.55135249249999996</v>
      </c>
      <c r="BX67">
        <v>-2.8559647799999999</v>
      </c>
      <c r="BY67">
        <v>19.923828125</v>
      </c>
      <c r="BZ67">
        <v>0.60797914197192504</v>
      </c>
      <c r="CA67">
        <v>3.6586678768496799</v>
      </c>
      <c r="CB67">
        <v>19.923828125</v>
      </c>
      <c r="CC67">
        <v>1.1490143255513801</v>
      </c>
      <c r="CD67">
        <v>3.6586678768496799</v>
      </c>
      <c r="CE67" t="s">
        <v>114</v>
      </c>
      <c r="CF67" t="s">
        <v>114</v>
      </c>
      <c r="CG67" t="s">
        <v>114</v>
      </c>
      <c r="CH67">
        <v>32.35300926</v>
      </c>
      <c r="CI67">
        <v>0.75796250750000005</v>
      </c>
      <c r="CJ67">
        <v>2.8559647799999999</v>
      </c>
      <c r="CK67" t="s">
        <v>114</v>
      </c>
      <c r="CL67">
        <v>-32.35300926</v>
      </c>
      <c r="CM67">
        <v>-0.55135249249999996</v>
      </c>
      <c r="CN67">
        <v>-2.8559647799999999</v>
      </c>
      <c r="CO67" t="s">
        <v>114</v>
      </c>
      <c r="CP67">
        <v>19.923828125</v>
      </c>
      <c r="CQ67">
        <v>0.60797914197192504</v>
      </c>
      <c r="CR67">
        <v>3.6586678768496799</v>
      </c>
      <c r="CS67" t="s">
        <v>114</v>
      </c>
      <c r="CT67">
        <v>19.923828125</v>
      </c>
      <c r="CU67">
        <v>1.1490143255513801</v>
      </c>
      <c r="CV67">
        <v>3.6586678768496799</v>
      </c>
      <c r="CW67" t="s">
        <v>114</v>
      </c>
    </row>
    <row r="68" spans="1:101" x14ac:dyDescent="0.25">
      <c r="A68" t="s">
        <v>58</v>
      </c>
      <c r="B68">
        <v>12</v>
      </c>
      <c r="C68" t="s">
        <v>29</v>
      </c>
      <c r="D68" t="s">
        <v>95</v>
      </c>
      <c r="E68" t="s">
        <v>110</v>
      </c>
      <c r="F68" t="s">
        <v>145</v>
      </c>
      <c r="G68" t="s">
        <v>262</v>
      </c>
      <c r="H68" t="str">
        <f t="shared" si="12"/>
        <v>M.minima.Highcomp.Shade</v>
      </c>
      <c r="I68" t="s">
        <v>694</v>
      </c>
      <c r="J68" t="s">
        <v>342</v>
      </c>
      <c r="K68">
        <v>2</v>
      </c>
      <c r="L68">
        <v>80</v>
      </c>
      <c r="M68">
        <v>50</v>
      </c>
      <c r="N68">
        <v>80</v>
      </c>
      <c r="O68">
        <f t="shared" si="13"/>
        <v>30</v>
      </c>
      <c r="P68">
        <v>30</v>
      </c>
      <c r="Q68">
        <v>20</v>
      </c>
      <c r="R68">
        <v>15</v>
      </c>
      <c r="S68">
        <f t="shared" si="14"/>
        <v>17.5</v>
      </c>
      <c r="T68">
        <f t="shared" si="15"/>
        <v>0.21875</v>
      </c>
      <c r="V68" t="s">
        <v>121</v>
      </c>
      <c r="W68" t="s">
        <v>114</v>
      </c>
      <c r="X68">
        <v>13</v>
      </c>
      <c r="Y68">
        <v>12.5</v>
      </c>
      <c r="Z68">
        <v>10.5</v>
      </c>
      <c r="AA68">
        <v>12</v>
      </c>
      <c r="AB68">
        <v>12</v>
      </c>
      <c r="AC68">
        <v>11</v>
      </c>
      <c r="AD68">
        <v>13.5</v>
      </c>
      <c r="AE68">
        <v>14.4</v>
      </c>
      <c r="AF68">
        <v>12.96666667</v>
      </c>
      <c r="AG68">
        <v>13.5</v>
      </c>
      <c r="AH68">
        <v>13</v>
      </c>
      <c r="AI68">
        <v>12</v>
      </c>
      <c r="AJ68">
        <v>12.83333333</v>
      </c>
      <c r="AK68">
        <v>13.5</v>
      </c>
      <c r="AL68">
        <v>14.4</v>
      </c>
      <c r="AM68">
        <v>15.9</v>
      </c>
      <c r="AN68">
        <v>14.6</v>
      </c>
      <c r="AO68">
        <v>12.83333333</v>
      </c>
      <c r="AP68">
        <v>4.5999999999999996</v>
      </c>
      <c r="AQ68">
        <v>5.6</v>
      </c>
      <c r="AR68">
        <v>4.9000000000000004</v>
      </c>
      <c r="AS68">
        <v>5.0333333329999999</v>
      </c>
      <c r="AT68">
        <v>4.3</v>
      </c>
      <c r="AU68">
        <v>4.3</v>
      </c>
      <c r="AV68">
        <v>4.5999999999999996</v>
      </c>
      <c r="AW68">
        <v>4.4000000000000004</v>
      </c>
      <c r="AX68">
        <v>5.0333333329999999</v>
      </c>
      <c r="AY68">
        <v>-6.9666666670000001</v>
      </c>
      <c r="AZ68">
        <v>60</v>
      </c>
      <c r="BA68">
        <v>0</v>
      </c>
      <c r="BB68">
        <v>10</v>
      </c>
      <c r="BC68">
        <v>10</v>
      </c>
      <c r="BD68">
        <v>1</v>
      </c>
      <c r="BE68">
        <v>1</v>
      </c>
      <c r="BF68">
        <v>0</v>
      </c>
      <c r="BG68">
        <v>0</v>
      </c>
      <c r="BI68">
        <v>14.9</v>
      </c>
      <c r="BJ68">
        <v>43.93</v>
      </c>
      <c r="BK68">
        <v>1</v>
      </c>
      <c r="BL68">
        <v>0</v>
      </c>
      <c r="BM68">
        <v>0</v>
      </c>
      <c r="BN68">
        <v>0</v>
      </c>
      <c r="BO68">
        <v>9</v>
      </c>
      <c r="BP68">
        <f t="shared" si="10"/>
        <v>-9</v>
      </c>
      <c r="BQ68">
        <v>0</v>
      </c>
      <c r="BR68">
        <f t="shared" si="11"/>
        <v>0</v>
      </c>
      <c r="BS68">
        <v>37.09140318</v>
      </c>
      <c r="BT68">
        <v>0.22399584049999999</v>
      </c>
      <c r="BU68">
        <v>5.7412001500000001</v>
      </c>
      <c r="BV68">
        <v>-37.09140318</v>
      </c>
      <c r="BW68">
        <v>0.22399584049999999</v>
      </c>
      <c r="BX68">
        <v>5.7412001500000001</v>
      </c>
      <c r="BY68">
        <v>195.93000943078499</v>
      </c>
      <c r="BZ68">
        <v>1.15634005313751E-2</v>
      </c>
      <c r="CA68">
        <v>7.6661160337289704</v>
      </c>
      <c r="CB68">
        <v>195.93000943078499</v>
      </c>
      <c r="CC68">
        <v>1.15634005313751E-2</v>
      </c>
      <c r="CD68">
        <v>7.6661160337289704</v>
      </c>
      <c r="CE68" t="s">
        <v>114</v>
      </c>
      <c r="CF68" t="s">
        <v>114</v>
      </c>
      <c r="CG68" t="s">
        <v>114</v>
      </c>
      <c r="CH68">
        <v>37.09140318</v>
      </c>
      <c r="CI68">
        <v>0.22399584049999999</v>
      </c>
      <c r="CJ68">
        <v>5.7412001500000001</v>
      </c>
      <c r="CK68" t="s">
        <v>114</v>
      </c>
      <c r="CL68">
        <v>-37.09140318</v>
      </c>
      <c r="CM68">
        <v>0.22399584049999999</v>
      </c>
      <c r="CN68">
        <v>5.7412001500000001</v>
      </c>
      <c r="CO68" t="s">
        <v>114</v>
      </c>
      <c r="CP68">
        <v>195.93000943078499</v>
      </c>
      <c r="CQ68">
        <v>1.15634005313751E-2</v>
      </c>
      <c r="CR68">
        <v>7.6661160337289704</v>
      </c>
      <c r="CS68" t="s">
        <v>114</v>
      </c>
      <c r="CT68">
        <v>195.93000943078499</v>
      </c>
      <c r="CU68">
        <v>1.15634005313751E-2</v>
      </c>
      <c r="CV68">
        <v>7.6661160337289704</v>
      </c>
      <c r="CW68" t="s">
        <v>114</v>
      </c>
    </row>
    <row r="69" spans="1:101" x14ac:dyDescent="0.25">
      <c r="A69" t="s">
        <v>58</v>
      </c>
      <c r="B69">
        <v>12</v>
      </c>
      <c r="C69" t="s">
        <v>29</v>
      </c>
      <c r="D69" t="s">
        <v>95</v>
      </c>
      <c r="E69" t="s">
        <v>103</v>
      </c>
      <c r="F69" t="s">
        <v>145</v>
      </c>
      <c r="G69" t="s">
        <v>260</v>
      </c>
      <c r="H69" t="str">
        <f t="shared" si="12"/>
        <v>P.airoides.Highcomp.Shade</v>
      </c>
      <c r="I69" t="s">
        <v>683</v>
      </c>
      <c r="J69" t="s">
        <v>343</v>
      </c>
      <c r="K69">
        <v>2</v>
      </c>
      <c r="L69">
        <v>60</v>
      </c>
      <c r="M69">
        <v>75</v>
      </c>
      <c r="N69">
        <v>60</v>
      </c>
      <c r="O69">
        <f t="shared" si="13"/>
        <v>-15</v>
      </c>
      <c r="P69">
        <v>30</v>
      </c>
      <c r="Q69">
        <v>15</v>
      </c>
      <c r="R69">
        <v>12</v>
      </c>
      <c r="S69">
        <f t="shared" si="14"/>
        <v>13.5</v>
      </c>
      <c r="T69">
        <f t="shared" si="15"/>
        <v>0.22500000000000001</v>
      </c>
      <c r="V69" t="s">
        <v>121</v>
      </c>
      <c r="W69" t="s">
        <v>114</v>
      </c>
      <c r="X69">
        <v>13</v>
      </c>
      <c r="Y69">
        <v>12.5</v>
      </c>
      <c r="Z69">
        <v>10.5</v>
      </c>
      <c r="AA69">
        <v>12</v>
      </c>
      <c r="AB69">
        <v>12</v>
      </c>
      <c r="AC69">
        <v>12</v>
      </c>
      <c r="AD69">
        <v>12</v>
      </c>
      <c r="AE69">
        <v>12.5</v>
      </c>
      <c r="AF69">
        <v>12.16666667</v>
      </c>
      <c r="AG69">
        <v>13.5</v>
      </c>
      <c r="AH69">
        <v>13</v>
      </c>
      <c r="AI69">
        <v>12</v>
      </c>
      <c r="AJ69">
        <v>12.83333333</v>
      </c>
      <c r="AK69">
        <v>13</v>
      </c>
      <c r="AL69">
        <v>13.5</v>
      </c>
      <c r="AM69">
        <v>14.9</v>
      </c>
      <c r="AN69">
        <v>13.8</v>
      </c>
      <c r="AO69">
        <v>12.83333333</v>
      </c>
      <c r="AP69">
        <v>4.5999999999999996</v>
      </c>
      <c r="AQ69">
        <v>5.6</v>
      </c>
      <c r="AR69">
        <v>4.9000000000000004</v>
      </c>
      <c r="AS69">
        <v>5.0333333329999999</v>
      </c>
      <c r="AT69">
        <v>4.9000000000000004</v>
      </c>
      <c r="AU69">
        <v>5.3</v>
      </c>
      <c r="AV69">
        <v>5.6</v>
      </c>
      <c r="AW69">
        <v>5.266666667</v>
      </c>
      <c r="AX69">
        <v>5.0333333329999999</v>
      </c>
      <c r="AY69">
        <v>-6.9666666670000001</v>
      </c>
      <c r="AZ69">
        <v>60</v>
      </c>
      <c r="BA69">
        <v>0</v>
      </c>
      <c r="BB69">
        <v>10</v>
      </c>
      <c r="BC69">
        <v>10</v>
      </c>
      <c r="BD69">
        <v>1</v>
      </c>
      <c r="BE69">
        <v>1</v>
      </c>
      <c r="BF69">
        <v>0</v>
      </c>
      <c r="BG69">
        <v>0</v>
      </c>
      <c r="BI69">
        <v>14.9</v>
      </c>
      <c r="BJ69">
        <v>43.93</v>
      </c>
      <c r="BK69">
        <v>0</v>
      </c>
      <c r="BL69">
        <v>3</v>
      </c>
      <c r="BM69">
        <v>3</v>
      </c>
      <c r="BN69">
        <v>143</v>
      </c>
      <c r="BO69">
        <v>290.75</v>
      </c>
      <c r="BP69">
        <f t="shared" si="10"/>
        <v>-147.75</v>
      </c>
      <c r="BQ69">
        <v>289</v>
      </c>
      <c r="BR69">
        <f t="shared" si="11"/>
        <v>-146</v>
      </c>
      <c r="BS69">
        <v>13.708333335000001</v>
      </c>
      <c r="BT69">
        <v>4.47468065E-2</v>
      </c>
      <c r="BU69">
        <v>9.2889784300000002</v>
      </c>
      <c r="BV69">
        <v>13.708333335000001</v>
      </c>
      <c r="BW69">
        <v>-2.4741073499999999E-2</v>
      </c>
      <c r="BX69">
        <v>-8.4521592400000003</v>
      </c>
      <c r="BY69">
        <v>17.013888869444401</v>
      </c>
      <c r="BZ69">
        <v>1.2242414358648E-3</v>
      </c>
      <c r="CA69">
        <v>142.87799163663499</v>
      </c>
      <c r="CB69">
        <v>17.013888869444401</v>
      </c>
      <c r="CC69">
        <v>4.0045533838968797E-3</v>
      </c>
      <c r="CD69">
        <v>172.57024054601101</v>
      </c>
      <c r="CE69" t="s">
        <v>114</v>
      </c>
      <c r="CF69" t="s">
        <v>114</v>
      </c>
      <c r="CG69" t="s">
        <v>114</v>
      </c>
      <c r="CH69">
        <v>13.708333335000001</v>
      </c>
      <c r="CI69">
        <v>4.47468065E-2</v>
      </c>
      <c r="CJ69">
        <v>9.2889784300000002</v>
      </c>
      <c r="CK69" t="s">
        <v>114</v>
      </c>
      <c r="CL69">
        <v>13.708333335000001</v>
      </c>
      <c r="CM69">
        <v>-2.4741073499999999E-2</v>
      </c>
      <c r="CN69">
        <v>-8.4521592400000003</v>
      </c>
      <c r="CO69" t="s">
        <v>114</v>
      </c>
      <c r="CP69">
        <v>17.013888869444401</v>
      </c>
      <c r="CQ69">
        <v>1.2242414358648E-3</v>
      </c>
      <c r="CR69">
        <v>142.87799163663499</v>
      </c>
      <c r="CS69" t="s">
        <v>114</v>
      </c>
      <c r="CT69">
        <v>17.013888869444401</v>
      </c>
      <c r="CU69">
        <v>4.0045533838968797E-3</v>
      </c>
      <c r="CV69">
        <v>172.57024054601101</v>
      </c>
      <c r="CW69" t="s">
        <v>114</v>
      </c>
    </row>
    <row r="70" spans="1:101" x14ac:dyDescent="0.25">
      <c r="A70" t="s">
        <v>59</v>
      </c>
      <c r="B70">
        <v>12</v>
      </c>
      <c r="C70" t="s">
        <v>31</v>
      </c>
      <c r="D70" t="s">
        <v>94</v>
      </c>
      <c r="E70" t="s">
        <v>105</v>
      </c>
      <c r="F70" t="s">
        <v>145</v>
      </c>
      <c r="G70" t="s">
        <v>266</v>
      </c>
      <c r="H70" t="str">
        <f t="shared" si="12"/>
        <v>H.glabra.Highcomp.Open</v>
      </c>
      <c r="I70" t="s">
        <v>686</v>
      </c>
      <c r="J70" t="s">
        <v>344</v>
      </c>
      <c r="K70">
        <v>1</v>
      </c>
      <c r="L70">
        <v>80</v>
      </c>
      <c r="M70">
        <v>20</v>
      </c>
      <c r="N70">
        <v>80</v>
      </c>
      <c r="O70">
        <f t="shared" si="13"/>
        <v>60</v>
      </c>
      <c r="P70">
        <v>70</v>
      </c>
      <c r="Q70">
        <v>70</v>
      </c>
      <c r="R70">
        <v>60</v>
      </c>
      <c r="S70">
        <f t="shared" si="14"/>
        <v>65</v>
      </c>
      <c r="T70">
        <f t="shared" si="15"/>
        <v>0.8125</v>
      </c>
      <c r="V70" t="s">
        <v>121</v>
      </c>
      <c r="W70" t="s">
        <v>114</v>
      </c>
      <c r="X70">
        <v>18.399999999999999</v>
      </c>
      <c r="Y70">
        <v>19.8</v>
      </c>
      <c r="Z70">
        <v>20.3</v>
      </c>
      <c r="AA70">
        <v>19.5</v>
      </c>
      <c r="AB70">
        <v>19.5</v>
      </c>
      <c r="AC70">
        <v>14.9</v>
      </c>
      <c r="AD70">
        <v>17.899999999999999</v>
      </c>
      <c r="AE70">
        <v>17.899999999999999</v>
      </c>
      <c r="AF70">
        <v>16.899999999999999</v>
      </c>
      <c r="AG70">
        <v>10.5</v>
      </c>
      <c r="AH70">
        <v>18.399999999999999</v>
      </c>
      <c r="AI70">
        <v>16.899999999999999</v>
      </c>
      <c r="AJ70">
        <v>15.266666669999999</v>
      </c>
      <c r="AK70">
        <v>15.4</v>
      </c>
      <c r="AL70">
        <v>19.8</v>
      </c>
      <c r="AM70">
        <v>18.399999999999999</v>
      </c>
      <c r="AN70">
        <v>17.866666670000001</v>
      </c>
      <c r="AO70">
        <v>15.266666669999999</v>
      </c>
      <c r="AP70">
        <v>6.1</v>
      </c>
      <c r="AQ70">
        <v>5.6</v>
      </c>
      <c r="AR70">
        <v>7.1</v>
      </c>
      <c r="AS70">
        <v>6.266666667</v>
      </c>
      <c r="AT70">
        <v>5.0999999999999996</v>
      </c>
      <c r="AU70">
        <v>5.6</v>
      </c>
      <c r="AV70">
        <v>7.6</v>
      </c>
      <c r="AW70">
        <v>6.1</v>
      </c>
      <c r="AX70">
        <v>6.266666667</v>
      </c>
      <c r="AY70">
        <v>-13.233333330000001</v>
      </c>
      <c r="AZ70">
        <v>3</v>
      </c>
      <c r="BA70">
        <v>90</v>
      </c>
      <c r="BB70">
        <v>5</v>
      </c>
      <c r="BC70">
        <v>10</v>
      </c>
      <c r="BD70">
        <v>1</v>
      </c>
      <c r="BE70">
        <v>1</v>
      </c>
      <c r="BF70">
        <v>0</v>
      </c>
      <c r="BG70">
        <v>0</v>
      </c>
      <c r="BI70">
        <v>16.5</v>
      </c>
      <c r="BJ70">
        <v>1.4530000000000001</v>
      </c>
      <c r="BK70">
        <v>0</v>
      </c>
      <c r="BL70">
        <v>10</v>
      </c>
      <c r="BM70">
        <v>10</v>
      </c>
      <c r="BN70">
        <v>453</v>
      </c>
      <c r="BO70">
        <v>308.33330000000001</v>
      </c>
      <c r="BP70">
        <f t="shared" si="10"/>
        <v>144.66669999999999</v>
      </c>
      <c r="BQ70">
        <v>81</v>
      </c>
      <c r="BR70">
        <f t="shared" si="11"/>
        <v>372</v>
      </c>
      <c r="BS70">
        <v>46.5</v>
      </c>
      <c r="BT70">
        <v>0.117834331</v>
      </c>
      <c r="BU70">
        <v>17.50646339</v>
      </c>
      <c r="BV70">
        <v>-46.5</v>
      </c>
      <c r="BW70">
        <v>-0.117834331</v>
      </c>
      <c r="BX70">
        <v>17.50646339</v>
      </c>
      <c r="BY70" t="s">
        <v>114</v>
      </c>
      <c r="BZ70" t="s">
        <v>114</v>
      </c>
      <c r="CA70" t="s">
        <v>114</v>
      </c>
      <c r="CB70" t="s">
        <v>114</v>
      </c>
      <c r="CC70" t="s">
        <v>114</v>
      </c>
      <c r="CD70" t="s">
        <v>114</v>
      </c>
      <c r="CE70">
        <v>1.81170137</v>
      </c>
      <c r="CF70" t="s">
        <v>114</v>
      </c>
      <c r="CG70">
        <v>1.81170137</v>
      </c>
      <c r="CH70">
        <v>46.5</v>
      </c>
      <c r="CI70">
        <v>0.117834331</v>
      </c>
      <c r="CJ70">
        <v>17.50646339</v>
      </c>
      <c r="CK70">
        <v>1.81170137</v>
      </c>
      <c r="CL70">
        <v>-46.5</v>
      </c>
      <c r="CM70">
        <v>-0.117834331</v>
      </c>
      <c r="CN70">
        <v>17.50646339</v>
      </c>
      <c r="CO70" t="s">
        <v>114</v>
      </c>
      <c r="CP70" t="s">
        <v>114</v>
      </c>
      <c r="CQ70" t="s">
        <v>114</v>
      </c>
      <c r="CR70" t="s">
        <v>114</v>
      </c>
      <c r="CS70" t="s">
        <v>114</v>
      </c>
      <c r="CT70" t="s">
        <v>114</v>
      </c>
      <c r="CU70" t="s">
        <v>114</v>
      </c>
      <c r="CV70" t="s">
        <v>114</v>
      </c>
      <c r="CW70">
        <v>1.81170137</v>
      </c>
    </row>
    <row r="71" spans="1:101" x14ac:dyDescent="0.25">
      <c r="A71" t="s">
        <v>59</v>
      </c>
      <c r="B71">
        <v>12</v>
      </c>
      <c r="C71" t="s">
        <v>31</v>
      </c>
      <c r="D71" t="s">
        <v>94</v>
      </c>
      <c r="E71" t="s">
        <v>110</v>
      </c>
      <c r="F71" t="s">
        <v>145</v>
      </c>
      <c r="G71" t="s">
        <v>262</v>
      </c>
      <c r="H71" t="str">
        <f t="shared" si="12"/>
        <v>M.minima.Highcomp.Open</v>
      </c>
      <c r="I71" t="s">
        <v>695</v>
      </c>
      <c r="J71" t="s">
        <v>345</v>
      </c>
      <c r="K71">
        <v>2</v>
      </c>
      <c r="L71">
        <v>130</v>
      </c>
      <c r="M71">
        <v>130</v>
      </c>
      <c r="N71">
        <v>130</v>
      </c>
      <c r="O71">
        <f t="shared" si="13"/>
        <v>0</v>
      </c>
      <c r="P71">
        <v>10</v>
      </c>
      <c r="Q71">
        <v>80</v>
      </c>
      <c r="R71">
        <v>0</v>
      </c>
      <c r="S71">
        <f t="shared" si="14"/>
        <v>40</v>
      </c>
      <c r="T71">
        <f t="shared" si="15"/>
        <v>0.30769230769230771</v>
      </c>
      <c r="U71" t="s">
        <v>794</v>
      </c>
      <c r="V71" t="s">
        <v>121</v>
      </c>
      <c r="W71" t="s">
        <v>114</v>
      </c>
      <c r="X71">
        <v>18.399999999999999</v>
      </c>
      <c r="Y71">
        <v>19.8</v>
      </c>
      <c r="Z71">
        <v>20.3</v>
      </c>
      <c r="AA71">
        <v>19.5</v>
      </c>
      <c r="AB71">
        <v>19.5</v>
      </c>
      <c r="AC71">
        <v>17.899999999999999</v>
      </c>
      <c r="AD71">
        <v>17.899999999999999</v>
      </c>
      <c r="AE71">
        <v>14.9</v>
      </c>
      <c r="AF71">
        <v>16.899999999999999</v>
      </c>
      <c r="AG71">
        <v>10.5</v>
      </c>
      <c r="AH71">
        <v>18.399999999999999</v>
      </c>
      <c r="AI71">
        <v>16.899999999999999</v>
      </c>
      <c r="AJ71">
        <v>15.266666669999999</v>
      </c>
      <c r="AK71">
        <v>17.899999999999999</v>
      </c>
      <c r="AL71">
        <v>15.9</v>
      </c>
      <c r="AM71">
        <v>16.399999999999999</v>
      </c>
      <c r="AN71">
        <v>16.733333330000001</v>
      </c>
      <c r="AO71">
        <v>15.266666669999999</v>
      </c>
      <c r="AP71">
        <v>6.1</v>
      </c>
      <c r="AQ71">
        <v>5.6</v>
      </c>
      <c r="AR71">
        <v>7.1</v>
      </c>
      <c r="AS71">
        <v>6.266666667</v>
      </c>
      <c r="AT71">
        <v>5.6</v>
      </c>
      <c r="AU71">
        <v>4.5999999999999996</v>
      </c>
      <c r="AV71">
        <v>6.1</v>
      </c>
      <c r="AW71">
        <v>5.4333333330000002</v>
      </c>
      <c r="AX71">
        <v>6.266666667</v>
      </c>
      <c r="AY71">
        <v>-13.233333330000001</v>
      </c>
      <c r="AZ71">
        <v>3</v>
      </c>
      <c r="BA71">
        <v>90</v>
      </c>
      <c r="BB71">
        <v>5</v>
      </c>
      <c r="BC71">
        <v>10</v>
      </c>
      <c r="BD71">
        <v>1</v>
      </c>
      <c r="BE71">
        <v>1</v>
      </c>
      <c r="BF71">
        <v>0</v>
      </c>
      <c r="BG71">
        <v>0</v>
      </c>
      <c r="BI71">
        <v>16.5</v>
      </c>
      <c r="BJ71">
        <v>1.4530000000000001</v>
      </c>
      <c r="BK71">
        <v>0</v>
      </c>
      <c r="BL71">
        <v>10</v>
      </c>
      <c r="BM71">
        <v>8</v>
      </c>
      <c r="BN71">
        <v>8</v>
      </c>
      <c r="BO71">
        <v>8</v>
      </c>
      <c r="BP71">
        <f t="shared" si="10"/>
        <v>0</v>
      </c>
      <c r="BQ71">
        <v>9</v>
      </c>
      <c r="BR71">
        <f t="shared" si="11"/>
        <v>-1</v>
      </c>
      <c r="BS71">
        <v>40.739130430000003</v>
      </c>
      <c r="BT71">
        <v>0.52450222199999996</v>
      </c>
      <c r="BU71">
        <v>4.0230581299999999</v>
      </c>
      <c r="BV71">
        <v>-40.739130430000003</v>
      </c>
      <c r="BW71">
        <v>0.52450222199999996</v>
      </c>
      <c r="BX71">
        <v>4.0230581299999999</v>
      </c>
      <c r="BY71" t="s">
        <v>114</v>
      </c>
      <c r="BZ71" t="s">
        <v>114</v>
      </c>
      <c r="CA71" t="s">
        <v>114</v>
      </c>
      <c r="CB71" t="s">
        <v>114</v>
      </c>
      <c r="CC71" t="s">
        <v>114</v>
      </c>
      <c r="CD71" t="s">
        <v>114</v>
      </c>
      <c r="CE71">
        <v>0.62563736999999997</v>
      </c>
      <c r="CF71" t="s">
        <v>114</v>
      </c>
      <c r="CG71">
        <v>0.62563736999999997</v>
      </c>
      <c r="CH71">
        <v>40.739130430000003</v>
      </c>
      <c r="CI71">
        <v>0.52450222199999996</v>
      </c>
      <c r="CJ71">
        <v>4.0230581299999999</v>
      </c>
      <c r="CK71">
        <v>0.62563736999999997</v>
      </c>
      <c r="CL71">
        <v>-40.739130430000003</v>
      </c>
      <c r="CM71">
        <v>0.52450222199999996</v>
      </c>
      <c r="CN71">
        <v>4.0230581299999999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0.62563736999999997</v>
      </c>
    </row>
    <row r="72" spans="1:101" x14ac:dyDescent="0.25">
      <c r="A72" t="s">
        <v>60</v>
      </c>
      <c r="B72">
        <v>12</v>
      </c>
      <c r="C72" t="s">
        <v>33</v>
      </c>
      <c r="D72" t="s">
        <v>95</v>
      </c>
      <c r="E72" t="s">
        <v>102</v>
      </c>
      <c r="F72" t="s">
        <v>145</v>
      </c>
      <c r="G72" t="s">
        <v>265</v>
      </c>
      <c r="H72" t="str">
        <f t="shared" si="12"/>
        <v>A.calendula.Highcomp.Shade</v>
      </c>
      <c r="I72" t="s">
        <v>689</v>
      </c>
      <c r="J72" t="s">
        <v>346</v>
      </c>
      <c r="K72">
        <v>1</v>
      </c>
      <c r="L72">
        <v>130</v>
      </c>
      <c r="M72">
        <v>80</v>
      </c>
      <c r="N72">
        <v>130</v>
      </c>
      <c r="O72">
        <f t="shared" si="13"/>
        <v>50</v>
      </c>
      <c r="P72">
        <v>250</v>
      </c>
      <c r="Q72">
        <v>250</v>
      </c>
      <c r="R72">
        <v>90</v>
      </c>
      <c r="S72">
        <f t="shared" si="14"/>
        <v>170</v>
      </c>
      <c r="T72">
        <f t="shared" si="15"/>
        <v>1.3076923076923077</v>
      </c>
      <c r="V72" t="s">
        <v>104</v>
      </c>
      <c r="W72">
        <v>40</v>
      </c>
      <c r="X72">
        <v>13.5</v>
      </c>
      <c r="Y72">
        <v>11</v>
      </c>
      <c r="Z72">
        <v>12</v>
      </c>
      <c r="AA72">
        <v>12.16666667</v>
      </c>
      <c r="AB72">
        <v>12.16666667</v>
      </c>
      <c r="AC72">
        <v>12.5</v>
      </c>
      <c r="AD72">
        <v>12.5</v>
      </c>
      <c r="AE72">
        <v>13.5</v>
      </c>
      <c r="AF72">
        <v>12.83333333</v>
      </c>
      <c r="AG72">
        <v>17.899999999999999</v>
      </c>
      <c r="AH72">
        <v>17.5</v>
      </c>
      <c r="AI72">
        <v>14.4</v>
      </c>
      <c r="AJ72">
        <v>16.600000000000001</v>
      </c>
      <c r="AK72">
        <v>15.9</v>
      </c>
      <c r="AL72">
        <v>13</v>
      </c>
      <c r="AM72">
        <v>13.9</v>
      </c>
      <c r="AN72">
        <v>14.266666669999999</v>
      </c>
      <c r="AO72">
        <v>16.600000000000001</v>
      </c>
      <c r="AP72">
        <v>4.0999999999999996</v>
      </c>
      <c r="AQ72">
        <v>5.6</v>
      </c>
      <c r="AR72" t="s">
        <v>114</v>
      </c>
      <c r="AS72">
        <v>4.8499999999999996</v>
      </c>
      <c r="AT72">
        <v>3.1</v>
      </c>
      <c r="AU72">
        <v>5.0999999999999996</v>
      </c>
      <c r="AV72">
        <v>6.6</v>
      </c>
      <c r="AW72">
        <v>4.9333333330000002</v>
      </c>
      <c r="AX72">
        <v>4.8499999999999996</v>
      </c>
      <c r="AY72">
        <v>-7.3166666669999998</v>
      </c>
      <c r="AZ72">
        <v>45</v>
      </c>
      <c r="BA72">
        <v>2</v>
      </c>
      <c r="BB72">
        <v>2</v>
      </c>
      <c r="BC72">
        <v>15</v>
      </c>
      <c r="BD72">
        <v>1</v>
      </c>
      <c r="BE72">
        <v>1</v>
      </c>
      <c r="BF72">
        <v>0</v>
      </c>
      <c r="BG72">
        <v>0</v>
      </c>
      <c r="BI72">
        <v>14</v>
      </c>
      <c r="BJ72">
        <v>52.600999999999999</v>
      </c>
      <c r="BK72">
        <v>0</v>
      </c>
      <c r="BL72">
        <v>36</v>
      </c>
      <c r="BM72">
        <v>34</v>
      </c>
      <c r="BN72">
        <v>1247</v>
      </c>
      <c r="BO72">
        <v>545.5</v>
      </c>
      <c r="BP72">
        <f t="shared" si="10"/>
        <v>701.5</v>
      </c>
      <c r="BQ72">
        <v>352</v>
      </c>
      <c r="BR72">
        <f t="shared" si="11"/>
        <v>895</v>
      </c>
      <c r="BS72">
        <v>29.19675926</v>
      </c>
      <c r="BT72">
        <v>1.309315</v>
      </c>
      <c r="BU72">
        <v>4.2084935000000003</v>
      </c>
      <c r="BV72">
        <v>-29.19675926</v>
      </c>
      <c r="BW72">
        <v>-1.309315</v>
      </c>
      <c r="BX72">
        <v>-4.2084935000000003</v>
      </c>
      <c r="BY72" t="s">
        <v>114</v>
      </c>
      <c r="BZ72" t="s">
        <v>114</v>
      </c>
      <c r="CA72" t="s">
        <v>114</v>
      </c>
      <c r="CB72" t="s">
        <v>114</v>
      </c>
      <c r="CC72" t="s">
        <v>114</v>
      </c>
      <c r="CD72" t="s">
        <v>114</v>
      </c>
      <c r="CE72">
        <v>0.75022829999999996</v>
      </c>
      <c r="CF72" t="s">
        <v>114</v>
      </c>
      <c r="CG72">
        <v>0.75022829999999996</v>
      </c>
      <c r="CH72">
        <v>29.19675926</v>
      </c>
      <c r="CI72">
        <v>1.309315</v>
      </c>
      <c r="CJ72">
        <v>4.2084935000000003</v>
      </c>
      <c r="CK72">
        <v>0.75022829999999996</v>
      </c>
      <c r="CL72">
        <v>-29.19675926</v>
      </c>
      <c r="CM72">
        <v>-1.309315</v>
      </c>
      <c r="CN72">
        <v>-4.2084935000000003</v>
      </c>
      <c r="CO72" t="s">
        <v>114</v>
      </c>
      <c r="CP72" t="s">
        <v>114</v>
      </c>
      <c r="CQ72" t="s">
        <v>114</v>
      </c>
      <c r="CR72" t="s">
        <v>114</v>
      </c>
      <c r="CS72" t="s">
        <v>114</v>
      </c>
      <c r="CT72" t="s">
        <v>114</v>
      </c>
      <c r="CU72" t="s">
        <v>114</v>
      </c>
      <c r="CV72" t="s">
        <v>114</v>
      </c>
      <c r="CW72">
        <v>0.75022829999999996</v>
      </c>
    </row>
    <row r="73" spans="1:101" x14ac:dyDescent="0.25">
      <c r="A73" t="s">
        <v>60</v>
      </c>
      <c r="B73">
        <v>12</v>
      </c>
      <c r="C73" t="s">
        <v>33</v>
      </c>
      <c r="D73" t="s">
        <v>95</v>
      </c>
      <c r="E73" t="s">
        <v>110</v>
      </c>
      <c r="F73" t="s">
        <v>145</v>
      </c>
      <c r="G73" t="s">
        <v>262</v>
      </c>
      <c r="H73" t="str">
        <f t="shared" si="12"/>
        <v>M.minima.Highcomp.Shade</v>
      </c>
      <c r="I73" t="s">
        <v>694</v>
      </c>
      <c r="J73" t="s">
        <v>347</v>
      </c>
      <c r="K73">
        <v>4</v>
      </c>
      <c r="L73">
        <v>80</v>
      </c>
      <c r="M73">
        <v>120</v>
      </c>
      <c r="N73">
        <v>80</v>
      </c>
      <c r="O73">
        <f t="shared" si="13"/>
        <v>-40</v>
      </c>
      <c r="P73">
        <v>14</v>
      </c>
      <c r="Q73">
        <v>150</v>
      </c>
      <c r="R73">
        <v>20</v>
      </c>
      <c r="S73">
        <f t="shared" si="14"/>
        <v>85</v>
      </c>
      <c r="T73">
        <f t="shared" si="15"/>
        <v>1.0625</v>
      </c>
      <c r="U73" t="s">
        <v>794</v>
      </c>
      <c r="V73" t="s">
        <v>121</v>
      </c>
      <c r="W73" t="s">
        <v>114</v>
      </c>
      <c r="X73">
        <v>13.5</v>
      </c>
      <c r="Y73">
        <v>11</v>
      </c>
      <c r="Z73">
        <v>12</v>
      </c>
      <c r="AA73">
        <v>12.16666667</v>
      </c>
      <c r="AB73">
        <v>12.16666667</v>
      </c>
      <c r="AC73">
        <v>11</v>
      </c>
      <c r="AD73">
        <v>11.5</v>
      </c>
      <c r="AE73">
        <v>13</v>
      </c>
      <c r="AF73">
        <v>11.83333333</v>
      </c>
      <c r="AG73">
        <v>17.899999999999999</v>
      </c>
      <c r="AH73">
        <v>17.5</v>
      </c>
      <c r="AI73">
        <v>14.4</v>
      </c>
      <c r="AJ73">
        <v>16.600000000000001</v>
      </c>
      <c r="AK73">
        <v>14.9</v>
      </c>
      <c r="AL73">
        <v>15.9</v>
      </c>
      <c r="AM73">
        <v>13</v>
      </c>
      <c r="AN73">
        <v>14.6</v>
      </c>
      <c r="AO73">
        <v>16.600000000000001</v>
      </c>
      <c r="AP73">
        <v>4.0999999999999996</v>
      </c>
      <c r="AQ73">
        <v>5.6</v>
      </c>
      <c r="AR73" t="s">
        <v>114</v>
      </c>
      <c r="AS73">
        <v>4.8499999999999996</v>
      </c>
      <c r="AT73">
        <v>5.0999999999999996</v>
      </c>
      <c r="AU73">
        <v>5.0999999999999996</v>
      </c>
      <c r="AV73">
        <v>4.5999999999999996</v>
      </c>
      <c r="AW73">
        <v>4.9333333330000002</v>
      </c>
      <c r="AX73">
        <v>4.8499999999999996</v>
      </c>
      <c r="AY73">
        <v>-7.3166666669999998</v>
      </c>
      <c r="AZ73">
        <v>45</v>
      </c>
      <c r="BA73">
        <v>2</v>
      </c>
      <c r="BB73">
        <v>2</v>
      </c>
      <c r="BC73">
        <v>15</v>
      </c>
      <c r="BD73">
        <v>1</v>
      </c>
      <c r="BE73">
        <v>1</v>
      </c>
      <c r="BF73">
        <v>0</v>
      </c>
      <c r="BG73">
        <v>0</v>
      </c>
      <c r="BI73">
        <v>14</v>
      </c>
      <c r="BJ73">
        <v>52.600999999999999</v>
      </c>
      <c r="BK73">
        <v>0</v>
      </c>
      <c r="BL73">
        <v>14</v>
      </c>
      <c r="BM73">
        <v>14</v>
      </c>
      <c r="BN73">
        <v>14</v>
      </c>
      <c r="BO73">
        <v>9</v>
      </c>
      <c r="BP73">
        <f t="shared" si="10"/>
        <v>5</v>
      </c>
      <c r="BQ73">
        <v>9</v>
      </c>
      <c r="BR73">
        <f t="shared" si="11"/>
        <v>5</v>
      </c>
      <c r="BS73">
        <v>43.864130430000003</v>
      </c>
      <c r="BT73">
        <v>0.33623028500000002</v>
      </c>
      <c r="BU73">
        <v>3.903219285</v>
      </c>
      <c r="BV73">
        <v>-43.864130430000003</v>
      </c>
      <c r="BW73">
        <v>0.33623028500000002</v>
      </c>
      <c r="BX73">
        <v>3.903219285</v>
      </c>
      <c r="BY73">
        <v>19.53125</v>
      </c>
      <c r="BZ73">
        <v>7.0892644523463902E-2</v>
      </c>
      <c r="CA73">
        <v>2.8722697541868E-2</v>
      </c>
      <c r="CB73">
        <v>19.53125</v>
      </c>
      <c r="CC73">
        <v>7.0892644523463902E-2</v>
      </c>
      <c r="CD73">
        <v>2.8722697541868E-2</v>
      </c>
      <c r="CE73" t="s">
        <v>114</v>
      </c>
      <c r="CF73" t="s">
        <v>114</v>
      </c>
      <c r="CG73" t="s">
        <v>114</v>
      </c>
      <c r="CH73">
        <v>43.864130430000003</v>
      </c>
      <c r="CI73">
        <v>0.33623028500000002</v>
      </c>
      <c r="CJ73">
        <v>3.903219285</v>
      </c>
      <c r="CK73" t="s">
        <v>114</v>
      </c>
      <c r="CL73">
        <v>-43.864130430000003</v>
      </c>
      <c r="CM73">
        <v>0.33623028500000002</v>
      </c>
      <c r="CN73">
        <v>3.903219285</v>
      </c>
      <c r="CO73" t="s">
        <v>114</v>
      </c>
      <c r="CP73">
        <v>13.0208333333333</v>
      </c>
      <c r="CQ73">
        <v>4.7261763015642597E-2</v>
      </c>
      <c r="CR73">
        <v>1.9148465027911999E-2</v>
      </c>
      <c r="CS73" t="s">
        <v>114</v>
      </c>
      <c r="CT73">
        <v>13.0208333333333</v>
      </c>
      <c r="CU73">
        <v>4.7261763015642597E-2</v>
      </c>
      <c r="CV73">
        <v>1.9148465027911999E-2</v>
      </c>
      <c r="CW73" t="s">
        <v>114</v>
      </c>
    </row>
    <row r="74" spans="1:101" x14ac:dyDescent="0.25">
      <c r="A74" t="s">
        <v>60</v>
      </c>
      <c r="B74">
        <v>12</v>
      </c>
      <c r="C74" t="s">
        <v>33</v>
      </c>
      <c r="D74" t="s">
        <v>95</v>
      </c>
      <c r="E74" t="s">
        <v>104</v>
      </c>
      <c r="F74" t="s">
        <v>145</v>
      </c>
      <c r="G74" t="s">
        <v>264</v>
      </c>
      <c r="H74" t="str">
        <f t="shared" si="12"/>
        <v>T.cyanopetala.Highcomp.Shade</v>
      </c>
      <c r="I74" t="s">
        <v>685</v>
      </c>
      <c r="J74" t="s">
        <v>348</v>
      </c>
      <c r="K74">
        <v>5</v>
      </c>
      <c r="L74">
        <v>25</v>
      </c>
      <c r="M74">
        <v>40</v>
      </c>
      <c r="N74">
        <v>25</v>
      </c>
      <c r="O74">
        <f t="shared" si="13"/>
        <v>-15</v>
      </c>
      <c r="P74">
        <v>18</v>
      </c>
      <c r="Q74">
        <v>10</v>
      </c>
      <c r="R74">
        <v>5</v>
      </c>
      <c r="S74">
        <f t="shared" si="14"/>
        <v>7.5</v>
      </c>
      <c r="T74">
        <f t="shared" si="15"/>
        <v>0.3</v>
      </c>
      <c r="V74" t="s">
        <v>104</v>
      </c>
      <c r="W74">
        <v>70</v>
      </c>
      <c r="X74">
        <v>13.5</v>
      </c>
      <c r="Y74">
        <v>11</v>
      </c>
      <c r="Z74">
        <v>12</v>
      </c>
      <c r="AA74">
        <v>12.16666667</v>
      </c>
      <c r="AB74">
        <v>12.16666667</v>
      </c>
      <c r="AC74" t="s">
        <v>114</v>
      </c>
      <c r="AD74" t="s">
        <v>114</v>
      </c>
      <c r="AE74" t="s">
        <v>114</v>
      </c>
      <c r="AF74" t="s">
        <v>114</v>
      </c>
      <c r="AG74">
        <v>17.899999999999999</v>
      </c>
      <c r="AH74">
        <v>17.5</v>
      </c>
      <c r="AI74">
        <v>14.4</v>
      </c>
      <c r="AJ74">
        <v>16.600000000000001</v>
      </c>
      <c r="AK74">
        <v>13.5</v>
      </c>
      <c r="AL74">
        <v>15.9</v>
      </c>
      <c r="AM74">
        <v>14.4</v>
      </c>
      <c r="AN74">
        <v>14.6</v>
      </c>
      <c r="AO74">
        <v>16.600000000000001</v>
      </c>
      <c r="AP74">
        <v>4.0999999999999996</v>
      </c>
      <c r="AQ74">
        <v>5.6</v>
      </c>
      <c r="AR74" t="s">
        <v>114</v>
      </c>
      <c r="AS74">
        <v>4.8499999999999996</v>
      </c>
      <c r="AT74">
        <v>5.6</v>
      </c>
      <c r="AU74">
        <v>5.6</v>
      </c>
      <c r="AV74">
        <v>6.1</v>
      </c>
      <c r="AW74">
        <v>5.766666667</v>
      </c>
      <c r="AX74">
        <v>4.8499999999999996</v>
      </c>
      <c r="AY74">
        <v>-7.3166666669999998</v>
      </c>
      <c r="AZ74">
        <v>45</v>
      </c>
      <c r="BA74">
        <v>2</v>
      </c>
      <c r="BB74">
        <v>2</v>
      </c>
      <c r="BC74">
        <v>15</v>
      </c>
      <c r="BD74">
        <v>1</v>
      </c>
      <c r="BE74">
        <v>1</v>
      </c>
      <c r="BF74">
        <v>0</v>
      </c>
      <c r="BG74">
        <v>0</v>
      </c>
      <c r="BI74">
        <v>14</v>
      </c>
      <c r="BJ74">
        <v>52.600999999999999</v>
      </c>
      <c r="BK74">
        <v>0</v>
      </c>
      <c r="BL74">
        <v>2</v>
      </c>
      <c r="BM74">
        <v>2</v>
      </c>
      <c r="BN74">
        <v>8</v>
      </c>
      <c r="BO74">
        <v>22</v>
      </c>
      <c r="BP74">
        <f t="shared" si="10"/>
        <v>-14</v>
      </c>
      <c r="BQ74">
        <v>24</v>
      </c>
      <c r="BR74">
        <f t="shared" si="11"/>
        <v>-16</v>
      </c>
      <c r="BS74">
        <v>29.99400018</v>
      </c>
      <c r="BT74">
        <v>0.98539880400000002</v>
      </c>
      <c r="BU74">
        <v>5.0460027299999997</v>
      </c>
      <c r="BV74">
        <v>-5.9207725699999996</v>
      </c>
      <c r="BW74">
        <v>0.98539880400000002</v>
      </c>
      <c r="BX74">
        <v>5.0460027299999997</v>
      </c>
      <c r="BY74">
        <v>1017.28395678639</v>
      </c>
      <c r="BZ74">
        <v>1.3064753437559</v>
      </c>
      <c r="CA74">
        <v>21.3145135407342</v>
      </c>
      <c r="CB74">
        <v>2170.0632887492902</v>
      </c>
      <c r="CC74">
        <v>1.3064753437559</v>
      </c>
      <c r="CD74">
        <v>21.3145135407342</v>
      </c>
      <c r="CE74" t="s">
        <v>114</v>
      </c>
      <c r="CF74" t="s">
        <v>114</v>
      </c>
      <c r="CG74" t="s">
        <v>114</v>
      </c>
      <c r="CH74">
        <v>25.257700144000001</v>
      </c>
      <c r="CI74">
        <v>1.0915040462000001</v>
      </c>
      <c r="CJ74">
        <v>4.5778136719999996</v>
      </c>
      <c r="CK74" t="s">
        <v>114</v>
      </c>
      <c r="CL74">
        <v>-5.9991180560000004</v>
      </c>
      <c r="CM74">
        <v>1.0915040462000001</v>
      </c>
      <c r="CN74">
        <v>4.5778136719999996</v>
      </c>
      <c r="CO74" t="s">
        <v>114</v>
      </c>
      <c r="CP74">
        <v>875.125657744862</v>
      </c>
      <c r="CQ74">
        <v>1.0361481199285301</v>
      </c>
      <c r="CR74">
        <v>17.0818901257053</v>
      </c>
      <c r="CS74" t="s">
        <v>114</v>
      </c>
      <c r="CT74">
        <v>1627.57815663785</v>
      </c>
      <c r="CU74">
        <v>1.0361481199285301</v>
      </c>
      <c r="CV74">
        <v>17.0818901257053</v>
      </c>
      <c r="CW74" t="s">
        <v>114</v>
      </c>
    </row>
    <row r="75" spans="1:101" x14ac:dyDescent="0.25">
      <c r="A75" t="s">
        <v>60</v>
      </c>
      <c r="B75">
        <v>12</v>
      </c>
      <c r="C75" t="s">
        <v>33</v>
      </c>
      <c r="D75" t="s">
        <v>95</v>
      </c>
      <c r="E75" t="s">
        <v>112</v>
      </c>
      <c r="F75" t="s">
        <v>145</v>
      </c>
      <c r="G75" t="s">
        <v>261</v>
      </c>
      <c r="H75" t="str">
        <f t="shared" si="12"/>
        <v>V.rosea.Highcomp.Shade</v>
      </c>
      <c r="I75" t="s">
        <v>690</v>
      </c>
      <c r="J75" t="s">
        <v>349</v>
      </c>
      <c r="K75">
        <v>0</v>
      </c>
      <c r="L75">
        <v>40</v>
      </c>
      <c r="M75">
        <v>70</v>
      </c>
      <c r="N75">
        <v>40</v>
      </c>
      <c r="O75">
        <f t="shared" si="13"/>
        <v>-30</v>
      </c>
      <c r="P75">
        <v>80</v>
      </c>
      <c r="Q75">
        <v>170</v>
      </c>
      <c r="R75">
        <v>60</v>
      </c>
      <c r="S75">
        <f t="shared" si="14"/>
        <v>115</v>
      </c>
      <c r="T75">
        <f t="shared" si="15"/>
        <v>2.875</v>
      </c>
      <c r="V75" t="s">
        <v>121</v>
      </c>
      <c r="W75" t="s">
        <v>114</v>
      </c>
      <c r="X75">
        <v>13.5</v>
      </c>
      <c r="Y75">
        <v>11</v>
      </c>
      <c r="Z75">
        <v>12</v>
      </c>
      <c r="AA75">
        <v>12.16666667</v>
      </c>
      <c r="AB75">
        <v>12.16666667</v>
      </c>
      <c r="AC75">
        <v>13.9</v>
      </c>
      <c r="AD75">
        <v>13.5</v>
      </c>
      <c r="AE75">
        <v>13</v>
      </c>
      <c r="AF75">
        <v>13.46666667</v>
      </c>
      <c r="AG75">
        <v>17.899999999999999</v>
      </c>
      <c r="AH75">
        <v>17.5</v>
      </c>
      <c r="AI75">
        <v>14.4</v>
      </c>
      <c r="AJ75">
        <v>16.600000000000001</v>
      </c>
      <c r="AK75">
        <v>15.9</v>
      </c>
      <c r="AL75">
        <v>14.9</v>
      </c>
      <c r="AM75">
        <v>17.399999999999999</v>
      </c>
      <c r="AN75">
        <v>16.06666667</v>
      </c>
      <c r="AO75">
        <v>16.600000000000001</v>
      </c>
      <c r="AP75">
        <v>4.0999999999999996</v>
      </c>
      <c r="AQ75">
        <v>5.6</v>
      </c>
      <c r="AR75" t="s">
        <v>114</v>
      </c>
      <c r="AS75">
        <v>4.8499999999999996</v>
      </c>
      <c r="AT75">
        <v>6.6</v>
      </c>
      <c r="AU75">
        <v>6.6</v>
      </c>
      <c r="AV75">
        <v>7.1</v>
      </c>
      <c r="AW75">
        <v>6.766666667</v>
      </c>
      <c r="AX75">
        <v>4.8499999999999996</v>
      </c>
      <c r="AY75">
        <v>-7.3166666669999998</v>
      </c>
      <c r="AZ75">
        <v>45</v>
      </c>
      <c r="BA75">
        <v>2</v>
      </c>
      <c r="BB75">
        <v>2</v>
      </c>
      <c r="BC75">
        <v>15</v>
      </c>
      <c r="BD75">
        <v>1</v>
      </c>
      <c r="BE75">
        <v>1</v>
      </c>
      <c r="BF75">
        <v>0</v>
      </c>
      <c r="BG75">
        <v>0</v>
      </c>
      <c r="BI75">
        <v>14</v>
      </c>
      <c r="BJ75">
        <v>52.600999999999999</v>
      </c>
      <c r="BK75">
        <v>0</v>
      </c>
      <c r="BL75">
        <v>22</v>
      </c>
      <c r="BM75">
        <v>17</v>
      </c>
      <c r="BN75">
        <v>65</v>
      </c>
      <c r="BO75">
        <v>133</v>
      </c>
      <c r="BP75">
        <f t="shared" si="10"/>
        <v>-68</v>
      </c>
      <c r="BQ75">
        <v>9</v>
      </c>
      <c r="BR75">
        <f t="shared" si="11"/>
        <v>56</v>
      </c>
      <c r="BS75" t="s">
        <v>114</v>
      </c>
      <c r="BT75" t="s">
        <v>114</v>
      </c>
      <c r="BU75" t="s">
        <v>114</v>
      </c>
      <c r="BV75" t="s">
        <v>114</v>
      </c>
      <c r="BW75" t="s">
        <v>114</v>
      </c>
      <c r="BX75" t="s">
        <v>114</v>
      </c>
      <c r="BY75" t="s">
        <v>114</v>
      </c>
      <c r="BZ75" t="s">
        <v>114</v>
      </c>
      <c r="CA75" t="s">
        <v>114</v>
      </c>
      <c r="CB75" t="s">
        <v>114</v>
      </c>
      <c r="CC75" t="s">
        <v>114</v>
      </c>
      <c r="CD75" t="s">
        <v>114</v>
      </c>
      <c r="CE75" t="s">
        <v>114</v>
      </c>
      <c r="CF75" t="s">
        <v>114</v>
      </c>
      <c r="CG75" t="s">
        <v>114</v>
      </c>
      <c r="CH75" t="s">
        <v>114</v>
      </c>
      <c r="CI75" t="s">
        <v>114</v>
      </c>
      <c r="CJ75" t="s">
        <v>114</v>
      </c>
      <c r="CK75" t="s">
        <v>114</v>
      </c>
      <c r="CL75" t="s">
        <v>114</v>
      </c>
      <c r="CM75" t="s">
        <v>114</v>
      </c>
      <c r="CN75" t="s">
        <v>114</v>
      </c>
      <c r="CO75" t="s">
        <v>114</v>
      </c>
      <c r="CP75" t="s">
        <v>114</v>
      </c>
      <c r="CQ75" t="s">
        <v>114</v>
      </c>
      <c r="CR75" t="s">
        <v>114</v>
      </c>
      <c r="CS75" t="s">
        <v>114</v>
      </c>
      <c r="CT75" t="s">
        <v>114</v>
      </c>
      <c r="CU75" t="s">
        <v>114</v>
      </c>
      <c r="CV75" t="s">
        <v>114</v>
      </c>
      <c r="CW75" t="s">
        <v>114</v>
      </c>
    </row>
    <row r="76" spans="1:101" x14ac:dyDescent="0.25">
      <c r="A76" t="s">
        <v>61</v>
      </c>
      <c r="B76">
        <v>12</v>
      </c>
      <c r="C76" t="s">
        <v>35</v>
      </c>
      <c r="D76" t="s">
        <v>94</v>
      </c>
      <c r="E76" t="s">
        <v>102</v>
      </c>
      <c r="F76" t="s">
        <v>145</v>
      </c>
      <c r="G76" t="s">
        <v>265</v>
      </c>
      <c r="H76" t="str">
        <f t="shared" si="12"/>
        <v>A.calendula.Highcomp.Open</v>
      </c>
      <c r="I76" t="s">
        <v>691</v>
      </c>
      <c r="J76" t="s">
        <v>350</v>
      </c>
      <c r="K76">
        <v>1</v>
      </c>
      <c r="L76">
        <v>25</v>
      </c>
      <c r="M76">
        <v>40</v>
      </c>
      <c r="N76">
        <v>25</v>
      </c>
      <c r="O76">
        <f t="shared" si="13"/>
        <v>-15</v>
      </c>
      <c r="P76">
        <v>50</v>
      </c>
      <c r="Q76">
        <v>50</v>
      </c>
      <c r="R76">
        <v>15</v>
      </c>
      <c r="S76">
        <f t="shared" si="14"/>
        <v>32.5</v>
      </c>
      <c r="T76">
        <f t="shared" si="15"/>
        <v>1.3</v>
      </c>
      <c r="V76" t="s">
        <v>121</v>
      </c>
      <c r="W76" t="s">
        <v>114</v>
      </c>
      <c r="X76">
        <v>14.4</v>
      </c>
      <c r="Y76">
        <v>12</v>
      </c>
      <c r="Z76">
        <v>11.5</v>
      </c>
      <c r="AA76">
        <v>12.633333329999999</v>
      </c>
      <c r="AB76">
        <v>12.633333329999999</v>
      </c>
      <c r="AC76">
        <v>11</v>
      </c>
      <c r="AD76">
        <v>13.5</v>
      </c>
      <c r="AE76">
        <v>17.899999999999999</v>
      </c>
      <c r="AF76">
        <v>14.133333329999999</v>
      </c>
      <c r="AG76">
        <v>12.5</v>
      </c>
      <c r="AH76">
        <v>13.5</v>
      </c>
      <c r="AI76">
        <v>13.9</v>
      </c>
      <c r="AJ76">
        <v>13.3</v>
      </c>
      <c r="AK76">
        <v>15.9</v>
      </c>
      <c r="AL76">
        <v>15.4</v>
      </c>
      <c r="AM76">
        <v>18.399999999999999</v>
      </c>
      <c r="AN76">
        <v>16.56666667</v>
      </c>
      <c r="AO76">
        <v>13.3</v>
      </c>
      <c r="AP76">
        <v>5.6</v>
      </c>
      <c r="AQ76">
        <v>5.0999999999999996</v>
      </c>
      <c r="AR76">
        <v>6.1</v>
      </c>
      <c r="AS76">
        <v>5.6</v>
      </c>
      <c r="AT76">
        <v>4.5999999999999996</v>
      </c>
      <c r="AU76">
        <v>5.6</v>
      </c>
      <c r="AV76">
        <v>8.1</v>
      </c>
      <c r="AW76">
        <v>6.1</v>
      </c>
      <c r="AX76">
        <v>5.6</v>
      </c>
      <c r="AY76">
        <v>-7.0333333329999999</v>
      </c>
      <c r="AZ76">
        <v>70</v>
      </c>
      <c r="BA76">
        <v>2</v>
      </c>
      <c r="BB76">
        <v>2</v>
      </c>
      <c r="BC76">
        <v>2</v>
      </c>
      <c r="BD76">
        <v>1</v>
      </c>
      <c r="BE76">
        <v>0</v>
      </c>
      <c r="BF76">
        <v>0</v>
      </c>
      <c r="BG76">
        <v>0</v>
      </c>
      <c r="BI76">
        <v>11.5</v>
      </c>
      <c r="BJ76">
        <v>18.087</v>
      </c>
      <c r="BK76">
        <v>1</v>
      </c>
      <c r="BL76" t="s">
        <v>114</v>
      </c>
      <c r="BM76" t="s">
        <v>114</v>
      </c>
      <c r="BN76" t="s">
        <v>114</v>
      </c>
      <c r="BO76">
        <v>485.5</v>
      </c>
      <c r="BP76" t="s">
        <v>114</v>
      </c>
      <c r="BQ76">
        <v>971</v>
      </c>
      <c r="BR76" t="s">
        <v>114</v>
      </c>
      <c r="BS76">
        <v>2.2022792</v>
      </c>
      <c r="BT76">
        <v>2.2584650000000002</v>
      </c>
      <c r="BU76">
        <v>6.4935159899999997</v>
      </c>
      <c r="BV76">
        <v>2.2022792</v>
      </c>
      <c r="BW76">
        <v>-2.2584650000000002</v>
      </c>
      <c r="BX76">
        <v>-6.4935159899999997</v>
      </c>
      <c r="BY76" t="s">
        <v>114</v>
      </c>
      <c r="BZ76" t="s">
        <v>114</v>
      </c>
      <c r="CA76" t="s">
        <v>114</v>
      </c>
      <c r="CB76" t="s">
        <v>114</v>
      </c>
      <c r="CC76" t="s">
        <v>114</v>
      </c>
      <c r="CD76" t="s">
        <v>114</v>
      </c>
      <c r="CE76" t="s">
        <v>114</v>
      </c>
      <c r="CF76" t="s">
        <v>114</v>
      </c>
      <c r="CG76" t="s">
        <v>114</v>
      </c>
      <c r="CH76">
        <v>2.2022792</v>
      </c>
      <c r="CI76">
        <v>2.2584650000000002</v>
      </c>
      <c r="CJ76">
        <v>6.4935159899999997</v>
      </c>
      <c r="CK76" t="s">
        <v>114</v>
      </c>
      <c r="CL76">
        <v>2.2022792</v>
      </c>
      <c r="CM76">
        <v>-2.2584650000000002</v>
      </c>
      <c r="CN76">
        <v>-6.4935159899999997</v>
      </c>
      <c r="CO76" t="s">
        <v>114</v>
      </c>
      <c r="CP76" t="s">
        <v>114</v>
      </c>
      <c r="CQ76" t="s">
        <v>114</v>
      </c>
      <c r="CR76" t="s">
        <v>114</v>
      </c>
      <c r="CS76" t="s">
        <v>114</v>
      </c>
      <c r="CT76" t="s">
        <v>114</v>
      </c>
      <c r="CU76" t="s">
        <v>114</v>
      </c>
      <c r="CV76" t="s">
        <v>114</v>
      </c>
      <c r="CW76" t="s">
        <v>114</v>
      </c>
    </row>
    <row r="77" spans="1:101" x14ac:dyDescent="0.25">
      <c r="A77" t="s">
        <v>61</v>
      </c>
      <c r="B77">
        <v>12</v>
      </c>
      <c r="C77" t="s">
        <v>35</v>
      </c>
      <c r="D77" t="s">
        <v>94</v>
      </c>
      <c r="E77" t="s">
        <v>110</v>
      </c>
      <c r="F77" t="s">
        <v>145</v>
      </c>
      <c r="G77" t="s">
        <v>262</v>
      </c>
      <c r="H77" t="str">
        <f t="shared" si="12"/>
        <v>M.minima.Highcomp.Open</v>
      </c>
      <c r="I77" t="s">
        <v>695</v>
      </c>
      <c r="J77" t="s">
        <v>351</v>
      </c>
      <c r="K77">
        <v>2</v>
      </c>
      <c r="L77">
        <v>20</v>
      </c>
      <c r="M77">
        <v>35</v>
      </c>
      <c r="N77">
        <v>20</v>
      </c>
      <c r="O77">
        <f t="shared" si="13"/>
        <v>-15</v>
      </c>
      <c r="P77">
        <v>15</v>
      </c>
      <c r="Q77">
        <v>70</v>
      </c>
      <c r="R77">
        <v>10</v>
      </c>
      <c r="S77">
        <f t="shared" si="14"/>
        <v>40</v>
      </c>
      <c r="T77">
        <f t="shared" si="15"/>
        <v>2</v>
      </c>
      <c r="V77" t="s">
        <v>121</v>
      </c>
      <c r="W77" t="s">
        <v>114</v>
      </c>
      <c r="X77">
        <v>14.4</v>
      </c>
      <c r="Y77">
        <v>12</v>
      </c>
      <c r="Z77">
        <v>11.5</v>
      </c>
      <c r="AA77">
        <v>12.633333329999999</v>
      </c>
      <c r="AB77">
        <v>12.633333329999999</v>
      </c>
      <c r="AC77">
        <v>10</v>
      </c>
      <c r="AD77">
        <v>10</v>
      </c>
      <c r="AE77">
        <v>17.899999999999999</v>
      </c>
      <c r="AF77">
        <v>12.633333329999999</v>
      </c>
      <c r="AG77">
        <v>12.5</v>
      </c>
      <c r="AH77">
        <v>13.5</v>
      </c>
      <c r="AI77">
        <v>13.9</v>
      </c>
      <c r="AJ77">
        <v>13.3</v>
      </c>
      <c r="AK77">
        <v>13.9</v>
      </c>
      <c r="AL77">
        <v>20.3</v>
      </c>
      <c r="AM77">
        <v>22.3</v>
      </c>
      <c r="AN77">
        <v>18.833333329999999</v>
      </c>
      <c r="AO77">
        <v>13.3</v>
      </c>
      <c r="AP77">
        <v>5.6</v>
      </c>
      <c r="AQ77">
        <v>5.0999999999999996</v>
      </c>
      <c r="AR77">
        <v>6.1</v>
      </c>
      <c r="AS77">
        <v>5.6</v>
      </c>
      <c r="AT77">
        <v>5.6</v>
      </c>
      <c r="AU77">
        <v>6.1</v>
      </c>
      <c r="AV77">
        <v>7.1</v>
      </c>
      <c r="AW77">
        <v>6.266666667</v>
      </c>
      <c r="AX77">
        <v>5.6</v>
      </c>
      <c r="AY77">
        <v>-7.0333333329999999</v>
      </c>
      <c r="AZ77">
        <v>70</v>
      </c>
      <c r="BA77">
        <v>2</v>
      </c>
      <c r="BB77">
        <v>2</v>
      </c>
      <c r="BC77">
        <v>2</v>
      </c>
      <c r="BD77">
        <v>1</v>
      </c>
      <c r="BE77">
        <v>0</v>
      </c>
      <c r="BF77">
        <v>0</v>
      </c>
      <c r="BG77">
        <v>0</v>
      </c>
      <c r="BI77">
        <v>11.5</v>
      </c>
      <c r="BJ77">
        <v>18.087</v>
      </c>
      <c r="BK77">
        <v>0</v>
      </c>
      <c r="BL77">
        <v>0</v>
      </c>
      <c r="BM77">
        <v>0</v>
      </c>
      <c r="BN77">
        <v>0</v>
      </c>
      <c r="BO77">
        <v>8</v>
      </c>
      <c r="BP77">
        <f t="shared" ref="BP77:BP105" si="16">BN77-BO77</f>
        <v>-8</v>
      </c>
      <c r="BQ77">
        <v>14</v>
      </c>
      <c r="BR77">
        <f t="shared" ref="BR77:BR105" si="17">BN77-BQ77</f>
        <v>-14</v>
      </c>
      <c r="BS77">
        <v>10.378731569999999</v>
      </c>
      <c r="BT77">
        <v>1.187884167</v>
      </c>
      <c r="BU77">
        <v>3.2467579949999998</v>
      </c>
      <c r="BV77">
        <v>-10.378731569999999</v>
      </c>
      <c r="BW77">
        <v>-1.187884167</v>
      </c>
      <c r="BX77">
        <v>2.0400585050000002</v>
      </c>
      <c r="BY77">
        <v>2.4250168373763201</v>
      </c>
      <c r="BZ77">
        <v>2.5503320781125001</v>
      </c>
      <c r="CA77">
        <v>8.3236774076456701</v>
      </c>
      <c r="CB77">
        <v>2.4250168373763201</v>
      </c>
      <c r="CC77">
        <v>2.5503320781125001</v>
      </c>
      <c r="CD77">
        <v>21.0828749561928</v>
      </c>
      <c r="CE77" t="s">
        <v>114</v>
      </c>
      <c r="CF77" t="s">
        <v>114</v>
      </c>
      <c r="CG77" t="s">
        <v>114</v>
      </c>
      <c r="CH77">
        <v>10.378731569999999</v>
      </c>
      <c r="CI77">
        <v>1.187884167</v>
      </c>
      <c r="CJ77">
        <v>3.2467579949999998</v>
      </c>
      <c r="CK77" t="s">
        <v>114</v>
      </c>
      <c r="CL77">
        <v>-10.378731569999999</v>
      </c>
      <c r="CM77">
        <v>-1.187884167</v>
      </c>
      <c r="CN77">
        <v>2.0400585050000002</v>
      </c>
      <c r="CO77" t="s">
        <v>114</v>
      </c>
      <c r="CP77">
        <v>2.4250168373763201</v>
      </c>
      <c r="CQ77">
        <v>2.5503320781125001</v>
      </c>
      <c r="CR77">
        <v>8.3236774076456701</v>
      </c>
      <c r="CS77" t="s">
        <v>114</v>
      </c>
      <c r="CT77">
        <v>2.4250168373763201</v>
      </c>
      <c r="CU77">
        <v>2.5503320781125001</v>
      </c>
      <c r="CV77">
        <v>21.0828749561928</v>
      </c>
      <c r="CW77" t="s">
        <v>114</v>
      </c>
    </row>
    <row r="78" spans="1:101" x14ac:dyDescent="0.25">
      <c r="A78" t="s">
        <v>61</v>
      </c>
      <c r="B78">
        <v>12</v>
      </c>
      <c r="C78" t="s">
        <v>35</v>
      </c>
      <c r="D78" t="s">
        <v>94</v>
      </c>
      <c r="E78" t="s">
        <v>112</v>
      </c>
      <c r="F78" t="s">
        <v>145</v>
      </c>
      <c r="G78" t="s">
        <v>261</v>
      </c>
      <c r="H78" t="str">
        <f t="shared" si="12"/>
        <v>V.rosea.Highcomp.Open</v>
      </c>
      <c r="I78" t="s">
        <v>688</v>
      </c>
      <c r="J78" t="s">
        <v>352</v>
      </c>
      <c r="K78">
        <v>1</v>
      </c>
      <c r="L78">
        <v>50</v>
      </c>
      <c r="M78">
        <v>45</v>
      </c>
      <c r="N78">
        <v>50</v>
      </c>
      <c r="O78">
        <f t="shared" si="13"/>
        <v>5</v>
      </c>
      <c r="P78">
        <v>50</v>
      </c>
      <c r="Q78">
        <v>170</v>
      </c>
      <c r="R78">
        <v>140</v>
      </c>
      <c r="S78">
        <f t="shared" si="14"/>
        <v>155</v>
      </c>
      <c r="T78">
        <f t="shared" si="15"/>
        <v>3.1</v>
      </c>
      <c r="V78" t="s">
        <v>121</v>
      </c>
      <c r="W78" t="s">
        <v>114</v>
      </c>
      <c r="X78">
        <v>14.4</v>
      </c>
      <c r="Y78">
        <v>12</v>
      </c>
      <c r="Z78">
        <v>11.5</v>
      </c>
      <c r="AA78">
        <v>12.633333329999999</v>
      </c>
      <c r="AB78">
        <v>12.633333329999999</v>
      </c>
      <c r="AC78">
        <v>24.7</v>
      </c>
      <c r="AD78">
        <v>21.8</v>
      </c>
      <c r="AE78">
        <v>24.3</v>
      </c>
      <c r="AF78">
        <v>23.6</v>
      </c>
      <c r="AG78">
        <v>12.5</v>
      </c>
      <c r="AH78">
        <v>13.5</v>
      </c>
      <c r="AI78">
        <v>13.9</v>
      </c>
      <c r="AJ78">
        <v>13.3</v>
      </c>
      <c r="AK78">
        <v>11</v>
      </c>
      <c r="AL78">
        <v>31.1</v>
      </c>
      <c r="AM78">
        <v>22.3</v>
      </c>
      <c r="AN78">
        <v>21.466666669999999</v>
      </c>
      <c r="AO78">
        <v>13.3</v>
      </c>
      <c r="AP78">
        <v>5.6</v>
      </c>
      <c r="AQ78">
        <v>5.0999999999999996</v>
      </c>
      <c r="AR78">
        <v>6.1</v>
      </c>
      <c r="AS78">
        <v>5.6</v>
      </c>
      <c r="AT78">
        <v>4.5999999999999996</v>
      </c>
      <c r="AU78">
        <v>6.6</v>
      </c>
      <c r="AV78">
        <v>7.1</v>
      </c>
      <c r="AW78">
        <v>6.1</v>
      </c>
      <c r="AX78">
        <v>5.6</v>
      </c>
      <c r="AY78">
        <v>-7.0333333329999999</v>
      </c>
      <c r="AZ78">
        <v>70</v>
      </c>
      <c r="BA78">
        <v>2</v>
      </c>
      <c r="BB78">
        <v>2</v>
      </c>
      <c r="BC78">
        <v>2</v>
      </c>
      <c r="BD78">
        <v>1</v>
      </c>
      <c r="BE78">
        <v>0</v>
      </c>
      <c r="BF78">
        <v>0</v>
      </c>
      <c r="BG78">
        <v>0</v>
      </c>
      <c r="BI78">
        <v>11.5</v>
      </c>
      <c r="BJ78">
        <v>18.087</v>
      </c>
      <c r="BK78">
        <v>0</v>
      </c>
      <c r="BL78">
        <v>30</v>
      </c>
      <c r="BM78">
        <v>30</v>
      </c>
      <c r="BN78">
        <v>104</v>
      </c>
      <c r="BO78">
        <v>184.8</v>
      </c>
      <c r="BP78">
        <f t="shared" si="16"/>
        <v>-80.800000000000011</v>
      </c>
      <c r="BQ78">
        <v>200</v>
      </c>
      <c r="BR78">
        <f t="shared" si="17"/>
        <v>-96</v>
      </c>
      <c r="BS78">
        <v>17.44471154</v>
      </c>
      <c r="BT78">
        <v>1.087182222</v>
      </c>
      <c r="BU78">
        <v>2.23482256</v>
      </c>
      <c r="BV78">
        <v>-17.44471154</v>
      </c>
      <c r="BW78">
        <v>-1.087182222</v>
      </c>
      <c r="BX78">
        <v>2.23482256</v>
      </c>
      <c r="BY78" t="s">
        <v>114</v>
      </c>
      <c r="BZ78" t="s">
        <v>114</v>
      </c>
      <c r="CA78" t="s">
        <v>114</v>
      </c>
      <c r="CB78" t="s">
        <v>114</v>
      </c>
      <c r="CC78" t="s">
        <v>114</v>
      </c>
      <c r="CD78" t="s">
        <v>114</v>
      </c>
      <c r="CE78" t="s">
        <v>114</v>
      </c>
      <c r="CF78" t="s">
        <v>114</v>
      </c>
      <c r="CG78" t="s">
        <v>114</v>
      </c>
      <c r="CH78">
        <v>17.44471154</v>
      </c>
      <c r="CI78">
        <v>1.087182222</v>
      </c>
      <c r="CJ78">
        <v>2.23482256</v>
      </c>
      <c r="CK78" t="s">
        <v>114</v>
      </c>
      <c r="CL78">
        <v>-17.44471154</v>
      </c>
      <c r="CM78">
        <v>-1.087182222</v>
      </c>
      <c r="CN78">
        <v>2.23482256</v>
      </c>
      <c r="CO78" t="s">
        <v>114</v>
      </c>
      <c r="CP78" t="s">
        <v>114</v>
      </c>
      <c r="CQ78" t="s">
        <v>114</v>
      </c>
      <c r="CR78" t="s">
        <v>114</v>
      </c>
      <c r="CS78" t="s">
        <v>114</v>
      </c>
      <c r="CT78" t="s">
        <v>114</v>
      </c>
      <c r="CU78" t="s">
        <v>114</v>
      </c>
      <c r="CV78" t="s">
        <v>114</v>
      </c>
      <c r="CW78" t="s">
        <v>114</v>
      </c>
    </row>
    <row r="79" spans="1:101" x14ac:dyDescent="0.25">
      <c r="A79" t="s">
        <v>62</v>
      </c>
      <c r="B79">
        <v>12</v>
      </c>
      <c r="C79" t="s">
        <v>37</v>
      </c>
      <c r="D79" t="s">
        <v>95</v>
      </c>
      <c r="E79" t="s">
        <v>102</v>
      </c>
      <c r="F79" t="s">
        <v>145</v>
      </c>
      <c r="G79" t="s">
        <v>265</v>
      </c>
      <c r="H79" t="str">
        <f t="shared" si="12"/>
        <v>A.calendula.Highcomp.Shade</v>
      </c>
      <c r="I79" t="s">
        <v>689</v>
      </c>
      <c r="J79" t="s">
        <v>353</v>
      </c>
      <c r="K79">
        <v>0</v>
      </c>
      <c r="L79">
        <v>80</v>
      </c>
      <c r="M79">
        <v>160</v>
      </c>
      <c r="N79">
        <v>80</v>
      </c>
      <c r="O79">
        <f t="shared" si="13"/>
        <v>-80</v>
      </c>
      <c r="P79">
        <v>125</v>
      </c>
      <c r="Q79">
        <v>125</v>
      </c>
      <c r="R79">
        <v>100</v>
      </c>
      <c r="S79">
        <f t="shared" si="14"/>
        <v>112.5</v>
      </c>
      <c r="T79">
        <f t="shared" si="15"/>
        <v>1.40625</v>
      </c>
      <c r="V79" t="s">
        <v>121</v>
      </c>
      <c r="W79" t="s">
        <v>114</v>
      </c>
      <c r="X79">
        <v>13.5</v>
      </c>
      <c r="Y79">
        <v>12.5</v>
      </c>
      <c r="Z79">
        <v>15.9</v>
      </c>
      <c r="AA79">
        <v>13.96666667</v>
      </c>
      <c r="AB79">
        <v>13.96666667</v>
      </c>
      <c r="AC79">
        <v>17.899999999999999</v>
      </c>
      <c r="AD79">
        <v>14.9</v>
      </c>
      <c r="AE79">
        <v>16.399999999999999</v>
      </c>
      <c r="AF79">
        <v>16.399999999999999</v>
      </c>
      <c r="AG79">
        <v>17.899999999999999</v>
      </c>
      <c r="AH79">
        <v>17.899999999999999</v>
      </c>
      <c r="AI79">
        <v>18.399999999999999</v>
      </c>
      <c r="AJ79">
        <v>18.06666667</v>
      </c>
      <c r="AK79">
        <v>15.4</v>
      </c>
      <c r="AL79">
        <v>12.5</v>
      </c>
      <c r="AM79">
        <v>15.4</v>
      </c>
      <c r="AN79">
        <v>14.43333333</v>
      </c>
      <c r="AO79">
        <v>18.06666667</v>
      </c>
      <c r="AP79">
        <v>5.6</v>
      </c>
      <c r="AQ79">
        <v>6.6</v>
      </c>
      <c r="AR79">
        <v>9</v>
      </c>
      <c r="AS79">
        <v>7.0666666669999998</v>
      </c>
      <c r="AT79">
        <v>8.1</v>
      </c>
      <c r="AU79">
        <v>7.6</v>
      </c>
      <c r="AV79">
        <v>8.5</v>
      </c>
      <c r="AW79">
        <v>8.0666666669999998</v>
      </c>
      <c r="AX79">
        <v>7.0666666669999998</v>
      </c>
      <c r="AY79">
        <v>-6.9</v>
      </c>
      <c r="AZ79">
        <v>70</v>
      </c>
      <c r="BA79">
        <v>1</v>
      </c>
      <c r="BB79">
        <v>3</v>
      </c>
      <c r="BC79">
        <v>1</v>
      </c>
      <c r="BD79">
        <v>1</v>
      </c>
      <c r="BE79">
        <v>0</v>
      </c>
      <c r="BF79">
        <v>0</v>
      </c>
      <c r="BG79">
        <v>0</v>
      </c>
      <c r="BI79">
        <v>11.7</v>
      </c>
      <c r="BJ79">
        <v>55.235999999999997</v>
      </c>
      <c r="BK79">
        <v>0</v>
      </c>
      <c r="BL79">
        <v>10</v>
      </c>
      <c r="BM79">
        <v>10</v>
      </c>
      <c r="BN79">
        <v>246</v>
      </c>
      <c r="BO79">
        <v>545.5</v>
      </c>
      <c r="BP79">
        <f t="shared" si="16"/>
        <v>-299.5</v>
      </c>
      <c r="BQ79">
        <v>735</v>
      </c>
      <c r="BR79">
        <f t="shared" si="17"/>
        <v>-489</v>
      </c>
      <c r="BS79" t="s">
        <v>114</v>
      </c>
      <c r="BT79" t="s">
        <v>114</v>
      </c>
      <c r="BU79" t="s">
        <v>114</v>
      </c>
      <c r="BV79" t="s">
        <v>114</v>
      </c>
      <c r="BW79" t="s">
        <v>114</v>
      </c>
      <c r="BX79" t="s">
        <v>114</v>
      </c>
      <c r="BY79" t="s">
        <v>114</v>
      </c>
      <c r="BZ79" t="s">
        <v>114</v>
      </c>
      <c r="CA79" t="s">
        <v>114</v>
      </c>
      <c r="CB79" t="s">
        <v>114</v>
      </c>
      <c r="CC79" t="s">
        <v>114</v>
      </c>
      <c r="CD79" t="s">
        <v>114</v>
      </c>
      <c r="CE79" t="s">
        <v>114</v>
      </c>
      <c r="CF79" t="s">
        <v>114</v>
      </c>
      <c r="CG79" t="s">
        <v>114</v>
      </c>
      <c r="CH79" t="s">
        <v>114</v>
      </c>
      <c r="CI79" t="s">
        <v>114</v>
      </c>
      <c r="CJ79" t="s">
        <v>114</v>
      </c>
      <c r="CK79" t="s">
        <v>114</v>
      </c>
      <c r="CL79" t="s">
        <v>114</v>
      </c>
      <c r="CM79" t="s">
        <v>114</v>
      </c>
      <c r="CN79" t="s">
        <v>114</v>
      </c>
      <c r="CO79" t="s">
        <v>114</v>
      </c>
      <c r="CP79" t="s">
        <v>114</v>
      </c>
      <c r="CQ79" t="s">
        <v>114</v>
      </c>
      <c r="CR79" t="s">
        <v>114</v>
      </c>
      <c r="CS79" t="s">
        <v>114</v>
      </c>
      <c r="CT79" t="s">
        <v>114</v>
      </c>
      <c r="CU79" t="s">
        <v>114</v>
      </c>
      <c r="CV79" t="s">
        <v>114</v>
      </c>
      <c r="CW79" t="s">
        <v>114</v>
      </c>
    </row>
    <row r="80" spans="1:101" x14ac:dyDescent="0.25">
      <c r="A80" t="s">
        <v>62</v>
      </c>
      <c r="B80">
        <v>12</v>
      </c>
      <c r="C80" t="s">
        <v>37</v>
      </c>
      <c r="D80" t="s">
        <v>95</v>
      </c>
      <c r="E80" t="s">
        <v>103</v>
      </c>
      <c r="F80" t="s">
        <v>145</v>
      </c>
      <c r="G80" t="s">
        <v>260</v>
      </c>
      <c r="H80" t="str">
        <f t="shared" si="12"/>
        <v>P.airoides.Highcomp.Shade</v>
      </c>
      <c r="I80" t="s">
        <v>683</v>
      </c>
      <c r="J80" t="s">
        <v>354</v>
      </c>
      <c r="K80">
        <v>3</v>
      </c>
      <c r="L80">
        <v>60</v>
      </c>
      <c r="M80">
        <v>50</v>
      </c>
      <c r="N80">
        <v>60</v>
      </c>
      <c r="O80">
        <f t="shared" si="13"/>
        <v>10</v>
      </c>
      <c r="P80">
        <v>30</v>
      </c>
      <c r="Q80">
        <v>20</v>
      </c>
      <c r="R80">
        <v>10</v>
      </c>
      <c r="S80">
        <f t="shared" si="14"/>
        <v>15</v>
      </c>
      <c r="T80">
        <f t="shared" si="15"/>
        <v>0.25</v>
      </c>
      <c r="V80" t="s">
        <v>121</v>
      </c>
      <c r="W80" t="s">
        <v>114</v>
      </c>
      <c r="X80">
        <v>13.5</v>
      </c>
      <c r="Y80">
        <v>12.5</v>
      </c>
      <c r="Z80">
        <v>15.9</v>
      </c>
      <c r="AA80">
        <v>13.96666667</v>
      </c>
      <c r="AB80">
        <v>13.96666667</v>
      </c>
      <c r="AC80">
        <v>11.5</v>
      </c>
      <c r="AD80">
        <v>13</v>
      </c>
      <c r="AE80">
        <v>13.9</v>
      </c>
      <c r="AF80">
        <v>12.8</v>
      </c>
      <c r="AG80">
        <v>17.899999999999999</v>
      </c>
      <c r="AH80">
        <v>17.899999999999999</v>
      </c>
      <c r="AI80">
        <v>18.399999999999999</v>
      </c>
      <c r="AJ80">
        <v>18.06666667</v>
      </c>
      <c r="AK80">
        <v>11.5</v>
      </c>
      <c r="AL80">
        <v>15.4</v>
      </c>
      <c r="AM80">
        <v>14.9</v>
      </c>
      <c r="AN80">
        <v>13.93333333</v>
      </c>
      <c r="AO80">
        <v>18.06666667</v>
      </c>
      <c r="AP80">
        <v>5.6</v>
      </c>
      <c r="AQ80">
        <v>6.6</v>
      </c>
      <c r="AR80">
        <v>9</v>
      </c>
      <c r="AS80">
        <v>7.0666666669999998</v>
      </c>
      <c r="AT80">
        <v>7.6</v>
      </c>
      <c r="AU80">
        <v>5.6</v>
      </c>
      <c r="AV80">
        <v>7.1</v>
      </c>
      <c r="AW80">
        <v>6.766666667</v>
      </c>
      <c r="AX80">
        <v>7.0666666669999998</v>
      </c>
      <c r="AY80">
        <v>-6.9</v>
      </c>
      <c r="AZ80">
        <v>70</v>
      </c>
      <c r="BA80">
        <v>1</v>
      </c>
      <c r="BB80">
        <v>3</v>
      </c>
      <c r="BC80">
        <v>1</v>
      </c>
      <c r="BD80">
        <v>1</v>
      </c>
      <c r="BE80">
        <v>0</v>
      </c>
      <c r="BF80">
        <v>0</v>
      </c>
      <c r="BG80">
        <v>0</v>
      </c>
      <c r="BI80">
        <v>11.7</v>
      </c>
      <c r="BJ80">
        <v>55.235999999999997</v>
      </c>
      <c r="BK80">
        <v>0</v>
      </c>
      <c r="BL80">
        <v>2</v>
      </c>
      <c r="BM80">
        <v>2</v>
      </c>
      <c r="BN80">
        <v>111</v>
      </c>
      <c r="BO80">
        <v>290.75</v>
      </c>
      <c r="BP80">
        <f t="shared" si="16"/>
        <v>-179.75</v>
      </c>
      <c r="BQ80">
        <v>359</v>
      </c>
      <c r="BR80">
        <f t="shared" si="17"/>
        <v>-248</v>
      </c>
      <c r="BS80">
        <v>10.649962476666699</v>
      </c>
      <c r="BT80">
        <v>0.178673838666667</v>
      </c>
      <c r="BU80">
        <v>8.9768733566666707</v>
      </c>
      <c r="BV80">
        <v>-4.99718469666667</v>
      </c>
      <c r="BW80">
        <v>-0.160181568666667</v>
      </c>
      <c r="BX80">
        <v>-8.9768733566666707</v>
      </c>
      <c r="BY80">
        <v>19.3187798871129</v>
      </c>
      <c r="BZ80">
        <v>6.9474962578811694E-2</v>
      </c>
      <c r="CA80">
        <v>139.31454081772901</v>
      </c>
      <c r="CB80">
        <v>151.99354867982601</v>
      </c>
      <c r="CC80">
        <v>7.8874271103863594E-2</v>
      </c>
      <c r="CD80">
        <v>139.31454081772901</v>
      </c>
      <c r="CE80">
        <v>0.73868717666666694</v>
      </c>
      <c r="CF80">
        <v>1.4951867607440299</v>
      </c>
      <c r="CG80">
        <v>0.73868717666666694</v>
      </c>
      <c r="CH80">
        <v>10.649962476666699</v>
      </c>
      <c r="CI80">
        <v>0.178673838666667</v>
      </c>
      <c r="CJ80">
        <v>8.9768733566666707</v>
      </c>
      <c r="CK80">
        <v>-0.64180226333333301</v>
      </c>
      <c r="CL80">
        <v>-4.99718469666667</v>
      </c>
      <c r="CM80">
        <v>-0.160181568666667</v>
      </c>
      <c r="CN80">
        <v>-8.9768733566666707</v>
      </c>
      <c r="CO80">
        <v>1.2945638611160599</v>
      </c>
      <c r="CP80">
        <v>19.3187798871129</v>
      </c>
      <c r="CQ80">
        <v>6.9474962578811694E-2</v>
      </c>
      <c r="CR80">
        <v>139.31454081772901</v>
      </c>
      <c r="CS80">
        <v>1.4951867607440299</v>
      </c>
      <c r="CT80">
        <v>151.99354867982601</v>
      </c>
      <c r="CU80">
        <v>7.8874271103863594E-2</v>
      </c>
      <c r="CV80">
        <v>139.31454081772901</v>
      </c>
      <c r="CW80">
        <v>-0.64180226333333301</v>
      </c>
    </row>
    <row r="81" spans="1:101" x14ac:dyDescent="0.25">
      <c r="A81" t="s">
        <v>63</v>
      </c>
      <c r="B81">
        <v>12</v>
      </c>
      <c r="C81" t="s">
        <v>64</v>
      </c>
      <c r="D81" t="s">
        <v>94</v>
      </c>
      <c r="E81" t="s">
        <v>104</v>
      </c>
      <c r="F81" t="s">
        <v>145</v>
      </c>
      <c r="G81" t="s">
        <v>264</v>
      </c>
      <c r="H81" t="str">
        <f t="shared" si="12"/>
        <v>T.cyanopetala.Highcomp.Open</v>
      </c>
      <c r="I81" t="s">
        <v>696</v>
      </c>
      <c r="J81" t="s">
        <v>355</v>
      </c>
      <c r="K81">
        <v>5</v>
      </c>
      <c r="L81">
        <v>60</v>
      </c>
      <c r="M81">
        <v>70</v>
      </c>
      <c r="N81">
        <v>60</v>
      </c>
      <c r="O81">
        <f t="shared" si="13"/>
        <v>-10</v>
      </c>
      <c r="P81">
        <v>30</v>
      </c>
      <c r="Q81">
        <v>20</v>
      </c>
      <c r="R81">
        <v>20</v>
      </c>
      <c r="S81">
        <f t="shared" si="14"/>
        <v>20</v>
      </c>
      <c r="T81">
        <f t="shared" si="15"/>
        <v>0.33333333333333331</v>
      </c>
      <c r="V81" t="s">
        <v>121</v>
      </c>
      <c r="W81" t="s">
        <v>114</v>
      </c>
      <c r="X81">
        <v>12</v>
      </c>
      <c r="Y81">
        <v>15.9</v>
      </c>
      <c r="Z81">
        <v>16.399999999999999</v>
      </c>
      <c r="AA81">
        <v>14.766666669999999</v>
      </c>
      <c r="AB81">
        <v>14.766666669999999</v>
      </c>
      <c r="AC81">
        <v>13.5</v>
      </c>
      <c r="AD81">
        <v>14.4</v>
      </c>
      <c r="AE81">
        <v>17.399999999999999</v>
      </c>
      <c r="AF81">
        <v>15.1</v>
      </c>
      <c r="AG81">
        <v>13.9</v>
      </c>
      <c r="AH81">
        <v>14.9</v>
      </c>
      <c r="AI81">
        <v>14.4</v>
      </c>
      <c r="AJ81">
        <v>14.4</v>
      </c>
      <c r="AK81">
        <v>13.9</v>
      </c>
      <c r="AL81">
        <v>14.4</v>
      </c>
      <c r="AM81">
        <v>14.9</v>
      </c>
      <c r="AN81">
        <v>14.4</v>
      </c>
      <c r="AO81">
        <v>14.4</v>
      </c>
      <c r="AP81">
        <v>8.1</v>
      </c>
      <c r="AQ81">
        <v>9</v>
      </c>
      <c r="AR81">
        <v>10.5</v>
      </c>
      <c r="AS81">
        <v>9.1999999999999993</v>
      </c>
      <c r="AT81">
        <v>7.6</v>
      </c>
      <c r="AU81">
        <v>7.6</v>
      </c>
      <c r="AV81">
        <v>7.1</v>
      </c>
      <c r="AW81">
        <v>7.4333333330000002</v>
      </c>
      <c r="AX81">
        <v>9.1999999999999993</v>
      </c>
      <c r="AY81">
        <v>-5.5666666669999998</v>
      </c>
      <c r="AZ81">
        <v>3</v>
      </c>
      <c r="BA81">
        <v>80</v>
      </c>
      <c r="BB81">
        <v>0</v>
      </c>
      <c r="BC81">
        <v>5</v>
      </c>
      <c r="BD81">
        <v>0</v>
      </c>
      <c r="BE81">
        <v>1</v>
      </c>
      <c r="BF81">
        <v>0</v>
      </c>
      <c r="BG81">
        <v>0</v>
      </c>
      <c r="BI81">
        <v>10</v>
      </c>
      <c r="BJ81">
        <v>29.844000000000001</v>
      </c>
      <c r="BK81">
        <v>0</v>
      </c>
      <c r="BL81">
        <v>4</v>
      </c>
      <c r="BM81">
        <v>4</v>
      </c>
      <c r="BN81">
        <v>18</v>
      </c>
      <c r="BO81">
        <v>32.5</v>
      </c>
      <c r="BP81">
        <f t="shared" si="16"/>
        <v>-14.5</v>
      </c>
      <c r="BQ81">
        <v>22</v>
      </c>
      <c r="BR81">
        <f t="shared" si="17"/>
        <v>-4</v>
      </c>
      <c r="BS81">
        <v>24.032585470000001</v>
      </c>
      <c r="BT81">
        <v>2.3971146346666701</v>
      </c>
      <c r="BU81">
        <v>5.9670669533333296</v>
      </c>
      <c r="BV81">
        <v>24.032585470000001</v>
      </c>
      <c r="BW81">
        <v>2.3971146346666701</v>
      </c>
      <c r="BX81">
        <v>-1.32868514666667</v>
      </c>
      <c r="BY81">
        <v>55.951803273405098</v>
      </c>
      <c r="BZ81">
        <v>5.0479958690258697E-4</v>
      </c>
      <c r="CA81">
        <v>18.749687597314299</v>
      </c>
      <c r="CB81">
        <v>55.951803273405098</v>
      </c>
      <c r="CC81">
        <v>5.0479958690258697E-4</v>
      </c>
      <c r="CD81">
        <v>69.510413307199499</v>
      </c>
      <c r="CE81">
        <v>0.175361556666667</v>
      </c>
      <c r="CF81">
        <v>2.5655948798200601E-2</v>
      </c>
      <c r="CG81">
        <v>0.20608604799999999</v>
      </c>
      <c r="CH81">
        <v>25.709935898000001</v>
      </c>
      <c r="CI81">
        <v>2.4014382583999998</v>
      </c>
      <c r="CJ81">
        <v>6.548404992</v>
      </c>
      <c r="CK81">
        <v>0.19739040799999999</v>
      </c>
      <c r="CL81">
        <v>25.709935898000001</v>
      </c>
      <c r="CM81">
        <v>2.4014382583999998</v>
      </c>
      <c r="CN81">
        <v>-2.2064975279999999</v>
      </c>
      <c r="CO81">
        <v>1.1266645186652101E-2</v>
      </c>
      <c r="CP81">
        <v>34.850519836066702</v>
      </c>
      <c r="CQ81">
        <v>3.6459667049676202E-4</v>
      </c>
      <c r="CR81">
        <v>16.215033233308301</v>
      </c>
      <c r="CS81">
        <v>1.56522526989669E-2</v>
      </c>
      <c r="CT81">
        <v>34.850519836066702</v>
      </c>
      <c r="CU81">
        <v>3.6459667049676202E-4</v>
      </c>
      <c r="CV81">
        <v>63.731253981033802</v>
      </c>
      <c r="CW81">
        <v>0.16086882333333299</v>
      </c>
    </row>
    <row r="82" spans="1:101" x14ac:dyDescent="0.25">
      <c r="A82" t="s">
        <v>65</v>
      </c>
      <c r="B82">
        <v>12</v>
      </c>
      <c r="C82" t="s">
        <v>66</v>
      </c>
      <c r="D82" t="s">
        <v>95</v>
      </c>
      <c r="E82" t="s">
        <v>105</v>
      </c>
      <c r="F82" t="s">
        <v>145</v>
      </c>
      <c r="G82" t="s">
        <v>266</v>
      </c>
      <c r="H82" t="str">
        <f t="shared" si="12"/>
        <v>H.glabra.Highcomp.Shade</v>
      </c>
      <c r="I82" t="s">
        <v>697</v>
      </c>
      <c r="J82" t="s">
        <v>356</v>
      </c>
      <c r="K82">
        <v>5</v>
      </c>
      <c r="L82">
        <v>50</v>
      </c>
      <c r="M82">
        <v>80</v>
      </c>
      <c r="N82">
        <v>50</v>
      </c>
      <c r="O82">
        <f t="shared" si="13"/>
        <v>-30</v>
      </c>
      <c r="P82">
        <v>75</v>
      </c>
      <c r="Q82">
        <v>75</v>
      </c>
      <c r="R82">
        <v>70</v>
      </c>
      <c r="S82">
        <f t="shared" si="14"/>
        <v>72.5</v>
      </c>
      <c r="T82">
        <f t="shared" si="15"/>
        <v>1.45</v>
      </c>
      <c r="V82" t="s">
        <v>121</v>
      </c>
      <c r="W82" t="s">
        <v>114</v>
      </c>
      <c r="X82">
        <v>22.3</v>
      </c>
      <c r="Y82">
        <v>24.7</v>
      </c>
      <c r="Z82">
        <v>24.3</v>
      </c>
      <c r="AA82">
        <v>23.766666669999999</v>
      </c>
      <c r="AB82">
        <v>23.766666669999999</v>
      </c>
      <c r="AC82">
        <v>19.8</v>
      </c>
      <c r="AD82">
        <v>22.3</v>
      </c>
      <c r="AE82">
        <v>19.8</v>
      </c>
      <c r="AF82">
        <v>20.633333329999999</v>
      </c>
      <c r="AG82">
        <v>28.7</v>
      </c>
      <c r="AH82">
        <v>23.3</v>
      </c>
      <c r="AI82">
        <v>23.8</v>
      </c>
      <c r="AJ82">
        <v>25.266666669999999</v>
      </c>
      <c r="AK82">
        <v>23.3</v>
      </c>
      <c r="AL82">
        <v>24.7</v>
      </c>
      <c r="AM82">
        <v>23.3</v>
      </c>
      <c r="AN82">
        <v>23.766666669999999</v>
      </c>
      <c r="AO82">
        <v>25.266666669999999</v>
      </c>
      <c r="AP82">
        <v>6.3</v>
      </c>
      <c r="AQ82">
        <v>7.6</v>
      </c>
      <c r="AR82">
        <v>9.1999999999999993</v>
      </c>
      <c r="AS82">
        <v>7.7</v>
      </c>
      <c r="AT82">
        <v>7.6</v>
      </c>
      <c r="AU82">
        <v>7.9</v>
      </c>
      <c r="AV82">
        <v>9.1999999999999993</v>
      </c>
      <c r="AW82">
        <v>8.2333333329999991</v>
      </c>
      <c r="AX82">
        <v>7.7</v>
      </c>
      <c r="AY82">
        <v>-16.06666667</v>
      </c>
      <c r="AZ82">
        <v>20</v>
      </c>
      <c r="BA82">
        <v>35</v>
      </c>
      <c r="BB82">
        <v>1</v>
      </c>
      <c r="BC82">
        <v>1</v>
      </c>
      <c r="BD82">
        <v>1</v>
      </c>
      <c r="BE82">
        <v>1</v>
      </c>
      <c r="BF82">
        <v>0</v>
      </c>
      <c r="BG82">
        <v>0</v>
      </c>
      <c r="BI82">
        <v>15.3</v>
      </c>
      <c r="BJ82">
        <v>42.4</v>
      </c>
      <c r="BK82">
        <v>0</v>
      </c>
      <c r="BL82">
        <v>9</v>
      </c>
      <c r="BM82">
        <v>9</v>
      </c>
      <c r="BN82">
        <v>184</v>
      </c>
      <c r="BO82">
        <v>253</v>
      </c>
      <c r="BP82">
        <f t="shared" si="16"/>
        <v>-69</v>
      </c>
      <c r="BQ82">
        <v>253</v>
      </c>
      <c r="BR82">
        <f t="shared" si="17"/>
        <v>-69</v>
      </c>
      <c r="BS82">
        <v>20.2237818525</v>
      </c>
      <c r="BT82">
        <v>1.7446380617499999</v>
      </c>
      <c r="BU82">
        <v>18.277830982499999</v>
      </c>
      <c r="BV82">
        <v>-19.3693042425</v>
      </c>
      <c r="BW82">
        <v>-1.22575604525</v>
      </c>
      <c r="BX82">
        <v>18.277830982499999</v>
      </c>
      <c r="BY82">
        <v>212.27123331155701</v>
      </c>
      <c r="BZ82">
        <v>7.8279783999562698</v>
      </c>
      <c r="CA82">
        <v>98.437260094861202</v>
      </c>
      <c r="CB82">
        <v>257.37977408352998</v>
      </c>
      <c r="CC82">
        <v>9.8830238453427803</v>
      </c>
      <c r="CD82">
        <v>98.437260094861202</v>
      </c>
      <c r="CE82" t="s">
        <v>114</v>
      </c>
      <c r="CF82" t="s">
        <v>114</v>
      </c>
      <c r="CG82" t="s">
        <v>114</v>
      </c>
      <c r="CH82">
        <v>19.463640865999999</v>
      </c>
      <c r="CI82">
        <v>1.4777188332</v>
      </c>
      <c r="CJ82">
        <v>15.345884807999999</v>
      </c>
      <c r="CK82" t="s">
        <v>114</v>
      </c>
      <c r="CL82">
        <v>-18.780058778000001</v>
      </c>
      <c r="CM82">
        <v>-0.89859645239999997</v>
      </c>
      <c r="CN82">
        <v>15.345884807999999</v>
      </c>
      <c r="CO82" t="s">
        <v>114</v>
      </c>
      <c r="CP82">
        <v>162.092496580453</v>
      </c>
      <c r="CQ82">
        <v>6.2272131728158397</v>
      </c>
      <c r="CR82">
        <v>116.809486921972</v>
      </c>
      <c r="CS82" t="s">
        <v>114</v>
      </c>
      <c r="CT82">
        <v>194.770881649816</v>
      </c>
      <c r="CU82">
        <v>7.9474348799759698</v>
      </c>
      <c r="CV82">
        <v>116.809486921972</v>
      </c>
      <c r="CW82" t="s">
        <v>114</v>
      </c>
    </row>
    <row r="83" spans="1:101" x14ac:dyDescent="0.25">
      <c r="A83" t="s">
        <v>10</v>
      </c>
      <c r="B83">
        <v>15</v>
      </c>
      <c r="C83" t="s">
        <v>11</v>
      </c>
      <c r="D83" t="s">
        <v>94</v>
      </c>
      <c r="E83" t="s">
        <v>102</v>
      </c>
      <c r="F83" t="s">
        <v>145</v>
      </c>
      <c r="G83" t="s">
        <v>265</v>
      </c>
      <c r="H83" t="str">
        <f t="shared" si="12"/>
        <v>A.calendula.Highcomp.Open</v>
      </c>
      <c r="I83" t="s">
        <v>698</v>
      </c>
      <c r="J83" t="s">
        <v>357</v>
      </c>
      <c r="K83">
        <v>2</v>
      </c>
      <c r="L83">
        <v>120</v>
      </c>
      <c r="M83">
        <v>100</v>
      </c>
      <c r="N83">
        <v>120</v>
      </c>
      <c r="O83">
        <f t="shared" si="13"/>
        <v>20</v>
      </c>
      <c r="P83">
        <v>120</v>
      </c>
      <c r="Q83">
        <v>120</v>
      </c>
      <c r="R83">
        <v>75</v>
      </c>
      <c r="S83">
        <f t="shared" si="14"/>
        <v>97.5</v>
      </c>
      <c r="T83">
        <f t="shared" si="15"/>
        <v>0.8125</v>
      </c>
      <c r="U83" t="s">
        <v>15</v>
      </c>
      <c r="V83" t="s">
        <v>102</v>
      </c>
      <c r="W83">
        <v>110</v>
      </c>
      <c r="X83">
        <v>19.3</v>
      </c>
      <c r="Y83">
        <v>20.3</v>
      </c>
      <c r="Z83">
        <v>22.3</v>
      </c>
      <c r="AA83">
        <v>20.633333329999999</v>
      </c>
      <c r="AB83">
        <v>20.633333329999999</v>
      </c>
      <c r="AC83">
        <v>19.3</v>
      </c>
      <c r="AD83">
        <v>22.8</v>
      </c>
      <c r="AE83">
        <v>21.8</v>
      </c>
      <c r="AF83">
        <v>21.3</v>
      </c>
      <c r="AG83">
        <v>16.399999999999999</v>
      </c>
      <c r="AH83">
        <v>24.3</v>
      </c>
      <c r="AI83">
        <v>25.7</v>
      </c>
      <c r="AJ83">
        <v>22.133333329999999</v>
      </c>
      <c r="AK83">
        <v>22.8</v>
      </c>
      <c r="AL83">
        <v>27.2</v>
      </c>
      <c r="AM83">
        <v>24.7</v>
      </c>
      <c r="AN83">
        <v>24.9</v>
      </c>
      <c r="AO83">
        <v>22.133333329999999</v>
      </c>
      <c r="AP83">
        <v>8.5</v>
      </c>
      <c r="AQ83">
        <v>9</v>
      </c>
      <c r="AR83">
        <v>11</v>
      </c>
      <c r="AS83">
        <v>9.5</v>
      </c>
      <c r="AT83">
        <v>11.5</v>
      </c>
      <c r="AU83">
        <v>10</v>
      </c>
      <c r="AV83">
        <v>8.5</v>
      </c>
      <c r="AW83">
        <v>10</v>
      </c>
      <c r="AX83">
        <v>9.5</v>
      </c>
      <c r="AY83">
        <v>-11.133333329999999</v>
      </c>
      <c r="AZ83">
        <v>5</v>
      </c>
      <c r="BA83">
        <v>20</v>
      </c>
      <c r="BB83">
        <v>5</v>
      </c>
      <c r="BC83">
        <v>40</v>
      </c>
      <c r="BD83">
        <v>2</v>
      </c>
      <c r="BE83">
        <v>1</v>
      </c>
      <c r="BF83">
        <v>0</v>
      </c>
      <c r="BG83">
        <v>1</v>
      </c>
      <c r="BI83">
        <v>18.3</v>
      </c>
      <c r="BJ83">
        <v>2.7770000000000001</v>
      </c>
      <c r="BK83">
        <v>0</v>
      </c>
      <c r="BL83">
        <v>15</v>
      </c>
      <c r="BM83">
        <v>13</v>
      </c>
      <c r="BN83">
        <v>619</v>
      </c>
      <c r="BO83">
        <v>383.66669999999999</v>
      </c>
      <c r="BP83">
        <f t="shared" si="16"/>
        <v>235.33330000000001</v>
      </c>
      <c r="BQ83">
        <v>203</v>
      </c>
      <c r="BR83">
        <f t="shared" si="17"/>
        <v>416</v>
      </c>
      <c r="BS83">
        <v>5.1153439150000004</v>
      </c>
      <c r="BT83">
        <v>0.4970169445</v>
      </c>
      <c r="BU83">
        <v>2.4255479599999998</v>
      </c>
      <c r="BV83">
        <v>-5.1153439150000004</v>
      </c>
      <c r="BW83">
        <v>0.4970169445</v>
      </c>
      <c r="BX83">
        <v>2.4255479599999998</v>
      </c>
      <c r="BY83">
        <v>52.333486737455097</v>
      </c>
      <c r="BZ83">
        <v>0.49405168624023199</v>
      </c>
      <c r="CA83">
        <v>11.7665658125203</v>
      </c>
      <c r="CB83">
        <v>52.333486737455097</v>
      </c>
      <c r="CC83">
        <v>0.49405168624023199</v>
      </c>
      <c r="CD83">
        <v>11.7665658125203</v>
      </c>
      <c r="CE83">
        <v>0.38332100000000002</v>
      </c>
      <c r="CF83">
        <v>0.29386997808199999</v>
      </c>
      <c r="CG83">
        <v>0.38332100000000002</v>
      </c>
      <c r="CH83">
        <v>5.1153439150000004</v>
      </c>
      <c r="CI83">
        <v>0.4970169445</v>
      </c>
      <c r="CJ83">
        <v>2.4255479599999998</v>
      </c>
      <c r="CK83">
        <v>0.38332100000000002</v>
      </c>
      <c r="CL83">
        <v>-5.1153439150000004</v>
      </c>
      <c r="CM83">
        <v>0.4970169445</v>
      </c>
      <c r="CN83">
        <v>2.4255479599999998</v>
      </c>
      <c r="CO83">
        <v>0.29386997808199999</v>
      </c>
      <c r="CP83">
        <v>52.333486737455097</v>
      </c>
      <c r="CQ83">
        <v>0.49405168624023199</v>
      </c>
      <c r="CR83">
        <v>11.7665658125203</v>
      </c>
      <c r="CS83">
        <v>0.29386997808199999</v>
      </c>
      <c r="CT83">
        <v>52.333486737455097</v>
      </c>
      <c r="CU83">
        <v>0.49405168624023199</v>
      </c>
      <c r="CV83">
        <v>11.7665658125203</v>
      </c>
      <c r="CW83">
        <v>0.38332100000000002</v>
      </c>
    </row>
    <row r="84" spans="1:101" x14ac:dyDescent="0.25">
      <c r="A84" t="s">
        <v>10</v>
      </c>
      <c r="B84">
        <v>15</v>
      </c>
      <c r="C84" t="s">
        <v>11</v>
      </c>
      <c r="D84" t="s">
        <v>94</v>
      </c>
      <c r="E84" t="s">
        <v>105</v>
      </c>
      <c r="F84" t="s">
        <v>145</v>
      </c>
      <c r="G84" t="s">
        <v>266</v>
      </c>
      <c r="H84" t="str">
        <f t="shared" si="12"/>
        <v>H.glabra.Highcomp.Open</v>
      </c>
      <c r="I84" t="s">
        <v>699</v>
      </c>
      <c r="J84" t="s">
        <v>358</v>
      </c>
      <c r="K84">
        <v>3</v>
      </c>
      <c r="L84">
        <v>10</v>
      </c>
      <c r="M84">
        <v>20</v>
      </c>
      <c r="N84">
        <v>10</v>
      </c>
      <c r="O84">
        <f t="shared" si="13"/>
        <v>-10</v>
      </c>
      <c r="P84">
        <v>65</v>
      </c>
      <c r="Q84">
        <v>65</v>
      </c>
      <c r="R84">
        <v>60</v>
      </c>
      <c r="S84">
        <f t="shared" si="14"/>
        <v>62.5</v>
      </c>
      <c r="T84">
        <f t="shared" si="15"/>
        <v>6.25</v>
      </c>
      <c r="U84" t="s">
        <v>15</v>
      </c>
      <c r="V84" t="s">
        <v>121</v>
      </c>
      <c r="W84" t="s">
        <v>114</v>
      </c>
      <c r="X84">
        <v>19.3</v>
      </c>
      <c r="Y84">
        <v>20.3</v>
      </c>
      <c r="Z84">
        <v>22.3</v>
      </c>
      <c r="AA84">
        <v>20.633333329999999</v>
      </c>
      <c r="AB84">
        <v>20.633333329999999</v>
      </c>
      <c r="AC84">
        <v>18.399999999999999</v>
      </c>
      <c r="AD84">
        <v>15.4</v>
      </c>
      <c r="AE84">
        <v>17.399999999999999</v>
      </c>
      <c r="AF84">
        <v>17.06666667</v>
      </c>
      <c r="AG84">
        <v>16.399999999999999</v>
      </c>
      <c r="AH84">
        <v>24.3</v>
      </c>
      <c r="AI84">
        <v>25.7</v>
      </c>
      <c r="AJ84">
        <v>22.133333329999999</v>
      </c>
      <c r="AK84">
        <v>19.3</v>
      </c>
      <c r="AL84">
        <v>23.8</v>
      </c>
      <c r="AM84">
        <v>22.3</v>
      </c>
      <c r="AN84">
        <v>21.8</v>
      </c>
      <c r="AO84">
        <v>22.133333329999999</v>
      </c>
      <c r="AP84">
        <v>8.5</v>
      </c>
      <c r="AQ84">
        <v>9</v>
      </c>
      <c r="AR84">
        <v>11</v>
      </c>
      <c r="AS84">
        <v>9.5</v>
      </c>
      <c r="AT84">
        <v>6.6</v>
      </c>
      <c r="AU84">
        <v>9</v>
      </c>
      <c r="AV84">
        <v>9</v>
      </c>
      <c r="AW84">
        <v>8.1999999999999993</v>
      </c>
      <c r="AX84">
        <v>9.5</v>
      </c>
      <c r="AY84">
        <v>-11.133333329999999</v>
      </c>
      <c r="AZ84">
        <v>5</v>
      </c>
      <c r="BA84">
        <v>20</v>
      </c>
      <c r="BB84">
        <v>5</v>
      </c>
      <c r="BC84">
        <v>40</v>
      </c>
      <c r="BD84">
        <v>2</v>
      </c>
      <c r="BE84">
        <v>1</v>
      </c>
      <c r="BF84">
        <v>0</v>
      </c>
      <c r="BG84">
        <v>1</v>
      </c>
      <c r="BI84">
        <v>18.3</v>
      </c>
      <c r="BJ84">
        <v>2.7770000000000001</v>
      </c>
      <c r="BK84">
        <v>0</v>
      </c>
      <c r="BL84">
        <v>7</v>
      </c>
      <c r="BM84">
        <v>5</v>
      </c>
      <c r="BN84">
        <v>195</v>
      </c>
      <c r="BO84">
        <v>582</v>
      </c>
      <c r="BP84">
        <f t="shared" si="16"/>
        <v>-387</v>
      </c>
      <c r="BQ84">
        <v>550</v>
      </c>
      <c r="BR84">
        <f t="shared" si="17"/>
        <v>-355</v>
      </c>
      <c r="BS84">
        <v>26.96875</v>
      </c>
      <c r="BT84">
        <v>1.9901746485</v>
      </c>
      <c r="BU84">
        <v>16.84640954</v>
      </c>
      <c r="BV84">
        <v>-26.96875</v>
      </c>
      <c r="BW84">
        <v>-1.9901746485</v>
      </c>
      <c r="BX84">
        <v>16.84640954</v>
      </c>
      <c r="BY84">
        <v>758.064453125</v>
      </c>
      <c r="BZ84">
        <v>8.1031878126122702E-4</v>
      </c>
      <c r="CA84">
        <v>10.4395371023649</v>
      </c>
      <c r="CB84">
        <v>758.064453125</v>
      </c>
      <c r="CC84">
        <v>8.1031878126122702E-4</v>
      </c>
      <c r="CD84">
        <v>10.4395371023649</v>
      </c>
      <c r="CE84">
        <v>1.7595697400000001</v>
      </c>
      <c r="CF84">
        <v>1.02121028001792E-2</v>
      </c>
      <c r="CG84">
        <v>1.78338862</v>
      </c>
      <c r="CH84">
        <v>20.4791666666667</v>
      </c>
      <c r="CI84">
        <v>1.9834651246666699</v>
      </c>
      <c r="CJ84">
        <v>17.607969966666701</v>
      </c>
      <c r="CK84">
        <v>1.78338862</v>
      </c>
      <c r="CL84">
        <v>-20.4791666666667</v>
      </c>
      <c r="CM84">
        <v>-1.9834651246666699</v>
      </c>
      <c r="CN84">
        <v>17.607969966666701</v>
      </c>
      <c r="CO84">
        <v>6.8080685334527902E-3</v>
      </c>
      <c r="CP84">
        <v>505.37630208333297</v>
      </c>
      <c r="CQ84">
        <v>5.4021252084081805E-4</v>
      </c>
      <c r="CR84">
        <v>6.9596914015765803</v>
      </c>
      <c r="CS84">
        <v>6.8080685334527902E-3</v>
      </c>
      <c r="CT84">
        <v>505.37630208333297</v>
      </c>
      <c r="CU84">
        <v>5.4021252084081805E-4</v>
      </c>
      <c r="CV84">
        <v>6.9596914015765803</v>
      </c>
      <c r="CW84">
        <v>1.7595697400000001</v>
      </c>
    </row>
    <row r="85" spans="1:101" x14ac:dyDescent="0.25">
      <c r="A85" t="s">
        <v>10</v>
      </c>
      <c r="B85">
        <v>15</v>
      </c>
      <c r="C85" t="s">
        <v>11</v>
      </c>
      <c r="D85" t="s">
        <v>94</v>
      </c>
      <c r="E85" t="s">
        <v>103</v>
      </c>
      <c r="F85" t="s">
        <v>145</v>
      </c>
      <c r="G85" t="s">
        <v>260</v>
      </c>
      <c r="H85" t="str">
        <f t="shared" si="12"/>
        <v>P.airoides.Highcomp.Open</v>
      </c>
      <c r="I85" t="s">
        <v>700</v>
      </c>
      <c r="J85" t="s">
        <v>359</v>
      </c>
      <c r="K85">
        <v>1</v>
      </c>
      <c r="L85">
        <v>50</v>
      </c>
      <c r="M85">
        <v>60</v>
      </c>
      <c r="N85">
        <v>50</v>
      </c>
      <c r="O85">
        <f t="shared" si="13"/>
        <v>-10</v>
      </c>
      <c r="P85">
        <v>20</v>
      </c>
      <c r="Q85">
        <v>20</v>
      </c>
      <c r="R85">
        <v>13</v>
      </c>
      <c r="S85">
        <f t="shared" si="14"/>
        <v>16.5</v>
      </c>
      <c r="T85">
        <f t="shared" si="15"/>
        <v>0.33</v>
      </c>
      <c r="U85" t="s">
        <v>15</v>
      </c>
      <c r="V85" t="s">
        <v>121</v>
      </c>
      <c r="W85" t="s">
        <v>114</v>
      </c>
      <c r="X85">
        <v>19.3</v>
      </c>
      <c r="Y85">
        <v>20.3</v>
      </c>
      <c r="Z85">
        <v>22.3</v>
      </c>
      <c r="AA85">
        <v>20.633333329999999</v>
      </c>
      <c r="AB85">
        <v>20.633333329999999</v>
      </c>
      <c r="AC85">
        <v>18.899999999999999</v>
      </c>
      <c r="AD85">
        <v>21.3</v>
      </c>
      <c r="AE85">
        <v>22.3</v>
      </c>
      <c r="AF85">
        <v>20.833333329999999</v>
      </c>
      <c r="AG85">
        <v>16.399999999999999</v>
      </c>
      <c r="AH85">
        <v>24.3</v>
      </c>
      <c r="AI85">
        <v>25.7</v>
      </c>
      <c r="AJ85">
        <v>22.133333329999999</v>
      </c>
      <c r="AK85">
        <v>24.3</v>
      </c>
      <c r="AL85">
        <v>24.3</v>
      </c>
      <c r="AM85">
        <v>19.3</v>
      </c>
      <c r="AN85">
        <v>22.633333329999999</v>
      </c>
      <c r="AO85">
        <v>22.133333329999999</v>
      </c>
      <c r="AP85">
        <v>8.5</v>
      </c>
      <c r="AQ85">
        <v>9</v>
      </c>
      <c r="AR85">
        <v>11</v>
      </c>
      <c r="AS85">
        <v>9.5</v>
      </c>
      <c r="AT85">
        <v>8.5</v>
      </c>
      <c r="AU85">
        <v>8.5</v>
      </c>
      <c r="AV85">
        <v>8.5</v>
      </c>
      <c r="AW85">
        <v>8.5</v>
      </c>
      <c r="AX85">
        <v>9.5</v>
      </c>
      <c r="AY85">
        <v>-11.133333329999999</v>
      </c>
      <c r="AZ85">
        <v>5</v>
      </c>
      <c r="BA85">
        <v>20</v>
      </c>
      <c r="BB85">
        <v>5</v>
      </c>
      <c r="BC85">
        <v>40</v>
      </c>
      <c r="BD85">
        <v>2</v>
      </c>
      <c r="BE85">
        <v>1</v>
      </c>
      <c r="BF85">
        <v>0</v>
      </c>
      <c r="BG85">
        <v>1</v>
      </c>
      <c r="BI85">
        <v>18.3</v>
      </c>
      <c r="BJ85">
        <v>2.7770000000000001</v>
      </c>
      <c r="BK85">
        <v>0</v>
      </c>
      <c r="BL85">
        <v>3</v>
      </c>
      <c r="BM85">
        <v>3</v>
      </c>
      <c r="BN85">
        <v>155</v>
      </c>
      <c r="BO85">
        <v>274</v>
      </c>
      <c r="BP85">
        <f t="shared" si="16"/>
        <v>-119</v>
      </c>
      <c r="BQ85">
        <v>402</v>
      </c>
      <c r="BR85">
        <f t="shared" si="17"/>
        <v>-247</v>
      </c>
      <c r="BS85" t="s">
        <v>114</v>
      </c>
      <c r="BT85" t="s">
        <v>114</v>
      </c>
      <c r="BU85" t="s">
        <v>114</v>
      </c>
      <c r="BV85" t="s">
        <v>114</v>
      </c>
      <c r="BW85" t="s">
        <v>114</v>
      </c>
      <c r="BX85" t="s">
        <v>114</v>
      </c>
      <c r="BY85" t="s">
        <v>114</v>
      </c>
      <c r="BZ85" t="s">
        <v>114</v>
      </c>
      <c r="CA85" t="s">
        <v>114</v>
      </c>
      <c r="CB85" t="s">
        <v>114</v>
      </c>
      <c r="CC85" t="s">
        <v>114</v>
      </c>
      <c r="CD85" t="s">
        <v>114</v>
      </c>
      <c r="CE85" t="s">
        <v>114</v>
      </c>
      <c r="CF85" t="s">
        <v>114</v>
      </c>
      <c r="CG85" t="s">
        <v>114</v>
      </c>
      <c r="CH85" t="s">
        <v>114</v>
      </c>
      <c r="CI85" t="s">
        <v>114</v>
      </c>
      <c r="CJ85" t="s">
        <v>114</v>
      </c>
      <c r="CK85" t="s">
        <v>114</v>
      </c>
      <c r="CL85" t="s">
        <v>114</v>
      </c>
      <c r="CM85" t="s">
        <v>114</v>
      </c>
      <c r="CN85" t="s">
        <v>114</v>
      </c>
      <c r="CO85" t="s">
        <v>114</v>
      </c>
      <c r="CP85" t="s">
        <v>114</v>
      </c>
      <c r="CQ85" t="s">
        <v>114</v>
      </c>
      <c r="CR85" t="s">
        <v>114</v>
      </c>
      <c r="CS85" t="s">
        <v>114</v>
      </c>
      <c r="CT85" t="s">
        <v>114</v>
      </c>
      <c r="CU85" t="s">
        <v>114</v>
      </c>
      <c r="CV85" t="s">
        <v>114</v>
      </c>
      <c r="CW85" t="s">
        <v>114</v>
      </c>
    </row>
    <row r="86" spans="1:101" x14ac:dyDescent="0.25">
      <c r="A86" t="s">
        <v>10</v>
      </c>
      <c r="B86">
        <v>15</v>
      </c>
      <c r="C86" t="s">
        <v>11</v>
      </c>
      <c r="D86" t="s">
        <v>94</v>
      </c>
      <c r="E86" t="s">
        <v>104</v>
      </c>
      <c r="F86" t="s">
        <v>145</v>
      </c>
      <c r="G86" t="s">
        <v>264</v>
      </c>
      <c r="H86" t="str">
        <f t="shared" si="12"/>
        <v>T.cyanopetala.Highcomp.Open</v>
      </c>
      <c r="I86" t="s">
        <v>701</v>
      </c>
      <c r="J86" t="s">
        <v>360</v>
      </c>
      <c r="K86">
        <v>6</v>
      </c>
      <c r="L86">
        <v>40</v>
      </c>
      <c r="M86">
        <v>20</v>
      </c>
      <c r="N86">
        <v>40</v>
      </c>
      <c r="O86">
        <f t="shared" si="13"/>
        <v>20</v>
      </c>
      <c r="P86">
        <v>7</v>
      </c>
      <c r="Q86">
        <v>7</v>
      </c>
      <c r="R86">
        <v>5</v>
      </c>
      <c r="S86">
        <f t="shared" si="14"/>
        <v>6</v>
      </c>
      <c r="T86">
        <f t="shared" si="15"/>
        <v>0.15</v>
      </c>
      <c r="U86" t="s">
        <v>29</v>
      </c>
      <c r="V86" t="s">
        <v>121</v>
      </c>
      <c r="W86" t="s">
        <v>114</v>
      </c>
      <c r="X86">
        <v>19.3</v>
      </c>
      <c r="Y86">
        <v>20.3</v>
      </c>
      <c r="Z86">
        <v>22.3</v>
      </c>
      <c r="AA86">
        <v>20.633333329999999</v>
      </c>
      <c r="AB86">
        <v>20.633333329999999</v>
      </c>
      <c r="AC86">
        <v>19.8</v>
      </c>
      <c r="AD86">
        <v>18.899999999999999</v>
      </c>
      <c r="AE86">
        <v>22</v>
      </c>
      <c r="AF86">
        <v>20.233333330000001</v>
      </c>
      <c r="AG86">
        <v>16.399999999999999</v>
      </c>
      <c r="AH86">
        <v>24.3</v>
      </c>
      <c r="AI86">
        <v>25.7</v>
      </c>
      <c r="AJ86">
        <v>22.133333329999999</v>
      </c>
      <c r="AK86">
        <v>25.7</v>
      </c>
      <c r="AL86">
        <v>24.3</v>
      </c>
      <c r="AM86">
        <v>22.3</v>
      </c>
      <c r="AN86">
        <v>24.1</v>
      </c>
      <c r="AO86">
        <v>22.133333329999999</v>
      </c>
      <c r="AP86">
        <v>8.5</v>
      </c>
      <c r="AQ86">
        <v>9</v>
      </c>
      <c r="AR86">
        <v>11</v>
      </c>
      <c r="AS86">
        <v>9.5</v>
      </c>
      <c r="AT86">
        <v>13</v>
      </c>
      <c r="AU86">
        <v>9</v>
      </c>
      <c r="AV86">
        <v>9</v>
      </c>
      <c r="AW86">
        <v>10.33333333</v>
      </c>
      <c r="AX86">
        <v>9.5</v>
      </c>
      <c r="AY86">
        <v>-11.133333329999999</v>
      </c>
      <c r="AZ86">
        <v>5</v>
      </c>
      <c r="BA86">
        <v>20</v>
      </c>
      <c r="BB86">
        <v>5</v>
      </c>
      <c r="BC86">
        <v>40</v>
      </c>
      <c r="BD86">
        <v>2</v>
      </c>
      <c r="BE86">
        <v>1</v>
      </c>
      <c r="BF86">
        <v>0</v>
      </c>
      <c r="BG86">
        <v>1</v>
      </c>
      <c r="BI86">
        <v>18.3</v>
      </c>
      <c r="BJ86">
        <v>2.7770000000000001</v>
      </c>
      <c r="BK86">
        <v>0</v>
      </c>
      <c r="BL86">
        <v>2</v>
      </c>
      <c r="BM86">
        <v>2</v>
      </c>
      <c r="BN86">
        <v>4</v>
      </c>
      <c r="BO86">
        <v>31</v>
      </c>
      <c r="BP86">
        <f t="shared" si="16"/>
        <v>-27</v>
      </c>
      <c r="BQ86">
        <v>20</v>
      </c>
      <c r="BR86">
        <f t="shared" si="17"/>
        <v>-16</v>
      </c>
      <c r="BS86">
        <v>25.4375</v>
      </c>
      <c r="BT86" t="s">
        <v>114</v>
      </c>
      <c r="BU86">
        <v>9.6620416299999992</v>
      </c>
      <c r="BV86">
        <v>-25.4375</v>
      </c>
      <c r="BW86" t="s">
        <v>114</v>
      </c>
      <c r="BX86">
        <v>9.6620416299999992</v>
      </c>
      <c r="BY86" t="s">
        <v>114</v>
      </c>
      <c r="BZ86" t="s">
        <v>114</v>
      </c>
      <c r="CA86" t="s">
        <v>114</v>
      </c>
      <c r="CB86" t="s">
        <v>114</v>
      </c>
      <c r="CC86" t="s">
        <v>114</v>
      </c>
      <c r="CD86" t="s">
        <v>114</v>
      </c>
      <c r="CE86" t="s">
        <v>114</v>
      </c>
      <c r="CF86" t="s">
        <v>114</v>
      </c>
      <c r="CG86" t="s">
        <v>114</v>
      </c>
      <c r="CH86">
        <v>25.4375</v>
      </c>
      <c r="CI86" t="s">
        <v>114</v>
      </c>
      <c r="CJ86">
        <v>9.6620416299999992</v>
      </c>
      <c r="CK86" t="s">
        <v>114</v>
      </c>
      <c r="CL86">
        <v>-25.4375</v>
      </c>
      <c r="CM86" t="s">
        <v>114</v>
      </c>
      <c r="CN86">
        <v>9.6620416299999992</v>
      </c>
      <c r="CO86" t="s">
        <v>114</v>
      </c>
      <c r="CP86">
        <v>0</v>
      </c>
      <c r="CQ86" t="s">
        <v>114</v>
      </c>
      <c r="CR86">
        <v>0</v>
      </c>
      <c r="CS86" t="s">
        <v>114</v>
      </c>
      <c r="CT86">
        <v>0</v>
      </c>
      <c r="CU86" t="s">
        <v>114</v>
      </c>
      <c r="CV86">
        <v>0</v>
      </c>
      <c r="CW86" t="s">
        <v>114</v>
      </c>
    </row>
    <row r="87" spans="1:101" x14ac:dyDescent="0.25">
      <c r="A87" t="s">
        <v>14</v>
      </c>
      <c r="B87">
        <v>15</v>
      </c>
      <c r="C87" t="s">
        <v>15</v>
      </c>
      <c r="D87" t="s">
        <v>94</v>
      </c>
      <c r="E87" t="s">
        <v>102</v>
      </c>
      <c r="F87" t="s">
        <v>145</v>
      </c>
      <c r="G87" t="s">
        <v>265</v>
      </c>
      <c r="H87" t="str">
        <f t="shared" si="12"/>
        <v>A.calendula.Highcomp.Open</v>
      </c>
      <c r="I87" t="s">
        <v>698</v>
      </c>
      <c r="J87" t="s">
        <v>361</v>
      </c>
      <c r="K87" t="s">
        <v>114</v>
      </c>
      <c r="L87">
        <v>40</v>
      </c>
      <c r="M87">
        <v>30</v>
      </c>
      <c r="N87">
        <v>40</v>
      </c>
      <c r="O87">
        <f t="shared" si="13"/>
        <v>10</v>
      </c>
      <c r="P87">
        <v>110</v>
      </c>
      <c r="Q87">
        <v>110</v>
      </c>
      <c r="R87">
        <v>70</v>
      </c>
      <c r="S87">
        <f t="shared" si="14"/>
        <v>90</v>
      </c>
      <c r="T87">
        <f t="shared" si="15"/>
        <v>2.25</v>
      </c>
      <c r="U87" t="s">
        <v>15</v>
      </c>
      <c r="V87" t="s">
        <v>121</v>
      </c>
      <c r="W87" t="s">
        <v>114</v>
      </c>
      <c r="X87">
        <v>23.8</v>
      </c>
      <c r="Y87">
        <v>22.3</v>
      </c>
      <c r="Z87">
        <v>18.399999999999999</v>
      </c>
      <c r="AA87">
        <v>21.5</v>
      </c>
      <c r="AB87">
        <v>21.5</v>
      </c>
      <c r="AC87">
        <v>19.3</v>
      </c>
      <c r="AD87">
        <v>21.3</v>
      </c>
      <c r="AE87">
        <v>23.3</v>
      </c>
      <c r="AF87">
        <v>21.3</v>
      </c>
      <c r="AG87">
        <v>21.8</v>
      </c>
      <c r="AH87">
        <v>27.2</v>
      </c>
      <c r="AI87">
        <v>24.3</v>
      </c>
      <c r="AJ87">
        <v>24.43333333</v>
      </c>
      <c r="AK87">
        <v>28.7</v>
      </c>
      <c r="AL87">
        <v>22.8</v>
      </c>
      <c r="AM87">
        <v>26.7</v>
      </c>
      <c r="AN87">
        <v>26.06666667</v>
      </c>
      <c r="AO87">
        <v>24.43333333</v>
      </c>
      <c r="AP87">
        <v>6.1</v>
      </c>
      <c r="AQ87">
        <v>9.5</v>
      </c>
      <c r="AR87">
        <v>9.5</v>
      </c>
      <c r="AS87">
        <v>8.3666666670000005</v>
      </c>
      <c r="AT87">
        <v>8.5</v>
      </c>
      <c r="AU87">
        <v>9.5</v>
      </c>
      <c r="AV87">
        <v>10.5</v>
      </c>
      <c r="AW87">
        <v>9.5</v>
      </c>
      <c r="AX87">
        <v>8.3666666670000005</v>
      </c>
      <c r="AY87">
        <v>-13.133333329999999</v>
      </c>
      <c r="AZ87">
        <v>40</v>
      </c>
      <c r="BA87">
        <v>20</v>
      </c>
      <c r="BB87">
        <v>20</v>
      </c>
      <c r="BC87">
        <v>10</v>
      </c>
      <c r="BD87">
        <v>0</v>
      </c>
      <c r="BE87">
        <v>1</v>
      </c>
      <c r="BF87">
        <v>1</v>
      </c>
      <c r="BG87">
        <v>1</v>
      </c>
      <c r="BI87">
        <v>13.6</v>
      </c>
      <c r="BJ87">
        <v>2.15</v>
      </c>
      <c r="BK87">
        <v>0</v>
      </c>
      <c r="BL87">
        <v>13</v>
      </c>
      <c r="BM87">
        <v>13</v>
      </c>
      <c r="BN87">
        <v>393</v>
      </c>
      <c r="BO87">
        <v>383.66669999999999</v>
      </c>
      <c r="BP87">
        <f t="shared" si="16"/>
        <v>9.3333000000000084</v>
      </c>
      <c r="BQ87">
        <v>325</v>
      </c>
      <c r="BR87">
        <f t="shared" si="17"/>
        <v>68</v>
      </c>
      <c r="BS87" t="s">
        <v>114</v>
      </c>
      <c r="BT87" t="s">
        <v>114</v>
      </c>
      <c r="BU87" t="s">
        <v>114</v>
      </c>
      <c r="BV87" t="s">
        <v>114</v>
      </c>
      <c r="BW87" t="s">
        <v>114</v>
      </c>
      <c r="BX87" t="s">
        <v>114</v>
      </c>
      <c r="BY87" t="s">
        <v>114</v>
      </c>
      <c r="BZ87" t="s">
        <v>114</v>
      </c>
      <c r="CA87" t="s">
        <v>114</v>
      </c>
      <c r="CB87" t="s">
        <v>114</v>
      </c>
      <c r="CC87" t="s">
        <v>114</v>
      </c>
      <c r="CD87" t="s">
        <v>114</v>
      </c>
      <c r="CE87" t="s">
        <v>114</v>
      </c>
      <c r="CF87" t="s">
        <v>114</v>
      </c>
      <c r="CG87" t="s">
        <v>114</v>
      </c>
      <c r="CH87" t="s">
        <v>114</v>
      </c>
      <c r="CI87" t="s">
        <v>114</v>
      </c>
      <c r="CJ87" t="s">
        <v>114</v>
      </c>
      <c r="CK87" t="s">
        <v>114</v>
      </c>
      <c r="CL87" t="s">
        <v>114</v>
      </c>
      <c r="CM87" t="s">
        <v>114</v>
      </c>
      <c r="CN87" t="s">
        <v>114</v>
      </c>
      <c r="CO87" t="s">
        <v>114</v>
      </c>
      <c r="CP87" t="s">
        <v>114</v>
      </c>
      <c r="CQ87" t="s">
        <v>114</v>
      </c>
      <c r="CR87" t="s">
        <v>114</v>
      </c>
      <c r="CS87" t="s">
        <v>114</v>
      </c>
      <c r="CT87" t="s">
        <v>114</v>
      </c>
      <c r="CU87" t="s">
        <v>114</v>
      </c>
      <c r="CV87" t="s">
        <v>114</v>
      </c>
      <c r="CW87" t="s">
        <v>114</v>
      </c>
    </row>
    <row r="88" spans="1:101" x14ac:dyDescent="0.25">
      <c r="A88" t="s">
        <v>14</v>
      </c>
      <c r="B88">
        <v>15</v>
      </c>
      <c r="C88" t="s">
        <v>15</v>
      </c>
      <c r="D88" t="s">
        <v>94</v>
      </c>
      <c r="E88" t="s">
        <v>110</v>
      </c>
      <c r="F88" t="s">
        <v>145</v>
      </c>
      <c r="G88" t="s">
        <v>262</v>
      </c>
      <c r="H88" t="str">
        <f t="shared" si="12"/>
        <v>M.minima.Highcomp.Open</v>
      </c>
      <c r="I88" t="s">
        <v>702</v>
      </c>
      <c r="J88" t="s">
        <v>362</v>
      </c>
      <c r="K88" t="s">
        <v>114</v>
      </c>
      <c r="L88">
        <v>35</v>
      </c>
      <c r="M88">
        <v>20</v>
      </c>
      <c r="N88">
        <v>35</v>
      </c>
      <c r="O88">
        <f t="shared" si="13"/>
        <v>15</v>
      </c>
      <c r="P88">
        <v>20</v>
      </c>
      <c r="Q88">
        <v>20</v>
      </c>
      <c r="R88">
        <v>0</v>
      </c>
      <c r="S88">
        <f t="shared" si="14"/>
        <v>10</v>
      </c>
      <c r="T88">
        <f t="shared" si="15"/>
        <v>0.2857142857142857</v>
      </c>
      <c r="U88" t="s">
        <v>23</v>
      </c>
      <c r="V88" t="s">
        <v>121</v>
      </c>
      <c r="W88" t="s">
        <v>114</v>
      </c>
      <c r="X88">
        <v>23.8</v>
      </c>
      <c r="Y88">
        <v>22.3</v>
      </c>
      <c r="Z88">
        <v>18.399999999999999</v>
      </c>
      <c r="AA88">
        <v>21.5</v>
      </c>
      <c r="AB88">
        <v>21.5</v>
      </c>
      <c r="AC88">
        <v>19.3</v>
      </c>
      <c r="AD88">
        <v>17.899999999999999</v>
      </c>
      <c r="AE88">
        <v>19.8</v>
      </c>
      <c r="AF88">
        <v>19</v>
      </c>
      <c r="AG88">
        <v>21.8</v>
      </c>
      <c r="AH88">
        <v>27.2</v>
      </c>
      <c r="AI88">
        <v>24.3</v>
      </c>
      <c r="AJ88">
        <v>24.43333333</v>
      </c>
      <c r="AK88">
        <v>29.2</v>
      </c>
      <c r="AL88">
        <v>22.3</v>
      </c>
      <c r="AM88">
        <v>25.2</v>
      </c>
      <c r="AN88">
        <v>25.56666667</v>
      </c>
      <c r="AO88">
        <v>24.43333333</v>
      </c>
      <c r="AP88">
        <v>6.1</v>
      </c>
      <c r="AQ88">
        <v>9.5</v>
      </c>
      <c r="AR88">
        <v>9.5</v>
      </c>
      <c r="AS88">
        <v>8.3666666670000005</v>
      </c>
      <c r="AT88">
        <v>9.5</v>
      </c>
      <c r="AU88">
        <v>10</v>
      </c>
      <c r="AV88">
        <v>8.1</v>
      </c>
      <c r="AW88">
        <v>9.1999999999999993</v>
      </c>
      <c r="AX88">
        <v>8.3666666670000005</v>
      </c>
      <c r="AY88">
        <v>-13.133333329999999</v>
      </c>
      <c r="AZ88">
        <v>40</v>
      </c>
      <c r="BA88">
        <v>20</v>
      </c>
      <c r="BB88">
        <v>20</v>
      </c>
      <c r="BC88">
        <v>10</v>
      </c>
      <c r="BD88">
        <v>0</v>
      </c>
      <c r="BE88">
        <v>1</v>
      </c>
      <c r="BF88">
        <v>1</v>
      </c>
      <c r="BG88">
        <v>1</v>
      </c>
      <c r="BI88">
        <v>13.6</v>
      </c>
      <c r="BJ88">
        <v>2.15</v>
      </c>
      <c r="BK88">
        <v>0</v>
      </c>
      <c r="BL88">
        <v>5</v>
      </c>
      <c r="BM88">
        <v>0</v>
      </c>
      <c r="BN88">
        <v>5</v>
      </c>
      <c r="BO88">
        <v>6</v>
      </c>
      <c r="BP88">
        <f t="shared" si="16"/>
        <v>-1</v>
      </c>
      <c r="BQ88">
        <v>5</v>
      </c>
      <c r="BR88">
        <f t="shared" si="17"/>
        <v>0</v>
      </c>
      <c r="BS88" t="s">
        <v>114</v>
      </c>
      <c r="BT88" t="s">
        <v>114</v>
      </c>
      <c r="BU88" t="s">
        <v>114</v>
      </c>
      <c r="BV88" t="s">
        <v>114</v>
      </c>
      <c r="BW88" t="s">
        <v>114</v>
      </c>
      <c r="BX88" t="s">
        <v>114</v>
      </c>
      <c r="BY88" t="s">
        <v>114</v>
      </c>
      <c r="BZ88" t="s">
        <v>114</v>
      </c>
      <c r="CA88" t="s">
        <v>114</v>
      </c>
      <c r="CB88" t="s">
        <v>114</v>
      </c>
      <c r="CC88" t="s">
        <v>114</v>
      </c>
      <c r="CD88" t="s">
        <v>114</v>
      </c>
      <c r="CE88" t="s">
        <v>114</v>
      </c>
      <c r="CF88" t="s">
        <v>114</v>
      </c>
      <c r="CG88" t="s">
        <v>114</v>
      </c>
      <c r="CH88" t="s">
        <v>114</v>
      </c>
      <c r="CI88" t="s">
        <v>114</v>
      </c>
      <c r="CJ88" t="s">
        <v>114</v>
      </c>
      <c r="CK88" t="s">
        <v>114</v>
      </c>
      <c r="CL88" t="s">
        <v>114</v>
      </c>
      <c r="CM88" t="s">
        <v>114</v>
      </c>
      <c r="CN88" t="s">
        <v>114</v>
      </c>
      <c r="CO88" t="s">
        <v>114</v>
      </c>
      <c r="CP88" t="s">
        <v>114</v>
      </c>
      <c r="CQ88" t="s">
        <v>114</v>
      </c>
      <c r="CR88" t="s">
        <v>114</v>
      </c>
      <c r="CS88" t="s">
        <v>114</v>
      </c>
      <c r="CT88" t="s">
        <v>114</v>
      </c>
      <c r="CU88" t="s">
        <v>114</v>
      </c>
      <c r="CV88" t="s">
        <v>114</v>
      </c>
      <c r="CW88" t="s">
        <v>114</v>
      </c>
    </row>
    <row r="89" spans="1:101" x14ac:dyDescent="0.25">
      <c r="A89" t="s">
        <v>14</v>
      </c>
      <c r="B89">
        <v>15</v>
      </c>
      <c r="C89" t="s">
        <v>15</v>
      </c>
      <c r="D89" t="s">
        <v>94</v>
      </c>
      <c r="E89" t="s">
        <v>111</v>
      </c>
      <c r="F89" t="s">
        <v>145</v>
      </c>
      <c r="G89" t="s">
        <v>263</v>
      </c>
      <c r="H89" t="str">
        <f t="shared" si="12"/>
        <v>P.canescens.Highcomp.Open</v>
      </c>
      <c r="I89" t="s">
        <v>703</v>
      </c>
      <c r="J89" t="s">
        <v>363</v>
      </c>
      <c r="K89">
        <v>1</v>
      </c>
      <c r="L89">
        <v>240</v>
      </c>
      <c r="M89">
        <v>260</v>
      </c>
      <c r="N89">
        <v>240</v>
      </c>
      <c r="O89">
        <f t="shared" si="13"/>
        <v>-20</v>
      </c>
      <c r="P89">
        <v>82</v>
      </c>
      <c r="Q89">
        <v>170</v>
      </c>
      <c r="R89">
        <v>110</v>
      </c>
      <c r="S89">
        <f t="shared" si="14"/>
        <v>140</v>
      </c>
      <c r="T89">
        <f t="shared" si="15"/>
        <v>0.58333333333333337</v>
      </c>
      <c r="U89" t="s">
        <v>15</v>
      </c>
      <c r="V89" t="s">
        <v>114</v>
      </c>
      <c r="W89" t="s">
        <v>114</v>
      </c>
      <c r="X89">
        <v>23.8</v>
      </c>
      <c r="Y89">
        <v>22.3</v>
      </c>
      <c r="Z89">
        <v>18.399999999999999</v>
      </c>
      <c r="AA89">
        <v>21.5</v>
      </c>
      <c r="AB89">
        <v>21.5</v>
      </c>
      <c r="AC89">
        <v>24.3</v>
      </c>
      <c r="AD89">
        <v>19.8</v>
      </c>
      <c r="AE89">
        <v>14.9</v>
      </c>
      <c r="AF89">
        <v>19.666666670000001</v>
      </c>
      <c r="AG89">
        <v>21.8</v>
      </c>
      <c r="AH89">
        <v>27.2</v>
      </c>
      <c r="AI89">
        <v>24.3</v>
      </c>
      <c r="AJ89">
        <v>24.43333333</v>
      </c>
      <c r="AK89">
        <v>20.8</v>
      </c>
      <c r="AL89">
        <v>23.8</v>
      </c>
      <c r="AM89">
        <v>25.7</v>
      </c>
      <c r="AN89">
        <v>23.43333333</v>
      </c>
      <c r="AO89">
        <v>24.43333333</v>
      </c>
      <c r="AP89">
        <v>6.1</v>
      </c>
      <c r="AQ89">
        <v>9.5</v>
      </c>
      <c r="AR89">
        <v>9.5</v>
      </c>
      <c r="AS89">
        <v>8.3666666670000005</v>
      </c>
      <c r="AT89">
        <v>4.5999999999999996</v>
      </c>
      <c r="AU89">
        <v>6.6</v>
      </c>
      <c r="AV89">
        <v>8.5</v>
      </c>
      <c r="AW89">
        <v>6.5666666669999998</v>
      </c>
      <c r="AX89">
        <v>8.3666666670000005</v>
      </c>
      <c r="AY89">
        <v>-13.133333329999999</v>
      </c>
      <c r="AZ89">
        <v>40</v>
      </c>
      <c r="BA89">
        <v>20</v>
      </c>
      <c r="BB89">
        <v>20</v>
      </c>
      <c r="BC89">
        <v>10</v>
      </c>
      <c r="BD89">
        <v>0</v>
      </c>
      <c r="BE89">
        <v>1</v>
      </c>
      <c r="BF89">
        <v>1</v>
      </c>
      <c r="BG89">
        <v>1</v>
      </c>
      <c r="BI89">
        <v>13.6</v>
      </c>
      <c r="BJ89">
        <v>2.15</v>
      </c>
      <c r="BK89">
        <v>0</v>
      </c>
      <c r="BL89">
        <v>56</v>
      </c>
      <c r="BM89">
        <v>38</v>
      </c>
      <c r="BN89">
        <v>3116</v>
      </c>
      <c r="BO89">
        <v>2240.3332999999998</v>
      </c>
      <c r="BP89">
        <f t="shared" si="16"/>
        <v>875.66670000000022</v>
      </c>
      <c r="BQ89">
        <v>2374</v>
      </c>
      <c r="BR89">
        <f t="shared" si="17"/>
        <v>742</v>
      </c>
      <c r="BS89">
        <v>21.710559</v>
      </c>
      <c r="BT89">
        <v>0.93538222199999999</v>
      </c>
      <c r="BU89">
        <v>10.137912419999999</v>
      </c>
      <c r="BV89">
        <v>21.710559</v>
      </c>
      <c r="BW89">
        <v>-0.93538222199999999</v>
      </c>
      <c r="BX89">
        <v>-10.137912419999999</v>
      </c>
      <c r="BY89" t="s">
        <v>114</v>
      </c>
      <c r="BZ89" t="s">
        <v>114</v>
      </c>
      <c r="CA89" t="s">
        <v>114</v>
      </c>
      <c r="CB89" t="s">
        <v>114</v>
      </c>
      <c r="CC89" t="s">
        <v>114</v>
      </c>
      <c r="CD89" t="s">
        <v>114</v>
      </c>
      <c r="CE89">
        <v>0.5184628</v>
      </c>
      <c r="CF89" t="s">
        <v>114</v>
      </c>
      <c r="CG89">
        <v>0.5184628</v>
      </c>
      <c r="CH89">
        <v>21.710559</v>
      </c>
      <c r="CI89">
        <v>0.93538222199999999</v>
      </c>
      <c r="CJ89">
        <v>10.137912419999999</v>
      </c>
      <c r="CK89">
        <v>-0.5184628</v>
      </c>
      <c r="CL89">
        <v>21.710559</v>
      </c>
      <c r="CM89">
        <v>-0.93538222199999999</v>
      </c>
      <c r="CN89">
        <v>-10.137912419999999</v>
      </c>
      <c r="CO89" t="s">
        <v>114</v>
      </c>
      <c r="CP89" t="s">
        <v>114</v>
      </c>
      <c r="CQ89" t="s">
        <v>114</v>
      </c>
      <c r="CR89" t="s">
        <v>114</v>
      </c>
      <c r="CS89" t="s">
        <v>114</v>
      </c>
      <c r="CT89" t="s">
        <v>114</v>
      </c>
      <c r="CU89" t="s">
        <v>114</v>
      </c>
      <c r="CV89" t="s">
        <v>114</v>
      </c>
      <c r="CW89">
        <v>-0.5184628</v>
      </c>
    </row>
    <row r="90" spans="1:101" x14ac:dyDescent="0.25">
      <c r="A90" t="s">
        <v>14</v>
      </c>
      <c r="B90">
        <v>15</v>
      </c>
      <c r="C90" t="s">
        <v>15</v>
      </c>
      <c r="D90" t="s">
        <v>94</v>
      </c>
      <c r="E90" t="s">
        <v>104</v>
      </c>
      <c r="F90" t="s">
        <v>145</v>
      </c>
      <c r="G90" t="s">
        <v>264</v>
      </c>
      <c r="H90" t="str">
        <f t="shared" si="12"/>
        <v>T.cyanopetala.Highcomp.Open</v>
      </c>
      <c r="I90" t="s">
        <v>701</v>
      </c>
      <c r="J90" t="s">
        <v>364</v>
      </c>
      <c r="K90">
        <v>3</v>
      </c>
      <c r="L90">
        <v>55</v>
      </c>
      <c r="M90">
        <v>70</v>
      </c>
      <c r="N90">
        <v>55</v>
      </c>
      <c r="O90">
        <f t="shared" si="13"/>
        <v>-15</v>
      </c>
      <c r="P90">
        <v>20</v>
      </c>
      <c r="Q90">
        <v>20</v>
      </c>
      <c r="R90">
        <v>10</v>
      </c>
      <c r="S90">
        <f t="shared" si="14"/>
        <v>15</v>
      </c>
      <c r="T90">
        <f t="shared" si="15"/>
        <v>0.27272727272727271</v>
      </c>
      <c r="U90" t="s">
        <v>15</v>
      </c>
      <c r="V90" t="s">
        <v>104</v>
      </c>
      <c r="W90">
        <v>55</v>
      </c>
      <c r="X90">
        <v>23.8</v>
      </c>
      <c r="Y90">
        <v>22.3</v>
      </c>
      <c r="Z90">
        <v>18.399999999999999</v>
      </c>
      <c r="AA90">
        <v>21.5</v>
      </c>
      <c r="AB90">
        <v>21.5</v>
      </c>
      <c r="AC90">
        <v>22.3</v>
      </c>
      <c r="AD90">
        <v>23.3</v>
      </c>
      <c r="AE90">
        <v>23.8</v>
      </c>
      <c r="AF90">
        <v>23.133333329999999</v>
      </c>
      <c r="AG90">
        <v>21.8</v>
      </c>
      <c r="AH90">
        <v>27.2</v>
      </c>
      <c r="AI90">
        <v>24.3</v>
      </c>
      <c r="AJ90">
        <v>24.43333333</v>
      </c>
      <c r="AK90">
        <v>18.399999999999999</v>
      </c>
      <c r="AL90">
        <v>24.7</v>
      </c>
      <c r="AM90">
        <v>24.3</v>
      </c>
      <c r="AN90">
        <v>22.466666669999999</v>
      </c>
      <c r="AO90">
        <v>24.43333333</v>
      </c>
      <c r="AP90">
        <v>6.1</v>
      </c>
      <c r="AQ90">
        <v>9.5</v>
      </c>
      <c r="AR90">
        <v>9.5</v>
      </c>
      <c r="AS90">
        <v>8.3666666670000005</v>
      </c>
      <c r="AT90">
        <v>10</v>
      </c>
      <c r="AU90">
        <v>9</v>
      </c>
      <c r="AV90">
        <v>10.5</v>
      </c>
      <c r="AW90">
        <v>9.8333333330000006</v>
      </c>
      <c r="AX90">
        <v>8.3666666670000005</v>
      </c>
      <c r="AY90">
        <v>-13.133333329999999</v>
      </c>
      <c r="AZ90">
        <v>40</v>
      </c>
      <c r="BA90">
        <v>20</v>
      </c>
      <c r="BB90">
        <v>20</v>
      </c>
      <c r="BC90">
        <v>10</v>
      </c>
      <c r="BD90">
        <v>0</v>
      </c>
      <c r="BE90">
        <v>1</v>
      </c>
      <c r="BF90">
        <v>1</v>
      </c>
      <c r="BG90">
        <v>1</v>
      </c>
      <c r="BI90">
        <v>13.6</v>
      </c>
      <c r="BJ90">
        <v>2.15</v>
      </c>
      <c r="BK90">
        <v>0</v>
      </c>
      <c r="BL90">
        <v>2</v>
      </c>
      <c r="BM90">
        <v>2</v>
      </c>
      <c r="BN90">
        <v>10</v>
      </c>
      <c r="BO90">
        <v>31</v>
      </c>
      <c r="BP90">
        <f t="shared" si="16"/>
        <v>-21</v>
      </c>
      <c r="BQ90">
        <v>42</v>
      </c>
      <c r="BR90">
        <f t="shared" si="17"/>
        <v>-32</v>
      </c>
      <c r="BS90">
        <v>20.338315215000002</v>
      </c>
      <c r="BT90">
        <v>0.68398333349999996</v>
      </c>
      <c r="BU90">
        <v>0.53916149999999996</v>
      </c>
      <c r="BV90">
        <v>20.338315215000002</v>
      </c>
      <c r="BW90">
        <v>0.68398333349999996</v>
      </c>
      <c r="BX90">
        <v>-0.53916149999999996</v>
      </c>
      <c r="BY90">
        <v>827.29413156940097</v>
      </c>
      <c r="BZ90">
        <v>0.93566640101154397</v>
      </c>
      <c r="CA90">
        <v>0.58139024616449997</v>
      </c>
      <c r="CB90">
        <v>827.29413156940097</v>
      </c>
      <c r="CC90">
        <v>0.93566640101154397</v>
      </c>
      <c r="CD90">
        <v>0.58139024616449997</v>
      </c>
      <c r="CE90">
        <v>0.25102455000000001</v>
      </c>
      <c r="CF90">
        <v>0.12602664940540501</v>
      </c>
      <c r="CG90">
        <v>0.16734969999999999</v>
      </c>
      <c r="CH90">
        <v>13.558876809999999</v>
      </c>
      <c r="CI90">
        <v>0.45598888900000001</v>
      </c>
      <c r="CJ90">
        <v>0.35944100000000001</v>
      </c>
      <c r="CK90">
        <v>-0.16734969999999999</v>
      </c>
      <c r="CL90">
        <v>13.558876809999999</v>
      </c>
      <c r="CM90">
        <v>0.45598888900000001</v>
      </c>
      <c r="CN90">
        <v>-0.35944100000000001</v>
      </c>
      <c r="CO90">
        <v>8.4017766270269995E-2</v>
      </c>
      <c r="CP90">
        <v>551.52942104626698</v>
      </c>
      <c r="CQ90">
        <v>0.62377760067436305</v>
      </c>
      <c r="CR90">
        <v>0.38759349744299998</v>
      </c>
      <c r="CS90">
        <v>8.4017766270269995E-2</v>
      </c>
      <c r="CT90">
        <v>551.52942104626698</v>
      </c>
      <c r="CU90">
        <v>0.62377760067436305</v>
      </c>
      <c r="CV90">
        <v>0.38759349744299998</v>
      </c>
      <c r="CW90">
        <v>-0.25102455000000001</v>
      </c>
    </row>
    <row r="91" spans="1:101" x14ac:dyDescent="0.25">
      <c r="A91" t="s">
        <v>16</v>
      </c>
      <c r="B91">
        <v>15</v>
      </c>
      <c r="C91" t="s">
        <v>17</v>
      </c>
      <c r="D91" t="s">
        <v>95</v>
      </c>
      <c r="E91" t="s">
        <v>113</v>
      </c>
      <c r="F91" t="s">
        <v>145</v>
      </c>
      <c r="G91" t="s">
        <v>259</v>
      </c>
      <c r="H91" t="str">
        <f t="shared" si="12"/>
        <v>H.glutinosum.Highcomp.Shade</v>
      </c>
      <c r="I91" t="s">
        <v>704</v>
      </c>
      <c r="J91" t="s">
        <v>365</v>
      </c>
      <c r="K91">
        <v>4</v>
      </c>
      <c r="L91">
        <v>100</v>
      </c>
      <c r="M91">
        <v>90</v>
      </c>
      <c r="N91">
        <v>100</v>
      </c>
      <c r="O91">
        <f t="shared" si="13"/>
        <v>10</v>
      </c>
      <c r="P91">
        <v>8</v>
      </c>
      <c r="Q91">
        <v>20</v>
      </c>
      <c r="R91">
        <v>5</v>
      </c>
      <c r="S91">
        <f t="shared" si="14"/>
        <v>12.5</v>
      </c>
      <c r="T91">
        <f t="shared" si="15"/>
        <v>0.125</v>
      </c>
      <c r="V91" t="s">
        <v>104</v>
      </c>
      <c r="W91">
        <v>50</v>
      </c>
      <c r="X91">
        <v>13.9</v>
      </c>
      <c r="Y91">
        <v>15.4</v>
      </c>
      <c r="Z91">
        <v>15.9</v>
      </c>
      <c r="AA91">
        <v>15.06666667</v>
      </c>
      <c r="AB91">
        <v>15.06666667</v>
      </c>
      <c r="AC91">
        <v>26.7</v>
      </c>
      <c r="AD91">
        <v>17.899999999999999</v>
      </c>
      <c r="AE91">
        <v>21.3</v>
      </c>
      <c r="AF91">
        <v>21.966666669999999</v>
      </c>
      <c r="AG91">
        <v>22.3</v>
      </c>
      <c r="AH91">
        <v>22.3</v>
      </c>
      <c r="AI91">
        <v>23.4</v>
      </c>
      <c r="AJ91">
        <v>22.666666670000001</v>
      </c>
      <c r="AK91">
        <v>22.3</v>
      </c>
      <c r="AL91">
        <v>23.7</v>
      </c>
      <c r="AM91">
        <v>33.6</v>
      </c>
      <c r="AN91">
        <v>26.533333330000001</v>
      </c>
      <c r="AO91">
        <v>22.666666670000001</v>
      </c>
      <c r="AP91">
        <v>8.1</v>
      </c>
      <c r="AQ91">
        <v>8.5</v>
      </c>
      <c r="AR91">
        <v>12.5</v>
      </c>
      <c r="AS91">
        <v>9.6999999999999993</v>
      </c>
      <c r="AT91">
        <v>11</v>
      </c>
      <c r="AU91">
        <v>8.1</v>
      </c>
      <c r="AV91">
        <v>9.5</v>
      </c>
      <c r="AW91">
        <v>9.5333333329999999</v>
      </c>
      <c r="AX91">
        <v>9.6999999999999993</v>
      </c>
      <c r="AY91">
        <v>-5.3666666669999996</v>
      </c>
      <c r="AZ91">
        <v>10</v>
      </c>
      <c r="BA91">
        <v>15</v>
      </c>
      <c r="BB91">
        <v>2</v>
      </c>
      <c r="BC91">
        <v>25</v>
      </c>
      <c r="BD91">
        <v>1</v>
      </c>
      <c r="BE91">
        <v>1</v>
      </c>
      <c r="BF91">
        <v>2</v>
      </c>
      <c r="BG91">
        <v>1</v>
      </c>
      <c r="BI91">
        <v>6.6</v>
      </c>
      <c r="BJ91">
        <v>42.4</v>
      </c>
      <c r="BK91">
        <v>0</v>
      </c>
      <c r="BL91">
        <v>7</v>
      </c>
      <c r="BM91">
        <v>5</v>
      </c>
      <c r="BN91">
        <v>15</v>
      </c>
      <c r="BO91">
        <v>22</v>
      </c>
      <c r="BP91">
        <f t="shared" si="16"/>
        <v>-7</v>
      </c>
      <c r="BQ91">
        <v>60</v>
      </c>
      <c r="BR91">
        <f t="shared" si="17"/>
        <v>-45</v>
      </c>
      <c r="BS91">
        <v>15.089962119999999</v>
      </c>
      <c r="BT91">
        <v>0.84872999999999998</v>
      </c>
      <c r="BU91">
        <v>5.38276384</v>
      </c>
      <c r="BV91">
        <v>-15.089962119999999</v>
      </c>
      <c r="BW91">
        <v>-0.84872999999999998</v>
      </c>
      <c r="BX91">
        <v>-5.38276384</v>
      </c>
      <c r="BY91">
        <v>455.41391356606999</v>
      </c>
      <c r="BZ91">
        <v>1.4406852258</v>
      </c>
      <c r="CA91">
        <v>57.948293114423102</v>
      </c>
      <c r="CB91">
        <v>455.41391356606999</v>
      </c>
      <c r="CC91">
        <v>1.4406852258</v>
      </c>
      <c r="CD91">
        <v>57.948293114423102</v>
      </c>
      <c r="CE91">
        <v>9.6954100000000001E-2</v>
      </c>
      <c r="CF91">
        <v>1.880019501362E-2</v>
      </c>
      <c r="CG91">
        <v>4.8477050000000001E-2</v>
      </c>
      <c r="CH91">
        <v>7.5449810599999996</v>
      </c>
      <c r="CI91">
        <v>0.42436499999999999</v>
      </c>
      <c r="CJ91">
        <v>2.69138192</v>
      </c>
      <c r="CK91">
        <v>-4.8477050000000001E-2</v>
      </c>
      <c r="CL91">
        <v>-7.5449810599999996</v>
      </c>
      <c r="CM91">
        <v>-0.42436499999999999</v>
      </c>
      <c r="CN91">
        <v>-2.69138192</v>
      </c>
      <c r="CO91">
        <v>9.4000975068099998E-3</v>
      </c>
      <c r="CP91">
        <v>227.706956783035</v>
      </c>
      <c r="CQ91">
        <v>0.72034261290000001</v>
      </c>
      <c r="CR91">
        <v>28.974146557211501</v>
      </c>
      <c r="CS91">
        <v>9.4000975068099998E-3</v>
      </c>
      <c r="CT91">
        <v>227.706956783035</v>
      </c>
      <c r="CU91">
        <v>0.72034261290000001</v>
      </c>
      <c r="CV91">
        <v>28.974146557211501</v>
      </c>
      <c r="CW91">
        <v>-9.6954100000000001E-2</v>
      </c>
    </row>
    <row r="92" spans="1:101" x14ac:dyDescent="0.25">
      <c r="A92" t="s">
        <v>16</v>
      </c>
      <c r="B92">
        <v>15</v>
      </c>
      <c r="C92" t="s">
        <v>17</v>
      </c>
      <c r="D92" t="s">
        <v>95</v>
      </c>
      <c r="E92" t="s">
        <v>110</v>
      </c>
      <c r="F92" t="s">
        <v>145</v>
      </c>
      <c r="G92" t="s">
        <v>262</v>
      </c>
      <c r="H92" t="str">
        <f t="shared" si="12"/>
        <v>M.minima.Highcomp.Shade</v>
      </c>
      <c r="I92" t="s">
        <v>705</v>
      </c>
      <c r="J92" t="s">
        <v>366</v>
      </c>
      <c r="K92">
        <v>2</v>
      </c>
      <c r="L92">
        <v>80</v>
      </c>
      <c r="M92">
        <v>40</v>
      </c>
      <c r="N92">
        <v>80</v>
      </c>
      <c r="O92">
        <f t="shared" si="13"/>
        <v>40</v>
      </c>
      <c r="P92">
        <v>10</v>
      </c>
      <c r="Q92">
        <v>170</v>
      </c>
      <c r="R92">
        <v>70</v>
      </c>
      <c r="S92">
        <f t="shared" si="14"/>
        <v>120</v>
      </c>
      <c r="T92">
        <f t="shared" si="15"/>
        <v>1.5</v>
      </c>
      <c r="V92" t="s">
        <v>121</v>
      </c>
      <c r="W92" t="s">
        <v>114</v>
      </c>
      <c r="X92">
        <v>13.9</v>
      </c>
      <c r="Y92">
        <v>15.4</v>
      </c>
      <c r="Z92">
        <v>15.9</v>
      </c>
      <c r="AA92">
        <v>15.06666667</v>
      </c>
      <c r="AB92">
        <v>15.06666667</v>
      </c>
      <c r="AC92">
        <v>17.399999999999999</v>
      </c>
      <c r="AD92">
        <v>13.5</v>
      </c>
      <c r="AE92">
        <v>16.899999999999999</v>
      </c>
      <c r="AF92">
        <v>15.93333333</v>
      </c>
      <c r="AG92">
        <v>22.3</v>
      </c>
      <c r="AH92">
        <v>22.3</v>
      </c>
      <c r="AI92">
        <v>23.4</v>
      </c>
      <c r="AJ92">
        <v>22.666666670000001</v>
      </c>
      <c r="AK92">
        <v>23.8</v>
      </c>
      <c r="AL92">
        <v>20.8</v>
      </c>
      <c r="AM92">
        <v>18.399999999999999</v>
      </c>
      <c r="AN92">
        <v>21</v>
      </c>
      <c r="AO92">
        <v>22.666666670000001</v>
      </c>
      <c r="AP92">
        <v>8.1</v>
      </c>
      <c r="AQ92">
        <v>8.5</v>
      </c>
      <c r="AR92">
        <v>12.5</v>
      </c>
      <c r="AS92">
        <v>9.6999999999999993</v>
      </c>
      <c r="AT92">
        <v>7.6</v>
      </c>
      <c r="AU92">
        <v>7.6</v>
      </c>
      <c r="AV92">
        <v>6.1</v>
      </c>
      <c r="AW92">
        <v>7.1</v>
      </c>
      <c r="AX92">
        <v>9.6999999999999993</v>
      </c>
      <c r="AY92">
        <v>-5.3666666669999996</v>
      </c>
      <c r="AZ92">
        <v>10</v>
      </c>
      <c r="BA92">
        <v>15</v>
      </c>
      <c r="BB92">
        <v>2</v>
      </c>
      <c r="BC92">
        <v>25</v>
      </c>
      <c r="BD92">
        <v>1</v>
      </c>
      <c r="BE92">
        <v>1</v>
      </c>
      <c r="BF92">
        <v>2</v>
      </c>
      <c r="BG92">
        <v>1</v>
      </c>
      <c r="BI92">
        <v>6.6</v>
      </c>
      <c r="BJ92">
        <v>42.4</v>
      </c>
      <c r="BK92">
        <v>0</v>
      </c>
      <c r="BL92">
        <v>46</v>
      </c>
      <c r="BM92">
        <v>41</v>
      </c>
      <c r="BN92">
        <v>41</v>
      </c>
      <c r="BO92">
        <v>4.6666670000000003</v>
      </c>
      <c r="BP92">
        <f t="shared" si="16"/>
        <v>36.333332999999996</v>
      </c>
      <c r="BQ92">
        <v>11</v>
      </c>
      <c r="BR92">
        <f t="shared" si="17"/>
        <v>30</v>
      </c>
      <c r="BS92">
        <v>40.707880430000003</v>
      </c>
      <c r="BT92">
        <v>0.94623444450000005</v>
      </c>
      <c r="BU92">
        <v>2.550690565</v>
      </c>
      <c r="BV92">
        <v>-40.707880430000003</v>
      </c>
      <c r="BW92">
        <v>-0.42173222249999998</v>
      </c>
      <c r="BX92">
        <v>2.550690565</v>
      </c>
      <c r="BY92">
        <v>1.953125E-3</v>
      </c>
      <c r="BZ92">
        <v>0.35571613498957899</v>
      </c>
      <c r="CA92">
        <v>4.3357324929280603</v>
      </c>
      <c r="CB92">
        <v>1.953125E-3</v>
      </c>
      <c r="CC92">
        <v>1.79071924791645</v>
      </c>
      <c r="CD92">
        <v>4.3357324929280603</v>
      </c>
      <c r="CE92">
        <v>0.563843235</v>
      </c>
      <c r="CF92">
        <v>7.6370302407964396E-3</v>
      </c>
      <c r="CG92">
        <v>0.563843235</v>
      </c>
      <c r="CH92">
        <v>40.707880430000003</v>
      </c>
      <c r="CI92">
        <v>0.94623444450000005</v>
      </c>
      <c r="CJ92">
        <v>2.550690565</v>
      </c>
      <c r="CK92">
        <v>0.563843235</v>
      </c>
      <c r="CL92">
        <v>-40.707880430000003</v>
      </c>
      <c r="CM92">
        <v>-0.42173222249999998</v>
      </c>
      <c r="CN92">
        <v>2.550690565</v>
      </c>
      <c r="CO92">
        <v>7.6370302407964396E-3</v>
      </c>
      <c r="CP92">
        <v>1.953125E-3</v>
      </c>
      <c r="CQ92">
        <v>0.35571613498957899</v>
      </c>
      <c r="CR92">
        <v>4.3357324929280603</v>
      </c>
      <c r="CS92">
        <v>7.6370302407964396E-3</v>
      </c>
      <c r="CT92">
        <v>1.953125E-3</v>
      </c>
      <c r="CU92">
        <v>1.79071924791645</v>
      </c>
      <c r="CV92">
        <v>4.3357324929280603</v>
      </c>
      <c r="CW92">
        <v>0.563843235</v>
      </c>
    </row>
    <row r="93" spans="1:101" x14ac:dyDescent="0.25">
      <c r="A93" t="s">
        <v>16</v>
      </c>
      <c r="B93">
        <v>15</v>
      </c>
      <c r="C93" t="s">
        <v>17</v>
      </c>
      <c r="D93" t="s">
        <v>95</v>
      </c>
      <c r="E93" t="s">
        <v>111</v>
      </c>
      <c r="F93" t="s">
        <v>145</v>
      </c>
      <c r="G93" t="s">
        <v>263</v>
      </c>
      <c r="H93" t="str">
        <f t="shared" si="12"/>
        <v>P.canescens.Highcomp.Shade</v>
      </c>
      <c r="I93" t="s">
        <v>706</v>
      </c>
      <c r="J93" t="s">
        <v>367</v>
      </c>
      <c r="K93">
        <v>5</v>
      </c>
      <c r="L93">
        <v>320</v>
      </c>
      <c r="M93">
        <v>210</v>
      </c>
      <c r="N93">
        <v>320</v>
      </c>
      <c r="O93">
        <f t="shared" si="13"/>
        <v>110</v>
      </c>
      <c r="P93">
        <v>60</v>
      </c>
      <c r="Q93">
        <v>230</v>
      </c>
      <c r="R93">
        <v>100</v>
      </c>
      <c r="S93">
        <f t="shared" si="14"/>
        <v>165</v>
      </c>
      <c r="T93">
        <f t="shared" si="15"/>
        <v>0.515625</v>
      </c>
      <c r="V93" t="s">
        <v>113</v>
      </c>
      <c r="W93">
        <v>50</v>
      </c>
      <c r="X93">
        <v>13.9</v>
      </c>
      <c r="Y93">
        <v>15.4</v>
      </c>
      <c r="Z93">
        <v>15.9</v>
      </c>
      <c r="AA93">
        <v>15.06666667</v>
      </c>
      <c r="AB93">
        <v>15.06666667</v>
      </c>
      <c r="AC93">
        <v>15.9</v>
      </c>
      <c r="AD93">
        <v>26.2</v>
      </c>
      <c r="AE93">
        <v>19.3</v>
      </c>
      <c r="AF93">
        <v>20.466666669999999</v>
      </c>
      <c r="AG93">
        <v>22.3</v>
      </c>
      <c r="AH93">
        <v>22.3</v>
      </c>
      <c r="AI93">
        <v>23.4</v>
      </c>
      <c r="AJ93">
        <v>22.666666670000001</v>
      </c>
      <c r="AK93">
        <v>20.8</v>
      </c>
      <c r="AL93">
        <v>24.7</v>
      </c>
      <c r="AM93">
        <v>29.7</v>
      </c>
      <c r="AN93">
        <v>25.06666667</v>
      </c>
      <c r="AO93">
        <v>22.666666670000001</v>
      </c>
      <c r="AP93">
        <v>8.1</v>
      </c>
      <c r="AQ93">
        <v>8.5</v>
      </c>
      <c r="AR93">
        <v>12.5</v>
      </c>
      <c r="AS93">
        <v>9.6999999999999993</v>
      </c>
      <c r="AT93">
        <v>8.1</v>
      </c>
      <c r="AU93">
        <v>8.5</v>
      </c>
      <c r="AV93">
        <v>12</v>
      </c>
      <c r="AW93">
        <v>9.5333333329999999</v>
      </c>
      <c r="AX93">
        <v>9.6999999999999993</v>
      </c>
      <c r="AY93">
        <v>-5.3666666669999996</v>
      </c>
      <c r="AZ93">
        <v>10</v>
      </c>
      <c r="BA93">
        <v>15</v>
      </c>
      <c r="BB93">
        <v>2</v>
      </c>
      <c r="BC93">
        <v>25</v>
      </c>
      <c r="BD93">
        <v>1</v>
      </c>
      <c r="BE93">
        <v>1</v>
      </c>
      <c r="BF93">
        <v>2</v>
      </c>
      <c r="BG93">
        <v>1</v>
      </c>
      <c r="BI93">
        <v>6.6</v>
      </c>
      <c r="BJ93">
        <v>42.4</v>
      </c>
      <c r="BK93">
        <v>0</v>
      </c>
      <c r="BL93">
        <v>23</v>
      </c>
      <c r="BM93">
        <v>18</v>
      </c>
      <c r="BN93">
        <v>1827</v>
      </c>
      <c r="BO93">
        <v>731.75</v>
      </c>
      <c r="BP93">
        <f t="shared" si="16"/>
        <v>1095.25</v>
      </c>
      <c r="BQ93">
        <v>98</v>
      </c>
      <c r="BR93">
        <f t="shared" si="17"/>
        <v>1729</v>
      </c>
      <c r="BS93">
        <v>20.1971183</v>
      </c>
      <c r="BT93">
        <v>0.32375983250000001</v>
      </c>
      <c r="BU93">
        <v>1.53833219</v>
      </c>
      <c r="BV93">
        <v>20.1971183</v>
      </c>
      <c r="BW93">
        <v>-0.28212905649999998</v>
      </c>
      <c r="BX93">
        <v>1.53833219</v>
      </c>
      <c r="BY93">
        <v>161.39811772765</v>
      </c>
      <c r="BZ93">
        <v>0.15919360904315999</v>
      </c>
      <c r="CA93">
        <v>5.6183589401689799E-2</v>
      </c>
      <c r="CB93">
        <v>161.39811772765</v>
      </c>
      <c r="CC93">
        <v>0.20964085828085599</v>
      </c>
      <c r="CD93">
        <v>5.6183589401689799E-2</v>
      </c>
      <c r="CE93">
        <v>0.19757292500000001</v>
      </c>
      <c r="CF93">
        <v>8.0628630096124998E-4</v>
      </c>
      <c r="CG93">
        <v>0.20158861</v>
      </c>
      <c r="CH93">
        <v>21.993771398</v>
      </c>
      <c r="CI93">
        <v>0.26733402119999999</v>
      </c>
      <c r="CJ93">
        <v>1.5048109759999999</v>
      </c>
      <c r="CK93">
        <v>0.20158861</v>
      </c>
      <c r="CL93">
        <v>21.993771398</v>
      </c>
      <c r="CM93">
        <v>-0.21737709</v>
      </c>
      <c r="CN93">
        <v>1.5048109759999999</v>
      </c>
      <c r="CO93">
        <v>4.8377178057675002E-4</v>
      </c>
      <c r="CP93">
        <v>96.838870636589903</v>
      </c>
      <c r="CQ93">
        <v>9.5516165425896193E-2</v>
      </c>
      <c r="CR93">
        <v>3.3710153641013901E-2</v>
      </c>
      <c r="CS93">
        <v>4.8377178057675002E-4</v>
      </c>
      <c r="CT93">
        <v>96.838870636589903</v>
      </c>
      <c r="CU93">
        <v>0.12578451496851401</v>
      </c>
      <c r="CV93">
        <v>3.3710153641013901E-2</v>
      </c>
      <c r="CW93">
        <v>0.19757292500000001</v>
      </c>
    </row>
    <row r="94" spans="1:101" x14ac:dyDescent="0.25">
      <c r="A94" t="s">
        <v>16</v>
      </c>
      <c r="B94">
        <v>15</v>
      </c>
      <c r="C94" t="s">
        <v>17</v>
      </c>
      <c r="D94" t="s">
        <v>95</v>
      </c>
      <c r="E94" t="s">
        <v>104</v>
      </c>
      <c r="F94" t="s">
        <v>145</v>
      </c>
      <c r="G94" t="s">
        <v>264</v>
      </c>
      <c r="H94" t="str">
        <f t="shared" si="12"/>
        <v>T.cyanopetala.Highcomp.Shade</v>
      </c>
      <c r="I94" t="s">
        <v>707</v>
      </c>
      <c r="J94" t="s">
        <v>368</v>
      </c>
      <c r="K94">
        <v>2</v>
      </c>
      <c r="L94">
        <v>65</v>
      </c>
      <c r="M94">
        <v>110</v>
      </c>
      <c r="N94">
        <v>65</v>
      </c>
      <c r="O94">
        <f t="shared" si="13"/>
        <v>-45</v>
      </c>
      <c r="P94">
        <v>15</v>
      </c>
      <c r="Q94">
        <v>20</v>
      </c>
      <c r="R94">
        <v>10</v>
      </c>
      <c r="S94">
        <f t="shared" si="14"/>
        <v>15</v>
      </c>
      <c r="T94">
        <f t="shared" si="15"/>
        <v>0.23076923076923078</v>
      </c>
      <c r="V94" t="s">
        <v>121</v>
      </c>
      <c r="W94" t="s">
        <v>114</v>
      </c>
      <c r="X94">
        <v>13.9</v>
      </c>
      <c r="Y94">
        <v>15.4</v>
      </c>
      <c r="Z94">
        <v>15.9</v>
      </c>
      <c r="AA94">
        <v>15.06666667</v>
      </c>
      <c r="AB94">
        <v>15.06666667</v>
      </c>
      <c r="AC94">
        <v>14.4</v>
      </c>
      <c r="AD94">
        <v>18.899999999999999</v>
      </c>
      <c r="AE94">
        <v>17.899999999999999</v>
      </c>
      <c r="AF94">
        <v>17.06666667</v>
      </c>
      <c r="AG94">
        <v>22.3</v>
      </c>
      <c r="AH94">
        <v>22.3</v>
      </c>
      <c r="AI94">
        <v>23.4</v>
      </c>
      <c r="AJ94">
        <v>22.666666670000001</v>
      </c>
      <c r="AK94">
        <v>27.7</v>
      </c>
      <c r="AL94">
        <v>21.8</v>
      </c>
      <c r="AM94">
        <v>32.1</v>
      </c>
      <c r="AN94">
        <v>27.2</v>
      </c>
      <c r="AO94">
        <v>22.666666670000001</v>
      </c>
      <c r="AP94">
        <v>8.1</v>
      </c>
      <c r="AQ94">
        <v>8.5</v>
      </c>
      <c r="AR94">
        <v>12.5</v>
      </c>
      <c r="AS94">
        <v>9.6999999999999993</v>
      </c>
      <c r="AT94">
        <v>7.1</v>
      </c>
      <c r="AU94">
        <v>8.1</v>
      </c>
      <c r="AV94">
        <v>15.4</v>
      </c>
      <c r="AW94">
        <v>10.199999999999999</v>
      </c>
      <c r="AX94">
        <v>9.6999999999999993</v>
      </c>
      <c r="AY94">
        <v>-5.3666666669999996</v>
      </c>
      <c r="AZ94">
        <v>10</v>
      </c>
      <c r="BA94">
        <v>15</v>
      </c>
      <c r="BB94">
        <v>2</v>
      </c>
      <c r="BC94">
        <v>25</v>
      </c>
      <c r="BD94">
        <v>1</v>
      </c>
      <c r="BE94">
        <v>1</v>
      </c>
      <c r="BF94">
        <v>2</v>
      </c>
      <c r="BG94">
        <v>1</v>
      </c>
      <c r="BI94">
        <v>6.6</v>
      </c>
      <c r="BJ94">
        <v>42.4</v>
      </c>
      <c r="BK94">
        <v>0</v>
      </c>
      <c r="BL94">
        <v>2</v>
      </c>
      <c r="BM94">
        <v>2</v>
      </c>
      <c r="BN94">
        <v>8</v>
      </c>
      <c r="BO94">
        <v>154.66666699999999</v>
      </c>
      <c r="BP94">
        <f t="shared" si="16"/>
        <v>-146.66666699999999</v>
      </c>
      <c r="BQ94">
        <v>232</v>
      </c>
      <c r="BR94">
        <f t="shared" si="17"/>
        <v>-224</v>
      </c>
      <c r="BS94">
        <v>33.556263325000003</v>
      </c>
      <c r="BT94">
        <v>2.3241642769999999</v>
      </c>
      <c r="BU94">
        <v>9.7449524800000003</v>
      </c>
      <c r="BV94">
        <v>33.556263325000003</v>
      </c>
      <c r="BW94">
        <v>2.3241642769999999</v>
      </c>
      <c r="BX94">
        <v>9.7449524800000003</v>
      </c>
      <c r="BY94">
        <v>425.74739906584699</v>
      </c>
      <c r="BZ94">
        <v>8.6656075518108298E-4</v>
      </c>
      <c r="CA94">
        <v>0.93944504802512796</v>
      </c>
      <c r="CB94">
        <v>425.74739906584699</v>
      </c>
      <c r="CC94">
        <v>8.6656075518108298E-4</v>
      </c>
      <c r="CD94">
        <v>0.93944504802512796</v>
      </c>
      <c r="CE94">
        <v>0.12523937499999999</v>
      </c>
      <c r="CF94">
        <v>2.3686055078411299E-2</v>
      </c>
      <c r="CG94">
        <v>0.12523937499999999</v>
      </c>
      <c r="CH94">
        <v>33.556263325000003</v>
      </c>
      <c r="CI94">
        <v>2.3241642769999999</v>
      </c>
      <c r="CJ94">
        <v>9.7449524800000003</v>
      </c>
      <c r="CK94">
        <v>0.12523937499999999</v>
      </c>
      <c r="CL94">
        <v>33.556263325000003</v>
      </c>
      <c r="CM94">
        <v>2.3241642769999999</v>
      </c>
      <c r="CN94">
        <v>9.7449524800000003</v>
      </c>
      <c r="CO94">
        <v>2.3686055078411299E-2</v>
      </c>
      <c r="CP94">
        <v>425.74739906584699</v>
      </c>
      <c r="CQ94">
        <v>8.6656075518108298E-4</v>
      </c>
      <c r="CR94">
        <v>0.93944504802512796</v>
      </c>
      <c r="CS94">
        <v>2.3686055078411299E-2</v>
      </c>
      <c r="CT94">
        <v>425.74739906584699</v>
      </c>
      <c r="CU94">
        <v>8.6656075518108298E-4</v>
      </c>
      <c r="CV94">
        <v>0.93944504802512796</v>
      </c>
      <c r="CW94">
        <v>0.12523937499999999</v>
      </c>
    </row>
    <row r="95" spans="1:101" x14ac:dyDescent="0.25">
      <c r="A95" t="s">
        <v>18</v>
      </c>
      <c r="B95">
        <v>15</v>
      </c>
      <c r="C95" t="s">
        <v>19</v>
      </c>
      <c r="D95" t="s">
        <v>95</v>
      </c>
      <c r="E95" t="s">
        <v>113</v>
      </c>
      <c r="F95" t="s">
        <v>145</v>
      </c>
      <c r="G95" t="s">
        <v>259</v>
      </c>
      <c r="H95" t="str">
        <f t="shared" si="12"/>
        <v>H.glutinosum.Highcomp.Shade</v>
      </c>
      <c r="I95" t="s">
        <v>704</v>
      </c>
      <c r="J95" t="s">
        <v>369</v>
      </c>
      <c r="K95">
        <v>19</v>
      </c>
      <c r="L95">
        <v>75</v>
      </c>
      <c r="M95">
        <v>45</v>
      </c>
      <c r="N95">
        <v>75</v>
      </c>
      <c r="O95">
        <f t="shared" si="13"/>
        <v>30</v>
      </c>
      <c r="P95">
        <v>5</v>
      </c>
      <c r="Q95">
        <v>20</v>
      </c>
      <c r="R95">
        <v>10</v>
      </c>
      <c r="S95">
        <f t="shared" si="14"/>
        <v>15</v>
      </c>
      <c r="T95">
        <f t="shared" si="15"/>
        <v>0.2</v>
      </c>
      <c r="V95" t="s">
        <v>121</v>
      </c>
      <c r="W95" t="s">
        <v>114</v>
      </c>
      <c r="X95">
        <v>16.899999999999999</v>
      </c>
      <c r="Y95">
        <v>15.9</v>
      </c>
      <c r="Z95">
        <v>15.4</v>
      </c>
      <c r="AA95">
        <v>16.06666667</v>
      </c>
      <c r="AB95">
        <v>16.06666667</v>
      </c>
      <c r="AC95">
        <v>13.9</v>
      </c>
      <c r="AD95">
        <v>12</v>
      </c>
      <c r="AE95">
        <v>13.5</v>
      </c>
      <c r="AF95">
        <v>13.133333329999999</v>
      </c>
      <c r="AG95">
        <v>16.399999999999999</v>
      </c>
      <c r="AH95">
        <v>20.8</v>
      </c>
      <c r="AI95">
        <v>17.899999999999999</v>
      </c>
      <c r="AJ95">
        <v>18.366666670000001</v>
      </c>
      <c r="AK95">
        <v>16.899999999999999</v>
      </c>
      <c r="AL95">
        <v>15.4</v>
      </c>
      <c r="AM95">
        <v>17.399999999999999</v>
      </c>
      <c r="AN95">
        <v>16.56666667</v>
      </c>
      <c r="AO95">
        <v>18.366666670000001</v>
      </c>
      <c r="AP95">
        <v>5.6</v>
      </c>
      <c r="AQ95">
        <v>5.6</v>
      </c>
      <c r="AR95" t="s">
        <v>114</v>
      </c>
      <c r="AS95">
        <v>5.6</v>
      </c>
      <c r="AT95">
        <v>4.0999999999999996</v>
      </c>
      <c r="AU95">
        <v>5.0999999999999996</v>
      </c>
      <c r="AV95">
        <v>6.1</v>
      </c>
      <c r="AW95">
        <v>5.0999999999999996</v>
      </c>
      <c r="AX95">
        <v>5.6</v>
      </c>
      <c r="AY95">
        <v>-10.46666667</v>
      </c>
      <c r="AZ95">
        <v>20</v>
      </c>
      <c r="BA95">
        <v>35</v>
      </c>
      <c r="BB95">
        <v>1</v>
      </c>
      <c r="BC95">
        <v>30</v>
      </c>
      <c r="BD95">
        <v>1</v>
      </c>
      <c r="BE95">
        <v>1</v>
      </c>
      <c r="BF95">
        <v>2</v>
      </c>
      <c r="BG95">
        <v>1</v>
      </c>
      <c r="BI95">
        <v>9.1</v>
      </c>
      <c r="BJ95">
        <v>45.177</v>
      </c>
      <c r="BK95">
        <v>0</v>
      </c>
      <c r="BL95">
        <v>3</v>
      </c>
      <c r="BM95">
        <v>3</v>
      </c>
      <c r="BN95">
        <v>3</v>
      </c>
      <c r="BO95">
        <v>22</v>
      </c>
      <c r="BP95">
        <f t="shared" si="16"/>
        <v>-19</v>
      </c>
      <c r="BQ95">
        <v>6</v>
      </c>
      <c r="BR95">
        <f t="shared" si="17"/>
        <v>-3</v>
      </c>
      <c r="BS95">
        <v>24.883838393333299</v>
      </c>
      <c r="BT95" t="s">
        <v>114</v>
      </c>
      <c r="BU95">
        <v>1.8502932166666699</v>
      </c>
      <c r="BV95">
        <v>-24.883838393333299</v>
      </c>
      <c r="BW95" t="s">
        <v>114</v>
      </c>
      <c r="BX95">
        <v>-1.8502932166666699</v>
      </c>
      <c r="BY95">
        <v>798.98912872386995</v>
      </c>
      <c r="BZ95" t="s">
        <v>114</v>
      </c>
      <c r="CA95">
        <v>5.3631181664687597</v>
      </c>
      <c r="CB95">
        <v>798.98912872386995</v>
      </c>
      <c r="CC95" t="s">
        <v>114</v>
      </c>
      <c r="CD95">
        <v>5.3631181664687597</v>
      </c>
      <c r="CE95" t="s">
        <v>114</v>
      </c>
      <c r="CF95" t="s">
        <v>114</v>
      </c>
      <c r="CG95" t="s">
        <v>114</v>
      </c>
      <c r="CH95">
        <v>44.910287081052601</v>
      </c>
      <c r="CI95" t="s">
        <v>114</v>
      </c>
      <c r="CJ95">
        <v>1.10524654473684</v>
      </c>
      <c r="CK95" t="s">
        <v>114</v>
      </c>
      <c r="CL95">
        <v>-44.910287081052601</v>
      </c>
      <c r="CM95" t="s">
        <v>114</v>
      </c>
      <c r="CN95">
        <v>-1.10524654473684</v>
      </c>
      <c r="CO95" t="s">
        <v>114</v>
      </c>
      <c r="CP95">
        <v>468.89005421919899</v>
      </c>
      <c r="CQ95" t="s">
        <v>114</v>
      </c>
      <c r="CR95">
        <v>0.82415017794934198</v>
      </c>
      <c r="CS95" t="s">
        <v>114</v>
      </c>
      <c r="CT95">
        <v>468.89005421919899</v>
      </c>
      <c r="CU95" t="s">
        <v>114</v>
      </c>
      <c r="CV95">
        <v>0.82415017794934198</v>
      </c>
      <c r="CW95" t="s">
        <v>114</v>
      </c>
    </row>
    <row r="96" spans="1:101" x14ac:dyDescent="0.25">
      <c r="A96" t="s">
        <v>18</v>
      </c>
      <c r="B96">
        <v>15</v>
      </c>
      <c r="C96" t="s">
        <v>19</v>
      </c>
      <c r="D96" t="s">
        <v>95</v>
      </c>
      <c r="E96" t="s">
        <v>111</v>
      </c>
      <c r="F96" t="s">
        <v>145</v>
      </c>
      <c r="G96" t="s">
        <v>263</v>
      </c>
      <c r="H96" t="str">
        <f t="shared" si="12"/>
        <v>P.canescens.Highcomp.Shade</v>
      </c>
      <c r="I96" t="s">
        <v>706</v>
      </c>
      <c r="J96" t="s">
        <v>370</v>
      </c>
      <c r="K96">
        <v>4</v>
      </c>
      <c r="L96">
        <v>230</v>
      </c>
      <c r="M96">
        <v>230</v>
      </c>
      <c r="N96">
        <v>230</v>
      </c>
      <c r="O96">
        <f t="shared" si="13"/>
        <v>0</v>
      </c>
      <c r="P96">
        <v>65</v>
      </c>
      <c r="Q96">
        <v>80</v>
      </c>
      <c r="R96">
        <v>40</v>
      </c>
      <c r="S96">
        <f t="shared" si="14"/>
        <v>60</v>
      </c>
      <c r="T96">
        <f t="shared" si="15"/>
        <v>0.2608695652173913</v>
      </c>
      <c r="V96" t="s">
        <v>121</v>
      </c>
      <c r="W96" t="s">
        <v>114</v>
      </c>
      <c r="X96">
        <v>16.899999999999999</v>
      </c>
      <c r="Y96">
        <v>15.9</v>
      </c>
      <c r="Z96">
        <v>15.4</v>
      </c>
      <c r="AA96">
        <v>16.06666667</v>
      </c>
      <c r="AB96">
        <v>16.06666667</v>
      </c>
      <c r="AC96">
        <v>13.9</v>
      </c>
      <c r="AD96">
        <v>12</v>
      </c>
      <c r="AE96">
        <v>12.5</v>
      </c>
      <c r="AF96">
        <v>12.8</v>
      </c>
      <c r="AG96">
        <v>16.399999999999999</v>
      </c>
      <c r="AH96">
        <v>20.8</v>
      </c>
      <c r="AI96">
        <v>17.899999999999999</v>
      </c>
      <c r="AJ96">
        <v>18.366666670000001</v>
      </c>
      <c r="AK96">
        <v>18.899999999999999</v>
      </c>
      <c r="AL96">
        <v>15.4</v>
      </c>
      <c r="AM96">
        <v>18.399999999999999</v>
      </c>
      <c r="AN96">
        <v>17.56666667</v>
      </c>
      <c r="AO96">
        <v>18.366666670000001</v>
      </c>
      <c r="AP96">
        <v>5.6</v>
      </c>
      <c r="AQ96">
        <v>5.6</v>
      </c>
      <c r="AR96" t="s">
        <v>114</v>
      </c>
      <c r="AS96">
        <v>5.6</v>
      </c>
      <c r="AT96">
        <v>4.0999999999999996</v>
      </c>
      <c r="AU96">
        <v>4.5999999999999996</v>
      </c>
      <c r="AV96">
        <v>5.6</v>
      </c>
      <c r="AW96">
        <v>4.766666667</v>
      </c>
      <c r="AX96">
        <v>5.6</v>
      </c>
      <c r="AY96">
        <v>-10.46666667</v>
      </c>
      <c r="AZ96">
        <v>20</v>
      </c>
      <c r="BA96">
        <v>35</v>
      </c>
      <c r="BB96">
        <v>1</v>
      </c>
      <c r="BC96">
        <v>30</v>
      </c>
      <c r="BD96">
        <v>1</v>
      </c>
      <c r="BE96">
        <v>1</v>
      </c>
      <c r="BF96">
        <v>2</v>
      </c>
      <c r="BG96">
        <v>1</v>
      </c>
      <c r="BI96">
        <v>9.1</v>
      </c>
      <c r="BJ96">
        <v>45.177</v>
      </c>
      <c r="BK96">
        <v>0</v>
      </c>
      <c r="BL96">
        <v>21</v>
      </c>
      <c r="BM96">
        <v>13</v>
      </c>
      <c r="BN96">
        <v>490</v>
      </c>
      <c r="BO96">
        <v>731.75</v>
      </c>
      <c r="BP96">
        <f t="shared" si="16"/>
        <v>-241.75</v>
      </c>
      <c r="BQ96">
        <v>1659</v>
      </c>
      <c r="BR96">
        <f t="shared" si="17"/>
        <v>-1169</v>
      </c>
      <c r="BS96">
        <v>27.808712119999999</v>
      </c>
      <c r="BT96" t="s">
        <v>114</v>
      </c>
      <c r="BU96">
        <v>1.154195235</v>
      </c>
      <c r="BV96">
        <v>-16.59485931</v>
      </c>
      <c r="BW96" t="s">
        <v>114</v>
      </c>
      <c r="BX96">
        <v>1.154195235</v>
      </c>
      <c r="BY96">
        <v>550.77871103738698</v>
      </c>
      <c r="BZ96" t="s">
        <v>114</v>
      </c>
      <c r="CA96">
        <v>0.60884073127230098</v>
      </c>
      <c r="CB96">
        <v>1546.6489395460701</v>
      </c>
      <c r="CC96" t="s">
        <v>114</v>
      </c>
      <c r="CD96">
        <v>0.60884073127230098</v>
      </c>
      <c r="CE96" t="s">
        <v>114</v>
      </c>
      <c r="CF96" t="s">
        <v>114</v>
      </c>
      <c r="CG96" t="s">
        <v>114</v>
      </c>
      <c r="CH96">
        <v>27.808712119999999</v>
      </c>
      <c r="CI96" t="s">
        <v>114</v>
      </c>
      <c r="CJ96">
        <v>1.154195235</v>
      </c>
      <c r="CK96" t="s">
        <v>114</v>
      </c>
      <c r="CL96">
        <v>-16.59485931</v>
      </c>
      <c r="CM96" t="s">
        <v>114</v>
      </c>
      <c r="CN96">
        <v>1.154195235</v>
      </c>
      <c r="CO96" t="s">
        <v>114</v>
      </c>
      <c r="CP96">
        <v>367.18580735825799</v>
      </c>
      <c r="CQ96" t="s">
        <v>114</v>
      </c>
      <c r="CR96">
        <v>0.40589382084820103</v>
      </c>
      <c r="CS96" t="s">
        <v>114</v>
      </c>
      <c r="CT96">
        <v>1031.09929303071</v>
      </c>
      <c r="CU96" t="s">
        <v>114</v>
      </c>
      <c r="CV96">
        <v>0.40589382084820103</v>
      </c>
      <c r="CW96" t="s">
        <v>114</v>
      </c>
    </row>
    <row r="97" spans="1:101" x14ac:dyDescent="0.25">
      <c r="A97" t="s">
        <v>18</v>
      </c>
      <c r="B97">
        <v>15</v>
      </c>
      <c r="C97" t="s">
        <v>19</v>
      </c>
      <c r="D97" t="s">
        <v>95</v>
      </c>
      <c r="E97" t="s">
        <v>104</v>
      </c>
      <c r="F97" t="s">
        <v>145</v>
      </c>
      <c r="G97" t="s">
        <v>264</v>
      </c>
      <c r="H97" t="str">
        <f t="shared" si="12"/>
        <v>T.cyanopetala.Highcomp.Shade</v>
      </c>
      <c r="I97" t="s">
        <v>707</v>
      </c>
      <c r="J97" t="s">
        <v>371</v>
      </c>
      <c r="K97">
        <v>4</v>
      </c>
      <c r="L97">
        <v>110</v>
      </c>
      <c r="M97">
        <v>90</v>
      </c>
      <c r="N97">
        <v>110</v>
      </c>
      <c r="O97">
        <f t="shared" si="13"/>
        <v>20</v>
      </c>
      <c r="P97">
        <v>20</v>
      </c>
      <c r="Q97">
        <v>30</v>
      </c>
      <c r="R97">
        <v>10</v>
      </c>
      <c r="S97">
        <f t="shared" si="14"/>
        <v>20</v>
      </c>
      <c r="T97">
        <f t="shared" si="15"/>
        <v>0.18181818181818182</v>
      </c>
      <c r="V97" t="s">
        <v>121</v>
      </c>
      <c r="W97" t="s">
        <v>114</v>
      </c>
      <c r="X97">
        <v>16.899999999999999</v>
      </c>
      <c r="Y97">
        <v>15.9</v>
      </c>
      <c r="Z97">
        <v>15.4</v>
      </c>
      <c r="AA97">
        <v>16.06666667</v>
      </c>
      <c r="AB97">
        <v>16.06666667</v>
      </c>
      <c r="AC97">
        <v>12.5</v>
      </c>
      <c r="AD97">
        <v>11.5</v>
      </c>
      <c r="AE97">
        <v>12</v>
      </c>
      <c r="AF97">
        <v>12</v>
      </c>
      <c r="AG97">
        <v>16.399999999999999</v>
      </c>
      <c r="AH97">
        <v>20.8</v>
      </c>
      <c r="AI97">
        <v>17.899999999999999</v>
      </c>
      <c r="AJ97">
        <v>18.366666670000001</v>
      </c>
      <c r="AK97">
        <v>17.399999999999999</v>
      </c>
      <c r="AL97">
        <v>18.399999999999999</v>
      </c>
      <c r="AM97">
        <v>16.899999999999999</v>
      </c>
      <c r="AN97">
        <v>17.56666667</v>
      </c>
      <c r="AO97">
        <v>18.366666670000001</v>
      </c>
      <c r="AP97">
        <v>5.6</v>
      </c>
      <c r="AQ97">
        <v>5.6</v>
      </c>
      <c r="AR97" t="s">
        <v>114</v>
      </c>
      <c r="AS97">
        <v>5.6</v>
      </c>
      <c r="AT97">
        <v>5.0999999999999996</v>
      </c>
      <c r="AU97">
        <v>5.0999999999999996</v>
      </c>
      <c r="AV97">
        <v>5.6</v>
      </c>
      <c r="AW97">
        <v>5.266666667</v>
      </c>
      <c r="AX97">
        <v>5.6</v>
      </c>
      <c r="AY97">
        <v>-10.46666667</v>
      </c>
      <c r="AZ97">
        <v>20</v>
      </c>
      <c r="BA97">
        <v>35</v>
      </c>
      <c r="BB97">
        <v>1</v>
      </c>
      <c r="BC97">
        <v>30</v>
      </c>
      <c r="BD97">
        <v>1</v>
      </c>
      <c r="BE97">
        <v>1</v>
      </c>
      <c r="BF97">
        <v>2</v>
      </c>
      <c r="BG97">
        <v>1</v>
      </c>
      <c r="BI97">
        <v>9.1</v>
      </c>
      <c r="BJ97">
        <v>45.177</v>
      </c>
      <c r="BK97">
        <v>0</v>
      </c>
      <c r="BL97">
        <v>14</v>
      </c>
      <c r="BM97">
        <v>14</v>
      </c>
      <c r="BN97">
        <v>76</v>
      </c>
      <c r="BO97">
        <v>154.66666699999999</v>
      </c>
      <c r="BP97">
        <f t="shared" si="16"/>
        <v>-78.66666699999999</v>
      </c>
      <c r="BQ97">
        <v>58</v>
      </c>
      <c r="BR97">
        <f t="shared" si="17"/>
        <v>18</v>
      </c>
      <c r="BS97">
        <v>39.163189729999999</v>
      </c>
      <c r="BT97">
        <v>2.0212198324999999</v>
      </c>
      <c r="BU97">
        <v>10.59792161</v>
      </c>
      <c r="BV97">
        <v>39.163189729999999</v>
      </c>
      <c r="BW97">
        <v>2.0212198324999999</v>
      </c>
      <c r="BX97">
        <v>10.59792161</v>
      </c>
      <c r="BY97">
        <v>161.39811772765</v>
      </c>
      <c r="BZ97">
        <v>0.20964085828085599</v>
      </c>
      <c r="CA97">
        <v>5.6183589401689597E-2</v>
      </c>
      <c r="CB97">
        <v>161.39811772765</v>
      </c>
      <c r="CC97">
        <v>0.20964085828085599</v>
      </c>
      <c r="CD97">
        <v>5.6183589401689597E-2</v>
      </c>
      <c r="CE97">
        <v>0.21398662500000001</v>
      </c>
      <c r="CF97">
        <v>8.0628630096124998E-4</v>
      </c>
      <c r="CG97">
        <v>0.20394741250000001</v>
      </c>
      <c r="CH97">
        <v>34.671556985000002</v>
      </c>
      <c r="CI97">
        <v>1.8593399162499999</v>
      </c>
      <c r="CJ97">
        <v>10.681724644999999</v>
      </c>
      <c r="CK97">
        <v>0.20394741250000001</v>
      </c>
      <c r="CL97">
        <v>34.671556985000002</v>
      </c>
      <c r="CM97">
        <v>1.8593399162499999</v>
      </c>
      <c r="CN97">
        <v>10.681724644999999</v>
      </c>
      <c r="CO97">
        <v>4.0314315048062499E-4</v>
      </c>
      <c r="CP97">
        <v>80.699058863825002</v>
      </c>
      <c r="CQ97">
        <v>0.104820429140428</v>
      </c>
      <c r="CR97">
        <v>2.8091794700844799E-2</v>
      </c>
      <c r="CS97">
        <v>4.0314315048062499E-4</v>
      </c>
      <c r="CT97">
        <v>80.699058863825002</v>
      </c>
      <c r="CU97">
        <v>0.104820429140428</v>
      </c>
      <c r="CV97">
        <v>2.8091794700844799E-2</v>
      </c>
      <c r="CW97">
        <v>0.21398662500000001</v>
      </c>
    </row>
    <row r="98" spans="1:101" x14ac:dyDescent="0.25">
      <c r="A98" t="s">
        <v>18</v>
      </c>
      <c r="B98">
        <v>15</v>
      </c>
      <c r="C98" t="s">
        <v>19</v>
      </c>
      <c r="D98" t="s">
        <v>95</v>
      </c>
      <c r="E98" t="s">
        <v>112</v>
      </c>
      <c r="F98" t="s">
        <v>145</v>
      </c>
      <c r="G98" t="s">
        <v>261</v>
      </c>
      <c r="H98" t="str">
        <f t="shared" si="12"/>
        <v>V.rosea.Highcomp.Shade</v>
      </c>
      <c r="I98" t="s">
        <v>708</v>
      </c>
      <c r="J98" t="s">
        <v>372</v>
      </c>
      <c r="K98">
        <v>1</v>
      </c>
      <c r="L98">
        <v>30</v>
      </c>
      <c r="M98">
        <v>70</v>
      </c>
      <c r="N98">
        <v>30</v>
      </c>
      <c r="O98">
        <f t="shared" si="13"/>
        <v>-40</v>
      </c>
      <c r="P98">
        <v>20</v>
      </c>
      <c r="Q98">
        <v>20</v>
      </c>
      <c r="R98">
        <v>20</v>
      </c>
      <c r="S98">
        <f t="shared" si="14"/>
        <v>20</v>
      </c>
      <c r="T98">
        <f t="shared" si="15"/>
        <v>0.66666666666666663</v>
      </c>
      <c r="V98" t="s">
        <v>113</v>
      </c>
      <c r="W98" t="s">
        <v>114</v>
      </c>
      <c r="X98">
        <v>16.899999999999999</v>
      </c>
      <c r="Y98">
        <v>15.9</v>
      </c>
      <c r="Z98">
        <v>15.4</v>
      </c>
      <c r="AA98">
        <v>16.06666667</v>
      </c>
      <c r="AB98">
        <v>16.06666667</v>
      </c>
      <c r="AC98">
        <v>13</v>
      </c>
      <c r="AD98">
        <v>13.9</v>
      </c>
      <c r="AE98">
        <v>13.9</v>
      </c>
      <c r="AF98">
        <v>13.6</v>
      </c>
      <c r="AG98">
        <v>16.399999999999999</v>
      </c>
      <c r="AH98">
        <v>20.8</v>
      </c>
      <c r="AI98">
        <v>17.899999999999999</v>
      </c>
      <c r="AJ98">
        <v>18.366666670000001</v>
      </c>
      <c r="AK98">
        <v>16.899999999999999</v>
      </c>
      <c r="AL98">
        <v>19.3</v>
      </c>
      <c r="AM98">
        <v>17.899999999999999</v>
      </c>
      <c r="AN98">
        <v>18.033333330000001</v>
      </c>
      <c r="AO98">
        <v>18.366666670000001</v>
      </c>
      <c r="AP98">
        <v>5.6</v>
      </c>
      <c r="AQ98">
        <v>5.6</v>
      </c>
      <c r="AR98" t="s">
        <v>114</v>
      </c>
      <c r="AS98">
        <v>5.6</v>
      </c>
      <c r="AT98">
        <v>5.6</v>
      </c>
      <c r="AU98">
        <v>6.6</v>
      </c>
      <c r="AV98">
        <v>5.6</v>
      </c>
      <c r="AW98">
        <v>5.9333333330000002</v>
      </c>
      <c r="AX98">
        <v>5.6</v>
      </c>
      <c r="AY98">
        <v>-10.46666667</v>
      </c>
      <c r="AZ98">
        <v>20</v>
      </c>
      <c r="BA98">
        <v>35</v>
      </c>
      <c r="BB98">
        <v>1</v>
      </c>
      <c r="BC98">
        <v>30</v>
      </c>
      <c r="BD98">
        <v>1</v>
      </c>
      <c r="BE98">
        <v>1</v>
      </c>
      <c r="BF98">
        <v>2</v>
      </c>
      <c r="BG98">
        <v>1</v>
      </c>
      <c r="BI98">
        <v>9.1</v>
      </c>
      <c r="BJ98">
        <v>45.177</v>
      </c>
      <c r="BK98">
        <v>0</v>
      </c>
      <c r="BL98">
        <v>0</v>
      </c>
      <c r="BM98">
        <v>0</v>
      </c>
      <c r="BN98">
        <v>0</v>
      </c>
      <c r="BO98">
        <v>31.75</v>
      </c>
      <c r="BP98">
        <f t="shared" si="16"/>
        <v>-31.75</v>
      </c>
      <c r="BQ98">
        <v>30</v>
      </c>
      <c r="BR98">
        <f t="shared" si="17"/>
        <v>-30</v>
      </c>
      <c r="BS98">
        <v>18.663825760000002</v>
      </c>
      <c r="BT98">
        <v>1.5594277780000001</v>
      </c>
      <c r="BU98">
        <v>15.285372730000001</v>
      </c>
      <c r="BV98">
        <v>-18.663825760000002</v>
      </c>
      <c r="BW98">
        <v>1.5594277780000001</v>
      </c>
      <c r="BX98">
        <v>15.285372730000001</v>
      </c>
      <c r="BY98" t="s">
        <v>114</v>
      </c>
      <c r="BZ98" t="s">
        <v>114</v>
      </c>
      <c r="CA98" t="s">
        <v>114</v>
      </c>
      <c r="CB98" t="s">
        <v>114</v>
      </c>
      <c r="CC98" t="s">
        <v>114</v>
      </c>
      <c r="CD98" t="s">
        <v>114</v>
      </c>
      <c r="CE98">
        <v>1.9981640000000001</v>
      </c>
      <c r="CF98" t="s">
        <v>114</v>
      </c>
      <c r="CG98">
        <v>1.9981640000000001</v>
      </c>
      <c r="CH98">
        <v>18.663825760000002</v>
      </c>
      <c r="CI98">
        <v>1.5594277780000001</v>
      </c>
      <c r="CJ98">
        <v>15.285372730000001</v>
      </c>
      <c r="CK98">
        <v>1.9981640000000001</v>
      </c>
      <c r="CL98">
        <v>-18.663825760000002</v>
      </c>
      <c r="CM98">
        <v>1.5594277780000001</v>
      </c>
      <c r="CN98">
        <v>15.285372730000001</v>
      </c>
      <c r="CO98" t="s">
        <v>114</v>
      </c>
      <c r="CP98" t="s">
        <v>114</v>
      </c>
      <c r="CQ98" t="s">
        <v>114</v>
      </c>
      <c r="CR98" t="s">
        <v>114</v>
      </c>
      <c r="CS98" t="s">
        <v>114</v>
      </c>
      <c r="CT98" t="s">
        <v>114</v>
      </c>
      <c r="CU98" t="s">
        <v>114</v>
      </c>
      <c r="CV98" t="s">
        <v>114</v>
      </c>
      <c r="CW98">
        <v>1.9981640000000001</v>
      </c>
    </row>
    <row r="99" spans="1:101" x14ac:dyDescent="0.25">
      <c r="A99" t="s">
        <v>20</v>
      </c>
      <c r="B99">
        <v>15</v>
      </c>
      <c r="C99" t="s">
        <v>21</v>
      </c>
      <c r="D99" t="s">
        <v>94</v>
      </c>
      <c r="E99" t="s">
        <v>102</v>
      </c>
      <c r="F99" t="s">
        <v>145</v>
      </c>
      <c r="G99" t="s">
        <v>265</v>
      </c>
      <c r="H99" t="str">
        <f t="shared" si="12"/>
        <v>A.calendula.Highcomp.Open</v>
      </c>
      <c r="I99" t="s">
        <v>698</v>
      </c>
      <c r="J99" t="s">
        <v>373</v>
      </c>
      <c r="K99">
        <v>1</v>
      </c>
      <c r="L99">
        <v>100</v>
      </c>
      <c r="M99">
        <v>70</v>
      </c>
      <c r="N99">
        <v>100</v>
      </c>
      <c r="O99">
        <f t="shared" si="13"/>
        <v>30</v>
      </c>
      <c r="P99">
        <v>130</v>
      </c>
      <c r="Q99">
        <v>130</v>
      </c>
      <c r="R99">
        <v>80</v>
      </c>
      <c r="S99">
        <f t="shared" si="14"/>
        <v>105</v>
      </c>
      <c r="T99">
        <f t="shared" si="15"/>
        <v>1.05</v>
      </c>
      <c r="U99" t="s">
        <v>792</v>
      </c>
      <c r="V99" t="s">
        <v>121</v>
      </c>
      <c r="W99" t="s">
        <v>114</v>
      </c>
      <c r="X99">
        <v>23.8</v>
      </c>
      <c r="Y99">
        <v>13.5</v>
      </c>
      <c r="Z99">
        <v>13.9</v>
      </c>
      <c r="AA99">
        <v>17.06666667</v>
      </c>
      <c r="AB99">
        <v>17.06666667</v>
      </c>
      <c r="AC99">
        <v>21.8</v>
      </c>
      <c r="AD99">
        <v>16.899999999999999</v>
      </c>
      <c r="AE99">
        <v>14.9</v>
      </c>
      <c r="AF99">
        <v>17.866666670000001</v>
      </c>
      <c r="AG99">
        <v>16.899999999999999</v>
      </c>
      <c r="AH99">
        <v>26.2</v>
      </c>
      <c r="AI99">
        <v>20.3</v>
      </c>
      <c r="AJ99">
        <v>21.133333329999999</v>
      </c>
      <c r="AK99">
        <v>24.7</v>
      </c>
      <c r="AL99">
        <v>19.3</v>
      </c>
      <c r="AM99">
        <v>15.9</v>
      </c>
      <c r="AN99">
        <v>19.966666669999999</v>
      </c>
      <c r="AO99">
        <v>21.133333329999999</v>
      </c>
      <c r="AP99">
        <v>8.5</v>
      </c>
      <c r="AQ99">
        <v>5.6</v>
      </c>
      <c r="AR99">
        <v>6.6</v>
      </c>
      <c r="AS99">
        <v>6.9</v>
      </c>
      <c r="AT99">
        <v>6.1</v>
      </c>
      <c r="AU99">
        <v>6.6</v>
      </c>
      <c r="AV99">
        <v>8.1</v>
      </c>
      <c r="AW99">
        <v>6.9333333330000002</v>
      </c>
      <c r="AX99">
        <v>6.9</v>
      </c>
      <c r="AY99">
        <v>-10.16666667</v>
      </c>
      <c r="AZ99">
        <v>20</v>
      </c>
      <c r="BA99">
        <v>20</v>
      </c>
      <c r="BB99">
        <v>10</v>
      </c>
      <c r="BC99">
        <v>20</v>
      </c>
      <c r="BD99">
        <v>1</v>
      </c>
      <c r="BE99">
        <v>1</v>
      </c>
      <c r="BF99">
        <v>0</v>
      </c>
      <c r="BG99">
        <v>0</v>
      </c>
      <c r="BI99">
        <v>10.7</v>
      </c>
      <c r="BJ99">
        <v>0</v>
      </c>
      <c r="BK99">
        <v>0</v>
      </c>
      <c r="BL99">
        <v>16</v>
      </c>
      <c r="BM99">
        <v>14</v>
      </c>
      <c r="BN99">
        <v>541</v>
      </c>
      <c r="BO99">
        <v>383.66669999999999</v>
      </c>
      <c r="BP99">
        <f t="shared" si="16"/>
        <v>157.33330000000001</v>
      </c>
      <c r="BQ99">
        <v>623</v>
      </c>
      <c r="BR99">
        <f t="shared" si="17"/>
        <v>-82</v>
      </c>
      <c r="BS99">
        <v>35.50925926</v>
      </c>
      <c r="BT99">
        <v>0.20661001500000001</v>
      </c>
      <c r="BU99">
        <v>1.5034360600000001</v>
      </c>
      <c r="BV99">
        <v>-35.50925926</v>
      </c>
      <c r="BW99">
        <v>0.20661001500000001</v>
      </c>
      <c r="BX99">
        <v>-1.5034360600000001</v>
      </c>
      <c r="BY99" t="s">
        <v>114</v>
      </c>
      <c r="BZ99" t="s">
        <v>114</v>
      </c>
      <c r="CA99" t="s">
        <v>114</v>
      </c>
      <c r="CB99" t="s">
        <v>114</v>
      </c>
      <c r="CC99" t="s">
        <v>114</v>
      </c>
      <c r="CD99" t="s">
        <v>114</v>
      </c>
      <c r="CE99" t="s">
        <v>114</v>
      </c>
      <c r="CF99" t="s">
        <v>114</v>
      </c>
      <c r="CG99" t="s">
        <v>114</v>
      </c>
      <c r="CH99">
        <v>35.50925926</v>
      </c>
      <c r="CI99">
        <v>0.20661001500000001</v>
      </c>
      <c r="CJ99">
        <v>1.5034360600000001</v>
      </c>
      <c r="CK99" t="s">
        <v>114</v>
      </c>
      <c r="CL99">
        <v>-35.50925926</v>
      </c>
      <c r="CM99">
        <v>0.20661001500000001</v>
      </c>
      <c r="CN99">
        <v>-1.5034360600000001</v>
      </c>
      <c r="CO99" t="s">
        <v>114</v>
      </c>
      <c r="CP99" t="s">
        <v>114</v>
      </c>
      <c r="CQ99" t="s">
        <v>114</v>
      </c>
      <c r="CR99" t="s">
        <v>114</v>
      </c>
      <c r="CS99" t="s">
        <v>114</v>
      </c>
      <c r="CT99" t="s">
        <v>114</v>
      </c>
      <c r="CU99" t="s">
        <v>114</v>
      </c>
      <c r="CV99" t="s">
        <v>114</v>
      </c>
      <c r="CW99" t="s">
        <v>114</v>
      </c>
    </row>
    <row r="100" spans="1:101" x14ac:dyDescent="0.25">
      <c r="A100" t="s">
        <v>20</v>
      </c>
      <c r="B100">
        <v>15</v>
      </c>
      <c r="C100" t="s">
        <v>21</v>
      </c>
      <c r="D100" t="s">
        <v>94</v>
      </c>
      <c r="E100" t="s">
        <v>113</v>
      </c>
      <c r="F100" t="s">
        <v>145</v>
      </c>
      <c r="G100" t="s">
        <v>259</v>
      </c>
      <c r="H100" t="str">
        <f t="shared" si="12"/>
        <v>H.glutinosum.Highcomp.Open</v>
      </c>
      <c r="I100" t="s">
        <v>709</v>
      </c>
      <c r="J100" t="s">
        <v>374</v>
      </c>
      <c r="K100">
        <v>1</v>
      </c>
      <c r="L100">
        <v>90</v>
      </c>
      <c r="M100">
        <v>10</v>
      </c>
      <c r="N100">
        <v>90</v>
      </c>
      <c r="O100">
        <f t="shared" si="13"/>
        <v>80</v>
      </c>
      <c r="P100">
        <v>10</v>
      </c>
      <c r="Q100">
        <v>80</v>
      </c>
      <c r="R100">
        <v>20</v>
      </c>
      <c r="S100">
        <f t="shared" si="14"/>
        <v>50</v>
      </c>
      <c r="T100">
        <f t="shared" si="15"/>
        <v>0.55555555555555558</v>
      </c>
      <c r="U100" t="s">
        <v>23</v>
      </c>
      <c r="V100" t="s">
        <v>113</v>
      </c>
      <c r="W100">
        <v>60</v>
      </c>
      <c r="X100">
        <v>23.8</v>
      </c>
      <c r="Y100">
        <v>13.5</v>
      </c>
      <c r="Z100">
        <v>13.9</v>
      </c>
      <c r="AA100">
        <v>17.06666667</v>
      </c>
      <c r="AB100">
        <v>17.06666667</v>
      </c>
      <c r="AC100">
        <v>11.5</v>
      </c>
      <c r="AD100">
        <v>13.9</v>
      </c>
      <c r="AE100">
        <v>11</v>
      </c>
      <c r="AF100">
        <v>12.133333329999999</v>
      </c>
      <c r="AG100">
        <v>16.899999999999999</v>
      </c>
      <c r="AH100">
        <v>26.2</v>
      </c>
      <c r="AI100">
        <v>20.3</v>
      </c>
      <c r="AJ100">
        <v>21.133333329999999</v>
      </c>
      <c r="AK100">
        <v>14.4</v>
      </c>
      <c r="AL100">
        <v>19.3</v>
      </c>
      <c r="AM100">
        <v>18.399999999999999</v>
      </c>
      <c r="AN100">
        <v>17.366666670000001</v>
      </c>
      <c r="AO100">
        <v>21.133333329999999</v>
      </c>
      <c r="AP100">
        <v>8.5</v>
      </c>
      <c r="AQ100">
        <v>5.6</v>
      </c>
      <c r="AR100">
        <v>6.6</v>
      </c>
      <c r="AS100">
        <v>6.9</v>
      </c>
      <c r="AT100">
        <v>7.6</v>
      </c>
      <c r="AU100">
        <v>7.6</v>
      </c>
      <c r="AV100" t="s">
        <v>114</v>
      </c>
      <c r="AW100">
        <v>7.6</v>
      </c>
      <c r="AX100">
        <v>6.9</v>
      </c>
      <c r="AY100">
        <v>-10.16666667</v>
      </c>
      <c r="AZ100">
        <v>20</v>
      </c>
      <c r="BA100">
        <v>20</v>
      </c>
      <c r="BB100">
        <v>10</v>
      </c>
      <c r="BC100">
        <v>20</v>
      </c>
      <c r="BD100">
        <v>1</v>
      </c>
      <c r="BE100">
        <v>1</v>
      </c>
      <c r="BF100">
        <v>0</v>
      </c>
      <c r="BG100">
        <v>0</v>
      </c>
      <c r="BI100">
        <v>10.7</v>
      </c>
      <c r="BJ100">
        <v>0</v>
      </c>
      <c r="BK100">
        <v>0</v>
      </c>
      <c r="BL100">
        <v>4</v>
      </c>
      <c r="BM100">
        <v>4</v>
      </c>
      <c r="BN100">
        <v>60</v>
      </c>
      <c r="BO100">
        <v>8.5</v>
      </c>
      <c r="BP100">
        <f t="shared" si="16"/>
        <v>51.5</v>
      </c>
      <c r="BQ100">
        <v>0</v>
      </c>
      <c r="BR100">
        <f t="shared" si="17"/>
        <v>60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 t="s">
        <v>114</v>
      </c>
      <c r="BZ100" t="s">
        <v>114</v>
      </c>
      <c r="CA100" t="s">
        <v>114</v>
      </c>
      <c r="CB100" t="s">
        <v>114</v>
      </c>
      <c r="CC100" t="s">
        <v>114</v>
      </c>
      <c r="CD100" t="s">
        <v>114</v>
      </c>
      <c r="CE100">
        <v>0</v>
      </c>
      <c r="CF100" t="s">
        <v>114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 t="s">
        <v>114</v>
      </c>
      <c r="CP100" t="s">
        <v>114</v>
      </c>
      <c r="CQ100" t="s">
        <v>114</v>
      </c>
      <c r="CR100" t="s">
        <v>114</v>
      </c>
      <c r="CS100" t="s">
        <v>114</v>
      </c>
      <c r="CT100" t="s">
        <v>114</v>
      </c>
      <c r="CU100" t="s">
        <v>114</v>
      </c>
      <c r="CV100" t="s">
        <v>114</v>
      </c>
      <c r="CW100">
        <v>0</v>
      </c>
    </row>
    <row r="101" spans="1:101" x14ac:dyDescent="0.25">
      <c r="A101" t="s">
        <v>20</v>
      </c>
      <c r="B101">
        <v>15</v>
      </c>
      <c r="C101" t="s">
        <v>21</v>
      </c>
      <c r="D101" t="s">
        <v>94</v>
      </c>
      <c r="E101" t="s">
        <v>110</v>
      </c>
      <c r="F101" t="s">
        <v>145</v>
      </c>
      <c r="G101" t="s">
        <v>262</v>
      </c>
      <c r="H101" t="str">
        <f t="shared" si="12"/>
        <v>M.minima.Highcomp.Open</v>
      </c>
      <c r="I101" t="s">
        <v>702</v>
      </c>
      <c r="J101" t="s">
        <v>375</v>
      </c>
      <c r="K101">
        <v>3</v>
      </c>
      <c r="L101">
        <v>30</v>
      </c>
      <c r="M101">
        <v>20</v>
      </c>
      <c r="N101">
        <v>30</v>
      </c>
      <c r="O101">
        <f t="shared" si="13"/>
        <v>10</v>
      </c>
      <c r="P101">
        <v>5</v>
      </c>
      <c r="Q101">
        <v>55</v>
      </c>
      <c r="R101">
        <v>22</v>
      </c>
      <c r="S101">
        <f t="shared" si="14"/>
        <v>38.5</v>
      </c>
      <c r="T101">
        <f t="shared" si="15"/>
        <v>1.2833333333333334</v>
      </c>
      <c r="U101" t="s">
        <v>795</v>
      </c>
      <c r="V101" t="s">
        <v>121</v>
      </c>
      <c r="W101" t="s">
        <v>114</v>
      </c>
      <c r="X101">
        <v>23.8</v>
      </c>
      <c r="Y101">
        <v>13.5</v>
      </c>
      <c r="Z101">
        <v>13.9</v>
      </c>
      <c r="AA101">
        <v>17.06666667</v>
      </c>
      <c r="AB101">
        <v>17.06666667</v>
      </c>
      <c r="AC101">
        <v>14.9</v>
      </c>
      <c r="AD101">
        <v>13.9</v>
      </c>
      <c r="AE101">
        <v>14.9</v>
      </c>
      <c r="AF101">
        <v>14.56666667</v>
      </c>
      <c r="AG101">
        <v>16.899999999999999</v>
      </c>
      <c r="AH101">
        <v>26.2</v>
      </c>
      <c r="AI101">
        <v>20.3</v>
      </c>
      <c r="AJ101">
        <v>21.133333329999999</v>
      </c>
      <c r="AK101">
        <v>18.399999999999999</v>
      </c>
      <c r="AL101">
        <v>19.8</v>
      </c>
      <c r="AM101">
        <v>17.399999999999999</v>
      </c>
      <c r="AN101">
        <v>18.533333330000001</v>
      </c>
      <c r="AO101">
        <v>21.133333329999999</v>
      </c>
      <c r="AP101">
        <v>8.5</v>
      </c>
      <c r="AQ101">
        <v>5.6</v>
      </c>
      <c r="AR101">
        <v>6.6</v>
      </c>
      <c r="AS101">
        <v>6.9</v>
      </c>
      <c r="AT101">
        <v>5.6</v>
      </c>
      <c r="AU101">
        <v>8.1</v>
      </c>
      <c r="AV101" t="s">
        <v>114</v>
      </c>
      <c r="AW101">
        <v>6.85</v>
      </c>
      <c r="AX101">
        <v>6.9</v>
      </c>
      <c r="AY101">
        <v>-10.16666667</v>
      </c>
      <c r="AZ101">
        <v>20</v>
      </c>
      <c r="BA101">
        <v>20</v>
      </c>
      <c r="BB101">
        <v>10</v>
      </c>
      <c r="BC101">
        <v>20</v>
      </c>
      <c r="BD101">
        <v>1</v>
      </c>
      <c r="BE101">
        <v>1</v>
      </c>
      <c r="BF101">
        <v>0</v>
      </c>
      <c r="BG101">
        <v>0</v>
      </c>
      <c r="BI101">
        <v>10.7</v>
      </c>
      <c r="BJ101">
        <v>0</v>
      </c>
      <c r="BK101">
        <v>0</v>
      </c>
      <c r="BL101">
        <v>6</v>
      </c>
      <c r="BM101">
        <v>6</v>
      </c>
      <c r="BN101">
        <v>6</v>
      </c>
      <c r="BO101">
        <v>6</v>
      </c>
      <c r="BP101">
        <f t="shared" si="16"/>
        <v>0</v>
      </c>
      <c r="BQ101">
        <v>7</v>
      </c>
      <c r="BR101">
        <f t="shared" si="17"/>
        <v>-1</v>
      </c>
      <c r="BS101">
        <v>10.98828868</v>
      </c>
      <c r="BT101">
        <v>0.19407250000000001</v>
      </c>
      <c r="BU101">
        <v>8.5653335899999998</v>
      </c>
      <c r="BV101">
        <v>-10.98828868</v>
      </c>
      <c r="BW101">
        <v>0.13542083299999999</v>
      </c>
      <c r="BX101">
        <v>8.5653335899999998</v>
      </c>
      <c r="BY101">
        <v>0.48330668894919998</v>
      </c>
      <c r="BZ101">
        <v>3.66776040208278E-2</v>
      </c>
      <c r="CA101">
        <v>21.4973486188441</v>
      </c>
      <c r="CB101">
        <v>0.48330668894919998</v>
      </c>
      <c r="CC101">
        <v>7.5328270512500003E-2</v>
      </c>
      <c r="CD101">
        <v>21.4973486188441</v>
      </c>
      <c r="CE101">
        <v>0.47206825000000002</v>
      </c>
      <c r="CF101">
        <v>0.44569686531612501</v>
      </c>
      <c r="CG101">
        <v>0.54669793333333305</v>
      </c>
      <c r="CH101">
        <v>10.824427849999999</v>
      </c>
      <c r="CI101">
        <v>0.23921277766666699</v>
      </c>
      <c r="CJ101">
        <v>9.6581726200000002</v>
      </c>
      <c r="CK101">
        <v>0.38124513333333299</v>
      </c>
      <c r="CL101">
        <v>-10.824427849999999</v>
      </c>
      <c r="CM101">
        <v>0.20011166633333299</v>
      </c>
      <c r="CN101">
        <v>9.6581726200000002</v>
      </c>
      <c r="CO101">
        <v>6.6835075613203301E-2</v>
      </c>
      <c r="CP101">
        <v>0.32220445929946701</v>
      </c>
      <c r="CQ101">
        <v>2.44517360138852E-2</v>
      </c>
      <c r="CR101">
        <v>14.3315657458961</v>
      </c>
      <c r="CS101">
        <v>0.29713124354408299</v>
      </c>
      <c r="CT101">
        <v>0.32220445929946701</v>
      </c>
      <c r="CU101">
        <v>5.0218847008333303E-2</v>
      </c>
      <c r="CV101">
        <v>14.3315657458961</v>
      </c>
      <c r="CW101">
        <v>0.22388905000000001</v>
      </c>
    </row>
    <row r="102" spans="1:101" x14ac:dyDescent="0.25">
      <c r="A102" t="s">
        <v>20</v>
      </c>
      <c r="B102">
        <v>15</v>
      </c>
      <c r="C102" t="s">
        <v>21</v>
      </c>
      <c r="D102" t="s">
        <v>94</v>
      </c>
      <c r="E102" t="s">
        <v>111</v>
      </c>
      <c r="F102" t="s">
        <v>145</v>
      </c>
      <c r="G102" t="s">
        <v>263</v>
      </c>
      <c r="H102" t="str">
        <f t="shared" si="12"/>
        <v>P.canescens.Highcomp.Open</v>
      </c>
      <c r="I102" t="s">
        <v>703</v>
      </c>
      <c r="J102" t="s">
        <v>376</v>
      </c>
      <c r="K102">
        <v>1</v>
      </c>
      <c r="L102">
        <v>250</v>
      </c>
      <c r="M102">
        <v>180</v>
      </c>
      <c r="N102">
        <v>250</v>
      </c>
      <c r="O102">
        <f t="shared" si="13"/>
        <v>70</v>
      </c>
      <c r="P102">
        <v>90</v>
      </c>
      <c r="Q102">
        <v>200</v>
      </c>
      <c r="R102">
        <v>150</v>
      </c>
      <c r="S102">
        <f t="shared" si="14"/>
        <v>175</v>
      </c>
      <c r="T102">
        <f t="shared" si="15"/>
        <v>0.7</v>
      </c>
      <c r="U102" t="s">
        <v>792</v>
      </c>
      <c r="V102" t="s">
        <v>121</v>
      </c>
      <c r="W102" t="s">
        <v>114</v>
      </c>
      <c r="X102">
        <v>23.8</v>
      </c>
      <c r="Y102">
        <v>13.5</v>
      </c>
      <c r="Z102">
        <v>13.9</v>
      </c>
      <c r="AA102">
        <v>17.06666667</v>
      </c>
      <c r="AB102">
        <v>17.06666667</v>
      </c>
      <c r="AC102">
        <v>13</v>
      </c>
      <c r="AD102">
        <v>13.9</v>
      </c>
      <c r="AE102">
        <v>12</v>
      </c>
      <c r="AF102">
        <v>12.96666667</v>
      </c>
      <c r="AG102">
        <v>16.899999999999999</v>
      </c>
      <c r="AH102">
        <v>26.2</v>
      </c>
      <c r="AI102">
        <v>20.3</v>
      </c>
      <c r="AJ102">
        <v>21.133333329999999</v>
      </c>
      <c r="AK102">
        <v>16.399999999999999</v>
      </c>
      <c r="AL102">
        <v>16.399999999999999</v>
      </c>
      <c r="AM102">
        <v>18.399999999999999</v>
      </c>
      <c r="AN102">
        <v>17.06666667</v>
      </c>
      <c r="AO102">
        <v>21.133333329999999</v>
      </c>
      <c r="AP102">
        <v>8.5</v>
      </c>
      <c r="AQ102">
        <v>5.6</v>
      </c>
      <c r="AR102">
        <v>6.6</v>
      </c>
      <c r="AS102">
        <v>6.9</v>
      </c>
      <c r="AT102">
        <v>4.5999999999999996</v>
      </c>
      <c r="AU102">
        <v>5.6</v>
      </c>
      <c r="AV102" t="s">
        <v>114</v>
      </c>
      <c r="AW102">
        <v>5.0999999999999996</v>
      </c>
      <c r="AX102">
        <v>6.9</v>
      </c>
      <c r="AY102">
        <v>-10.16666667</v>
      </c>
      <c r="AZ102">
        <v>20</v>
      </c>
      <c r="BA102">
        <v>20</v>
      </c>
      <c r="BB102">
        <v>10</v>
      </c>
      <c r="BC102">
        <v>20</v>
      </c>
      <c r="BD102">
        <v>1</v>
      </c>
      <c r="BE102">
        <v>1</v>
      </c>
      <c r="BF102">
        <v>0</v>
      </c>
      <c r="BG102">
        <v>0</v>
      </c>
      <c r="BI102">
        <v>10.7</v>
      </c>
      <c r="BJ102">
        <v>0</v>
      </c>
      <c r="BK102">
        <v>0</v>
      </c>
      <c r="BL102">
        <v>106</v>
      </c>
      <c r="BM102">
        <v>92</v>
      </c>
      <c r="BN102">
        <v>8449</v>
      </c>
      <c r="BO102">
        <v>2240.3332999999998</v>
      </c>
      <c r="BP102">
        <f t="shared" si="16"/>
        <v>6208.6666999999998</v>
      </c>
      <c r="BQ102">
        <v>2965</v>
      </c>
      <c r="BR102">
        <f t="shared" si="17"/>
        <v>5484</v>
      </c>
      <c r="BS102">
        <v>21.710559</v>
      </c>
      <c r="BT102">
        <v>0.93538222199999999</v>
      </c>
      <c r="BU102">
        <v>10.137912419999999</v>
      </c>
      <c r="BV102">
        <v>21.710559</v>
      </c>
      <c r="BW102">
        <v>-0.93538222199999999</v>
      </c>
      <c r="BX102">
        <v>-10.137912419999999</v>
      </c>
      <c r="BY102" t="s">
        <v>114</v>
      </c>
      <c r="BZ102" t="s">
        <v>114</v>
      </c>
      <c r="CA102" t="s">
        <v>114</v>
      </c>
      <c r="CB102" t="s">
        <v>114</v>
      </c>
      <c r="CC102" t="s">
        <v>114</v>
      </c>
      <c r="CD102" t="s">
        <v>114</v>
      </c>
      <c r="CE102">
        <v>0.5184628</v>
      </c>
      <c r="CF102" t="s">
        <v>114</v>
      </c>
      <c r="CG102">
        <v>0.5184628</v>
      </c>
      <c r="CH102">
        <v>21.710559</v>
      </c>
      <c r="CI102">
        <v>0.93538222199999999</v>
      </c>
      <c r="CJ102">
        <v>10.137912419999999</v>
      </c>
      <c r="CK102">
        <v>-0.5184628</v>
      </c>
      <c r="CL102">
        <v>21.710559</v>
      </c>
      <c r="CM102">
        <v>-0.93538222199999999</v>
      </c>
      <c r="CN102">
        <v>-10.137912419999999</v>
      </c>
      <c r="CO102" t="s">
        <v>114</v>
      </c>
      <c r="CP102" t="s">
        <v>114</v>
      </c>
      <c r="CQ102" t="s">
        <v>114</v>
      </c>
      <c r="CR102" t="s">
        <v>114</v>
      </c>
      <c r="CS102" t="s">
        <v>114</v>
      </c>
      <c r="CT102" t="s">
        <v>114</v>
      </c>
      <c r="CU102" t="s">
        <v>114</v>
      </c>
      <c r="CV102" t="s">
        <v>114</v>
      </c>
      <c r="CW102">
        <v>-0.5184628</v>
      </c>
    </row>
    <row r="103" spans="1:101" x14ac:dyDescent="0.25">
      <c r="A103" t="s">
        <v>22</v>
      </c>
      <c r="B103">
        <v>15</v>
      </c>
      <c r="C103" t="s">
        <v>23</v>
      </c>
      <c r="D103" t="s">
        <v>95</v>
      </c>
      <c r="E103" t="s">
        <v>102</v>
      </c>
      <c r="F103" t="s">
        <v>145</v>
      </c>
      <c r="G103" t="s">
        <v>265</v>
      </c>
      <c r="H103" t="str">
        <f t="shared" si="12"/>
        <v>A.calendula.Highcomp.Shade</v>
      </c>
      <c r="I103" t="s">
        <v>710</v>
      </c>
      <c r="J103" t="s">
        <v>377</v>
      </c>
      <c r="K103">
        <v>1</v>
      </c>
      <c r="L103">
        <v>170</v>
      </c>
      <c r="M103">
        <v>130</v>
      </c>
      <c r="N103">
        <v>170</v>
      </c>
      <c r="O103">
        <f t="shared" si="13"/>
        <v>40</v>
      </c>
      <c r="P103">
        <v>190</v>
      </c>
      <c r="Q103">
        <v>190</v>
      </c>
      <c r="R103">
        <v>140</v>
      </c>
      <c r="S103">
        <f t="shared" si="14"/>
        <v>165</v>
      </c>
      <c r="T103">
        <f t="shared" si="15"/>
        <v>0.97058823529411764</v>
      </c>
      <c r="V103" t="s">
        <v>121</v>
      </c>
      <c r="W103" t="s">
        <v>114</v>
      </c>
      <c r="X103">
        <v>11</v>
      </c>
      <c r="Y103">
        <v>11</v>
      </c>
      <c r="Z103">
        <v>13.5</v>
      </c>
      <c r="AA103">
        <v>11.83333333</v>
      </c>
      <c r="AB103">
        <v>11.83333333</v>
      </c>
      <c r="AC103">
        <v>13.9</v>
      </c>
      <c r="AD103">
        <v>14.4</v>
      </c>
      <c r="AE103">
        <v>14.9</v>
      </c>
      <c r="AF103">
        <v>14.4</v>
      </c>
      <c r="AG103">
        <v>16.899999999999999</v>
      </c>
      <c r="AH103">
        <v>14.9</v>
      </c>
      <c r="AI103">
        <v>15.9</v>
      </c>
      <c r="AJ103">
        <v>15.9</v>
      </c>
      <c r="AK103">
        <v>17.899999999999999</v>
      </c>
      <c r="AL103">
        <v>17.899999999999999</v>
      </c>
      <c r="AM103">
        <v>18.899999999999999</v>
      </c>
      <c r="AN103">
        <v>18.233333330000001</v>
      </c>
      <c r="AO103">
        <v>15.9</v>
      </c>
      <c r="AP103">
        <v>5.6</v>
      </c>
      <c r="AQ103">
        <v>5.6</v>
      </c>
      <c r="AR103">
        <v>8.1</v>
      </c>
      <c r="AS103">
        <v>6.4333333330000002</v>
      </c>
      <c r="AT103">
        <v>7.1</v>
      </c>
      <c r="AU103">
        <v>7.6</v>
      </c>
      <c r="AV103">
        <v>9.5</v>
      </c>
      <c r="AW103">
        <v>8.0666666669999998</v>
      </c>
      <c r="AX103">
        <v>6.4333333330000002</v>
      </c>
      <c r="AY103">
        <v>-5.4</v>
      </c>
      <c r="AZ103">
        <v>5</v>
      </c>
      <c r="BA103">
        <v>90</v>
      </c>
      <c r="BB103">
        <v>5</v>
      </c>
      <c r="BC103">
        <v>15</v>
      </c>
      <c r="BD103">
        <v>1</v>
      </c>
      <c r="BE103">
        <v>1</v>
      </c>
      <c r="BF103">
        <v>10</v>
      </c>
      <c r="BG103">
        <v>0</v>
      </c>
      <c r="BI103">
        <v>4.4000000000000004</v>
      </c>
      <c r="BJ103">
        <v>46.103999999999999</v>
      </c>
      <c r="BK103">
        <v>0</v>
      </c>
      <c r="BL103">
        <v>34</v>
      </c>
      <c r="BM103">
        <v>34</v>
      </c>
      <c r="BN103">
        <v>1482</v>
      </c>
      <c r="BO103">
        <v>880</v>
      </c>
      <c r="BP103">
        <f t="shared" si="16"/>
        <v>602</v>
      </c>
      <c r="BQ103">
        <v>880</v>
      </c>
      <c r="BR103">
        <f t="shared" si="17"/>
        <v>602</v>
      </c>
      <c r="BS103">
        <v>28.59259256</v>
      </c>
      <c r="BT103">
        <v>0.56747201599999997</v>
      </c>
      <c r="BU103">
        <v>2.7506882400000001</v>
      </c>
      <c r="BV103">
        <v>-28.59259256</v>
      </c>
      <c r="BW103">
        <v>-0.56747201599999997</v>
      </c>
      <c r="BX103">
        <v>2.7506882400000001</v>
      </c>
      <c r="BY103" t="s">
        <v>114</v>
      </c>
      <c r="BZ103" t="s">
        <v>114</v>
      </c>
      <c r="CA103" t="s">
        <v>114</v>
      </c>
      <c r="CB103" t="s">
        <v>114</v>
      </c>
      <c r="CC103" t="s">
        <v>114</v>
      </c>
      <c r="CD103" t="s">
        <v>114</v>
      </c>
      <c r="CE103">
        <v>1.0678641900000001</v>
      </c>
      <c r="CF103" t="s">
        <v>114</v>
      </c>
      <c r="CG103">
        <v>1.0678641900000001</v>
      </c>
      <c r="CH103">
        <v>28.59259256</v>
      </c>
      <c r="CI103">
        <v>0.56747201599999997</v>
      </c>
      <c r="CJ103">
        <v>2.7506882400000001</v>
      </c>
      <c r="CK103">
        <v>1.0678641900000001</v>
      </c>
      <c r="CL103">
        <v>-28.59259256</v>
      </c>
      <c r="CM103">
        <v>-0.56747201599999997</v>
      </c>
      <c r="CN103">
        <v>2.7506882400000001</v>
      </c>
      <c r="CO103" t="s">
        <v>114</v>
      </c>
      <c r="CP103" t="s">
        <v>114</v>
      </c>
      <c r="CQ103" t="s">
        <v>114</v>
      </c>
      <c r="CR103" t="s">
        <v>114</v>
      </c>
      <c r="CS103" t="s">
        <v>114</v>
      </c>
      <c r="CT103" t="s">
        <v>114</v>
      </c>
      <c r="CU103" t="s">
        <v>114</v>
      </c>
      <c r="CV103" t="s">
        <v>114</v>
      </c>
      <c r="CW103">
        <v>1.0678641900000001</v>
      </c>
    </row>
    <row r="104" spans="1:101" x14ac:dyDescent="0.25">
      <c r="A104" t="s">
        <v>22</v>
      </c>
      <c r="B104">
        <v>15</v>
      </c>
      <c r="C104" t="s">
        <v>23</v>
      </c>
      <c r="D104" t="s">
        <v>95</v>
      </c>
      <c r="E104" t="s">
        <v>105</v>
      </c>
      <c r="F104" t="s">
        <v>145</v>
      </c>
      <c r="G104" t="s">
        <v>266</v>
      </c>
      <c r="H104" t="str">
        <f t="shared" si="12"/>
        <v>H.glabra.Highcomp.Shade</v>
      </c>
      <c r="I104" t="s">
        <v>711</v>
      </c>
      <c r="J104" t="s">
        <v>378</v>
      </c>
      <c r="K104">
        <v>6</v>
      </c>
      <c r="L104">
        <v>35</v>
      </c>
      <c r="M104">
        <v>30</v>
      </c>
      <c r="N104">
        <v>35</v>
      </c>
      <c r="O104">
        <f t="shared" si="13"/>
        <v>5</v>
      </c>
      <c r="P104">
        <v>45</v>
      </c>
      <c r="Q104">
        <v>45</v>
      </c>
      <c r="R104">
        <v>20</v>
      </c>
      <c r="S104">
        <f t="shared" si="14"/>
        <v>32.5</v>
      </c>
      <c r="T104">
        <f t="shared" si="15"/>
        <v>0.9285714285714286</v>
      </c>
      <c r="U104" t="s">
        <v>793</v>
      </c>
      <c r="V104" t="s">
        <v>121</v>
      </c>
      <c r="W104" t="s">
        <v>114</v>
      </c>
      <c r="X104">
        <v>11</v>
      </c>
      <c r="Y104">
        <v>11</v>
      </c>
      <c r="Z104">
        <v>13.5</v>
      </c>
      <c r="AA104">
        <v>11.83333333</v>
      </c>
      <c r="AB104">
        <v>11.83333333</v>
      </c>
      <c r="AC104">
        <v>13</v>
      </c>
      <c r="AD104">
        <v>12</v>
      </c>
      <c r="AE104">
        <v>12</v>
      </c>
      <c r="AF104">
        <v>12.33333333</v>
      </c>
      <c r="AG104">
        <v>16.899999999999999</v>
      </c>
      <c r="AH104">
        <v>14.9</v>
      </c>
      <c r="AI104">
        <v>15.9</v>
      </c>
      <c r="AJ104">
        <v>15.9</v>
      </c>
      <c r="AK104">
        <v>13.9</v>
      </c>
      <c r="AL104">
        <v>15.9</v>
      </c>
      <c r="AM104">
        <v>17.899999999999999</v>
      </c>
      <c r="AN104">
        <v>15.9</v>
      </c>
      <c r="AO104">
        <v>15.9</v>
      </c>
      <c r="AP104">
        <v>5.6</v>
      </c>
      <c r="AQ104">
        <v>5.6</v>
      </c>
      <c r="AR104">
        <v>8.1</v>
      </c>
      <c r="AS104">
        <v>6.4333333330000002</v>
      </c>
      <c r="AT104">
        <v>6.1</v>
      </c>
      <c r="AU104">
        <v>6.1</v>
      </c>
      <c r="AV104">
        <v>6.6</v>
      </c>
      <c r="AW104">
        <v>6.266666667</v>
      </c>
      <c r="AX104">
        <v>6.4333333330000002</v>
      </c>
      <c r="AY104">
        <v>-5.4</v>
      </c>
      <c r="AZ104">
        <v>5</v>
      </c>
      <c r="BA104">
        <v>90</v>
      </c>
      <c r="BB104">
        <v>5</v>
      </c>
      <c r="BC104">
        <v>15</v>
      </c>
      <c r="BD104">
        <v>1</v>
      </c>
      <c r="BE104">
        <v>1</v>
      </c>
      <c r="BF104">
        <v>10</v>
      </c>
      <c r="BG104">
        <v>0</v>
      </c>
      <c r="BI104">
        <v>4.4000000000000004</v>
      </c>
      <c r="BJ104">
        <v>46.103999999999999</v>
      </c>
      <c r="BK104">
        <v>0</v>
      </c>
      <c r="BL104">
        <v>7</v>
      </c>
      <c r="BM104">
        <v>6</v>
      </c>
      <c r="BN104">
        <v>164</v>
      </c>
      <c r="BO104">
        <v>97.333332999999996</v>
      </c>
      <c r="BP104">
        <f t="shared" si="16"/>
        <v>66.666667000000004</v>
      </c>
      <c r="BQ104">
        <v>108</v>
      </c>
      <c r="BR104">
        <f t="shared" si="17"/>
        <v>56</v>
      </c>
      <c r="BS104">
        <v>23.12058081</v>
      </c>
      <c r="BT104">
        <v>0.35698940566666698</v>
      </c>
      <c r="BU104">
        <v>18.710630040000002</v>
      </c>
      <c r="BV104">
        <v>-23.12058081</v>
      </c>
      <c r="BW104">
        <v>0.14842725900000001</v>
      </c>
      <c r="BX104">
        <v>18.710630040000002</v>
      </c>
      <c r="BY104">
        <v>53.299695591653901</v>
      </c>
      <c r="BZ104">
        <v>1.65401905967286E-3</v>
      </c>
      <c r="CA104">
        <v>37.762262179586799</v>
      </c>
      <c r="CB104">
        <v>53.299695591653901</v>
      </c>
      <c r="CC104">
        <v>0.159770195875653</v>
      </c>
      <c r="CD104">
        <v>37.762262179586799</v>
      </c>
      <c r="CE104">
        <v>1.31084242333333</v>
      </c>
      <c r="CF104">
        <v>1.56442152235577</v>
      </c>
      <c r="CG104">
        <v>1.5964318616666699</v>
      </c>
      <c r="CH104">
        <v>19.689078285000001</v>
      </c>
      <c r="CI104">
        <v>0.33491631283333301</v>
      </c>
      <c r="CJ104">
        <v>22.018942989999999</v>
      </c>
      <c r="CK104">
        <v>1.4683878716666701</v>
      </c>
      <c r="CL104">
        <v>-19.689078285000001</v>
      </c>
      <c r="CM104">
        <v>-8.22079805E-2</v>
      </c>
      <c r="CN104">
        <v>22.018942989999999</v>
      </c>
      <c r="CO104">
        <v>0.36016164783996901</v>
      </c>
      <c r="CP104">
        <v>35.450129731559201</v>
      </c>
      <c r="CQ104">
        <v>1.24627333654389E-3</v>
      </c>
      <c r="CR104">
        <v>28.238826362000001</v>
      </c>
      <c r="CS104">
        <v>0.83107974458405198</v>
      </c>
      <c r="CT104">
        <v>35.450129731559201</v>
      </c>
      <c r="CU104">
        <v>0.12773921478932801</v>
      </c>
      <c r="CV104">
        <v>28.238826362000001</v>
      </c>
      <c r="CW104">
        <v>1.05475444333333</v>
      </c>
    </row>
    <row r="105" spans="1:101" x14ac:dyDescent="0.25">
      <c r="A105" t="s">
        <v>22</v>
      </c>
      <c r="B105">
        <v>15</v>
      </c>
      <c r="C105" t="s">
        <v>23</v>
      </c>
      <c r="D105" t="s">
        <v>95</v>
      </c>
      <c r="E105" t="s">
        <v>103</v>
      </c>
      <c r="F105" t="s">
        <v>145</v>
      </c>
      <c r="G105" t="s">
        <v>260</v>
      </c>
      <c r="H105" t="str">
        <f t="shared" si="12"/>
        <v>P.airoides.Highcomp.Shade</v>
      </c>
      <c r="I105" t="s">
        <v>712</v>
      </c>
      <c r="J105" t="s">
        <v>379</v>
      </c>
      <c r="K105">
        <v>10</v>
      </c>
      <c r="L105">
        <v>70</v>
      </c>
      <c r="M105">
        <v>170</v>
      </c>
      <c r="N105">
        <v>70</v>
      </c>
      <c r="O105">
        <f t="shared" si="13"/>
        <v>-100</v>
      </c>
      <c r="P105">
        <v>20</v>
      </c>
      <c r="Q105">
        <v>20</v>
      </c>
      <c r="R105">
        <v>3</v>
      </c>
      <c r="S105">
        <f t="shared" si="14"/>
        <v>11.5</v>
      </c>
      <c r="T105">
        <f t="shared" si="15"/>
        <v>0.16428571428571428</v>
      </c>
      <c r="V105" t="s">
        <v>103</v>
      </c>
      <c r="W105">
        <v>25</v>
      </c>
      <c r="X105">
        <v>11</v>
      </c>
      <c r="Y105">
        <v>11</v>
      </c>
      <c r="Z105">
        <v>13.5</v>
      </c>
      <c r="AA105">
        <v>11.83333333</v>
      </c>
      <c r="AB105">
        <v>11.83333333</v>
      </c>
      <c r="AC105">
        <v>10</v>
      </c>
      <c r="AD105">
        <v>11</v>
      </c>
      <c r="AE105">
        <v>8.5</v>
      </c>
      <c r="AF105">
        <v>9.8333333330000006</v>
      </c>
      <c r="AG105">
        <v>16.899999999999999</v>
      </c>
      <c r="AH105">
        <v>14.9</v>
      </c>
      <c r="AI105">
        <v>15.9</v>
      </c>
      <c r="AJ105">
        <v>15.9</v>
      </c>
      <c r="AK105" t="s">
        <v>114</v>
      </c>
      <c r="AL105" t="s">
        <v>114</v>
      </c>
      <c r="AM105" t="s">
        <v>114</v>
      </c>
      <c r="AN105" t="s">
        <v>114</v>
      </c>
      <c r="AO105">
        <v>15.9</v>
      </c>
      <c r="AP105">
        <v>5.6</v>
      </c>
      <c r="AQ105">
        <v>5.6</v>
      </c>
      <c r="AR105">
        <v>8.1</v>
      </c>
      <c r="AS105">
        <v>6.4333333330000002</v>
      </c>
      <c r="AT105">
        <v>4.5999999999999996</v>
      </c>
      <c r="AU105">
        <v>5.6</v>
      </c>
      <c r="AV105">
        <v>6.1</v>
      </c>
      <c r="AW105">
        <v>5.4333333330000002</v>
      </c>
      <c r="AX105">
        <v>6.4333333330000002</v>
      </c>
      <c r="AY105">
        <v>-5.4</v>
      </c>
      <c r="AZ105">
        <v>5</v>
      </c>
      <c r="BA105">
        <v>90</v>
      </c>
      <c r="BB105">
        <v>5</v>
      </c>
      <c r="BC105">
        <v>15</v>
      </c>
      <c r="BD105">
        <v>1</v>
      </c>
      <c r="BE105">
        <v>1</v>
      </c>
      <c r="BF105">
        <v>10</v>
      </c>
      <c r="BG105">
        <v>0</v>
      </c>
      <c r="BI105">
        <v>4.4000000000000004</v>
      </c>
      <c r="BJ105">
        <v>46.103999999999999</v>
      </c>
      <c r="BK105">
        <v>0</v>
      </c>
      <c r="BL105">
        <v>1</v>
      </c>
      <c r="BM105">
        <v>1</v>
      </c>
      <c r="BN105">
        <v>39</v>
      </c>
      <c r="BO105">
        <v>216</v>
      </c>
      <c r="BP105">
        <f t="shared" si="16"/>
        <v>-177</v>
      </c>
      <c r="BQ105">
        <v>387</v>
      </c>
      <c r="BR105">
        <f t="shared" si="17"/>
        <v>-348</v>
      </c>
      <c r="BS105">
        <v>7.184294875</v>
      </c>
      <c r="BT105">
        <v>2.2424311499999999E-2</v>
      </c>
      <c r="BU105">
        <v>7.0020024550000004</v>
      </c>
      <c r="BV105">
        <v>7.184294875</v>
      </c>
      <c r="BW105">
        <v>2.2424311499999999E-2</v>
      </c>
      <c r="BX105">
        <v>-7.0020024550000004</v>
      </c>
      <c r="BY105">
        <v>103.228185701903</v>
      </c>
      <c r="BZ105">
        <v>1.00569949249806E-3</v>
      </c>
      <c r="CA105">
        <v>98.0560767596521</v>
      </c>
      <c r="CB105">
        <v>103.228185701903</v>
      </c>
      <c r="CC105">
        <v>1.00569949249806E-3</v>
      </c>
      <c r="CD105">
        <v>98.0560767596521</v>
      </c>
      <c r="CE105">
        <v>0.12424071</v>
      </c>
      <c r="CF105">
        <v>3.0871508042608201E-2</v>
      </c>
      <c r="CG105">
        <v>9.9392568000000001E-2</v>
      </c>
      <c r="CH105">
        <v>5.7474359000000002</v>
      </c>
      <c r="CI105">
        <v>1.7939449199999999E-2</v>
      </c>
      <c r="CJ105">
        <v>5.6016019640000003</v>
      </c>
      <c r="CK105">
        <v>9.9392568000000001E-2</v>
      </c>
      <c r="CL105">
        <v>5.7474359000000002</v>
      </c>
      <c r="CM105">
        <v>1.7939449199999999E-2</v>
      </c>
      <c r="CN105">
        <v>-5.6016019640000003</v>
      </c>
      <c r="CO105">
        <v>1.6464804289391E-2</v>
      </c>
      <c r="CP105">
        <v>55.055032374348002</v>
      </c>
      <c r="CQ105">
        <v>5.36373062665634E-4</v>
      </c>
      <c r="CR105">
        <v>52.2965742718144</v>
      </c>
      <c r="CS105">
        <v>1.6464804289391E-2</v>
      </c>
      <c r="CT105">
        <v>55.055032374348002</v>
      </c>
      <c r="CU105">
        <v>5.36373062665634E-4</v>
      </c>
      <c r="CV105">
        <v>52.2965742718144</v>
      </c>
      <c r="CW105">
        <v>0.12424071</v>
      </c>
    </row>
    <row r="106" spans="1:101" x14ac:dyDescent="0.25">
      <c r="A106" t="s">
        <v>22</v>
      </c>
      <c r="B106">
        <v>15</v>
      </c>
      <c r="C106" t="s">
        <v>23</v>
      </c>
      <c r="D106" t="s">
        <v>95</v>
      </c>
      <c r="E106" t="s">
        <v>111</v>
      </c>
      <c r="F106" t="s">
        <v>145</v>
      </c>
      <c r="G106" t="s">
        <v>263</v>
      </c>
      <c r="H106" t="str">
        <f t="shared" si="12"/>
        <v>P.canescens.Highcomp.Shade</v>
      </c>
      <c r="I106" t="s">
        <v>706</v>
      </c>
      <c r="J106" t="s">
        <v>380</v>
      </c>
      <c r="K106">
        <v>7</v>
      </c>
      <c r="L106">
        <v>220</v>
      </c>
      <c r="M106">
        <v>260</v>
      </c>
      <c r="N106">
        <v>220</v>
      </c>
      <c r="O106">
        <f t="shared" si="13"/>
        <v>-40</v>
      </c>
      <c r="P106">
        <v>60</v>
      </c>
      <c r="Q106">
        <v>40</v>
      </c>
      <c r="R106">
        <v>35</v>
      </c>
      <c r="S106">
        <f t="shared" si="14"/>
        <v>37.5</v>
      </c>
      <c r="T106">
        <f t="shared" si="15"/>
        <v>0.17045454545454544</v>
      </c>
      <c r="V106" t="s">
        <v>121</v>
      </c>
      <c r="W106" t="s">
        <v>114</v>
      </c>
      <c r="X106">
        <v>11</v>
      </c>
      <c r="Y106">
        <v>11</v>
      </c>
      <c r="Z106">
        <v>13.5</v>
      </c>
      <c r="AA106">
        <v>11.83333333</v>
      </c>
      <c r="AB106">
        <v>11.83333333</v>
      </c>
      <c r="AC106">
        <v>14.4</v>
      </c>
      <c r="AD106">
        <v>14.4</v>
      </c>
      <c r="AE106">
        <v>13.9</v>
      </c>
      <c r="AF106">
        <v>14.233333330000001</v>
      </c>
      <c r="AG106">
        <v>16.899999999999999</v>
      </c>
      <c r="AH106">
        <v>14.9</v>
      </c>
      <c r="AI106">
        <v>15.9</v>
      </c>
      <c r="AJ106">
        <v>15.9</v>
      </c>
      <c r="AK106">
        <v>18.399999999999999</v>
      </c>
      <c r="AL106">
        <v>16.899999999999999</v>
      </c>
      <c r="AM106">
        <v>17.899999999999999</v>
      </c>
      <c r="AN106">
        <v>17.733333330000001</v>
      </c>
      <c r="AO106">
        <v>15.9</v>
      </c>
      <c r="AP106">
        <v>5.6</v>
      </c>
      <c r="AQ106">
        <v>5.6</v>
      </c>
      <c r="AR106">
        <v>8.1</v>
      </c>
      <c r="AS106">
        <v>6.4333333330000002</v>
      </c>
      <c r="AT106">
        <v>6.1</v>
      </c>
      <c r="AU106">
        <v>7.1</v>
      </c>
      <c r="AV106">
        <v>7.1</v>
      </c>
      <c r="AW106">
        <v>6.766666667</v>
      </c>
      <c r="AX106">
        <v>6.4333333330000002</v>
      </c>
      <c r="AY106">
        <v>-5.4</v>
      </c>
      <c r="AZ106">
        <v>5</v>
      </c>
      <c r="BA106">
        <v>90</v>
      </c>
      <c r="BB106">
        <v>5</v>
      </c>
      <c r="BC106">
        <v>15</v>
      </c>
      <c r="BD106">
        <v>1</v>
      </c>
      <c r="BE106">
        <v>1</v>
      </c>
      <c r="BF106">
        <v>10</v>
      </c>
      <c r="BG106">
        <v>0</v>
      </c>
      <c r="BI106">
        <v>4.4000000000000004</v>
      </c>
      <c r="BJ106">
        <v>46.103999999999999</v>
      </c>
      <c r="BK106">
        <v>1</v>
      </c>
      <c r="BL106" t="s">
        <v>114</v>
      </c>
      <c r="BM106" t="s">
        <v>114</v>
      </c>
      <c r="BN106" t="s">
        <v>114</v>
      </c>
      <c r="BO106">
        <v>731.75</v>
      </c>
      <c r="BP106" t="s">
        <v>114</v>
      </c>
      <c r="BQ106">
        <v>562</v>
      </c>
      <c r="BR106" t="s">
        <v>114</v>
      </c>
      <c r="BS106">
        <v>15.4697157166667</v>
      </c>
      <c r="BT106">
        <v>0.97255393533333301</v>
      </c>
      <c r="BU106">
        <v>12.0071815333333</v>
      </c>
      <c r="BV106">
        <v>11.81430443</v>
      </c>
      <c r="BW106">
        <v>-0.89455643533333296</v>
      </c>
      <c r="BX106">
        <v>-12.0071815333333</v>
      </c>
      <c r="BY106">
        <v>163.435004559448</v>
      </c>
      <c r="BZ106">
        <v>1.1341845651292599</v>
      </c>
      <c r="CA106">
        <v>78.980362736870603</v>
      </c>
      <c r="CB106">
        <v>313.03647734409702</v>
      </c>
      <c r="CC106">
        <v>1.35262947683337</v>
      </c>
      <c r="CD106">
        <v>78.980362736870603</v>
      </c>
      <c r="CE106">
        <v>0.68318961</v>
      </c>
      <c r="CF106">
        <v>1.2374847192729099</v>
      </c>
      <c r="CG106">
        <v>0.41298332999999998</v>
      </c>
      <c r="CH106">
        <v>12.9432219642857</v>
      </c>
      <c r="CI106">
        <v>0.483663829428571</v>
      </c>
      <c r="CJ106">
        <v>16.576344982857101</v>
      </c>
      <c r="CK106">
        <v>-0.112513872857143</v>
      </c>
      <c r="CL106">
        <v>11.3766171271429</v>
      </c>
      <c r="CM106">
        <v>-0.31652632942857101</v>
      </c>
      <c r="CN106">
        <v>-16.576344982857101</v>
      </c>
      <c r="CO106">
        <v>0.39041438757507602</v>
      </c>
      <c r="CP106">
        <v>60.063609198866899</v>
      </c>
      <c r="CQ106">
        <v>0.58719836540487702</v>
      </c>
      <c r="CR106">
        <v>44.594385378863102</v>
      </c>
      <c r="CS106">
        <v>0.57462622339308</v>
      </c>
      <c r="CT106">
        <v>104.51311635123</v>
      </c>
      <c r="CU106">
        <v>0.74323044519352699</v>
      </c>
      <c r="CV106">
        <v>44.594385378863102</v>
      </c>
      <c r="CW106">
        <v>-0.54297052999999995</v>
      </c>
    </row>
    <row r="107" spans="1:101" x14ac:dyDescent="0.25">
      <c r="A107" t="s">
        <v>22</v>
      </c>
      <c r="B107">
        <v>15</v>
      </c>
      <c r="C107" t="s">
        <v>23</v>
      </c>
      <c r="D107" t="s">
        <v>95</v>
      </c>
      <c r="E107" t="s">
        <v>112</v>
      </c>
      <c r="F107" t="s">
        <v>145</v>
      </c>
      <c r="G107" t="s">
        <v>261</v>
      </c>
      <c r="H107" t="str">
        <f t="shared" si="12"/>
        <v>V.rosea.Highcomp.Shade</v>
      </c>
      <c r="I107" t="s">
        <v>708</v>
      </c>
      <c r="J107" t="s">
        <v>381</v>
      </c>
      <c r="K107">
        <v>9</v>
      </c>
      <c r="L107">
        <v>50</v>
      </c>
      <c r="M107">
        <v>60</v>
      </c>
      <c r="N107">
        <v>50</v>
      </c>
      <c r="O107">
        <f t="shared" si="13"/>
        <v>-10</v>
      </c>
      <c r="P107">
        <v>25</v>
      </c>
      <c r="Q107">
        <v>25</v>
      </c>
      <c r="R107">
        <v>20</v>
      </c>
      <c r="S107">
        <f t="shared" si="14"/>
        <v>22.5</v>
      </c>
      <c r="T107">
        <f t="shared" si="15"/>
        <v>0.45</v>
      </c>
      <c r="V107" t="s">
        <v>103</v>
      </c>
      <c r="W107">
        <v>50</v>
      </c>
      <c r="X107">
        <v>11</v>
      </c>
      <c r="Y107">
        <v>11</v>
      </c>
      <c r="Z107">
        <v>13.5</v>
      </c>
      <c r="AA107">
        <v>11.83333333</v>
      </c>
      <c r="AB107">
        <v>11.83333333</v>
      </c>
      <c r="AC107">
        <v>13.5</v>
      </c>
      <c r="AD107">
        <v>11.5</v>
      </c>
      <c r="AE107">
        <v>12</v>
      </c>
      <c r="AF107">
        <v>12.33333333</v>
      </c>
      <c r="AG107">
        <v>16.899999999999999</v>
      </c>
      <c r="AH107">
        <v>14.9</v>
      </c>
      <c r="AI107">
        <v>15.9</v>
      </c>
      <c r="AJ107">
        <v>15.9</v>
      </c>
      <c r="AK107">
        <v>14.9</v>
      </c>
      <c r="AL107">
        <v>15.9</v>
      </c>
      <c r="AM107">
        <v>16.899999999999999</v>
      </c>
      <c r="AN107">
        <v>15.9</v>
      </c>
      <c r="AO107">
        <v>15.9</v>
      </c>
      <c r="AP107">
        <v>5.6</v>
      </c>
      <c r="AQ107">
        <v>5.6</v>
      </c>
      <c r="AR107">
        <v>8.1</v>
      </c>
      <c r="AS107">
        <v>6.4333333330000002</v>
      </c>
      <c r="AT107">
        <v>6.1</v>
      </c>
      <c r="AU107">
        <v>7.6</v>
      </c>
      <c r="AV107">
        <v>7.6</v>
      </c>
      <c r="AW107">
        <v>7.1</v>
      </c>
      <c r="AX107">
        <v>6.4333333330000002</v>
      </c>
      <c r="AY107">
        <v>-5.4</v>
      </c>
      <c r="AZ107">
        <v>5</v>
      </c>
      <c r="BA107">
        <v>90</v>
      </c>
      <c r="BB107">
        <v>5</v>
      </c>
      <c r="BC107">
        <v>15</v>
      </c>
      <c r="BD107">
        <v>1</v>
      </c>
      <c r="BE107">
        <v>1</v>
      </c>
      <c r="BF107">
        <v>10</v>
      </c>
      <c r="BG107">
        <v>0</v>
      </c>
      <c r="BI107">
        <v>4.4000000000000004</v>
      </c>
      <c r="BJ107">
        <v>46.103999999999999</v>
      </c>
      <c r="BK107">
        <v>0</v>
      </c>
      <c r="BL107">
        <v>35</v>
      </c>
      <c r="BM107">
        <v>30</v>
      </c>
      <c r="BN107">
        <v>77</v>
      </c>
      <c r="BO107">
        <v>31.75</v>
      </c>
      <c r="BP107">
        <f t="shared" ref="BP107:BP112" si="18">BN107-BO107</f>
        <v>45.25</v>
      </c>
      <c r="BQ107">
        <v>46</v>
      </c>
      <c r="BR107">
        <f t="shared" ref="BR107:BR112" si="19">BN107-BQ107</f>
        <v>31</v>
      </c>
      <c r="BS107">
        <v>17.8470910325</v>
      </c>
      <c r="BT107">
        <v>2.0715381079999999</v>
      </c>
      <c r="BU107">
        <v>11.0598845575</v>
      </c>
      <c r="BV107">
        <v>-17.8470910325</v>
      </c>
      <c r="BW107">
        <v>2.0715381079999999</v>
      </c>
      <c r="BX107">
        <v>7.8479930075000004</v>
      </c>
      <c r="BY107">
        <v>177.131734069663</v>
      </c>
      <c r="BZ107">
        <v>0.117516732469115</v>
      </c>
      <c r="CA107">
        <v>22.196829155184702</v>
      </c>
      <c r="CB107">
        <v>177.131734069663</v>
      </c>
      <c r="CC107">
        <v>0.117516732469115</v>
      </c>
      <c r="CD107">
        <v>103.170232061129</v>
      </c>
      <c r="CE107">
        <v>1.9624999175</v>
      </c>
      <c r="CF107">
        <v>1.47022343043732E-2</v>
      </c>
      <c r="CG107">
        <v>1.9416881455555599</v>
      </c>
      <c r="CH107">
        <v>21.567408563333299</v>
      </c>
      <c r="CI107">
        <v>2.0983482924444399</v>
      </c>
      <c r="CJ107">
        <v>9.7258800866666704</v>
      </c>
      <c r="CK107">
        <v>1.9416881455555599</v>
      </c>
      <c r="CL107">
        <v>-21.567408563333299</v>
      </c>
      <c r="CM107">
        <v>2.0983482924444399</v>
      </c>
      <c r="CN107">
        <v>5.4433580199999998</v>
      </c>
      <c r="CO107">
        <v>1.44565482106556E-2</v>
      </c>
      <c r="CP107">
        <v>110.090083154412</v>
      </c>
      <c r="CQ107">
        <v>9.4031644026191602E-2</v>
      </c>
      <c r="CR107">
        <v>16.954013191100898</v>
      </c>
      <c r="CS107">
        <v>1.44565482106556E-2</v>
      </c>
      <c r="CT107">
        <v>110.090083154412</v>
      </c>
      <c r="CU107">
        <v>9.4031644026191602E-2</v>
      </c>
      <c r="CV107">
        <v>90.036934733211893</v>
      </c>
      <c r="CW107">
        <v>1.9624999175</v>
      </c>
    </row>
    <row r="108" spans="1:101" x14ac:dyDescent="0.25">
      <c r="A108" t="s">
        <v>24</v>
      </c>
      <c r="B108">
        <v>15</v>
      </c>
      <c r="C108" t="s">
        <v>25</v>
      </c>
      <c r="D108" t="s">
        <v>95</v>
      </c>
      <c r="E108" t="s">
        <v>105</v>
      </c>
      <c r="F108" t="s">
        <v>145</v>
      </c>
      <c r="G108" t="s">
        <v>266</v>
      </c>
      <c r="H108" t="str">
        <f t="shared" si="12"/>
        <v>H.glabra.Highcomp.Shade</v>
      </c>
      <c r="I108" t="s">
        <v>711</v>
      </c>
      <c r="J108" t="s">
        <v>382</v>
      </c>
      <c r="K108">
        <v>2</v>
      </c>
      <c r="L108">
        <v>20</v>
      </c>
      <c r="M108">
        <v>20</v>
      </c>
      <c r="N108">
        <v>20</v>
      </c>
      <c r="O108">
        <f t="shared" si="13"/>
        <v>0</v>
      </c>
      <c r="P108">
        <v>50</v>
      </c>
      <c r="Q108">
        <v>50</v>
      </c>
      <c r="R108">
        <v>20</v>
      </c>
      <c r="S108">
        <f t="shared" si="14"/>
        <v>35</v>
      </c>
      <c r="T108">
        <f t="shared" si="15"/>
        <v>1.75</v>
      </c>
      <c r="V108" t="s">
        <v>121</v>
      </c>
      <c r="W108" t="s">
        <v>114</v>
      </c>
      <c r="X108">
        <v>11.5</v>
      </c>
      <c r="Y108">
        <v>13.5</v>
      </c>
      <c r="Z108">
        <v>11</v>
      </c>
      <c r="AA108">
        <v>12</v>
      </c>
      <c r="AB108">
        <v>12</v>
      </c>
      <c r="AC108">
        <v>11.5</v>
      </c>
      <c r="AD108">
        <v>11.5</v>
      </c>
      <c r="AE108">
        <v>9.5</v>
      </c>
      <c r="AF108">
        <v>10.83333333</v>
      </c>
      <c r="AG108">
        <v>15.4</v>
      </c>
      <c r="AH108">
        <v>15.4</v>
      </c>
      <c r="AI108">
        <v>16.899999999999999</v>
      </c>
      <c r="AJ108">
        <v>15.9</v>
      </c>
      <c r="AK108">
        <v>13.9</v>
      </c>
      <c r="AL108">
        <v>14.9</v>
      </c>
      <c r="AM108">
        <v>14.9</v>
      </c>
      <c r="AN108">
        <v>14.56666667</v>
      </c>
      <c r="AO108">
        <v>15.9</v>
      </c>
      <c r="AP108" t="s">
        <v>114</v>
      </c>
      <c r="AQ108" t="s">
        <v>114</v>
      </c>
      <c r="AR108" t="s">
        <v>114</v>
      </c>
      <c r="AS108" t="s">
        <v>114</v>
      </c>
      <c r="AT108" t="s">
        <v>114</v>
      </c>
      <c r="AU108" t="s">
        <v>114</v>
      </c>
      <c r="AV108" t="s">
        <v>114</v>
      </c>
      <c r="AW108" t="s">
        <v>114</v>
      </c>
      <c r="AX108" t="s">
        <v>114</v>
      </c>
      <c r="AY108" t="s">
        <v>114</v>
      </c>
      <c r="AZ108">
        <v>10</v>
      </c>
      <c r="BA108">
        <v>30</v>
      </c>
      <c r="BB108">
        <v>5</v>
      </c>
      <c r="BC108">
        <v>70</v>
      </c>
      <c r="BD108">
        <v>1</v>
      </c>
      <c r="BE108">
        <v>1</v>
      </c>
      <c r="BF108">
        <v>2</v>
      </c>
      <c r="BG108">
        <v>3</v>
      </c>
      <c r="BI108">
        <v>8.4</v>
      </c>
      <c r="BJ108">
        <v>91.049000000000007</v>
      </c>
      <c r="BK108">
        <v>0</v>
      </c>
      <c r="BL108">
        <v>2</v>
      </c>
      <c r="BM108">
        <v>2</v>
      </c>
      <c r="BN108">
        <v>100</v>
      </c>
      <c r="BO108">
        <v>97.333332999999996</v>
      </c>
      <c r="BP108">
        <f t="shared" si="18"/>
        <v>2.6666670000000039</v>
      </c>
      <c r="BQ108">
        <v>96</v>
      </c>
      <c r="BR108">
        <f t="shared" si="19"/>
        <v>4</v>
      </c>
      <c r="BS108">
        <v>36.954464285</v>
      </c>
      <c r="BT108">
        <v>1.1516744445</v>
      </c>
      <c r="BU108">
        <v>19.09152297</v>
      </c>
      <c r="BV108">
        <v>-36.954464285</v>
      </c>
      <c r="BW108">
        <v>-0.85862877550000005</v>
      </c>
      <c r="BX108">
        <v>19.09152297</v>
      </c>
      <c r="BY108">
        <v>179.85593274393099</v>
      </c>
      <c r="BZ108">
        <v>1.47448674823326</v>
      </c>
      <c r="CA108">
        <v>41.038080229488003</v>
      </c>
      <c r="CB108">
        <v>179.85593274393099</v>
      </c>
      <c r="CC108">
        <v>2.6527080522287698</v>
      </c>
      <c r="CD108">
        <v>41.038080229488003</v>
      </c>
      <c r="CE108">
        <v>1.6963199499999999</v>
      </c>
      <c r="CF108">
        <v>1.3470477384499999E-4</v>
      </c>
      <c r="CG108">
        <v>1.6963199499999999</v>
      </c>
      <c r="CH108">
        <v>36.954464285</v>
      </c>
      <c r="CI108">
        <v>1.1516744445</v>
      </c>
      <c r="CJ108">
        <v>19.09152297</v>
      </c>
      <c r="CK108">
        <v>1.6963199499999999</v>
      </c>
      <c r="CL108">
        <v>-36.954464285</v>
      </c>
      <c r="CM108">
        <v>-0.85862877550000005</v>
      </c>
      <c r="CN108">
        <v>19.09152297</v>
      </c>
      <c r="CO108">
        <v>1.3470477384499999E-4</v>
      </c>
      <c r="CP108">
        <v>179.85593274393099</v>
      </c>
      <c r="CQ108">
        <v>1.47448674823326</v>
      </c>
      <c r="CR108">
        <v>41.038080229488003</v>
      </c>
      <c r="CS108">
        <v>1.3470477384499999E-4</v>
      </c>
      <c r="CT108">
        <v>179.85593274393099</v>
      </c>
      <c r="CU108">
        <v>2.6527080522287698</v>
      </c>
      <c r="CV108">
        <v>41.038080229488003</v>
      </c>
      <c r="CW108">
        <v>1.6963199499999999</v>
      </c>
    </row>
    <row r="109" spans="1:101" x14ac:dyDescent="0.25">
      <c r="A109" t="s">
        <v>24</v>
      </c>
      <c r="B109">
        <v>15</v>
      </c>
      <c r="C109" t="s">
        <v>25</v>
      </c>
      <c r="D109" t="s">
        <v>95</v>
      </c>
      <c r="E109" t="s">
        <v>112</v>
      </c>
      <c r="F109" t="s">
        <v>145</v>
      </c>
      <c r="G109" t="s">
        <v>261</v>
      </c>
      <c r="H109" t="str">
        <f t="shared" si="12"/>
        <v>V.rosea.Highcomp.Shade</v>
      </c>
      <c r="I109" t="s">
        <v>708</v>
      </c>
      <c r="J109" t="s">
        <v>383</v>
      </c>
      <c r="K109">
        <v>1</v>
      </c>
      <c r="L109">
        <v>80</v>
      </c>
      <c r="M109">
        <v>40</v>
      </c>
      <c r="N109">
        <v>80</v>
      </c>
      <c r="O109">
        <f t="shared" si="13"/>
        <v>40</v>
      </c>
      <c r="P109">
        <v>70</v>
      </c>
      <c r="Q109">
        <v>120</v>
      </c>
      <c r="R109">
        <v>110</v>
      </c>
      <c r="S109">
        <f t="shared" si="14"/>
        <v>115</v>
      </c>
      <c r="T109">
        <f t="shared" si="15"/>
        <v>1.4375</v>
      </c>
      <c r="V109" t="s">
        <v>112</v>
      </c>
      <c r="W109">
        <v>70</v>
      </c>
      <c r="X109">
        <v>11.5</v>
      </c>
      <c r="Y109">
        <v>13.5</v>
      </c>
      <c r="Z109">
        <v>11</v>
      </c>
      <c r="AA109">
        <v>12</v>
      </c>
      <c r="AB109">
        <v>12</v>
      </c>
      <c r="AC109">
        <v>12</v>
      </c>
      <c r="AD109">
        <v>12</v>
      </c>
      <c r="AE109">
        <v>12.5</v>
      </c>
      <c r="AF109">
        <v>12.16666667</v>
      </c>
      <c r="AG109">
        <v>15.4</v>
      </c>
      <c r="AH109">
        <v>15.4</v>
      </c>
      <c r="AI109">
        <v>16.899999999999999</v>
      </c>
      <c r="AJ109">
        <v>15.9</v>
      </c>
      <c r="AK109">
        <v>13.5</v>
      </c>
      <c r="AL109">
        <v>15.4</v>
      </c>
      <c r="AM109">
        <v>15.4</v>
      </c>
      <c r="AN109">
        <v>14.766666669999999</v>
      </c>
      <c r="AO109">
        <v>15.9</v>
      </c>
      <c r="AP109" t="s">
        <v>114</v>
      </c>
      <c r="AQ109" t="s">
        <v>114</v>
      </c>
      <c r="AR109" t="s">
        <v>114</v>
      </c>
      <c r="AS109" t="s">
        <v>114</v>
      </c>
      <c r="AT109" t="s">
        <v>114</v>
      </c>
      <c r="AU109" t="s">
        <v>114</v>
      </c>
      <c r="AV109" t="s">
        <v>114</v>
      </c>
      <c r="AW109" t="s">
        <v>114</v>
      </c>
      <c r="AX109" t="s">
        <v>114</v>
      </c>
      <c r="AY109" t="s">
        <v>114</v>
      </c>
      <c r="AZ109">
        <v>10</v>
      </c>
      <c r="BA109">
        <v>30</v>
      </c>
      <c r="BB109">
        <v>5</v>
      </c>
      <c r="BC109">
        <v>70</v>
      </c>
      <c r="BD109">
        <v>1</v>
      </c>
      <c r="BE109">
        <v>1</v>
      </c>
      <c r="BF109">
        <v>2</v>
      </c>
      <c r="BG109">
        <v>3</v>
      </c>
      <c r="BI109">
        <v>8.4</v>
      </c>
      <c r="BJ109">
        <v>91.049000000000007</v>
      </c>
      <c r="BK109">
        <v>0</v>
      </c>
      <c r="BL109">
        <v>22</v>
      </c>
      <c r="BM109">
        <v>19</v>
      </c>
      <c r="BN109">
        <v>63</v>
      </c>
      <c r="BO109">
        <v>31.75</v>
      </c>
      <c r="BP109">
        <f t="shared" si="18"/>
        <v>31.25</v>
      </c>
      <c r="BQ109">
        <v>4</v>
      </c>
      <c r="BR109">
        <f t="shared" si="19"/>
        <v>59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 t="s">
        <v>114</v>
      </c>
      <c r="BZ109" t="s">
        <v>114</v>
      </c>
      <c r="CA109" t="s">
        <v>114</v>
      </c>
      <c r="CB109" t="s">
        <v>114</v>
      </c>
      <c r="CC109" t="s">
        <v>114</v>
      </c>
      <c r="CD109" t="s">
        <v>114</v>
      </c>
      <c r="CE109">
        <v>0</v>
      </c>
      <c r="CF109" t="s">
        <v>114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 t="s">
        <v>114</v>
      </c>
      <c r="CP109" t="s">
        <v>114</v>
      </c>
      <c r="CQ109" t="s">
        <v>114</v>
      </c>
      <c r="CR109" t="s">
        <v>114</v>
      </c>
      <c r="CS109" t="s">
        <v>114</v>
      </c>
      <c r="CT109" t="s">
        <v>114</v>
      </c>
      <c r="CU109" t="s">
        <v>114</v>
      </c>
      <c r="CV109" t="s">
        <v>114</v>
      </c>
      <c r="CW109">
        <v>0</v>
      </c>
    </row>
    <row r="110" spans="1:101" x14ac:dyDescent="0.25">
      <c r="A110" t="s">
        <v>26</v>
      </c>
      <c r="B110">
        <v>15</v>
      </c>
      <c r="C110" t="s">
        <v>27</v>
      </c>
      <c r="D110" t="s">
        <v>95</v>
      </c>
      <c r="E110" t="s">
        <v>105</v>
      </c>
      <c r="F110" t="s">
        <v>145</v>
      </c>
      <c r="G110" t="s">
        <v>266</v>
      </c>
      <c r="H110" t="str">
        <f t="shared" si="12"/>
        <v>H.glabra.Highcomp.Shade</v>
      </c>
      <c r="I110" t="s">
        <v>711</v>
      </c>
      <c r="J110" t="s">
        <v>384</v>
      </c>
      <c r="K110">
        <v>3</v>
      </c>
      <c r="L110">
        <v>60</v>
      </c>
      <c r="M110">
        <v>40</v>
      </c>
      <c r="N110">
        <v>60</v>
      </c>
      <c r="O110">
        <f t="shared" si="13"/>
        <v>20</v>
      </c>
      <c r="P110">
        <v>65</v>
      </c>
      <c r="Q110">
        <v>65</v>
      </c>
      <c r="R110">
        <v>60</v>
      </c>
      <c r="S110">
        <f t="shared" si="14"/>
        <v>62.5</v>
      </c>
      <c r="T110">
        <f t="shared" si="15"/>
        <v>1.0416666666666667</v>
      </c>
      <c r="U110" t="s">
        <v>15</v>
      </c>
      <c r="V110" t="s">
        <v>102</v>
      </c>
      <c r="W110">
        <v>80</v>
      </c>
      <c r="X110">
        <v>21.8</v>
      </c>
      <c r="Y110">
        <v>19.8</v>
      </c>
      <c r="Z110">
        <v>21.3</v>
      </c>
      <c r="AA110">
        <v>20.966666669999999</v>
      </c>
      <c r="AB110">
        <v>20.966666669999999</v>
      </c>
      <c r="AC110">
        <v>24.7</v>
      </c>
      <c r="AD110">
        <v>26.7</v>
      </c>
      <c r="AE110">
        <v>25.2</v>
      </c>
      <c r="AF110">
        <v>25.533333330000001</v>
      </c>
      <c r="AG110">
        <v>26.2</v>
      </c>
      <c r="AH110">
        <v>28.2</v>
      </c>
      <c r="AI110">
        <v>28.2</v>
      </c>
      <c r="AJ110">
        <v>27.533333330000001</v>
      </c>
      <c r="AK110">
        <v>28.2</v>
      </c>
      <c r="AL110">
        <v>31.1</v>
      </c>
      <c r="AM110">
        <v>31.6</v>
      </c>
      <c r="AN110">
        <v>30.3</v>
      </c>
      <c r="AO110">
        <v>27.533333330000001</v>
      </c>
      <c r="AP110">
        <v>18.399999999999999</v>
      </c>
      <c r="AQ110">
        <v>10</v>
      </c>
      <c r="AR110">
        <v>11.5</v>
      </c>
      <c r="AS110">
        <v>13.3</v>
      </c>
      <c r="AT110">
        <v>13.9</v>
      </c>
      <c r="AU110">
        <v>13.9</v>
      </c>
      <c r="AV110">
        <v>14.9</v>
      </c>
      <c r="AW110">
        <v>14.233333330000001</v>
      </c>
      <c r="AX110">
        <v>13.3</v>
      </c>
      <c r="AY110">
        <v>-7.6666666670000003</v>
      </c>
      <c r="AZ110">
        <v>5</v>
      </c>
      <c r="BA110">
        <v>30</v>
      </c>
      <c r="BB110">
        <v>0</v>
      </c>
      <c r="BC110">
        <v>2</v>
      </c>
      <c r="BD110">
        <v>3</v>
      </c>
      <c r="BE110">
        <v>1</v>
      </c>
      <c r="BF110">
        <v>0</v>
      </c>
      <c r="BG110">
        <v>0</v>
      </c>
      <c r="BI110">
        <v>13.3</v>
      </c>
      <c r="BJ110">
        <v>46.45</v>
      </c>
      <c r="BK110">
        <v>0</v>
      </c>
      <c r="BL110">
        <v>3</v>
      </c>
      <c r="BM110">
        <v>3</v>
      </c>
      <c r="BN110">
        <v>140</v>
      </c>
      <c r="BO110">
        <v>97.333332999999996</v>
      </c>
      <c r="BP110">
        <f t="shared" si="18"/>
        <v>42.666667000000004</v>
      </c>
      <c r="BQ110">
        <v>88</v>
      </c>
      <c r="BR110">
        <f t="shared" si="19"/>
        <v>52</v>
      </c>
      <c r="BS110">
        <v>38.86238977</v>
      </c>
      <c r="BT110" t="s">
        <v>114</v>
      </c>
      <c r="BU110">
        <v>22.20510311</v>
      </c>
      <c r="BV110">
        <v>-38.86238977</v>
      </c>
      <c r="BW110" t="s">
        <v>114</v>
      </c>
      <c r="BX110">
        <v>22.20510311</v>
      </c>
      <c r="BY110">
        <v>843.54106901715295</v>
      </c>
      <c r="BZ110" t="s">
        <v>114</v>
      </c>
      <c r="CA110">
        <v>8.9395445827668407</v>
      </c>
      <c r="CB110">
        <v>843.54106901715295</v>
      </c>
      <c r="CC110" t="s">
        <v>114</v>
      </c>
      <c r="CD110">
        <v>8.9395445827668407</v>
      </c>
      <c r="CE110" t="s">
        <v>114</v>
      </c>
      <c r="CF110" t="s">
        <v>114</v>
      </c>
      <c r="CG110" t="s">
        <v>114</v>
      </c>
      <c r="CH110">
        <v>38.86238977</v>
      </c>
      <c r="CI110" t="s">
        <v>114</v>
      </c>
      <c r="CJ110">
        <v>22.20510311</v>
      </c>
      <c r="CK110" t="s">
        <v>114</v>
      </c>
      <c r="CL110">
        <v>-38.86238977</v>
      </c>
      <c r="CM110" t="s">
        <v>114</v>
      </c>
      <c r="CN110">
        <v>22.20510311</v>
      </c>
      <c r="CO110" t="s">
        <v>114</v>
      </c>
      <c r="CP110">
        <v>843.54106901715295</v>
      </c>
      <c r="CQ110" t="s">
        <v>114</v>
      </c>
      <c r="CR110">
        <v>8.9395445827668407</v>
      </c>
      <c r="CS110" t="s">
        <v>114</v>
      </c>
      <c r="CT110">
        <v>843.54106901715295</v>
      </c>
      <c r="CU110" t="s">
        <v>114</v>
      </c>
      <c r="CV110">
        <v>8.9395445827668407</v>
      </c>
      <c r="CW110" t="s">
        <v>114</v>
      </c>
    </row>
    <row r="111" spans="1:101" x14ac:dyDescent="0.25">
      <c r="A111" t="s">
        <v>26</v>
      </c>
      <c r="B111">
        <v>15</v>
      </c>
      <c r="C111" t="s">
        <v>27</v>
      </c>
      <c r="D111" t="s">
        <v>95</v>
      </c>
      <c r="E111" t="s">
        <v>110</v>
      </c>
      <c r="F111" t="s">
        <v>145</v>
      </c>
      <c r="G111" t="s">
        <v>262</v>
      </c>
      <c r="H111" t="str">
        <f t="shared" si="12"/>
        <v>M.minima.Highcomp.Shade</v>
      </c>
      <c r="I111" t="s">
        <v>705</v>
      </c>
      <c r="J111" t="s">
        <v>385</v>
      </c>
      <c r="K111">
        <v>9</v>
      </c>
      <c r="L111">
        <v>100</v>
      </c>
      <c r="M111">
        <v>60</v>
      </c>
      <c r="N111">
        <v>100</v>
      </c>
      <c r="O111">
        <f t="shared" si="13"/>
        <v>40</v>
      </c>
      <c r="P111">
        <v>12</v>
      </c>
      <c r="Q111">
        <v>60</v>
      </c>
      <c r="R111">
        <v>40</v>
      </c>
      <c r="S111">
        <f t="shared" si="14"/>
        <v>50</v>
      </c>
      <c r="T111">
        <f t="shared" si="15"/>
        <v>0.5</v>
      </c>
      <c r="U111" t="s">
        <v>793</v>
      </c>
      <c r="V111" t="s">
        <v>111</v>
      </c>
      <c r="W111">
        <v>200</v>
      </c>
      <c r="X111">
        <v>21.8</v>
      </c>
      <c r="Y111">
        <v>19.8</v>
      </c>
      <c r="Z111">
        <v>21.3</v>
      </c>
      <c r="AA111">
        <v>20.966666669999999</v>
      </c>
      <c r="AB111">
        <v>20.966666669999999</v>
      </c>
      <c r="AC111">
        <v>25.2</v>
      </c>
      <c r="AD111">
        <v>29.2</v>
      </c>
      <c r="AE111">
        <v>28.9</v>
      </c>
      <c r="AF111">
        <v>27.766666669999999</v>
      </c>
      <c r="AG111">
        <v>26.2</v>
      </c>
      <c r="AH111">
        <v>28.2</v>
      </c>
      <c r="AI111">
        <v>28.2</v>
      </c>
      <c r="AJ111">
        <v>27.533333330000001</v>
      </c>
      <c r="AK111">
        <v>30.6</v>
      </c>
      <c r="AL111">
        <v>28.2</v>
      </c>
      <c r="AM111">
        <v>30.6</v>
      </c>
      <c r="AN111">
        <v>29.8</v>
      </c>
      <c r="AO111">
        <v>27.533333330000001</v>
      </c>
      <c r="AP111">
        <v>18.399999999999999</v>
      </c>
      <c r="AQ111">
        <v>10</v>
      </c>
      <c r="AR111">
        <v>11.5</v>
      </c>
      <c r="AS111">
        <v>13.3</v>
      </c>
      <c r="AT111">
        <v>13</v>
      </c>
      <c r="AU111">
        <v>14.9</v>
      </c>
      <c r="AV111">
        <v>13.9</v>
      </c>
      <c r="AW111">
        <v>13.93333333</v>
      </c>
      <c r="AX111">
        <v>13.3</v>
      </c>
      <c r="AY111">
        <v>-7.6666666670000003</v>
      </c>
      <c r="AZ111">
        <v>5</v>
      </c>
      <c r="BA111">
        <v>30</v>
      </c>
      <c r="BB111">
        <v>0</v>
      </c>
      <c r="BC111">
        <v>2</v>
      </c>
      <c r="BD111">
        <v>3</v>
      </c>
      <c r="BE111">
        <v>1</v>
      </c>
      <c r="BF111">
        <v>0</v>
      </c>
      <c r="BG111">
        <v>0</v>
      </c>
      <c r="BI111">
        <v>13.3</v>
      </c>
      <c r="BJ111">
        <v>46.45</v>
      </c>
      <c r="BK111">
        <v>0</v>
      </c>
      <c r="BL111">
        <v>6</v>
      </c>
      <c r="BM111">
        <v>6</v>
      </c>
      <c r="BN111">
        <v>6</v>
      </c>
      <c r="BO111">
        <v>4.6666670000000003</v>
      </c>
      <c r="BP111">
        <f t="shared" si="18"/>
        <v>1.3333329999999997</v>
      </c>
      <c r="BQ111">
        <v>1</v>
      </c>
      <c r="BR111">
        <f t="shared" si="19"/>
        <v>5</v>
      </c>
      <c r="BS111">
        <v>43.912344715000003</v>
      </c>
      <c r="BT111" t="s">
        <v>114</v>
      </c>
      <c r="BU111">
        <v>10.439138525000001</v>
      </c>
      <c r="BV111">
        <v>-43.912344715000003</v>
      </c>
      <c r="BW111" t="s">
        <v>114</v>
      </c>
      <c r="BX111">
        <v>10.439138525000001</v>
      </c>
      <c r="BY111">
        <v>985.83857786955605</v>
      </c>
      <c r="BZ111" t="s">
        <v>114</v>
      </c>
      <c r="CA111">
        <v>0.18147433266694299</v>
      </c>
      <c r="CB111">
        <v>985.83857786955605</v>
      </c>
      <c r="CC111" t="s">
        <v>114</v>
      </c>
      <c r="CD111">
        <v>0.18147433266694299</v>
      </c>
      <c r="CE111" t="s">
        <v>114</v>
      </c>
      <c r="CF111" t="s">
        <v>114</v>
      </c>
      <c r="CG111" t="s">
        <v>114</v>
      </c>
      <c r="CH111">
        <v>61.180400271111097</v>
      </c>
      <c r="CI111" t="s">
        <v>114</v>
      </c>
      <c r="CJ111">
        <v>10.6734254955556</v>
      </c>
      <c r="CK111" t="s">
        <v>114</v>
      </c>
      <c r="CL111">
        <v>-61.180400271111097</v>
      </c>
      <c r="CM111" t="s">
        <v>114</v>
      </c>
      <c r="CN111">
        <v>10.6734254955556</v>
      </c>
      <c r="CO111" t="s">
        <v>114</v>
      </c>
      <c r="CP111">
        <v>219.075239526568</v>
      </c>
      <c r="CQ111" t="s">
        <v>114</v>
      </c>
      <c r="CR111">
        <v>4.0327629481542802E-2</v>
      </c>
      <c r="CS111" t="s">
        <v>114</v>
      </c>
      <c r="CT111">
        <v>219.075239526568</v>
      </c>
      <c r="CU111" t="s">
        <v>114</v>
      </c>
      <c r="CV111">
        <v>4.0327629481542802E-2</v>
      </c>
      <c r="CW111" t="s">
        <v>114</v>
      </c>
    </row>
    <row r="112" spans="1:101" x14ac:dyDescent="0.25">
      <c r="A112" t="s">
        <v>26</v>
      </c>
      <c r="B112">
        <v>15</v>
      </c>
      <c r="C112" t="s">
        <v>27</v>
      </c>
      <c r="D112" t="s">
        <v>95</v>
      </c>
      <c r="E112" t="s">
        <v>111</v>
      </c>
      <c r="F112" t="s">
        <v>145</v>
      </c>
      <c r="G112" t="s">
        <v>263</v>
      </c>
      <c r="H112" t="str">
        <f t="shared" si="12"/>
        <v>P.canescens.Highcomp.Shade</v>
      </c>
      <c r="I112" t="s">
        <v>706</v>
      </c>
      <c r="J112" t="s">
        <v>386</v>
      </c>
      <c r="K112">
        <v>6</v>
      </c>
      <c r="L112">
        <v>190</v>
      </c>
      <c r="M112">
        <v>180</v>
      </c>
      <c r="N112">
        <v>190</v>
      </c>
      <c r="O112">
        <f t="shared" si="13"/>
        <v>10</v>
      </c>
      <c r="P112">
        <v>60</v>
      </c>
      <c r="Q112">
        <v>60</v>
      </c>
      <c r="R112">
        <v>30</v>
      </c>
      <c r="S112">
        <f t="shared" si="14"/>
        <v>45</v>
      </c>
      <c r="T112">
        <f t="shared" si="15"/>
        <v>0.23684210526315788</v>
      </c>
      <c r="U112" t="s">
        <v>15</v>
      </c>
      <c r="V112" t="s">
        <v>102</v>
      </c>
      <c r="W112">
        <v>170</v>
      </c>
      <c r="X112">
        <v>21.8</v>
      </c>
      <c r="Y112">
        <v>19.8</v>
      </c>
      <c r="Z112">
        <v>21.3</v>
      </c>
      <c r="AA112">
        <v>20.966666669999999</v>
      </c>
      <c r="AB112">
        <v>20.966666669999999</v>
      </c>
      <c r="AC112">
        <v>15.4</v>
      </c>
      <c r="AD112">
        <v>14.4</v>
      </c>
      <c r="AE112">
        <v>15.9</v>
      </c>
      <c r="AF112">
        <v>15.233333330000001</v>
      </c>
      <c r="AG112">
        <v>26.2</v>
      </c>
      <c r="AH112">
        <v>28.2</v>
      </c>
      <c r="AI112">
        <v>28.2</v>
      </c>
      <c r="AJ112">
        <v>27.533333330000001</v>
      </c>
      <c r="AK112">
        <v>18.399999999999999</v>
      </c>
      <c r="AL112">
        <v>19.8</v>
      </c>
      <c r="AM112">
        <v>20.8</v>
      </c>
      <c r="AN112">
        <v>19.666666670000001</v>
      </c>
      <c r="AO112">
        <v>27.533333330000001</v>
      </c>
      <c r="AP112">
        <v>18.399999999999999</v>
      </c>
      <c r="AQ112">
        <v>10</v>
      </c>
      <c r="AR112">
        <v>11.5</v>
      </c>
      <c r="AS112">
        <v>13.3</v>
      </c>
      <c r="AT112">
        <v>7.1</v>
      </c>
      <c r="AU112">
        <v>7.1</v>
      </c>
      <c r="AV112">
        <v>6.6</v>
      </c>
      <c r="AW112">
        <v>6.9333333330000002</v>
      </c>
      <c r="AX112">
        <v>13.3</v>
      </c>
      <c r="AY112">
        <v>-7.6666666670000003</v>
      </c>
      <c r="AZ112">
        <v>5</v>
      </c>
      <c r="BA112">
        <v>30</v>
      </c>
      <c r="BB112">
        <v>0</v>
      </c>
      <c r="BC112">
        <v>2</v>
      </c>
      <c r="BD112">
        <v>3</v>
      </c>
      <c r="BE112">
        <v>1</v>
      </c>
      <c r="BF112">
        <v>0</v>
      </c>
      <c r="BG112">
        <v>0</v>
      </c>
      <c r="BI112">
        <v>13.3</v>
      </c>
      <c r="BJ112">
        <v>46.45</v>
      </c>
      <c r="BK112">
        <v>0</v>
      </c>
      <c r="BL112">
        <v>7</v>
      </c>
      <c r="BM112">
        <v>2</v>
      </c>
      <c r="BN112">
        <v>31</v>
      </c>
      <c r="BO112">
        <v>731.75</v>
      </c>
      <c r="BP112">
        <f t="shared" si="18"/>
        <v>-700.75</v>
      </c>
      <c r="BQ112">
        <v>608</v>
      </c>
      <c r="BR112">
        <f t="shared" si="19"/>
        <v>-577</v>
      </c>
      <c r="BS112">
        <v>23.24189814</v>
      </c>
      <c r="BT112" t="s">
        <v>114</v>
      </c>
      <c r="BU112">
        <v>3.0110456674999999</v>
      </c>
      <c r="BV112">
        <v>-8.1408399399999993</v>
      </c>
      <c r="BW112" t="s">
        <v>114</v>
      </c>
      <c r="BX112">
        <v>-2.7098195624999999</v>
      </c>
      <c r="BY112">
        <v>217.206105684563</v>
      </c>
      <c r="BZ112" t="s">
        <v>114</v>
      </c>
      <c r="CA112">
        <v>4.06811530658696</v>
      </c>
      <c r="CB112">
        <v>849.08951131314495</v>
      </c>
      <c r="CC112" t="s">
        <v>114</v>
      </c>
      <c r="CD112">
        <v>6.3658139072040703</v>
      </c>
      <c r="CE112" t="s">
        <v>114</v>
      </c>
      <c r="CF112" t="s">
        <v>114</v>
      </c>
      <c r="CG112" t="s">
        <v>114</v>
      </c>
      <c r="CH112">
        <v>30.2957892366667</v>
      </c>
      <c r="CI112" t="s">
        <v>114</v>
      </c>
      <c r="CJ112">
        <v>2.2081811816666699</v>
      </c>
      <c r="CK112" t="s">
        <v>114</v>
      </c>
      <c r="CL112">
        <v>-20.2284171033333</v>
      </c>
      <c r="CM112" t="s">
        <v>114</v>
      </c>
      <c r="CN112">
        <v>-1.6057289716666701</v>
      </c>
      <c r="CO112" t="s">
        <v>114</v>
      </c>
      <c r="CP112">
        <v>249.741374459458</v>
      </c>
      <c r="CQ112" t="s">
        <v>114</v>
      </c>
      <c r="CR112">
        <v>3.9878885022219901</v>
      </c>
      <c r="CS112" t="s">
        <v>114</v>
      </c>
      <c r="CT112">
        <v>860.11655881877698</v>
      </c>
      <c r="CU112" t="s">
        <v>114</v>
      </c>
      <c r="CV112">
        <v>6.7451268229625203</v>
      </c>
      <c r="CW112" t="s">
        <v>114</v>
      </c>
    </row>
    <row r="113" spans="1:101" x14ac:dyDescent="0.25">
      <c r="A113" t="s">
        <v>28</v>
      </c>
      <c r="B113">
        <v>15</v>
      </c>
      <c r="C113" t="s">
        <v>29</v>
      </c>
      <c r="D113" t="s">
        <v>94</v>
      </c>
      <c r="E113" t="s">
        <v>113</v>
      </c>
      <c r="F113" t="s">
        <v>145</v>
      </c>
      <c r="G113" t="s">
        <v>259</v>
      </c>
      <c r="H113" t="str">
        <f t="shared" si="12"/>
        <v>H.glutinosum.Highcomp.Open</v>
      </c>
      <c r="I113" t="s">
        <v>709</v>
      </c>
      <c r="J113" t="s">
        <v>387</v>
      </c>
      <c r="K113">
        <v>16</v>
      </c>
      <c r="L113">
        <v>60</v>
      </c>
      <c r="M113">
        <v>60</v>
      </c>
      <c r="N113">
        <v>60</v>
      </c>
      <c r="O113">
        <f t="shared" si="13"/>
        <v>0</v>
      </c>
      <c r="P113">
        <v>4</v>
      </c>
      <c r="Q113">
        <v>4</v>
      </c>
      <c r="R113">
        <v>2</v>
      </c>
      <c r="S113">
        <f t="shared" si="14"/>
        <v>3</v>
      </c>
      <c r="T113">
        <f t="shared" si="15"/>
        <v>0.05</v>
      </c>
      <c r="U113" t="s">
        <v>15</v>
      </c>
      <c r="V113" t="s">
        <v>113</v>
      </c>
      <c r="W113">
        <v>30</v>
      </c>
      <c r="X113">
        <v>12.5</v>
      </c>
      <c r="Y113">
        <v>13</v>
      </c>
      <c r="Z113">
        <v>11.5</v>
      </c>
      <c r="AA113">
        <v>12.33333333</v>
      </c>
      <c r="AB113">
        <v>12.33333333</v>
      </c>
      <c r="AC113">
        <v>11.5</v>
      </c>
      <c r="AD113">
        <v>12</v>
      </c>
      <c r="AE113">
        <v>12</v>
      </c>
      <c r="AF113">
        <v>11.83333333</v>
      </c>
      <c r="AG113">
        <v>15.4</v>
      </c>
      <c r="AH113">
        <v>16.399999999999999</v>
      </c>
      <c r="AI113">
        <v>16.899999999999999</v>
      </c>
      <c r="AJ113">
        <v>16.233333330000001</v>
      </c>
      <c r="AK113">
        <v>13.9</v>
      </c>
      <c r="AL113">
        <v>14.4</v>
      </c>
      <c r="AM113">
        <v>15.9</v>
      </c>
      <c r="AN113">
        <v>14.733333330000001</v>
      </c>
      <c r="AO113">
        <v>16.233333330000001</v>
      </c>
      <c r="AP113">
        <v>4.0999999999999996</v>
      </c>
      <c r="AQ113">
        <v>4.5999999999999996</v>
      </c>
      <c r="AR113">
        <v>4.5999999999999996</v>
      </c>
      <c r="AS113">
        <v>4.4333333330000002</v>
      </c>
      <c r="AT113">
        <v>3.1</v>
      </c>
      <c r="AU113">
        <v>4.5999999999999996</v>
      </c>
      <c r="AV113">
        <v>4.0999999999999996</v>
      </c>
      <c r="AW113">
        <v>3.9333333330000002</v>
      </c>
      <c r="AX113">
        <v>4.4333333330000002</v>
      </c>
      <c r="AY113">
        <v>-7.9</v>
      </c>
      <c r="AZ113">
        <v>10</v>
      </c>
      <c r="BA113">
        <v>60</v>
      </c>
      <c r="BB113">
        <v>1</v>
      </c>
      <c r="BC113">
        <v>2</v>
      </c>
      <c r="BD113">
        <v>1</v>
      </c>
      <c r="BE113">
        <v>0</v>
      </c>
      <c r="BF113">
        <v>0</v>
      </c>
      <c r="BG113">
        <v>0</v>
      </c>
      <c r="BI113">
        <v>11.1</v>
      </c>
      <c r="BJ113">
        <v>7.282</v>
      </c>
      <c r="BK113">
        <v>0</v>
      </c>
      <c r="BL113">
        <v>1</v>
      </c>
      <c r="BM113">
        <v>1</v>
      </c>
      <c r="BN113" t="s">
        <v>114</v>
      </c>
      <c r="BO113">
        <v>8.5</v>
      </c>
      <c r="BP113" t="s">
        <v>114</v>
      </c>
      <c r="BQ113">
        <v>17</v>
      </c>
      <c r="BR113" t="s">
        <v>114</v>
      </c>
      <c r="BS113">
        <v>8.70725047</v>
      </c>
      <c r="BT113">
        <v>0.34996620099999998</v>
      </c>
      <c r="BU113">
        <v>6.5472996974999997</v>
      </c>
      <c r="BV113">
        <v>0.27601502</v>
      </c>
      <c r="BW113">
        <v>0.33523620100000001</v>
      </c>
      <c r="BX113">
        <v>-6.5472996974999997</v>
      </c>
      <c r="BY113">
        <v>99.449193866158595</v>
      </c>
      <c r="BZ113">
        <v>0.15093572165975699</v>
      </c>
      <c r="CA113">
        <v>105.703634413638</v>
      </c>
      <c r="CB113">
        <v>200.43589580755801</v>
      </c>
      <c r="CC113">
        <v>0.164393096835037</v>
      </c>
      <c r="CD113">
        <v>105.703634413638</v>
      </c>
      <c r="CE113">
        <v>6.7264044999999995E-2</v>
      </c>
      <c r="CF113">
        <v>1.24484671575155E-2</v>
      </c>
      <c r="CG113">
        <v>3.9389468749999997E-2</v>
      </c>
      <c r="CH113">
        <v>2.290594665</v>
      </c>
      <c r="CI113">
        <v>0.58447508331249998</v>
      </c>
      <c r="CJ113">
        <v>16.5618695575</v>
      </c>
      <c r="CK113">
        <v>1.48813175E-2</v>
      </c>
      <c r="CL113">
        <v>-4.47782924999999E-2</v>
      </c>
      <c r="CM113">
        <v>0.58079258331250005</v>
      </c>
      <c r="CN113">
        <v>-16.5618695575</v>
      </c>
      <c r="CO113">
        <v>1.87777389558958E-3</v>
      </c>
      <c r="CP113">
        <v>34.530969256805903</v>
      </c>
      <c r="CQ113">
        <v>8.1675115346389507E-2</v>
      </c>
      <c r="CR113">
        <v>85.600865339038506</v>
      </c>
      <c r="CS113">
        <v>3.2965223093190999E-3</v>
      </c>
      <c r="CT113">
        <v>40.125442668909599</v>
      </c>
      <c r="CU113">
        <v>8.6252286740892498E-2</v>
      </c>
      <c r="CV113">
        <v>85.600865339038506</v>
      </c>
      <c r="CW113">
        <v>-3.076856E-2</v>
      </c>
    </row>
    <row r="114" spans="1:101" x14ac:dyDescent="0.25">
      <c r="A114" t="s">
        <v>28</v>
      </c>
      <c r="B114">
        <v>15</v>
      </c>
      <c r="C114" t="s">
        <v>29</v>
      </c>
      <c r="D114" t="s">
        <v>94</v>
      </c>
      <c r="E114" t="s">
        <v>103</v>
      </c>
      <c r="F114" t="s">
        <v>145</v>
      </c>
      <c r="G114" t="s">
        <v>260</v>
      </c>
      <c r="H114" t="str">
        <f t="shared" si="12"/>
        <v>P.airoides.Highcomp.Open</v>
      </c>
      <c r="I114" t="s">
        <v>700</v>
      </c>
      <c r="J114" t="s">
        <v>388</v>
      </c>
      <c r="K114">
        <v>3</v>
      </c>
      <c r="L114">
        <v>75</v>
      </c>
      <c r="M114">
        <v>25</v>
      </c>
      <c r="N114">
        <v>75</v>
      </c>
      <c r="O114">
        <f t="shared" si="13"/>
        <v>50</v>
      </c>
      <c r="P114">
        <v>20</v>
      </c>
      <c r="Q114">
        <v>10</v>
      </c>
      <c r="R114">
        <v>0</v>
      </c>
      <c r="S114">
        <f t="shared" si="14"/>
        <v>5</v>
      </c>
      <c r="T114">
        <f t="shared" si="15"/>
        <v>6.6666666666666666E-2</v>
      </c>
      <c r="U114" t="s">
        <v>15</v>
      </c>
      <c r="V114" t="s">
        <v>103</v>
      </c>
      <c r="W114">
        <v>50</v>
      </c>
      <c r="X114">
        <v>12.5</v>
      </c>
      <c r="Y114">
        <v>13</v>
      </c>
      <c r="Z114">
        <v>11.5</v>
      </c>
      <c r="AA114">
        <v>12.33333333</v>
      </c>
      <c r="AB114">
        <v>12.33333333</v>
      </c>
      <c r="AC114">
        <v>12.5</v>
      </c>
      <c r="AD114">
        <v>12</v>
      </c>
      <c r="AE114">
        <v>9.5</v>
      </c>
      <c r="AF114">
        <v>11.33333333</v>
      </c>
      <c r="AG114">
        <v>15.4</v>
      </c>
      <c r="AH114">
        <v>16.399999999999999</v>
      </c>
      <c r="AI114">
        <v>16.899999999999999</v>
      </c>
      <c r="AJ114">
        <v>16.233333330000001</v>
      </c>
      <c r="AK114">
        <v>15.4</v>
      </c>
      <c r="AL114">
        <v>13</v>
      </c>
      <c r="AM114">
        <v>14.4</v>
      </c>
      <c r="AN114">
        <v>14.266666669999999</v>
      </c>
      <c r="AO114">
        <v>16.233333330000001</v>
      </c>
      <c r="AP114">
        <v>4.0999999999999996</v>
      </c>
      <c r="AQ114">
        <v>4.5999999999999996</v>
      </c>
      <c r="AR114">
        <v>4.5999999999999996</v>
      </c>
      <c r="AS114">
        <v>4.4333333330000002</v>
      </c>
      <c r="AT114">
        <v>4.5999999999999996</v>
      </c>
      <c r="AU114">
        <v>3.1</v>
      </c>
      <c r="AV114">
        <v>4.0999999999999996</v>
      </c>
      <c r="AW114">
        <v>3.9333333330000002</v>
      </c>
      <c r="AX114">
        <v>4.4333333330000002</v>
      </c>
      <c r="AY114">
        <v>-7.9</v>
      </c>
      <c r="AZ114">
        <v>10</v>
      </c>
      <c r="BA114">
        <v>60</v>
      </c>
      <c r="BB114">
        <v>1</v>
      </c>
      <c r="BC114">
        <v>2</v>
      </c>
      <c r="BD114">
        <v>1</v>
      </c>
      <c r="BE114">
        <v>0</v>
      </c>
      <c r="BF114">
        <v>0</v>
      </c>
      <c r="BG114">
        <v>0</v>
      </c>
      <c r="BI114">
        <v>11.1</v>
      </c>
      <c r="BJ114">
        <v>7.282</v>
      </c>
      <c r="BK114">
        <v>0</v>
      </c>
      <c r="BL114">
        <v>1</v>
      </c>
      <c r="BM114">
        <v>1</v>
      </c>
      <c r="BN114">
        <v>43</v>
      </c>
      <c r="BO114">
        <v>274</v>
      </c>
      <c r="BP114">
        <f t="shared" ref="BP114:BP123" si="20">BN114-BO114</f>
        <v>-231</v>
      </c>
      <c r="BQ114">
        <v>146</v>
      </c>
      <c r="BR114">
        <f t="shared" ref="BR114:BR123" si="21">BN114-BQ114</f>
        <v>-103</v>
      </c>
      <c r="BS114">
        <v>6.775462965</v>
      </c>
      <c r="BT114">
        <v>0.53309075800000005</v>
      </c>
      <c r="BU114">
        <v>0.57405837000000004</v>
      </c>
      <c r="BV114">
        <v>6.775462965</v>
      </c>
      <c r="BW114">
        <v>-0.53309075800000005</v>
      </c>
      <c r="BX114">
        <v>0.57405837000000004</v>
      </c>
      <c r="BY114">
        <v>91.813796780173206</v>
      </c>
      <c r="BZ114">
        <v>0.56837151253002904</v>
      </c>
      <c r="CA114">
        <v>0.65908602433411401</v>
      </c>
      <c r="CB114">
        <v>91.813796780173206</v>
      </c>
      <c r="CC114">
        <v>0.56837151253002904</v>
      </c>
      <c r="CD114">
        <v>0.65908602433411401</v>
      </c>
      <c r="CE114">
        <v>0.36424459999999997</v>
      </c>
      <c r="CF114">
        <v>0.26534825725832001</v>
      </c>
      <c r="CG114">
        <v>0.24282973333333299</v>
      </c>
      <c r="CH114">
        <v>4.5169753100000003</v>
      </c>
      <c r="CI114">
        <v>0.35539383866666702</v>
      </c>
      <c r="CJ114">
        <v>0.38270557999999999</v>
      </c>
      <c r="CK114">
        <v>-0.24282973333333299</v>
      </c>
      <c r="CL114">
        <v>4.5169753100000003</v>
      </c>
      <c r="CM114">
        <v>-0.35539383866666702</v>
      </c>
      <c r="CN114">
        <v>0.38270557999999999</v>
      </c>
      <c r="CO114">
        <v>0.176898838172213</v>
      </c>
      <c r="CP114">
        <v>61.209197853448799</v>
      </c>
      <c r="CQ114">
        <v>0.37891434168668597</v>
      </c>
      <c r="CR114">
        <v>0.43939068288940902</v>
      </c>
      <c r="CS114">
        <v>0.176898838172213</v>
      </c>
      <c r="CT114">
        <v>61.209197853448799</v>
      </c>
      <c r="CU114">
        <v>0.37891434168668597</v>
      </c>
      <c r="CV114">
        <v>0.43939068288940902</v>
      </c>
      <c r="CW114">
        <v>-0.36424459999999997</v>
      </c>
    </row>
    <row r="115" spans="1:101" x14ac:dyDescent="0.25">
      <c r="A115" t="s">
        <v>28</v>
      </c>
      <c r="B115">
        <v>15</v>
      </c>
      <c r="C115" t="s">
        <v>29</v>
      </c>
      <c r="D115" t="s">
        <v>94</v>
      </c>
      <c r="E115" t="s">
        <v>111</v>
      </c>
      <c r="F115" t="s">
        <v>145</v>
      </c>
      <c r="G115" t="s">
        <v>263</v>
      </c>
      <c r="H115" t="str">
        <f t="shared" si="12"/>
        <v>P.canescens.Highcomp.Open</v>
      </c>
      <c r="I115" t="s">
        <v>703</v>
      </c>
      <c r="J115" t="s">
        <v>389</v>
      </c>
      <c r="K115">
        <v>5</v>
      </c>
      <c r="L115">
        <v>320</v>
      </c>
      <c r="M115">
        <v>200</v>
      </c>
      <c r="N115">
        <v>320</v>
      </c>
      <c r="O115">
        <f t="shared" si="13"/>
        <v>120</v>
      </c>
      <c r="P115">
        <v>110</v>
      </c>
      <c r="Q115">
        <v>250</v>
      </c>
      <c r="R115">
        <v>200</v>
      </c>
      <c r="S115">
        <f t="shared" si="14"/>
        <v>225</v>
      </c>
      <c r="T115">
        <f t="shared" si="15"/>
        <v>0.703125</v>
      </c>
      <c r="U115" t="s">
        <v>15</v>
      </c>
      <c r="V115" t="s">
        <v>121</v>
      </c>
      <c r="W115" t="s">
        <v>114</v>
      </c>
      <c r="X115">
        <v>12.5</v>
      </c>
      <c r="Y115">
        <v>13</v>
      </c>
      <c r="Z115">
        <v>11.5</v>
      </c>
      <c r="AA115">
        <v>12.33333333</v>
      </c>
      <c r="AB115">
        <v>12.33333333</v>
      </c>
      <c r="AC115">
        <v>11.5</v>
      </c>
      <c r="AD115">
        <v>11.5</v>
      </c>
      <c r="AE115">
        <v>12.5</v>
      </c>
      <c r="AF115">
        <v>11.83333333</v>
      </c>
      <c r="AG115">
        <v>15.4</v>
      </c>
      <c r="AH115">
        <v>16.399999999999999</v>
      </c>
      <c r="AI115">
        <v>16.899999999999999</v>
      </c>
      <c r="AJ115">
        <v>16.233333330000001</v>
      </c>
      <c r="AK115">
        <v>15.9</v>
      </c>
      <c r="AL115">
        <v>14.4</v>
      </c>
      <c r="AM115">
        <v>16.399999999999999</v>
      </c>
      <c r="AN115">
        <v>15.56666667</v>
      </c>
      <c r="AO115">
        <v>16.233333330000001</v>
      </c>
      <c r="AP115">
        <v>4.0999999999999996</v>
      </c>
      <c r="AQ115">
        <v>4.5999999999999996</v>
      </c>
      <c r="AR115">
        <v>4.5999999999999996</v>
      </c>
      <c r="AS115">
        <v>4.4333333330000002</v>
      </c>
      <c r="AT115">
        <v>3.6</v>
      </c>
      <c r="AU115">
        <v>4.5999999999999996</v>
      </c>
      <c r="AV115">
        <v>4.0999999999999996</v>
      </c>
      <c r="AW115">
        <v>4.0999999999999996</v>
      </c>
      <c r="AX115">
        <v>4.4333333330000002</v>
      </c>
      <c r="AY115">
        <v>-7.9</v>
      </c>
      <c r="AZ115">
        <v>10</v>
      </c>
      <c r="BA115">
        <v>60</v>
      </c>
      <c r="BB115">
        <v>1</v>
      </c>
      <c r="BC115">
        <v>2</v>
      </c>
      <c r="BD115">
        <v>1</v>
      </c>
      <c r="BE115">
        <v>0</v>
      </c>
      <c r="BF115">
        <v>0</v>
      </c>
      <c r="BG115">
        <v>0</v>
      </c>
      <c r="BI115">
        <v>11.1</v>
      </c>
      <c r="BJ115">
        <v>7.282</v>
      </c>
      <c r="BK115">
        <v>0</v>
      </c>
      <c r="BL115">
        <v>30</v>
      </c>
      <c r="BM115">
        <v>23</v>
      </c>
      <c r="BN115">
        <v>2038</v>
      </c>
      <c r="BO115">
        <v>2240.3332999999998</v>
      </c>
      <c r="BP115">
        <f t="shared" si="20"/>
        <v>-202.33329999999978</v>
      </c>
      <c r="BQ115">
        <v>1382</v>
      </c>
      <c r="BR115">
        <f t="shared" si="21"/>
        <v>656</v>
      </c>
      <c r="BS115">
        <v>17.1475294166667</v>
      </c>
      <c r="BT115">
        <v>0.25483863833333298</v>
      </c>
      <c r="BU115">
        <v>7.69329398333333</v>
      </c>
      <c r="BV115">
        <v>17.1475294166667</v>
      </c>
      <c r="BW115">
        <v>-0.14908728766666701</v>
      </c>
      <c r="BX115">
        <v>-5.6421843966666696</v>
      </c>
      <c r="BY115">
        <v>108.599035935876</v>
      </c>
      <c r="BZ115">
        <v>9.38471975376583E-2</v>
      </c>
      <c r="CA115">
        <v>113.67875582688001</v>
      </c>
      <c r="CB115">
        <v>108.599035935876</v>
      </c>
      <c r="CC115">
        <v>0.15792076590333401</v>
      </c>
      <c r="CD115">
        <v>154.70754714888599</v>
      </c>
      <c r="CE115">
        <v>0.20182482333333299</v>
      </c>
      <c r="CF115">
        <v>4.5737906879163298E-4</v>
      </c>
      <c r="CG115">
        <v>0.19209269400000001</v>
      </c>
      <c r="CH115">
        <v>14.774058774</v>
      </c>
      <c r="CI115">
        <v>0.39525873859999999</v>
      </c>
      <c r="CJ115">
        <v>5.2983516939999999</v>
      </c>
      <c r="CK115">
        <v>0.19209269400000001</v>
      </c>
      <c r="CL115">
        <v>14.774058774</v>
      </c>
      <c r="CM115">
        <v>-0.33180792819999999</v>
      </c>
      <c r="CN115">
        <v>-2.7029353340000002</v>
      </c>
      <c r="CO115">
        <v>4.0627892444717998E-4</v>
      </c>
      <c r="CP115">
        <v>64.862073389688803</v>
      </c>
      <c r="CQ115">
        <v>8.3894482316767993E-2</v>
      </c>
      <c r="CR115">
        <v>67.593906480759799</v>
      </c>
      <c r="CS115">
        <v>4.0627892444717998E-4</v>
      </c>
      <c r="CT115">
        <v>64.862073389688803</v>
      </c>
      <c r="CU115">
        <v>0.141560693845876</v>
      </c>
      <c r="CV115">
        <v>93.552245547668505</v>
      </c>
      <c r="CW115">
        <v>0.20182482333333299</v>
      </c>
    </row>
    <row r="116" spans="1:101" x14ac:dyDescent="0.25">
      <c r="A116" t="s">
        <v>28</v>
      </c>
      <c r="B116">
        <v>15</v>
      </c>
      <c r="C116" t="s">
        <v>29</v>
      </c>
      <c r="D116" t="s">
        <v>94</v>
      </c>
      <c r="E116" t="s">
        <v>112</v>
      </c>
      <c r="F116" t="s">
        <v>145</v>
      </c>
      <c r="G116" t="s">
        <v>261</v>
      </c>
      <c r="H116" t="str">
        <f t="shared" si="12"/>
        <v>V.rosea.Highcomp.Open</v>
      </c>
      <c r="I116" t="s">
        <v>713</v>
      </c>
      <c r="J116" t="s">
        <v>390</v>
      </c>
      <c r="K116">
        <v>13</v>
      </c>
      <c r="L116">
        <v>110</v>
      </c>
      <c r="M116">
        <v>40</v>
      </c>
      <c r="N116">
        <v>110</v>
      </c>
      <c r="O116">
        <f t="shared" si="13"/>
        <v>70</v>
      </c>
      <c r="P116">
        <v>60</v>
      </c>
      <c r="Q116">
        <v>130</v>
      </c>
      <c r="R116">
        <v>120</v>
      </c>
      <c r="S116">
        <f t="shared" si="14"/>
        <v>125</v>
      </c>
      <c r="T116">
        <f t="shared" si="15"/>
        <v>1.1363636363636365</v>
      </c>
      <c r="U116" t="s">
        <v>792</v>
      </c>
      <c r="V116" t="s">
        <v>103</v>
      </c>
      <c r="W116">
        <v>10</v>
      </c>
      <c r="X116">
        <v>12.5</v>
      </c>
      <c r="Y116">
        <v>13</v>
      </c>
      <c r="Z116">
        <v>11.5</v>
      </c>
      <c r="AA116">
        <v>12.33333333</v>
      </c>
      <c r="AB116">
        <v>12.33333333</v>
      </c>
      <c r="AC116">
        <v>11.5</v>
      </c>
      <c r="AD116">
        <v>12</v>
      </c>
      <c r="AE116">
        <v>13.5</v>
      </c>
      <c r="AF116">
        <v>12.33333333</v>
      </c>
      <c r="AG116">
        <v>15.4</v>
      </c>
      <c r="AH116">
        <v>16.399999999999999</v>
      </c>
      <c r="AI116">
        <v>16.899999999999999</v>
      </c>
      <c r="AJ116">
        <v>16.233333330000001</v>
      </c>
      <c r="AK116">
        <v>16.899999999999999</v>
      </c>
      <c r="AL116">
        <v>13.5</v>
      </c>
      <c r="AM116">
        <v>17.399999999999999</v>
      </c>
      <c r="AN116">
        <v>15.93333333</v>
      </c>
      <c r="AO116">
        <v>16.233333330000001</v>
      </c>
      <c r="AP116">
        <v>4.0999999999999996</v>
      </c>
      <c r="AQ116">
        <v>4.5999999999999996</v>
      </c>
      <c r="AR116">
        <v>4.5999999999999996</v>
      </c>
      <c r="AS116">
        <v>4.4333333330000002</v>
      </c>
      <c r="AT116">
        <v>4.5999999999999996</v>
      </c>
      <c r="AU116">
        <v>4.5999999999999996</v>
      </c>
      <c r="AV116">
        <v>5.0999999999999996</v>
      </c>
      <c r="AW116">
        <v>4.766666667</v>
      </c>
      <c r="AX116">
        <v>4.4333333330000002</v>
      </c>
      <c r="AY116">
        <v>-7.9</v>
      </c>
      <c r="AZ116">
        <v>10</v>
      </c>
      <c r="BA116">
        <v>60</v>
      </c>
      <c r="BB116">
        <v>1</v>
      </c>
      <c r="BC116">
        <v>2</v>
      </c>
      <c r="BD116">
        <v>1</v>
      </c>
      <c r="BE116">
        <v>0</v>
      </c>
      <c r="BF116">
        <v>0</v>
      </c>
      <c r="BG116">
        <v>0</v>
      </c>
      <c r="BI116">
        <v>11.1</v>
      </c>
      <c r="BJ116">
        <v>7.282</v>
      </c>
      <c r="BK116">
        <v>0</v>
      </c>
      <c r="BL116">
        <v>63</v>
      </c>
      <c r="BM116">
        <v>63</v>
      </c>
      <c r="BN116">
        <v>213</v>
      </c>
      <c r="BO116">
        <v>76</v>
      </c>
      <c r="BP116">
        <f t="shared" si="20"/>
        <v>137</v>
      </c>
      <c r="BQ116">
        <v>41</v>
      </c>
      <c r="BR116">
        <f t="shared" si="21"/>
        <v>172</v>
      </c>
      <c r="BS116">
        <v>23.563689783333299</v>
      </c>
      <c r="BT116">
        <v>2.0264016630000001</v>
      </c>
      <c r="BU116">
        <v>9.7631258800000005</v>
      </c>
      <c r="BV116">
        <v>-23.563689783333299</v>
      </c>
      <c r="BW116">
        <v>2.0264016630000001</v>
      </c>
      <c r="BX116">
        <v>5.4806038133333299</v>
      </c>
      <c r="BY116">
        <v>69.620593436318501</v>
      </c>
      <c r="BZ116">
        <v>0.16405130670024401</v>
      </c>
      <c r="CA116">
        <v>23.205745326747799</v>
      </c>
      <c r="CB116">
        <v>69.620593436318501</v>
      </c>
      <c r="CC116">
        <v>0.16405130670024401</v>
      </c>
      <c r="CD116">
        <v>121.128158511751</v>
      </c>
      <c r="CE116">
        <v>1.9372262733333301</v>
      </c>
      <c r="CF116">
        <v>1.8220808919780101E-2</v>
      </c>
      <c r="CG116">
        <v>1.93938808923077</v>
      </c>
      <c r="CH116">
        <v>23.174046307692301</v>
      </c>
      <c r="CI116">
        <v>1.9348740457692299</v>
      </c>
      <c r="CJ116">
        <v>10.86957484</v>
      </c>
      <c r="CK116">
        <v>1.93938808923077</v>
      </c>
      <c r="CL116">
        <v>-23.174046307692301</v>
      </c>
      <c r="CM116">
        <v>1.9348740457692299</v>
      </c>
      <c r="CN116">
        <v>7.9047518707692301</v>
      </c>
      <c r="CO116">
        <v>1.2028280864158299E-2</v>
      </c>
      <c r="CP116">
        <v>48.382850347310502</v>
      </c>
      <c r="CQ116">
        <v>0.13117867840957001</v>
      </c>
      <c r="CR116">
        <v>18.297516003517298</v>
      </c>
      <c r="CS116">
        <v>1.2028280864158299E-2</v>
      </c>
      <c r="CT116">
        <v>48.382850347310502</v>
      </c>
      <c r="CU116">
        <v>0.13117867840957001</v>
      </c>
      <c r="CV116">
        <v>78.598617322776306</v>
      </c>
      <c r="CW116">
        <v>1.9372262733333301</v>
      </c>
    </row>
    <row r="117" spans="1:101" x14ac:dyDescent="0.25">
      <c r="A117" t="s">
        <v>30</v>
      </c>
      <c r="B117">
        <v>15</v>
      </c>
      <c r="C117" t="s">
        <v>31</v>
      </c>
      <c r="D117" t="s">
        <v>95</v>
      </c>
      <c r="E117" t="s">
        <v>113</v>
      </c>
      <c r="F117" t="s">
        <v>145</v>
      </c>
      <c r="G117" t="s">
        <v>259</v>
      </c>
      <c r="H117" t="str">
        <f t="shared" si="12"/>
        <v>H.glutinosum.Highcomp.Shade</v>
      </c>
      <c r="I117" t="s">
        <v>704</v>
      </c>
      <c r="J117" t="s">
        <v>391</v>
      </c>
      <c r="K117">
        <v>13</v>
      </c>
      <c r="L117">
        <v>100</v>
      </c>
      <c r="M117">
        <v>70</v>
      </c>
      <c r="N117">
        <v>100</v>
      </c>
      <c r="O117">
        <f t="shared" si="13"/>
        <v>30</v>
      </c>
      <c r="P117">
        <v>10</v>
      </c>
      <c r="Q117">
        <v>10</v>
      </c>
      <c r="R117">
        <v>10</v>
      </c>
      <c r="S117">
        <f t="shared" si="14"/>
        <v>10</v>
      </c>
      <c r="T117">
        <f t="shared" si="15"/>
        <v>0.1</v>
      </c>
      <c r="V117" t="s">
        <v>121</v>
      </c>
      <c r="W117" t="s">
        <v>114</v>
      </c>
      <c r="X117">
        <v>15.4</v>
      </c>
      <c r="Y117">
        <v>14.9</v>
      </c>
      <c r="Z117">
        <v>12</v>
      </c>
      <c r="AA117">
        <v>14.1</v>
      </c>
      <c r="AB117">
        <v>14.1</v>
      </c>
      <c r="AC117">
        <v>13.9</v>
      </c>
      <c r="AD117">
        <v>13.5</v>
      </c>
      <c r="AE117">
        <v>13</v>
      </c>
      <c r="AF117">
        <v>13.46666667</v>
      </c>
      <c r="AG117">
        <v>16.899999999999999</v>
      </c>
      <c r="AH117">
        <v>18.399999999999999</v>
      </c>
      <c r="AI117">
        <v>18.399999999999999</v>
      </c>
      <c r="AJ117">
        <v>17.899999999999999</v>
      </c>
      <c r="AK117">
        <v>18.399999999999999</v>
      </c>
      <c r="AL117">
        <v>16.899999999999999</v>
      </c>
      <c r="AM117">
        <v>17.399999999999999</v>
      </c>
      <c r="AN117">
        <v>17.56666667</v>
      </c>
      <c r="AO117">
        <v>17.899999999999999</v>
      </c>
      <c r="AP117">
        <v>7.6</v>
      </c>
      <c r="AQ117">
        <v>8.1</v>
      </c>
      <c r="AR117">
        <v>8.5</v>
      </c>
      <c r="AS117">
        <v>8.0666666669999998</v>
      </c>
      <c r="AT117">
        <v>6.1</v>
      </c>
      <c r="AU117">
        <v>7.1</v>
      </c>
      <c r="AV117">
        <v>7.6</v>
      </c>
      <c r="AW117">
        <v>6.9333333330000002</v>
      </c>
      <c r="AX117">
        <v>8.0666666669999998</v>
      </c>
      <c r="AY117">
        <v>-6.0333333329999999</v>
      </c>
      <c r="AZ117">
        <v>3</v>
      </c>
      <c r="BA117">
        <v>90</v>
      </c>
      <c r="BB117">
        <v>25</v>
      </c>
      <c r="BC117">
        <v>5</v>
      </c>
      <c r="BD117">
        <v>0</v>
      </c>
      <c r="BE117">
        <v>1</v>
      </c>
      <c r="BF117">
        <v>2</v>
      </c>
      <c r="BG117">
        <v>0</v>
      </c>
      <c r="BI117">
        <v>2.7</v>
      </c>
      <c r="BJ117">
        <v>44.411999999999999</v>
      </c>
      <c r="BK117">
        <v>0</v>
      </c>
      <c r="BL117">
        <v>3</v>
      </c>
      <c r="BM117">
        <v>3</v>
      </c>
      <c r="BN117">
        <v>6</v>
      </c>
      <c r="BO117">
        <v>22</v>
      </c>
      <c r="BP117">
        <f t="shared" si="20"/>
        <v>-16</v>
      </c>
      <c r="BQ117">
        <v>0</v>
      </c>
      <c r="BR117">
        <f t="shared" si="21"/>
        <v>6</v>
      </c>
      <c r="BS117">
        <v>6.47836122</v>
      </c>
      <c r="BT117">
        <v>0.50170263599999998</v>
      </c>
      <c r="BU117">
        <v>7.7800612525000004</v>
      </c>
      <c r="BV117">
        <v>-6.47836122</v>
      </c>
      <c r="BW117">
        <v>0.50170263599999998</v>
      </c>
      <c r="BX117">
        <v>-7.7800612525000004</v>
      </c>
      <c r="BY117">
        <v>56.3803425570838</v>
      </c>
      <c r="BZ117">
        <v>0.11419188238424299</v>
      </c>
      <c r="CA117">
        <v>97.1498701758414</v>
      </c>
      <c r="CB117">
        <v>56.3803425570838</v>
      </c>
      <c r="CC117">
        <v>0.11419188238424299</v>
      </c>
      <c r="CD117">
        <v>97.1498701758414</v>
      </c>
      <c r="CE117">
        <v>0.10649398</v>
      </c>
      <c r="CF117">
        <v>1.55435762989896E-2</v>
      </c>
      <c r="CG117">
        <v>6.9561244615384599E-2</v>
      </c>
      <c r="CH117">
        <v>3.2131957746153801</v>
      </c>
      <c r="CI117">
        <v>0.65137909015384599</v>
      </c>
      <c r="CJ117">
        <v>16.346049428461502</v>
      </c>
      <c r="CK117">
        <v>-2.4098616923076899E-2</v>
      </c>
      <c r="CL117">
        <v>-3.2131957746153801</v>
      </c>
      <c r="CM117">
        <v>0.65137909015384599</v>
      </c>
      <c r="CN117">
        <v>-16.346049428461502</v>
      </c>
      <c r="CO117">
        <v>5.9425467223884797E-3</v>
      </c>
      <c r="CP117">
        <v>34.521371299350498</v>
      </c>
      <c r="CQ117">
        <v>3.9483612449204397E-2</v>
      </c>
      <c r="CR117">
        <v>74.1435527898076</v>
      </c>
      <c r="CS117">
        <v>1.0555405421794299E-2</v>
      </c>
      <c r="CT117">
        <v>34.521371299350498</v>
      </c>
      <c r="CU117">
        <v>3.9483612449204397E-2</v>
      </c>
      <c r="CV117">
        <v>74.1435527898076</v>
      </c>
      <c r="CW117">
        <v>-9.0076920000000005E-2</v>
      </c>
    </row>
    <row r="118" spans="1:101" x14ac:dyDescent="0.25">
      <c r="A118" t="s">
        <v>30</v>
      </c>
      <c r="B118">
        <v>15</v>
      </c>
      <c r="C118" t="s">
        <v>31</v>
      </c>
      <c r="D118" t="s">
        <v>95</v>
      </c>
      <c r="E118" t="s">
        <v>103</v>
      </c>
      <c r="F118" t="s">
        <v>145</v>
      </c>
      <c r="G118" t="s">
        <v>260</v>
      </c>
      <c r="H118" t="str">
        <f t="shared" si="12"/>
        <v>P.airoides.Highcomp.Shade</v>
      </c>
      <c r="I118" t="s">
        <v>712</v>
      </c>
      <c r="J118" t="s">
        <v>392</v>
      </c>
      <c r="K118">
        <v>7</v>
      </c>
      <c r="L118">
        <v>90</v>
      </c>
      <c r="M118">
        <v>20</v>
      </c>
      <c r="N118">
        <v>90</v>
      </c>
      <c r="O118">
        <f t="shared" si="13"/>
        <v>70</v>
      </c>
      <c r="P118">
        <v>30</v>
      </c>
      <c r="Q118">
        <v>25</v>
      </c>
      <c r="R118">
        <v>10</v>
      </c>
      <c r="S118">
        <f t="shared" si="14"/>
        <v>17.5</v>
      </c>
      <c r="T118">
        <f t="shared" si="15"/>
        <v>0.19444444444444445</v>
      </c>
      <c r="V118" t="s">
        <v>113</v>
      </c>
      <c r="W118">
        <v>35</v>
      </c>
      <c r="X118">
        <v>15.4</v>
      </c>
      <c r="Y118">
        <v>14.9</v>
      </c>
      <c r="Z118">
        <v>12</v>
      </c>
      <c r="AA118">
        <v>14.1</v>
      </c>
      <c r="AB118">
        <v>14.1</v>
      </c>
      <c r="AC118">
        <v>13</v>
      </c>
      <c r="AD118">
        <v>13.5</v>
      </c>
      <c r="AE118">
        <v>12</v>
      </c>
      <c r="AF118">
        <v>12.83333333</v>
      </c>
      <c r="AG118">
        <v>16.899999999999999</v>
      </c>
      <c r="AH118">
        <v>18.399999999999999</v>
      </c>
      <c r="AI118">
        <v>18.399999999999999</v>
      </c>
      <c r="AJ118">
        <v>17.899999999999999</v>
      </c>
      <c r="AK118">
        <v>17.899999999999999</v>
      </c>
      <c r="AL118">
        <v>16.399999999999999</v>
      </c>
      <c r="AM118">
        <v>16.899999999999999</v>
      </c>
      <c r="AN118">
        <v>17.06666667</v>
      </c>
      <c r="AO118">
        <v>17.899999999999999</v>
      </c>
      <c r="AP118">
        <v>7.6</v>
      </c>
      <c r="AQ118">
        <v>8.1</v>
      </c>
      <c r="AR118">
        <v>8.5</v>
      </c>
      <c r="AS118">
        <v>8.0666666669999998</v>
      </c>
      <c r="AT118">
        <v>7.1</v>
      </c>
      <c r="AU118">
        <v>6.1</v>
      </c>
      <c r="AV118">
        <v>6.1</v>
      </c>
      <c r="AW118">
        <v>6.4333333330000002</v>
      </c>
      <c r="AX118">
        <v>8.0666666669999998</v>
      </c>
      <c r="AY118">
        <v>-6.0333333329999999</v>
      </c>
      <c r="AZ118">
        <v>3</v>
      </c>
      <c r="BA118">
        <v>90</v>
      </c>
      <c r="BB118">
        <v>25</v>
      </c>
      <c r="BC118">
        <v>5</v>
      </c>
      <c r="BD118">
        <v>0</v>
      </c>
      <c r="BE118">
        <v>1</v>
      </c>
      <c r="BF118">
        <v>2</v>
      </c>
      <c r="BG118">
        <v>0</v>
      </c>
      <c r="BI118">
        <v>2.7</v>
      </c>
      <c r="BJ118">
        <v>44.411999999999999</v>
      </c>
      <c r="BK118">
        <v>0</v>
      </c>
      <c r="BL118">
        <v>3</v>
      </c>
      <c r="BM118">
        <v>3</v>
      </c>
      <c r="BN118">
        <v>187</v>
      </c>
      <c r="BO118">
        <v>216</v>
      </c>
      <c r="BP118">
        <f t="shared" si="20"/>
        <v>-29</v>
      </c>
      <c r="BQ118">
        <v>45</v>
      </c>
      <c r="BR118">
        <f t="shared" si="21"/>
        <v>142</v>
      </c>
      <c r="BS118">
        <v>14.908490179999999</v>
      </c>
      <c r="BT118">
        <v>0.25829340519999999</v>
      </c>
      <c r="BU118">
        <v>5.1259039700000004</v>
      </c>
      <c r="BV118">
        <v>8.6251568479999996</v>
      </c>
      <c r="BW118">
        <v>-0.24719804319999999</v>
      </c>
      <c r="BX118">
        <v>3.3038169740000001</v>
      </c>
      <c r="BY118">
        <v>121.471702261457</v>
      </c>
      <c r="BZ118">
        <v>9.1594441753561004E-2</v>
      </c>
      <c r="CA118">
        <v>9.5061625289510001</v>
      </c>
      <c r="CB118">
        <v>306.30888825465098</v>
      </c>
      <c r="CC118">
        <v>9.8605205013438904E-2</v>
      </c>
      <c r="CD118">
        <v>28.705768668915098</v>
      </c>
      <c r="CE118">
        <v>0.54108751799999999</v>
      </c>
      <c r="CF118">
        <v>0.98739109537588199</v>
      </c>
      <c r="CG118">
        <v>0.44810459857142898</v>
      </c>
      <c r="CH118">
        <v>14.801518959999999</v>
      </c>
      <c r="CI118">
        <v>0.378220008285714</v>
      </c>
      <c r="CJ118">
        <v>5.8628316700000003</v>
      </c>
      <c r="CK118">
        <v>-0.13775424999999999</v>
      </c>
      <c r="CL118">
        <v>10.313423722857101</v>
      </c>
      <c r="CM118">
        <v>-0.370294749714286</v>
      </c>
      <c r="CN118">
        <v>4.5613409585714297</v>
      </c>
      <c r="CO118">
        <v>0.50441888865794404</v>
      </c>
      <c r="CP118">
        <v>81.014509796537297</v>
      </c>
      <c r="CQ118">
        <v>0.103011599041436</v>
      </c>
      <c r="CR118">
        <v>7.9213737881302597</v>
      </c>
      <c r="CS118">
        <v>0.71654396950370902</v>
      </c>
      <c r="CT118">
        <v>212.51914020525899</v>
      </c>
      <c r="CU118">
        <v>0.109932467543396</v>
      </c>
      <c r="CV118">
        <v>23.7494982802795</v>
      </c>
      <c r="CW118">
        <v>-0.27911487000000001</v>
      </c>
    </row>
    <row r="119" spans="1:101" x14ac:dyDescent="0.25">
      <c r="A119" t="s">
        <v>30</v>
      </c>
      <c r="B119">
        <v>15</v>
      </c>
      <c r="C119" t="s">
        <v>31</v>
      </c>
      <c r="D119" t="s">
        <v>95</v>
      </c>
      <c r="E119" t="s">
        <v>112</v>
      </c>
      <c r="F119" t="s">
        <v>145</v>
      </c>
      <c r="G119" t="s">
        <v>261</v>
      </c>
      <c r="H119" t="str">
        <f t="shared" si="12"/>
        <v>V.rosea.Highcomp.Shade</v>
      </c>
      <c r="I119" t="s">
        <v>708</v>
      </c>
      <c r="J119" t="s">
        <v>393</v>
      </c>
      <c r="K119" t="s">
        <v>114</v>
      </c>
      <c r="L119">
        <v>60</v>
      </c>
      <c r="M119">
        <v>100</v>
      </c>
      <c r="N119">
        <v>60</v>
      </c>
      <c r="O119">
        <f t="shared" si="13"/>
        <v>-40</v>
      </c>
      <c r="P119">
        <v>60</v>
      </c>
      <c r="Q119">
        <v>35</v>
      </c>
      <c r="R119">
        <v>20</v>
      </c>
      <c r="S119">
        <f t="shared" si="14"/>
        <v>27.5</v>
      </c>
      <c r="T119">
        <f t="shared" si="15"/>
        <v>0.45833333333333331</v>
      </c>
      <c r="V119" t="s">
        <v>103</v>
      </c>
      <c r="W119">
        <v>50</v>
      </c>
      <c r="X119">
        <v>15.4</v>
      </c>
      <c r="Y119">
        <v>14.9</v>
      </c>
      <c r="Z119">
        <v>12</v>
      </c>
      <c r="AA119">
        <v>14.1</v>
      </c>
      <c r="AB119">
        <v>14.1</v>
      </c>
      <c r="AC119">
        <v>13</v>
      </c>
      <c r="AD119">
        <v>12</v>
      </c>
      <c r="AE119">
        <v>12</v>
      </c>
      <c r="AF119">
        <v>12.33333333</v>
      </c>
      <c r="AG119">
        <v>16.899999999999999</v>
      </c>
      <c r="AH119">
        <v>18.399999999999999</v>
      </c>
      <c r="AI119">
        <v>18.399999999999999</v>
      </c>
      <c r="AJ119">
        <v>17.899999999999999</v>
      </c>
      <c r="AK119">
        <v>14.9</v>
      </c>
      <c r="AL119">
        <v>16.899999999999999</v>
      </c>
      <c r="AM119">
        <v>16.899999999999999</v>
      </c>
      <c r="AN119">
        <v>16.233333330000001</v>
      </c>
      <c r="AO119">
        <v>17.899999999999999</v>
      </c>
      <c r="AP119">
        <v>7.6</v>
      </c>
      <c r="AQ119">
        <v>8.1</v>
      </c>
      <c r="AR119">
        <v>8.5</v>
      </c>
      <c r="AS119">
        <v>8.0666666669999998</v>
      </c>
      <c r="AT119">
        <v>5.6</v>
      </c>
      <c r="AU119">
        <v>6.1</v>
      </c>
      <c r="AV119">
        <v>6.1</v>
      </c>
      <c r="AW119">
        <v>5.9333333330000002</v>
      </c>
      <c r="AX119">
        <v>8.0666666669999998</v>
      </c>
      <c r="AY119">
        <v>-6.0333333329999999</v>
      </c>
      <c r="AZ119">
        <v>3</v>
      </c>
      <c r="BA119">
        <v>90</v>
      </c>
      <c r="BB119">
        <v>25</v>
      </c>
      <c r="BC119">
        <v>5</v>
      </c>
      <c r="BD119">
        <v>0</v>
      </c>
      <c r="BE119">
        <v>1</v>
      </c>
      <c r="BF119">
        <v>2</v>
      </c>
      <c r="BG119">
        <v>0</v>
      </c>
      <c r="BI119">
        <v>2.7</v>
      </c>
      <c r="BJ119">
        <v>44.411999999999999</v>
      </c>
      <c r="BK119">
        <v>0</v>
      </c>
      <c r="BL119">
        <v>13</v>
      </c>
      <c r="BM119">
        <v>12</v>
      </c>
      <c r="BN119">
        <v>33</v>
      </c>
      <c r="BO119">
        <v>31.75</v>
      </c>
      <c r="BP119">
        <f t="shared" si="20"/>
        <v>1.25</v>
      </c>
      <c r="BQ119">
        <v>47</v>
      </c>
      <c r="BR119">
        <f t="shared" si="21"/>
        <v>-14</v>
      </c>
      <c r="BS119" t="s">
        <v>114</v>
      </c>
      <c r="BT119" t="s">
        <v>114</v>
      </c>
      <c r="BU119" t="s">
        <v>114</v>
      </c>
      <c r="BV119" t="s">
        <v>114</v>
      </c>
      <c r="BW119" t="s">
        <v>114</v>
      </c>
      <c r="BX119" t="s">
        <v>114</v>
      </c>
      <c r="BY119" t="s">
        <v>114</v>
      </c>
      <c r="BZ119" t="s">
        <v>114</v>
      </c>
      <c r="CA119" t="s">
        <v>114</v>
      </c>
      <c r="CB119" t="s">
        <v>114</v>
      </c>
      <c r="CC119" t="s">
        <v>114</v>
      </c>
      <c r="CD119" t="s">
        <v>114</v>
      </c>
      <c r="CE119" t="s">
        <v>114</v>
      </c>
      <c r="CF119" t="s">
        <v>114</v>
      </c>
      <c r="CG119" t="s">
        <v>114</v>
      </c>
      <c r="CH119" t="s">
        <v>114</v>
      </c>
      <c r="CI119" t="s">
        <v>114</v>
      </c>
      <c r="CJ119" t="s">
        <v>114</v>
      </c>
      <c r="CK119" t="s">
        <v>114</v>
      </c>
      <c r="CL119" t="s">
        <v>114</v>
      </c>
      <c r="CM119" t="s">
        <v>114</v>
      </c>
      <c r="CN119" t="s">
        <v>114</v>
      </c>
      <c r="CO119" t="s">
        <v>114</v>
      </c>
      <c r="CP119" t="s">
        <v>114</v>
      </c>
      <c r="CQ119" t="s">
        <v>114</v>
      </c>
      <c r="CR119" t="s">
        <v>114</v>
      </c>
      <c r="CS119" t="s">
        <v>114</v>
      </c>
      <c r="CT119" t="s">
        <v>114</v>
      </c>
      <c r="CU119" t="s">
        <v>114</v>
      </c>
      <c r="CV119" t="s">
        <v>114</v>
      </c>
      <c r="CW119" t="s">
        <v>114</v>
      </c>
    </row>
    <row r="120" spans="1:101" x14ac:dyDescent="0.25">
      <c r="A120" t="s">
        <v>32</v>
      </c>
      <c r="B120">
        <v>15</v>
      </c>
      <c r="C120" t="s">
        <v>33</v>
      </c>
      <c r="D120" t="s">
        <v>94</v>
      </c>
      <c r="E120" t="s">
        <v>105</v>
      </c>
      <c r="F120" t="s">
        <v>145</v>
      </c>
      <c r="G120" t="s">
        <v>266</v>
      </c>
      <c r="H120" t="str">
        <f t="shared" si="12"/>
        <v>H.glabra.Highcomp.Open</v>
      </c>
      <c r="I120" t="s">
        <v>699</v>
      </c>
      <c r="J120" t="s">
        <v>394</v>
      </c>
      <c r="K120">
        <v>3</v>
      </c>
      <c r="L120">
        <v>40</v>
      </c>
      <c r="M120">
        <v>30</v>
      </c>
      <c r="N120">
        <v>40</v>
      </c>
      <c r="O120">
        <f t="shared" si="13"/>
        <v>10</v>
      </c>
      <c r="P120">
        <v>80</v>
      </c>
      <c r="Q120">
        <v>80</v>
      </c>
      <c r="R120">
        <v>60</v>
      </c>
      <c r="S120">
        <f t="shared" si="14"/>
        <v>70</v>
      </c>
      <c r="T120">
        <f t="shared" si="15"/>
        <v>1.75</v>
      </c>
      <c r="U120" t="s">
        <v>15</v>
      </c>
      <c r="V120" t="s">
        <v>114</v>
      </c>
      <c r="W120" t="s">
        <v>114</v>
      </c>
      <c r="X120">
        <v>10.5</v>
      </c>
      <c r="Y120">
        <v>11</v>
      </c>
      <c r="Z120">
        <v>11.5</v>
      </c>
      <c r="AA120">
        <v>11</v>
      </c>
      <c r="AB120">
        <v>11</v>
      </c>
      <c r="AC120">
        <v>16.399999999999999</v>
      </c>
      <c r="AD120">
        <v>16.399999999999999</v>
      </c>
      <c r="AE120">
        <v>15.9</v>
      </c>
      <c r="AF120">
        <v>16.233333330000001</v>
      </c>
      <c r="AG120">
        <v>12.5</v>
      </c>
      <c r="AH120">
        <v>13</v>
      </c>
      <c r="AI120">
        <v>15.4</v>
      </c>
      <c r="AJ120">
        <v>13.633333329999999</v>
      </c>
      <c r="AK120">
        <v>20.3</v>
      </c>
      <c r="AL120">
        <v>18.399999999999999</v>
      </c>
      <c r="AM120">
        <v>17.399999999999999</v>
      </c>
      <c r="AN120">
        <v>18.7</v>
      </c>
      <c r="AO120">
        <v>13.633333329999999</v>
      </c>
      <c r="AP120">
        <v>5.6</v>
      </c>
      <c r="AQ120">
        <v>5.6</v>
      </c>
      <c r="AR120">
        <v>8.5</v>
      </c>
      <c r="AS120">
        <v>6.5666666669999998</v>
      </c>
      <c r="AT120">
        <v>5.0999999999999996</v>
      </c>
      <c r="AU120">
        <v>5.0999999999999996</v>
      </c>
      <c r="AV120">
        <v>6.6</v>
      </c>
      <c r="AW120">
        <v>5.6</v>
      </c>
      <c r="AX120">
        <v>6.5666666669999998</v>
      </c>
      <c r="AY120">
        <v>-4.4333333330000002</v>
      </c>
      <c r="AZ120">
        <v>0</v>
      </c>
      <c r="BA120">
        <v>3</v>
      </c>
      <c r="BB120">
        <v>0</v>
      </c>
      <c r="BC120">
        <v>90</v>
      </c>
      <c r="BD120">
        <v>0</v>
      </c>
      <c r="BE120">
        <v>0</v>
      </c>
      <c r="BF120">
        <v>15</v>
      </c>
      <c r="BG120">
        <v>0</v>
      </c>
      <c r="BI120">
        <v>14.5</v>
      </c>
      <c r="BJ120">
        <v>28.347999999999999</v>
      </c>
      <c r="BK120">
        <v>0</v>
      </c>
      <c r="BL120">
        <v>7</v>
      </c>
      <c r="BM120">
        <v>7</v>
      </c>
      <c r="BN120">
        <v>485</v>
      </c>
      <c r="BO120">
        <v>582</v>
      </c>
      <c r="BP120">
        <f t="shared" si="20"/>
        <v>-97</v>
      </c>
      <c r="BQ120">
        <v>614</v>
      </c>
      <c r="BR120">
        <f t="shared" si="21"/>
        <v>-129</v>
      </c>
      <c r="BS120">
        <v>7.9378109449999998</v>
      </c>
      <c r="BT120">
        <v>0.31519093050000002</v>
      </c>
      <c r="BU120">
        <v>12.555538224999999</v>
      </c>
      <c r="BV120">
        <v>-6.2288557249999998</v>
      </c>
      <c r="BW120">
        <v>0.31519093050000002</v>
      </c>
      <c r="BX120">
        <v>12.436505575</v>
      </c>
      <c r="BY120">
        <v>77.597287285730502</v>
      </c>
      <c r="BZ120">
        <v>7.5937055065941996E-4</v>
      </c>
      <c r="CA120">
        <v>309.333341834012</v>
      </c>
      <c r="CB120">
        <v>126.017685197124</v>
      </c>
      <c r="CC120">
        <v>7.5937055065941996E-4</v>
      </c>
      <c r="CD120">
        <v>315.283080238872</v>
      </c>
      <c r="CE120" t="s">
        <v>114</v>
      </c>
      <c r="CF120" t="s">
        <v>114</v>
      </c>
      <c r="CG120" t="s">
        <v>114</v>
      </c>
      <c r="CH120">
        <v>5.8615257033333297</v>
      </c>
      <c r="CI120">
        <v>0.32168610199999997</v>
      </c>
      <c r="CJ120">
        <v>16.7010400833333</v>
      </c>
      <c r="CK120" t="s">
        <v>114</v>
      </c>
      <c r="CL120">
        <v>-3.5829187433333298</v>
      </c>
      <c r="CM120">
        <v>0.32168610199999997</v>
      </c>
      <c r="CN120">
        <v>16.621684983333299</v>
      </c>
      <c r="CO120" t="s">
        <v>114</v>
      </c>
      <c r="CP120">
        <v>51.731524857153701</v>
      </c>
      <c r="CQ120">
        <v>5.0624703377294704E-4</v>
      </c>
      <c r="CR120">
        <v>206.22222788934101</v>
      </c>
      <c r="CS120" t="s">
        <v>114</v>
      </c>
      <c r="CT120">
        <v>84.011790131415694</v>
      </c>
      <c r="CU120">
        <v>5.0624703377294704E-4</v>
      </c>
      <c r="CV120">
        <v>210.18872015924799</v>
      </c>
      <c r="CW120" t="s">
        <v>114</v>
      </c>
    </row>
    <row r="121" spans="1:101" x14ac:dyDescent="0.25">
      <c r="A121" t="s">
        <v>34</v>
      </c>
      <c r="B121">
        <v>15</v>
      </c>
      <c r="C121" t="s">
        <v>35</v>
      </c>
      <c r="D121" t="s">
        <v>94</v>
      </c>
      <c r="E121" t="s">
        <v>112</v>
      </c>
      <c r="F121" t="s">
        <v>145</v>
      </c>
      <c r="G121" t="s">
        <v>261</v>
      </c>
      <c r="H121" t="str">
        <f t="shared" si="12"/>
        <v>V.rosea.Highcomp.Open</v>
      </c>
      <c r="I121" t="s">
        <v>713</v>
      </c>
      <c r="J121" t="s">
        <v>395</v>
      </c>
      <c r="K121">
        <v>1</v>
      </c>
      <c r="L121">
        <v>35</v>
      </c>
      <c r="M121">
        <v>10</v>
      </c>
      <c r="N121">
        <v>35</v>
      </c>
      <c r="O121">
        <f t="shared" si="13"/>
        <v>25</v>
      </c>
      <c r="P121">
        <v>35</v>
      </c>
      <c r="Q121">
        <v>35</v>
      </c>
      <c r="R121">
        <v>20</v>
      </c>
      <c r="S121">
        <f t="shared" si="14"/>
        <v>27.5</v>
      </c>
      <c r="T121">
        <f t="shared" si="15"/>
        <v>0.7857142857142857</v>
      </c>
      <c r="V121" t="s">
        <v>112</v>
      </c>
      <c r="W121">
        <v>10</v>
      </c>
      <c r="X121">
        <v>8.5</v>
      </c>
      <c r="Y121">
        <v>8.5</v>
      </c>
      <c r="Z121">
        <v>10</v>
      </c>
      <c r="AA121">
        <v>9</v>
      </c>
      <c r="AB121">
        <v>9</v>
      </c>
      <c r="AC121">
        <v>8.1</v>
      </c>
      <c r="AD121">
        <v>8.5</v>
      </c>
      <c r="AE121">
        <v>9.5</v>
      </c>
      <c r="AF121">
        <v>8.6999999999999993</v>
      </c>
      <c r="AG121">
        <v>12</v>
      </c>
      <c r="AH121">
        <v>10</v>
      </c>
      <c r="AI121">
        <v>10.5</v>
      </c>
      <c r="AJ121">
        <v>10.83333333</v>
      </c>
      <c r="AK121">
        <v>9</v>
      </c>
      <c r="AL121">
        <v>8.5</v>
      </c>
      <c r="AM121">
        <v>10.5</v>
      </c>
      <c r="AN121">
        <v>9.3333333330000006</v>
      </c>
      <c r="AO121">
        <v>10.83333333</v>
      </c>
      <c r="AP121">
        <v>4.0999999999999996</v>
      </c>
      <c r="AQ121">
        <v>4.5999999999999996</v>
      </c>
      <c r="AR121">
        <v>4.0999999999999996</v>
      </c>
      <c r="AS121">
        <v>4.266666667</v>
      </c>
      <c r="AT121">
        <v>2.2000000000000002</v>
      </c>
      <c r="AU121">
        <v>4.0999999999999996</v>
      </c>
      <c r="AV121">
        <v>4.0999999999999996</v>
      </c>
      <c r="AW121">
        <v>3.4666666670000001</v>
      </c>
      <c r="AX121">
        <v>4.266666667</v>
      </c>
      <c r="AY121">
        <v>-4.733333333</v>
      </c>
      <c r="AZ121">
        <v>80</v>
      </c>
      <c r="BA121">
        <v>1</v>
      </c>
      <c r="BB121">
        <v>4</v>
      </c>
      <c r="BC121">
        <v>1</v>
      </c>
      <c r="BD121">
        <v>1</v>
      </c>
      <c r="BE121">
        <v>0</v>
      </c>
      <c r="BF121">
        <v>10</v>
      </c>
      <c r="BG121">
        <v>0</v>
      </c>
      <c r="BI121">
        <v>6.7</v>
      </c>
      <c r="BJ121">
        <v>8.1159999999999997</v>
      </c>
      <c r="BK121">
        <v>0</v>
      </c>
      <c r="BL121">
        <v>124</v>
      </c>
      <c r="BM121">
        <v>83</v>
      </c>
      <c r="BN121">
        <v>267</v>
      </c>
      <c r="BO121">
        <v>76</v>
      </c>
      <c r="BP121">
        <f t="shared" si="20"/>
        <v>191</v>
      </c>
      <c r="BQ121">
        <v>111</v>
      </c>
      <c r="BR121">
        <f t="shared" si="21"/>
        <v>156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 t="s">
        <v>114</v>
      </c>
      <c r="BZ121" t="s">
        <v>114</v>
      </c>
      <c r="CA121" t="s">
        <v>114</v>
      </c>
      <c r="CB121" t="s">
        <v>114</v>
      </c>
      <c r="CC121" t="s">
        <v>114</v>
      </c>
      <c r="CD121" t="s">
        <v>114</v>
      </c>
      <c r="CE121">
        <v>0</v>
      </c>
      <c r="CF121" t="s">
        <v>114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 t="s">
        <v>114</v>
      </c>
      <c r="CP121" t="s">
        <v>114</v>
      </c>
      <c r="CQ121" t="s">
        <v>114</v>
      </c>
      <c r="CR121" t="s">
        <v>114</v>
      </c>
      <c r="CS121" t="s">
        <v>114</v>
      </c>
      <c r="CT121" t="s">
        <v>114</v>
      </c>
      <c r="CU121" t="s">
        <v>114</v>
      </c>
      <c r="CV121" t="s">
        <v>114</v>
      </c>
      <c r="CW121">
        <v>0</v>
      </c>
    </row>
    <row r="122" spans="1:101" x14ac:dyDescent="0.25">
      <c r="A122" t="s">
        <v>36</v>
      </c>
      <c r="B122">
        <v>15</v>
      </c>
      <c r="C122" t="s">
        <v>37</v>
      </c>
      <c r="D122" t="s">
        <v>95</v>
      </c>
      <c r="E122" t="s">
        <v>110</v>
      </c>
      <c r="F122" t="s">
        <v>145</v>
      </c>
      <c r="G122" t="s">
        <v>262</v>
      </c>
      <c r="H122" t="str">
        <f t="shared" si="12"/>
        <v>M.minima.Highcomp.Shade</v>
      </c>
      <c r="I122" t="s">
        <v>705</v>
      </c>
      <c r="J122" t="s">
        <v>396</v>
      </c>
      <c r="K122">
        <v>1</v>
      </c>
      <c r="L122">
        <v>120</v>
      </c>
      <c r="M122">
        <v>55</v>
      </c>
      <c r="N122">
        <v>120</v>
      </c>
      <c r="O122">
        <f t="shared" si="13"/>
        <v>65</v>
      </c>
      <c r="P122">
        <v>10</v>
      </c>
      <c r="Q122">
        <v>30</v>
      </c>
      <c r="R122">
        <v>10</v>
      </c>
      <c r="S122">
        <f t="shared" si="14"/>
        <v>20</v>
      </c>
      <c r="T122">
        <f t="shared" si="15"/>
        <v>0.16666666666666666</v>
      </c>
      <c r="V122" t="s">
        <v>121</v>
      </c>
      <c r="W122" t="s">
        <v>114</v>
      </c>
      <c r="X122">
        <v>20.8</v>
      </c>
      <c r="Y122">
        <v>24.7</v>
      </c>
      <c r="Z122">
        <v>17.399999999999999</v>
      </c>
      <c r="AA122">
        <v>20.966666669999999</v>
      </c>
      <c r="AB122">
        <v>20.966666669999999</v>
      </c>
      <c r="AC122">
        <v>19.8</v>
      </c>
      <c r="AD122">
        <v>17.899999999999999</v>
      </c>
      <c r="AE122">
        <v>21.3</v>
      </c>
      <c r="AF122">
        <v>19.666666670000001</v>
      </c>
      <c r="AG122">
        <v>25.7</v>
      </c>
      <c r="AH122">
        <v>26.7</v>
      </c>
      <c r="AI122">
        <v>25.7</v>
      </c>
      <c r="AJ122">
        <v>26.033333330000001</v>
      </c>
      <c r="AK122">
        <v>22.8</v>
      </c>
      <c r="AL122">
        <v>21.3</v>
      </c>
      <c r="AM122">
        <v>21.8</v>
      </c>
      <c r="AN122">
        <v>21.966666669999999</v>
      </c>
      <c r="AO122">
        <v>26.033333330000001</v>
      </c>
      <c r="AP122">
        <v>13</v>
      </c>
      <c r="AQ122">
        <v>9.5</v>
      </c>
      <c r="AR122">
        <v>8.5</v>
      </c>
      <c r="AS122">
        <v>10.33333333</v>
      </c>
      <c r="AT122">
        <v>8.5</v>
      </c>
      <c r="AU122">
        <v>10.5</v>
      </c>
      <c r="AV122">
        <v>11.5</v>
      </c>
      <c r="AW122">
        <v>10.16666667</v>
      </c>
      <c r="AX122">
        <v>10.33333333</v>
      </c>
      <c r="AY122">
        <v>-10.633333329999999</v>
      </c>
      <c r="AZ122">
        <v>50</v>
      </c>
      <c r="BA122">
        <v>1</v>
      </c>
      <c r="BB122">
        <v>0</v>
      </c>
      <c r="BC122">
        <v>15</v>
      </c>
      <c r="BD122">
        <v>1</v>
      </c>
      <c r="BE122">
        <v>1</v>
      </c>
      <c r="BF122">
        <v>0</v>
      </c>
      <c r="BG122">
        <v>0</v>
      </c>
      <c r="BI122">
        <v>9</v>
      </c>
      <c r="BJ122">
        <v>45.8</v>
      </c>
      <c r="BK122">
        <v>0</v>
      </c>
      <c r="BL122">
        <v>3</v>
      </c>
      <c r="BM122">
        <v>3</v>
      </c>
      <c r="BN122">
        <v>3</v>
      </c>
      <c r="BO122">
        <v>4.6666670000000003</v>
      </c>
      <c r="BP122">
        <f t="shared" si="20"/>
        <v>-1.6666670000000003</v>
      </c>
      <c r="BQ122">
        <v>2</v>
      </c>
      <c r="BR122">
        <f t="shared" si="21"/>
        <v>1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 t="s">
        <v>114</v>
      </c>
      <c r="BZ122" t="s">
        <v>114</v>
      </c>
      <c r="CA122" t="s">
        <v>114</v>
      </c>
      <c r="CB122" t="s">
        <v>114</v>
      </c>
      <c r="CC122" t="s">
        <v>114</v>
      </c>
      <c r="CD122" t="s">
        <v>114</v>
      </c>
      <c r="CE122">
        <v>0</v>
      </c>
      <c r="CF122" t="s">
        <v>114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 t="s">
        <v>114</v>
      </c>
      <c r="CP122" t="s">
        <v>114</v>
      </c>
      <c r="CQ122" t="s">
        <v>114</v>
      </c>
      <c r="CR122" t="s">
        <v>114</v>
      </c>
      <c r="CS122" t="s">
        <v>114</v>
      </c>
      <c r="CT122" t="s">
        <v>114</v>
      </c>
      <c r="CU122" t="s">
        <v>114</v>
      </c>
      <c r="CV122" t="s">
        <v>114</v>
      </c>
      <c r="CW122">
        <v>0</v>
      </c>
    </row>
    <row r="123" spans="1:101" x14ac:dyDescent="0.25">
      <c r="A123" t="s">
        <v>36</v>
      </c>
      <c r="B123">
        <v>15</v>
      </c>
      <c r="C123" t="s">
        <v>37</v>
      </c>
      <c r="D123" t="s">
        <v>95</v>
      </c>
      <c r="E123" t="s">
        <v>104</v>
      </c>
      <c r="F123" t="s">
        <v>145</v>
      </c>
      <c r="G123" t="s">
        <v>264</v>
      </c>
      <c r="H123" t="str">
        <f t="shared" si="12"/>
        <v>T.cyanopetala.Highcomp.Shade</v>
      </c>
      <c r="I123" t="s">
        <v>707</v>
      </c>
      <c r="J123" t="s">
        <v>397</v>
      </c>
      <c r="K123">
        <v>3</v>
      </c>
      <c r="L123">
        <v>55</v>
      </c>
      <c r="M123">
        <v>80</v>
      </c>
      <c r="N123">
        <v>55</v>
      </c>
      <c r="O123">
        <f t="shared" si="13"/>
        <v>-25</v>
      </c>
      <c r="P123">
        <v>15</v>
      </c>
      <c r="Q123">
        <v>30</v>
      </c>
      <c r="R123">
        <v>15</v>
      </c>
      <c r="S123">
        <f t="shared" si="14"/>
        <v>22.5</v>
      </c>
      <c r="T123">
        <f t="shared" si="15"/>
        <v>0.40909090909090912</v>
      </c>
      <c r="V123" t="s">
        <v>121</v>
      </c>
      <c r="W123" t="s">
        <v>114</v>
      </c>
      <c r="X123">
        <v>20.8</v>
      </c>
      <c r="Y123">
        <v>24.7</v>
      </c>
      <c r="Z123">
        <v>17.399999999999999</v>
      </c>
      <c r="AA123">
        <v>20.966666669999999</v>
      </c>
      <c r="AB123">
        <v>20.966666669999999</v>
      </c>
      <c r="AC123">
        <v>21.3</v>
      </c>
      <c r="AD123">
        <v>21.8</v>
      </c>
      <c r="AE123">
        <v>17.899999999999999</v>
      </c>
      <c r="AF123">
        <v>20.333333329999999</v>
      </c>
      <c r="AG123">
        <v>25.7</v>
      </c>
      <c r="AH123">
        <v>26.7</v>
      </c>
      <c r="AI123">
        <v>25.7</v>
      </c>
      <c r="AJ123">
        <v>26.033333330000001</v>
      </c>
      <c r="AK123">
        <v>24.3</v>
      </c>
      <c r="AL123">
        <v>23.8</v>
      </c>
      <c r="AM123">
        <v>26.7</v>
      </c>
      <c r="AN123">
        <v>24.93333333</v>
      </c>
      <c r="AO123">
        <v>26.033333330000001</v>
      </c>
      <c r="AP123">
        <v>13</v>
      </c>
      <c r="AQ123">
        <v>9.5</v>
      </c>
      <c r="AR123">
        <v>8.5</v>
      </c>
      <c r="AS123">
        <v>10.33333333</v>
      </c>
      <c r="AT123">
        <v>9</v>
      </c>
      <c r="AU123">
        <v>11</v>
      </c>
      <c r="AV123">
        <v>12</v>
      </c>
      <c r="AW123">
        <v>10.66666667</v>
      </c>
      <c r="AX123">
        <v>10.33333333</v>
      </c>
      <c r="AY123">
        <v>-10.633333329999999</v>
      </c>
      <c r="AZ123">
        <v>50</v>
      </c>
      <c r="BA123">
        <v>1</v>
      </c>
      <c r="BB123">
        <v>0</v>
      </c>
      <c r="BC123">
        <v>15</v>
      </c>
      <c r="BD123">
        <v>1</v>
      </c>
      <c r="BE123">
        <v>1</v>
      </c>
      <c r="BF123">
        <v>0</v>
      </c>
      <c r="BG123">
        <v>0</v>
      </c>
      <c r="BI123">
        <v>9</v>
      </c>
      <c r="BJ123">
        <v>45.8</v>
      </c>
      <c r="BK123">
        <v>0</v>
      </c>
      <c r="BL123">
        <v>10</v>
      </c>
      <c r="BM123">
        <v>8</v>
      </c>
      <c r="BN123">
        <v>38</v>
      </c>
      <c r="BO123">
        <v>154.66666699999999</v>
      </c>
      <c r="BP123">
        <f t="shared" si="20"/>
        <v>-116.66666699999999</v>
      </c>
      <c r="BQ123">
        <v>174</v>
      </c>
      <c r="BR123">
        <f t="shared" si="21"/>
        <v>-136</v>
      </c>
      <c r="BS123">
        <v>16.788369963333299</v>
      </c>
      <c r="BT123">
        <v>1.0841662963333301</v>
      </c>
      <c r="BU123">
        <v>3.7815373033333302</v>
      </c>
      <c r="BV123">
        <v>16.788369963333299</v>
      </c>
      <c r="BW123">
        <v>0.45139962966666702</v>
      </c>
      <c r="BX123">
        <v>2.2581889766666698</v>
      </c>
      <c r="BY123">
        <v>250.031691811581</v>
      </c>
      <c r="BZ123">
        <v>1.3400260763210601</v>
      </c>
      <c r="CA123">
        <v>22.198707554638599</v>
      </c>
      <c r="CB123">
        <v>250.031691811581</v>
      </c>
      <c r="CC123">
        <v>2.7975084749839598</v>
      </c>
      <c r="CD123">
        <v>35.999617937882597</v>
      </c>
      <c r="CE123" t="s">
        <v>114</v>
      </c>
      <c r="CF123" t="s">
        <v>114</v>
      </c>
      <c r="CG123" t="s">
        <v>114</v>
      </c>
      <c r="CH123">
        <v>16.788369963333299</v>
      </c>
      <c r="CI123">
        <v>1.0841662963333301</v>
      </c>
      <c r="CJ123">
        <v>3.7815373033333302</v>
      </c>
      <c r="CK123" t="s">
        <v>114</v>
      </c>
      <c r="CL123">
        <v>16.788369963333299</v>
      </c>
      <c r="CM123">
        <v>0.45139962966666702</v>
      </c>
      <c r="CN123">
        <v>2.2581889766666698</v>
      </c>
      <c r="CO123" t="s">
        <v>114</v>
      </c>
      <c r="CP123">
        <v>250.031691811581</v>
      </c>
      <c r="CQ123">
        <v>1.3400260763210601</v>
      </c>
      <c r="CR123">
        <v>22.198707554638599</v>
      </c>
      <c r="CS123" t="s">
        <v>114</v>
      </c>
      <c r="CT123">
        <v>250.031691811581</v>
      </c>
      <c r="CU123">
        <v>2.7975084749839598</v>
      </c>
      <c r="CV123">
        <v>35.999617937882597</v>
      </c>
      <c r="CW123" t="s">
        <v>114</v>
      </c>
    </row>
    <row r="124" spans="1:101" x14ac:dyDescent="0.25">
      <c r="A124" t="s">
        <v>38</v>
      </c>
      <c r="B124">
        <v>2</v>
      </c>
      <c r="C124" t="s">
        <v>11</v>
      </c>
      <c r="D124" t="s">
        <v>95</v>
      </c>
      <c r="E124" t="s">
        <v>113</v>
      </c>
      <c r="F124" t="s">
        <v>145</v>
      </c>
      <c r="G124" t="s">
        <v>259</v>
      </c>
      <c r="H124" t="str">
        <f t="shared" si="12"/>
        <v>H.glutinosum.Highcomp.Shade</v>
      </c>
      <c r="I124" t="s">
        <v>714</v>
      </c>
      <c r="J124" t="s">
        <v>398</v>
      </c>
      <c r="K124">
        <v>3</v>
      </c>
      <c r="L124">
        <v>50</v>
      </c>
      <c r="M124">
        <v>70</v>
      </c>
      <c r="N124">
        <v>50</v>
      </c>
      <c r="O124">
        <f t="shared" si="13"/>
        <v>-20</v>
      </c>
      <c r="P124">
        <v>9</v>
      </c>
      <c r="Q124">
        <v>7</v>
      </c>
      <c r="R124">
        <v>5</v>
      </c>
      <c r="S124">
        <f t="shared" si="14"/>
        <v>6</v>
      </c>
      <c r="T124">
        <f t="shared" si="15"/>
        <v>0.12</v>
      </c>
      <c r="V124" t="s">
        <v>103</v>
      </c>
      <c r="W124">
        <v>60</v>
      </c>
      <c r="X124">
        <v>18.399999999999999</v>
      </c>
      <c r="Y124">
        <v>16.399999999999999</v>
      </c>
      <c r="Z124">
        <v>18.399999999999999</v>
      </c>
      <c r="AA124">
        <v>17.733333330000001</v>
      </c>
      <c r="AB124">
        <v>17.733333330000001</v>
      </c>
      <c r="AC124">
        <v>18.399999999999999</v>
      </c>
      <c r="AD124">
        <v>18.399999999999999</v>
      </c>
      <c r="AE124">
        <v>17.899999999999999</v>
      </c>
      <c r="AF124">
        <v>18.233333330000001</v>
      </c>
      <c r="AG124">
        <v>15.9</v>
      </c>
      <c r="AH124">
        <v>18.399999999999999</v>
      </c>
      <c r="AI124">
        <v>17.399999999999999</v>
      </c>
      <c r="AJ124">
        <v>17.233333330000001</v>
      </c>
      <c r="AK124">
        <v>18.399999999999999</v>
      </c>
      <c r="AL124">
        <v>16.899999999999999</v>
      </c>
      <c r="AM124">
        <v>17.399999999999999</v>
      </c>
      <c r="AN124">
        <v>17.56666667</v>
      </c>
      <c r="AO124">
        <v>17.233333330000001</v>
      </c>
      <c r="AP124">
        <v>6.1</v>
      </c>
      <c r="AQ124">
        <v>6.1</v>
      </c>
      <c r="AR124" t="s">
        <v>114</v>
      </c>
      <c r="AS124">
        <v>6.1</v>
      </c>
      <c r="AT124">
        <v>4.0999999999999996</v>
      </c>
      <c r="AU124" t="s">
        <v>114</v>
      </c>
      <c r="AV124" t="s">
        <v>114</v>
      </c>
      <c r="AW124">
        <v>4.0999999999999996</v>
      </c>
      <c r="AX124">
        <v>6.1</v>
      </c>
      <c r="AY124">
        <v>-11.633333329999999</v>
      </c>
      <c r="AZ124">
        <v>75</v>
      </c>
      <c r="BA124">
        <v>20</v>
      </c>
      <c r="BB124">
        <v>1</v>
      </c>
      <c r="BC124">
        <v>1</v>
      </c>
      <c r="BD124">
        <v>4</v>
      </c>
      <c r="BE124">
        <v>0</v>
      </c>
      <c r="BF124">
        <v>1</v>
      </c>
      <c r="BG124">
        <v>0</v>
      </c>
      <c r="BI124">
        <v>4.7</v>
      </c>
      <c r="BJ124">
        <v>42.4</v>
      </c>
      <c r="BK124">
        <v>0</v>
      </c>
      <c r="BL124">
        <v>1</v>
      </c>
      <c r="BM124">
        <v>1</v>
      </c>
      <c r="BN124" t="s">
        <v>114</v>
      </c>
      <c r="BO124">
        <v>0</v>
      </c>
      <c r="BP124" t="s">
        <v>114</v>
      </c>
      <c r="BQ124" t="s">
        <v>114</v>
      </c>
      <c r="BR124" t="s">
        <v>114</v>
      </c>
      <c r="BS124">
        <v>14.53409091</v>
      </c>
      <c r="BT124">
        <v>0.67803651600000003</v>
      </c>
      <c r="BU124">
        <v>7.7051509200000003</v>
      </c>
      <c r="BV124">
        <v>-14.53409091</v>
      </c>
      <c r="BW124">
        <v>0.67803651600000003</v>
      </c>
      <c r="BX124">
        <v>-7.7051509200000003</v>
      </c>
      <c r="BY124" t="s">
        <v>114</v>
      </c>
      <c r="BZ124" t="s">
        <v>114</v>
      </c>
      <c r="CA124" t="s">
        <v>114</v>
      </c>
      <c r="CB124" t="s">
        <v>114</v>
      </c>
      <c r="CC124" t="s">
        <v>114</v>
      </c>
      <c r="CD124" t="s">
        <v>114</v>
      </c>
      <c r="CE124">
        <v>0.21564729999999999</v>
      </c>
      <c r="CF124" t="s">
        <v>114</v>
      </c>
      <c r="CG124">
        <v>0.21564729999999999</v>
      </c>
      <c r="CH124">
        <v>14.53409091</v>
      </c>
      <c r="CI124">
        <v>0.67803651600000003</v>
      </c>
      <c r="CJ124">
        <v>7.7051509200000003</v>
      </c>
      <c r="CK124">
        <v>-0.21564729999999999</v>
      </c>
      <c r="CL124">
        <v>-14.53409091</v>
      </c>
      <c r="CM124">
        <v>0.67803651600000003</v>
      </c>
      <c r="CN124">
        <v>-7.7051509200000003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-0.21564729999999999</v>
      </c>
    </row>
    <row r="125" spans="1:101" x14ac:dyDescent="0.25">
      <c r="A125" t="s">
        <v>38</v>
      </c>
      <c r="B125">
        <v>2</v>
      </c>
      <c r="C125" t="s">
        <v>11</v>
      </c>
      <c r="D125" t="s">
        <v>95</v>
      </c>
      <c r="E125" t="s">
        <v>103</v>
      </c>
      <c r="F125" t="s">
        <v>145</v>
      </c>
      <c r="G125" t="s">
        <v>260</v>
      </c>
      <c r="H125" t="str">
        <f t="shared" si="12"/>
        <v>P.airoides.Highcomp.Shade</v>
      </c>
      <c r="I125" t="s">
        <v>715</v>
      </c>
      <c r="J125" t="s">
        <v>399</v>
      </c>
      <c r="K125">
        <v>9</v>
      </c>
      <c r="L125">
        <v>90</v>
      </c>
      <c r="M125">
        <v>35</v>
      </c>
      <c r="N125">
        <v>90</v>
      </c>
      <c r="O125">
        <f t="shared" si="13"/>
        <v>55</v>
      </c>
      <c r="P125">
        <v>23</v>
      </c>
      <c r="Q125">
        <v>25</v>
      </c>
      <c r="R125">
        <v>25</v>
      </c>
      <c r="S125">
        <f t="shared" si="14"/>
        <v>25</v>
      </c>
      <c r="T125">
        <f t="shared" si="15"/>
        <v>0.27777777777777779</v>
      </c>
      <c r="V125" t="s">
        <v>103</v>
      </c>
      <c r="W125">
        <v>50</v>
      </c>
      <c r="X125">
        <v>18.399999999999999</v>
      </c>
      <c r="Y125">
        <v>16.399999999999999</v>
      </c>
      <c r="Z125">
        <v>18.399999999999999</v>
      </c>
      <c r="AA125">
        <v>17.733333330000001</v>
      </c>
      <c r="AB125">
        <v>17.733333330000001</v>
      </c>
      <c r="AC125">
        <v>18.399999999999999</v>
      </c>
      <c r="AD125">
        <v>18.899999999999999</v>
      </c>
      <c r="AE125">
        <v>17.399999999999999</v>
      </c>
      <c r="AF125">
        <v>18.233333330000001</v>
      </c>
      <c r="AG125">
        <v>15.9</v>
      </c>
      <c r="AH125">
        <v>18.399999999999999</v>
      </c>
      <c r="AI125">
        <v>17.399999999999999</v>
      </c>
      <c r="AJ125">
        <v>17.233333330000001</v>
      </c>
      <c r="AK125">
        <v>19.3</v>
      </c>
      <c r="AL125">
        <v>20.8</v>
      </c>
      <c r="AM125">
        <v>19.8</v>
      </c>
      <c r="AN125">
        <v>19.966666669999999</v>
      </c>
      <c r="AO125">
        <v>17.233333330000001</v>
      </c>
      <c r="AP125">
        <v>6.1</v>
      </c>
      <c r="AQ125">
        <v>6.1</v>
      </c>
      <c r="AR125" t="s">
        <v>114</v>
      </c>
      <c r="AS125">
        <v>6.1</v>
      </c>
      <c r="AT125">
        <v>4.0999999999999996</v>
      </c>
      <c r="AU125" t="s">
        <v>114</v>
      </c>
      <c r="AV125" t="s">
        <v>114</v>
      </c>
      <c r="AW125">
        <v>4.0999999999999996</v>
      </c>
      <c r="AX125">
        <v>6.1</v>
      </c>
      <c r="AY125">
        <v>-11.633333329999999</v>
      </c>
      <c r="AZ125">
        <v>75</v>
      </c>
      <c r="BA125">
        <v>20</v>
      </c>
      <c r="BB125">
        <v>1</v>
      </c>
      <c r="BC125">
        <v>1</v>
      </c>
      <c r="BD125">
        <v>4</v>
      </c>
      <c r="BE125">
        <v>0</v>
      </c>
      <c r="BF125">
        <v>1</v>
      </c>
      <c r="BG125">
        <v>0</v>
      </c>
      <c r="BI125">
        <v>4.7</v>
      </c>
      <c r="BJ125">
        <v>42.4</v>
      </c>
      <c r="BK125">
        <v>0</v>
      </c>
      <c r="BL125">
        <v>5</v>
      </c>
      <c r="BM125">
        <v>5</v>
      </c>
      <c r="BN125">
        <v>247</v>
      </c>
      <c r="BO125">
        <v>196.5</v>
      </c>
      <c r="BP125">
        <f t="shared" ref="BP125:BP150" si="22">BN125-BO125</f>
        <v>50.5</v>
      </c>
      <c r="BQ125">
        <v>175</v>
      </c>
      <c r="BR125">
        <f>BN125-BQ125</f>
        <v>72</v>
      </c>
      <c r="BS125">
        <v>7.2670454549999999</v>
      </c>
      <c r="BT125">
        <v>0.33901825800000002</v>
      </c>
      <c r="BU125">
        <v>3.8525754600000002</v>
      </c>
      <c r="BV125">
        <v>7.2670454549999999</v>
      </c>
      <c r="BW125">
        <v>-0.33901825800000002</v>
      </c>
      <c r="BX125">
        <v>3.8525754600000002</v>
      </c>
      <c r="BY125">
        <v>105.619899290072</v>
      </c>
      <c r="BZ125">
        <v>0.229866758514709</v>
      </c>
      <c r="CA125">
        <v>29.6846753499884</v>
      </c>
      <c r="CB125">
        <v>105.619899290072</v>
      </c>
      <c r="CC125">
        <v>0.229866758514709</v>
      </c>
      <c r="CD125">
        <v>29.6846753499884</v>
      </c>
      <c r="CE125">
        <v>0.10782364999999999</v>
      </c>
      <c r="CF125">
        <v>2.3251878998645E-2</v>
      </c>
      <c r="CG125">
        <v>4.7921622222222203E-2</v>
      </c>
      <c r="CH125">
        <v>3.2297979799999998</v>
      </c>
      <c r="CI125">
        <v>0.15067478133333301</v>
      </c>
      <c r="CJ125">
        <v>1.7122557599999999</v>
      </c>
      <c r="CK125">
        <v>4.7921622222222203E-2</v>
      </c>
      <c r="CL125">
        <v>3.2297979799999998</v>
      </c>
      <c r="CM125">
        <v>-0.15067478133333301</v>
      </c>
      <c r="CN125">
        <v>1.7122557599999999</v>
      </c>
      <c r="CO125">
        <v>9.0423973883619405E-3</v>
      </c>
      <c r="CP125">
        <v>41.0744052794726</v>
      </c>
      <c r="CQ125">
        <v>8.9392628311275799E-2</v>
      </c>
      <c r="CR125">
        <v>11.544040413884399</v>
      </c>
      <c r="CS125">
        <v>9.0423973883619405E-3</v>
      </c>
      <c r="CT125">
        <v>41.0744052794726</v>
      </c>
      <c r="CU125">
        <v>8.9392628311275799E-2</v>
      </c>
      <c r="CV125">
        <v>11.544040413884399</v>
      </c>
      <c r="CW125">
        <v>0.10782364999999999</v>
      </c>
    </row>
    <row r="126" spans="1:101" x14ac:dyDescent="0.25">
      <c r="A126" t="s">
        <v>38</v>
      </c>
      <c r="B126">
        <v>2</v>
      </c>
      <c r="C126" t="s">
        <v>11</v>
      </c>
      <c r="D126" t="s">
        <v>95</v>
      </c>
      <c r="E126" t="s">
        <v>111</v>
      </c>
      <c r="F126" t="s">
        <v>145</v>
      </c>
      <c r="G126" t="s">
        <v>263</v>
      </c>
      <c r="H126" t="str">
        <f t="shared" si="12"/>
        <v>P.canescens.Highcomp.Shade</v>
      </c>
      <c r="I126" t="s">
        <v>716</v>
      </c>
      <c r="J126" t="s">
        <v>400</v>
      </c>
      <c r="K126">
        <v>2</v>
      </c>
      <c r="L126">
        <v>270</v>
      </c>
      <c r="M126">
        <v>230</v>
      </c>
      <c r="N126">
        <v>270</v>
      </c>
      <c r="O126">
        <f t="shared" si="13"/>
        <v>40</v>
      </c>
      <c r="P126">
        <v>75</v>
      </c>
      <c r="Q126">
        <v>200</v>
      </c>
      <c r="R126">
        <v>60</v>
      </c>
      <c r="S126">
        <f t="shared" si="14"/>
        <v>130</v>
      </c>
      <c r="T126">
        <f t="shared" si="15"/>
        <v>0.48148148148148145</v>
      </c>
      <c r="V126" t="s">
        <v>103</v>
      </c>
      <c r="W126">
        <v>50</v>
      </c>
      <c r="X126">
        <v>18.399999999999999</v>
      </c>
      <c r="Y126">
        <v>16.399999999999999</v>
      </c>
      <c r="Z126">
        <v>18.399999999999999</v>
      </c>
      <c r="AA126">
        <v>17.733333330000001</v>
      </c>
      <c r="AB126">
        <v>17.733333330000001</v>
      </c>
      <c r="AC126">
        <v>17.399999999999999</v>
      </c>
      <c r="AD126">
        <v>17.899999999999999</v>
      </c>
      <c r="AE126">
        <v>18.399999999999999</v>
      </c>
      <c r="AF126">
        <v>17.899999999999999</v>
      </c>
      <c r="AG126">
        <v>15.9</v>
      </c>
      <c r="AH126">
        <v>18.399999999999999</v>
      </c>
      <c r="AI126">
        <v>17.399999999999999</v>
      </c>
      <c r="AJ126">
        <v>17.233333330000001</v>
      </c>
      <c r="AK126">
        <v>18.399999999999999</v>
      </c>
      <c r="AL126">
        <v>21.3</v>
      </c>
      <c r="AM126">
        <v>20.8</v>
      </c>
      <c r="AN126">
        <v>20.166666670000001</v>
      </c>
      <c r="AO126">
        <v>17.233333330000001</v>
      </c>
      <c r="AP126">
        <v>6.1</v>
      </c>
      <c r="AQ126">
        <v>6.1</v>
      </c>
      <c r="AR126" t="s">
        <v>114</v>
      </c>
      <c r="AS126">
        <v>6.1</v>
      </c>
      <c r="AT126">
        <v>5.0999999999999996</v>
      </c>
      <c r="AU126" t="s">
        <v>114</v>
      </c>
      <c r="AV126" t="s">
        <v>114</v>
      </c>
      <c r="AW126">
        <v>5.0999999999999996</v>
      </c>
      <c r="AX126">
        <v>6.1</v>
      </c>
      <c r="AY126">
        <v>-11.633333329999999</v>
      </c>
      <c r="AZ126">
        <v>75</v>
      </c>
      <c r="BA126">
        <v>20</v>
      </c>
      <c r="BB126">
        <v>1</v>
      </c>
      <c r="BC126">
        <v>1</v>
      </c>
      <c r="BD126">
        <v>4</v>
      </c>
      <c r="BE126">
        <v>0</v>
      </c>
      <c r="BF126">
        <v>1</v>
      </c>
      <c r="BG126">
        <v>0</v>
      </c>
      <c r="BI126">
        <v>4.7</v>
      </c>
      <c r="BJ126">
        <v>42.4</v>
      </c>
      <c r="BK126">
        <v>0</v>
      </c>
      <c r="BL126">
        <v>51</v>
      </c>
      <c r="BM126">
        <v>38</v>
      </c>
      <c r="BN126">
        <v>2226</v>
      </c>
      <c r="BO126">
        <v>177.5</v>
      </c>
      <c r="BP126">
        <f t="shared" si="22"/>
        <v>2048.5</v>
      </c>
      <c r="BQ126">
        <v>355</v>
      </c>
      <c r="BR126">
        <f>BN126-BQ126</f>
        <v>1871</v>
      </c>
      <c r="BS126">
        <v>3.3202381000000001</v>
      </c>
      <c r="BT126">
        <v>7.2147627000000006E-2</v>
      </c>
      <c r="BU126">
        <v>5.9992126600000004</v>
      </c>
      <c r="BV126">
        <v>-3.3202381000000001</v>
      </c>
      <c r="BW126">
        <v>7.2147627000000006E-2</v>
      </c>
      <c r="BX126">
        <v>-5.9992126600000004</v>
      </c>
      <c r="BY126" t="s">
        <v>114</v>
      </c>
      <c r="BZ126" t="s">
        <v>114</v>
      </c>
      <c r="CA126" t="s">
        <v>114</v>
      </c>
      <c r="CB126" t="s">
        <v>114</v>
      </c>
      <c r="CC126" t="s">
        <v>114</v>
      </c>
      <c r="CD126" t="s">
        <v>114</v>
      </c>
      <c r="CE126">
        <v>3.8152800000000001E-2</v>
      </c>
      <c r="CF126" t="s">
        <v>114</v>
      </c>
      <c r="CG126">
        <v>3.8152800000000001E-2</v>
      </c>
      <c r="CH126">
        <v>3.3202381000000001</v>
      </c>
      <c r="CI126">
        <v>7.2147627000000006E-2</v>
      </c>
      <c r="CJ126">
        <v>5.9992126600000004</v>
      </c>
      <c r="CK126">
        <v>-3.8152800000000001E-2</v>
      </c>
      <c r="CL126">
        <v>-3.3202381000000001</v>
      </c>
      <c r="CM126">
        <v>7.2147627000000006E-2</v>
      </c>
      <c r="CN126">
        <v>-5.9992126600000004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-3.8152800000000001E-2</v>
      </c>
    </row>
    <row r="127" spans="1:101" x14ac:dyDescent="0.25">
      <c r="A127" t="s">
        <v>39</v>
      </c>
      <c r="B127">
        <v>2</v>
      </c>
      <c r="C127" t="s">
        <v>15</v>
      </c>
      <c r="D127" t="s">
        <v>94</v>
      </c>
      <c r="E127" t="s">
        <v>102</v>
      </c>
      <c r="F127" t="s">
        <v>145</v>
      </c>
      <c r="G127" t="s">
        <v>265</v>
      </c>
      <c r="H127" t="str">
        <f t="shared" si="12"/>
        <v>A.calendula.Highcomp.Open</v>
      </c>
      <c r="I127" t="s">
        <v>717</v>
      </c>
      <c r="J127" t="s">
        <v>401</v>
      </c>
      <c r="K127">
        <v>8</v>
      </c>
      <c r="L127">
        <v>70</v>
      </c>
      <c r="M127">
        <v>90</v>
      </c>
      <c r="N127">
        <v>70</v>
      </c>
      <c r="O127">
        <f t="shared" si="13"/>
        <v>-20</v>
      </c>
      <c r="P127">
        <v>90</v>
      </c>
      <c r="Q127">
        <v>90</v>
      </c>
      <c r="R127">
        <v>0</v>
      </c>
      <c r="S127">
        <f t="shared" si="14"/>
        <v>45</v>
      </c>
      <c r="T127">
        <f t="shared" si="15"/>
        <v>0.6428571428571429</v>
      </c>
      <c r="V127" t="s">
        <v>102</v>
      </c>
      <c r="W127">
        <v>60</v>
      </c>
      <c r="X127">
        <v>14.4</v>
      </c>
      <c r="Y127">
        <v>12</v>
      </c>
      <c r="Z127">
        <v>13.5</v>
      </c>
      <c r="AA127">
        <v>13.3</v>
      </c>
      <c r="AB127">
        <v>13.3</v>
      </c>
      <c r="AC127">
        <v>13</v>
      </c>
      <c r="AD127">
        <v>14.4</v>
      </c>
      <c r="AE127">
        <v>15.9</v>
      </c>
      <c r="AF127">
        <v>14.43333333</v>
      </c>
      <c r="AG127">
        <v>12</v>
      </c>
      <c r="AH127">
        <v>13.9</v>
      </c>
      <c r="AI127">
        <v>13.9</v>
      </c>
      <c r="AJ127">
        <v>13.266666669999999</v>
      </c>
      <c r="AK127">
        <v>13.9</v>
      </c>
      <c r="AL127">
        <v>14.9</v>
      </c>
      <c r="AM127">
        <v>15.9</v>
      </c>
      <c r="AN127">
        <v>14.9</v>
      </c>
      <c r="AO127">
        <v>13.266666669999999</v>
      </c>
      <c r="AP127">
        <v>4.0999999999999996</v>
      </c>
      <c r="AQ127">
        <v>4.5999999999999996</v>
      </c>
      <c r="AR127">
        <v>5.0999999999999996</v>
      </c>
      <c r="AS127">
        <v>4.5999999999999996</v>
      </c>
      <c r="AT127">
        <v>4.5999999999999996</v>
      </c>
      <c r="AU127">
        <v>5.6</v>
      </c>
      <c r="AV127">
        <v>5.0999999999999996</v>
      </c>
      <c r="AW127">
        <v>5.0999999999999996</v>
      </c>
      <c r="AX127">
        <v>4.5999999999999996</v>
      </c>
      <c r="AY127">
        <v>-8.6999999999999993</v>
      </c>
      <c r="AZ127">
        <v>60</v>
      </c>
      <c r="BA127">
        <v>4</v>
      </c>
      <c r="BB127">
        <v>5</v>
      </c>
      <c r="BC127">
        <v>1</v>
      </c>
      <c r="BD127">
        <v>1</v>
      </c>
      <c r="BE127">
        <v>0</v>
      </c>
      <c r="BF127">
        <v>0</v>
      </c>
      <c r="BG127">
        <v>5</v>
      </c>
      <c r="BI127">
        <v>7.3</v>
      </c>
      <c r="BJ127">
        <v>0</v>
      </c>
      <c r="BK127">
        <v>0</v>
      </c>
      <c r="BL127">
        <v>12</v>
      </c>
      <c r="BM127">
        <v>11</v>
      </c>
      <c r="BN127">
        <v>228</v>
      </c>
      <c r="BO127">
        <v>161.5</v>
      </c>
      <c r="BP127">
        <f t="shared" si="22"/>
        <v>66.5</v>
      </c>
      <c r="BQ127">
        <v>182</v>
      </c>
      <c r="BR127">
        <f>BN127-BQ127</f>
        <v>46</v>
      </c>
      <c r="BS127">
        <v>22.515230018</v>
      </c>
      <c r="BT127">
        <v>0.97674781919999998</v>
      </c>
      <c r="BU127">
        <v>8.8847458400000008</v>
      </c>
      <c r="BV127">
        <v>-22.121964026000001</v>
      </c>
      <c r="BW127">
        <v>0.45302181920000001</v>
      </c>
      <c r="BX127">
        <v>-2.667305984</v>
      </c>
      <c r="BY127">
        <v>303.97852928224398</v>
      </c>
      <c r="BZ127">
        <v>0.119915514464565</v>
      </c>
      <c r="CA127">
        <v>75.361265896047598</v>
      </c>
      <c r="CB127">
        <v>325.92139227700602</v>
      </c>
      <c r="CC127">
        <v>1.05592493151541</v>
      </c>
      <c r="CD127">
        <v>165.14150018244101</v>
      </c>
      <c r="CE127">
        <v>0.77484417999999999</v>
      </c>
      <c r="CF127">
        <v>9.2138132273325603E-3</v>
      </c>
      <c r="CG127">
        <v>0.78441697499999996</v>
      </c>
      <c r="CH127">
        <v>17.582645866250001</v>
      </c>
      <c r="CI127">
        <v>0.92553089099999997</v>
      </c>
      <c r="CJ127">
        <v>6.6596246074999996</v>
      </c>
      <c r="CK127">
        <v>0.78441697499999996</v>
      </c>
      <c r="CL127">
        <v>-17.091063376249998</v>
      </c>
      <c r="CM127">
        <v>0.59820214100000002</v>
      </c>
      <c r="CN127">
        <v>-1.1344661524999999</v>
      </c>
      <c r="CO127">
        <v>9.8685148041453199E-3</v>
      </c>
      <c r="CP127">
        <v>235.08833516873401</v>
      </c>
      <c r="CQ127">
        <v>0.117303817000161</v>
      </c>
      <c r="CR127">
        <v>55.280692689092199</v>
      </c>
      <c r="CS127">
        <v>9.8685148041453199E-3</v>
      </c>
      <c r="CT127">
        <v>254.56832182812201</v>
      </c>
      <c r="CU127">
        <v>0.68731710694104098</v>
      </c>
      <c r="CV127">
        <v>104.49622007383699</v>
      </c>
      <c r="CW127">
        <v>0.77484417999999999</v>
      </c>
    </row>
    <row r="128" spans="1:101" x14ac:dyDescent="0.25">
      <c r="A128" t="s">
        <v>39</v>
      </c>
      <c r="B128">
        <v>2</v>
      </c>
      <c r="C128" t="s">
        <v>15</v>
      </c>
      <c r="D128" t="s">
        <v>94</v>
      </c>
      <c r="E128" t="s">
        <v>113</v>
      </c>
      <c r="F128" t="s">
        <v>145</v>
      </c>
      <c r="G128" t="s">
        <v>259</v>
      </c>
      <c r="H128" t="str">
        <f t="shared" si="12"/>
        <v>H.glutinosum.Highcomp.Open</v>
      </c>
      <c r="I128" t="s">
        <v>718</v>
      </c>
      <c r="J128" t="s">
        <v>402</v>
      </c>
      <c r="K128">
        <v>10</v>
      </c>
      <c r="L128">
        <v>60</v>
      </c>
      <c r="M128">
        <v>70</v>
      </c>
      <c r="N128">
        <v>60</v>
      </c>
      <c r="O128">
        <f t="shared" si="13"/>
        <v>-10</v>
      </c>
      <c r="P128">
        <v>3</v>
      </c>
      <c r="Q128">
        <v>25</v>
      </c>
      <c r="R128">
        <v>25</v>
      </c>
      <c r="S128">
        <f t="shared" si="14"/>
        <v>25</v>
      </c>
      <c r="T128">
        <f t="shared" si="15"/>
        <v>0.41666666666666669</v>
      </c>
      <c r="V128" t="s">
        <v>113</v>
      </c>
      <c r="W128">
        <v>50</v>
      </c>
      <c r="X128">
        <v>14.4</v>
      </c>
      <c r="Y128">
        <v>12</v>
      </c>
      <c r="Z128">
        <v>13.5</v>
      </c>
      <c r="AA128">
        <v>13.3</v>
      </c>
      <c r="AB128">
        <v>13.3</v>
      </c>
      <c r="AC128">
        <v>15.4</v>
      </c>
      <c r="AD128">
        <v>16.399999999999999</v>
      </c>
      <c r="AE128">
        <v>14.9</v>
      </c>
      <c r="AF128">
        <v>15.56666667</v>
      </c>
      <c r="AG128">
        <v>12</v>
      </c>
      <c r="AH128">
        <v>13.9</v>
      </c>
      <c r="AI128">
        <v>13.9</v>
      </c>
      <c r="AJ128">
        <v>13.266666669999999</v>
      </c>
      <c r="AK128">
        <v>14.9</v>
      </c>
      <c r="AL128">
        <v>16.399999999999999</v>
      </c>
      <c r="AM128">
        <v>17.399999999999999</v>
      </c>
      <c r="AN128">
        <v>16.233333330000001</v>
      </c>
      <c r="AO128">
        <v>13.266666669999999</v>
      </c>
      <c r="AP128">
        <v>4.0999999999999996</v>
      </c>
      <c r="AQ128">
        <v>4.5999999999999996</v>
      </c>
      <c r="AR128">
        <v>5.0999999999999996</v>
      </c>
      <c r="AS128">
        <v>4.5999999999999996</v>
      </c>
      <c r="AT128">
        <v>4.5999999999999996</v>
      </c>
      <c r="AU128">
        <v>5.6</v>
      </c>
      <c r="AV128">
        <v>6.1</v>
      </c>
      <c r="AW128">
        <v>5.4333333330000002</v>
      </c>
      <c r="AX128">
        <v>4.5999999999999996</v>
      </c>
      <c r="AY128">
        <v>-8.6999999999999993</v>
      </c>
      <c r="AZ128">
        <v>60</v>
      </c>
      <c r="BA128">
        <v>4</v>
      </c>
      <c r="BB128">
        <v>5</v>
      </c>
      <c r="BC128">
        <v>1</v>
      </c>
      <c r="BD128">
        <v>1</v>
      </c>
      <c r="BE128">
        <v>0</v>
      </c>
      <c r="BF128">
        <v>0</v>
      </c>
      <c r="BG128">
        <v>5</v>
      </c>
      <c r="BI128">
        <v>7.3</v>
      </c>
      <c r="BJ128">
        <v>0</v>
      </c>
      <c r="BK128">
        <v>0</v>
      </c>
      <c r="BL128">
        <v>1</v>
      </c>
      <c r="BM128">
        <v>1</v>
      </c>
      <c r="BN128">
        <v>1</v>
      </c>
      <c r="BO128">
        <v>2</v>
      </c>
      <c r="BP128">
        <f t="shared" si="22"/>
        <v>-1</v>
      </c>
      <c r="BQ128" t="s">
        <v>114</v>
      </c>
      <c r="BR128" t="s">
        <v>114</v>
      </c>
      <c r="BS128">
        <v>9.4504675266666691</v>
      </c>
      <c r="BT128">
        <v>0.45285198433333301</v>
      </c>
      <c r="BU128">
        <v>14.075093426666699</v>
      </c>
      <c r="BV128">
        <v>-9.4504675266666691</v>
      </c>
      <c r="BW128">
        <v>0.45285198433333301</v>
      </c>
      <c r="BX128">
        <v>-14.075093426666699</v>
      </c>
      <c r="BY128">
        <v>132.930522250243</v>
      </c>
      <c r="BZ128">
        <v>0.15450827785381399</v>
      </c>
      <c r="CA128">
        <v>229.004661259513</v>
      </c>
      <c r="CB128">
        <v>132.930522250243</v>
      </c>
      <c r="CC128">
        <v>0.15450827785381399</v>
      </c>
      <c r="CD128">
        <v>229.004661259513</v>
      </c>
      <c r="CE128">
        <v>0.83400958666666702</v>
      </c>
      <c r="CF128">
        <v>1.5521859589793601</v>
      </c>
      <c r="CG128">
        <v>0.32096552299999997</v>
      </c>
      <c r="CH128">
        <v>9.5240837599999999</v>
      </c>
      <c r="CI128">
        <v>0.3316899049</v>
      </c>
      <c r="CJ128">
        <v>13.246694078000001</v>
      </c>
      <c r="CK128">
        <v>-0.32096552299999997</v>
      </c>
      <c r="CL128">
        <v>-9.5240837599999999</v>
      </c>
      <c r="CM128">
        <v>0.3316899049</v>
      </c>
      <c r="CN128">
        <v>-13.246694078000001</v>
      </c>
      <c r="CO128">
        <v>0.48086788452400198</v>
      </c>
      <c r="CP128">
        <v>124.234686482393</v>
      </c>
      <c r="CQ128">
        <v>0.122492067993643</v>
      </c>
      <c r="CR128">
        <v>223.56712711834399</v>
      </c>
      <c r="CS128">
        <v>0.48086788452400198</v>
      </c>
      <c r="CT128">
        <v>124.234686482393</v>
      </c>
      <c r="CU128">
        <v>0.122492067993643</v>
      </c>
      <c r="CV128">
        <v>223.56712711834399</v>
      </c>
      <c r="CW128">
        <v>-0.83400958666666702</v>
      </c>
    </row>
    <row r="129" spans="1:101" x14ac:dyDescent="0.25">
      <c r="A129" t="s">
        <v>39</v>
      </c>
      <c r="B129">
        <v>2</v>
      </c>
      <c r="C129" t="s">
        <v>15</v>
      </c>
      <c r="D129" t="s">
        <v>94</v>
      </c>
      <c r="E129" t="s">
        <v>103</v>
      </c>
      <c r="F129" t="s">
        <v>145</v>
      </c>
      <c r="G129" t="s">
        <v>260</v>
      </c>
      <c r="H129" t="str">
        <f t="shared" si="12"/>
        <v>P.airoides.Highcomp.Open</v>
      </c>
      <c r="I129" t="s">
        <v>719</v>
      </c>
      <c r="J129" t="s">
        <v>403</v>
      </c>
      <c r="K129">
        <v>8</v>
      </c>
      <c r="L129">
        <v>40</v>
      </c>
      <c r="M129">
        <v>50</v>
      </c>
      <c r="N129">
        <v>40</v>
      </c>
      <c r="O129">
        <f t="shared" si="13"/>
        <v>-10</v>
      </c>
      <c r="P129">
        <v>15</v>
      </c>
      <c r="Q129">
        <v>18</v>
      </c>
      <c r="R129">
        <v>10</v>
      </c>
      <c r="S129">
        <f t="shared" si="14"/>
        <v>14</v>
      </c>
      <c r="T129">
        <f t="shared" si="15"/>
        <v>0.35</v>
      </c>
      <c r="V129" t="s">
        <v>103</v>
      </c>
      <c r="W129">
        <v>60</v>
      </c>
      <c r="X129">
        <v>14.4</v>
      </c>
      <c r="Y129">
        <v>12</v>
      </c>
      <c r="Z129">
        <v>13.5</v>
      </c>
      <c r="AA129">
        <v>13.3</v>
      </c>
      <c r="AB129">
        <v>13.3</v>
      </c>
      <c r="AC129">
        <v>15.4</v>
      </c>
      <c r="AD129">
        <v>14.4</v>
      </c>
      <c r="AE129">
        <v>17.899999999999999</v>
      </c>
      <c r="AF129">
        <v>15.9</v>
      </c>
      <c r="AG129">
        <v>12</v>
      </c>
      <c r="AH129">
        <v>13.9</v>
      </c>
      <c r="AI129">
        <v>13.9</v>
      </c>
      <c r="AJ129">
        <v>13.266666669999999</v>
      </c>
      <c r="AK129">
        <v>17.399999999999999</v>
      </c>
      <c r="AL129">
        <v>14.4</v>
      </c>
      <c r="AM129">
        <v>14.9</v>
      </c>
      <c r="AN129">
        <v>15.56666667</v>
      </c>
      <c r="AO129">
        <v>13.266666669999999</v>
      </c>
      <c r="AP129">
        <v>4.0999999999999996</v>
      </c>
      <c r="AQ129">
        <v>4.5999999999999996</v>
      </c>
      <c r="AR129">
        <v>5.0999999999999996</v>
      </c>
      <c r="AS129">
        <v>4.5999999999999996</v>
      </c>
      <c r="AT129">
        <v>5.0999999999999996</v>
      </c>
      <c r="AU129">
        <v>5.0999999999999996</v>
      </c>
      <c r="AV129">
        <v>5.6</v>
      </c>
      <c r="AW129">
        <v>5.266666667</v>
      </c>
      <c r="AX129">
        <v>4.5999999999999996</v>
      </c>
      <c r="AY129">
        <v>-8.6999999999999993</v>
      </c>
      <c r="AZ129">
        <v>60</v>
      </c>
      <c r="BA129">
        <v>4</v>
      </c>
      <c r="BB129">
        <v>5</v>
      </c>
      <c r="BC129">
        <v>1</v>
      </c>
      <c r="BD129">
        <v>1</v>
      </c>
      <c r="BE129">
        <v>0</v>
      </c>
      <c r="BF129">
        <v>0</v>
      </c>
      <c r="BG129">
        <v>5</v>
      </c>
      <c r="BI129">
        <v>7.3</v>
      </c>
      <c r="BJ129">
        <v>0</v>
      </c>
      <c r="BK129">
        <v>0</v>
      </c>
      <c r="BL129">
        <v>2</v>
      </c>
      <c r="BM129">
        <v>2</v>
      </c>
      <c r="BN129">
        <v>144</v>
      </c>
      <c r="BO129">
        <v>333</v>
      </c>
      <c r="BP129">
        <f t="shared" si="22"/>
        <v>-189</v>
      </c>
      <c r="BQ129">
        <v>240</v>
      </c>
      <c r="BR129">
        <f t="shared" ref="BR129:BR150" si="23">BN129-BQ129</f>
        <v>-96</v>
      </c>
      <c r="BS129">
        <v>10.0599747466667</v>
      </c>
      <c r="BT129">
        <v>1.017844344</v>
      </c>
      <c r="BU129">
        <v>3.58850922666667</v>
      </c>
      <c r="BV129">
        <v>-0.37058080666666698</v>
      </c>
      <c r="BW129">
        <v>-1.017844344</v>
      </c>
      <c r="BX129">
        <v>1.5482580533333301</v>
      </c>
      <c r="BY129">
        <v>76.211311729785194</v>
      </c>
      <c r="BZ129">
        <v>1.4973479443595901</v>
      </c>
      <c r="CA129">
        <v>15.0515306017548</v>
      </c>
      <c r="CB129">
        <v>227.80995438373699</v>
      </c>
      <c r="CC129">
        <v>1.4973479443595901</v>
      </c>
      <c r="CD129">
        <v>30.771973806995199</v>
      </c>
      <c r="CE129">
        <v>7.9128799999999999E-2</v>
      </c>
      <c r="CF129">
        <v>1.4096122748889999E-2</v>
      </c>
      <c r="CG129">
        <v>0.11054103749999999</v>
      </c>
      <c r="CH129">
        <v>9.2227746212500001</v>
      </c>
      <c r="CI129">
        <v>0.63595532249999998</v>
      </c>
      <c r="CJ129">
        <v>4.2351225550000002</v>
      </c>
      <c r="CK129">
        <v>0.11054103749999999</v>
      </c>
      <c r="CL129">
        <v>5.3113162887499996</v>
      </c>
      <c r="CM129">
        <v>-0.63595532249999998</v>
      </c>
      <c r="CN129">
        <v>3.4700283650000001</v>
      </c>
      <c r="CO129">
        <v>1.26761503836227E-2</v>
      </c>
      <c r="CP129">
        <v>58.4678173136761</v>
      </c>
      <c r="CQ129">
        <v>0.60662919827388295</v>
      </c>
      <c r="CR129">
        <v>14.764743466585401</v>
      </c>
      <c r="CS129">
        <v>1.26761503836227E-2</v>
      </c>
      <c r="CT129">
        <v>123.43866416537</v>
      </c>
      <c r="CU129">
        <v>0.60662919827388295</v>
      </c>
      <c r="CV129">
        <v>21.502076268831299</v>
      </c>
      <c r="CW129">
        <v>7.9128799999999999E-2</v>
      </c>
    </row>
    <row r="130" spans="1:101" x14ac:dyDescent="0.25">
      <c r="A130" t="s">
        <v>39</v>
      </c>
      <c r="B130">
        <v>2</v>
      </c>
      <c r="C130" t="s">
        <v>15</v>
      </c>
      <c r="D130" t="s">
        <v>94</v>
      </c>
      <c r="E130" t="s">
        <v>111</v>
      </c>
      <c r="F130" t="s">
        <v>145</v>
      </c>
      <c r="G130" t="s">
        <v>263</v>
      </c>
      <c r="H130" t="str">
        <f t="shared" ref="H130:H193" si="24">G130&amp;"."&amp;D130</f>
        <v>P.canescens.Highcomp.Open</v>
      </c>
      <c r="I130" t="s">
        <v>720</v>
      </c>
      <c r="J130" t="s">
        <v>404</v>
      </c>
      <c r="K130">
        <v>3</v>
      </c>
      <c r="L130">
        <v>400</v>
      </c>
      <c r="M130">
        <v>210</v>
      </c>
      <c r="N130">
        <v>400</v>
      </c>
      <c r="O130">
        <f t="shared" si="13"/>
        <v>190</v>
      </c>
      <c r="P130">
        <v>75</v>
      </c>
      <c r="Q130">
        <v>220</v>
      </c>
      <c r="R130">
        <v>20</v>
      </c>
      <c r="S130">
        <f t="shared" si="14"/>
        <v>120</v>
      </c>
      <c r="T130">
        <f t="shared" si="15"/>
        <v>0.3</v>
      </c>
      <c r="V130" t="s">
        <v>104</v>
      </c>
      <c r="W130">
        <v>40</v>
      </c>
      <c r="X130">
        <v>14.4</v>
      </c>
      <c r="Y130">
        <v>12</v>
      </c>
      <c r="Z130">
        <v>13.5</v>
      </c>
      <c r="AA130">
        <v>13.3</v>
      </c>
      <c r="AB130">
        <v>13.3</v>
      </c>
      <c r="AC130">
        <v>16.899999999999999</v>
      </c>
      <c r="AD130">
        <v>14.4</v>
      </c>
      <c r="AE130">
        <v>16.899999999999999</v>
      </c>
      <c r="AF130">
        <v>16.06666667</v>
      </c>
      <c r="AG130">
        <v>12</v>
      </c>
      <c r="AH130">
        <v>13.9</v>
      </c>
      <c r="AI130">
        <v>13.9</v>
      </c>
      <c r="AJ130">
        <v>13.266666669999999</v>
      </c>
      <c r="AK130">
        <v>14.9</v>
      </c>
      <c r="AL130">
        <v>14.4</v>
      </c>
      <c r="AM130">
        <v>15.4</v>
      </c>
      <c r="AN130">
        <v>14.9</v>
      </c>
      <c r="AO130">
        <v>13.266666669999999</v>
      </c>
      <c r="AP130">
        <v>4.0999999999999996</v>
      </c>
      <c r="AQ130">
        <v>4.5999999999999996</v>
      </c>
      <c r="AR130">
        <v>5.0999999999999996</v>
      </c>
      <c r="AS130">
        <v>4.5999999999999996</v>
      </c>
      <c r="AT130">
        <v>5.0999999999999996</v>
      </c>
      <c r="AU130">
        <v>5.0999999999999996</v>
      </c>
      <c r="AV130">
        <v>5.6</v>
      </c>
      <c r="AW130">
        <v>5.266666667</v>
      </c>
      <c r="AX130">
        <v>4.5999999999999996</v>
      </c>
      <c r="AY130">
        <v>-8.6999999999999993</v>
      </c>
      <c r="AZ130">
        <v>60</v>
      </c>
      <c r="BA130">
        <v>4</v>
      </c>
      <c r="BB130">
        <v>5</v>
      </c>
      <c r="BC130">
        <v>1</v>
      </c>
      <c r="BD130">
        <v>1</v>
      </c>
      <c r="BE130">
        <v>0</v>
      </c>
      <c r="BF130">
        <v>0</v>
      </c>
      <c r="BG130">
        <v>5</v>
      </c>
      <c r="BI130">
        <v>7.3</v>
      </c>
      <c r="BJ130">
        <v>0</v>
      </c>
      <c r="BK130">
        <v>0</v>
      </c>
      <c r="BL130">
        <v>107</v>
      </c>
      <c r="BM130">
        <v>40</v>
      </c>
      <c r="BN130">
        <v>3885</v>
      </c>
      <c r="BO130">
        <v>1464.6667</v>
      </c>
      <c r="BP130">
        <f t="shared" si="22"/>
        <v>2420.3333000000002</v>
      </c>
      <c r="BQ130">
        <v>481</v>
      </c>
      <c r="BR130">
        <f t="shared" si="23"/>
        <v>3404</v>
      </c>
      <c r="BS130">
        <v>13.549404753333301</v>
      </c>
      <c r="BT130">
        <v>1.31233414033333</v>
      </c>
      <c r="BU130">
        <v>5.7197365866666701</v>
      </c>
      <c r="BV130">
        <v>-13.549404753333301</v>
      </c>
      <c r="BW130">
        <v>-1.26423572233333</v>
      </c>
      <c r="BX130">
        <v>-5.7197365866666701</v>
      </c>
      <c r="BY130">
        <v>78.568142166597198</v>
      </c>
      <c r="BZ130">
        <v>1.29112969411792</v>
      </c>
      <c r="CA130">
        <v>12.1661327792617</v>
      </c>
      <c r="CB130">
        <v>78.568142166597198</v>
      </c>
      <c r="CC130">
        <v>1.47702309550904</v>
      </c>
      <c r="CD130">
        <v>12.1661327792617</v>
      </c>
      <c r="CE130">
        <v>0.11859623</v>
      </c>
      <c r="CF130">
        <v>3.6090088487066997E-2</v>
      </c>
      <c r="CG130">
        <v>0.11859623</v>
      </c>
      <c r="CH130">
        <v>13.549404753333301</v>
      </c>
      <c r="CI130">
        <v>1.31233414033333</v>
      </c>
      <c r="CJ130">
        <v>5.7197365866666701</v>
      </c>
      <c r="CK130">
        <v>8.22185633333333E-2</v>
      </c>
      <c r="CL130">
        <v>-13.549404753333301</v>
      </c>
      <c r="CM130">
        <v>-1.26423572233333</v>
      </c>
      <c r="CN130">
        <v>-5.7197365866666701</v>
      </c>
      <c r="CO130">
        <v>2.51323280666437E-2</v>
      </c>
      <c r="CP130">
        <v>78.568142166597198</v>
      </c>
      <c r="CQ130">
        <v>1.29112969411792</v>
      </c>
      <c r="CR130">
        <v>12.1661327792617</v>
      </c>
      <c r="CS130">
        <v>3.6090088487066997E-2</v>
      </c>
      <c r="CT130">
        <v>78.568142166597198</v>
      </c>
      <c r="CU130">
        <v>1.47702309550904</v>
      </c>
      <c r="CV130">
        <v>12.1661327792617</v>
      </c>
      <c r="CW130">
        <v>8.22185633333333E-2</v>
      </c>
    </row>
    <row r="131" spans="1:101" x14ac:dyDescent="0.25">
      <c r="A131" t="s">
        <v>39</v>
      </c>
      <c r="B131">
        <v>2</v>
      </c>
      <c r="C131" t="s">
        <v>15</v>
      </c>
      <c r="D131" t="s">
        <v>94</v>
      </c>
      <c r="E131" t="s">
        <v>104</v>
      </c>
      <c r="F131" t="s">
        <v>145</v>
      </c>
      <c r="G131" t="s">
        <v>264</v>
      </c>
      <c r="H131" t="str">
        <f t="shared" si="24"/>
        <v>T.cyanopetala.Highcomp.Open</v>
      </c>
      <c r="I131" t="s">
        <v>721</v>
      </c>
      <c r="J131" t="s">
        <v>405</v>
      </c>
      <c r="K131">
        <v>4</v>
      </c>
      <c r="L131">
        <v>70</v>
      </c>
      <c r="M131">
        <v>35</v>
      </c>
      <c r="N131">
        <v>70</v>
      </c>
      <c r="O131">
        <f t="shared" ref="O131:O194" si="25">N131-M131</f>
        <v>35</v>
      </c>
      <c r="P131">
        <v>25</v>
      </c>
      <c r="Q131">
        <v>20</v>
      </c>
      <c r="R131">
        <v>20</v>
      </c>
      <c r="S131">
        <f t="shared" ref="S131:S194" si="26">AVERAGE(Q131:R131)</f>
        <v>20</v>
      </c>
      <c r="T131">
        <f t="shared" ref="T131:T194" si="27">S131/N131</f>
        <v>0.2857142857142857</v>
      </c>
      <c r="V131" t="s">
        <v>104</v>
      </c>
      <c r="W131">
        <v>80</v>
      </c>
      <c r="X131">
        <v>14.4</v>
      </c>
      <c r="Y131">
        <v>12</v>
      </c>
      <c r="Z131">
        <v>13.5</v>
      </c>
      <c r="AA131">
        <v>13.3</v>
      </c>
      <c r="AB131">
        <v>13.3</v>
      </c>
      <c r="AC131">
        <v>15.9</v>
      </c>
      <c r="AD131">
        <v>14.4</v>
      </c>
      <c r="AE131">
        <v>13.5</v>
      </c>
      <c r="AF131">
        <v>14.6</v>
      </c>
      <c r="AG131">
        <v>12</v>
      </c>
      <c r="AH131">
        <v>13.9</v>
      </c>
      <c r="AI131">
        <v>13.9</v>
      </c>
      <c r="AJ131">
        <v>13.266666669999999</v>
      </c>
      <c r="AK131">
        <v>14.9</v>
      </c>
      <c r="AL131">
        <v>15.9</v>
      </c>
      <c r="AM131">
        <v>16.899999999999999</v>
      </c>
      <c r="AN131">
        <v>15.9</v>
      </c>
      <c r="AO131">
        <v>13.266666669999999</v>
      </c>
      <c r="AP131">
        <v>4.0999999999999996</v>
      </c>
      <c r="AQ131">
        <v>4.5999999999999996</v>
      </c>
      <c r="AR131">
        <v>5.0999999999999996</v>
      </c>
      <c r="AS131">
        <v>4.5999999999999996</v>
      </c>
      <c r="AT131">
        <v>5.0999999999999996</v>
      </c>
      <c r="AU131">
        <v>5.6</v>
      </c>
      <c r="AV131">
        <v>6.1</v>
      </c>
      <c r="AW131">
        <v>5.6</v>
      </c>
      <c r="AX131">
        <v>4.5999999999999996</v>
      </c>
      <c r="AY131">
        <v>-8.6999999999999993</v>
      </c>
      <c r="AZ131">
        <v>60</v>
      </c>
      <c r="BA131">
        <v>4</v>
      </c>
      <c r="BB131">
        <v>5</v>
      </c>
      <c r="BC131">
        <v>1</v>
      </c>
      <c r="BD131">
        <v>1</v>
      </c>
      <c r="BE131">
        <v>0</v>
      </c>
      <c r="BF131">
        <v>0</v>
      </c>
      <c r="BG131">
        <v>5</v>
      </c>
      <c r="BI131">
        <v>7.3</v>
      </c>
      <c r="BJ131">
        <v>0</v>
      </c>
      <c r="BK131">
        <v>0</v>
      </c>
      <c r="BL131">
        <v>2</v>
      </c>
      <c r="BM131">
        <v>2</v>
      </c>
      <c r="BN131">
        <v>14</v>
      </c>
      <c r="BO131">
        <v>35</v>
      </c>
      <c r="BP131">
        <f t="shared" si="22"/>
        <v>-21</v>
      </c>
      <c r="BQ131">
        <v>56</v>
      </c>
      <c r="BR131">
        <f t="shared" si="23"/>
        <v>-42</v>
      </c>
      <c r="BS131">
        <v>15.089962119999999</v>
      </c>
      <c r="BT131">
        <v>0.84872999999999998</v>
      </c>
      <c r="BU131">
        <v>5.38276384</v>
      </c>
      <c r="BV131">
        <v>15.089962119999999</v>
      </c>
      <c r="BW131">
        <v>0.84872999999999998</v>
      </c>
      <c r="BX131">
        <v>5.38276384</v>
      </c>
      <c r="BY131">
        <v>455.41391356606999</v>
      </c>
      <c r="BZ131">
        <v>1.4406852258</v>
      </c>
      <c r="CA131">
        <v>57.948293114423102</v>
      </c>
      <c r="CB131">
        <v>455.41391356606999</v>
      </c>
      <c r="CC131">
        <v>1.4406852258</v>
      </c>
      <c r="CD131">
        <v>57.948293114423102</v>
      </c>
      <c r="CE131">
        <v>9.6954100000000001E-2</v>
      </c>
      <c r="CF131">
        <v>1.880019501362E-2</v>
      </c>
      <c r="CG131">
        <v>4.8477050000000001E-2</v>
      </c>
      <c r="CH131">
        <v>7.5449810599999996</v>
      </c>
      <c r="CI131">
        <v>0.42436499999999999</v>
      </c>
      <c r="CJ131">
        <v>2.69138192</v>
      </c>
      <c r="CK131">
        <v>4.8477050000000001E-2</v>
      </c>
      <c r="CL131">
        <v>7.5449810599999996</v>
      </c>
      <c r="CM131">
        <v>0.42436499999999999</v>
      </c>
      <c r="CN131">
        <v>2.69138192</v>
      </c>
      <c r="CO131">
        <v>9.4000975068099998E-3</v>
      </c>
      <c r="CP131">
        <v>227.706956783035</v>
      </c>
      <c r="CQ131">
        <v>0.72034261290000001</v>
      </c>
      <c r="CR131">
        <v>28.974146557211501</v>
      </c>
      <c r="CS131">
        <v>9.4000975068099998E-3</v>
      </c>
      <c r="CT131">
        <v>227.706956783035</v>
      </c>
      <c r="CU131">
        <v>0.72034261290000001</v>
      </c>
      <c r="CV131">
        <v>28.974146557211501</v>
      </c>
      <c r="CW131">
        <v>9.6954100000000001E-2</v>
      </c>
    </row>
    <row r="132" spans="1:101" x14ac:dyDescent="0.25">
      <c r="A132" t="s">
        <v>40</v>
      </c>
      <c r="B132">
        <v>2</v>
      </c>
      <c r="C132" t="s">
        <v>17</v>
      </c>
      <c r="D132" t="s">
        <v>95</v>
      </c>
      <c r="E132" t="s">
        <v>113</v>
      </c>
      <c r="F132" t="s">
        <v>145</v>
      </c>
      <c r="G132" t="s">
        <v>259</v>
      </c>
      <c r="H132" t="str">
        <f t="shared" si="24"/>
        <v>H.glutinosum.Highcomp.Shade</v>
      </c>
      <c r="I132" t="s">
        <v>714</v>
      </c>
      <c r="J132" t="s">
        <v>406</v>
      </c>
      <c r="K132">
        <v>3</v>
      </c>
      <c r="L132">
        <v>60</v>
      </c>
      <c r="M132">
        <v>70</v>
      </c>
      <c r="N132">
        <v>60</v>
      </c>
      <c r="O132">
        <f t="shared" si="25"/>
        <v>-10</v>
      </c>
      <c r="P132">
        <v>8</v>
      </c>
      <c r="Q132">
        <v>20</v>
      </c>
      <c r="R132">
        <v>8</v>
      </c>
      <c r="S132">
        <f t="shared" si="26"/>
        <v>14</v>
      </c>
      <c r="T132">
        <f t="shared" si="27"/>
        <v>0.23333333333333334</v>
      </c>
      <c r="V132" t="s">
        <v>113</v>
      </c>
      <c r="W132">
        <v>35</v>
      </c>
      <c r="X132">
        <v>14.9</v>
      </c>
      <c r="Y132">
        <v>17.399999999999999</v>
      </c>
      <c r="Z132">
        <v>16.399999999999999</v>
      </c>
      <c r="AA132">
        <v>16.233333330000001</v>
      </c>
      <c r="AB132">
        <v>16.233333330000001</v>
      </c>
      <c r="AC132">
        <v>13</v>
      </c>
      <c r="AD132">
        <v>13.5</v>
      </c>
      <c r="AE132">
        <v>16.399999999999999</v>
      </c>
      <c r="AF132">
        <v>14.3</v>
      </c>
      <c r="AG132">
        <v>16.399999999999999</v>
      </c>
      <c r="AH132">
        <v>15.4</v>
      </c>
      <c r="AI132">
        <v>17.899999999999999</v>
      </c>
      <c r="AJ132">
        <v>16.56666667</v>
      </c>
      <c r="AK132">
        <v>13.9</v>
      </c>
      <c r="AL132">
        <v>13.9</v>
      </c>
      <c r="AM132">
        <v>17.399999999999999</v>
      </c>
      <c r="AN132">
        <v>15.06666667</v>
      </c>
      <c r="AO132">
        <v>16.56666667</v>
      </c>
      <c r="AP132">
        <v>8.5</v>
      </c>
      <c r="AQ132">
        <v>9</v>
      </c>
      <c r="AR132">
        <v>8.5</v>
      </c>
      <c r="AS132">
        <v>8.6666666669999994</v>
      </c>
      <c r="AT132">
        <v>6.6</v>
      </c>
      <c r="AU132">
        <v>7.6</v>
      </c>
      <c r="AV132">
        <v>8.1</v>
      </c>
      <c r="AW132">
        <v>7.4333333330000002</v>
      </c>
      <c r="AX132">
        <v>8.6666666669999994</v>
      </c>
      <c r="AY132">
        <v>-7.5666666669999998</v>
      </c>
      <c r="AZ132">
        <v>55</v>
      </c>
      <c r="BA132">
        <v>15</v>
      </c>
      <c r="BB132">
        <v>2</v>
      </c>
      <c r="BC132">
        <v>1</v>
      </c>
      <c r="BD132">
        <v>1</v>
      </c>
      <c r="BE132">
        <v>0</v>
      </c>
      <c r="BF132">
        <v>1</v>
      </c>
      <c r="BG132">
        <v>1</v>
      </c>
      <c r="BI132">
        <v>9.6999999999999993</v>
      </c>
      <c r="BJ132">
        <v>46.179000000000002</v>
      </c>
      <c r="BK132">
        <v>0</v>
      </c>
      <c r="BL132">
        <v>2</v>
      </c>
      <c r="BM132">
        <v>2</v>
      </c>
      <c r="BN132">
        <v>4</v>
      </c>
      <c r="BO132">
        <v>0</v>
      </c>
      <c r="BP132">
        <f t="shared" si="22"/>
        <v>4</v>
      </c>
      <c r="BQ132">
        <v>0</v>
      </c>
      <c r="BR132">
        <f t="shared" si="23"/>
        <v>4</v>
      </c>
      <c r="BS132">
        <v>7.2670454549999999</v>
      </c>
      <c r="BT132">
        <v>0.33901825800000002</v>
      </c>
      <c r="BU132">
        <v>3.8525754600000002</v>
      </c>
      <c r="BV132">
        <v>-7.2670454549999999</v>
      </c>
      <c r="BW132">
        <v>0.33901825800000002</v>
      </c>
      <c r="BX132">
        <v>-3.8525754600000002</v>
      </c>
      <c r="BY132">
        <v>105.619899290072</v>
      </c>
      <c r="BZ132">
        <v>0.229866758514709</v>
      </c>
      <c r="CA132">
        <v>29.6846753499884</v>
      </c>
      <c r="CB132">
        <v>105.619899290072</v>
      </c>
      <c r="CC132">
        <v>0.229866758514709</v>
      </c>
      <c r="CD132">
        <v>29.6846753499884</v>
      </c>
      <c r="CE132">
        <v>0.10782364999999999</v>
      </c>
      <c r="CF132">
        <v>2.3251878998645E-2</v>
      </c>
      <c r="CG132">
        <v>0.14376486666666699</v>
      </c>
      <c r="CH132">
        <v>9.6893939400000004</v>
      </c>
      <c r="CI132">
        <v>0.45202434400000002</v>
      </c>
      <c r="CJ132">
        <v>5.1367672799999999</v>
      </c>
      <c r="CK132">
        <v>-0.14376486666666699</v>
      </c>
      <c r="CL132">
        <v>-9.6893939400000004</v>
      </c>
      <c r="CM132">
        <v>0.45202434400000002</v>
      </c>
      <c r="CN132">
        <v>-5.1367672799999999</v>
      </c>
      <c r="CO132">
        <v>1.55012526657633E-2</v>
      </c>
      <c r="CP132">
        <v>70.413266193381503</v>
      </c>
      <c r="CQ132">
        <v>0.15324450567647299</v>
      </c>
      <c r="CR132">
        <v>19.789783566659001</v>
      </c>
      <c r="CS132">
        <v>1.55012526657633E-2</v>
      </c>
      <c r="CT132">
        <v>70.413266193381503</v>
      </c>
      <c r="CU132">
        <v>0.15324450567647299</v>
      </c>
      <c r="CV132">
        <v>19.789783566659001</v>
      </c>
      <c r="CW132">
        <v>-0.10782364999999999</v>
      </c>
    </row>
    <row r="133" spans="1:101" x14ac:dyDescent="0.25">
      <c r="A133" t="s">
        <v>40</v>
      </c>
      <c r="B133">
        <v>2</v>
      </c>
      <c r="C133" t="s">
        <v>17</v>
      </c>
      <c r="D133" t="s">
        <v>95</v>
      </c>
      <c r="E133" t="s">
        <v>103</v>
      </c>
      <c r="F133" t="s">
        <v>145</v>
      </c>
      <c r="G133" t="s">
        <v>260</v>
      </c>
      <c r="H133" t="str">
        <f t="shared" si="24"/>
        <v>P.airoides.Highcomp.Shade</v>
      </c>
      <c r="I133" t="s">
        <v>715</v>
      </c>
      <c r="J133" t="s">
        <v>407</v>
      </c>
      <c r="K133">
        <v>6</v>
      </c>
      <c r="L133">
        <v>90</v>
      </c>
      <c r="M133">
        <v>40</v>
      </c>
      <c r="N133">
        <v>90</v>
      </c>
      <c r="O133">
        <f t="shared" si="25"/>
        <v>50</v>
      </c>
      <c r="P133">
        <v>22</v>
      </c>
      <c r="Q133">
        <v>20</v>
      </c>
      <c r="R133">
        <v>0</v>
      </c>
      <c r="S133">
        <f t="shared" si="26"/>
        <v>10</v>
      </c>
      <c r="T133">
        <f t="shared" si="27"/>
        <v>0.1111111111111111</v>
      </c>
      <c r="U133" t="s">
        <v>15</v>
      </c>
      <c r="V133" t="s">
        <v>103</v>
      </c>
      <c r="W133">
        <v>35</v>
      </c>
      <c r="X133">
        <v>14.9</v>
      </c>
      <c r="Y133">
        <v>17.399999999999999</v>
      </c>
      <c r="Z133">
        <v>16.399999999999999</v>
      </c>
      <c r="AA133">
        <v>16.233333330000001</v>
      </c>
      <c r="AB133">
        <v>16.233333330000001</v>
      </c>
      <c r="AC133">
        <v>14.9</v>
      </c>
      <c r="AD133">
        <v>13.9</v>
      </c>
      <c r="AE133">
        <v>16.399999999999999</v>
      </c>
      <c r="AF133">
        <v>15.06666667</v>
      </c>
      <c r="AG133">
        <v>16.399999999999999</v>
      </c>
      <c r="AH133">
        <v>15.4</v>
      </c>
      <c r="AI133">
        <v>17.899999999999999</v>
      </c>
      <c r="AJ133">
        <v>16.56666667</v>
      </c>
      <c r="AK133">
        <v>18.899999999999999</v>
      </c>
      <c r="AL133">
        <v>16.899999999999999</v>
      </c>
      <c r="AM133">
        <v>17.899999999999999</v>
      </c>
      <c r="AN133">
        <v>17.899999999999999</v>
      </c>
      <c r="AO133">
        <v>16.56666667</v>
      </c>
      <c r="AP133">
        <v>8.5</v>
      </c>
      <c r="AQ133">
        <v>9</v>
      </c>
      <c r="AR133">
        <v>8.5</v>
      </c>
      <c r="AS133">
        <v>8.6666666669999994</v>
      </c>
      <c r="AT133">
        <v>7.1</v>
      </c>
      <c r="AU133">
        <v>7.6</v>
      </c>
      <c r="AV133">
        <v>7.6</v>
      </c>
      <c r="AW133">
        <v>7.4333333330000002</v>
      </c>
      <c r="AX133">
        <v>8.6666666669999994</v>
      </c>
      <c r="AY133">
        <v>-7.5666666669999998</v>
      </c>
      <c r="AZ133">
        <v>55</v>
      </c>
      <c r="BA133">
        <v>15</v>
      </c>
      <c r="BB133">
        <v>2</v>
      </c>
      <c r="BC133">
        <v>1</v>
      </c>
      <c r="BD133">
        <v>1</v>
      </c>
      <c r="BE133">
        <v>0</v>
      </c>
      <c r="BF133">
        <v>1</v>
      </c>
      <c r="BG133">
        <v>1</v>
      </c>
      <c r="BI133">
        <v>9.6999999999999993</v>
      </c>
      <c r="BJ133">
        <v>46.179000000000002</v>
      </c>
      <c r="BK133">
        <v>0</v>
      </c>
      <c r="BL133">
        <v>1</v>
      </c>
      <c r="BM133">
        <v>1</v>
      </c>
      <c r="BN133">
        <v>46</v>
      </c>
      <c r="BO133">
        <v>196.5</v>
      </c>
      <c r="BP133">
        <f t="shared" si="22"/>
        <v>-150.5</v>
      </c>
      <c r="BQ133">
        <v>218</v>
      </c>
      <c r="BR133">
        <f t="shared" si="23"/>
        <v>-172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 t="s">
        <v>114</v>
      </c>
      <c r="BZ133" t="s">
        <v>114</v>
      </c>
      <c r="CA133" t="s">
        <v>114</v>
      </c>
      <c r="CB133" t="s">
        <v>114</v>
      </c>
      <c r="CC133" t="s">
        <v>114</v>
      </c>
      <c r="CD133" t="s">
        <v>114</v>
      </c>
      <c r="CE133">
        <v>0</v>
      </c>
      <c r="CF133" t="s">
        <v>114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</row>
    <row r="134" spans="1:101" x14ac:dyDescent="0.25">
      <c r="A134" t="s">
        <v>40</v>
      </c>
      <c r="B134">
        <v>2</v>
      </c>
      <c r="C134" t="s">
        <v>17</v>
      </c>
      <c r="D134" t="s">
        <v>95</v>
      </c>
      <c r="E134" t="s">
        <v>112</v>
      </c>
      <c r="F134" t="s">
        <v>145</v>
      </c>
      <c r="G134" t="s">
        <v>261</v>
      </c>
      <c r="H134" t="str">
        <f t="shared" si="24"/>
        <v>V.rosea.Highcomp.Shade</v>
      </c>
      <c r="I134" t="s">
        <v>722</v>
      </c>
      <c r="J134" t="s">
        <v>408</v>
      </c>
      <c r="K134">
        <v>12</v>
      </c>
      <c r="L134">
        <v>100</v>
      </c>
      <c r="M134">
        <v>60</v>
      </c>
      <c r="N134">
        <v>100</v>
      </c>
      <c r="O134">
        <f t="shared" si="25"/>
        <v>40</v>
      </c>
      <c r="P134">
        <v>70</v>
      </c>
      <c r="Q134">
        <v>190</v>
      </c>
      <c r="R134">
        <v>50</v>
      </c>
      <c r="S134">
        <f t="shared" si="26"/>
        <v>120</v>
      </c>
      <c r="T134">
        <f t="shared" si="27"/>
        <v>1.2</v>
      </c>
      <c r="V134" t="s">
        <v>103</v>
      </c>
      <c r="W134">
        <v>50</v>
      </c>
      <c r="X134">
        <v>14.9</v>
      </c>
      <c r="Y134">
        <v>17.399999999999999</v>
      </c>
      <c r="Z134">
        <v>16.399999999999999</v>
      </c>
      <c r="AA134">
        <v>16.233333330000001</v>
      </c>
      <c r="AB134">
        <v>16.233333330000001</v>
      </c>
      <c r="AC134">
        <v>14.4</v>
      </c>
      <c r="AD134">
        <v>17.899999999999999</v>
      </c>
      <c r="AE134">
        <v>17.399999999999999</v>
      </c>
      <c r="AF134">
        <v>16.56666667</v>
      </c>
      <c r="AG134">
        <v>16.399999999999999</v>
      </c>
      <c r="AH134">
        <v>15.4</v>
      </c>
      <c r="AI134">
        <v>17.899999999999999</v>
      </c>
      <c r="AJ134">
        <v>16.56666667</v>
      </c>
      <c r="AK134">
        <v>18.399999999999999</v>
      </c>
      <c r="AL134">
        <v>19.8</v>
      </c>
      <c r="AM134">
        <v>13</v>
      </c>
      <c r="AN134">
        <v>17.06666667</v>
      </c>
      <c r="AO134">
        <v>16.56666667</v>
      </c>
      <c r="AP134">
        <v>8.5</v>
      </c>
      <c r="AQ134">
        <v>9</v>
      </c>
      <c r="AR134">
        <v>8.5</v>
      </c>
      <c r="AS134">
        <v>8.6666666669999994</v>
      </c>
      <c r="AT134">
        <v>8.5</v>
      </c>
      <c r="AU134">
        <v>10</v>
      </c>
      <c r="AV134">
        <v>10</v>
      </c>
      <c r="AW134">
        <v>9.5</v>
      </c>
      <c r="AX134">
        <v>8.6666666669999994</v>
      </c>
      <c r="AY134">
        <v>-7.5666666669999998</v>
      </c>
      <c r="AZ134">
        <v>55</v>
      </c>
      <c r="BA134">
        <v>15</v>
      </c>
      <c r="BB134">
        <v>2</v>
      </c>
      <c r="BC134">
        <v>1</v>
      </c>
      <c r="BD134">
        <v>1</v>
      </c>
      <c r="BE134">
        <v>0</v>
      </c>
      <c r="BF134">
        <v>1</v>
      </c>
      <c r="BG134">
        <v>1</v>
      </c>
      <c r="BI134">
        <v>9.6999999999999993</v>
      </c>
      <c r="BJ134">
        <v>46.179000000000002</v>
      </c>
      <c r="BK134">
        <v>1</v>
      </c>
      <c r="BL134">
        <v>46</v>
      </c>
      <c r="BM134">
        <v>42</v>
      </c>
      <c r="BN134">
        <v>164</v>
      </c>
      <c r="BO134">
        <v>116.5</v>
      </c>
      <c r="BP134">
        <f t="shared" si="22"/>
        <v>47.5</v>
      </c>
      <c r="BQ134">
        <v>57</v>
      </c>
      <c r="BR134">
        <f t="shared" si="23"/>
        <v>107</v>
      </c>
      <c r="BS134">
        <v>25.930871215</v>
      </c>
      <c r="BT134">
        <v>1.8984460359999999</v>
      </c>
      <c r="BU134">
        <v>11.43279727</v>
      </c>
      <c r="BV134">
        <v>-25.930871215</v>
      </c>
      <c r="BW134">
        <v>1.8984460359999999</v>
      </c>
      <c r="BX134">
        <v>11.43279727</v>
      </c>
      <c r="BY134">
        <v>105.619899290072</v>
      </c>
      <c r="BZ134">
        <v>0.229866758514709</v>
      </c>
      <c r="CA134">
        <v>29.6846753499884</v>
      </c>
      <c r="CB134">
        <v>105.619899290072</v>
      </c>
      <c r="CC134">
        <v>0.229866758514709</v>
      </c>
      <c r="CD134">
        <v>29.6846753499884</v>
      </c>
      <c r="CE134">
        <v>1.89034035</v>
      </c>
      <c r="CF134">
        <v>2.3251878998645E-2</v>
      </c>
      <c r="CG134">
        <v>1.87236974166667</v>
      </c>
      <c r="CH134">
        <v>27.1420454575</v>
      </c>
      <c r="CI134">
        <v>1.9549490789999999</v>
      </c>
      <c r="CJ134">
        <v>10.79070136</v>
      </c>
      <c r="CK134">
        <v>1.87236974166667</v>
      </c>
      <c r="CL134">
        <v>-27.1420454575</v>
      </c>
      <c r="CM134">
        <v>1.9549490789999999</v>
      </c>
      <c r="CN134">
        <v>10.79070136</v>
      </c>
      <c r="CO134">
        <v>1.23305418932208E-2</v>
      </c>
      <c r="CP134">
        <v>56.010552653826203</v>
      </c>
      <c r="CQ134">
        <v>0.121899038606285</v>
      </c>
      <c r="CR134">
        <v>15.7418732916605</v>
      </c>
      <c r="CS134">
        <v>1.23305418932208E-2</v>
      </c>
      <c r="CT134">
        <v>56.010552653826203</v>
      </c>
      <c r="CU134">
        <v>0.121899038606285</v>
      </c>
      <c r="CV134">
        <v>15.7418732916605</v>
      </c>
      <c r="CW134">
        <v>1.89034035</v>
      </c>
    </row>
    <row r="135" spans="1:101" x14ac:dyDescent="0.25">
      <c r="A135" t="s">
        <v>41</v>
      </c>
      <c r="B135">
        <v>2</v>
      </c>
      <c r="C135" t="s">
        <v>19</v>
      </c>
      <c r="D135" t="s">
        <v>94</v>
      </c>
      <c r="E135" t="s">
        <v>105</v>
      </c>
      <c r="F135" t="s">
        <v>145</v>
      </c>
      <c r="G135" t="s">
        <v>266</v>
      </c>
      <c r="H135" t="str">
        <f t="shared" si="24"/>
        <v>H.glabra.Highcomp.Open</v>
      </c>
      <c r="I135" t="s">
        <v>723</v>
      </c>
      <c r="J135" t="s">
        <v>409</v>
      </c>
      <c r="K135" t="s">
        <v>114</v>
      </c>
      <c r="L135">
        <v>30</v>
      </c>
      <c r="M135">
        <v>25</v>
      </c>
      <c r="N135">
        <v>30</v>
      </c>
      <c r="O135">
        <f t="shared" si="25"/>
        <v>5</v>
      </c>
      <c r="P135">
        <v>40</v>
      </c>
      <c r="Q135">
        <v>40</v>
      </c>
      <c r="R135">
        <v>35</v>
      </c>
      <c r="S135">
        <f t="shared" si="26"/>
        <v>37.5</v>
      </c>
      <c r="T135">
        <f t="shared" si="27"/>
        <v>1.25</v>
      </c>
      <c r="V135" t="s">
        <v>104</v>
      </c>
      <c r="W135">
        <v>90</v>
      </c>
      <c r="X135">
        <v>14.9</v>
      </c>
      <c r="Y135">
        <v>17.899999999999999</v>
      </c>
      <c r="Z135">
        <v>14.9</v>
      </c>
      <c r="AA135">
        <v>15.9</v>
      </c>
      <c r="AB135">
        <v>15.9</v>
      </c>
      <c r="AC135">
        <v>13.9</v>
      </c>
      <c r="AD135">
        <v>11.5</v>
      </c>
      <c r="AE135">
        <v>15.4</v>
      </c>
      <c r="AF135">
        <v>13.6</v>
      </c>
      <c r="AG135">
        <v>14.4</v>
      </c>
      <c r="AH135">
        <v>15.4</v>
      </c>
      <c r="AI135">
        <v>17.899999999999999</v>
      </c>
      <c r="AJ135">
        <v>15.9</v>
      </c>
      <c r="AK135">
        <v>14.9</v>
      </c>
      <c r="AL135">
        <v>15.4</v>
      </c>
      <c r="AM135">
        <v>17.399999999999999</v>
      </c>
      <c r="AN135">
        <v>15.9</v>
      </c>
      <c r="AO135">
        <v>15.9</v>
      </c>
      <c r="AP135">
        <v>6.6</v>
      </c>
      <c r="AQ135">
        <v>7.6</v>
      </c>
      <c r="AR135">
        <v>8.1</v>
      </c>
      <c r="AS135">
        <v>7.4333333330000002</v>
      </c>
      <c r="AT135">
        <v>6.1</v>
      </c>
      <c r="AU135">
        <v>7.1</v>
      </c>
      <c r="AV135">
        <v>7.1</v>
      </c>
      <c r="AW135">
        <v>6.766666667</v>
      </c>
      <c r="AX135">
        <v>7.4333333330000002</v>
      </c>
      <c r="AY135">
        <v>-8.4666666670000001</v>
      </c>
      <c r="AZ135">
        <v>30</v>
      </c>
      <c r="BA135">
        <v>25</v>
      </c>
      <c r="BB135">
        <v>1</v>
      </c>
      <c r="BC135">
        <v>15</v>
      </c>
      <c r="BD135">
        <v>5</v>
      </c>
      <c r="BE135">
        <v>1</v>
      </c>
      <c r="BF135">
        <v>0</v>
      </c>
      <c r="BG135">
        <v>1</v>
      </c>
      <c r="BI135">
        <v>9.9</v>
      </c>
      <c r="BJ135">
        <v>4.4909999999999997</v>
      </c>
      <c r="BK135">
        <v>0</v>
      </c>
      <c r="BL135">
        <v>4</v>
      </c>
      <c r="BM135">
        <v>4</v>
      </c>
      <c r="BN135">
        <v>113</v>
      </c>
      <c r="BO135">
        <v>305.33330000000001</v>
      </c>
      <c r="BP135">
        <f t="shared" si="22"/>
        <v>-192.33330000000001</v>
      </c>
      <c r="BQ135">
        <v>267</v>
      </c>
      <c r="BR135">
        <f t="shared" si="23"/>
        <v>-154</v>
      </c>
      <c r="BS135">
        <v>28.009627537499998</v>
      </c>
      <c r="BT135">
        <v>0.69507322000000005</v>
      </c>
      <c r="BU135">
        <v>19.495425462499998</v>
      </c>
      <c r="BV135">
        <v>-28.009627537499998</v>
      </c>
      <c r="BW135">
        <v>-0.69507322000000005</v>
      </c>
      <c r="BX135">
        <v>19.495425462499998</v>
      </c>
      <c r="BY135">
        <v>212.396994948187</v>
      </c>
      <c r="BZ135">
        <v>0.77901441719999998</v>
      </c>
      <c r="CA135">
        <v>22.626831642451801</v>
      </c>
      <c r="CB135">
        <v>212.396994948187</v>
      </c>
      <c r="CC135">
        <v>0.77901441719999998</v>
      </c>
      <c r="CD135">
        <v>22.626831642451801</v>
      </c>
      <c r="CE135">
        <v>1.77566775</v>
      </c>
      <c r="CF135">
        <v>1.06845652683327E-2</v>
      </c>
      <c r="CG135">
        <v>1.7464828666666701</v>
      </c>
      <c r="CH135">
        <v>34.152251691666699</v>
      </c>
      <c r="CI135">
        <v>1.13348322</v>
      </c>
      <c r="CJ135">
        <v>17.850859728333301</v>
      </c>
      <c r="CK135">
        <v>1.7464828666666701</v>
      </c>
      <c r="CL135">
        <v>-34.152251691666699</v>
      </c>
      <c r="CM135">
        <v>-1.13348322</v>
      </c>
      <c r="CN135">
        <v>17.850859728333301</v>
      </c>
      <c r="CO135">
        <v>8.4549569574322997E-3</v>
      </c>
      <c r="CP135">
        <v>217.99459256735699</v>
      </c>
      <c r="CQ135">
        <v>0.92869663776</v>
      </c>
      <c r="CR135">
        <v>20.0671304750594</v>
      </c>
      <c r="CS135">
        <v>8.4549569574322997E-3</v>
      </c>
      <c r="CT135">
        <v>217.99459256735699</v>
      </c>
      <c r="CU135">
        <v>0.92869663776</v>
      </c>
      <c r="CV135">
        <v>20.0671304750594</v>
      </c>
      <c r="CW135">
        <v>1.77566775</v>
      </c>
    </row>
    <row r="136" spans="1:101" x14ac:dyDescent="0.25">
      <c r="A136" t="s">
        <v>41</v>
      </c>
      <c r="B136">
        <v>2</v>
      </c>
      <c r="C136" t="s">
        <v>19</v>
      </c>
      <c r="D136" t="s">
        <v>94</v>
      </c>
      <c r="E136" t="s">
        <v>113</v>
      </c>
      <c r="F136" t="s">
        <v>145</v>
      </c>
      <c r="G136" t="s">
        <v>259</v>
      </c>
      <c r="H136" t="str">
        <f t="shared" si="24"/>
        <v>H.glutinosum.Highcomp.Open</v>
      </c>
      <c r="I136" t="s">
        <v>718</v>
      </c>
      <c r="J136" t="s">
        <v>410</v>
      </c>
      <c r="K136">
        <v>6</v>
      </c>
      <c r="L136">
        <v>60</v>
      </c>
      <c r="M136">
        <v>55</v>
      </c>
      <c r="N136">
        <v>60</v>
      </c>
      <c r="O136">
        <f t="shared" si="25"/>
        <v>5</v>
      </c>
      <c r="P136">
        <v>5</v>
      </c>
      <c r="Q136">
        <v>3</v>
      </c>
      <c r="R136">
        <v>2</v>
      </c>
      <c r="S136">
        <f t="shared" si="26"/>
        <v>2.5</v>
      </c>
      <c r="T136">
        <f t="shared" si="27"/>
        <v>4.1666666666666664E-2</v>
      </c>
      <c r="V136" t="s">
        <v>104</v>
      </c>
      <c r="W136">
        <v>15</v>
      </c>
      <c r="X136">
        <v>14.9</v>
      </c>
      <c r="Y136">
        <v>17.899999999999999</v>
      </c>
      <c r="Z136">
        <v>14.9</v>
      </c>
      <c r="AA136">
        <v>15.9</v>
      </c>
      <c r="AB136">
        <v>15.9</v>
      </c>
      <c r="AC136">
        <v>14.4</v>
      </c>
      <c r="AD136">
        <v>12.5</v>
      </c>
      <c r="AE136">
        <v>13.5</v>
      </c>
      <c r="AF136">
        <v>13.46666667</v>
      </c>
      <c r="AG136">
        <v>14.4</v>
      </c>
      <c r="AH136">
        <v>15.4</v>
      </c>
      <c r="AI136">
        <v>17.899999999999999</v>
      </c>
      <c r="AJ136">
        <v>15.9</v>
      </c>
      <c r="AK136">
        <v>10</v>
      </c>
      <c r="AL136">
        <v>13.9</v>
      </c>
      <c r="AM136">
        <v>17.399999999999999</v>
      </c>
      <c r="AN136">
        <v>13.766666669999999</v>
      </c>
      <c r="AO136">
        <v>15.9</v>
      </c>
      <c r="AP136">
        <v>6.6</v>
      </c>
      <c r="AQ136">
        <v>7.6</v>
      </c>
      <c r="AR136">
        <v>8.1</v>
      </c>
      <c r="AS136">
        <v>7.4333333330000002</v>
      </c>
      <c r="AT136">
        <v>6.1</v>
      </c>
      <c r="AU136">
        <v>5.6</v>
      </c>
      <c r="AV136">
        <v>5.6</v>
      </c>
      <c r="AW136">
        <v>5.766666667</v>
      </c>
      <c r="AX136">
        <v>7.4333333330000002</v>
      </c>
      <c r="AY136">
        <v>-8.4666666670000001</v>
      </c>
      <c r="AZ136">
        <v>30</v>
      </c>
      <c r="BA136">
        <v>25</v>
      </c>
      <c r="BB136">
        <v>1</v>
      </c>
      <c r="BC136">
        <v>15</v>
      </c>
      <c r="BD136">
        <v>5</v>
      </c>
      <c r="BE136">
        <v>1</v>
      </c>
      <c r="BF136">
        <v>0</v>
      </c>
      <c r="BG136">
        <v>1</v>
      </c>
      <c r="BI136">
        <v>9.9</v>
      </c>
      <c r="BJ136">
        <v>4.4909999999999997</v>
      </c>
      <c r="BK136">
        <v>0</v>
      </c>
      <c r="BL136">
        <v>1</v>
      </c>
      <c r="BM136">
        <v>1</v>
      </c>
      <c r="BN136">
        <v>7</v>
      </c>
      <c r="BO136">
        <v>2</v>
      </c>
      <c r="BP136">
        <f t="shared" si="22"/>
        <v>5</v>
      </c>
      <c r="BQ136">
        <v>2</v>
      </c>
      <c r="BR136">
        <f t="shared" si="23"/>
        <v>5</v>
      </c>
      <c r="BS136">
        <v>8.5134154024999997</v>
      </c>
      <c r="BT136">
        <v>0.64837556225000004</v>
      </c>
      <c r="BU136">
        <v>6.5127057050000001</v>
      </c>
      <c r="BV136">
        <v>-8.5134154024999997</v>
      </c>
      <c r="BW136">
        <v>-0.20035443775</v>
      </c>
      <c r="BX136">
        <v>-6.5127057050000001</v>
      </c>
      <c r="BY136">
        <v>211.64594740009699</v>
      </c>
      <c r="BZ136">
        <v>0.57542465136565402</v>
      </c>
      <c r="CA136">
        <v>21.418165875897198</v>
      </c>
      <c r="CB136">
        <v>211.64594740009699</v>
      </c>
      <c r="CC136">
        <v>1.0824232766948301</v>
      </c>
      <c r="CD136">
        <v>21.418165875897198</v>
      </c>
      <c r="CE136">
        <v>7.8261010000000006E-2</v>
      </c>
      <c r="CF136">
        <v>1.35191778193952E-2</v>
      </c>
      <c r="CG136">
        <v>3.1304404000000001E-2</v>
      </c>
      <c r="CH136">
        <v>3.4053661609999999</v>
      </c>
      <c r="CI136">
        <v>0.25935022489999998</v>
      </c>
      <c r="CJ136">
        <v>2.6050822820000001</v>
      </c>
      <c r="CK136">
        <v>-1.4565394000000001E-2</v>
      </c>
      <c r="CL136">
        <v>-3.4053661609999999</v>
      </c>
      <c r="CM136">
        <v>-8.0141775100000007E-2</v>
      </c>
      <c r="CN136">
        <v>-2.6050822820000001</v>
      </c>
      <c r="CO136">
        <v>4.0068493244016E-3</v>
      </c>
      <c r="CP136">
        <v>89.876180284172307</v>
      </c>
      <c r="CQ136">
        <v>0.30391244904801901</v>
      </c>
      <c r="CR136">
        <v>18.450144785282902</v>
      </c>
      <c r="CS136">
        <v>4.8599771104238E-3</v>
      </c>
      <c r="CT136">
        <v>89.876180284172307</v>
      </c>
      <c r="CU136">
        <v>0.37151226575857599</v>
      </c>
      <c r="CV136">
        <v>18.450144785282902</v>
      </c>
      <c r="CW136">
        <v>-3.6413485000000002E-2</v>
      </c>
    </row>
    <row r="137" spans="1:101" x14ac:dyDescent="0.25">
      <c r="A137" t="s">
        <v>41</v>
      </c>
      <c r="B137">
        <v>2</v>
      </c>
      <c r="C137" t="s">
        <v>19</v>
      </c>
      <c r="D137" t="s">
        <v>94</v>
      </c>
      <c r="E137" t="s">
        <v>103</v>
      </c>
      <c r="F137" t="s">
        <v>145</v>
      </c>
      <c r="G137" t="s">
        <v>260</v>
      </c>
      <c r="H137" t="str">
        <f t="shared" si="24"/>
        <v>P.airoides.Highcomp.Open</v>
      </c>
      <c r="I137" t="s">
        <v>719</v>
      </c>
      <c r="J137" t="s">
        <v>411</v>
      </c>
      <c r="K137">
        <v>10</v>
      </c>
      <c r="L137">
        <v>50</v>
      </c>
      <c r="M137">
        <v>40</v>
      </c>
      <c r="N137">
        <v>50</v>
      </c>
      <c r="O137">
        <f t="shared" si="25"/>
        <v>10</v>
      </c>
      <c r="P137">
        <v>12</v>
      </c>
      <c r="Q137">
        <v>10</v>
      </c>
      <c r="R137">
        <v>10</v>
      </c>
      <c r="S137">
        <f t="shared" si="26"/>
        <v>10</v>
      </c>
      <c r="T137">
        <f t="shared" si="27"/>
        <v>0.2</v>
      </c>
      <c r="V137" t="s">
        <v>113</v>
      </c>
      <c r="W137">
        <v>70</v>
      </c>
      <c r="X137">
        <v>14.9</v>
      </c>
      <c r="Y137">
        <v>17.899999999999999</v>
      </c>
      <c r="Z137">
        <v>14.9</v>
      </c>
      <c r="AA137">
        <v>15.9</v>
      </c>
      <c r="AB137">
        <v>15.9</v>
      </c>
      <c r="AC137">
        <v>14.4</v>
      </c>
      <c r="AD137">
        <v>14.9</v>
      </c>
      <c r="AE137">
        <v>18.399999999999999</v>
      </c>
      <c r="AF137">
        <v>15.9</v>
      </c>
      <c r="AG137">
        <v>14.4</v>
      </c>
      <c r="AH137">
        <v>15.4</v>
      </c>
      <c r="AI137">
        <v>17.899999999999999</v>
      </c>
      <c r="AJ137">
        <v>15.9</v>
      </c>
      <c r="AK137">
        <v>12.5</v>
      </c>
      <c r="AL137">
        <v>15.9</v>
      </c>
      <c r="AM137">
        <v>18.899999999999999</v>
      </c>
      <c r="AN137">
        <v>15.766666669999999</v>
      </c>
      <c r="AO137">
        <v>15.9</v>
      </c>
      <c r="AP137">
        <v>6.6</v>
      </c>
      <c r="AQ137">
        <v>7.6</v>
      </c>
      <c r="AR137">
        <v>8.1</v>
      </c>
      <c r="AS137">
        <v>7.4333333330000002</v>
      </c>
      <c r="AT137">
        <v>6.6</v>
      </c>
      <c r="AU137">
        <v>7.1</v>
      </c>
      <c r="AV137">
        <v>8.5</v>
      </c>
      <c r="AW137">
        <v>7.4</v>
      </c>
      <c r="AX137">
        <v>7.4333333330000002</v>
      </c>
      <c r="AY137">
        <v>-8.4666666670000001</v>
      </c>
      <c r="AZ137">
        <v>30</v>
      </c>
      <c r="BA137">
        <v>25</v>
      </c>
      <c r="BB137">
        <v>1</v>
      </c>
      <c r="BC137">
        <v>15</v>
      </c>
      <c r="BD137">
        <v>5</v>
      </c>
      <c r="BE137">
        <v>1</v>
      </c>
      <c r="BF137">
        <v>0</v>
      </c>
      <c r="BG137">
        <v>1</v>
      </c>
      <c r="BI137">
        <v>9.9</v>
      </c>
      <c r="BJ137">
        <v>4.4909999999999997</v>
      </c>
      <c r="BK137">
        <v>0</v>
      </c>
      <c r="BL137">
        <v>4</v>
      </c>
      <c r="BM137">
        <v>3</v>
      </c>
      <c r="BN137">
        <v>103</v>
      </c>
      <c r="BO137">
        <v>333</v>
      </c>
      <c r="BP137">
        <f t="shared" si="22"/>
        <v>-230</v>
      </c>
      <c r="BQ137">
        <v>426</v>
      </c>
      <c r="BR137">
        <f t="shared" si="23"/>
        <v>-323</v>
      </c>
      <c r="BS137">
        <v>7.2670454549999999</v>
      </c>
      <c r="BT137">
        <v>0.33901825800000002</v>
      </c>
      <c r="BU137">
        <v>3.8525754600000002</v>
      </c>
      <c r="BV137">
        <v>7.2670454549999999</v>
      </c>
      <c r="BW137">
        <v>-0.33901825800000002</v>
      </c>
      <c r="BX137">
        <v>3.8525754600000002</v>
      </c>
      <c r="BY137">
        <v>105.619899290072</v>
      </c>
      <c r="BZ137">
        <v>0.229866758514709</v>
      </c>
      <c r="CA137">
        <v>29.6846753499884</v>
      </c>
      <c r="CB137">
        <v>105.619899290072</v>
      </c>
      <c r="CC137">
        <v>0.229866758514709</v>
      </c>
      <c r="CD137">
        <v>29.6846753499884</v>
      </c>
      <c r="CE137">
        <v>0.10782364999999999</v>
      </c>
      <c r="CF137">
        <v>2.3251878998645E-2</v>
      </c>
      <c r="CG137">
        <v>0.12938838</v>
      </c>
      <c r="CH137">
        <v>8.7204545459999991</v>
      </c>
      <c r="CI137">
        <v>0.40682190959999998</v>
      </c>
      <c r="CJ137">
        <v>4.6230905519999999</v>
      </c>
      <c r="CK137">
        <v>0.12938838</v>
      </c>
      <c r="CL137">
        <v>8.7204545459999991</v>
      </c>
      <c r="CM137">
        <v>-0.40682190959999998</v>
      </c>
      <c r="CN137">
        <v>4.6230905519999999</v>
      </c>
      <c r="CO137">
        <v>1.3951127399187E-2</v>
      </c>
      <c r="CP137">
        <v>63.371939574043402</v>
      </c>
      <c r="CQ137">
        <v>0.13792005510882499</v>
      </c>
      <c r="CR137">
        <v>17.810805209993099</v>
      </c>
      <c r="CS137">
        <v>1.3951127399187E-2</v>
      </c>
      <c r="CT137">
        <v>63.371939574043402</v>
      </c>
      <c r="CU137">
        <v>0.13792005510882499</v>
      </c>
      <c r="CV137">
        <v>17.810805209993099</v>
      </c>
      <c r="CW137">
        <v>0.10782364999999999</v>
      </c>
    </row>
    <row r="138" spans="1:101" x14ac:dyDescent="0.25">
      <c r="A138" t="s">
        <v>42</v>
      </c>
      <c r="B138">
        <v>2</v>
      </c>
      <c r="C138" t="s">
        <v>21</v>
      </c>
      <c r="D138" t="s">
        <v>94</v>
      </c>
      <c r="E138" t="s">
        <v>105</v>
      </c>
      <c r="F138" t="s">
        <v>145</v>
      </c>
      <c r="G138" t="s">
        <v>266</v>
      </c>
      <c r="H138" t="str">
        <f t="shared" si="24"/>
        <v>H.glabra.Highcomp.Open</v>
      </c>
      <c r="I138" t="s">
        <v>723</v>
      </c>
      <c r="J138" t="s">
        <v>412</v>
      </c>
      <c r="K138">
        <v>5</v>
      </c>
      <c r="L138">
        <v>40</v>
      </c>
      <c r="M138">
        <v>30</v>
      </c>
      <c r="N138">
        <v>40</v>
      </c>
      <c r="O138">
        <f t="shared" si="25"/>
        <v>10</v>
      </c>
      <c r="P138">
        <v>70</v>
      </c>
      <c r="Q138">
        <v>70</v>
      </c>
      <c r="R138">
        <v>40</v>
      </c>
      <c r="S138">
        <f t="shared" si="26"/>
        <v>55</v>
      </c>
      <c r="T138">
        <f t="shared" si="27"/>
        <v>1.375</v>
      </c>
      <c r="U138" t="s">
        <v>15</v>
      </c>
      <c r="V138" t="s">
        <v>121</v>
      </c>
      <c r="W138" t="s">
        <v>114</v>
      </c>
      <c r="X138">
        <v>27.7</v>
      </c>
      <c r="Y138">
        <v>20.8</v>
      </c>
      <c r="Z138">
        <v>22.8</v>
      </c>
      <c r="AA138">
        <v>23.766666669999999</v>
      </c>
      <c r="AB138">
        <v>23.766666669999999</v>
      </c>
      <c r="AC138">
        <v>23.3</v>
      </c>
      <c r="AD138">
        <v>22.8</v>
      </c>
      <c r="AE138">
        <v>22.8</v>
      </c>
      <c r="AF138">
        <v>22.966666669999999</v>
      </c>
      <c r="AG138">
        <v>24.7</v>
      </c>
      <c r="AH138">
        <v>16.899999999999999</v>
      </c>
      <c r="AI138">
        <v>19.8</v>
      </c>
      <c r="AJ138">
        <v>20.466666669999999</v>
      </c>
      <c r="AK138">
        <v>19.3</v>
      </c>
      <c r="AL138">
        <v>17.399999999999999</v>
      </c>
      <c r="AM138">
        <v>24.3</v>
      </c>
      <c r="AN138">
        <v>20.333333329999999</v>
      </c>
      <c r="AO138">
        <v>20.466666669999999</v>
      </c>
      <c r="AP138">
        <v>9.5</v>
      </c>
      <c r="AQ138">
        <v>9</v>
      </c>
      <c r="AR138">
        <v>8.5</v>
      </c>
      <c r="AS138">
        <v>9</v>
      </c>
      <c r="AT138">
        <v>8.5</v>
      </c>
      <c r="AU138">
        <v>8.5</v>
      </c>
      <c r="AV138">
        <v>9.5</v>
      </c>
      <c r="AW138">
        <v>8.8333333330000006</v>
      </c>
      <c r="AX138">
        <v>9</v>
      </c>
      <c r="AY138">
        <v>-14.766666669999999</v>
      </c>
      <c r="AZ138">
        <v>15</v>
      </c>
      <c r="BA138">
        <v>5</v>
      </c>
      <c r="BB138">
        <v>0</v>
      </c>
      <c r="BC138">
        <v>10</v>
      </c>
      <c r="BD138">
        <v>1</v>
      </c>
      <c r="BE138">
        <v>1</v>
      </c>
      <c r="BF138">
        <v>2</v>
      </c>
      <c r="BG138">
        <v>3</v>
      </c>
      <c r="BI138">
        <v>17.2</v>
      </c>
      <c r="BJ138">
        <v>26.582000000000001</v>
      </c>
      <c r="BK138">
        <v>0</v>
      </c>
      <c r="BL138">
        <v>6</v>
      </c>
      <c r="BM138">
        <v>6</v>
      </c>
      <c r="BN138">
        <v>308</v>
      </c>
      <c r="BO138">
        <v>305.33330000000001</v>
      </c>
      <c r="BP138">
        <f t="shared" si="22"/>
        <v>2.6666999999999916</v>
      </c>
      <c r="BQ138">
        <v>238</v>
      </c>
      <c r="BR138">
        <f t="shared" si="23"/>
        <v>70</v>
      </c>
      <c r="BS138">
        <v>71.875</v>
      </c>
      <c r="BT138" t="s">
        <v>114</v>
      </c>
      <c r="BU138">
        <v>24.22376989</v>
      </c>
      <c r="BV138">
        <v>-71.875</v>
      </c>
      <c r="BW138" t="s">
        <v>114</v>
      </c>
      <c r="BX138">
        <v>24.22376989</v>
      </c>
      <c r="BY138" t="s">
        <v>114</v>
      </c>
      <c r="BZ138" t="s">
        <v>114</v>
      </c>
      <c r="CA138" t="s">
        <v>114</v>
      </c>
      <c r="CB138" t="s">
        <v>114</v>
      </c>
      <c r="CC138" t="s">
        <v>114</v>
      </c>
      <c r="CD138" t="s">
        <v>114</v>
      </c>
      <c r="CE138" t="s">
        <v>114</v>
      </c>
      <c r="CF138" t="s">
        <v>114</v>
      </c>
      <c r="CG138" t="s">
        <v>114</v>
      </c>
      <c r="CH138">
        <v>71.875</v>
      </c>
      <c r="CI138" t="s">
        <v>114</v>
      </c>
      <c r="CJ138">
        <v>24.22376989</v>
      </c>
      <c r="CK138" t="s">
        <v>114</v>
      </c>
      <c r="CL138">
        <v>-71.875</v>
      </c>
      <c r="CM138" t="s">
        <v>114</v>
      </c>
      <c r="CN138">
        <v>24.22376989</v>
      </c>
      <c r="CO138" t="s">
        <v>114</v>
      </c>
      <c r="CP138">
        <v>0</v>
      </c>
      <c r="CQ138" t="s">
        <v>114</v>
      </c>
      <c r="CR138">
        <v>0</v>
      </c>
      <c r="CS138" t="s">
        <v>114</v>
      </c>
      <c r="CT138">
        <v>0</v>
      </c>
      <c r="CU138" t="s">
        <v>114</v>
      </c>
      <c r="CV138">
        <v>0</v>
      </c>
      <c r="CW138" t="s">
        <v>114</v>
      </c>
    </row>
    <row r="139" spans="1:101" x14ac:dyDescent="0.25">
      <c r="A139" t="s">
        <v>42</v>
      </c>
      <c r="B139">
        <v>2</v>
      </c>
      <c r="C139" t="s">
        <v>21</v>
      </c>
      <c r="D139" t="s">
        <v>94</v>
      </c>
      <c r="E139" t="s">
        <v>110</v>
      </c>
      <c r="F139" t="s">
        <v>145</v>
      </c>
      <c r="G139" t="s">
        <v>262</v>
      </c>
      <c r="H139" t="str">
        <f t="shared" si="24"/>
        <v>M.minima.Highcomp.Open</v>
      </c>
      <c r="I139" t="s">
        <v>724</v>
      </c>
      <c r="J139" t="s">
        <v>413</v>
      </c>
      <c r="K139">
        <v>6</v>
      </c>
      <c r="L139">
        <v>70</v>
      </c>
      <c r="M139">
        <v>40</v>
      </c>
      <c r="N139">
        <v>70</v>
      </c>
      <c r="O139">
        <f t="shared" si="25"/>
        <v>30</v>
      </c>
      <c r="P139">
        <v>15</v>
      </c>
      <c r="Q139">
        <v>20</v>
      </c>
      <c r="R139">
        <v>15</v>
      </c>
      <c r="S139">
        <f t="shared" si="26"/>
        <v>17.5</v>
      </c>
      <c r="T139">
        <f t="shared" si="27"/>
        <v>0.25</v>
      </c>
      <c r="V139" t="s">
        <v>113</v>
      </c>
      <c r="W139">
        <v>40</v>
      </c>
      <c r="X139">
        <v>27.7</v>
      </c>
      <c r="Y139">
        <v>20.8</v>
      </c>
      <c r="Z139">
        <v>22.8</v>
      </c>
      <c r="AA139">
        <v>23.766666669999999</v>
      </c>
      <c r="AB139">
        <v>23.766666669999999</v>
      </c>
      <c r="AC139">
        <v>22.8</v>
      </c>
      <c r="AD139">
        <v>20.8</v>
      </c>
      <c r="AE139">
        <v>20.8</v>
      </c>
      <c r="AF139">
        <v>21.466666669999999</v>
      </c>
      <c r="AG139">
        <v>24.7</v>
      </c>
      <c r="AH139">
        <v>16.899999999999999</v>
      </c>
      <c r="AI139">
        <v>19.8</v>
      </c>
      <c r="AJ139">
        <v>20.466666669999999</v>
      </c>
      <c r="AK139">
        <v>17.899999999999999</v>
      </c>
      <c r="AL139">
        <v>18.399999999999999</v>
      </c>
      <c r="AM139">
        <v>19.8</v>
      </c>
      <c r="AN139">
        <v>18.7</v>
      </c>
      <c r="AO139">
        <v>20.466666669999999</v>
      </c>
      <c r="AP139">
        <v>9.5</v>
      </c>
      <c r="AQ139">
        <v>9</v>
      </c>
      <c r="AR139">
        <v>8.5</v>
      </c>
      <c r="AS139">
        <v>9</v>
      </c>
      <c r="AT139">
        <v>8.5</v>
      </c>
      <c r="AU139">
        <v>8</v>
      </c>
      <c r="AV139">
        <v>11</v>
      </c>
      <c r="AW139">
        <v>9.1666666669999994</v>
      </c>
      <c r="AX139">
        <v>9</v>
      </c>
      <c r="AY139">
        <v>-14.766666669999999</v>
      </c>
      <c r="AZ139">
        <v>15</v>
      </c>
      <c r="BA139">
        <v>5</v>
      </c>
      <c r="BB139">
        <v>0</v>
      </c>
      <c r="BC139">
        <v>10</v>
      </c>
      <c r="BD139">
        <v>1</v>
      </c>
      <c r="BE139">
        <v>1</v>
      </c>
      <c r="BF139">
        <v>2</v>
      </c>
      <c r="BG139">
        <v>3</v>
      </c>
      <c r="BI139">
        <v>17.2</v>
      </c>
      <c r="BJ139">
        <v>26.582000000000001</v>
      </c>
      <c r="BK139">
        <v>0</v>
      </c>
      <c r="BL139">
        <v>8</v>
      </c>
      <c r="BM139">
        <v>7</v>
      </c>
      <c r="BN139">
        <v>7</v>
      </c>
      <c r="BO139">
        <v>2.5</v>
      </c>
      <c r="BP139">
        <f t="shared" si="22"/>
        <v>4.5</v>
      </c>
      <c r="BQ139">
        <v>4</v>
      </c>
      <c r="BR139">
        <f t="shared" si="23"/>
        <v>3</v>
      </c>
      <c r="BS139">
        <v>39.095822349999999</v>
      </c>
      <c r="BT139" t="s">
        <v>114</v>
      </c>
      <c r="BU139">
        <v>7.8875127699999998</v>
      </c>
      <c r="BV139">
        <v>-39.095822349999999</v>
      </c>
      <c r="BW139" t="s">
        <v>114</v>
      </c>
      <c r="BX139">
        <v>7.8875127699999998</v>
      </c>
      <c r="BY139">
        <v>775.19868541237997</v>
      </c>
      <c r="BZ139" t="s">
        <v>114</v>
      </c>
      <c r="CA139">
        <v>35.078219358540601</v>
      </c>
      <c r="CB139">
        <v>775.19868541237997</v>
      </c>
      <c r="CC139" t="s">
        <v>114</v>
      </c>
      <c r="CD139">
        <v>35.078219358540601</v>
      </c>
      <c r="CE139" t="s">
        <v>114</v>
      </c>
      <c r="CF139" t="s">
        <v>114</v>
      </c>
      <c r="CG139" t="s">
        <v>114</v>
      </c>
      <c r="CH139">
        <v>48.101925043333303</v>
      </c>
      <c r="CI139" t="s">
        <v>114</v>
      </c>
      <c r="CJ139">
        <v>8.8384633899999994</v>
      </c>
      <c r="CK139" t="s">
        <v>114</v>
      </c>
      <c r="CL139">
        <v>-48.101925043333303</v>
      </c>
      <c r="CM139" t="s">
        <v>114</v>
      </c>
      <c r="CN139">
        <v>8.8384633899999994</v>
      </c>
      <c r="CO139" t="s">
        <v>114</v>
      </c>
      <c r="CP139">
        <v>570.096585582638</v>
      </c>
      <c r="CQ139" t="s">
        <v>114</v>
      </c>
      <c r="CR139">
        <v>19.5738006130467</v>
      </c>
      <c r="CS139" t="s">
        <v>114</v>
      </c>
      <c r="CT139">
        <v>570.096585582638</v>
      </c>
      <c r="CU139" t="s">
        <v>114</v>
      </c>
      <c r="CV139">
        <v>19.5738006130467</v>
      </c>
      <c r="CW139" t="s">
        <v>114</v>
      </c>
    </row>
    <row r="140" spans="1:101" x14ac:dyDescent="0.25">
      <c r="A140" t="s">
        <v>42</v>
      </c>
      <c r="B140">
        <v>2</v>
      </c>
      <c r="C140" t="s">
        <v>21</v>
      </c>
      <c r="D140" t="s">
        <v>94</v>
      </c>
      <c r="E140" t="s">
        <v>111</v>
      </c>
      <c r="F140" t="s">
        <v>145</v>
      </c>
      <c r="G140" t="s">
        <v>263</v>
      </c>
      <c r="H140" t="str">
        <f t="shared" si="24"/>
        <v>P.canescens.Highcomp.Open</v>
      </c>
      <c r="I140" t="s">
        <v>720</v>
      </c>
      <c r="J140" t="s">
        <v>414</v>
      </c>
      <c r="K140">
        <v>9</v>
      </c>
      <c r="L140">
        <v>290</v>
      </c>
      <c r="M140">
        <v>250</v>
      </c>
      <c r="N140">
        <v>290</v>
      </c>
      <c r="O140">
        <f t="shared" si="25"/>
        <v>40</v>
      </c>
      <c r="P140">
        <v>85</v>
      </c>
      <c r="Q140">
        <v>140</v>
      </c>
      <c r="R140">
        <v>35</v>
      </c>
      <c r="S140">
        <f t="shared" si="26"/>
        <v>87.5</v>
      </c>
      <c r="T140">
        <f t="shared" si="27"/>
        <v>0.30172413793103448</v>
      </c>
      <c r="V140" t="s">
        <v>110</v>
      </c>
      <c r="W140">
        <v>100</v>
      </c>
      <c r="X140">
        <v>27.7</v>
      </c>
      <c r="Y140">
        <v>20.8</v>
      </c>
      <c r="Z140">
        <v>22.8</v>
      </c>
      <c r="AA140">
        <v>23.766666669999999</v>
      </c>
      <c r="AB140">
        <v>23.766666669999999</v>
      </c>
      <c r="AC140">
        <v>28.2</v>
      </c>
      <c r="AD140">
        <v>23.8</v>
      </c>
      <c r="AE140">
        <v>21.8</v>
      </c>
      <c r="AF140">
        <v>24.6</v>
      </c>
      <c r="AG140">
        <v>24.7</v>
      </c>
      <c r="AH140">
        <v>16.899999999999999</v>
      </c>
      <c r="AI140">
        <v>19.8</v>
      </c>
      <c r="AJ140">
        <v>20.466666669999999</v>
      </c>
      <c r="AK140">
        <v>23.8</v>
      </c>
      <c r="AL140">
        <v>20.3</v>
      </c>
      <c r="AM140">
        <v>19.8</v>
      </c>
      <c r="AN140">
        <v>21.3</v>
      </c>
      <c r="AO140">
        <v>20.466666669999999</v>
      </c>
      <c r="AP140">
        <v>9.5</v>
      </c>
      <c r="AQ140">
        <v>9</v>
      </c>
      <c r="AR140">
        <v>8.5</v>
      </c>
      <c r="AS140">
        <v>9</v>
      </c>
      <c r="AT140">
        <v>10</v>
      </c>
      <c r="AU140">
        <v>8.5</v>
      </c>
      <c r="AV140">
        <v>11</v>
      </c>
      <c r="AW140">
        <v>9.8333333330000006</v>
      </c>
      <c r="AX140">
        <v>9</v>
      </c>
      <c r="AY140">
        <v>-14.766666669999999</v>
      </c>
      <c r="AZ140">
        <v>15</v>
      </c>
      <c r="BA140">
        <v>5</v>
      </c>
      <c r="BB140">
        <v>0</v>
      </c>
      <c r="BC140">
        <v>10</v>
      </c>
      <c r="BD140">
        <v>1</v>
      </c>
      <c r="BE140">
        <v>1</v>
      </c>
      <c r="BF140">
        <v>2</v>
      </c>
      <c r="BG140">
        <v>3</v>
      </c>
      <c r="BI140">
        <v>17.2</v>
      </c>
      <c r="BJ140">
        <v>26.582000000000001</v>
      </c>
      <c r="BK140">
        <v>0</v>
      </c>
      <c r="BL140">
        <v>23</v>
      </c>
      <c r="BM140">
        <v>17</v>
      </c>
      <c r="BN140">
        <v>1527</v>
      </c>
      <c r="BO140">
        <v>1464.6667</v>
      </c>
      <c r="BP140">
        <f t="shared" si="22"/>
        <v>62.333300000000008</v>
      </c>
      <c r="BQ140">
        <v>1464</v>
      </c>
      <c r="BR140">
        <f t="shared" si="23"/>
        <v>63</v>
      </c>
      <c r="BS140">
        <v>16.462205905000001</v>
      </c>
      <c r="BT140">
        <v>0.77063555549999996</v>
      </c>
      <c r="BU140">
        <v>5.9219253399999996</v>
      </c>
      <c r="BV140">
        <v>16.462205905000001</v>
      </c>
      <c r="BW140">
        <v>-0.77063555549999996</v>
      </c>
      <c r="BX140">
        <v>-4.2159870799999997</v>
      </c>
      <c r="BY140">
        <v>55.0904204195921</v>
      </c>
      <c r="BZ140">
        <v>5.42829282457244E-2</v>
      </c>
      <c r="CA140">
        <v>35.549094117453798</v>
      </c>
      <c r="CB140">
        <v>55.0904204195921</v>
      </c>
      <c r="CC140">
        <v>5.42829282457244E-2</v>
      </c>
      <c r="CD140">
        <v>70.138399465068204</v>
      </c>
      <c r="CE140">
        <v>0.34797865</v>
      </c>
      <c r="CF140">
        <v>0.24217828171164499</v>
      </c>
      <c r="CG140">
        <v>0.34797865</v>
      </c>
      <c r="CH140">
        <v>16.462205905000001</v>
      </c>
      <c r="CI140">
        <v>0.77063555549999996</v>
      </c>
      <c r="CJ140">
        <v>5.9219253399999996</v>
      </c>
      <c r="CK140">
        <v>-0.17048415</v>
      </c>
      <c r="CL140">
        <v>16.462205905000001</v>
      </c>
      <c r="CM140">
        <v>-0.77063555549999996</v>
      </c>
      <c r="CN140">
        <v>-4.2159870799999997</v>
      </c>
      <c r="CO140">
        <v>5.8129690802444997E-2</v>
      </c>
      <c r="CP140">
        <v>55.0904204195921</v>
      </c>
      <c r="CQ140">
        <v>5.42829282457244E-2</v>
      </c>
      <c r="CR140">
        <v>35.549094117453798</v>
      </c>
      <c r="CS140">
        <v>0.24217828171164499</v>
      </c>
      <c r="CT140">
        <v>55.0904204195921</v>
      </c>
      <c r="CU140">
        <v>5.42829282457244E-2</v>
      </c>
      <c r="CV140">
        <v>70.138399465068204</v>
      </c>
      <c r="CW140">
        <v>-0.17048415</v>
      </c>
    </row>
    <row r="141" spans="1:101" x14ac:dyDescent="0.25">
      <c r="A141" t="s">
        <v>42</v>
      </c>
      <c r="B141">
        <v>2</v>
      </c>
      <c r="C141" t="s">
        <v>21</v>
      </c>
      <c r="D141" t="s">
        <v>94</v>
      </c>
      <c r="E141" t="s">
        <v>104</v>
      </c>
      <c r="F141" t="s">
        <v>145</v>
      </c>
      <c r="G141" t="s">
        <v>264</v>
      </c>
      <c r="H141" t="str">
        <f t="shared" si="24"/>
        <v>T.cyanopetala.Highcomp.Open</v>
      </c>
      <c r="I141" t="s">
        <v>721</v>
      </c>
      <c r="J141" t="s">
        <v>415</v>
      </c>
      <c r="K141">
        <v>2</v>
      </c>
      <c r="L141">
        <v>70</v>
      </c>
      <c r="M141">
        <v>50</v>
      </c>
      <c r="N141">
        <v>70</v>
      </c>
      <c r="O141">
        <f t="shared" si="25"/>
        <v>20</v>
      </c>
      <c r="P141">
        <v>30</v>
      </c>
      <c r="Q141">
        <v>30</v>
      </c>
      <c r="R141">
        <v>25</v>
      </c>
      <c r="S141">
        <f t="shared" si="26"/>
        <v>27.5</v>
      </c>
      <c r="T141">
        <f t="shared" si="27"/>
        <v>0.39285714285714285</v>
      </c>
      <c r="V141" t="s">
        <v>110</v>
      </c>
      <c r="W141">
        <v>60</v>
      </c>
      <c r="X141">
        <v>27.7</v>
      </c>
      <c r="Y141">
        <v>20.8</v>
      </c>
      <c r="Z141">
        <v>22.8</v>
      </c>
      <c r="AA141">
        <v>23.766666669999999</v>
      </c>
      <c r="AB141">
        <v>23.766666669999999</v>
      </c>
      <c r="AC141">
        <v>15.4</v>
      </c>
      <c r="AD141">
        <v>19.3</v>
      </c>
      <c r="AE141">
        <v>20.3</v>
      </c>
      <c r="AF141">
        <v>18.333333329999999</v>
      </c>
      <c r="AG141">
        <v>24.7</v>
      </c>
      <c r="AH141">
        <v>16.899999999999999</v>
      </c>
      <c r="AI141">
        <v>19.8</v>
      </c>
      <c r="AJ141">
        <v>20.466666669999999</v>
      </c>
      <c r="AK141">
        <v>18.399999999999999</v>
      </c>
      <c r="AL141">
        <v>14.9</v>
      </c>
      <c r="AM141">
        <v>18.899999999999999</v>
      </c>
      <c r="AN141">
        <v>17.399999999999999</v>
      </c>
      <c r="AO141">
        <v>20.466666669999999</v>
      </c>
      <c r="AP141">
        <v>9.5</v>
      </c>
      <c r="AQ141">
        <v>9</v>
      </c>
      <c r="AR141">
        <v>8.5</v>
      </c>
      <c r="AS141">
        <v>9</v>
      </c>
      <c r="AT141">
        <v>8.1</v>
      </c>
      <c r="AU141">
        <v>6.1</v>
      </c>
      <c r="AV141">
        <v>9</v>
      </c>
      <c r="AW141">
        <v>7.733333333</v>
      </c>
      <c r="AX141">
        <v>9</v>
      </c>
      <c r="AY141">
        <v>-14.766666669999999</v>
      </c>
      <c r="AZ141">
        <v>15</v>
      </c>
      <c r="BA141">
        <v>5</v>
      </c>
      <c r="BB141">
        <v>0</v>
      </c>
      <c r="BC141">
        <v>10</v>
      </c>
      <c r="BD141">
        <v>1</v>
      </c>
      <c r="BE141">
        <v>1</v>
      </c>
      <c r="BF141">
        <v>2</v>
      </c>
      <c r="BG141">
        <v>3</v>
      </c>
      <c r="BI141">
        <v>17.2</v>
      </c>
      <c r="BJ141">
        <v>26.582000000000001</v>
      </c>
      <c r="BK141">
        <v>1</v>
      </c>
      <c r="BL141">
        <v>4</v>
      </c>
      <c r="BM141">
        <v>4</v>
      </c>
      <c r="BN141">
        <v>22</v>
      </c>
      <c r="BO141">
        <v>35</v>
      </c>
      <c r="BP141">
        <f t="shared" si="22"/>
        <v>-13</v>
      </c>
      <c r="BQ141">
        <v>38</v>
      </c>
      <c r="BR141">
        <f t="shared" si="23"/>
        <v>-16</v>
      </c>
      <c r="BS141">
        <v>16.614432376666699</v>
      </c>
      <c r="BT141">
        <v>1.89298712066667</v>
      </c>
      <c r="BU141">
        <v>4.8153994200000003</v>
      </c>
      <c r="BV141">
        <v>16.572765709999999</v>
      </c>
      <c r="BW141">
        <v>1.89298712066667</v>
      </c>
      <c r="BX141">
        <v>-2.8522426666666698</v>
      </c>
      <c r="BY141">
        <v>454.67996554685101</v>
      </c>
      <c r="BZ141">
        <v>0.27591882755715103</v>
      </c>
      <c r="CA141">
        <v>24.455940462696301</v>
      </c>
      <c r="CB141">
        <v>456.75416542726799</v>
      </c>
      <c r="CC141">
        <v>0.27591882755715103</v>
      </c>
      <c r="CD141">
        <v>47.035115479570102</v>
      </c>
      <c r="CE141" t="s">
        <v>114</v>
      </c>
      <c r="CF141" t="s">
        <v>114</v>
      </c>
      <c r="CG141" t="s">
        <v>114</v>
      </c>
      <c r="CH141">
        <v>19.924818852000001</v>
      </c>
      <c r="CI141">
        <v>1.8930907669999999</v>
      </c>
      <c r="CJ141">
        <v>5.1895322779999997</v>
      </c>
      <c r="CK141" t="s">
        <v>114</v>
      </c>
      <c r="CL141">
        <v>19.899818851999999</v>
      </c>
      <c r="CM141">
        <v>1.8930907669999999</v>
      </c>
      <c r="CN141">
        <v>-4.0116382259999996</v>
      </c>
      <c r="CO141" t="s">
        <v>114</v>
      </c>
      <c r="CP141">
        <v>372.49002592632701</v>
      </c>
      <c r="CQ141">
        <v>0.27591874698793201</v>
      </c>
      <c r="CR141">
        <v>23.406124996931901</v>
      </c>
      <c r="CS141" t="s">
        <v>114</v>
      </c>
      <c r="CT141">
        <v>373.73454585457699</v>
      </c>
      <c r="CU141">
        <v>0.27591874698793201</v>
      </c>
      <c r="CV141">
        <v>36.953630007056198</v>
      </c>
      <c r="CW141" t="s">
        <v>114</v>
      </c>
    </row>
    <row r="142" spans="1:101" x14ac:dyDescent="0.25">
      <c r="A142" t="s">
        <v>43</v>
      </c>
      <c r="B142">
        <v>2</v>
      </c>
      <c r="C142" t="s">
        <v>23</v>
      </c>
      <c r="D142" t="s">
        <v>94</v>
      </c>
      <c r="E142" t="s">
        <v>105</v>
      </c>
      <c r="F142" t="s">
        <v>145</v>
      </c>
      <c r="G142" t="s">
        <v>266</v>
      </c>
      <c r="H142" t="str">
        <f t="shared" si="24"/>
        <v>H.glabra.Highcomp.Open</v>
      </c>
      <c r="I142" t="s">
        <v>723</v>
      </c>
      <c r="J142" t="s">
        <v>416</v>
      </c>
      <c r="K142">
        <v>5</v>
      </c>
      <c r="L142">
        <v>40</v>
      </c>
      <c r="M142">
        <v>50</v>
      </c>
      <c r="N142">
        <v>40</v>
      </c>
      <c r="O142">
        <f t="shared" si="25"/>
        <v>-10</v>
      </c>
      <c r="P142">
        <v>80</v>
      </c>
      <c r="Q142">
        <v>80</v>
      </c>
      <c r="R142">
        <v>50</v>
      </c>
      <c r="S142">
        <f t="shared" si="26"/>
        <v>65</v>
      </c>
      <c r="T142">
        <f t="shared" si="27"/>
        <v>1.625</v>
      </c>
      <c r="V142" t="s">
        <v>104</v>
      </c>
      <c r="W142">
        <v>45</v>
      </c>
      <c r="X142">
        <v>28.2</v>
      </c>
      <c r="Y142">
        <v>23.3</v>
      </c>
      <c r="Z142">
        <v>23.8</v>
      </c>
      <c r="AA142">
        <v>25.1</v>
      </c>
      <c r="AB142">
        <v>25.1</v>
      </c>
      <c r="AC142">
        <v>14.9</v>
      </c>
      <c r="AD142">
        <v>19.3</v>
      </c>
      <c r="AE142">
        <v>22.8</v>
      </c>
      <c r="AF142">
        <v>19</v>
      </c>
      <c r="AG142">
        <v>23.3</v>
      </c>
      <c r="AH142">
        <v>22.3</v>
      </c>
      <c r="AI142">
        <v>16.399999999999999</v>
      </c>
      <c r="AJ142">
        <v>20.666666670000001</v>
      </c>
      <c r="AK142">
        <v>22.3</v>
      </c>
      <c r="AL142">
        <v>16.399999999999999</v>
      </c>
      <c r="AM142">
        <v>18.899999999999999</v>
      </c>
      <c r="AN142">
        <v>19.2</v>
      </c>
      <c r="AO142">
        <v>20.666666670000001</v>
      </c>
      <c r="AP142">
        <v>12</v>
      </c>
      <c r="AQ142">
        <v>10</v>
      </c>
      <c r="AR142">
        <v>11</v>
      </c>
      <c r="AS142">
        <v>11</v>
      </c>
      <c r="AT142">
        <v>8.5</v>
      </c>
      <c r="AU142">
        <v>7.1</v>
      </c>
      <c r="AV142">
        <v>9.5</v>
      </c>
      <c r="AW142">
        <v>8.3666666670000005</v>
      </c>
      <c r="AX142">
        <v>11</v>
      </c>
      <c r="AY142">
        <v>-14.1</v>
      </c>
      <c r="AZ142">
        <v>5</v>
      </c>
      <c r="BA142">
        <v>30</v>
      </c>
      <c r="BB142">
        <v>5</v>
      </c>
      <c r="BC142">
        <v>10</v>
      </c>
      <c r="BD142">
        <v>0</v>
      </c>
      <c r="BE142">
        <v>1</v>
      </c>
      <c r="BF142">
        <v>3</v>
      </c>
      <c r="BG142">
        <v>3</v>
      </c>
      <c r="BI142">
        <v>18.7</v>
      </c>
      <c r="BJ142">
        <v>19.202000000000002</v>
      </c>
      <c r="BK142">
        <v>0</v>
      </c>
      <c r="BL142">
        <v>6</v>
      </c>
      <c r="BM142">
        <v>6</v>
      </c>
      <c r="BN142">
        <v>393</v>
      </c>
      <c r="BO142">
        <v>305.33330000000001</v>
      </c>
      <c r="BP142">
        <f t="shared" si="22"/>
        <v>87.666699999999992</v>
      </c>
      <c r="BQ142">
        <v>411</v>
      </c>
      <c r="BR142">
        <f t="shared" si="23"/>
        <v>-18</v>
      </c>
      <c r="BS142">
        <v>46.4375</v>
      </c>
      <c r="BT142">
        <v>2.0103032199999999</v>
      </c>
      <c r="BU142">
        <v>14.561728260000001</v>
      </c>
      <c r="BV142">
        <v>-46.4375</v>
      </c>
      <c r="BW142">
        <v>-2.0103032199999999</v>
      </c>
      <c r="BX142">
        <v>14.561728260000001</v>
      </c>
      <c r="BY142" t="s">
        <v>114</v>
      </c>
      <c r="BZ142" t="s">
        <v>114</v>
      </c>
      <c r="CA142" t="s">
        <v>114</v>
      </c>
      <c r="CB142" t="s">
        <v>114</v>
      </c>
      <c r="CC142" t="s">
        <v>114</v>
      </c>
      <c r="CD142" t="s">
        <v>114</v>
      </c>
      <c r="CE142">
        <v>1.6881131</v>
      </c>
      <c r="CF142" t="s">
        <v>114</v>
      </c>
      <c r="CG142">
        <v>1.6881131</v>
      </c>
      <c r="CH142">
        <v>46.4375</v>
      </c>
      <c r="CI142">
        <v>2.0103032199999999</v>
      </c>
      <c r="CJ142">
        <v>14.561728260000001</v>
      </c>
      <c r="CK142">
        <v>1.6881131</v>
      </c>
      <c r="CL142">
        <v>-46.4375</v>
      </c>
      <c r="CM142">
        <v>-2.0103032199999999</v>
      </c>
      <c r="CN142">
        <v>14.561728260000001</v>
      </c>
      <c r="CO142" t="s">
        <v>114</v>
      </c>
      <c r="CP142" t="s">
        <v>114</v>
      </c>
      <c r="CQ142" t="s">
        <v>114</v>
      </c>
      <c r="CR142" t="s">
        <v>114</v>
      </c>
      <c r="CS142" t="s">
        <v>114</v>
      </c>
      <c r="CT142" t="s">
        <v>114</v>
      </c>
      <c r="CU142" t="s">
        <v>114</v>
      </c>
      <c r="CV142" t="s">
        <v>114</v>
      </c>
      <c r="CW142">
        <v>1.6881131</v>
      </c>
    </row>
    <row r="143" spans="1:101" x14ac:dyDescent="0.25">
      <c r="A143" t="s">
        <v>43</v>
      </c>
      <c r="B143">
        <v>2</v>
      </c>
      <c r="C143" t="s">
        <v>23</v>
      </c>
      <c r="D143" t="s">
        <v>94</v>
      </c>
      <c r="E143" t="s">
        <v>110</v>
      </c>
      <c r="F143" t="s">
        <v>145</v>
      </c>
      <c r="G143" t="s">
        <v>262</v>
      </c>
      <c r="H143" t="str">
        <f t="shared" si="24"/>
        <v>M.minima.Highcomp.Open</v>
      </c>
      <c r="I143" t="s">
        <v>724</v>
      </c>
      <c r="J143" t="s">
        <v>417</v>
      </c>
      <c r="K143">
        <v>1</v>
      </c>
      <c r="L143">
        <v>95</v>
      </c>
      <c r="M143">
        <v>20</v>
      </c>
      <c r="N143">
        <v>95</v>
      </c>
      <c r="O143">
        <f t="shared" si="25"/>
        <v>75</v>
      </c>
      <c r="P143">
        <v>15</v>
      </c>
      <c r="Q143">
        <v>70</v>
      </c>
      <c r="R143">
        <v>0</v>
      </c>
      <c r="S143">
        <f t="shared" si="26"/>
        <v>35</v>
      </c>
      <c r="T143">
        <f t="shared" si="27"/>
        <v>0.36842105263157893</v>
      </c>
      <c r="V143" t="s">
        <v>110</v>
      </c>
      <c r="W143">
        <v>10</v>
      </c>
      <c r="X143">
        <v>28.2</v>
      </c>
      <c r="Y143">
        <v>23.3</v>
      </c>
      <c r="Z143">
        <v>23.8</v>
      </c>
      <c r="AA143">
        <v>25.1</v>
      </c>
      <c r="AB143">
        <v>25.1</v>
      </c>
      <c r="AC143">
        <v>24.3</v>
      </c>
      <c r="AD143">
        <v>23.3</v>
      </c>
      <c r="AE143">
        <v>26.7</v>
      </c>
      <c r="AF143">
        <v>24.766666669999999</v>
      </c>
      <c r="AG143">
        <v>23.3</v>
      </c>
      <c r="AH143">
        <v>22.3</v>
      </c>
      <c r="AI143">
        <v>16.399999999999999</v>
      </c>
      <c r="AJ143">
        <v>20.666666670000001</v>
      </c>
      <c r="AK143">
        <v>21.8</v>
      </c>
      <c r="AL143">
        <v>22.8</v>
      </c>
      <c r="AM143">
        <v>19.8</v>
      </c>
      <c r="AN143">
        <v>21.466666669999999</v>
      </c>
      <c r="AO143">
        <v>20.666666670000001</v>
      </c>
      <c r="AP143">
        <v>12</v>
      </c>
      <c r="AQ143">
        <v>10</v>
      </c>
      <c r="AR143">
        <v>11</v>
      </c>
      <c r="AS143">
        <v>11</v>
      </c>
      <c r="AT143">
        <v>7.1</v>
      </c>
      <c r="AU143">
        <v>6.6</v>
      </c>
      <c r="AV143">
        <v>8.5</v>
      </c>
      <c r="AW143">
        <v>7.4</v>
      </c>
      <c r="AX143">
        <v>11</v>
      </c>
      <c r="AY143">
        <v>-14.1</v>
      </c>
      <c r="AZ143">
        <v>5</v>
      </c>
      <c r="BA143">
        <v>30</v>
      </c>
      <c r="BB143">
        <v>5</v>
      </c>
      <c r="BC143">
        <v>10</v>
      </c>
      <c r="BD143">
        <v>0</v>
      </c>
      <c r="BE143">
        <v>1</v>
      </c>
      <c r="BF143">
        <v>3</v>
      </c>
      <c r="BG143">
        <v>3</v>
      </c>
      <c r="BI143">
        <v>18.7</v>
      </c>
      <c r="BJ143">
        <v>19.202000000000002</v>
      </c>
      <c r="BK143">
        <v>0</v>
      </c>
      <c r="BL143">
        <v>8</v>
      </c>
      <c r="BM143">
        <v>8</v>
      </c>
      <c r="BN143">
        <v>8</v>
      </c>
      <c r="BO143">
        <v>2.5</v>
      </c>
      <c r="BP143">
        <f t="shared" si="22"/>
        <v>5.5</v>
      </c>
      <c r="BQ143">
        <v>1</v>
      </c>
      <c r="BR143">
        <f t="shared" si="23"/>
        <v>7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 t="s">
        <v>114</v>
      </c>
      <c r="BZ143" t="s">
        <v>114</v>
      </c>
      <c r="CA143" t="s">
        <v>114</v>
      </c>
      <c r="CB143" t="s">
        <v>114</v>
      </c>
      <c r="CC143" t="s">
        <v>114</v>
      </c>
      <c r="CD143" t="s">
        <v>114</v>
      </c>
      <c r="CE143">
        <v>0</v>
      </c>
      <c r="CF143" t="s">
        <v>114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 t="s">
        <v>114</v>
      </c>
      <c r="CP143" t="s">
        <v>114</v>
      </c>
      <c r="CQ143" t="s">
        <v>114</v>
      </c>
      <c r="CR143" t="s">
        <v>114</v>
      </c>
      <c r="CS143" t="s">
        <v>114</v>
      </c>
      <c r="CT143" t="s">
        <v>114</v>
      </c>
      <c r="CU143" t="s">
        <v>114</v>
      </c>
      <c r="CV143" t="s">
        <v>114</v>
      </c>
      <c r="CW143">
        <v>0</v>
      </c>
    </row>
    <row r="144" spans="1:101" x14ac:dyDescent="0.25">
      <c r="A144" t="s">
        <v>43</v>
      </c>
      <c r="B144">
        <v>2</v>
      </c>
      <c r="C144" t="s">
        <v>23</v>
      </c>
      <c r="D144" t="s">
        <v>94</v>
      </c>
      <c r="E144" t="s">
        <v>111</v>
      </c>
      <c r="F144" t="s">
        <v>145</v>
      </c>
      <c r="G144" t="s">
        <v>263</v>
      </c>
      <c r="H144" t="str">
        <f t="shared" si="24"/>
        <v>P.canescens.Highcomp.Open</v>
      </c>
      <c r="I144" t="s">
        <v>720</v>
      </c>
      <c r="J144" t="s">
        <v>418</v>
      </c>
      <c r="K144">
        <v>1</v>
      </c>
      <c r="L144">
        <v>280</v>
      </c>
      <c r="M144">
        <v>260</v>
      </c>
      <c r="N144">
        <v>280</v>
      </c>
      <c r="O144">
        <f t="shared" si="25"/>
        <v>20</v>
      </c>
      <c r="P144">
        <v>110</v>
      </c>
      <c r="Q144">
        <v>170</v>
      </c>
      <c r="R144">
        <v>80</v>
      </c>
      <c r="S144">
        <f t="shared" si="26"/>
        <v>125</v>
      </c>
      <c r="T144">
        <f t="shared" si="27"/>
        <v>0.44642857142857145</v>
      </c>
      <c r="V144" t="s">
        <v>121</v>
      </c>
      <c r="W144" t="s">
        <v>114</v>
      </c>
      <c r="X144">
        <v>28.2</v>
      </c>
      <c r="Y144">
        <v>23.3</v>
      </c>
      <c r="Z144">
        <v>23.8</v>
      </c>
      <c r="AA144">
        <v>25.1</v>
      </c>
      <c r="AB144">
        <v>25.1</v>
      </c>
      <c r="AC144" t="s">
        <v>114</v>
      </c>
      <c r="AD144" t="s">
        <v>114</v>
      </c>
      <c r="AE144" t="s">
        <v>114</v>
      </c>
      <c r="AF144" t="s">
        <v>114</v>
      </c>
      <c r="AG144">
        <v>23.3</v>
      </c>
      <c r="AH144">
        <v>22.3</v>
      </c>
      <c r="AI144">
        <v>16.399999999999999</v>
      </c>
      <c r="AJ144">
        <v>20.666666670000001</v>
      </c>
      <c r="AK144">
        <v>25.2</v>
      </c>
      <c r="AL144">
        <v>25.7</v>
      </c>
      <c r="AM144">
        <v>17.899999999999999</v>
      </c>
      <c r="AN144">
        <v>22.93333333</v>
      </c>
      <c r="AO144">
        <v>20.666666670000001</v>
      </c>
      <c r="AP144">
        <v>12</v>
      </c>
      <c r="AQ144">
        <v>10</v>
      </c>
      <c r="AR144">
        <v>11</v>
      </c>
      <c r="AS144">
        <v>11</v>
      </c>
      <c r="AT144">
        <v>13</v>
      </c>
      <c r="AU144">
        <v>11</v>
      </c>
      <c r="AV144">
        <v>9.5</v>
      </c>
      <c r="AW144">
        <v>11.16666667</v>
      </c>
      <c r="AX144">
        <v>11</v>
      </c>
      <c r="AY144">
        <v>-14.1</v>
      </c>
      <c r="AZ144">
        <v>5</v>
      </c>
      <c r="BA144">
        <v>30</v>
      </c>
      <c r="BB144">
        <v>5</v>
      </c>
      <c r="BC144">
        <v>10</v>
      </c>
      <c r="BD144">
        <v>0</v>
      </c>
      <c r="BE144">
        <v>1</v>
      </c>
      <c r="BF144">
        <v>3</v>
      </c>
      <c r="BG144">
        <v>3</v>
      </c>
      <c r="BI144">
        <v>18.7</v>
      </c>
      <c r="BJ144">
        <v>19.202000000000002</v>
      </c>
      <c r="BK144">
        <v>0</v>
      </c>
      <c r="BL144">
        <v>38</v>
      </c>
      <c r="BM144">
        <v>36</v>
      </c>
      <c r="BN144">
        <v>4925</v>
      </c>
      <c r="BO144">
        <v>1464.6667</v>
      </c>
      <c r="BP144">
        <f t="shared" si="22"/>
        <v>3460.3333000000002</v>
      </c>
      <c r="BQ144">
        <v>2449</v>
      </c>
      <c r="BR144">
        <f t="shared" si="23"/>
        <v>2476</v>
      </c>
      <c r="BS144" t="s">
        <v>114</v>
      </c>
      <c r="BT144" t="s">
        <v>114</v>
      </c>
      <c r="BU144" t="s">
        <v>114</v>
      </c>
      <c r="BV144" t="s">
        <v>114</v>
      </c>
      <c r="BW144" t="s">
        <v>114</v>
      </c>
      <c r="BX144" t="s">
        <v>114</v>
      </c>
      <c r="BY144" t="s">
        <v>114</v>
      </c>
      <c r="BZ144" t="s">
        <v>114</v>
      </c>
      <c r="CA144" t="s">
        <v>114</v>
      </c>
      <c r="CB144" t="s">
        <v>114</v>
      </c>
      <c r="CC144" t="s">
        <v>114</v>
      </c>
      <c r="CD144" t="s">
        <v>114</v>
      </c>
      <c r="CE144" t="s">
        <v>114</v>
      </c>
      <c r="CF144" t="s">
        <v>114</v>
      </c>
      <c r="CG144" t="s">
        <v>114</v>
      </c>
      <c r="CH144" t="s">
        <v>114</v>
      </c>
      <c r="CI144" t="s">
        <v>114</v>
      </c>
      <c r="CJ144" t="s">
        <v>114</v>
      </c>
      <c r="CK144" t="s">
        <v>114</v>
      </c>
      <c r="CL144" t="s">
        <v>114</v>
      </c>
      <c r="CM144" t="s">
        <v>114</v>
      </c>
      <c r="CN144" t="s">
        <v>114</v>
      </c>
      <c r="CO144" t="s">
        <v>114</v>
      </c>
      <c r="CP144" t="s">
        <v>114</v>
      </c>
      <c r="CQ144" t="s">
        <v>114</v>
      </c>
      <c r="CR144" t="s">
        <v>114</v>
      </c>
      <c r="CS144" t="s">
        <v>114</v>
      </c>
      <c r="CT144" t="s">
        <v>114</v>
      </c>
      <c r="CU144" t="s">
        <v>114</v>
      </c>
      <c r="CV144" t="s">
        <v>114</v>
      </c>
      <c r="CW144" t="s">
        <v>114</v>
      </c>
    </row>
    <row r="145" spans="1:101" x14ac:dyDescent="0.25">
      <c r="A145" t="s">
        <v>43</v>
      </c>
      <c r="B145">
        <v>2</v>
      </c>
      <c r="C145" t="s">
        <v>23</v>
      </c>
      <c r="D145" t="s">
        <v>94</v>
      </c>
      <c r="E145" t="s">
        <v>104</v>
      </c>
      <c r="F145" t="s">
        <v>145</v>
      </c>
      <c r="G145" t="s">
        <v>264</v>
      </c>
      <c r="H145" t="str">
        <f t="shared" si="24"/>
        <v>T.cyanopetala.Highcomp.Open</v>
      </c>
      <c r="I145" t="s">
        <v>721</v>
      </c>
      <c r="J145" t="s">
        <v>419</v>
      </c>
      <c r="K145" t="s">
        <v>114</v>
      </c>
      <c r="L145">
        <v>70</v>
      </c>
      <c r="M145">
        <v>50</v>
      </c>
      <c r="N145">
        <v>70</v>
      </c>
      <c r="O145">
        <f t="shared" si="25"/>
        <v>20</v>
      </c>
      <c r="P145">
        <v>40</v>
      </c>
      <c r="Q145">
        <v>35</v>
      </c>
      <c r="R145">
        <v>20</v>
      </c>
      <c r="S145">
        <f t="shared" si="26"/>
        <v>27.5</v>
      </c>
      <c r="T145">
        <f t="shared" si="27"/>
        <v>0.39285714285714285</v>
      </c>
      <c r="V145" t="s">
        <v>104</v>
      </c>
      <c r="W145">
        <v>25</v>
      </c>
      <c r="X145">
        <v>28.2</v>
      </c>
      <c r="Y145">
        <v>23.3</v>
      </c>
      <c r="Z145">
        <v>23.8</v>
      </c>
      <c r="AA145">
        <v>25.1</v>
      </c>
      <c r="AB145">
        <v>25.1</v>
      </c>
      <c r="AC145">
        <v>21.8</v>
      </c>
      <c r="AD145">
        <v>25.7</v>
      </c>
      <c r="AE145">
        <v>28.7</v>
      </c>
      <c r="AF145">
        <v>25.4</v>
      </c>
      <c r="AG145">
        <v>23.3</v>
      </c>
      <c r="AH145">
        <v>22.3</v>
      </c>
      <c r="AI145">
        <v>16.399999999999999</v>
      </c>
      <c r="AJ145">
        <v>20.666666670000001</v>
      </c>
      <c r="AK145">
        <v>28.7</v>
      </c>
      <c r="AL145">
        <v>25.2</v>
      </c>
      <c r="AM145">
        <v>29.2</v>
      </c>
      <c r="AN145">
        <v>27.7</v>
      </c>
      <c r="AO145">
        <v>20.666666670000001</v>
      </c>
      <c r="AP145">
        <v>12</v>
      </c>
      <c r="AQ145">
        <v>10</v>
      </c>
      <c r="AR145">
        <v>11</v>
      </c>
      <c r="AS145">
        <v>11</v>
      </c>
      <c r="AT145">
        <v>6.6</v>
      </c>
      <c r="AU145">
        <v>12</v>
      </c>
      <c r="AV145">
        <v>10</v>
      </c>
      <c r="AW145">
        <v>9.5333333329999999</v>
      </c>
      <c r="AX145">
        <v>11</v>
      </c>
      <c r="AY145">
        <v>-14.1</v>
      </c>
      <c r="AZ145">
        <v>5</v>
      </c>
      <c r="BA145">
        <v>30</v>
      </c>
      <c r="BB145">
        <v>5</v>
      </c>
      <c r="BC145">
        <v>10</v>
      </c>
      <c r="BD145">
        <v>0</v>
      </c>
      <c r="BE145">
        <v>1</v>
      </c>
      <c r="BF145">
        <v>3</v>
      </c>
      <c r="BG145">
        <v>3</v>
      </c>
      <c r="BI145">
        <v>18.7</v>
      </c>
      <c r="BJ145">
        <v>19.202000000000002</v>
      </c>
      <c r="BK145">
        <v>0</v>
      </c>
      <c r="BL145">
        <v>5</v>
      </c>
      <c r="BM145">
        <v>5</v>
      </c>
      <c r="BN145">
        <v>30</v>
      </c>
      <c r="BO145">
        <v>35</v>
      </c>
      <c r="BP145">
        <f t="shared" si="22"/>
        <v>-5</v>
      </c>
      <c r="BQ145">
        <v>14</v>
      </c>
      <c r="BR145">
        <f t="shared" si="23"/>
        <v>16</v>
      </c>
      <c r="BS145">
        <v>5.5729166499999998</v>
      </c>
      <c r="BT145">
        <v>1.965242497</v>
      </c>
      <c r="BU145">
        <v>3.15906704</v>
      </c>
      <c r="BV145">
        <v>5.5729166499999998</v>
      </c>
      <c r="BW145">
        <v>-1.965242497</v>
      </c>
      <c r="BX145">
        <v>3.15906704</v>
      </c>
      <c r="BY145">
        <v>62.114799975694403</v>
      </c>
      <c r="BZ145">
        <v>7.7243561440295903</v>
      </c>
      <c r="CA145">
        <v>19.959409126428699</v>
      </c>
      <c r="CB145">
        <v>62.114799975694403</v>
      </c>
      <c r="CC145">
        <v>7.7243561440295903</v>
      </c>
      <c r="CD145">
        <v>19.959409126428699</v>
      </c>
      <c r="CE145" t="s">
        <v>114</v>
      </c>
      <c r="CF145" t="s">
        <v>114</v>
      </c>
      <c r="CG145" t="s">
        <v>114</v>
      </c>
      <c r="CH145">
        <v>5.5729166499999998</v>
      </c>
      <c r="CI145">
        <v>1.965242497</v>
      </c>
      <c r="CJ145">
        <v>3.15906704</v>
      </c>
      <c r="CK145" t="s">
        <v>114</v>
      </c>
      <c r="CL145">
        <v>5.5729166499999998</v>
      </c>
      <c r="CM145">
        <v>-1.965242497</v>
      </c>
      <c r="CN145">
        <v>3.15906704</v>
      </c>
      <c r="CO145" t="s">
        <v>114</v>
      </c>
      <c r="CP145">
        <v>62.114799975694403</v>
      </c>
      <c r="CQ145">
        <v>7.7243561440295903</v>
      </c>
      <c r="CR145">
        <v>19.959409126428699</v>
      </c>
      <c r="CS145" t="s">
        <v>114</v>
      </c>
      <c r="CT145">
        <v>62.114799975694403</v>
      </c>
      <c r="CU145">
        <v>7.7243561440295903</v>
      </c>
      <c r="CV145">
        <v>19.959409126428699</v>
      </c>
      <c r="CW145" t="s">
        <v>114</v>
      </c>
    </row>
    <row r="146" spans="1:101" x14ac:dyDescent="0.25">
      <c r="A146" t="s">
        <v>44</v>
      </c>
      <c r="B146">
        <v>2</v>
      </c>
      <c r="C146" t="s">
        <v>25</v>
      </c>
      <c r="D146" t="s">
        <v>95</v>
      </c>
      <c r="E146" t="s">
        <v>102</v>
      </c>
      <c r="F146" t="s">
        <v>145</v>
      </c>
      <c r="G146" t="s">
        <v>265</v>
      </c>
      <c r="H146" t="str">
        <f t="shared" si="24"/>
        <v>A.calendula.Highcomp.Shade</v>
      </c>
      <c r="I146" t="s">
        <v>725</v>
      </c>
      <c r="J146" t="s">
        <v>420</v>
      </c>
      <c r="K146">
        <v>2</v>
      </c>
      <c r="L146">
        <v>170</v>
      </c>
      <c r="M146">
        <v>210</v>
      </c>
      <c r="N146">
        <v>170</v>
      </c>
      <c r="O146">
        <f t="shared" si="25"/>
        <v>-40</v>
      </c>
      <c r="P146">
        <v>35</v>
      </c>
      <c r="Q146">
        <v>75</v>
      </c>
      <c r="R146">
        <v>30</v>
      </c>
      <c r="S146">
        <f t="shared" si="26"/>
        <v>52.5</v>
      </c>
      <c r="T146">
        <f t="shared" si="27"/>
        <v>0.30882352941176472</v>
      </c>
      <c r="V146" t="s">
        <v>102</v>
      </c>
      <c r="W146">
        <v>190</v>
      </c>
      <c r="X146">
        <v>17.399999999999999</v>
      </c>
      <c r="Y146">
        <v>15.9</v>
      </c>
      <c r="Z146">
        <v>17.899999999999999</v>
      </c>
      <c r="AA146">
        <v>17.06666667</v>
      </c>
      <c r="AB146">
        <v>17.06666667</v>
      </c>
      <c r="AC146">
        <v>15.9</v>
      </c>
      <c r="AD146">
        <v>13</v>
      </c>
      <c r="AE146">
        <v>13.5</v>
      </c>
      <c r="AF146">
        <v>14.133333329999999</v>
      </c>
      <c r="AG146">
        <v>20.8</v>
      </c>
      <c r="AH146">
        <v>17.399999999999999</v>
      </c>
      <c r="AI146">
        <v>20.3</v>
      </c>
      <c r="AJ146">
        <v>19.5</v>
      </c>
      <c r="AK146">
        <v>14.9</v>
      </c>
      <c r="AL146">
        <v>12.5</v>
      </c>
      <c r="AM146">
        <v>13.9</v>
      </c>
      <c r="AN146">
        <v>13.766666669999999</v>
      </c>
      <c r="AO146">
        <v>19.5</v>
      </c>
      <c r="AP146">
        <v>8.1</v>
      </c>
      <c r="AQ146">
        <v>7.1</v>
      </c>
      <c r="AR146">
        <v>8.5</v>
      </c>
      <c r="AS146">
        <v>7.9</v>
      </c>
      <c r="AT146">
        <v>5.6</v>
      </c>
      <c r="AU146">
        <v>5.6</v>
      </c>
      <c r="AV146">
        <v>6.1</v>
      </c>
      <c r="AW146">
        <v>5.766666667</v>
      </c>
      <c r="AX146">
        <v>7.9</v>
      </c>
      <c r="AY146">
        <v>-9.1666666669999994</v>
      </c>
      <c r="AZ146">
        <v>30</v>
      </c>
      <c r="BA146">
        <v>0</v>
      </c>
      <c r="BB146">
        <v>10</v>
      </c>
      <c r="BC146">
        <v>20</v>
      </c>
      <c r="BD146">
        <v>1</v>
      </c>
      <c r="BE146">
        <v>1</v>
      </c>
      <c r="BF146">
        <v>3</v>
      </c>
      <c r="BG146">
        <v>1</v>
      </c>
      <c r="BI146">
        <v>6.4</v>
      </c>
      <c r="BJ146">
        <v>50.609000000000002</v>
      </c>
      <c r="BK146">
        <v>0</v>
      </c>
      <c r="BL146">
        <v>19</v>
      </c>
      <c r="BM146">
        <v>16</v>
      </c>
      <c r="BN146">
        <v>675</v>
      </c>
      <c r="BO146">
        <v>486.66669999999999</v>
      </c>
      <c r="BP146">
        <f t="shared" si="22"/>
        <v>188.33330000000001</v>
      </c>
      <c r="BQ146">
        <v>532</v>
      </c>
      <c r="BR146">
        <f t="shared" si="23"/>
        <v>143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 t="s">
        <v>114</v>
      </c>
      <c r="BZ146" t="s">
        <v>114</v>
      </c>
      <c r="CA146" t="s">
        <v>114</v>
      </c>
      <c r="CB146" t="s">
        <v>114</v>
      </c>
      <c r="CC146" t="s">
        <v>114</v>
      </c>
      <c r="CD146" t="s">
        <v>114</v>
      </c>
      <c r="CE146">
        <v>0</v>
      </c>
      <c r="CF146" t="s">
        <v>114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 t="s">
        <v>114</v>
      </c>
      <c r="CP146" t="s">
        <v>114</v>
      </c>
      <c r="CQ146" t="s">
        <v>114</v>
      </c>
      <c r="CR146" t="s">
        <v>114</v>
      </c>
      <c r="CS146" t="s">
        <v>114</v>
      </c>
      <c r="CT146" t="s">
        <v>114</v>
      </c>
      <c r="CU146" t="s">
        <v>114</v>
      </c>
      <c r="CV146" t="s">
        <v>114</v>
      </c>
      <c r="CW146">
        <v>0</v>
      </c>
    </row>
    <row r="147" spans="1:101" x14ac:dyDescent="0.25">
      <c r="A147" t="s">
        <v>44</v>
      </c>
      <c r="B147">
        <v>2</v>
      </c>
      <c r="C147" t="s">
        <v>25</v>
      </c>
      <c r="D147" t="s">
        <v>95</v>
      </c>
      <c r="E147" t="s">
        <v>110</v>
      </c>
      <c r="F147" t="s">
        <v>145</v>
      </c>
      <c r="G147" t="s">
        <v>262</v>
      </c>
      <c r="H147" t="str">
        <f t="shared" si="24"/>
        <v>M.minima.Highcomp.Shade</v>
      </c>
      <c r="I147" t="s">
        <v>726</v>
      </c>
      <c r="J147" t="s">
        <v>421</v>
      </c>
      <c r="K147">
        <v>1</v>
      </c>
      <c r="L147">
        <v>60</v>
      </c>
      <c r="M147">
        <v>110</v>
      </c>
      <c r="N147">
        <v>60</v>
      </c>
      <c r="O147">
        <f t="shared" si="25"/>
        <v>-50</v>
      </c>
      <c r="P147">
        <v>18</v>
      </c>
      <c r="Q147">
        <v>30</v>
      </c>
      <c r="R147">
        <v>5</v>
      </c>
      <c r="S147">
        <f t="shared" si="26"/>
        <v>17.5</v>
      </c>
      <c r="T147">
        <f t="shared" si="27"/>
        <v>0.29166666666666669</v>
      </c>
      <c r="V147" t="s">
        <v>121</v>
      </c>
      <c r="W147" t="s">
        <v>114</v>
      </c>
      <c r="X147">
        <v>17.399999999999999</v>
      </c>
      <c r="Y147">
        <v>15.9</v>
      </c>
      <c r="Z147">
        <v>17.899999999999999</v>
      </c>
      <c r="AA147">
        <v>17.06666667</v>
      </c>
      <c r="AB147">
        <v>17.06666667</v>
      </c>
      <c r="AC147">
        <v>12</v>
      </c>
      <c r="AD147">
        <v>16.899999999999999</v>
      </c>
      <c r="AE147">
        <v>15.9</v>
      </c>
      <c r="AF147">
        <v>14.93333333</v>
      </c>
      <c r="AG147">
        <v>20.8</v>
      </c>
      <c r="AH147">
        <v>17.399999999999999</v>
      </c>
      <c r="AI147">
        <v>20.3</v>
      </c>
      <c r="AJ147">
        <v>19.5</v>
      </c>
      <c r="AK147">
        <v>16.899999999999999</v>
      </c>
      <c r="AL147">
        <v>18.899999999999999</v>
      </c>
      <c r="AM147">
        <v>14.9</v>
      </c>
      <c r="AN147">
        <v>16.899999999999999</v>
      </c>
      <c r="AO147">
        <v>19.5</v>
      </c>
      <c r="AP147">
        <v>8.1</v>
      </c>
      <c r="AQ147">
        <v>7.1</v>
      </c>
      <c r="AR147">
        <v>8.5</v>
      </c>
      <c r="AS147">
        <v>7.9</v>
      </c>
      <c r="AT147">
        <v>7.6</v>
      </c>
      <c r="AU147">
        <v>9</v>
      </c>
      <c r="AV147">
        <v>8.5</v>
      </c>
      <c r="AW147">
        <v>8.3666666670000005</v>
      </c>
      <c r="AX147">
        <v>7.9</v>
      </c>
      <c r="AY147">
        <v>-9.1666666669999994</v>
      </c>
      <c r="AZ147">
        <v>30</v>
      </c>
      <c r="BA147">
        <v>0</v>
      </c>
      <c r="BB147">
        <v>10</v>
      </c>
      <c r="BC147">
        <v>20</v>
      </c>
      <c r="BD147">
        <v>1</v>
      </c>
      <c r="BE147">
        <v>1</v>
      </c>
      <c r="BF147">
        <v>3</v>
      </c>
      <c r="BG147">
        <v>1</v>
      </c>
      <c r="BI147">
        <v>6.4</v>
      </c>
      <c r="BJ147">
        <v>50.609000000000002</v>
      </c>
      <c r="BK147">
        <v>1</v>
      </c>
      <c r="BL147">
        <v>2</v>
      </c>
      <c r="BM147">
        <v>2</v>
      </c>
      <c r="BN147">
        <v>2</v>
      </c>
      <c r="BO147">
        <v>3</v>
      </c>
      <c r="BP147">
        <f t="shared" si="22"/>
        <v>-1</v>
      </c>
      <c r="BQ147">
        <v>3</v>
      </c>
      <c r="BR147">
        <f t="shared" si="23"/>
        <v>-1</v>
      </c>
      <c r="BS147" t="s">
        <v>114</v>
      </c>
      <c r="BT147" t="s">
        <v>114</v>
      </c>
      <c r="BU147" t="s">
        <v>114</v>
      </c>
      <c r="BV147" t="s">
        <v>114</v>
      </c>
      <c r="BW147" t="s">
        <v>114</v>
      </c>
      <c r="BX147" t="s">
        <v>114</v>
      </c>
      <c r="BY147" t="s">
        <v>114</v>
      </c>
      <c r="BZ147" t="s">
        <v>114</v>
      </c>
      <c r="CA147" t="s">
        <v>114</v>
      </c>
      <c r="CB147" t="s">
        <v>114</v>
      </c>
      <c r="CC147" t="s">
        <v>114</v>
      </c>
      <c r="CD147" t="s">
        <v>114</v>
      </c>
      <c r="CE147" t="s">
        <v>114</v>
      </c>
      <c r="CF147" t="s">
        <v>114</v>
      </c>
      <c r="CG147" t="s">
        <v>114</v>
      </c>
      <c r="CH147" t="s">
        <v>114</v>
      </c>
      <c r="CI147" t="s">
        <v>114</v>
      </c>
      <c r="CJ147" t="s">
        <v>114</v>
      </c>
      <c r="CK147" t="s">
        <v>114</v>
      </c>
      <c r="CL147" t="s">
        <v>114</v>
      </c>
      <c r="CM147" t="s">
        <v>114</v>
      </c>
      <c r="CN147" t="s">
        <v>114</v>
      </c>
      <c r="CO147" t="s">
        <v>114</v>
      </c>
      <c r="CP147" t="s">
        <v>114</v>
      </c>
      <c r="CQ147" t="s">
        <v>114</v>
      </c>
      <c r="CR147" t="s">
        <v>114</v>
      </c>
      <c r="CS147" t="s">
        <v>114</v>
      </c>
      <c r="CT147" t="s">
        <v>114</v>
      </c>
      <c r="CU147" t="s">
        <v>114</v>
      </c>
      <c r="CV147" t="s">
        <v>114</v>
      </c>
      <c r="CW147" t="s">
        <v>114</v>
      </c>
    </row>
    <row r="148" spans="1:101" x14ac:dyDescent="0.25">
      <c r="A148" t="s">
        <v>44</v>
      </c>
      <c r="B148">
        <v>2</v>
      </c>
      <c r="C148" t="s">
        <v>25</v>
      </c>
      <c r="D148" t="s">
        <v>95</v>
      </c>
      <c r="E148" t="s">
        <v>104</v>
      </c>
      <c r="F148" t="s">
        <v>145</v>
      </c>
      <c r="G148" t="s">
        <v>264</v>
      </c>
      <c r="H148" t="str">
        <f t="shared" si="24"/>
        <v>T.cyanopetala.Highcomp.Shade</v>
      </c>
      <c r="I148" t="s">
        <v>727</v>
      </c>
      <c r="J148" t="s">
        <v>422</v>
      </c>
      <c r="K148">
        <v>0</v>
      </c>
      <c r="L148">
        <v>130</v>
      </c>
      <c r="M148">
        <v>140</v>
      </c>
      <c r="N148">
        <v>130</v>
      </c>
      <c r="O148">
        <f t="shared" si="25"/>
        <v>-10</v>
      </c>
      <c r="P148">
        <v>40</v>
      </c>
      <c r="Q148">
        <v>35</v>
      </c>
      <c r="R148">
        <v>20</v>
      </c>
      <c r="S148">
        <f t="shared" si="26"/>
        <v>27.5</v>
      </c>
      <c r="T148">
        <f t="shared" si="27"/>
        <v>0.21153846153846154</v>
      </c>
      <c r="V148" t="s">
        <v>112</v>
      </c>
      <c r="W148">
        <v>30</v>
      </c>
      <c r="X148">
        <v>17.399999999999999</v>
      </c>
      <c r="Y148">
        <v>15.9</v>
      </c>
      <c r="Z148">
        <v>17.899999999999999</v>
      </c>
      <c r="AA148">
        <v>17.06666667</v>
      </c>
      <c r="AB148">
        <v>17.06666667</v>
      </c>
      <c r="AC148">
        <v>13</v>
      </c>
      <c r="AD148">
        <v>13.5</v>
      </c>
      <c r="AE148">
        <v>14.9</v>
      </c>
      <c r="AF148">
        <v>13.8</v>
      </c>
      <c r="AG148">
        <v>20.8</v>
      </c>
      <c r="AH148">
        <v>17.399999999999999</v>
      </c>
      <c r="AI148">
        <v>20.3</v>
      </c>
      <c r="AJ148">
        <v>19.5</v>
      </c>
      <c r="AK148">
        <v>14.9</v>
      </c>
      <c r="AL148">
        <v>16.899999999999999</v>
      </c>
      <c r="AM148">
        <v>15.4</v>
      </c>
      <c r="AN148">
        <v>15.733333330000001</v>
      </c>
      <c r="AO148">
        <v>19.5</v>
      </c>
      <c r="AP148">
        <v>8.1</v>
      </c>
      <c r="AQ148">
        <v>7.1</v>
      </c>
      <c r="AR148">
        <v>8.5</v>
      </c>
      <c r="AS148">
        <v>7.9</v>
      </c>
      <c r="AT148">
        <v>4.5999999999999996</v>
      </c>
      <c r="AU148">
        <v>5.0999999999999996</v>
      </c>
      <c r="AV148">
        <v>6.6</v>
      </c>
      <c r="AW148">
        <v>5.4333333330000002</v>
      </c>
      <c r="AX148">
        <v>7.9</v>
      </c>
      <c r="AY148">
        <v>-9.1666666669999994</v>
      </c>
      <c r="AZ148">
        <v>30</v>
      </c>
      <c r="BA148">
        <v>0</v>
      </c>
      <c r="BB148">
        <v>10</v>
      </c>
      <c r="BC148">
        <v>20</v>
      </c>
      <c r="BD148">
        <v>1</v>
      </c>
      <c r="BE148">
        <v>1</v>
      </c>
      <c r="BF148">
        <v>3</v>
      </c>
      <c r="BG148">
        <v>1</v>
      </c>
      <c r="BI148">
        <v>6.4</v>
      </c>
      <c r="BJ148">
        <v>50.609000000000002</v>
      </c>
      <c r="BK148">
        <v>0</v>
      </c>
      <c r="BL148">
        <v>14</v>
      </c>
      <c r="BM148">
        <v>14</v>
      </c>
      <c r="BN148">
        <v>86</v>
      </c>
      <c r="BO148">
        <v>134</v>
      </c>
      <c r="BP148">
        <f t="shared" si="22"/>
        <v>-48</v>
      </c>
      <c r="BQ148">
        <v>202</v>
      </c>
      <c r="BR148">
        <f t="shared" si="23"/>
        <v>-116</v>
      </c>
      <c r="BS148">
        <v>36.807570900000002</v>
      </c>
      <c r="BT148">
        <v>0.928214074</v>
      </c>
      <c r="BU148">
        <v>5.8567984066666696</v>
      </c>
      <c r="BV148">
        <v>36.807570900000002</v>
      </c>
      <c r="BW148">
        <v>0.29544740733333302</v>
      </c>
      <c r="BX148">
        <v>1.32022004666667</v>
      </c>
      <c r="BY148">
        <v>109.023765365809</v>
      </c>
      <c r="BZ148">
        <v>0.60828248344761204</v>
      </c>
      <c r="CA148">
        <v>19.3203252778309</v>
      </c>
      <c r="CB148">
        <v>109.023765365809</v>
      </c>
      <c r="CC148">
        <v>1.7697207784551501</v>
      </c>
      <c r="CD148">
        <v>68.158985184899905</v>
      </c>
      <c r="CE148" t="s">
        <v>114</v>
      </c>
      <c r="CF148" t="s">
        <v>114</v>
      </c>
      <c r="CG148" t="s">
        <v>114</v>
      </c>
      <c r="CH148">
        <v>36.807570900000002</v>
      </c>
      <c r="CI148">
        <v>0.928214074</v>
      </c>
      <c r="CJ148">
        <v>5.8567984066666696</v>
      </c>
      <c r="CK148" t="s">
        <v>114</v>
      </c>
      <c r="CL148">
        <v>36.807570900000002</v>
      </c>
      <c r="CM148">
        <v>0.29544740733333302</v>
      </c>
      <c r="CN148">
        <v>1.32022004666667</v>
      </c>
      <c r="CO148" t="s">
        <v>114</v>
      </c>
      <c r="CP148">
        <v>109.023765365809</v>
      </c>
      <c r="CQ148">
        <v>0.60828248344761204</v>
      </c>
      <c r="CR148">
        <v>19.3203252778309</v>
      </c>
      <c r="CS148" t="s">
        <v>114</v>
      </c>
      <c r="CT148">
        <v>109.023765365809</v>
      </c>
      <c r="CU148">
        <v>1.7697207784551501</v>
      </c>
      <c r="CV148">
        <v>68.158985184899905</v>
      </c>
      <c r="CW148" t="s">
        <v>114</v>
      </c>
    </row>
    <row r="149" spans="1:101" x14ac:dyDescent="0.25">
      <c r="A149" t="s">
        <v>44</v>
      </c>
      <c r="B149">
        <v>2</v>
      </c>
      <c r="C149" t="s">
        <v>25</v>
      </c>
      <c r="D149" t="s">
        <v>95</v>
      </c>
      <c r="E149" t="s">
        <v>112</v>
      </c>
      <c r="F149" t="s">
        <v>145</v>
      </c>
      <c r="G149" t="s">
        <v>261</v>
      </c>
      <c r="H149" t="str">
        <f t="shared" si="24"/>
        <v>V.rosea.Highcomp.Shade</v>
      </c>
      <c r="I149" t="s">
        <v>722</v>
      </c>
      <c r="J149" t="s">
        <v>423</v>
      </c>
      <c r="K149">
        <v>3</v>
      </c>
      <c r="L149">
        <v>120</v>
      </c>
      <c r="M149">
        <v>70</v>
      </c>
      <c r="N149">
        <v>120</v>
      </c>
      <c r="O149">
        <f t="shared" si="25"/>
        <v>50</v>
      </c>
      <c r="P149">
        <v>65</v>
      </c>
      <c r="Q149">
        <v>150</v>
      </c>
      <c r="R149">
        <v>45</v>
      </c>
      <c r="S149">
        <f t="shared" si="26"/>
        <v>97.5</v>
      </c>
      <c r="T149">
        <f t="shared" si="27"/>
        <v>0.8125</v>
      </c>
      <c r="V149" t="s">
        <v>121</v>
      </c>
      <c r="W149" t="s">
        <v>114</v>
      </c>
      <c r="X149">
        <v>17.399999999999999</v>
      </c>
      <c r="Y149">
        <v>15.9</v>
      </c>
      <c r="Z149">
        <v>17.899999999999999</v>
      </c>
      <c r="AA149">
        <v>17.06666667</v>
      </c>
      <c r="AB149">
        <v>17.06666667</v>
      </c>
      <c r="AC149">
        <v>18.399999999999999</v>
      </c>
      <c r="AD149">
        <v>18.399999999999999</v>
      </c>
      <c r="AE149">
        <v>17.899999999999999</v>
      </c>
      <c r="AF149">
        <v>18.233333330000001</v>
      </c>
      <c r="AG149">
        <v>20.8</v>
      </c>
      <c r="AH149">
        <v>17.399999999999999</v>
      </c>
      <c r="AI149">
        <v>20.3</v>
      </c>
      <c r="AJ149">
        <v>19.5</v>
      </c>
      <c r="AK149">
        <v>17.399999999999999</v>
      </c>
      <c r="AL149">
        <v>19.3</v>
      </c>
      <c r="AM149">
        <v>19.8</v>
      </c>
      <c r="AN149">
        <v>18.833333329999999</v>
      </c>
      <c r="AO149">
        <v>19.5</v>
      </c>
      <c r="AP149">
        <v>8.1</v>
      </c>
      <c r="AQ149">
        <v>7.1</v>
      </c>
      <c r="AR149">
        <v>8.5</v>
      </c>
      <c r="AS149">
        <v>7.9</v>
      </c>
      <c r="AT149">
        <v>7.1</v>
      </c>
      <c r="AU149">
        <v>7.1</v>
      </c>
      <c r="AV149">
        <v>8.5</v>
      </c>
      <c r="AW149">
        <v>7.5666666669999998</v>
      </c>
      <c r="AX149">
        <v>7.9</v>
      </c>
      <c r="AY149">
        <v>-9.1666666669999994</v>
      </c>
      <c r="AZ149">
        <v>30</v>
      </c>
      <c r="BA149">
        <v>0</v>
      </c>
      <c r="BB149">
        <v>10</v>
      </c>
      <c r="BC149">
        <v>20</v>
      </c>
      <c r="BD149">
        <v>1</v>
      </c>
      <c r="BE149">
        <v>1</v>
      </c>
      <c r="BF149">
        <v>3</v>
      </c>
      <c r="BG149">
        <v>1</v>
      </c>
      <c r="BI149">
        <v>6.4</v>
      </c>
      <c r="BJ149">
        <v>50.609000000000002</v>
      </c>
      <c r="BK149">
        <v>0</v>
      </c>
      <c r="BL149">
        <v>20</v>
      </c>
      <c r="BM149">
        <v>20</v>
      </c>
      <c r="BN149">
        <v>64</v>
      </c>
      <c r="BO149">
        <v>116.5</v>
      </c>
      <c r="BP149">
        <f t="shared" si="22"/>
        <v>-52.5</v>
      </c>
      <c r="BQ149">
        <v>83</v>
      </c>
      <c r="BR149">
        <f t="shared" si="23"/>
        <v>-19</v>
      </c>
      <c r="BS149" t="s">
        <v>114</v>
      </c>
      <c r="BT149" t="s">
        <v>114</v>
      </c>
      <c r="BU149" t="s">
        <v>114</v>
      </c>
      <c r="BV149" t="s">
        <v>114</v>
      </c>
      <c r="BW149" t="s">
        <v>114</v>
      </c>
      <c r="BX149" t="s">
        <v>114</v>
      </c>
      <c r="BY149" t="s">
        <v>114</v>
      </c>
      <c r="BZ149" t="s">
        <v>114</v>
      </c>
      <c r="CA149" t="s">
        <v>114</v>
      </c>
      <c r="CB149" t="s">
        <v>114</v>
      </c>
      <c r="CC149" t="s">
        <v>114</v>
      </c>
      <c r="CD149" t="s">
        <v>114</v>
      </c>
      <c r="CE149" t="s">
        <v>114</v>
      </c>
      <c r="CF149" t="s">
        <v>114</v>
      </c>
      <c r="CG149" t="s">
        <v>114</v>
      </c>
      <c r="CH149" t="s">
        <v>114</v>
      </c>
      <c r="CI149" t="s">
        <v>114</v>
      </c>
      <c r="CJ149" t="s">
        <v>114</v>
      </c>
      <c r="CK149" t="s">
        <v>114</v>
      </c>
      <c r="CL149" t="s">
        <v>114</v>
      </c>
      <c r="CM149" t="s">
        <v>114</v>
      </c>
      <c r="CN149" t="s">
        <v>114</v>
      </c>
      <c r="CO149" t="s">
        <v>114</v>
      </c>
      <c r="CP149" t="s">
        <v>114</v>
      </c>
      <c r="CQ149" t="s">
        <v>114</v>
      </c>
      <c r="CR149" t="s">
        <v>114</v>
      </c>
      <c r="CS149" t="s">
        <v>114</v>
      </c>
      <c r="CT149" t="s">
        <v>114</v>
      </c>
      <c r="CU149" t="s">
        <v>114</v>
      </c>
      <c r="CV149" t="s">
        <v>114</v>
      </c>
      <c r="CW149" t="s">
        <v>114</v>
      </c>
    </row>
    <row r="150" spans="1:101" x14ac:dyDescent="0.25">
      <c r="A150" t="s">
        <v>45</v>
      </c>
      <c r="B150">
        <v>2</v>
      </c>
      <c r="C150" t="s">
        <v>27</v>
      </c>
      <c r="D150" t="s">
        <v>95</v>
      </c>
      <c r="E150" t="s">
        <v>102</v>
      </c>
      <c r="F150" t="s">
        <v>145</v>
      </c>
      <c r="G150" t="s">
        <v>265</v>
      </c>
      <c r="H150" t="str">
        <f t="shared" si="24"/>
        <v>A.calendula.Highcomp.Shade</v>
      </c>
      <c r="I150" t="s">
        <v>725</v>
      </c>
      <c r="J150" t="s">
        <v>424</v>
      </c>
      <c r="K150">
        <v>2</v>
      </c>
      <c r="L150">
        <v>170</v>
      </c>
      <c r="M150">
        <v>145</v>
      </c>
      <c r="N150">
        <v>170</v>
      </c>
      <c r="O150">
        <f t="shared" si="25"/>
        <v>25</v>
      </c>
      <c r="P150">
        <v>160</v>
      </c>
      <c r="Q150">
        <v>160</v>
      </c>
      <c r="R150">
        <v>105</v>
      </c>
      <c r="S150">
        <f t="shared" si="26"/>
        <v>132.5</v>
      </c>
      <c r="T150">
        <f t="shared" si="27"/>
        <v>0.77941176470588236</v>
      </c>
      <c r="V150" t="s">
        <v>113</v>
      </c>
      <c r="W150">
        <v>50</v>
      </c>
      <c r="X150">
        <v>12.5</v>
      </c>
      <c r="Y150">
        <v>14.9</v>
      </c>
      <c r="Z150">
        <v>17.899999999999999</v>
      </c>
      <c r="AA150">
        <v>15.1</v>
      </c>
      <c r="AB150">
        <v>15.1</v>
      </c>
      <c r="AC150">
        <v>12.5</v>
      </c>
      <c r="AD150">
        <v>13.9</v>
      </c>
      <c r="AE150">
        <v>14.4</v>
      </c>
      <c r="AF150">
        <v>13.6</v>
      </c>
      <c r="AG150">
        <v>15.4</v>
      </c>
      <c r="AH150">
        <v>15.9</v>
      </c>
      <c r="AI150">
        <v>17.399999999999999</v>
      </c>
      <c r="AJ150">
        <v>16.233333330000001</v>
      </c>
      <c r="AK150">
        <v>13.9</v>
      </c>
      <c r="AL150">
        <v>13</v>
      </c>
      <c r="AM150">
        <v>14.4</v>
      </c>
      <c r="AN150">
        <v>13.766666669999999</v>
      </c>
      <c r="AO150">
        <v>16.233333330000001</v>
      </c>
      <c r="AP150">
        <v>7.6</v>
      </c>
      <c r="AQ150">
        <v>7.1</v>
      </c>
      <c r="AR150">
        <v>8.5</v>
      </c>
      <c r="AS150">
        <v>7.733333333</v>
      </c>
      <c r="AT150">
        <v>5.0999999999999996</v>
      </c>
      <c r="AU150">
        <v>5.0999999999999996</v>
      </c>
      <c r="AV150">
        <v>5.6</v>
      </c>
      <c r="AW150">
        <v>5.266666667</v>
      </c>
      <c r="AX150">
        <v>7.733333333</v>
      </c>
      <c r="AY150">
        <v>-7.3666666669999996</v>
      </c>
      <c r="AZ150">
        <v>20</v>
      </c>
      <c r="BA150">
        <v>35</v>
      </c>
      <c r="BB150">
        <v>5</v>
      </c>
      <c r="BC150">
        <v>0</v>
      </c>
      <c r="BD150">
        <v>1</v>
      </c>
      <c r="BE150">
        <v>0</v>
      </c>
      <c r="BF150">
        <v>1</v>
      </c>
      <c r="BG150">
        <v>0</v>
      </c>
      <c r="BI150">
        <v>11</v>
      </c>
      <c r="BJ150">
        <v>42.4</v>
      </c>
      <c r="BK150">
        <v>0</v>
      </c>
      <c r="BL150">
        <v>45</v>
      </c>
      <c r="BM150">
        <v>38</v>
      </c>
      <c r="BN150">
        <v>1335</v>
      </c>
      <c r="BO150">
        <v>486.66669999999999</v>
      </c>
      <c r="BP150">
        <f t="shared" si="22"/>
        <v>848.33330000000001</v>
      </c>
      <c r="BQ150">
        <v>774</v>
      </c>
      <c r="BR150">
        <f t="shared" si="23"/>
        <v>561</v>
      </c>
      <c r="BS150">
        <v>0.98316497999999997</v>
      </c>
      <c r="BT150">
        <v>0.38814500000000002</v>
      </c>
      <c r="BU150">
        <v>6.5570341799999996</v>
      </c>
      <c r="BV150">
        <v>0.98316497999999997</v>
      </c>
      <c r="BW150">
        <v>0.38814500000000002</v>
      </c>
      <c r="BX150">
        <v>6.5570341799999996</v>
      </c>
      <c r="BY150" t="s">
        <v>114</v>
      </c>
      <c r="BZ150" t="s">
        <v>114</v>
      </c>
      <c r="CA150" t="s">
        <v>114</v>
      </c>
      <c r="CB150" t="s">
        <v>114</v>
      </c>
      <c r="CC150" t="s">
        <v>114</v>
      </c>
      <c r="CD150" t="s">
        <v>114</v>
      </c>
      <c r="CE150">
        <v>0.94413650000000005</v>
      </c>
      <c r="CF150" t="s">
        <v>114</v>
      </c>
      <c r="CG150">
        <v>0.94413650000000005</v>
      </c>
      <c r="CH150">
        <v>0.98316497999999997</v>
      </c>
      <c r="CI150">
        <v>0.38814500000000002</v>
      </c>
      <c r="CJ150">
        <v>6.5570341799999996</v>
      </c>
      <c r="CK150">
        <v>0.94413650000000005</v>
      </c>
      <c r="CL150">
        <v>0.98316497999999997</v>
      </c>
      <c r="CM150">
        <v>0.38814500000000002</v>
      </c>
      <c r="CN150">
        <v>6.5570341799999996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0.94413650000000005</v>
      </c>
    </row>
    <row r="151" spans="1:101" x14ac:dyDescent="0.25">
      <c r="A151" t="s">
        <v>45</v>
      </c>
      <c r="B151">
        <v>2</v>
      </c>
      <c r="C151" t="s">
        <v>27</v>
      </c>
      <c r="D151" t="s">
        <v>95</v>
      </c>
      <c r="E151" t="s">
        <v>105</v>
      </c>
      <c r="F151" t="s">
        <v>145</v>
      </c>
      <c r="G151" t="s">
        <v>266</v>
      </c>
      <c r="H151" t="str">
        <f t="shared" si="24"/>
        <v>H.glabra.Highcomp.Shade</v>
      </c>
      <c r="I151" t="s">
        <v>728</v>
      </c>
      <c r="J151" t="s">
        <v>425</v>
      </c>
      <c r="K151">
        <v>6</v>
      </c>
      <c r="L151">
        <v>20</v>
      </c>
      <c r="M151">
        <v>80</v>
      </c>
      <c r="N151">
        <v>20</v>
      </c>
      <c r="O151">
        <f t="shared" si="25"/>
        <v>-60</v>
      </c>
      <c r="P151">
        <v>37</v>
      </c>
      <c r="Q151">
        <v>37</v>
      </c>
      <c r="R151">
        <v>17</v>
      </c>
      <c r="S151">
        <f t="shared" si="26"/>
        <v>27</v>
      </c>
      <c r="T151">
        <f t="shared" si="27"/>
        <v>1.35</v>
      </c>
      <c r="V151" t="s">
        <v>113</v>
      </c>
      <c r="W151">
        <v>40</v>
      </c>
      <c r="X151">
        <v>12.5</v>
      </c>
      <c r="Y151">
        <v>14.9</v>
      </c>
      <c r="Z151">
        <v>17.899999999999999</v>
      </c>
      <c r="AA151">
        <v>15.1</v>
      </c>
      <c r="AB151">
        <v>15.1</v>
      </c>
      <c r="AC151">
        <v>14.9</v>
      </c>
      <c r="AD151">
        <v>16.399999999999999</v>
      </c>
      <c r="AE151">
        <v>16.399999999999999</v>
      </c>
      <c r="AF151">
        <v>15.9</v>
      </c>
      <c r="AG151">
        <v>15.4</v>
      </c>
      <c r="AH151">
        <v>15.9</v>
      </c>
      <c r="AI151">
        <v>17.399999999999999</v>
      </c>
      <c r="AJ151">
        <v>16.233333330000001</v>
      </c>
      <c r="AK151">
        <v>14.9</v>
      </c>
      <c r="AL151">
        <v>16.399999999999999</v>
      </c>
      <c r="AM151">
        <v>14.4</v>
      </c>
      <c r="AN151">
        <v>15.233333330000001</v>
      </c>
      <c r="AO151">
        <v>16.233333330000001</v>
      </c>
      <c r="AP151">
        <v>7.6</v>
      </c>
      <c r="AQ151">
        <v>7.1</v>
      </c>
      <c r="AR151">
        <v>8.5</v>
      </c>
      <c r="AS151">
        <v>7.733333333</v>
      </c>
      <c r="AT151">
        <v>8.5</v>
      </c>
      <c r="AU151">
        <v>8.5</v>
      </c>
      <c r="AV151">
        <v>8.1</v>
      </c>
      <c r="AW151">
        <v>8.3666666670000005</v>
      </c>
      <c r="AX151">
        <v>7.733333333</v>
      </c>
      <c r="AY151">
        <v>-7.3666666669999996</v>
      </c>
      <c r="AZ151">
        <v>20</v>
      </c>
      <c r="BA151">
        <v>35</v>
      </c>
      <c r="BB151">
        <v>5</v>
      </c>
      <c r="BC151">
        <v>0</v>
      </c>
      <c r="BD151">
        <v>1</v>
      </c>
      <c r="BE151">
        <v>0</v>
      </c>
      <c r="BF151">
        <v>1</v>
      </c>
      <c r="BG151">
        <v>0</v>
      </c>
      <c r="BI151">
        <v>11</v>
      </c>
      <c r="BJ151">
        <v>42.4</v>
      </c>
      <c r="BK151">
        <v>0</v>
      </c>
      <c r="BL151">
        <v>2</v>
      </c>
      <c r="BM151">
        <v>2</v>
      </c>
      <c r="BN151" t="s">
        <v>114</v>
      </c>
      <c r="BO151">
        <v>320</v>
      </c>
      <c r="BP151" t="s">
        <v>114</v>
      </c>
      <c r="BQ151">
        <v>499</v>
      </c>
      <c r="BR151" t="s">
        <v>114</v>
      </c>
      <c r="BS151">
        <v>16.257575760000002</v>
      </c>
      <c r="BT151">
        <v>0.31284321999999998</v>
      </c>
      <c r="BU151">
        <v>25.327255940000001</v>
      </c>
      <c r="BV151">
        <v>-16.257575760000002</v>
      </c>
      <c r="BW151">
        <v>-0.31284321999999998</v>
      </c>
      <c r="BX151">
        <v>25.327255940000001</v>
      </c>
      <c r="BY151" t="s">
        <v>114</v>
      </c>
      <c r="BZ151" t="s">
        <v>114</v>
      </c>
      <c r="CA151" t="s">
        <v>114</v>
      </c>
      <c r="CB151" t="s">
        <v>114</v>
      </c>
      <c r="CC151" t="s">
        <v>114</v>
      </c>
      <c r="CD151" t="s">
        <v>114</v>
      </c>
      <c r="CE151">
        <v>1.8820212999999999</v>
      </c>
      <c r="CF151" t="s">
        <v>114</v>
      </c>
      <c r="CG151">
        <v>1.8820212999999999</v>
      </c>
      <c r="CH151">
        <v>16.257575760000002</v>
      </c>
      <c r="CI151">
        <v>0.31284321999999998</v>
      </c>
      <c r="CJ151">
        <v>25.327255940000001</v>
      </c>
      <c r="CK151">
        <v>1.8820212999999999</v>
      </c>
      <c r="CL151">
        <v>-16.257575760000002</v>
      </c>
      <c r="CM151">
        <v>-0.31284321999999998</v>
      </c>
      <c r="CN151">
        <v>25.327255940000001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1.8820212999999999</v>
      </c>
    </row>
    <row r="152" spans="1:101" x14ac:dyDescent="0.25">
      <c r="A152" t="s">
        <v>45</v>
      </c>
      <c r="B152">
        <v>2</v>
      </c>
      <c r="C152" t="s">
        <v>27</v>
      </c>
      <c r="D152" t="s">
        <v>95</v>
      </c>
      <c r="E152" t="s">
        <v>112</v>
      </c>
      <c r="F152" t="s">
        <v>145</v>
      </c>
      <c r="G152" t="s">
        <v>261</v>
      </c>
      <c r="H152" t="str">
        <f t="shared" si="24"/>
        <v>V.rosea.Highcomp.Shade</v>
      </c>
      <c r="I152" t="s">
        <v>722</v>
      </c>
      <c r="J152" t="s">
        <v>426</v>
      </c>
      <c r="K152">
        <v>9</v>
      </c>
      <c r="L152">
        <v>90</v>
      </c>
      <c r="M152">
        <v>30</v>
      </c>
      <c r="N152">
        <v>90</v>
      </c>
      <c r="O152">
        <f t="shared" si="25"/>
        <v>60</v>
      </c>
      <c r="P152">
        <v>45</v>
      </c>
      <c r="Q152">
        <v>90</v>
      </c>
      <c r="R152">
        <v>20</v>
      </c>
      <c r="S152">
        <f t="shared" si="26"/>
        <v>55</v>
      </c>
      <c r="T152">
        <f t="shared" si="27"/>
        <v>0.61111111111111116</v>
      </c>
      <c r="V152" t="s">
        <v>121</v>
      </c>
      <c r="W152" t="s">
        <v>114</v>
      </c>
      <c r="X152">
        <v>12.5</v>
      </c>
      <c r="Y152">
        <v>14.9</v>
      </c>
      <c r="Z152">
        <v>17.899999999999999</v>
      </c>
      <c r="AA152">
        <v>15.1</v>
      </c>
      <c r="AB152">
        <v>15.1</v>
      </c>
      <c r="AC152">
        <v>13.9</v>
      </c>
      <c r="AD152">
        <v>13.9</v>
      </c>
      <c r="AE152">
        <v>13.9</v>
      </c>
      <c r="AF152">
        <v>13.9</v>
      </c>
      <c r="AG152">
        <v>15.4</v>
      </c>
      <c r="AH152">
        <v>15.9</v>
      </c>
      <c r="AI152">
        <v>17.399999999999999</v>
      </c>
      <c r="AJ152">
        <v>16.233333330000001</v>
      </c>
      <c r="AK152">
        <v>12.5</v>
      </c>
      <c r="AL152">
        <v>14.4</v>
      </c>
      <c r="AM152">
        <v>14.9</v>
      </c>
      <c r="AN152">
        <v>13.93333333</v>
      </c>
      <c r="AO152">
        <v>16.233333330000001</v>
      </c>
      <c r="AP152">
        <v>7.6</v>
      </c>
      <c r="AQ152">
        <v>7.1</v>
      </c>
      <c r="AR152">
        <v>8.5</v>
      </c>
      <c r="AS152">
        <v>7.733333333</v>
      </c>
      <c r="AT152">
        <v>6.1</v>
      </c>
      <c r="AU152">
        <v>6.6</v>
      </c>
      <c r="AV152">
        <v>8.1</v>
      </c>
      <c r="AW152">
        <v>6.9333333330000002</v>
      </c>
      <c r="AX152">
        <v>7.733333333</v>
      </c>
      <c r="AY152">
        <v>-7.3666666669999996</v>
      </c>
      <c r="AZ152">
        <v>20</v>
      </c>
      <c r="BA152">
        <v>35</v>
      </c>
      <c r="BB152">
        <v>5</v>
      </c>
      <c r="BC152">
        <v>0</v>
      </c>
      <c r="BD152">
        <v>1</v>
      </c>
      <c r="BE152">
        <v>0</v>
      </c>
      <c r="BF152">
        <v>1</v>
      </c>
      <c r="BG152">
        <v>0</v>
      </c>
      <c r="BI152">
        <v>11</v>
      </c>
      <c r="BJ152">
        <v>42.4</v>
      </c>
      <c r="BK152">
        <v>0</v>
      </c>
      <c r="BL152">
        <v>17</v>
      </c>
      <c r="BM152">
        <v>15</v>
      </c>
      <c r="BN152">
        <v>46</v>
      </c>
      <c r="BO152">
        <v>116.5</v>
      </c>
      <c r="BP152">
        <f t="shared" ref="BP152:BP190" si="28">BN152-BO152</f>
        <v>-70.5</v>
      </c>
      <c r="BQ152">
        <v>153</v>
      </c>
      <c r="BR152">
        <f t="shared" ref="BR152:BR190" si="29">BN152-BQ152</f>
        <v>-107</v>
      </c>
      <c r="BS152">
        <v>25.930871215</v>
      </c>
      <c r="BT152">
        <v>1.8984460359999999</v>
      </c>
      <c r="BU152">
        <v>11.43279727</v>
      </c>
      <c r="BV152">
        <v>-25.930871215</v>
      </c>
      <c r="BW152">
        <v>1.8984460359999999</v>
      </c>
      <c r="BX152">
        <v>11.43279727</v>
      </c>
      <c r="BY152">
        <v>105.619899290072</v>
      </c>
      <c r="BZ152">
        <v>0.229866758514709</v>
      </c>
      <c r="CA152">
        <v>29.6846753499884</v>
      </c>
      <c r="CB152">
        <v>105.619899290072</v>
      </c>
      <c r="CC152">
        <v>0.229866758514709</v>
      </c>
      <c r="CD152">
        <v>29.6846753499884</v>
      </c>
      <c r="CE152">
        <v>1.89034035</v>
      </c>
      <c r="CF152">
        <v>2.3251878998645E-2</v>
      </c>
      <c r="CG152">
        <v>1.97420318888889</v>
      </c>
      <c r="CH152">
        <v>20.278724749999999</v>
      </c>
      <c r="CI152">
        <v>1.63476516866667</v>
      </c>
      <c r="CJ152">
        <v>14.42924485</v>
      </c>
      <c r="CK152">
        <v>1.97420318888889</v>
      </c>
      <c r="CL152">
        <v>-20.278724749999999</v>
      </c>
      <c r="CM152">
        <v>1.63476516866667</v>
      </c>
      <c r="CN152">
        <v>14.42924485</v>
      </c>
      <c r="CO152">
        <v>5.1670842219211201E-3</v>
      </c>
      <c r="CP152">
        <v>23.4710887311272</v>
      </c>
      <c r="CQ152">
        <v>5.1081501892157599E-2</v>
      </c>
      <c r="CR152">
        <v>6.5965945222196503</v>
      </c>
      <c r="CS152">
        <v>5.1670842219211201E-3</v>
      </c>
      <c r="CT152">
        <v>23.4710887311272</v>
      </c>
      <c r="CU152">
        <v>5.1081501892157599E-2</v>
      </c>
      <c r="CV152">
        <v>6.5965945222196503</v>
      </c>
      <c r="CW152">
        <v>1.89034035</v>
      </c>
    </row>
    <row r="153" spans="1:101" x14ac:dyDescent="0.25">
      <c r="A153" t="s">
        <v>46</v>
      </c>
      <c r="B153">
        <v>2</v>
      </c>
      <c r="C153" t="s">
        <v>29</v>
      </c>
      <c r="D153" t="s">
        <v>95</v>
      </c>
      <c r="E153" t="s">
        <v>102</v>
      </c>
      <c r="F153" t="s">
        <v>145</v>
      </c>
      <c r="G153" t="s">
        <v>265</v>
      </c>
      <c r="H153" t="str">
        <f t="shared" si="24"/>
        <v>A.calendula.Highcomp.Shade</v>
      </c>
      <c r="I153" t="s">
        <v>725</v>
      </c>
      <c r="J153" t="s">
        <v>427</v>
      </c>
      <c r="K153" t="s">
        <v>114</v>
      </c>
      <c r="L153">
        <v>100</v>
      </c>
      <c r="M153">
        <v>110</v>
      </c>
      <c r="N153">
        <v>100</v>
      </c>
      <c r="O153">
        <f t="shared" si="25"/>
        <v>-10</v>
      </c>
      <c r="P153">
        <v>200</v>
      </c>
      <c r="Q153">
        <v>200</v>
      </c>
      <c r="R153">
        <v>180</v>
      </c>
      <c r="S153">
        <f t="shared" si="26"/>
        <v>190</v>
      </c>
      <c r="T153">
        <f t="shared" si="27"/>
        <v>1.9</v>
      </c>
      <c r="V153" t="s">
        <v>113</v>
      </c>
      <c r="W153">
        <v>20</v>
      </c>
      <c r="X153">
        <v>13</v>
      </c>
      <c r="Y153">
        <v>22</v>
      </c>
      <c r="Z153">
        <v>14.9</v>
      </c>
      <c r="AA153">
        <v>16.633333329999999</v>
      </c>
      <c r="AB153">
        <v>16.633333329999999</v>
      </c>
      <c r="AC153">
        <v>13.5</v>
      </c>
      <c r="AD153">
        <v>14.9</v>
      </c>
      <c r="AE153">
        <v>14.4</v>
      </c>
      <c r="AF153">
        <v>14.266666669999999</v>
      </c>
      <c r="AG153">
        <v>24.3</v>
      </c>
      <c r="AH153">
        <v>15.4</v>
      </c>
      <c r="AI153">
        <v>14.9</v>
      </c>
      <c r="AJ153">
        <v>18.2</v>
      </c>
      <c r="AK153">
        <v>14.4</v>
      </c>
      <c r="AL153">
        <v>17.399999999999999</v>
      </c>
      <c r="AM153">
        <v>18.399999999999999</v>
      </c>
      <c r="AN153">
        <v>16.733333330000001</v>
      </c>
      <c r="AO153">
        <v>18.2</v>
      </c>
      <c r="AP153">
        <v>6.1</v>
      </c>
      <c r="AQ153">
        <v>8.5</v>
      </c>
      <c r="AR153">
        <v>10.5</v>
      </c>
      <c r="AS153">
        <v>8.3666666670000005</v>
      </c>
      <c r="AT153">
        <v>5.6</v>
      </c>
      <c r="AU153">
        <v>6.6</v>
      </c>
      <c r="AV153">
        <v>6.6</v>
      </c>
      <c r="AW153">
        <v>6.266666667</v>
      </c>
      <c r="AX153">
        <v>8.3666666670000005</v>
      </c>
      <c r="AY153">
        <v>-8.2666666670000009</v>
      </c>
      <c r="AZ153">
        <v>50</v>
      </c>
      <c r="BA153">
        <v>1</v>
      </c>
      <c r="BB153">
        <v>5</v>
      </c>
      <c r="BC153">
        <v>3</v>
      </c>
      <c r="BD153">
        <v>1</v>
      </c>
      <c r="BE153">
        <v>0</v>
      </c>
      <c r="BF153">
        <v>1</v>
      </c>
      <c r="BG153">
        <v>1</v>
      </c>
      <c r="BI153">
        <v>13.8</v>
      </c>
      <c r="BJ153">
        <v>42.4</v>
      </c>
      <c r="BK153">
        <v>0</v>
      </c>
      <c r="BL153">
        <v>15</v>
      </c>
      <c r="BM153">
        <v>13</v>
      </c>
      <c r="BN153">
        <v>468</v>
      </c>
      <c r="BO153">
        <v>486.66669999999999</v>
      </c>
      <c r="BP153">
        <f t="shared" si="28"/>
        <v>-18.666699999999992</v>
      </c>
      <c r="BQ153">
        <v>154</v>
      </c>
      <c r="BR153">
        <f t="shared" si="29"/>
        <v>314</v>
      </c>
      <c r="BS153" t="s">
        <v>114</v>
      </c>
      <c r="BT153" t="s">
        <v>114</v>
      </c>
      <c r="BU153" t="s">
        <v>114</v>
      </c>
      <c r="BV153" t="s">
        <v>114</v>
      </c>
      <c r="BW153" t="s">
        <v>114</v>
      </c>
      <c r="BX153" t="s">
        <v>114</v>
      </c>
      <c r="BY153" t="s">
        <v>114</v>
      </c>
      <c r="BZ153" t="s">
        <v>114</v>
      </c>
      <c r="CA153" t="s">
        <v>114</v>
      </c>
      <c r="CB153" t="s">
        <v>114</v>
      </c>
      <c r="CC153" t="s">
        <v>114</v>
      </c>
      <c r="CD153" t="s">
        <v>114</v>
      </c>
      <c r="CE153" t="s">
        <v>114</v>
      </c>
      <c r="CF153" t="s">
        <v>114</v>
      </c>
      <c r="CG153" t="s">
        <v>114</v>
      </c>
      <c r="CH153" t="s">
        <v>114</v>
      </c>
      <c r="CI153" t="s">
        <v>114</v>
      </c>
      <c r="CJ153" t="s">
        <v>114</v>
      </c>
      <c r="CK153" t="s">
        <v>114</v>
      </c>
      <c r="CL153" t="s">
        <v>114</v>
      </c>
      <c r="CM153" t="s">
        <v>114</v>
      </c>
      <c r="CN153" t="s">
        <v>114</v>
      </c>
      <c r="CO153" t="s">
        <v>114</v>
      </c>
      <c r="CP153" t="s">
        <v>114</v>
      </c>
      <c r="CQ153" t="s">
        <v>114</v>
      </c>
      <c r="CR153" t="s">
        <v>114</v>
      </c>
      <c r="CS153" t="s">
        <v>114</v>
      </c>
      <c r="CT153" t="s">
        <v>114</v>
      </c>
      <c r="CU153" t="s">
        <v>114</v>
      </c>
      <c r="CV153" t="s">
        <v>114</v>
      </c>
      <c r="CW153" t="s">
        <v>114</v>
      </c>
    </row>
    <row r="154" spans="1:101" x14ac:dyDescent="0.25">
      <c r="A154" t="s">
        <v>46</v>
      </c>
      <c r="B154">
        <v>2</v>
      </c>
      <c r="C154" t="s">
        <v>29</v>
      </c>
      <c r="D154" t="s">
        <v>95</v>
      </c>
      <c r="E154" t="s">
        <v>110</v>
      </c>
      <c r="F154" t="s">
        <v>145</v>
      </c>
      <c r="G154" t="s">
        <v>262</v>
      </c>
      <c r="H154" t="str">
        <f t="shared" si="24"/>
        <v>M.minima.Highcomp.Shade</v>
      </c>
      <c r="I154" t="s">
        <v>726</v>
      </c>
      <c r="J154" t="s">
        <v>428</v>
      </c>
      <c r="K154">
        <v>3</v>
      </c>
      <c r="L154">
        <v>50</v>
      </c>
      <c r="M154">
        <v>65</v>
      </c>
      <c r="N154">
        <v>50</v>
      </c>
      <c r="O154">
        <f t="shared" si="25"/>
        <v>-15</v>
      </c>
      <c r="P154">
        <v>13</v>
      </c>
      <c r="Q154">
        <v>10</v>
      </c>
      <c r="R154">
        <v>6</v>
      </c>
      <c r="S154">
        <f t="shared" si="26"/>
        <v>8</v>
      </c>
      <c r="T154">
        <f t="shared" si="27"/>
        <v>0.16</v>
      </c>
      <c r="U154" t="s">
        <v>29</v>
      </c>
      <c r="V154" t="s">
        <v>113</v>
      </c>
      <c r="W154">
        <v>30</v>
      </c>
      <c r="X154">
        <v>13</v>
      </c>
      <c r="Y154">
        <v>22</v>
      </c>
      <c r="Z154">
        <v>14.9</v>
      </c>
      <c r="AA154">
        <v>16.633333329999999</v>
      </c>
      <c r="AB154">
        <v>16.633333329999999</v>
      </c>
      <c r="AC154">
        <v>14.4</v>
      </c>
      <c r="AD154">
        <v>15.4</v>
      </c>
      <c r="AE154">
        <v>15.9</v>
      </c>
      <c r="AF154">
        <v>15.233333330000001</v>
      </c>
      <c r="AG154">
        <v>24.3</v>
      </c>
      <c r="AH154">
        <v>15.4</v>
      </c>
      <c r="AI154">
        <v>14.9</v>
      </c>
      <c r="AJ154">
        <v>18.2</v>
      </c>
      <c r="AK154">
        <v>16.399999999999999</v>
      </c>
      <c r="AL154">
        <v>16.399999999999999</v>
      </c>
      <c r="AM154">
        <v>18.399999999999999</v>
      </c>
      <c r="AN154">
        <v>17.06666667</v>
      </c>
      <c r="AO154">
        <v>18.2</v>
      </c>
      <c r="AP154">
        <v>6.1</v>
      </c>
      <c r="AQ154">
        <v>8.5</v>
      </c>
      <c r="AR154">
        <v>10.5</v>
      </c>
      <c r="AS154">
        <v>8.3666666670000005</v>
      </c>
      <c r="AT154">
        <v>5.6</v>
      </c>
      <c r="AU154">
        <v>7.6</v>
      </c>
      <c r="AV154">
        <v>6.1</v>
      </c>
      <c r="AW154">
        <v>6.4333333330000002</v>
      </c>
      <c r="AX154">
        <v>8.3666666670000005</v>
      </c>
      <c r="AY154">
        <v>-8.2666666670000009</v>
      </c>
      <c r="AZ154">
        <v>50</v>
      </c>
      <c r="BA154">
        <v>1</v>
      </c>
      <c r="BB154">
        <v>5</v>
      </c>
      <c r="BC154">
        <v>3</v>
      </c>
      <c r="BD154">
        <v>1</v>
      </c>
      <c r="BE154">
        <v>0</v>
      </c>
      <c r="BF154">
        <v>1</v>
      </c>
      <c r="BG154">
        <v>1</v>
      </c>
      <c r="BI154">
        <v>13.8</v>
      </c>
      <c r="BJ154">
        <v>42.4</v>
      </c>
      <c r="BK154">
        <v>0</v>
      </c>
      <c r="BL154">
        <v>1</v>
      </c>
      <c r="BM154">
        <v>1</v>
      </c>
      <c r="BN154">
        <v>1</v>
      </c>
      <c r="BO154">
        <v>3</v>
      </c>
      <c r="BP154">
        <f t="shared" si="28"/>
        <v>-2</v>
      </c>
      <c r="BQ154">
        <v>3</v>
      </c>
      <c r="BR154">
        <f t="shared" si="29"/>
        <v>-2</v>
      </c>
      <c r="BS154">
        <v>10.496706189999999</v>
      </c>
      <c r="BT154">
        <v>0.329493333</v>
      </c>
      <c r="BU154">
        <v>11.843850679999999</v>
      </c>
      <c r="BV154">
        <v>-10.496706189999999</v>
      </c>
      <c r="BW154">
        <v>0.329493333</v>
      </c>
      <c r="BX154">
        <v>11.843850679999999</v>
      </c>
      <c r="BY154" t="s">
        <v>114</v>
      </c>
      <c r="BZ154" t="s">
        <v>114</v>
      </c>
      <c r="CA154" t="s">
        <v>114</v>
      </c>
      <c r="CB154" t="s">
        <v>114</v>
      </c>
      <c r="CC154" t="s">
        <v>114</v>
      </c>
      <c r="CD154" t="s">
        <v>114</v>
      </c>
      <c r="CE154">
        <v>0.6959573</v>
      </c>
      <c r="CF154" t="s">
        <v>114</v>
      </c>
      <c r="CG154">
        <v>0.6959573</v>
      </c>
      <c r="CH154">
        <v>10.496706189999999</v>
      </c>
      <c r="CI154">
        <v>0.329493333</v>
      </c>
      <c r="CJ154">
        <v>11.843850679999999</v>
      </c>
      <c r="CK154">
        <v>0.6959573</v>
      </c>
      <c r="CL154">
        <v>-10.496706189999999</v>
      </c>
      <c r="CM154">
        <v>0.329493333</v>
      </c>
      <c r="CN154">
        <v>11.843850679999999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0.6959573</v>
      </c>
    </row>
    <row r="155" spans="1:101" x14ac:dyDescent="0.25">
      <c r="A155" t="s">
        <v>46</v>
      </c>
      <c r="B155">
        <v>2</v>
      </c>
      <c r="C155" t="s">
        <v>29</v>
      </c>
      <c r="D155" t="s">
        <v>95</v>
      </c>
      <c r="E155" t="s">
        <v>112</v>
      </c>
      <c r="F155" t="s">
        <v>145</v>
      </c>
      <c r="G155" t="s">
        <v>261</v>
      </c>
      <c r="H155" t="str">
        <f t="shared" si="24"/>
        <v>V.rosea.Highcomp.Shade</v>
      </c>
      <c r="I155" t="s">
        <v>722</v>
      </c>
      <c r="J155" t="s">
        <v>429</v>
      </c>
      <c r="K155" t="s">
        <v>114</v>
      </c>
      <c r="L155">
        <v>60</v>
      </c>
      <c r="M155">
        <v>45</v>
      </c>
      <c r="N155">
        <v>60</v>
      </c>
      <c r="O155">
        <f t="shared" si="25"/>
        <v>15</v>
      </c>
      <c r="P155">
        <v>65</v>
      </c>
      <c r="Q155">
        <v>210</v>
      </c>
      <c r="R155">
        <v>50</v>
      </c>
      <c r="S155">
        <f t="shared" si="26"/>
        <v>130</v>
      </c>
      <c r="T155">
        <f t="shared" si="27"/>
        <v>2.1666666666666665</v>
      </c>
      <c r="U155" t="s">
        <v>29</v>
      </c>
      <c r="V155" t="s">
        <v>112</v>
      </c>
      <c r="W155">
        <v>80</v>
      </c>
      <c r="X155">
        <v>13</v>
      </c>
      <c r="Y155">
        <v>22</v>
      </c>
      <c r="Z155">
        <v>14.9</v>
      </c>
      <c r="AA155">
        <v>16.633333329999999</v>
      </c>
      <c r="AB155">
        <v>16.633333329999999</v>
      </c>
      <c r="AC155">
        <v>20.8</v>
      </c>
      <c r="AD155">
        <v>14.9</v>
      </c>
      <c r="AE155">
        <v>12.5</v>
      </c>
      <c r="AF155">
        <v>16.06666667</v>
      </c>
      <c r="AG155">
        <v>24.3</v>
      </c>
      <c r="AH155">
        <v>15.4</v>
      </c>
      <c r="AI155">
        <v>14.9</v>
      </c>
      <c r="AJ155">
        <v>18.2</v>
      </c>
      <c r="AK155">
        <v>16.899999999999999</v>
      </c>
      <c r="AL155">
        <v>17.899999999999999</v>
      </c>
      <c r="AM155">
        <v>14.4</v>
      </c>
      <c r="AN155">
        <v>16.399999999999999</v>
      </c>
      <c r="AO155">
        <v>18.2</v>
      </c>
      <c r="AP155">
        <v>6.1</v>
      </c>
      <c r="AQ155">
        <v>8.5</v>
      </c>
      <c r="AR155">
        <v>10.5</v>
      </c>
      <c r="AS155">
        <v>8.3666666670000005</v>
      </c>
      <c r="AT155">
        <v>5.6</v>
      </c>
      <c r="AU155">
        <v>6.6</v>
      </c>
      <c r="AV155">
        <v>8.5</v>
      </c>
      <c r="AW155">
        <v>6.9</v>
      </c>
      <c r="AX155">
        <v>8.3666666670000005</v>
      </c>
      <c r="AY155">
        <v>-8.2666666670000009</v>
      </c>
      <c r="AZ155">
        <v>50</v>
      </c>
      <c r="BA155">
        <v>1</v>
      </c>
      <c r="BB155">
        <v>5</v>
      </c>
      <c r="BC155">
        <v>3</v>
      </c>
      <c r="BD155">
        <v>1</v>
      </c>
      <c r="BE155">
        <v>0</v>
      </c>
      <c r="BF155">
        <v>1</v>
      </c>
      <c r="BG155">
        <v>1</v>
      </c>
      <c r="BI155">
        <v>13.8</v>
      </c>
      <c r="BJ155">
        <v>42.4</v>
      </c>
      <c r="BK155">
        <v>0</v>
      </c>
      <c r="BL155">
        <v>86</v>
      </c>
      <c r="BM155">
        <v>82</v>
      </c>
      <c r="BN155">
        <v>323</v>
      </c>
      <c r="BO155">
        <v>116.5</v>
      </c>
      <c r="BP155">
        <f t="shared" si="28"/>
        <v>206.5</v>
      </c>
      <c r="BQ155">
        <v>173</v>
      </c>
      <c r="BR155">
        <f t="shared" si="29"/>
        <v>150</v>
      </c>
      <c r="BS155" t="s">
        <v>114</v>
      </c>
      <c r="BT155" t="s">
        <v>114</v>
      </c>
      <c r="BU155" t="s">
        <v>114</v>
      </c>
      <c r="BV155" t="s">
        <v>114</v>
      </c>
      <c r="BW155" t="s">
        <v>114</v>
      </c>
      <c r="BX155" t="s">
        <v>114</v>
      </c>
      <c r="BY155" t="s">
        <v>114</v>
      </c>
      <c r="BZ155" t="s">
        <v>114</v>
      </c>
      <c r="CA155" t="s">
        <v>114</v>
      </c>
      <c r="CB155" t="s">
        <v>114</v>
      </c>
      <c r="CC155" t="s">
        <v>114</v>
      </c>
      <c r="CD155" t="s">
        <v>114</v>
      </c>
      <c r="CE155" t="s">
        <v>114</v>
      </c>
      <c r="CF155" t="s">
        <v>114</v>
      </c>
      <c r="CG155" t="s">
        <v>114</v>
      </c>
      <c r="CH155" t="s">
        <v>114</v>
      </c>
      <c r="CI155" t="s">
        <v>114</v>
      </c>
      <c r="CJ155" t="s">
        <v>114</v>
      </c>
      <c r="CK155" t="s">
        <v>114</v>
      </c>
      <c r="CL155" t="s">
        <v>114</v>
      </c>
      <c r="CM155" t="s">
        <v>114</v>
      </c>
      <c r="CN155" t="s">
        <v>114</v>
      </c>
      <c r="CO155" t="s">
        <v>114</v>
      </c>
      <c r="CP155" t="s">
        <v>114</v>
      </c>
      <c r="CQ155" t="s">
        <v>114</v>
      </c>
      <c r="CR155" t="s">
        <v>114</v>
      </c>
      <c r="CS155" t="s">
        <v>114</v>
      </c>
      <c r="CT155" t="s">
        <v>114</v>
      </c>
      <c r="CU155" t="s">
        <v>114</v>
      </c>
      <c r="CV155" t="s">
        <v>114</v>
      </c>
      <c r="CW155" t="s">
        <v>114</v>
      </c>
    </row>
    <row r="156" spans="1:101" x14ac:dyDescent="0.25">
      <c r="A156" t="s">
        <v>47</v>
      </c>
      <c r="B156">
        <v>2</v>
      </c>
      <c r="C156" t="s">
        <v>31</v>
      </c>
      <c r="D156" t="s">
        <v>94</v>
      </c>
      <c r="E156" t="s">
        <v>112</v>
      </c>
      <c r="F156" t="s">
        <v>145</v>
      </c>
      <c r="G156" t="s">
        <v>261</v>
      </c>
      <c r="H156" t="str">
        <f t="shared" si="24"/>
        <v>V.rosea.Highcomp.Open</v>
      </c>
      <c r="I156" t="s">
        <v>729</v>
      </c>
      <c r="J156" t="s">
        <v>430</v>
      </c>
      <c r="K156">
        <v>2</v>
      </c>
      <c r="L156">
        <v>65</v>
      </c>
      <c r="M156">
        <v>40</v>
      </c>
      <c r="N156">
        <v>65</v>
      </c>
      <c r="O156">
        <f t="shared" si="25"/>
        <v>25</v>
      </c>
      <c r="P156">
        <v>60</v>
      </c>
      <c r="Q156">
        <v>270</v>
      </c>
      <c r="R156">
        <v>140</v>
      </c>
      <c r="S156">
        <f t="shared" si="26"/>
        <v>205</v>
      </c>
      <c r="T156">
        <f t="shared" si="27"/>
        <v>3.1538461538461537</v>
      </c>
      <c r="V156" t="s">
        <v>112</v>
      </c>
      <c r="W156">
        <v>110</v>
      </c>
      <c r="X156">
        <v>14.4</v>
      </c>
      <c r="Y156">
        <v>12</v>
      </c>
      <c r="Z156">
        <v>14.4</v>
      </c>
      <c r="AA156">
        <v>13.6</v>
      </c>
      <c r="AB156">
        <v>13.6</v>
      </c>
      <c r="AC156" t="s">
        <v>114</v>
      </c>
      <c r="AD156" t="s">
        <v>114</v>
      </c>
      <c r="AE156" t="s">
        <v>114</v>
      </c>
      <c r="AF156" t="s">
        <v>114</v>
      </c>
      <c r="AG156">
        <v>16.899999999999999</v>
      </c>
      <c r="AH156">
        <v>15.9</v>
      </c>
      <c r="AI156">
        <v>17.899999999999999</v>
      </c>
      <c r="AJ156">
        <v>16.899999999999999</v>
      </c>
      <c r="AK156" t="s">
        <v>114</v>
      </c>
      <c r="AL156" t="s">
        <v>114</v>
      </c>
      <c r="AM156" t="s">
        <v>114</v>
      </c>
      <c r="AN156" t="s">
        <v>114</v>
      </c>
      <c r="AO156">
        <v>16.899999999999999</v>
      </c>
      <c r="AP156">
        <v>4.5999999999999996</v>
      </c>
      <c r="AQ156">
        <v>5.6</v>
      </c>
      <c r="AR156">
        <v>6.1</v>
      </c>
      <c r="AS156">
        <v>5.4333333330000002</v>
      </c>
      <c r="AT156">
        <v>4.0999999999999996</v>
      </c>
      <c r="AU156">
        <v>5.0999999999999996</v>
      </c>
      <c r="AV156">
        <v>6.1</v>
      </c>
      <c r="AW156">
        <v>5.0999999999999996</v>
      </c>
      <c r="AX156">
        <v>5.4333333330000002</v>
      </c>
      <c r="AY156">
        <v>-8.1666666669999994</v>
      </c>
      <c r="AZ156">
        <v>30</v>
      </c>
      <c r="BA156">
        <v>25</v>
      </c>
      <c r="BB156">
        <v>0</v>
      </c>
      <c r="BC156">
        <v>1</v>
      </c>
      <c r="BD156">
        <v>1</v>
      </c>
      <c r="BE156">
        <v>0</v>
      </c>
      <c r="BF156">
        <v>3</v>
      </c>
      <c r="BG156">
        <v>0</v>
      </c>
      <c r="BI156">
        <v>11.5</v>
      </c>
      <c r="BJ156">
        <v>0</v>
      </c>
      <c r="BK156">
        <v>0</v>
      </c>
      <c r="BL156">
        <v>91</v>
      </c>
      <c r="BM156">
        <v>91</v>
      </c>
      <c r="BN156">
        <v>364</v>
      </c>
      <c r="BO156">
        <v>193</v>
      </c>
      <c r="BP156">
        <f t="shared" si="28"/>
        <v>171</v>
      </c>
      <c r="BQ156">
        <v>80</v>
      </c>
      <c r="BR156">
        <f t="shared" si="29"/>
        <v>284</v>
      </c>
      <c r="BS156">
        <v>9.3319128800000009</v>
      </c>
      <c r="BT156">
        <v>0.77971388900000005</v>
      </c>
      <c r="BU156">
        <v>7.6426863650000003</v>
      </c>
      <c r="BV156">
        <v>-9.3319128800000009</v>
      </c>
      <c r="BW156">
        <v>0.77971388900000005</v>
      </c>
      <c r="BX156">
        <v>7.6426863650000003</v>
      </c>
      <c r="BY156">
        <v>174.16919599982</v>
      </c>
      <c r="BZ156">
        <v>1.2159074973990101</v>
      </c>
      <c r="CA156">
        <v>116.82130974751399</v>
      </c>
      <c r="CB156">
        <v>174.16919599982</v>
      </c>
      <c r="CC156">
        <v>1.2159074973990101</v>
      </c>
      <c r="CD156">
        <v>116.82130974751399</v>
      </c>
      <c r="CE156">
        <v>0.99908200000000003</v>
      </c>
      <c r="CF156">
        <v>1.9963296854479999</v>
      </c>
      <c r="CG156">
        <v>0.99908200000000003</v>
      </c>
      <c r="CH156">
        <v>9.3319128800000009</v>
      </c>
      <c r="CI156">
        <v>0.77971388900000005</v>
      </c>
      <c r="CJ156">
        <v>7.6426863650000003</v>
      </c>
      <c r="CK156">
        <v>0.99908200000000003</v>
      </c>
      <c r="CL156">
        <v>-9.3319128800000009</v>
      </c>
      <c r="CM156">
        <v>0.77971388900000005</v>
      </c>
      <c r="CN156">
        <v>7.6426863650000003</v>
      </c>
      <c r="CO156">
        <v>1.9963296854479999</v>
      </c>
      <c r="CP156">
        <v>174.16919599982</v>
      </c>
      <c r="CQ156">
        <v>1.2159074973990101</v>
      </c>
      <c r="CR156">
        <v>116.82130974751399</v>
      </c>
      <c r="CS156">
        <v>1.9963296854479999</v>
      </c>
      <c r="CT156">
        <v>174.16919599982</v>
      </c>
      <c r="CU156">
        <v>1.2159074973990101</v>
      </c>
      <c r="CV156">
        <v>116.82130974751399</v>
      </c>
      <c r="CW156">
        <v>0.99908200000000003</v>
      </c>
    </row>
    <row r="157" spans="1:101" x14ac:dyDescent="0.25">
      <c r="A157" t="s">
        <v>48</v>
      </c>
      <c r="B157">
        <v>2</v>
      </c>
      <c r="C157" t="s">
        <v>33</v>
      </c>
      <c r="D157" t="s">
        <v>95</v>
      </c>
      <c r="E157" t="s">
        <v>105</v>
      </c>
      <c r="F157" t="s">
        <v>145</v>
      </c>
      <c r="G157" t="s">
        <v>266</v>
      </c>
      <c r="H157" t="str">
        <f t="shared" si="24"/>
        <v>H.glabra.Highcomp.Shade</v>
      </c>
      <c r="I157" t="s">
        <v>728</v>
      </c>
      <c r="J157" t="s">
        <v>431</v>
      </c>
      <c r="K157">
        <v>3</v>
      </c>
      <c r="L157">
        <v>30</v>
      </c>
      <c r="M157">
        <v>45</v>
      </c>
      <c r="N157">
        <v>30</v>
      </c>
      <c r="O157">
        <f t="shared" si="25"/>
        <v>-15</v>
      </c>
      <c r="P157">
        <v>80</v>
      </c>
      <c r="Q157">
        <v>80</v>
      </c>
      <c r="R157">
        <v>60</v>
      </c>
      <c r="S157">
        <f t="shared" si="26"/>
        <v>70</v>
      </c>
      <c r="T157">
        <f t="shared" si="27"/>
        <v>2.3333333333333335</v>
      </c>
      <c r="V157" t="s">
        <v>104</v>
      </c>
      <c r="W157">
        <v>35</v>
      </c>
      <c r="X157">
        <v>13.9</v>
      </c>
      <c r="Y157">
        <v>13</v>
      </c>
      <c r="Z157">
        <v>13.1</v>
      </c>
      <c r="AA157">
        <v>13.33333333</v>
      </c>
      <c r="AB157">
        <v>13.33333333</v>
      </c>
      <c r="AC157">
        <v>13</v>
      </c>
      <c r="AD157">
        <v>13.5</v>
      </c>
      <c r="AE157">
        <v>13.5</v>
      </c>
      <c r="AF157">
        <v>13.33333333</v>
      </c>
      <c r="AG157">
        <v>15.9</v>
      </c>
      <c r="AH157">
        <v>23.3</v>
      </c>
      <c r="AI157">
        <v>15.4</v>
      </c>
      <c r="AJ157">
        <v>18.2</v>
      </c>
      <c r="AK157">
        <v>13.5</v>
      </c>
      <c r="AL157">
        <v>12.5</v>
      </c>
      <c r="AM157">
        <v>13.9</v>
      </c>
      <c r="AN157">
        <v>13.3</v>
      </c>
      <c r="AO157">
        <v>18.2</v>
      </c>
      <c r="AP157">
        <v>4.0999999999999996</v>
      </c>
      <c r="AQ157">
        <v>5.6</v>
      </c>
      <c r="AR157">
        <v>7.1</v>
      </c>
      <c r="AS157">
        <v>5.6</v>
      </c>
      <c r="AT157">
        <v>6.1</v>
      </c>
      <c r="AU157">
        <v>6.1</v>
      </c>
      <c r="AV157">
        <v>8.5</v>
      </c>
      <c r="AW157">
        <v>6.9</v>
      </c>
      <c r="AX157">
        <v>5.6</v>
      </c>
      <c r="AY157">
        <v>-7.733333333</v>
      </c>
      <c r="AZ157">
        <v>80</v>
      </c>
      <c r="BA157">
        <v>1</v>
      </c>
      <c r="BB157">
        <v>3</v>
      </c>
      <c r="BC157">
        <v>2</v>
      </c>
      <c r="BD157">
        <v>5</v>
      </c>
      <c r="BE157">
        <v>0</v>
      </c>
      <c r="BF157">
        <v>3</v>
      </c>
      <c r="BG157">
        <v>0</v>
      </c>
      <c r="BI157">
        <v>10.7</v>
      </c>
      <c r="BJ157">
        <v>55.920999999999999</v>
      </c>
      <c r="BK157">
        <v>0</v>
      </c>
      <c r="BL157">
        <v>4</v>
      </c>
      <c r="BM157">
        <v>3</v>
      </c>
      <c r="BN157">
        <v>197</v>
      </c>
      <c r="BO157">
        <v>320</v>
      </c>
      <c r="BP157">
        <f t="shared" si="28"/>
        <v>-123</v>
      </c>
      <c r="BQ157">
        <v>141</v>
      </c>
      <c r="BR157">
        <f t="shared" si="29"/>
        <v>56</v>
      </c>
      <c r="BS157">
        <v>38.614583334999999</v>
      </c>
      <c r="BT157">
        <v>1.1877482580000001</v>
      </c>
      <c r="BU157">
        <v>16.091916640000001</v>
      </c>
      <c r="BV157">
        <v>-38.614583334999999</v>
      </c>
      <c r="BW157">
        <v>-0.822554962</v>
      </c>
      <c r="BX157">
        <v>16.091916640000001</v>
      </c>
      <c r="BY157">
        <v>122.396050295069</v>
      </c>
      <c r="BZ157">
        <v>1.35319333102164</v>
      </c>
      <c r="CA157">
        <v>4.6829529565740504</v>
      </c>
      <c r="CB157">
        <v>122.396050295069</v>
      </c>
      <c r="CC157">
        <v>2.8214918487640701</v>
      </c>
      <c r="CD157">
        <v>4.6829529565740504</v>
      </c>
      <c r="CE157">
        <v>1.67724355</v>
      </c>
      <c r="CF157">
        <v>2.3629423440500001E-4</v>
      </c>
      <c r="CG157">
        <v>1.68086673333333</v>
      </c>
      <c r="CH157">
        <v>41.222222223333297</v>
      </c>
      <c r="CI157">
        <v>1.46193324533333</v>
      </c>
      <c r="CJ157">
        <v>15.5818538466667</v>
      </c>
      <c r="CK157">
        <v>1.68086673333333</v>
      </c>
      <c r="CL157">
        <v>-41.222222223333297</v>
      </c>
      <c r="CM157">
        <v>-1.2184710480000001</v>
      </c>
      <c r="CN157">
        <v>15.5818538466667</v>
      </c>
      <c r="CO157">
        <v>1.57529489603333E-4</v>
      </c>
      <c r="CP157">
        <v>81.597366863379605</v>
      </c>
      <c r="CQ157">
        <v>0.90212888734776198</v>
      </c>
      <c r="CR157">
        <v>3.1219686377160301</v>
      </c>
      <c r="CS157">
        <v>1.57529489603333E-4</v>
      </c>
      <c r="CT157">
        <v>81.597366863379605</v>
      </c>
      <c r="CU157">
        <v>1.8809945658427101</v>
      </c>
      <c r="CV157">
        <v>3.1219686377160301</v>
      </c>
      <c r="CW157">
        <v>1.67724355</v>
      </c>
    </row>
    <row r="158" spans="1:101" x14ac:dyDescent="0.25">
      <c r="A158" t="s">
        <v>48</v>
      </c>
      <c r="B158">
        <v>2</v>
      </c>
      <c r="C158" t="s">
        <v>33</v>
      </c>
      <c r="D158" t="s">
        <v>95</v>
      </c>
      <c r="E158" t="s">
        <v>111</v>
      </c>
      <c r="F158" t="s">
        <v>145</v>
      </c>
      <c r="G158" t="s">
        <v>263</v>
      </c>
      <c r="H158" t="str">
        <f t="shared" si="24"/>
        <v>P.canescens.Highcomp.Shade</v>
      </c>
      <c r="I158" t="s">
        <v>716</v>
      </c>
      <c r="J158" t="s">
        <v>432</v>
      </c>
      <c r="K158">
        <v>2</v>
      </c>
      <c r="L158">
        <v>270</v>
      </c>
      <c r="M158">
        <v>78</v>
      </c>
      <c r="N158">
        <v>270</v>
      </c>
      <c r="O158">
        <f t="shared" si="25"/>
        <v>192</v>
      </c>
      <c r="P158">
        <v>70</v>
      </c>
      <c r="Q158">
        <v>80</v>
      </c>
      <c r="R158">
        <v>50</v>
      </c>
      <c r="S158">
        <f t="shared" si="26"/>
        <v>65</v>
      </c>
      <c r="T158">
        <f t="shared" si="27"/>
        <v>0.24074074074074073</v>
      </c>
      <c r="U158" t="s">
        <v>15</v>
      </c>
      <c r="V158" t="s">
        <v>113</v>
      </c>
      <c r="W158">
        <v>30</v>
      </c>
      <c r="X158">
        <v>13.9</v>
      </c>
      <c r="Y158">
        <v>13</v>
      </c>
      <c r="Z158">
        <v>13.1</v>
      </c>
      <c r="AA158">
        <v>13.33333333</v>
      </c>
      <c r="AB158">
        <v>13.33333333</v>
      </c>
      <c r="AC158">
        <v>13</v>
      </c>
      <c r="AD158">
        <v>14.4</v>
      </c>
      <c r="AE158">
        <v>14.9</v>
      </c>
      <c r="AF158">
        <v>14.1</v>
      </c>
      <c r="AG158">
        <v>15.9</v>
      </c>
      <c r="AH158">
        <v>23.3</v>
      </c>
      <c r="AI158">
        <v>15.4</v>
      </c>
      <c r="AJ158">
        <v>18.2</v>
      </c>
      <c r="AK158">
        <v>12</v>
      </c>
      <c r="AL158">
        <v>12.5</v>
      </c>
      <c r="AM158">
        <v>13.5</v>
      </c>
      <c r="AN158">
        <v>12.66666667</v>
      </c>
      <c r="AO158">
        <v>18.2</v>
      </c>
      <c r="AP158">
        <v>4.0999999999999996</v>
      </c>
      <c r="AQ158">
        <v>5.6</v>
      </c>
      <c r="AR158">
        <v>7.1</v>
      </c>
      <c r="AS158">
        <v>5.6</v>
      </c>
      <c r="AT158">
        <v>5.6</v>
      </c>
      <c r="AU158">
        <v>6.1</v>
      </c>
      <c r="AV158">
        <v>5.0999999999999996</v>
      </c>
      <c r="AW158">
        <v>5.6</v>
      </c>
      <c r="AX158">
        <v>5.6</v>
      </c>
      <c r="AY158">
        <v>-7.733333333</v>
      </c>
      <c r="AZ158">
        <v>80</v>
      </c>
      <c r="BA158">
        <v>1</v>
      </c>
      <c r="BB158">
        <v>3</v>
      </c>
      <c r="BC158">
        <v>2</v>
      </c>
      <c r="BD158">
        <v>5</v>
      </c>
      <c r="BE158">
        <v>0</v>
      </c>
      <c r="BF158">
        <v>3</v>
      </c>
      <c r="BG158">
        <v>0</v>
      </c>
      <c r="BI158">
        <v>10.7</v>
      </c>
      <c r="BJ158">
        <v>55.920999999999999</v>
      </c>
      <c r="BK158">
        <v>0</v>
      </c>
      <c r="BL158">
        <v>9</v>
      </c>
      <c r="BM158">
        <v>7</v>
      </c>
      <c r="BN158">
        <v>452</v>
      </c>
      <c r="BO158">
        <v>177.5</v>
      </c>
      <c r="BP158">
        <f t="shared" si="28"/>
        <v>274.5</v>
      </c>
      <c r="BQ158">
        <v>0</v>
      </c>
      <c r="BR158">
        <f t="shared" si="29"/>
        <v>452</v>
      </c>
      <c r="BS158">
        <v>15.121212119999999</v>
      </c>
      <c r="BT158">
        <v>0.50838444449999998</v>
      </c>
      <c r="BU158">
        <v>3.9103962750000001</v>
      </c>
      <c r="BV158">
        <v>-3.9073593099999999</v>
      </c>
      <c r="BW158">
        <v>-0.50838444449999998</v>
      </c>
      <c r="BX158">
        <v>-2.2044580150000002</v>
      </c>
      <c r="BY158">
        <v>30.5349135548873</v>
      </c>
      <c r="BZ158">
        <v>1.90142333945072E-2</v>
      </c>
      <c r="CA158">
        <v>9.7192702797954809</v>
      </c>
      <c r="CB158">
        <v>457.30211195607001</v>
      </c>
      <c r="CC158">
        <v>1.90142333945072E-2</v>
      </c>
      <c r="CD158">
        <v>30.582398055067799</v>
      </c>
      <c r="CE158">
        <v>0.14233453500000001</v>
      </c>
      <c r="CF158">
        <v>2.4724462776024498E-3</v>
      </c>
      <c r="CG158">
        <v>0.14233453500000001</v>
      </c>
      <c r="CH158">
        <v>15.121212119999999</v>
      </c>
      <c r="CI158">
        <v>0.50838444449999998</v>
      </c>
      <c r="CJ158">
        <v>3.9103962750000001</v>
      </c>
      <c r="CK158">
        <v>0.14233453500000001</v>
      </c>
      <c r="CL158">
        <v>-3.9073593099999999</v>
      </c>
      <c r="CM158">
        <v>-0.50838444449999998</v>
      </c>
      <c r="CN158">
        <v>-2.2044580150000002</v>
      </c>
      <c r="CO158">
        <v>2.4724462776024498E-3</v>
      </c>
      <c r="CP158">
        <v>30.5349135548873</v>
      </c>
      <c r="CQ158">
        <v>1.90142333945072E-2</v>
      </c>
      <c r="CR158">
        <v>9.7192702797954809</v>
      </c>
      <c r="CS158">
        <v>2.4724462776024498E-3</v>
      </c>
      <c r="CT158">
        <v>457.30211195607001</v>
      </c>
      <c r="CU158">
        <v>1.90142333945072E-2</v>
      </c>
      <c r="CV158">
        <v>30.582398055067799</v>
      </c>
      <c r="CW158">
        <v>0.14233453500000001</v>
      </c>
    </row>
    <row r="159" spans="1:101" x14ac:dyDescent="0.25">
      <c r="A159" t="s">
        <v>48</v>
      </c>
      <c r="B159">
        <v>2</v>
      </c>
      <c r="C159" t="s">
        <v>33</v>
      </c>
      <c r="D159" t="s">
        <v>95</v>
      </c>
      <c r="E159" t="s">
        <v>104</v>
      </c>
      <c r="F159" t="s">
        <v>145</v>
      </c>
      <c r="G159" t="s">
        <v>264</v>
      </c>
      <c r="H159" t="str">
        <f t="shared" si="24"/>
        <v>T.cyanopetala.Highcomp.Shade</v>
      </c>
      <c r="I159" t="s">
        <v>727</v>
      </c>
      <c r="J159" t="s">
        <v>433</v>
      </c>
      <c r="K159">
        <v>8</v>
      </c>
      <c r="L159">
        <v>45</v>
      </c>
      <c r="M159">
        <v>90</v>
      </c>
      <c r="N159">
        <v>45</v>
      </c>
      <c r="O159">
        <f t="shared" si="25"/>
        <v>-45</v>
      </c>
      <c r="P159">
        <v>40</v>
      </c>
      <c r="Q159">
        <v>35</v>
      </c>
      <c r="R159">
        <v>30</v>
      </c>
      <c r="S159">
        <f t="shared" si="26"/>
        <v>32.5</v>
      </c>
      <c r="T159">
        <f t="shared" si="27"/>
        <v>0.72222222222222221</v>
      </c>
      <c r="V159" t="s">
        <v>121</v>
      </c>
      <c r="W159" t="s">
        <v>114</v>
      </c>
      <c r="X159">
        <v>13.9</v>
      </c>
      <c r="Y159">
        <v>13</v>
      </c>
      <c r="Z159">
        <v>13.1</v>
      </c>
      <c r="AA159">
        <v>13.33333333</v>
      </c>
      <c r="AB159">
        <v>13.33333333</v>
      </c>
      <c r="AC159">
        <v>14.4</v>
      </c>
      <c r="AD159">
        <v>15.4</v>
      </c>
      <c r="AE159">
        <v>15.4</v>
      </c>
      <c r="AF159">
        <v>15.06666667</v>
      </c>
      <c r="AG159">
        <v>15.9</v>
      </c>
      <c r="AH159">
        <v>23.3</v>
      </c>
      <c r="AI159">
        <v>15.4</v>
      </c>
      <c r="AJ159">
        <v>18.2</v>
      </c>
      <c r="AK159">
        <v>14.4</v>
      </c>
      <c r="AL159">
        <v>14.9</v>
      </c>
      <c r="AM159">
        <v>15.4</v>
      </c>
      <c r="AN159">
        <v>14.9</v>
      </c>
      <c r="AO159">
        <v>18.2</v>
      </c>
      <c r="AP159">
        <v>4.0999999999999996</v>
      </c>
      <c r="AQ159">
        <v>5.6</v>
      </c>
      <c r="AR159">
        <v>7.1</v>
      </c>
      <c r="AS159">
        <v>5.6</v>
      </c>
      <c r="AT159">
        <v>6.6</v>
      </c>
      <c r="AU159">
        <v>6.6</v>
      </c>
      <c r="AV159">
        <v>5.6</v>
      </c>
      <c r="AW159">
        <v>6.266666667</v>
      </c>
      <c r="AX159">
        <v>5.6</v>
      </c>
      <c r="AY159">
        <v>-7.733333333</v>
      </c>
      <c r="AZ159">
        <v>80</v>
      </c>
      <c r="BA159">
        <v>1</v>
      </c>
      <c r="BB159">
        <v>3</v>
      </c>
      <c r="BC159">
        <v>2</v>
      </c>
      <c r="BD159">
        <v>5</v>
      </c>
      <c r="BE159">
        <v>0</v>
      </c>
      <c r="BF159">
        <v>3</v>
      </c>
      <c r="BG159">
        <v>0</v>
      </c>
      <c r="BI159">
        <v>10.7</v>
      </c>
      <c r="BJ159">
        <v>55.920999999999999</v>
      </c>
      <c r="BK159">
        <v>0</v>
      </c>
      <c r="BL159">
        <v>3</v>
      </c>
      <c r="BM159">
        <v>3</v>
      </c>
      <c r="BN159">
        <v>14</v>
      </c>
      <c r="BO159">
        <v>134</v>
      </c>
      <c r="BP159">
        <f t="shared" si="28"/>
        <v>-120</v>
      </c>
      <c r="BQ159">
        <v>66</v>
      </c>
      <c r="BR159">
        <f t="shared" si="29"/>
        <v>-52</v>
      </c>
      <c r="BS159">
        <v>15.2752525233333</v>
      </c>
      <c r="BT159">
        <v>1.3576521720000001</v>
      </c>
      <c r="BU159">
        <v>4.6086348133333299</v>
      </c>
      <c r="BV159">
        <v>15.2752525233333</v>
      </c>
      <c r="BW159">
        <v>1.3576521720000001</v>
      </c>
      <c r="BX159">
        <v>4.6086348133333299</v>
      </c>
      <c r="BY159">
        <v>227.80995438373699</v>
      </c>
      <c r="BZ159">
        <v>1.4973479443595901</v>
      </c>
      <c r="CA159">
        <v>30.771973806995199</v>
      </c>
      <c r="CB159">
        <v>227.80995438373699</v>
      </c>
      <c r="CC159">
        <v>1.4973479443595901</v>
      </c>
      <c r="CD159">
        <v>30.771973806995199</v>
      </c>
      <c r="CE159">
        <v>7.1882433333333301E-2</v>
      </c>
      <c r="CF159">
        <v>1.4096122748889999E-2</v>
      </c>
      <c r="CG159">
        <v>0.1239100125</v>
      </c>
      <c r="CH159">
        <v>20.81818181625</v>
      </c>
      <c r="CI159">
        <v>1.3578495644999999</v>
      </c>
      <c r="CJ159">
        <v>7.1110018950000002</v>
      </c>
      <c r="CK159">
        <v>0.1184752375</v>
      </c>
      <c r="CL159">
        <v>20.81818181625</v>
      </c>
      <c r="CM159">
        <v>1.3578495644999999</v>
      </c>
      <c r="CN159">
        <v>7.1110018950000002</v>
      </c>
      <c r="CO159">
        <v>9.3778584318583904E-3</v>
      </c>
      <c r="CP159">
        <v>190.251097596471</v>
      </c>
      <c r="CQ159">
        <v>0.757113205289346</v>
      </c>
      <c r="CR159">
        <v>26.331150493118599</v>
      </c>
      <c r="CS159">
        <v>1.0883354771365501E-2</v>
      </c>
      <c r="CT159">
        <v>190.251097596471</v>
      </c>
      <c r="CU159">
        <v>0.757113205289346</v>
      </c>
      <c r="CV159">
        <v>26.331150493118599</v>
      </c>
      <c r="CW159">
        <v>5.7389700000000002E-2</v>
      </c>
    </row>
    <row r="160" spans="1:101" x14ac:dyDescent="0.25">
      <c r="A160" t="s">
        <v>49</v>
      </c>
      <c r="B160">
        <v>2</v>
      </c>
      <c r="C160" t="s">
        <v>35</v>
      </c>
      <c r="D160" t="s">
        <v>94</v>
      </c>
      <c r="E160" t="s">
        <v>102</v>
      </c>
      <c r="F160" t="s">
        <v>145</v>
      </c>
      <c r="G160" t="s">
        <v>265</v>
      </c>
      <c r="H160" t="str">
        <f t="shared" si="24"/>
        <v>A.calendula.Highcomp.Open</v>
      </c>
      <c r="I160" t="s">
        <v>717</v>
      </c>
      <c r="J160" t="s">
        <v>434</v>
      </c>
      <c r="K160">
        <v>6</v>
      </c>
      <c r="L160">
        <v>90</v>
      </c>
      <c r="M160">
        <v>60</v>
      </c>
      <c r="N160">
        <v>90</v>
      </c>
      <c r="O160">
        <f t="shared" si="25"/>
        <v>30</v>
      </c>
      <c r="P160">
        <v>75</v>
      </c>
      <c r="Q160">
        <v>75</v>
      </c>
      <c r="R160">
        <v>40</v>
      </c>
      <c r="S160">
        <f t="shared" si="26"/>
        <v>57.5</v>
      </c>
      <c r="T160">
        <f t="shared" si="27"/>
        <v>0.63888888888888884</v>
      </c>
      <c r="V160" t="s">
        <v>112</v>
      </c>
      <c r="W160">
        <v>50</v>
      </c>
      <c r="X160">
        <v>10.5</v>
      </c>
      <c r="Y160">
        <v>10.5</v>
      </c>
      <c r="Z160">
        <v>12.5</v>
      </c>
      <c r="AA160">
        <v>11.16666667</v>
      </c>
      <c r="AB160">
        <v>11.16666667</v>
      </c>
      <c r="AC160">
        <v>10.5</v>
      </c>
      <c r="AD160">
        <v>11</v>
      </c>
      <c r="AE160">
        <v>13.5</v>
      </c>
      <c r="AF160">
        <v>11.66666667</v>
      </c>
      <c r="AG160">
        <v>13.9</v>
      </c>
      <c r="AH160">
        <v>13</v>
      </c>
      <c r="AI160">
        <v>15.9</v>
      </c>
      <c r="AJ160">
        <v>14.266666669999999</v>
      </c>
      <c r="AK160">
        <v>13.9</v>
      </c>
      <c r="AL160">
        <v>13</v>
      </c>
      <c r="AM160">
        <v>14.9</v>
      </c>
      <c r="AN160">
        <v>13.93333333</v>
      </c>
      <c r="AO160">
        <v>14.266666669999999</v>
      </c>
      <c r="AP160">
        <v>4.5999999999999996</v>
      </c>
      <c r="AQ160">
        <v>4.0999999999999996</v>
      </c>
      <c r="AR160">
        <v>5.0999999999999996</v>
      </c>
      <c r="AS160">
        <v>4.5999999999999996</v>
      </c>
      <c r="AT160">
        <v>4.0999999999999996</v>
      </c>
      <c r="AU160">
        <v>5.0999999999999996</v>
      </c>
      <c r="AV160">
        <v>5.6</v>
      </c>
      <c r="AW160">
        <v>4.9333333330000002</v>
      </c>
      <c r="AX160">
        <v>4.5999999999999996</v>
      </c>
      <c r="AY160">
        <v>-6.5666666669999998</v>
      </c>
      <c r="AZ160">
        <v>20</v>
      </c>
      <c r="BA160">
        <v>5</v>
      </c>
      <c r="BB160">
        <v>2</v>
      </c>
      <c r="BC160">
        <v>2</v>
      </c>
      <c r="BD160">
        <v>5</v>
      </c>
      <c r="BE160">
        <v>0</v>
      </c>
      <c r="BF160">
        <v>5</v>
      </c>
      <c r="BG160">
        <v>1</v>
      </c>
      <c r="BI160">
        <v>7.5</v>
      </c>
      <c r="BJ160">
        <v>0</v>
      </c>
      <c r="BK160">
        <v>0</v>
      </c>
      <c r="BL160">
        <v>9</v>
      </c>
      <c r="BM160">
        <v>9</v>
      </c>
      <c r="BN160">
        <v>351</v>
      </c>
      <c r="BO160">
        <v>161.5</v>
      </c>
      <c r="BP160">
        <f t="shared" si="28"/>
        <v>189.5</v>
      </c>
      <c r="BQ160">
        <v>141</v>
      </c>
      <c r="BR160">
        <f t="shared" si="29"/>
        <v>210</v>
      </c>
      <c r="BS160">
        <v>24.421875</v>
      </c>
      <c r="BT160">
        <v>1.240298889</v>
      </c>
      <c r="BU160">
        <v>6.4684160249999998</v>
      </c>
      <c r="BV160">
        <v>-4.7748842600000003</v>
      </c>
      <c r="BW160">
        <v>-1.240298889</v>
      </c>
      <c r="BX160">
        <v>-6.4684160249999998</v>
      </c>
      <c r="BY160">
        <v>45.599039392791497</v>
      </c>
      <c r="BZ160">
        <v>9.5264471551286603E-3</v>
      </c>
      <c r="CA160">
        <v>10.214499638004799</v>
      </c>
      <c r="CB160">
        <v>1192.85595703125</v>
      </c>
      <c r="CC160">
        <v>9.5264471551286603E-3</v>
      </c>
      <c r="CD160">
        <v>10.214499638004799</v>
      </c>
      <c r="CE160">
        <v>0.90212789999999998</v>
      </c>
      <c r="CF160">
        <v>1.6276694959168201</v>
      </c>
      <c r="CG160">
        <v>0.8008615</v>
      </c>
      <c r="CH160">
        <v>27.605131173333302</v>
      </c>
      <c r="CI160">
        <v>1.2863096296666701</v>
      </c>
      <c r="CJ160">
        <v>4.9618010083333299</v>
      </c>
      <c r="CK160">
        <v>0.449519</v>
      </c>
      <c r="CL160">
        <v>-21.05613426</v>
      </c>
      <c r="CM160">
        <v>-1.2863096296666701</v>
      </c>
      <c r="CN160">
        <v>-4.9618010083333299</v>
      </c>
      <c r="CO160">
        <v>1.5382325653440001E-2</v>
      </c>
      <c r="CP160">
        <v>15.1996797975972</v>
      </c>
      <c r="CQ160">
        <v>3.1754823850428898E-3</v>
      </c>
      <c r="CR160">
        <v>3.4048332126682501</v>
      </c>
      <c r="CS160">
        <v>0.54255649863893995</v>
      </c>
      <c r="CT160">
        <v>397.61865234375</v>
      </c>
      <c r="CU160">
        <v>3.1754823850428898E-3</v>
      </c>
      <c r="CV160">
        <v>3.4048332126682501</v>
      </c>
      <c r="CW160">
        <v>-0.1518996</v>
      </c>
    </row>
    <row r="161" spans="1:101" x14ac:dyDescent="0.25">
      <c r="A161" t="s">
        <v>49</v>
      </c>
      <c r="B161">
        <v>2</v>
      </c>
      <c r="C161" t="s">
        <v>35</v>
      </c>
      <c r="D161" t="s">
        <v>94</v>
      </c>
      <c r="E161" t="s">
        <v>112</v>
      </c>
      <c r="F161" t="s">
        <v>145</v>
      </c>
      <c r="G161" t="s">
        <v>261</v>
      </c>
      <c r="H161" t="str">
        <f t="shared" si="24"/>
        <v>V.rosea.Highcomp.Open</v>
      </c>
      <c r="I161" t="s">
        <v>729</v>
      </c>
      <c r="J161" t="s">
        <v>435</v>
      </c>
      <c r="K161">
        <v>2</v>
      </c>
      <c r="L161">
        <v>80</v>
      </c>
      <c r="M161">
        <v>45</v>
      </c>
      <c r="N161">
        <v>80</v>
      </c>
      <c r="O161">
        <f t="shared" si="25"/>
        <v>35</v>
      </c>
      <c r="P161">
        <v>60</v>
      </c>
      <c r="Q161">
        <v>80</v>
      </c>
      <c r="R161">
        <v>35</v>
      </c>
      <c r="S161">
        <f t="shared" si="26"/>
        <v>57.5</v>
      </c>
      <c r="T161">
        <f t="shared" si="27"/>
        <v>0.71875</v>
      </c>
      <c r="V161" t="s">
        <v>112</v>
      </c>
      <c r="W161">
        <v>60</v>
      </c>
      <c r="X161">
        <v>10.5</v>
      </c>
      <c r="Y161">
        <v>10.5</v>
      </c>
      <c r="Z161">
        <v>12.5</v>
      </c>
      <c r="AA161">
        <v>11.16666667</v>
      </c>
      <c r="AB161">
        <v>11.16666667</v>
      </c>
      <c r="AC161">
        <v>12</v>
      </c>
      <c r="AD161">
        <v>10</v>
      </c>
      <c r="AE161">
        <v>10</v>
      </c>
      <c r="AF161">
        <v>10.66666667</v>
      </c>
      <c r="AG161">
        <v>13.9</v>
      </c>
      <c r="AH161">
        <v>13</v>
      </c>
      <c r="AI161">
        <v>15.9</v>
      </c>
      <c r="AJ161">
        <v>14.266666669999999</v>
      </c>
      <c r="AK161">
        <v>13</v>
      </c>
      <c r="AL161">
        <v>11.5</v>
      </c>
      <c r="AM161">
        <v>13.9</v>
      </c>
      <c r="AN161">
        <v>12.8</v>
      </c>
      <c r="AO161">
        <v>14.266666669999999</v>
      </c>
      <c r="AP161">
        <v>4.5999999999999996</v>
      </c>
      <c r="AQ161">
        <v>4.0999999999999996</v>
      </c>
      <c r="AR161">
        <v>5.0999999999999996</v>
      </c>
      <c r="AS161">
        <v>4.5999999999999996</v>
      </c>
      <c r="AT161">
        <v>5.0999999999999996</v>
      </c>
      <c r="AU161">
        <v>4.0999999999999996</v>
      </c>
      <c r="AV161">
        <v>4.5999999999999996</v>
      </c>
      <c r="AW161">
        <v>4.5999999999999996</v>
      </c>
      <c r="AX161">
        <v>4.5999999999999996</v>
      </c>
      <c r="AY161">
        <v>-6.5666666669999998</v>
      </c>
      <c r="AZ161">
        <v>20</v>
      </c>
      <c r="BA161">
        <v>5</v>
      </c>
      <c r="BB161">
        <v>2</v>
      </c>
      <c r="BC161">
        <v>2</v>
      </c>
      <c r="BD161">
        <v>5</v>
      </c>
      <c r="BE161">
        <v>0</v>
      </c>
      <c r="BF161">
        <v>5</v>
      </c>
      <c r="BG161">
        <v>1</v>
      </c>
      <c r="BI161">
        <v>7.5</v>
      </c>
      <c r="BJ161">
        <v>0</v>
      </c>
      <c r="BK161">
        <v>0</v>
      </c>
      <c r="BL161">
        <v>42</v>
      </c>
      <c r="BM161">
        <v>42</v>
      </c>
      <c r="BN161">
        <v>151</v>
      </c>
      <c r="BO161">
        <v>193</v>
      </c>
      <c r="BP161">
        <f t="shared" si="28"/>
        <v>-42</v>
      </c>
      <c r="BQ161">
        <v>306</v>
      </c>
      <c r="BR161">
        <f t="shared" si="29"/>
        <v>-155</v>
      </c>
      <c r="BS161">
        <v>16.598958334999999</v>
      </c>
      <c r="BT161">
        <v>1.118732147</v>
      </c>
      <c r="BU161">
        <v>3.7901109050000001</v>
      </c>
      <c r="BV161">
        <v>-16.598958334999999</v>
      </c>
      <c r="BW161">
        <v>1.118732147</v>
      </c>
      <c r="BX161">
        <v>3.7901109050000001</v>
      </c>
      <c r="BY161">
        <v>551.05083561413198</v>
      </c>
      <c r="BZ161">
        <v>2.50312323346246</v>
      </c>
      <c r="CA161">
        <v>28.7298813443998</v>
      </c>
      <c r="CB161">
        <v>551.05083561413198</v>
      </c>
      <c r="CC161">
        <v>2.50312323346246</v>
      </c>
      <c r="CD161">
        <v>28.7298813443998</v>
      </c>
      <c r="CE161">
        <v>0.89125834999999998</v>
      </c>
      <c r="CF161">
        <v>1.5886828928894401</v>
      </c>
      <c r="CG161">
        <v>0.89125834999999998</v>
      </c>
      <c r="CH161">
        <v>16.598958334999999</v>
      </c>
      <c r="CI161">
        <v>1.118732147</v>
      </c>
      <c r="CJ161">
        <v>3.7901109050000001</v>
      </c>
      <c r="CK161">
        <v>0.89125834999999998</v>
      </c>
      <c r="CL161">
        <v>-16.598958334999999</v>
      </c>
      <c r="CM161">
        <v>1.118732147</v>
      </c>
      <c r="CN161">
        <v>3.7901109050000001</v>
      </c>
      <c r="CO161">
        <v>1.5886828928894401</v>
      </c>
      <c r="CP161">
        <v>551.05083561413198</v>
      </c>
      <c r="CQ161">
        <v>2.50312323346246</v>
      </c>
      <c r="CR161">
        <v>28.7298813443998</v>
      </c>
      <c r="CS161">
        <v>1.5886828928894401</v>
      </c>
      <c r="CT161">
        <v>551.05083561413198</v>
      </c>
      <c r="CU161">
        <v>2.50312323346246</v>
      </c>
      <c r="CV161">
        <v>28.7298813443998</v>
      </c>
      <c r="CW161">
        <v>0.89125834999999998</v>
      </c>
    </row>
    <row r="162" spans="1:101" x14ac:dyDescent="0.25">
      <c r="A162" t="s">
        <v>79</v>
      </c>
      <c r="B162">
        <v>6</v>
      </c>
      <c r="C162" t="s">
        <v>11</v>
      </c>
      <c r="D162" t="s">
        <v>95</v>
      </c>
      <c r="E162" t="s">
        <v>113</v>
      </c>
      <c r="F162" t="s">
        <v>145</v>
      </c>
      <c r="G162" t="s">
        <v>259</v>
      </c>
      <c r="H162" t="str">
        <f t="shared" si="24"/>
        <v>H.glutinosum.Highcomp.Shade</v>
      </c>
      <c r="I162" t="s">
        <v>730</v>
      </c>
      <c r="J162" t="s">
        <v>436</v>
      </c>
      <c r="K162">
        <v>4</v>
      </c>
      <c r="L162">
        <v>50</v>
      </c>
      <c r="M162">
        <v>30</v>
      </c>
      <c r="N162">
        <v>50</v>
      </c>
      <c r="O162">
        <f t="shared" si="25"/>
        <v>20</v>
      </c>
      <c r="P162">
        <v>7</v>
      </c>
      <c r="Q162">
        <v>7</v>
      </c>
      <c r="R162">
        <v>3</v>
      </c>
      <c r="S162">
        <f t="shared" si="26"/>
        <v>5</v>
      </c>
      <c r="T162">
        <f t="shared" si="27"/>
        <v>0.1</v>
      </c>
      <c r="U162" t="s">
        <v>15</v>
      </c>
      <c r="V162" t="s">
        <v>113</v>
      </c>
      <c r="W162">
        <v>60</v>
      </c>
      <c r="X162">
        <v>16.899999999999999</v>
      </c>
      <c r="Y162">
        <v>18.899999999999999</v>
      </c>
      <c r="Z162">
        <v>18.399999999999999</v>
      </c>
      <c r="AA162">
        <v>18.06666667</v>
      </c>
      <c r="AB162">
        <v>18.06666667</v>
      </c>
      <c r="AC162">
        <v>17.399999999999999</v>
      </c>
      <c r="AD162">
        <v>14.9</v>
      </c>
      <c r="AE162">
        <v>16.899999999999999</v>
      </c>
      <c r="AF162">
        <v>16.399999999999999</v>
      </c>
      <c r="AG162">
        <v>16.899999999999999</v>
      </c>
      <c r="AH162">
        <v>17.399999999999999</v>
      </c>
      <c r="AI162">
        <v>18.399999999999999</v>
      </c>
      <c r="AJ162">
        <v>17.56666667</v>
      </c>
      <c r="AK162">
        <v>13.5</v>
      </c>
      <c r="AL162">
        <v>14.4</v>
      </c>
      <c r="AM162">
        <v>16.899999999999999</v>
      </c>
      <c r="AN162">
        <v>14.93333333</v>
      </c>
      <c r="AO162">
        <v>17.56666667</v>
      </c>
      <c r="AP162">
        <v>7.6</v>
      </c>
      <c r="AQ162">
        <v>8.1</v>
      </c>
      <c r="AR162">
        <v>6.1</v>
      </c>
      <c r="AS162">
        <v>7.266666667</v>
      </c>
      <c r="AT162">
        <v>6.6</v>
      </c>
      <c r="AU162">
        <v>7.6</v>
      </c>
      <c r="AV162">
        <v>8.5</v>
      </c>
      <c r="AW162">
        <v>7.5666666669999998</v>
      </c>
      <c r="AX162">
        <v>7.266666667</v>
      </c>
      <c r="AY162">
        <v>-10.8</v>
      </c>
      <c r="AZ162">
        <v>5</v>
      </c>
      <c r="BA162">
        <v>85</v>
      </c>
      <c r="BB162">
        <v>5</v>
      </c>
      <c r="BC162">
        <v>5</v>
      </c>
      <c r="BD162">
        <v>1</v>
      </c>
      <c r="BE162">
        <v>0</v>
      </c>
      <c r="BF162">
        <v>0</v>
      </c>
      <c r="BG162">
        <v>0</v>
      </c>
      <c r="BI162">
        <v>9.9</v>
      </c>
      <c r="BJ162">
        <v>42.4</v>
      </c>
      <c r="BK162">
        <v>0</v>
      </c>
      <c r="BL162">
        <v>1</v>
      </c>
      <c r="BM162">
        <v>1</v>
      </c>
      <c r="BN162">
        <v>3</v>
      </c>
      <c r="BO162">
        <v>0</v>
      </c>
      <c r="BP162">
        <f t="shared" si="28"/>
        <v>3</v>
      </c>
      <c r="BQ162">
        <v>0</v>
      </c>
      <c r="BR162">
        <f t="shared" si="29"/>
        <v>3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 t="s">
        <v>114</v>
      </c>
      <c r="BZ162" t="s">
        <v>114</v>
      </c>
      <c r="CA162" t="s">
        <v>114</v>
      </c>
      <c r="CB162" t="s">
        <v>114</v>
      </c>
      <c r="CC162" t="s">
        <v>114</v>
      </c>
      <c r="CD162" t="s">
        <v>114</v>
      </c>
      <c r="CE162">
        <v>0</v>
      </c>
      <c r="CF162" t="s">
        <v>114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</row>
    <row r="163" spans="1:101" x14ac:dyDescent="0.25">
      <c r="A163" t="s">
        <v>79</v>
      </c>
      <c r="B163">
        <v>6</v>
      </c>
      <c r="C163" t="s">
        <v>11</v>
      </c>
      <c r="D163" t="s">
        <v>95</v>
      </c>
      <c r="E163" t="s">
        <v>103</v>
      </c>
      <c r="F163" t="s">
        <v>145</v>
      </c>
      <c r="G163" t="s">
        <v>260</v>
      </c>
      <c r="H163" t="str">
        <f t="shared" si="24"/>
        <v>P.airoides.Highcomp.Shade</v>
      </c>
      <c r="I163" t="s">
        <v>731</v>
      </c>
      <c r="J163" t="s">
        <v>437</v>
      </c>
      <c r="K163">
        <v>11</v>
      </c>
      <c r="L163">
        <v>55</v>
      </c>
      <c r="M163">
        <v>70</v>
      </c>
      <c r="N163">
        <v>55</v>
      </c>
      <c r="O163">
        <f t="shared" si="25"/>
        <v>-15</v>
      </c>
      <c r="P163">
        <v>25</v>
      </c>
      <c r="Q163">
        <v>20</v>
      </c>
      <c r="R163">
        <v>10</v>
      </c>
      <c r="S163">
        <f t="shared" si="26"/>
        <v>15</v>
      </c>
      <c r="T163">
        <f t="shared" si="27"/>
        <v>0.27272727272727271</v>
      </c>
      <c r="U163" t="s">
        <v>15</v>
      </c>
      <c r="V163" t="s">
        <v>113</v>
      </c>
      <c r="W163">
        <v>100</v>
      </c>
      <c r="X163">
        <v>16.899999999999999</v>
      </c>
      <c r="Y163">
        <v>18.899999999999999</v>
      </c>
      <c r="Z163">
        <v>18.399999999999999</v>
      </c>
      <c r="AA163">
        <v>18.06666667</v>
      </c>
      <c r="AB163">
        <v>18.06666667</v>
      </c>
      <c r="AC163">
        <v>14.5</v>
      </c>
      <c r="AD163">
        <v>14.9</v>
      </c>
      <c r="AE163">
        <v>14.9</v>
      </c>
      <c r="AF163">
        <v>14.766666669999999</v>
      </c>
      <c r="AG163">
        <v>16.899999999999999</v>
      </c>
      <c r="AH163">
        <v>17.399999999999999</v>
      </c>
      <c r="AI163">
        <v>18.399999999999999</v>
      </c>
      <c r="AJ163">
        <v>17.56666667</v>
      </c>
      <c r="AK163">
        <v>15.9</v>
      </c>
      <c r="AL163">
        <v>14.4</v>
      </c>
      <c r="AM163">
        <v>14.4</v>
      </c>
      <c r="AN163">
        <v>14.9</v>
      </c>
      <c r="AO163">
        <v>17.56666667</v>
      </c>
      <c r="AP163">
        <v>7.6</v>
      </c>
      <c r="AQ163">
        <v>8.1</v>
      </c>
      <c r="AR163">
        <v>6.1</v>
      </c>
      <c r="AS163">
        <v>7.266666667</v>
      </c>
      <c r="AT163">
        <v>6.6</v>
      </c>
      <c r="AU163">
        <v>6.1</v>
      </c>
      <c r="AV163">
        <v>5.6</v>
      </c>
      <c r="AW163">
        <v>6.1</v>
      </c>
      <c r="AX163">
        <v>7.266666667</v>
      </c>
      <c r="AY163">
        <v>-10.8</v>
      </c>
      <c r="AZ163">
        <v>5</v>
      </c>
      <c r="BA163">
        <v>85</v>
      </c>
      <c r="BB163">
        <v>5</v>
      </c>
      <c r="BC163">
        <v>5</v>
      </c>
      <c r="BD163">
        <v>1</v>
      </c>
      <c r="BE163">
        <v>0</v>
      </c>
      <c r="BF163">
        <v>0</v>
      </c>
      <c r="BG163">
        <v>0</v>
      </c>
      <c r="BI163">
        <v>9.9</v>
      </c>
      <c r="BJ163">
        <v>42.4</v>
      </c>
      <c r="BK163">
        <v>0</v>
      </c>
      <c r="BL163">
        <v>3</v>
      </c>
      <c r="BM163">
        <v>3</v>
      </c>
      <c r="BN163">
        <v>148</v>
      </c>
      <c r="BO163">
        <v>406</v>
      </c>
      <c r="BP163">
        <f t="shared" si="28"/>
        <v>-258</v>
      </c>
      <c r="BQ163">
        <v>356</v>
      </c>
      <c r="BR163">
        <f t="shared" si="29"/>
        <v>-208</v>
      </c>
      <c r="BS163">
        <v>7.2670454549999999</v>
      </c>
      <c r="BT163">
        <v>0.33901825800000002</v>
      </c>
      <c r="BU163">
        <v>3.8525754600000002</v>
      </c>
      <c r="BV163">
        <v>7.2670454549999999</v>
      </c>
      <c r="BW163">
        <v>-0.33901825800000002</v>
      </c>
      <c r="BX163">
        <v>3.8525754600000002</v>
      </c>
      <c r="BY163">
        <v>105.619899290072</v>
      </c>
      <c r="BZ163">
        <v>0.229866758514709</v>
      </c>
      <c r="CA163">
        <v>29.6846753499884</v>
      </c>
      <c r="CB163">
        <v>105.619899290072</v>
      </c>
      <c r="CC163">
        <v>0.229866758514709</v>
      </c>
      <c r="CD163">
        <v>29.6846753499884</v>
      </c>
      <c r="CE163">
        <v>0.10782364999999999</v>
      </c>
      <c r="CF163">
        <v>2.3251878998645E-2</v>
      </c>
      <c r="CG163">
        <v>0.13723009999999999</v>
      </c>
      <c r="CH163">
        <v>9.2489669427272698</v>
      </c>
      <c r="CI163">
        <v>0.431477782909091</v>
      </c>
      <c r="CJ163">
        <v>4.9032778581818199</v>
      </c>
      <c r="CK163">
        <v>0.13723009999999999</v>
      </c>
      <c r="CL163">
        <v>9.2489669427272698</v>
      </c>
      <c r="CM163">
        <v>-0.431477782909091</v>
      </c>
      <c r="CN163">
        <v>4.9032778581818199</v>
      </c>
      <c r="CO163">
        <v>1.1837320217492E-2</v>
      </c>
      <c r="CP163">
        <v>53.770130547673197</v>
      </c>
      <c r="CQ163">
        <v>0.11702307706203401</v>
      </c>
      <c r="CR163">
        <v>15.1121983599941</v>
      </c>
      <c r="CS163">
        <v>1.1837320217492E-2</v>
      </c>
      <c r="CT163">
        <v>53.770130547673197</v>
      </c>
      <c r="CU163">
        <v>0.11702307706203401</v>
      </c>
      <c r="CV163">
        <v>15.1121983599941</v>
      </c>
      <c r="CW163">
        <v>0.10782364999999999</v>
      </c>
    </row>
    <row r="164" spans="1:101" x14ac:dyDescent="0.25">
      <c r="A164" t="s">
        <v>79</v>
      </c>
      <c r="B164">
        <v>6</v>
      </c>
      <c r="C164" t="s">
        <v>11</v>
      </c>
      <c r="D164" t="s">
        <v>95</v>
      </c>
      <c r="E164" t="s">
        <v>111</v>
      </c>
      <c r="F164" t="s">
        <v>145</v>
      </c>
      <c r="G164" t="s">
        <v>263</v>
      </c>
      <c r="H164" t="str">
        <f t="shared" si="24"/>
        <v>P.canescens.Highcomp.Shade</v>
      </c>
      <c r="I164" t="s">
        <v>732</v>
      </c>
      <c r="J164" t="s">
        <v>438</v>
      </c>
      <c r="K164">
        <v>7</v>
      </c>
      <c r="L164">
        <v>380</v>
      </c>
      <c r="M164">
        <v>280</v>
      </c>
      <c r="N164">
        <v>380</v>
      </c>
      <c r="O164">
        <f t="shared" si="25"/>
        <v>100</v>
      </c>
      <c r="P164">
        <v>110</v>
      </c>
      <c r="Q164">
        <v>280</v>
      </c>
      <c r="R164">
        <v>160</v>
      </c>
      <c r="S164">
        <f t="shared" si="26"/>
        <v>220</v>
      </c>
      <c r="T164">
        <f t="shared" si="27"/>
        <v>0.57894736842105265</v>
      </c>
      <c r="U164" t="s">
        <v>15</v>
      </c>
      <c r="V164" t="s">
        <v>113</v>
      </c>
      <c r="W164">
        <v>40</v>
      </c>
      <c r="X164">
        <v>16.899999999999999</v>
      </c>
      <c r="Y164">
        <v>18.899999999999999</v>
      </c>
      <c r="Z164">
        <v>18.399999999999999</v>
      </c>
      <c r="AA164">
        <v>18.06666667</v>
      </c>
      <c r="AB164">
        <v>18.06666667</v>
      </c>
      <c r="AC164">
        <v>15.9</v>
      </c>
      <c r="AD164">
        <v>15.9</v>
      </c>
      <c r="AE164">
        <v>18.899999999999999</v>
      </c>
      <c r="AF164">
        <v>16.899999999999999</v>
      </c>
      <c r="AG164">
        <v>16.899999999999999</v>
      </c>
      <c r="AH164">
        <v>17.399999999999999</v>
      </c>
      <c r="AI164">
        <v>18.399999999999999</v>
      </c>
      <c r="AJ164">
        <v>17.56666667</v>
      </c>
      <c r="AK164">
        <v>19.3</v>
      </c>
      <c r="AL164">
        <v>15.9</v>
      </c>
      <c r="AM164">
        <v>18.399999999999999</v>
      </c>
      <c r="AN164">
        <v>17.866666670000001</v>
      </c>
      <c r="AO164">
        <v>17.56666667</v>
      </c>
      <c r="AP164">
        <v>7.6</v>
      </c>
      <c r="AQ164">
        <v>8.1</v>
      </c>
      <c r="AR164">
        <v>6.1</v>
      </c>
      <c r="AS164">
        <v>7.266666667</v>
      </c>
      <c r="AT164">
        <v>6.6</v>
      </c>
      <c r="AU164">
        <v>8.1</v>
      </c>
      <c r="AV164">
        <v>8.1</v>
      </c>
      <c r="AW164">
        <v>7.6</v>
      </c>
      <c r="AX164">
        <v>7.266666667</v>
      </c>
      <c r="AY164">
        <v>-10.8</v>
      </c>
      <c r="AZ164">
        <v>5</v>
      </c>
      <c r="BA164">
        <v>85</v>
      </c>
      <c r="BB164">
        <v>5</v>
      </c>
      <c r="BC164">
        <v>5</v>
      </c>
      <c r="BD164">
        <v>1</v>
      </c>
      <c r="BE164">
        <v>0</v>
      </c>
      <c r="BF164">
        <v>0</v>
      </c>
      <c r="BG164">
        <v>0</v>
      </c>
      <c r="BI164">
        <v>9.9</v>
      </c>
      <c r="BJ164">
        <v>42.4</v>
      </c>
      <c r="BK164">
        <v>0</v>
      </c>
      <c r="BL164">
        <v>74</v>
      </c>
      <c r="BM164">
        <v>56</v>
      </c>
      <c r="BN164">
        <v>3631</v>
      </c>
      <c r="BO164">
        <v>2858</v>
      </c>
      <c r="BP164">
        <f t="shared" si="28"/>
        <v>773</v>
      </c>
      <c r="BQ164">
        <v>3443</v>
      </c>
      <c r="BR164">
        <f t="shared" si="29"/>
        <v>188</v>
      </c>
      <c r="BS164">
        <v>6.5643398266666697</v>
      </c>
      <c r="BT164">
        <v>0.25930751600000002</v>
      </c>
      <c r="BU164">
        <v>6.0479798133333302</v>
      </c>
      <c r="BV164">
        <v>4.3508477599999997</v>
      </c>
      <c r="BW164">
        <v>-0.14461841</v>
      </c>
      <c r="BX164">
        <v>-4.9106876399999999</v>
      </c>
      <c r="BY164">
        <v>17.058673897756101</v>
      </c>
      <c r="BZ164">
        <v>9.0281340860909901E-2</v>
      </c>
      <c r="CA164">
        <v>19.067452092328701</v>
      </c>
      <c r="CB164">
        <v>53.299695591653901</v>
      </c>
      <c r="CC164">
        <v>0.159770195875653</v>
      </c>
      <c r="CD164">
        <v>37.762262179586799</v>
      </c>
      <c r="CE164">
        <v>0.76810202333333299</v>
      </c>
      <c r="CF164">
        <v>1.56442152235577</v>
      </c>
      <c r="CG164">
        <v>0.43061200999999999</v>
      </c>
      <c r="CH164">
        <v>9.2212043885714294</v>
      </c>
      <c r="CI164">
        <v>0.457354014857143</v>
      </c>
      <c r="CJ164">
        <v>3.56681321142857</v>
      </c>
      <c r="CK164">
        <v>-0.17704843857142899</v>
      </c>
      <c r="CL164">
        <v>8.2725649314285707</v>
      </c>
      <c r="CM164">
        <v>-0.408201540857143</v>
      </c>
      <c r="CN164">
        <v>-1.12975855428571</v>
      </c>
      <c r="CO164">
        <v>0.53724760986721998</v>
      </c>
      <c r="CP164">
        <v>11.8627877703526</v>
      </c>
      <c r="CQ164">
        <v>6.4413394032845697E-2</v>
      </c>
      <c r="CR164">
        <v>11.742481607216201</v>
      </c>
      <c r="CS164">
        <v>0.71700825568215598</v>
      </c>
      <c r="CT164">
        <v>31.223947573311001</v>
      </c>
      <c r="CU164">
        <v>0.11404829047194801</v>
      </c>
      <c r="CV164">
        <v>25.0959173838292</v>
      </c>
      <c r="CW164">
        <v>-0.64977235666666699</v>
      </c>
    </row>
    <row r="165" spans="1:101" x14ac:dyDescent="0.25">
      <c r="A165" t="s">
        <v>80</v>
      </c>
      <c r="B165">
        <v>6</v>
      </c>
      <c r="C165" t="s">
        <v>15</v>
      </c>
      <c r="D165" t="s">
        <v>95</v>
      </c>
      <c r="E165" t="s">
        <v>105</v>
      </c>
      <c r="F165" t="s">
        <v>145</v>
      </c>
      <c r="G165" t="s">
        <v>266</v>
      </c>
      <c r="H165" t="str">
        <f t="shared" si="24"/>
        <v>H.glabra.Highcomp.Shade</v>
      </c>
      <c r="I165" t="s">
        <v>733</v>
      </c>
      <c r="J165" t="s">
        <v>439</v>
      </c>
      <c r="K165">
        <v>10</v>
      </c>
      <c r="L165">
        <v>60</v>
      </c>
      <c r="M165">
        <v>45</v>
      </c>
      <c r="N165">
        <v>60</v>
      </c>
      <c r="O165">
        <f t="shared" si="25"/>
        <v>15</v>
      </c>
      <c r="P165">
        <v>80</v>
      </c>
      <c r="Q165">
        <v>50</v>
      </c>
      <c r="R165">
        <v>0</v>
      </c>
      <c r="S165">
        <f t="shared" si="26"/>
        <v>25</v>
      </c>
      <c r="T165">
        <f t="shared" si="27"/>
        <v>0.41666666666666669</v>
      </c>
      <c r="V165" t="s">
        <v>121</v>
      </c>
      <c r="W165" t="s">
        <v>114</v>
      </c>
      <c r="X165">
        <v>15.9</v>
      </c>
      <c r="Y165">
        <v>14.9</v>
      </c>
      <c r="Z165">
        <v>17.899999999999999</v>
      </c>
      <c r="AA165">
        <v>16.233333330000001</v>
      </c>
      <c r="AB165">
        <v>16.233333330000001</v>
      </c>
      <c r="AC165">
        <v>15.4</v>
      </c>
      <c r="AD165">
        <v>16.399999999999999</v>
      </c>
      <c r="AE165">
        <v>16.899999999999999</v>
      </c>
      <c r="AF165">
        <v>16.233333330000001</v>
      </c>
      <c r="AG165">
        <v>12</v>
      </c>
      <c r="AH165">
        <v>15.9</v>
      </c>
      <c r="AI165">
        <v>14.9</v>
      </c>
      <c r="AJ165">
        <v>14.266666669999999</v>
      </c>
      <c r="AK165">
        <v>14.4</v>
      </c>
      <c r="AL165">
        <v>13.5</v>
      </c>
      <c r="AM165">
        <v>15.9</v>
      </c>
      <c r="AN165">
        <v>14.6</v>
      </c>
      <c r="AO165">
        <v>14.266666669999999</v>
      </c>
      <c r="AP165">
        <v>11</v>
      </c>
      <c r="AQ165">
        <v>8.1</v>
      </c>
      <c r="AR165">
        <v>8.5</v>
      </c>
      <c r="AS165">
        <v>9.1999999999999993</v>
      </c>
      <c r="AT165">
        <v>9.5</v>
      </c>
      <c r="AU165">
        <v>9</v>
      </c>
      <c r="AV165">
        <v>10.5</v>
      </c>
      <c r="AW165">
        <v>9.6666666669999994</v>
      </c>
      <c r="AX165">
        <v>9.1999999999999993</v>
      </c>
      <c r="AY165">
        <v>-7.0333333329999999</v>
      </c>
      <c r="AZ165">
        <v>5</v>
      </c>
      <c r="BA165">
        <v>85</v>
      </c>
      <c r="BB165">
        <v>1</v>
      </c>
      <c r="BC165">
        <v>20</v>
      </c>
      <c r="BD165">
        <v>0</v>
      </c>
      <c r="BE165">
        <v>1</v>
      </c>
      <c r="BF165">
        <v>0</v>
      </c>
      <c r="BG165">
        <v>0</v>
      </c>
      <c r="BI165">
        <v>12.2</v>
      </c>
      <c r="BJ165">
        <v>42.4</v>
      </c>
      <c r="BK165">
        <v>0</v>
      </c>
      <c r="BL165">
        <v>3</v>
      </c>
      <c r="BM165">
        <v>3</v>
      </c>
      <c r="BN165">
        <v>137</v>
      </c>
      <c r="BO165">
        <v>315.5</v>
      </c>
      <c r="BP165">
        <f t="shared" si="28"/>
        <v>-178.5</v>
      </c>
      <c r="BQ165">
        <v>80</v>
      </c>
      <c r="BR165">
        <f t="shared" si="29"/>
        <v>57</v>
      </c>
      <c r="BS165">
        <v>23.524621215</v>
      </c>
      <c r="BT165">
        <v>0.33901825800000002</v>
      </c>
      <c r="BU165">
        <v>21.47468048</v>
      </c>
      <c r="BV165">
        <v>-23.524621215</v>
      </c>
      <c r="BW165">
        <v>2.6175038000000001E-2</v>
      </c>
      <c r="BX165">
        <v>21.47468048</v>
      </c>
      <c r="BY165">
        <v>105.619899290072</v>
      </c>
      <c r="BZ165">
        <v>1.3702652286028899E-3</v>
      </c>
      <c r="CA165">
        <v>29.6846753499884</v>
      </c>
      <c r="CB165">
        <v>105.619899290072</v>
      </c>
      <c r="CC165">
        <v>0.229866758514709</v>
      </c>
      <c r="CD165">
        <v>29.6846753499884</v>
      </c>
      <c r="CE165">
        <v>1.7741976500000001</v>
      </c>
      <c r="CF165">
        <v>2.3251878998645E-2</v>
      </c>
      <c r="CG165">
        <v>1.6879387299999999</v>
      </c>
      <c r="CH165">
        <v>29.338257579</v>
      </c>
      <c r="CI165">
        <v>0.35995828839999999</v>
      </c>
      <c r="CJ165">
        <v>18.392620111999999</v>
      </c>
      <c r="CK165">
        <v>1.6879387299999999</v>
      </c>
      <c r="CL165">
        <v>-29.338257579</v>
      </c>
      <c r="CM165">
        <v>0.29738964439999999</v>
      </c>
      <c r="CN165">
        <v>18.392620111999999</v>
      </c>
      <c r="CO165">
        <v>4.6503757997289896E-3</v>
      </c>
      <c r="CP165">
        <v>21.123979858014501</v>
      </c>
      <c r="CQ165">
        <v>2.74053045720578E-4</v>
      </c>
      <c r="CR165">
        <v>5.9369350699976904</v>
      </c>
      <c r="CS165">
        <v>4.6503757997289896E-3</v>
      </c>
      <c r="CT165">
        <v>21.123979858014501</v>
      </c>
      <c r="CU165">
        <v>4.5973351702941798E-2</v>
      </c>
      <c r="CV165">
        <v>5.9369350699976904</v>
      </c>
      <c r="CW165">
        <v>1.7741976500000001</v>
      </c>
    </row>
    <row r="166" spans="1:101" x14ac:dyDescent="0.25">
      <c r="A166" t="s">
        <v>80</v>
      </c>
      <c r="B166">
        <v>6</v>
      </c>
      <c r="C166" t="s">
        <v>15</v>
      </c>
      <c r="D166" t="s">
        <v>95</v>
      </c>
      <c r="E166" t="s">
        <v>113</v>
      </c>
      <c r="F166" t="s">
        <v>145</v>
      </c>
      <c r="G166" t="s">
        <v>259</v>
      </c>
      <c r="H166" t="str">
        <f t="shared" si="24"/>
        <v>H.glutinosum.Highcomp.Shade</v>
      </c>
      <c r="I166" t="s">
        <v>730</v>
      </c>
      <c r="J166" t="s">
        <v>440</v>
      </c>
      <c r="K166">
        <v>6</v>
      </c>
      <c r="L166">
        <v>60</v>
      </c>
      <c r="M166">
        <v>30</v>
      </c>
      <c r="N166">
        <v>60</v>
      </c>
      <c r="O166">
        <f t="shared" si="25"/>
        <v>30</v>
      </c>
      <c r="P166">
        <v>4</v>
      </c>
      <c r="Q166">
        <v>2</v>
      </c>
      <c r="R166">
        <v>2</v>
      </c>
      <c r="S166">
        <f t="shared" si="26"/>
        <v>2</v>
      </c>
      <c r="T166">
        <f t="shared" si="27"/>
        <v>3.3333333333333333E-2</v>
      </c>
      <c r="V166" t="s">
        <v>113</v>
      </c>
      <c r="W166">
        <v>50</v>
      </c>
      <c r="X166">
        <v>15.9</v>
      </c>
      <c r="Y166">
        <v>14.9</v>
      </c>
      <c r="Z166">
        <v>17.899999999999999</v>
      </c>
      <c r="AA166">
        <v>16.233333330000001</v>
      </c>
      <c r="AB166">
        <v>16.233333330000001</v>
      </c>
      <c r="AC166">
        <v>13.9</v>
      </c>
      <c r="AD166">
        <v>13.9</v>
      </c>
      <c r="AE166">
        <v>15.4</v>
      </c>
      <c r="AF166">
        <v>14.4</v>
      </c>
      <c r="AG166">
        <v>12</v>
      </c>
      <c r="AH166">
        <v>15.9</v>
      </c>
      <c r="AI166">
        <v>14.9</v>
      </c>
      <c r="AJ166">
        <v>14.266666669999999</v>
      </c>
      <c r="AK166">
        <v>11.5</v>
      </c>
      <c r="AL166">
        <v>13.5</v>
      </c>
      <c r="AM166">
        <v>15.4</v>
      </c>
      <c r="AN166">
        <v>13.46666667</v>
      </c>
      <c r="AO166">
        <v>14.266666669999999</v>
      </c>
      <c r="AP166">
        <v>11</v>
      </c>
      <c r="AQ166">
        <v>8.1</v>
      </c>
      <c r="AR166">
        <v>8.5</v>
      </c>
      <c r="AS166">
        <v>9.1999999999999993</v>
      </c>
      <c r="AT166">
        <v>8.5</v>
      </c>
      <c r="AU166">
        <v>7.1</v>
      </c>
      <c r="AV166">
        <v>9</v>
      </c>
      <c r="AW166">
        <v>8.1999999999999993</v>
      </c>
      <c r="AX166">
        <v>9.1999999999999993</v>
      </c>
      <c r="AY166">
        <v>-7.0333333329999999</v>
      </c>
      <c r="AZ166">
        <v>5</v>
      </c>
      <c r="BA166">
        <v>85</v>
      </c>
      <c r="BB166">
        <v>1</v>
      </c>
      <c r="BC166">
        <v>20</v>
      </c>
      <c r="BD166">
        <v>0</v>
      </c>
      <c r="BE166">
        <v>1</v>
      </c>
      <c r="BF166">
        <v>0</v>
      </c>
      <c r="BG166">
        <v>0</v>
      </c>
      <c r="BI166">
        <v>12.2</v>
      </c>
      <c r="BJ166">
        <v>42.4</v>
      </c>
      <c r="BK166">
        <v>0</v>
      </c>
      <c r="BL166">
        <v>1</v>
      </c>
      <c r="BM166">
        <v>1</v>
      </c>
      <c r="BN166">
        <v>3</v>
      </c>
      <c r="BO166">
        <v>0</v>
      </c>
      <c r="BP166">
        <f t="shared" si="28"/>
        <v>3</v>
      </c>
      <c r="BQ166">
        <v>0</v>
      </c>
      <c r="BR166">
        <f t="shared" si="29"/>
        <v>3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 t="s">
        <v>114</v>
      </c>
      <c r="BZ166" t="s">
        <v>114</v>
      </c>
      <c r="CA166" t="s">
        <v>114</v>
      </c>
      <c r="CB166" t="s">
        <v>114</v>
      </c>
      <c r="CC166" t="s">
        <v>114</v>
      </c>
      <c r="CD166" t="s">
        <v>114</v>
      </c>
      <c r="CE166">
        <v>0</v>
      </c>
      <c r="CF166" t="s">
        <v>114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</row>
    <row r="167" spans="1:101" x14ac:dyDescent="0.25">
      <c r="A167" t="s">
        <v>80</v>
      </c>
      <c r="B167">
        <v>6</v>
      </c>
      <c r="C167" t="s">
        <v>15</v>
      </c>
      <c r="D167" t="s">
        <v>95</v>
      </c>
      <c r="E167" t="s">
        <v>103</v>
      </c>
      <c r="F167" t="s">
        <v>145</v>
      </c>
      <c r="G167" t="s">
        <v>260</v>
      </c>
      <c r="H167" t="str">
        <f t="shared" si="24"/>
        <v>P.airoides.Highcomp.Shade</v>
      </c>
      <c r="I167" t="s">
        <v>731</v>
      </c>
      <c r="J167" t="s">
        <v>441</v>
      </c>
      <c r="K167">
        <v>3</v>
      </c>
      <c r="L167">
        <v>40</v>
      </c>
      <c r="M167">
        <v>70</v>
      </c>
      <c r="N167">
        <v>40</v>
      </c>
      <c r="O167">
        <f t="shared" si="25"/>
        <v>-30</v>
      </c>
      <c r="P167">
        <v>32</v>
      </c>
      <c r="Q167">
        <v>26</v>
      </c>
      <c r="R167">
        <v>3</v>
      </c>
      <c r="S167">
        <f t="shared" si="26"/>
        <v>14.5</v>
      </c>
      <c r="T167">
        <f t="shared" si="27"/>
        <v>0.36249999999999999</v>
      </c>
      <c r="V167" t="s">
        <v>103</v>
      </c>
      <c r="W167" t="s">
        <v>114</v>
      </c>
      <c r="X167">
        <v>15.9</v>
      </c>
      <c r="Y167">
        <v>14.9</v>
      </c>
      <c r="Z167">
        <v>17.899999999999999</v>
      </c>
      <c r="AA167">
        <v>16.233333330000001</v>
      </c>
      <c r="AB167">
        <v>16.233333330000001</v>
      </c>
      <c r="AC167">
        <v>14.9</v>
      </c>
      <c r="AD167">
        <v>14.4</v>
      </c>
      <c r="AE167">
        <v>15.9</v>
      </c>
      <c r="AF167">
        <v>15.06666667</v>
      </c>
      <c r="AG167">
        <v>12</v>
      </c>
      <c r="AH167">
        <v>15.9</v>
      </c>
      <c r="AI167">
        <v>14.9</v>
      </c>
      <c r="AJ167">
        <v>14.266666669999999</v>
      </c>
      <c r="AK167">
        <v>13</v>
      </c>
      <c r="AL167">
        <v>13.9</v>
      </c>
      <c r="AM167">
        <v>14.4</v>
      </c>
      <c r="AN167">
        <v>13.766666669999999</v>
      </c>
      <c r="AO167">
        <v>14.266666669999999</v>
      </c>
      <c r="AP167">
        <v>11</v>
      </c>
      <c r="AQ167">
        <v>8.1</v>
      </c>
      <c r="AR167">
        <v>8.5</v>
      </c>
      <c r="AS167">
        <v>9.1999999999999993</v>
      </c>
      <c r="AT167">
        <v>8.1</v>
      </c>
      <c r="AU167">
        <v>8.5</v>
      </c>
      <c r="AV167">
        <v>11.5</v>
      </c>
      <c r="AW167">
        <v>9.3666666670000005</v>
      </c>
      <c r="AX167">
        <v>9.1999999999999993</v>
      </c>
      <c r="AY167">
        <v>-7.0333333329999999</v>
      </c>
      <c r="AZ167">
        <v>5</v>
      </c>
      <c r="BA167">
        <v>85</v>
      </c>
      <c r="BB167">
        <v>1</v>
      </c>
      <c r="BC167">
        <v>20</v>
      </c>
      <c r="BD167">
        <v>0</v>
      </c>
      <c r="BE167">
        <v>1</v>
      </c>
      <c r="BF167">
        <v>0</v>
      </c>
      <c r="BG167">
        <v>0</v>
      </c>
      <c r="BI167">
        <v>12.2</v>
      </c>
      <c r="BJ167">
        <v>42.4</v>
      </c>
      <c r="BK167">
        <v>0</v>
      </c>
      <c r="BL167">
        <v>4</v>
      </c>
      <c r="BM167">
        <v>4</v>
      </c>
      <c r="BN167">
        <v>171</v>
      </c>
      <c r="BO167">
        <v>406</v>
      </c>
      <c r="BP167">
        <f t="shared" si="28"/>
        <v>-235</v>
      </c>
      <c r="BQ167">
        <v>456</v>
      </c>
      <c r="BR167">
        <f t="shared" si="29"/>
        <v>-285</v>
      </c>
      <c r="BS167">
        <v>7.2670454549999999</v>
      </c>
      <c r="BT167">
        <v>0.33901825800000002</v>
      </c>
      <c r="BU167">
        <v>3.8525754600000002</v>
      </c>
      <c r="BV167">
        <v>7.2670454549999999</v>
      </c>
      <c r="BW167">
        <v>-0.33901825800000002</v>
      </c>
      <c r="BX167">
        <v>3.8525754600000002</v>
      </c>
      <c r="BY167">
        <v>105.619899290072</v>
      </c>
      <c r="BZ167">
        <v>0.229866758514709</v>
      </c>
      <c r="CA167">
        <v>29.6846753499884</v>
      </c>
      <c r="CB167">
        <v>105.619899290072</v>
      </c>
      <c r="CC167">
        <v>0.229866758514709</v>
      </c>
      <c r="CD167">
        <v>29.6846753499884</v>
      </c>
      <c r="CE167">
        <v>0.10782364999999999</v>
      </c>
      <c r="CF167">
        <v>2.3251878998645E-2</v>
      </c>
      <c r="CG167">
        <v>7.1882433333333301E-2</v>
      </c>
      <c r="CH167">
        <v>4.8446969700000002</v>
      </c>
      <c r="CI167">
        <v>0.22601217200000001</v>
      </c>
      <c r="CJ167">
        <v>2.56838364</v>
      </c>
      <c r="CK167">
        <v>7.1882433333333301E-2</v>
      </c>
      <c r="CL167">
        <v>4.8446969700000002</v>
      </c>
      <c r="CM167">
        <v>-0.22601217200000001</v>
      </c>
      <c r="CN167">
        <v>2.56838364</v>
      </c>
      <c r="CO167">
        <v>1.55012526657633E-2</v>
      </c>
      <c r="CP167">
        <v>70.413266193381503</v>
      </c>
      <c r="CQ167">
        <v>0.15324450567647299</v>
      </c>
      <c r="CR167">
        <v>19.789783566659001</v>
      </c>
      <c r="CS167">
        <v>1.55012526657633E-2</v>
      </c>
      <c r="CT167">
        <v>70.413266193381503</v>
      </c>
      <c r="CU167">
        <v>0.15324450567647299</v>
      </c>
      <c r="CV167">
        <v>19.789783566659001</v>
      </c>
      <c r="CW167">
        <v>0.10782364999999999</v>
      </c>
    </row>
    <row r="168" spans="1:101" x14ac:dyDescent="0.25">
      <c r="A168" t="s">
        <v>81</v>
      </c>
      <c r="B168">
        <v>6</v>
      </c>
      <c r="C168" t="s">
        <v>17</v>
      </c>
      <c r="D168" t="s">
        <v>94</v>
      </c>
      <c r="E168" t="s">
        <v>105</v>
      </c>
      <c r="F168" t="s">
        <v>145</v>
      </c>
      <c r="G168" t="s">
        <v>266</v>
      </c>
      <c r="H168" t="str">
        <f t="shared" si="24"/>
        <v>H.glabra.Highcomp.Open</v>
      </c>
      <c r="I168" t="s">
        <v>734</v>
      </c>
      <c r="J168" t="s">
        <v>442</v>
      </c>
      <c r="K168">
        <v>6</v>
      </c>
      <c r="L168">
        <v>30</v>
      </c>
      <c r="M168">
        <v>40</v>
      </c>
      <c r="N168">
        <v>30</v>
      </c>
      <c r="O168">
        <f t="shared" si="25"/>
        <v>-10</v>
      </c>
      <c r="P168">
        <v>55</v>
      </c>
      <c r="Q168">
        <v>55</v>
      </c>
      <c r="R168">
        <v>55</v>
      </c>
      <c r="S168">
        <f t="shared" si="26"/>
        <v>55</v>
      </c>
      <c r="T168">
        <f t="shared" si="27"/>
        <v>1.8333333333333333</v>
      </c>
      <c r="V168" t="s">
        <v>113</v>
      </c>
      <c r="W168">
        <v>60</v>
      </c>
      <c r="X168">
        <v>13.9</v>
      </c>
      <c r="Y168">
        <v>14.4</v>
      </c>
      <c r="Z168">
        <v>14.9</v>
      </c>
      <c r="AA168">
        <v>14.4</v>
      </c>
      <c r="AB168">
        <v>14.4</v>
      </c>
      <c r="AC168">
        <v>11</v>
      </c>
      <c r="AD168">
        <v>11.5</v>
      </c>
      <c r="AE168">
        <v>12</v>
      </c>
      <c r="AF168">
        <v>11.5</v>
      </c>
      <c r="AG168">
        <v>13.9</v>
      </c>
      <c r="AH168">
        <v>13.9</v>
      </c>
      <c r="AI168">
        <v>14.9</v>
      </c>
      <c r="AJ168">
        <v>14.233333330000001</v>
      </c>
      <c r="AK168">
        <v>10</v>
      </c>
      <c r="AL168">
        <v>12</v>
      </c>
      <c r="AM168">
        <v>9.5</v>
      </c>
      <c r="AN168">
        <v>10.5</v>
      </c>
      <c r="AO168">
        <v>14.233333330000001</v>
      </c>
      <c r="AP168">
        <v>8.5</v>
      </c>
      <c r="AQ168">
        <v>6.6</v>
      </c>
      <c r="AR168">
        <v>8.1</v>
      </c>
      <c r="AS168">
        <v>7.733333333</v>
      </c>
      <c r="AT168">
        <v>6.6</v>
      </c>
      <c r="AU168">
        <v>6.1</v>
      </c>
      <c r="AV168">
        <v>7.1</v>
      </c>
      <c r="AW168">
        <v>6.6</v>
      </c>
      <c r="AX168">
        <v>7.733333333</v>
      </c>
      <c r="AY168">
        <v>-6.6666666670000003</v>
      </c>
      <c r="AZ168">
        <v>8</v>
      </c>
      <c r="BA168">
        <v>80</v>
      </c>
      <c r="BB168">
        <v>3</v>
      </c>
      <c r="BC168">
        <v>10</v>
      </c>
      <c r="BD168">
        <v>0</v>
      </c>
      <c r="BE168">
        <v>1</v>
      </c>
      <c r="BF168">
        <v>0</v>
      </c>
      <c r="BG168">
        <v>0</v>
      </c>
      <c r="BI168">
        <v>10.6</v>
      </c>
      <c r="BJ168">
        <v>1.0569999999999999</v>
      </c>
      <c r="BK168">
        <v>0</v>
      </c>
      <c r="BL168">
        <v>5</v>
      </c>
      <c r="BM168">
        <v>4</v>
      </c>
      <c r="BN168">
        <v>104</v>
      </c>
      <c r="BO168">
        <v>199.5</v>
      </c>
      <c r="BP168">
        <f t="shared" si="28"/>
        <v>-95.5</v>
      </c>
      <c r="BQ168">
        <v>333</v>
      </c>
      <c r="BR168">
        <f t="shared" si="29"/>
        <v>-229</v>
      </c>
      <c r="BS168">
        <v>16.257575760000002</v>
      </c>
      <c r="BT168">
        <v>0.31284321999999998</v>
      </c>
      <c r="BU168">
        <v>25.327255940000001</v>
      </c>
      <c r="BV168">
        <v>-16.257575760000002</v>
      </c>
      <c r="BW168">
        <v>-0.31284321999999998</v>
      </c>
      <c r="BX168">
        <v>25.327255940000001</v>
      </c>
      <c r="BY168" t="s">
        <v>114</v>
      </c>
      <c r="BZ168" t="s">
        <v>114</v>
      </c>
      <c r="CA168" t="s">
        <v>114</v>
      </c>
      <c r="CB168" t="s">
        <v>114</v>
      </c>
      <c r="CC168" t="s">
        <v>114</v>
      </c>
      <c r="CD168" t="s">
        <v>114</v>
      </c>
      <c r="CE168">
        <v>1.8820212999999999</v>
      </c>
      <c r="CF168" t="s">
        <v>114</v>
      </c>
      <c r="CG168">
        <v>1.8820212999999999</v>
      </c>
      <c r="CH168">
        <v>16.257575760000002</v>
      </c>
      <c r="CI168">
        <v>0.31284321999999998</v>
      </c>
      <c r="CJ168">
        <v>25.327255940000001</v>
      </c>
      <c r="CK168">
        <v>1.8820212999999999</v>
      </c>
      <c r="CL168">
        <v>-16.257575760000002</v>
      </c>
      <c r="CM168">
        <v>-0.31284321999999998</v>
      </c>
      <c r="CN168">
        <v>25.327255940000001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1.8820212999999999</v>
      </c>
    </row>
    <row r="169" spans="1:101" x14ac:dyDescent="0.25">
      <c r="A169" t="s">
        <v>81</v>
      </c>
      <c r="B169">
        <v>6</v>
      </c>
      <c r="C169" t="s">
        <v>17</v>
      </c>
      <c r="D169" t="s">
        <v>94</v>
      </c>
      <c r="E169" t="s">
        <v>113</v>
      </c>
      <c r="F169" t="s">
        <v>145</v>
      </c>
      <c r="G169" t="s">
        <v>259</v>
      </c>
      <c r="H169" t="str">
        <f t="shared" si="24"/>
        <v>H.glutinosum.Highcomp.Open</v>
      </c>
      <c r="I169" t="s">
        <v>735</v>
      </c>
      <c r="J169" t="s">
        <v>443</v>
      </c>
      <c r="K169">
        <v>6</v>
      </c>
      <c r="L169">
        <v>70</v>
      </c>
      <c r="M169">
        <v>110</v>
      </c>
      <c r="N169">
        <v>70</v>
      </c>
      <c r="O169">
        <f t="shared" si="25"/>
        <v>-40</v>
      </c>
      <c r="P169">
        <v>5</v>
      </c>
      <c r="Q169">
        <v>25</v>
      </c>
      <c r="R169">
        <v>15</v>
      </c>
      <c r="S169">
        <f t="shared" si="26"/>
        <v>20</v>
      </c>
      <c r="T169">
        <f t="shared" si="27"/>
        <v>0.2857142857142857</v>
      </c>
      <c r="V169" t="s">
        <v>113</v>
      </c>
      <c r="W169">
        <v>80</v>
      </c>
      <c r="X169">
        <v>13.9</v>
      </c>
      <c r="Y169">
        <v>14.4</v>
      </c>
      <c r="Z169">
        <v>14.9</v>
      </c>
      <c r="AA169">
        <v>14.4</v>
      </c>
      <c r="AB169">
        <v>14.4</v>
      </c>
      <c r="AC169">
        <v>14.4</v>
      </c>
      <c r="AD169">
        <v>14.9</v>
      </c>
      <c r="AE169">
        <v>12.5</v>
      </c>
      <c r="AF169">
        <v>13.93333333</v>
      </c>
      <c r="AG169">
        <v>13.9</v>
      </c>
      <c r="AH169">
        <v>13.9</v>
      </c>
      <c r="AI169">
        <v>14.9</v>
      </c>
      <c r="AJ169">
        <v>14.233333330000001</v>
      </c>
      <c r="AK169">
        <v>11.5</v>
      </c>
      <c r="AL169">
        <v>13.9</v>
      </c>
      <c r="AM169">
        <v>13.9</v>
      </c>
      <c r="AN169">
        <v>13.1</v>
      </c>
      <c r="AO169">
        <v>14.233333330000001</v>
      </c>
      <c r="AP169">
        <v>8.5</v>
      </c>
      <c r="AQ169">
        <v>6.6</v>
      </c>
      <c r="AR169">
        <v>8.1</v>
      </c>
      <c r="AS169">
        <v>7.733333333</v>
      </c>
      <c r="AT169">
        <v>7.6</v>
      </c>
      <c r="AU169">
        <v>7.6</v>
      </c>
      <c r="AV169">
        <v>8.5</v>
      </c>
      <c r="AW169">
        <v>7.9</v>
      </c>
      <c r="AX169">
        <v>7.733333333</v>
      </c>
      <c r="AY169">
        <v>-6.6666666670000003</v>
      </c>
      <c r="AZ169">
        <v>8</v>
      </c>
      <c r="BA169">
        <v>80</v>
      </c>
      <c r="BB169">
        <v>3</v>
      </c>
      <c r="BC169">
        <v>10</v>
      </c>
      <c r="BD169">
        <v>0</v>
      </c>
      <c r="BE169">
        <v>1</v>
      </c>
      <c r="BF169">
        <v>0</v>
      </c>
      <c r="BG169">
        <v>0</v>
      </c>
      <c r="BI169">
        <v>10.6</v>
      </c>
      <c r="BJ169">
        <v>1.0569999999999999</v>
      </c>
      <c r="BK169">
        <v>0</v>
      </c>
      <c r="BL169">
        <v>4</v>
      </c>
      <c r="BM169">
        <v>4</v>
      </c>
      <c r="BN169">
        <v>8</v>
      </c>
      <c r="BO169">
        <v>2</v>
      </c>
      <c r="BP169">
        <f t="shared" si="28"/>
        <v>6</v>
      </c>
      <c r="BQ169">
        <v>1</v>
      </c>
      <c r="BR169">
        <f t="shared" si="29"/>
        <v>7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 t="s">
        <v>114</v>
      </c>
      <c r="BZ169" t="s">
        <v>114</v>
      </c>
      <c r="CA169" t="s">
        <v>114</v>
      </c>
      <c r="CB169" t="s">
        <v>114</v>
      </c>
      <c r="CC169" t="s">
        <v>114</v>
      </c>
      <c r="CD169" t="s">
        <v>114</v>
      </c>
      <c r="CE169">
        <v>0</v>
      </c>
      <c r="CF169" t="s">
        <v>114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</row>
    <row r="170" spans="1:101" x14ac:dyDescent="0.25">
      <c r="A170" t="s">
        <v>81</v>
      </c>
      <c r="B170">
        <v>6</v>
      </c>
      <c r="C170" t="s">
        <v>17</v>
      </c>
      <c r="D170" t="s">
        <v>94</v>
      </c>
      <c r="E170" t="s">
        <v>103</v>
      </c>
      <c r="F170" t="s">
        <v>145</v>
      </c>
      <c r="G170" t="s">
        <v>260</v>
      </c>
      <c r="H170" t="str">
        <f t="shared" si="24"/>
        <v>P.airoides.Highcomp.Open</v>
      </c>
      <c r="I170" t="s">
        <v>736</v>
      </c>
      <c r="J170" t="s">
        <v>444</v>
      </c>
      <c r="K170">
        <v>6</v>
      </c>
      <c r="L170">
        <v>100</v>
      </c>
      <c r="M170">
        <v>50</v>
      </c>
      <c r="N170">
        <v>100</v>
      </c>
      <c r="O170">
        <f t="shared" si="25"/>
        <v>50</v>
      </c>
      <c r="P170">
        <v>30</v>
      </c>
      <c r="Q170">
        <v>15</v>
      </c>
      <c r="R170">
        <v>10</v>
      </c>
      <c r="S170">
        <f t="shared" si="26"/>
        <v>12.5</v>
      </c>
      <c r="T170">
        <f t="shared" si="27"/>
        <v>0.125</v>
      </c>
      <c r="V170" t="s">
        <v>113</v>
      </c>
      <c r="W170">
        <v>70</v>
      </c>
      <c r="X170">
        <v>13.9</v>
      </c>
      <c r="Y170">
        <v>14.4</v>
      </c>
      <c r="Z170">
        <v>14.9</v>
      </c>
      <c r="AA170">
        <v>14.4</v>
      </c>
      <c r="AB170">
        <v>14.4</v>
      </c>
      <c r="AC170">
        <v>14.4</v>
      </c>
      <c r="AD170">
        <v>14.9</v>
      </c>
      <c r="AE170">
        <v>14.9</v>
      </c>
      <c r="AF170">
        <v>14.733333330000001</v>
      </c>
      <c r="AG170">
        <v>13.9</v>
      </c>
      <c r="AH170">
        <v>13.9</v>
      </c>
      <c r="AI170">
        <v>14.9</v>
      </c>
      <c r="AJ170">
        <v>14.233333330000001</v>
      </c>
      <c r="AK170">
        <v>13.5</v>
      </c>
      <c r="AL170">
        <v>13.5</v>
      </c>
      <c r="AM170">
        <v>13.9</v>
      </c>
      <c r="AN170">
        <v>13.633333329999999</v>
      </c>
      <c r="AO170">
        <v>14.233333330000001</v>
      </c>
      <c r="AP170">
        <v>8.5</v>
      </c>
      <c r="AQ170">
        <v>6.6</v>
      </c>
      <c r="AR170">
        <v>8.1</v>
      </c>
      <c r="AS170">
        <v>7.733333333</v>
      </c>
      <c r="AT170">
        <v>7.6</v>
      </c>
      <c r="AU170">
        <v>7.6</v>
      </c>
      <c r="AV170">
        <v>8.1</v>
      </c>
      <c r="AW170">
        <v>7.766666667</v>
      </c>
      <c r="AX170">
        <v>7.733333333</v>
      </c>
      <c r="AY170">
        <v>-6.6666666670000003</v>
      </c>
      <c r="AZ170">
        <v>8</v>
      </c>
      <c r="BA170">
        <v>80</v>
      </c>
      <c r="BB170">
        <v>3</v>
      </c>
      <c r="BC170">
        <v>10</v>
      </c>
      <c r="BD170">
        <v>0</v>
      </c>
      <c r="BE170">
        <v>1</v>
      </c>
      <c r="BF170">
        <v>0</v>
      </c>
      <c r="BG170">
        <v>0</v>
      </c>
      <c r="BI170">
        <v>10.6</v>
      </c>
      <c r="BJ170">
        <v>1.0569999999999999</v>
      </c>
      <c r="BK170">
        <v>0</v>
      </c>
      <c r="BL170">
        <v>2</v>
      </c>
      <c r="BM170">
        <v>2</v>
      </c>
      <c r="BN170">
        <v>122</v>
      </c>
      <c r="BO170">
        <v>828</v>
      </c>
      <c r="BP170">
        <f t="shared" si="28"/>
        <v>-706</v>
      </c>
      <c r="BQ170">
        <v>273</v>
      </c>
      <c r="BR170">
        <f t="shared" si="29"/>
        <v>-151</v>
      </c>
      <c r="BS170">
        <v>7.2670454549999999</v>
      </c>
      <c r="BT170">
        <v>0.33901825800000002</v>
      </c>
      <c r="BU170">
        <v>3.8525754600000002</v>
      </c>
      <c r="BV170">
        <v>7.2670454549999999</v>
      </c>
      <c r="BW170">
        <v>-0.33901825800000002</v>
      </c>
      <c r="BX170">
        <v>3.8525754600000002</v>
      </c>
      <c r="BY170">
        <v>105.619899290072</v>
      </c>
      <c r="BZ170">
        <v>0.229866758514709</v>
      </c>
      <c r="CA170">
        <v>29.6846753499884</v>
      </c>
      <c r="CB170">
        <v>105.619899290072</v>
      </c>
      <c r="CC170">
        <v>0.229866758514709</v>
      </c>
      <c r="CD170">
        <v>29.6846753499884</v>
      </c>
      <c r="CE170">
        <v>0.10782364999999999</v>
      </c>
      <c r="CF170">
        <v>2.3251878998645E-2</v>
      </c>
      <c r="CG170">
        <v>0.17970608333333299</v>
      </c>
      <c r="CH170">
        <v>12.111742424999999</v>
      </c>
      <c r="CI170">
        <v>0.56503042999999997</v>
      </c>
      <c r="CJ170">
        <v>6.4209591000000001</v>
      </c>
      <c r="CK170">
        <v>0.17970608333333299</v>
      </c>
      <c r="CL170">
        <v>12.111742424999999</v>
      </c>
      <c r="CM170">
        <v>-0.56503042999999997</v>
      </c>
      <c r="CN170">
        <v>6.4209591000000001</v>
      </c>
      <c r="CO170">
        <v>7.7506263328816702E-3</v>
      </c>
      <c r="CP170">
        <v>35.206633096690801</v>
      </c>
      <c r="CQ170">
        <v>7.6622252838236399E-2</v>
      </c>
      <c r="CR170">
        <v>9.8948917833294807</v>
      </c>
      <c r="CS170">
        <v>7.7506263328816702E-3</v>
      </c>
      <c r="CT170">
        <v>35.206633096690801</v>
      </c>
      <c r="CU170">
        <v>7.6622252838236399E-2</v>
      </c>
      <c r="CV170">
        <v>9.8948917833294807</v>
      </c>
      <c r="CW170">
        <v>0.10782364999999999</v>
      </c>
    </row>
    <row r="171" spans="1:101" x14ac:dyDescent="0.25">
      <c r="A171" t="s">
        <v>82</v>
      </c>
      <c r="B171">
        <v>6</v>
      </c>
      <c r="C171" t="s">
        <v>19</v>
      </c>
      <c r="D171" t="s">
        <v>94</v>
      </c>
      <c r="E171" t="s">
        <v>102</v>
      </c>
      <c r="F171" t="s">
        <v>145</v>
      </c>
      <c r="G171" t="s">
        <v>265</v>
      </c>
      <c r="H171" t="str">
        <f t="shared" si="24"/>
        <v>A.calendula.Highcomp.Open</v>
      </c>
      <c r="I171" t="s">
        <v>737</v>
      </c>
      <c r="J171" t="s">
        <v>445</v>
      </c>
      <c r="K171">
        <v>1</v>
      </c>
      <c r="L171">
        <v>90</v>
      </c>
      <c r="M171">
        <v>70</v>
      </c>
      <c r="N171">
        <v>90</v>
      </c>
      <c r="O171">
        <f t="shared" si="25"/>
        <v>20</v>
      </c>
      <c r="P171">
        <v>110</v>
      </c>
      <c r="Q171">
        <v>110</v>
      </c>
      <c r="R171">
        <v>55</v>
      </c>
      <c r="S171">
        <f t="shared" si="26"/>
        <v>82.5</v>
      </c>
      <c r="T171">
        <f t="shared" si="27"/>
        <v>0.91666666666666663</v>
      </c>
      <c r="V171" t="s">
        <v>102</v>
      </c>
      <c r="W171">
        <v>90</v>
      </c>
      <c r="X171">
        <v>13</v>
      </c>
      <c r="Y171">
        <v>13.5</v>
      </c>
      <c r="Z171">
        <v>13.9</v>
      </c>
      <c r="AA171">
        <v>13.46666667</v>
      </c>
      <c r="AB171">
        <v>13.46666667</v>
      </c>
      <c r="AC171">
        <v>16.899999999999999</v>
      </c>
      <c r="AD171">
        <v>11.9</v>
      </c>
      <c r="AE171">
        <v>14.9</v>
      </c>
      <c r="AF171">
        <v>14.56666667</v>
      </c>
      <c r="AG171">
        <v>13</v>
      </c>
      <c r="AH171">
        <v>13.5</v>
      </c>
      <c r="AI171">
        <v>14.4</v>
      </c>
      <c r="AJ171">
        <v>13.633333329999999</v>
      </c>
      <c r="AK171">
        <v>13.9</v>
      </c>
      <c r="AL171">
        <v>16.899999999999999</v>
      </c>
      <c r="AM171">
        <v>11.5</v>
      </c>
      <c r="AN171">
        <v>14.1</v>
      </c>
      <c r="AO171">
        <v>13.633333329999999</v>
      </c>
      <c r="AP171">
        <v>8.5</v>
      </c>
      <c r="AQ171">
        <v>8.1</v>
      </c>
      <c r="AR171">
        <v>6.6</v>
      </c>
      <c r="AS171">
        <v>7.733333333</v>
      </c>
      <c r="AT171">
        <v>6.6</v>
      </c>
      <c r="AU171">
        <v>7.1</v>
      </c>
      <c r="AV171">
        <v>7.1</v>
      </c>
      <c r="AW171">
        <v>6.9333333330000002</v>
      </c>
      <c r="AX171">
        <v>7.733333333</v>
      </c>
      <c r="AY171">
        <v>-5.733333333</v>
      </c>
      <c r="AZ171">
        <v>10</v>
      </c>
      <c r="BA171">
        <v>55</v>
      </c>
      <c r="BB171">
        <v>10</v>
      </c>
      <c r="BC171">
        <v>1</v>
      </c>
      <c r="BD171">
        <v>0</v>
      </c>
      <c r="BE171">
        <v>1</v>
      </c>
      <c r="BF171">
        <v>0</v>
      </c>
      <c r="BG171">
        <v>0</v>
      </c>
      <c r="BI171">
        <v>9.3000000000000007</v>
      </c>
      <c r="BJ171">
        <v>0</v>
      </c>
      <c r="BK171">
        <v>0</v>
      </c>
      <c r="BL171">
        <v>18</v>
      </c>
      <c r="BM171">
        <v>18</v>
      </c>
      <c r="BN171">
        <v>765</v>
      </c>
      <c r="BO171">
        <v>824</v>
      </c>
      <c r="BP171">
        <f t="shared" si="28"/>
        <v>-59</v>
      </c>
      <c r="BQ171">
        <v>618</v>
      </c>
      <c r="BR171">
        <f t="shared" si="29"/>
        <v>147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 t="s">
        <v>114</v>
      </c>
      <c r="BZ171" t="s">
        <v>114</v>
      </c>
      <c r="CA171" t="s">
        <v>114</v>
      </c>
      <c r="CB171" t="s">
        <v>114</v>
      </c>
      <c r="CC171" t="s">
        <v>114</v>
      </c>
      <c r="CD171" t="s">
        <v>114</v>
      </c>
      <c r="CE171">
        <v>0</v>
      </c>
      <c r="CF171" t="s">
        <v>114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 t="s">
        <v>114</v>
      </c>
      <c r="CP171" t="s">
        <v>114</v>
      </c>
      <c r="CQ171" t="s">
        <v>114</v>
      </c>
      <c r="CR171" t="s">
        <v>114</v>
      </c>
      <c r="CS171" t="s">
        <v>114</v>
      </c>
      <c r="CT171" t="s">
        <v>114</v>
      </c>
      <c r="CU171" t="s">
        <v>114</v>
      </c>
      <c r="CV171" t="s">
        <v>114</v>
      </c>
      <c r="CW171">
        <v>0</v>
      </c>
    </row>
    <row r="172" spans="1:101" x14ac:dyDescent="0.25">
      <c r="A172" t="s">
        <v>82</v>
      </c>
      <c r="B172">
        <v>6</v>
      </c>
      <c r="C172" t="s">
        <v>19</v>
      </c>
      <c r="D172" t="s">
        <v>94</v>
      </c>
      <c r="E172" t="s">
        <v>113</v>
      </c>
      <c r="F172" t="s">
        <v>145</v>
      </c>
      <c r="G172" t="s">
        <v>259</v>
      </c>
      <c r="H172" t="str">
        <f t="shared" si="24"/>
        <v>H.glutinosum.Highcomp.Open</v>
      </c>
      <c r="I172" t="s">
        <v>735</v>
      </c>
      <c r="J172" t="s">
        <v>446</v>
      </c>
      <c r="K172">
        <v>7</v>
      </c>
      <c r="L172">
        <v>90</v>
      </c>
      <c r="M172">
        <v>40</v>
      </c>
      <c r="N172">
        <v>90</v>
      </c>
      <c r="O172">
        <f t="shared" si="25"/>
        <v>50</v>
      </c>
      <c r="P172">
        <v>3</v>
      </c>
      <c r="Q172">
        <v>4</v>
      </c>
      <c r="R172">
        <v>2</v>
      </c>
      <c r="S172">
        <f t="shared" si="26"/>
        <v>3</v>
      </c>
      <c r="T172">
        <f t="shared" si="27"/>
        <v>3.3333333333333333E-2</v>
      </c>
      <c r="V172" t="s">
        <v>113</v>
      </c>
      <c r="W172">
        <v>120</v>
      </c>
      <c r="X172">
        <v>13</v>
      </c>
      <c r="Y172">
        <v>13.5</v>
      </c>
      <c r="Z172">
        <v>13.9</v>
      </c>
      <c r="AA172">
        <v>13.46666667</v>
      </c>
      <c r="AB172">
        <v>13.46666667</v>
      </c>
      <c r="AC172">
        <v>11.5</v>
      </c>
      <c r="AD172">
        <v>15.4</v>
      </c>
      <c r="AE172">
        <v>14.9</v>
      </c>
      <c r="AF172">
        <v>13.93333333</v>
      </c>
      <c r="AG172">
        <v>13</v>
      </c>
      <c r="AH172">
        <v>13.5</v>
      </c>
      <c r="AI172">
        <v>14.4</v>
      </c>
      <c r="AJ172">
        <v>13.633333329999999</v>
      </c>
      <c r="AK172">
        <v>11.5</v>
      </c>
      <c r="AL172">
        <v>12</v>
      </c>
      <c r="AM172">
        <v>13</v>
      </c>
      <c r="AN172">
        <v>12.16666667</v>
      </c>
      <c r="AO172">
        <v>13.633333329999999</v>
      </c>
      <c r="AP172">
        <v>8.5</v>
      </c>
      <c r="AQ172">
        <v>8.1</v>
      </c>
      <c r="AR172">
        <v>6.6</v>
      </c>
      <c r="AS172">
        <v>7.733333333</v>
      </c>
      <c r="AT172">
        <v>4.5999999999999996</v>
      </c>
      <c r="AU172">
        <v>5.0999999999999996</v>
      </c>
      <c r="AV172">
        <v>6.6</v>
      </c>
      <c r="AW172">
        <v>5.4333333330000002</v>
      </c>
      <c r="AX172">
        <v>7.733333333</v>
      </c>
      <c r="AY172">
        <v>-5.733333333</v>
      </c>
      <c r="AZ172">
        <v>10</v>
      </c>
      <c r="BA172">
        <v>55</v>
      </c>
      <c r="BB172">
        <v>10</v>
      </c>
      <c r="BC172">
        <v>1</v>
      </c>
      <c r="BD172">
        <v>0</v>
      </c>
      <c r="BE172">
        <v>1</v>
      </c>
      <c r="BF172">
        <v>0</v>
      </c>
      <c r="BG172">
        <v>0</v>
      </c>
      <c r="BI172">
        <v>9.3000000000000007</v>
      </c>
      <c r="BJ172">
        <v>0</v>
      </c>
      <c r="BK172">
        <v>0</v>
      </c>
      <c r="BL172">
        <v>4</v>
      </c>
      <c r="BM172">
        <v>1</v>
      </c>
      <c r="BN172">
        <v>0</v>
      </c>
      <c r="BO172">
        <v>2</v>
      </c>
      <c r="BP172">
        <f t="shared" si="28"/>
        <v>-2</v>
      </c>
      <c r="BQ172">
        <v>3</v>
      </c>
      <c r="BR172">
        <f t="shared" si="29"/>
        <v>-3</v>
      </c>
      <c r="BS172">
        <v>15.9526515225</v>
      </c>
      <c r="BT172">
        <v>1.62524759975</v>
      </c>
      <c r="BU172">
        <v>4.9933342674999999</v>
      </c>
      <c r="BV172">
        <v>-15.9526515225</v>
      </c>
      <c r="BW172">
        <v>-1.18872489725</v>
      </c>
      <c r="BX172">
        <v>-4.9933342674999999</v>
      </c>
      <c r="BY172">
        <v>156.73075933706301</v>
      </c>
      <c r="BZ172">
        <v>7.2019359324451804</v>
      </c>
      <c r="CA172">
        <v>13.5266360718248</v>
      </c>
      <c r="CB172">
        <v>156.73075933706301</v>
      </c>
      <c r="CC172">
        <v>8.83975310464667</v>
      </c>
      <c r="CD172">
        <v>13.5266360718248</v>
      </c>
      <c r="CE172" t="s">
        <v>114</v>
      </c>
      <c r="CF172" t="s">
        <v>114</v>
      </c>
      <c r="CG172" t="s">
        <v>114</v>
      </c>
      <c r="CH172">
        <v>9.1158008699999993</v>
      </c>
      <c r="CI172">
        <v>0.92871291414285695</v>
      </c>
      <c r="CJ172">
        <v>2.8533338671428599</v>
      </c>
      <c r="CK172" t="s">
        <v>114</v>
      </c>
      <c r="CL172">
        <v>-9.1158008699999993</v>
      </c>
      <c r="CM172">
        <v>-0.67927136985714298</v>
      </c>
      <c r="CN172">
        <v>-2.8533338671428599</v>
      </c>
      <c r="CO172" t="s">
        <v>114</v>
      </c>
      <c r="CP172">
        <v>151.07597698233701</v>
      </c>
      <c r="CQ172">
        <v>4.3556621835063396</v>
      </c>
      <c r="CR172">
        <v>13.887142923623699</v>
      </c>
      <c r="CS172" t="s">
        <v>114</v>
      </c>
      <c r="CT172">
        <v>151.07597698233701</v>
      </c>
      <c r="CU172">
        <v>4.8236099469924802</v>
      </c>
      <c r="CV172">
        <v>13.887142923623699</v>
      </c>
      <c r="CW172" t="s">
        <v>114</v>
      </c>
    </row>
    <row r="173" spans="1:101" x14ac:dyDescent="0.25">
      <c r="A173" t="s">
        <v>82</v>
      </c>
      <c r="B173">
        <v>6</v>
      </c>
      <c r="C173" t="s">
        <v>19</v>
      </c>
      <c r="D173" t="s">
        <v>94</v>
      </c>
      <c r="E173" t="s">
        <v>104</v>
      </c>
      <c r="F173" t="s">
        <v>145</v>
      </c>
      <c r="G173" t="s">
        <v>264</v>
      </c>
      <c r="H173" t="str">
        <f t="shared" si="24"/>
        <v>T.cyanopetala.Highcomp.Open</v>
      </c>
      <c r="I173" t="s">
        <v>738</v>
      </c>
      <c r="J173" t="s">
        <v>447</v>
      </c>
      <c r="K173">
        <v>3</v>
      </c>
      <c r="L173">
        <v>50</v>
      </c>
      <c r="M173">
        <v>80</v>
      </c>
      <c r="N173">
        <v>50</v>
      </c>
      <c r="O173">
        <f t="shared" si="25"/>
        <v>-30</v>
      </c>
      <c r="P173">
        <v>16</v>
      </c>
      <c r="Q173">
        <v>10</v>
      </c>
      <c r="R173">
        <v>10</v>
      </c>
      <c r="S173">
        <f t="shared" si="26"/>
        <v>10</v>
      </c>
      <c r="T173">
        <f t="shared" si="27"/>
        <v>0.2</v>
      </c>
      <c r="V173" t="s">
        <v>113</v>
      </c>
      <c r="W173">
        <v>20</v>
      </c>
      <c r="X173">
        <v>13</v>
      </c>
      <c r="Y173">
        <v>13.5</v>
      </c>
      <c r="Z173">
        <v>13.9</v>
      </c>
      <c r="AA173">
        <v>13.46666667</v>
      </c>
      <c r="AB173">
        <v>13.46666667</v>
      </c>
      <c r="AC173">
        <v>10</v>
      </c>
      <c r="AD173">
        <v>11.5</v>
      </c>
      <c r="AE173">
        <v>13.5</v>
      </c>
      <c r="AF173">
        <v>11.66666667</v>
      </c>
      <c r="AG173">
        <v>13</v>
      </c>
      <c r="AH173">
        <v>13.5</v>
      </c>
      <c r="AI173">
        <v>14.4</v>
      </c>
      <c r="AJ173">
        <v>13.633333329999999</v>
      </c>
      <c r="AK173">
        <v>13</v>
      </c>
      <c r="AL173">
        <v>9</v>
      </c>
      <c r="AM173">
        <v>13</v>
      </c>
      <c r="AN173">
        <v>11.66666667</v>
      </c>
      <c r="AO173">
        <v>13.633333329999999</v>
      </c>
      <c r="AP173">
        <v>8.5</v>
      </c>
      <c r="AQ173">
        <v>8.1</v>
      </c>
      <c r="AR173">
        <v>6.6</v>
      </c>
      <c r="AS173">
        <v>7.733333333</v>
      </c>
      <c r="AT173">
        <v>3.1</v>
      </c>
      <c r="AU173">
        <v>5.0999999999999996</v>
      </c>
      <c r="AV173">
        <v>6.1</v>
      </c>
      <c r="AW173">
        <v>4.766666667</v>
      </c>
      <c r="AX173">
        <v>7.733333333</v>
      </c>
      <c r="AY173">
        <v>-5.733333333</v>
      </c>
      <c r="AZ173">
        <v>10</v>
      </c>
      <c r="BA173">
        <v>55</v>
      </c>
      <c r="BB173">
        <v>10</v>
      </c>
      <c r="BC173">
        <v>1</v>
      </c>
      <c r="BD173">
        <v>0</v>
      </c>
      <c r="BE173">
        <v>1</v>
      </c>
      <c r="BF173">
        <v>0</v>
      </c>
      <c r="BG173">
        <v>0</v>
      </c>
      <c r="BI173">
        <v>9.3000000000000007</v>
      </c>
      <c r="BJ173">
        <v>0</v>
      </c>
      <c r="BK173">
        <v>0</v>
      </c>
      <c r="BL173">
        <v>3</v>
      </c>
      <c r="BM173">
        <v>3</v>
      </c>
      <c r="BN173">
        <v>18</v>
      </c>
      <c r="BO173">
        <v>48</v>
      </c>
      <c r="BP173">
        <f t="shared" si="28"/>
        <v>-30</v>
      </c>
      <c r="BQ173">
        <v>48</v>
      </c>
      <c r="BR173">
        <f t="shared" si="29"/>
        <v>-30</v>
      </c>
      <c r="BS173">
        <v>30.179924239999998</v>
      </c>
      <c r="BT173">
        <v>1.69746</v>
      </c>
      <c r="BU173">
        <v>10.76552768</v>
      </c>
      <c r="BV173">
        <v>30.179924239999998</v>
      </c>
      <c r="BW173">
        <v>1.69746</v>
      </c>
      <c r="BX173">
        <v>10.76552768</v>
      </c>
      <c r="BY173" t="s">
        <v>114</v>
      </c>
      <c r="BZ173" t="s">
        <v>114</v>
      </c>
      <c r="CA173" t="s">
        <v>114</v>
      </c>
      <c r="CB173" t="s">
        <v>114</v>
      </c>
      <c r="CC173" t="s">
        <v>114</v>
      </c>
      <c r="CD173" t="s">
        <v>114</v>
      </c>
      <c r="CE173">
        <v>0.1939082</v>
      </c>
      <c r="CF173" t="s">
        <v>114</v>
      </c>
      <c r="CG173">
        <v>0.1939082</v>
      </c>
      <c r="CH173">
        <v>30.179924239999998</v>
      </c>
      <c r="CI173">
        <v>1.69746</v>
      </c>
      <c r="CJ173">
        <v>10.76552768</v>
      </c>
      <c r="CK173">
        <v>0.1939082</v>
      </c>
      <c r="CL173">
        <v>30.179924239999998</v>
      </c>
      <c r="CM173">
        <v>1.69746</v>
      </c>
      <c r="CN173">
        <v>10.76552768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0.1939082</v>
      </c>
    </row>
    <row r="174" spans="1:101" x14ac:dyDescent="0.25">
      <c r="A174" t="s">
        <v>83</v>
      </c>
      <c r="B174">
        <v>6</v>
      </c>
      <c r="C174" t="s">
        <v>21</v>
      </c>
      <c r="D174" t="s">
        <v>94</v>
      </c>
      <c r="E174" t="s">
        <v>102</v>
      </c>
      <c r="F174" t="s">
        <v>145</v>
      </c>
      <c r="G174" t="s">
        <v>265</v>
      </c>
      <c r="H174" t="str">
        <f t="shared" si="24"/>
        <v>A.calendula.Highcomp.Open</v>
      </c>
      <c r="I174" t="s">
        <v>737</v>
      </c>
      <c r="J174" t="s">
        <v>448</v>
      </c>
      <c r="K174">
        <v>0</v>
      </c>
      <c r="L174">
        <v>180</v>
      </c>
      <c r="M174">
        <v>150</v>
      </c>
      <c r="N174">
        <v>180</v>
      </c>
      <c r="O174">
        <f t="shared" si="25"/>
        <v>30</v>
      </c>
      <c r="P174">
        <v>180</v>
      </c>
      <c r="Q174">
        <v>160</v>
      </c>
      <c r="R174">
        <v>110</v>
      </c>
      <c r="S174">
        <f t="shared" si="26"/>
        <v>135</v>
      </c>
      <c r="T174">
        <f t="shared" si="27"/>
        <v>0.75</v>
      </c>
      <c r="V174" t="s">
        <v>121</v>
      </c>
      <c r="W174" t="s">
        <v>114</v>
      </c>
      <c r="X174">
        <v>9</v>
      </c>
      <c r="Y174">
        <v>9.5</v>
      </c>
      <c r="Z174">
        <v>13.5</v>
      </c>
      <c r="AA174">
        <v>10.66666667</v>
      </c>
      <c r="AB174">
        <v>10.66666667</v>
      </c>
      <c r="AC174">
        <v>12.5</v>
      </c>
      <c r="AD174">
        <v>12.5</v>
      </c>
      <c r="AE174">
        <v>13</v>
      </c>
      <c r="AF174">
        <v>12.66666667</v>
      </c>
      <c r="AG174">
        <v>11</v>
      </c>
      <c r="AH174">
        <v>11.5</v>
      </c>
      <c r="AI174">
        <v>11.5</v>
      </c>
      <c r="AJ174">
        <v>11.33333333</v>
      </c>
      <c r="AK174">
        <v>10.5</v>
      </c>
      <c r="AL174">
        <v>13.5</v>
      </c>
      <c r="AM174">
        <v>13.5</v>
      </c>
      <c r="AN174">
        <v>12.5</v>
      </c>
      <c r="AO174">
        <v>11.33333333</v>
      </c>
      <c r="AP174">
        <v>5.6</v>
      </c>
      <c r="AQ174">
        <v>5.0999999999999996</v>
      </c>
      <c r="AR174">
        <v>4.5999999999999996</v>
      </c>
      <c r="AS174">
        <v>5.0999999999999996</v>
      </c>
      <c r="AT174">
        <v>6.6</v>
      </c>
      <c r="AU174">
        <v>6.1</v>
      </c>
      <c r="AV174">
        <v>6.6</v>
      </c>
      <c r="AW174">
        <v>6.4333333330000002</v>
      </c>
      <c r="AX174">
        <v>5.0999999999999996</v>
      </c>
      <c r="AY174">
        <v>-5.5666666669999998</v>
      </c>
      <c r="AZ174">
        <v>40</v>
      </c>
      <c r="BA174">
        <v>3</v>
      </c>
      <c r="BB174">
        <v>2</v>
      </c>
      <c r="BC174">
        <v>2</v>
      </c>
      <c r="BD174">
        <v>0</v>
      </c>
      <c r="BE174">
        <v>0</v>
      </c>
      <c r="BF174">
        <v>0</v>
      </c>
      <c r="BG174">
        <v>0</v>
      </c>
      <c r="BI174">
        <v>13.3</v>
      </c>
      <c r="BJ174">
        <v>8.8239999999999998</v>
      </c>
      <c r="BK174">
        <v>0</v>
      </c>
      <c r="BL174">
        <v>28</v>
      </c>
      <c r="BM174">
        <v>28</v>
      </c>
      <c r="BN174">
        <v>820</v>
      </c>
      <c r="BO174">
        <v>824</v>
      </c>
      <c r="BP174">
        <f t="shared" si="28"/>
        <v>-4</v>
      </c>
      <c r="BQ174">
        <v>1030</v>
      </c>
      <c r="BR174">
        <f t="shared" si="29"/>
        <v>-210</v>
      </c>
      <c r="BS174" t="s">
        <v>114</v>
      </c>
      <c r="BT174" t="s">
        <v>114</v>
      </c>
      <c r="BU174" t="s">
        <v>114</v>
      </c>
      <c r="BV174" t="s">
        <v>114</v>
      </c>
      <c r="BW174" t="s">
        <v>114</v>
      </c>
      <c r="BX174" t="s">
        <v>114</v>
      </c>
      <c r="BY174" t="s">
        <v>114</v>
      </c>
      <c r="BZ174" t="s">
        <v>114</v>
      </c>
      <c r="CA174" t="s">
        <v>114</v>
      </c>
      <c r="CB174" t="s">
        <v>114</v>
      </c>
      <c r="CC174" t="s">
        <v>114</v>
      </c>
      <c r="CD174" t="s">
        <v>114</v>
      </c>
      <c r="CE174" t="s">
        <v>114</v>
      </c>
      <c r="CF174" t="s">
        <v>114</v>
      </c>
      <c r="CG174" t="s">
        <v>114</v>
      </c>
      <c r="CH174" t="s">
        <v>114</v>
      </c>
      <c r="CI174" t="s">
        <v>114</v>
      </c>
      <c r="CJ174" t="s">
        <v>114</v>
      </c>
      <c r="CK174" t="s">
        <v>114</v>
      </c>
      <c r="CL174" t="s">
        <v>114</v>
      </c>
      <c r="CM174" t="s">
        <v>114</v>
      </c>
      <c r="CN174" t="s">
        <v>114</v>
      </c>
      <c r="CO174" t="s">
        <v>114</v>
      </c>
      <c r="CP174" t="s">
        <v>114</v>
      </c>
      <c r="CQ174" t="s">
        <v>114</v>
      </c>
      <c r="CR174" t="s">
        <v>114</v>
      </c>
      <c r="CS174" t="s">
        <v>114</v>
      </c>
      <c r="CT174" t="s">
        <v>114</v>
      </c>
      <c r="CU174" t="s">
        <v>114</v>
      </c>
      <c r="CV174" t="s">
        <v>114</v>
      </c>
      <c r="CW174" t="s">
        <v>114</v>
      </c>
    </row>
    <row r="175" spans="1:101" x14ac:dyDescent="0.25">
      <c r="A175" t="s">
        <v>83</v>
      </c>
      <c r="B175">
        <v>6</v>
      </c>
      <c r="C175" t="s">
        <v>21</v>
      </c>
      <c r="D175" t="s">
        <v>94</v>
      </c>
      <c r="E175" t="s">
        <v>103</v>
      </c>
      <c r="F175" t="s">
        <v>145</v>
      </c>
      <c r="G175" t="s">
        <v>260</v>
      </c>
      <c r="H175" t="str">
        <f t="shared" si="24"/>
        <v>P.airoides.Highcomp.Open</v>
      </c>
      <c r="I175" t="s">
        <v>736</v>
      </c>
      <c r="J175" t="s">
        <v>449</v>
      </c>
      <c r="K175">
        <v>4</v>
      </c>
      <c r="L175">
        <v>60</v>
      </c>
      <c r="M175">
        <v>40</v>
      </c>
      <c r="N175">
        <v>60</v>
      </c>
      <c r="O175">
        <f t="shared" si="25"/>
        <v>20</v>
      </c>
      <c r="P175">
        <v>30</v>
      </c>
      <c r="Q175">
        <v>55</v>
      </c>
      <c r="R175">
        <v>30</v>
      </c>
      <c r="S175">
        <f t="shared" si="26"/>
        <v>42.5</v>
      </c>
      <c r="T175">
        <f t="shared" si="27"/>
        <v>0.70833333333333337</v>
      </c>
      <c r="V175" t="s">
        <v>103</v>
      </c>
      <c r="W175" t="s">
        <v>114</v>
      </c>
      <c r="X175">
        <v>9</v>
      </c>
      <c r="Y175">
        <v>9.5</v>
      </c>
      <c r="Z175">
        <v>13.5</v>
      </c>
      <c r="AA175">
        <v>10.66666667</v>
      </c>
      <c r="AB175">
        <v>10.66666667</v>
      </c>
      <c r="AC175">
        <v>10</v>
      </c>
      <c r="AD175">
        <v>8.5</v>
      </c>
      <c r="AE175">
        <v>9.5</v>
      </c>
      <c r="AF175">
        <v>9.3333333330000006</v>
      </c>
      <c r="AG175">
        <v>11</v>
      </c>
      <c r="AH175">
        <v>11.5</v>
      </c>
      <c r="AI175">
        <v>11.5</v>
      </c>
      <c r="AJ175">
        <v>11.33333333</v>
      </c>
      <c r="AK175">
        <v>8.5</v>
      </c>
      <c r="AL175">
        <v>8.5</v>
      </c>
      <c r="AM175">
        <v>10.5</v>
      </c>
      <c r="AN175">
        <v>9.1666666669999994</v>
      </c>
      <c r="AO175">
        <v>11.33333333</v>
      </c>
      <c r="AP175">
        <v>5.6</v>
      </c>
      <c r="AQ175">
        <v>5.0999999999999996</v>
      </c>
      <c r="AR175">
        <v>4.5999999999999996</v>
      </c>
      <c r="AS175">
        <v>5.0999999999999996</v>
      </c>
      <c r="AT175">
        <v>4.5999999999999996</v>
      </c>
      <c r="AU175">
        <v>4.0999999999999996</v>
      </c>
      <c r="AV175">
        <v>5.6</v>
      </c>
      <c r="AW175">
        <v>4.766666667</v>
      </c>
      <c r="AX175">
        <v>5.0999999999999996</v>
      </c>
      <c r="AY175">
        <v>-5.5666666669999998</v>
      </c>
      <c r="AZ175">
        <v>40</v>
      </c>
      <c r="BA175">
        <v>3</v>
      </c>
      <c r="BB175">
        <v>2</v>
      </c>
      <c r="BC175">
        <v>2</v>
      </c>
      <c r="BD175">
        <v>0</v>
      </c>
      <c r="BE175">
        <v>0</v>
      </c>
      <c r="BF175">
        <v>0</v>
      </c>
      <c r="BG175">
        <v>0</v>
      </c>
      <c r="BI175">
        <v>13.3</v>
      </c>
      <c r="BJ175">
        <v>8.8239999999999998</v>
      </c>
      <c r="BK175">
        <v>0</v>
      </c>
      <c r="BL175">
        <v>6</v>
      </c>
      <c r="BM175">
        <v>4</v>
      </c>
      <c r="BN175">
        <v>124</v>
      </c>
      <c r="BO175">
        <v>828</v>
      </c>
      <c r="BP175">
        <f t="shared" si="28"/>
        <v>-704</v>
      </c>
      <c r="BQ175">
        <v>1383</v>
      </c>
      <c r="BR175">
        <f t="shared" si="29"/>
        <v>-1259</v>
      </c>
      <c r="BS175">
        <v>8.0404040533333294</v>
      </c>
      <c r="BT175">
        <v>0.52235600566666696</v>
      </c>
      <c r="BU175">
        <v>1.30521314</v>
      </c>
      <c r="BV175">
        <v>-8.0404040533333294</v>
      </c>
      <c r="BW175">
        <v>-0.52235600566666696</v>
      </c>
      <c r="BX175">
        <v>1.06833359333333</v>
      </c>
      <c r="BY175">
        <v>146.451077721037</v>
      </c>
      <c r="BZ175">
        <v>0.21042354775771399</v>
      </c>
      <c r="CA175">
        <v>3.8456935055716501</v>
      </c>
      <c r="CB175">
        <v>146.451077721037</v>
      </c>
      <c r="CC175">
        <v>0.21042354775771399</v>
      </c>
      <c r="CD175">
        <v>4.6890605168478698</v>
      </c>
      <c r="CE175" t="s">
        <v>114</v>
      </c>
      <c r="CF175" t="s">
        <v>114</v>
      </c>
      <c r="CG175" t="s">
        <v>114</v>
      </c>
      <c r="CH175">
        <v>6.0303030399999997</v>
      </c>
      <c r="CI175">
        <v>0.39176700424999999</v>
      </c>
      <c r="CJ175">
        <v>0.97890985500000005</v>
      </c>
      <c r="CK175" t="s">
        <v>114</v>
      </c>
      <c r="CL175">
        <v>-6.0303030399999997</v>
      </c>
      <c r="CM175">
        <v>-0.39176700424999999</v>
      </c>
      <c r="CN175">
        <v>0.80125019500000005</v>
      </c>
      <c r="CO175" t="s">
        <v>114</v>
      </c>
      <c r="CP175">
        <v>113.796076149239</v>
      </c>
      <c r="CQ175">
        <v>0.208496314335818</v>
      </c>
      <c r="CR175">
        <v>2.9896910055882602</v>
      </c>
      <c r="CS175" t="s">
        <v>114</v>
      </c>
      <c r="CT175">
        <v>113.796076149239</v>
      </c>
      <c r="CU175">
        <v>0.208496314335818</v>
      </c>
      <c r="CV175">
        <v>3.41137451122637</v>
      </c>
      <c r="CW175" t="s">
        <v>114</v>
      </c>
    </row>
    <row r="176" spans="1:101" x14ac:dyDescent="0.25">
      <c r="A176" t="s">
        <v>83</v>
      </c>
      <c r="B176">
        <v>6</v>
      </c>
      <c r="C176" t="s">
        <v>21</v>
      </c>
      <c r="D176" t="s">
        <v>94</v>
      </c>
      <c r="E176" t="s">
        <v>111</v>
      </c>
      <c r="F176" t="s">
        <v>145</v>
      </c>
      <c r="G176" t="s">
        <v>263</v>
      </c>
      <c r="H176" t="str">
        <f t="shared" si="24"/>
        <v>P.canescens.Highcomp.Open</v>
      </c>
      <c r="I176" t="s">
        <v>739</v>
      </c>
      <c r="J176" t="s">
        <v>450</v>
      </c>
      <c r="K176">
        <v>0</v>
      </c>
      <c r="L176">
        <v>150</v>
      </c>
      <c r="M176">
        <v>220</v>
      </c>
      <c r="N176">
        <v>150</v>
      </c>
      <c r="O176">
        <f t="shared" si="25"/>
        <v>-70</v>
      </c>
      <c r="P176">
        <v>60</v>
      </c>
      <c r="Q176">
        <v>140</v>
      </c>
      <c r="R176">
        <v>50</v>
      </c>
      <c r="S176">
        <f t="shared" si="26"/>
        <v>95</v>
      </c>
      <c r="T176">
        <f t="shared" si="27"/>
        <v>0.6333333333333333</v>
      </c>
      <c r="V176" t="s">
        <v>121</v>
      </c>
      <c r="W176" t="s">
        <v>114</v>
      </c>
      <c r="X176">
        <v>9</v>
      </c>
      <c r="Y176">
        <v>9.5</v>
      </c>
      <c r="Z176">
        <v>13.5</v>
      </c>
      <c r="AA176">
        <v>10.66666667</v>
      </c>
      <c r="AB176">
        <v>10.66666667</v>
      </c>
      <c r="AC176">
        <v>9.5</v>
      </c>
      <c r="AD176">
        <v>10.5</v>
      </c>
      <c r="AE176">
        <v>11</v>
      </c>
      <c r="AF176">
        <v>10.33333333</v>
      </c>
      <c r="AG176">
        <v>11</v>
      </c>
      <c r="AH176">
        <v>11.5</v>
      </c>
      <c r="AI176">
        <v>11.5</v>
      </c>
      <c r="AJ176">
        <v>11.33333333</v>
      </c>
      <c r="AK176">
        <v>8.5</v>
      </c>
      <c r="AL176">
        <v>8.5</v>
      </c>
      <c r="AM176">
        <v>11.5</v>
      </c>
      <c r="AN176">
        <v>9.5</v>
      </c>
      <c r="AO176">
        <v>11.33333333</v>
      </c>
      <c r="AP176">
        <v>5.6</v>
      </c>
      <c r="AQ176">
        <v>5.0999999999999996</v>
      </c>
      <c r="AR176">
        <v>4.5999999999999996</v>
      </c>
      <c r="AS176">
        <v>5.0999999999999996</v>
      </c>
      <c r="AT176">
        <v>5.0999999999999996</v>
      </c>
      <c r="AU176">
        <v>5.0999999999999996</v>
      </c>
      <c r="AV176">
        <v>5.0999999999999996</v>
      </c>
      <c r="AW176">
        <v>5.0999999999999996</v>
      </c>
      <c r="AX176">
        <v>5.0999999999999996</v>
      </c>
      <c r="AY176">
        <v>-5.5666666669999998</v>
      </c>
      <c r="AZ176">
        <v>40</v>
      </c>
      <c r="BA176">
        <v>3</v>
      </c>
      <c r="BB176">
        <v>2</v>
      </c>
      <c r="BC176">
        <v>2</v>
      </c>
      <c r="BD176">
        <v>0</v>
      </c>
      <c r="BE176">
        <v>0</v>
      </c>
      <c r="BF176">
        <v>0</v>
      </c>
      <c r="BG176">
        <v>0</v>
      </c>
      <c r="BI176">
        <v>13.3</v>
      </c>
      <c r="BJ176">
        <v>8.8239999999999998</v>
      </c>
      <c r="BK176">
        <v>0</v>
      </c>
      <c r="BL176">
        <v>49</v>
      </c>
      <c r="BM176">
        <v>44</v>
      </c>
      <c r="BN176">
        <v>4268</v>
      </c>
      <c r="BO176">
        <v>4600</v>
      </c>
      <c r="BP176">
        <f t="shared" si="28"/>
        <v>-332</v>
      </c>
      <c r="BQ176">
        <v>4758</v>
      </c>
      <c r="BR176">
        <f t="shared" si="29"/>
        <v>-490</v>
      </c>
      <c r="BS176" t="s">
        <v>114</v>
      </c>
      <c r="BT176" t="s">
        <v>114</v>
      </c>
      <c r="BU176" t="s">
        <v>114</v>
      </c>
      <c r="BV176" t="s">
        <v>114</v>
      </c>
      <c r="BW176" t="s">
        <v>114</v>
      </c>
      <c r="BX176" t="s">
        <v>114</v>
      </c>
      <c r="BY176" t="s">
        <v>114</v>
      </c>
      <c r="BZ176" t="s">
        <v>114</v>
      </c>
      <c r="CA176" t="s">
        <v>114</v>
      </c>
      <c r="CB176" t="s">
        <v>114</v>
      </c>
      <c r="CC176" t="s">
        <v>114</v>
      </c>
      <c r="CD176" t="s">
        <v>114</v>
      </c>
      <c r="CE176" t="s">
        <v>114</v>
      </c>
      <c r="CF176" t="s">
        <v>114</v>
      </c>
      <c r="CG176" t="s">
        <v>114</v>
      </c>
      <c r="CH176" t="s">
        <v>114</v>
      </c>
      <c r="CI176" t="s">
        <v>114</v>
      </c>
      <c r="CJ176" t="s">
        <v>114</v>
      </c>
      <c r="CK176" t="s">
        <v>114</v>
      </c>
      <c r="CL176" t="s">
        <v>114</v>
      </c>
      <c r="CM176" t="s">
        <v>114</v>
      </c>
      <c r="CN176" t="s">
        <v>114</v>
      </c>
      <c r="CO176" t="s">
        <v>114</v>
      </c>
      <c r="CP176" t="s">
        <v>114</v>
      </c>
      <c r="CQ176" t="s">
        <v>114</v>
      </c>
      <c r="CR176" t="s">
        <v>114</v>
      </c>
      <c r="CS176" t="s">
        <v>114</v>
      </c>
      <c r="CT176" t="s">
        <v>114</v>
      </c>
      <c r="CU176" t="s">
        <v>114</v>
      </c>
      <c r="CV176" t="s">
        <v>114</v>
      </c>
      <c r="CW176" t="s">
        <v>114</v>
      </c>
    </row>
    <row r="177" spans="1:101" x14ac:dyDescent="0.25">
      <c r="A177" t="s">
        <v>84</v>
      </c>
      <c r="B177">
        <v>6</v>
      </c>
      <c r="C177" t="s">
        <v>23</v>
      </c>
      <c r="D177" t="s">
        <v>95</v>
      </c>
      <c r="E177" t="s">
        <v>102</v>
      </c>
      <c r="F177" t="s">
        <v>145</v>
      </c>
      <c r="G177" t="s">
        <v>265</v>
      </c>
      <c r="H177" t="str">
        <f t="shared" si="24"/>
        <v>A.calendula.Highcomp.Shade</v>
      </c>
      <c r="I177" t="s">
        <v>740</v>
      </c>
      <c r="J177" t="s">
        <v>451</v>
      </c>
      <c r="K177">
        <v>10</v>
      </c>
      <c r="L177">
        <v>120</v>
      </c>
      <c r="M177">
        <v>200</v>
      </c>
      <c r="N177">
        <v>120</v>
      </c>
      <c r="O177">
        <f t="shared" si="25"/>
        <v>-80</v>
      </c>
      <c r="P177">
        <v>65</v>
      </c>
      <c r="Q177">
        <v>60</v>
      </c>
      <c r="R177">
        <v>30</v>
      </c>
      <c r="S177">
        <f t="shared" si="26"/>
        <v>45</v>
      </c>
      <c r="T177">
        <f t="shared" si="27"/>
        <v>0.375</v>
      </c>
      <c r="V177" t="s">
        <v>121</v>
      </c>
      <c r="W177" t="s">
        <v>114</v>
      </c>
      <c r="X177">
        <v>15.4</v>
      </c>
      <c r="Y177">
        <v>15.9</v>
      </c>
      <c r="Z177">
        <v>13</v>
      </c>
      <c r="AA177">
        <v>14.766666669999999</v>
      </c>
      <c r="AB177">
        <v>14.766666669999999</v>
      </c>
      <c r="AC177">
        <v>11</v>
      </c>
      <c r="AD177">
        <v>11.5</v>
      </c>
      <c r="AE177">
        <v>13.9</v>
      </c>
      <c r="AF177">
        <v>12.133333329999999</v>
      </c>
      <c r="AG177">
        <v>11.5</v>
      </c>
      <c r="AH177">
        <v>13</v>
      </c>
      <c r="AI177">
        <v>11.5</v>
      </c>
      <c r="AJ177">
        <v>12</v>
      </c>
      <c r="AK177">
        <v>10.5</v>
      </c>
      <c r="AL177">
        <v>13</v>
      </c>
      <c r="AM177">
        <v>13.9</v>
      </c>
      <c r="AN177">
        <v>12.46666667</v>
      </c>
      <c r="AO177">
        <v>12</v>
      </c>
      <c r="AP177">
        <v>5.6</v>
      </c>
      <c r="AQ177">
        <v>5.6</v>
      </c>
      <c r="AR177">
        <v>8.5</v>
      </c>
      <c r="AS177">
        <v>6.5666666669999998</v>
      </c>
      <c r="AT177">
        <v>5.6</v>
      </c>
      <c r="AU177">
        <v>4.0999999999999996</v>
      </c>
      <c r="AV177">
        <v>6.1</v>
      </c>
      <c r="AW177">
        <v>5.266666667</v>
      </c>
      <c r="AX177">
        <v>6.5666666669999998</v>
      </c>
      <c r="AY177">
        <v>-8.1999999999999993</v>
      </c>
      <c r="AZ177">
        <v>5</v>
      </c>
      <c r="BA177">
        <v>15</v>
      </c>
      <c r="BB177">
        <v>0</v>
      </c>
      <c r="BC177">
        <v>25</v>
      </c>
      <c r="BD177">
        <v>0</v>
      </c>
      <c r="BE177">
        <v>1</v>
      </c>
      <c r="BF177">
        <v>0</v>
      </c>
      <c r="BG177">
        <v>0</v>
      </c>
      <c r="BI177">
        <v>14.2</v>
      </c>
      <c r="BJ177">
        <v>58.783000000000001</v>
      </c>
      <c r="BK177">
        <v>0</v>
      </c>
      <c r="BL177">
        <v>28</v>
      </c>
      <c r="BM177">
        <v>27</v>
      </c>
      <c r="BN177">
        <v>1534</v>
      </c>
      <c r="BO177">
        <v>567</v>
      </c>
      <c r="BP177">
        <f t="shared" si="28"/>
        <v>967</v>
      </c>
      <c r="BQ177">
        <v>772</v>
      </c>
      <c r="BR177">
        <f t="shared" si="29"/>
        <v>762</v>
      </c>
      <c r="BS177" t="s">
        <v>114</v>
      </c>
      <c r="BT177" t="s">
        <v>114</v>
      </c>
      <c r="BU177" t="s">
        <v>114</v>
      </c>
      <c r="BV177" t="s">
        <v>114</v>
      </c>
      <c r="BW177" t="s">
        <v>114</v>
      </c>
      <c r="BX177" t="s">
        <v>114</v>
      </c>
      <c r="BY177" t="s">
        <v>114</v>
      </c>
      <c r="BZ177" t="s">
        <v>114</v>
      </c>
      <c r="CA177" t="s">
        <v>114</v>
      </c>
      <c r="CB177" t="s">
        <v>114</v>
      </c>
      <c r="CC177" t="s">
        <v>114</v>
      </c>
      <c r="CD177" t="s">
        <v>114</v>
      </c>
      <c r="CE177" t="s">
        <v>114</v>
      </c>
      <c r="CF177" t="s">
        <v>114</v>
      </c>
      <c r="CG177" t="s">
        <v>114</v>
      </c>
      <c r="CH177" t="s">
        <v>114</v>
      </c>
      <c r="CI177" t="s">
        <v>114</v>
      </c>
      <c r="CJ177" t="s">
        <v>114</v>
      </c>
      <c r="CK177" t="s">
        <v>114</v>
      </c>
      <c r="CL177" t="s">
        <v>114</v>
      </c>
      <c r="CM177" t="s">
        <v>114</v>
      </c>
      <c r="CN177" t="s">
        <v>114</v>
      </c>
      <c r="CO177" t="s">
        <v>114</v>
      </c>
      <c r="CP177" t="s">
        <v>114</v>
      </c>
      <c r="CQ177" t="s">
        <v>114</v>
      </c>
      <c r="CR177" t="s">
        <v>114</v>
      </c>
      <c r="CS177" t="s">
        <v>114</v>
      </c>
      <c r="CT177" t="s">
        <v>114</v>
      </c>
      <c r="CU177" t="s">
        <v>114</v>
      </c>
      <c r="CV177" t="s">
        <v>114</v>
      </c>
      <c r="CW177" t="s">
        <v>114</v>
      </c>
    </row>
    <row r="178" spans="1:101" x14ac:dyDescent="0.25">
      <c r="A178" t="s">
        <v>84</v>
      </c>
      <c r="B178">
        <v>6</v>
      </c>
      <c r="C178" t="s">
        <v>23</v>
      </c>
      <c r="D178" t="s">
        <v>95</v>
      </c>
      <c r="E178" t="s">
        <v>105</v>
      </c>
      <c r="F178" t="s">
        <v>145</v>
      </c>
      <c r="G178" t="s">
        <v>266</v>
      </c>
      <c r="H178" t="str">
        <f t="shared" si="24"/>
        <v>H.glabra.Highcomp.Shade</v>
      </c>
      <c r="I178" t="s">
        <v>733</v>
      </c>
      <c r="J178" t="s">
        <v>452</v>
      </c>
      <c r="K178" t="s">
        <v>114</v>
      </c>
      <c r="L178">
        <v>30</v>
      </c>
      <c r="M178">
        <v>60</v>
      </c>
      <c r="N178">
        <v>30</v>
      </c>
      <c r="O178">
        <f t="shared" si="25"/>
        <v>-30</v>
      </c>
      <c r="P178">
        <v>50</v>
      </c>
      <c r="Q178">
        <v>60</v>
      </c>
      <c r="R178">
        <v>50</v>
      </c>
      <c r="S178">
        <f t="shared" si="26"/>
        <v>55</v>
      </c>
      <c r="T178">
        <f t="shared" si="27"/>
        <v>1.8333333333333333</v>
      </c>
      <c r="V178" t="s">
        <v>103</v>
      </c>
      <c r="W178">
        <v>50</v>
      </c>
      <c r="X178">
        <v>15.4</v>
      </c>
      <c r="Y178">
        <v>15.9</v>
      </c>
      <c r="Z178">
        <v>13</v>
      </c>
      <c r="AA178">
        <v>14.766666669999999</v>
      </c>
      <c r="AB178">
        <v>14.766666669999999</v>
      </c>
      <c r="AC178">
        <v>11</v>
      </c>
      <c r="AD178">
        <v>10</v>
      </c>
      <c r="AE178">
        <v>12.5</v>
      </c>
      <c r="AF178">
        <v>11.16666667</v>
      </c>
      <c r="AG178">
        <v>11.5</v>
      </c>
      <c r="AH178">
        <v>13</v>
      </c>
      <c r="AI178">
        <v>11.5</v>
      </c>
      <c r="AJ178">
        <v>12</v>
      </c>
      <c r="AK178">
        <v>7.6</v>
      </c>
      <c r="AL178">
        <v>8.5</v>
      </c>
      <c r="AM178">
        <v>11.5</v>
      </c>
      <c r="AN178">
        <v>9.1999999999999993</v>
      </c>
      <c r="AO178">
        <v>12</v>
      </c>
      <c r="AP178">
        <v>5.6</v>
      </c>
      <c r="AQ178">
        <v>5.6</v>
      </c>
      <c r="AR178">
        <v>8.5</v>
      </c>
      <c r="AS178">
        <v>6.5666666669999998</v>
      </c>
      <c r="AT178">
        <v>4.0999999999999996</v>
      </c>
      <c r="AU178">
        <v>4.5999999999999996</v>
      </c>
      <c r="AV178">
        <v>3.6</v>
      </c>
      <c r="AW178">
        <v>4.0999999999999996</v>
      </c>
      <c r="AX178">
        <v>6.5666666669999998</v>
      </c>
      <c r="AY178">
        <v>-8.1999999999999993</v>
      </c>
      <c r="AZ178">
        <v>5</v>
      </c>
      <c r="BA178">
        <v>15</v>
      </c>
      <c r="BB178">
        <v>0</v>
      </c>
      <c r="BC178">
        <v>25</v>
      </c>
      <c r="BD178">
        <v>0</v>
      </c>
      <c r="BE178">
        <v>1</v>
      </c>
      <c r="BF178">
        <v>0</v>
      </c>
      <c r="BG178">
        <v>0</v>
      </c>
      <c r="BI178">
        <v>14.2</v>
      </c>
      <c r="BJ178">
        <v>58.783000000000001</v>
      </c>
      <c r="BK178">
        <v>0</v>
      </c>
      <c r="BL178">
        <v>11</v>
      </c>
      <c r="BM178">
        <v>11</v>
      </c>
      <c r="BN178">
        <v>631</v>
      </c>
      <c r="BO178">
        <v>315.5</v>
      </c>
      <c r="BP178">
        <f t="shared" si="28"/>
        <v>315.5</v>
      </c>
      <c r="BQ178">
        <v>551</v>
      </c>
      <c r="BR178">
        <f t="shared" si="29"/>
        <v>80</v>
      </c>
      <c r="BS178" t="s">
        <v>114</v>
      </c>
      <c r="BT178" t="s">
        <v>114</v>
      </c>
      <c r="BU178" t="s">
        <v>114</v>
      </c>
      <c r="BV178" t="s">
        <v>114</v>
      </c>
      <c r="BW178" t="s">
        <v>114</v>
      </c>
      <c r="BX178" t="s">
        <v>114</v>
      </c>
      <c r="BY178" t="s">
        <v>114</v>
      </c>
      <c r="BZ178" t="s">
        <v>114</v>
      </c>
      <c r="CA178" t="s">
        <v>114</v>
      </c>
      <c r="CB178" t="s">
        <v>114</v>
      </c>
      <c r="CC178" t="s">
        <v>114</v>
      </c>
      <c r="CD178" t="s">
        <v>114</v>
      </c>
      <c r="CE178" t="s">
        <v>114</v>
      </c>
      <c r="CF178" t="s">
        <v>114</v>
      </c>
      <c r="CG178" t="s">
        <v>114</v>
      </c>
      <c r="CH178" t="s">
        <v>114</v>
      </c>
      <c r="CI178" t="s">
        <v>114</v>
      </c>
      <c r="CJ178" t="s">
        <v>114</v>
      </c>
      <c r="CK178" t="s">
        <v>114</v>
      </c>
      <c r="CL178" t="s">
        <v>114</v>
      </c>
      <c r="CM178" t="s">
        <v>114</v>
      </c>
      <c r="CN178" t="s">
        <v>114</v>
      </c>
      <c r="CO178" t="s">
        <v>114</v>
      </c>
      <c r="CP178" t="s">
        <v>114</v>
      </c>
      <c r="CQ178" t="s">
        <v>114</v>
      </c>
      <c r="CR178" t="s">
        <v>114</v>
      </c>
      <c r="CS178" t="s">
        <v>114</v>
      </c>
      <c r="CT178" t="s">
        <v>114</v>
      </c>
      <c r="CU178" t="s">
        <v>114</v>
      </c>
      <c r="CV178" t="s">
        <v>114</v>
      </c>
      <c r="CW178" t="s">
        <v>114</v>
      </c>
    </row>
    <row r="179" spans="1:101" x14ac:dyDescent="0.25">
      <c r="A179" t="s">
        <v>84</v>
      </c>
      <c r="B179">
        <v>6</v>
      </c>
      <c r="C179" t="s">
        <v>23</v>
      </c>
      <c r="D179" t="s">
        <v>95</v>
      </c>
      <c r="E179" t="s">
        <v>111</v>
      </c>
      <c r="F179" t="s">
        <v>145</v>
      </c>
      <c r="G179" t="s">
        <v>263</v>
      </c>
      <c r="H179" t="str">
        <f t="shared" si="24"/>
        <v>P.canescens.Highcomp.Shade</v>
      </c>
      <c r="I179" t="s">
        <v>732</v>
      </c>
      <c r="J179" t="s">
        <v>453</v>
      </c>
      <c r="K179">
        <v>5</v>
      </c>
      <c r="L179">
        <v>350</v>
      </c>
      <c r="M179">
        <v>340</v>
      </c>
      <c r="N179">
        <v>350</v>
      </c>
      <c r="O179">
        <f t="shared" si="25"/>
        <v>10</v>
      </c>
      <c r="P179">
        <v>75</v>
      </c>
      <c r="Q179">
        <v>300</v>
      </c>
      <c r="R179">
        <v>50</v>
      </c>
      <c r="S179">
        <f t="shared" si="26"/>
        <v>175</v>
      </c>
      <c r="T179">
        <f t="shared" si="27"/>
        <v>0.5</v>
      </c>
      <c r="V179" t="s">
        <v>103</v>
      </c>
      <c r="W179">
        <v>40</v>
      </c>
      <c r="X179">
        <v>15.4</v>
      </c>
      <c r="Y179">
        <v>15.9</v>
      </c>
      <c r="Z179">
        <v>13</v>
      </c>
      <c r="AA179">
        <v>14.766666669999999</v>
      </c>
      <c r="AB179">
        <v>14.766666669999999</v>
      </c>
      <c r="AC179">
        <v>13</v>
      </c>
      <c r="AD179">
        <v>13.5</v>
      </c>
      <c r="AE179">
        <v>13.9</v>
      </c>
      <c r="AF179">
        <v>13.46666667</v>
      </c>
      <c r="AG179">
        <v>11.5</v>
      </c>
      <c r="AH179">
        <v>13</v>
      </c>
      <c r="AI179">
        <v>11.5</v>
      </c>
      <c r="AJ179">
        <v>12</v>
      </c>
      <c r="AK179">
        <v>13</v>
      </c>
      <c r="AL179">
        <v>13.5</v>
      </c>
      <c r="AM179">
        <v>12.5</v>
      </c>
      <c r="AN179">
        <v>13</v>
      </c>
      <c r="AO179">
        <v>12</v>
      </c>
      <c r="AP179">
        <v>5.6</v>
      </c>
      <c r="AQ179">
        <v>5.6</v>
      </c>
      <c r="AR179">
        <v>8.5</v>
      </c>
      <c r="AS179">
        <v>6.5666666669999998</v>
      </c>
      <c r="AT179">
        <v>6.1</v>
      </c>
      <c r="AU179">
        <v>6.6</v>
      </c>
      <c r="AV179">
        <v>6.6</v>
      </c>
      <c r="AW179">
        <v>6.4333333330000002</v>
      </c>
      <c r="AX179">
        <v>6.5666666669999998</v>
      </c>
      <c r="AY179">
        <v>-8.1999999999999993</v>
      </c>
      <c r="AZ179">
        <v>5</v>
      </c>
      <c r="BA179">
        <v>15</v>
      </c>
      <c r="BB179">
        <v>0</v>
      </c>
      <c r="BC179">
        <v>25</v>
      </c>
      <c r="BD179">
        <v>0</v>
      </c>
      <c r="BE179">
        <v>1</v>
      </c>
      <c r="BF179">
        <v>0</v>
      </c>
      <c r="BG179">
        <v>0</v>
      </c>
      <c r="BI179">
        <v>14.2</v>
      </c>
      <c r="BJ179">
        <v>58.783000000000001</v>
      </c>
      <c r="BK179">
        <v>0</v>
      </c>
      <c r="BL179">
        <v>27</v>
      </c>
      <c r="BM179">
        <v>21</v>
      </c>
      <c r="BN179">
        <v>1026</v>
      </c>
      <c r="BO179">
        <v>2858</v>
      </c>
      <c r="BP179">
        <f t="shared" si="28"/>
        <v>-1832</v>
      </c>
      <c r="BQ179">
        <v>2273</v>
      </c>
      <c r="BR179">
        <f t="shared" si="29"/>
        <v>-1247</v>
      </c>
      <c r="BS179">
        <v>12.8508713875</v>
      </c>
      <c r="BT179">
        <v>1.5986261072500001</v>
      </c>
      <c r="BU179">
        <v>9.6215023399999993</v>
      </c>
      <c r="BV179">
        <v>1.7393205075</v>
      </c>
      <c r="BW179">
        <v>-1.5182908342500001</v>
      </c>
      <c r="BX179">
        <v>-8.9361392800000008</v>
      </c>
      <c r="BY179">
        <v>128.639970182745</v>
      </c>
      <c r="BZ179">
        <v>9.5491334774603107</v>
      </c>
      <c r="CA179">
        <v>160.070193640236</v>
      </c>
      <c r="CB179">
        <v>344.79951630308699</v>
      </c>
      <c r="CC179">
        <v>9.8829979753452797</v>
      </c>
      <c r="CD179">
        <v>177.02848970299101</v>
      </c>
      <c r="CE179" t="s">
        <v>114</v>
      </c>
      <c r="CF179" t="s">
        <v>114</v>
      </c>
      <c r="CG179" t="s">
        <v>114</v>
      </c>
      <c r="CH179">
        <v>10.94474473</v>
      </c>
      <c r="CI179">
        <v>1.2933304111999999</v>
      </c>
      <c r="CJ179">
        <v>8.8970444040000007</v>
      </c>
      <c r="CK179" t="s">
        <v>114</v>
      </c>
      <c r="CL179">
        <v>0.72740878600000003</v>
      </c>
      <c r="CM179">
        <v>-1.2002031419999999</v>
      </c>
      <c r="CN179">
        <v>-8.3487539559999995</v>
      </c>
      <c r="CO179" t="s">
        <v>114</v>
      </c>
      <c r="CP179">
        <v>114.646571809219</v>
      </c>
      <c r="CQ179">
        <v>7.6278774182284996</v>
      </c>
      <c r="CR179">
        <v>122.676841735344</v>
      </c>
      <c r="CS179" t="s">
        <v>114</v>
      </c>
      <c r="CT179">
        <v>263.71946388786</v>
      </c>
      <c r="CU179">
        <v>7.9181473813136103</v>
      </c>
      <c r="CV179">
        <v>134.49647487149599</v>
      </c>
      <c r="CW179" t="s">
        <v>114</v>
      </c>
    </row>
    <row r="180" spans="1:101" x14ac:dyDescent="0.25">
      <c r="A180" t="s">
        <v>84</v>
      </c>
      <c r="B180">
        <v>6</v>
      </c>
      <c r="C180" t="s">
        <v>23</v>
      </c>
      <c r="D180" t="s">
        <v>95</v>
      </c>
      <c r="E180" t="s">
        <v>112</v>
      </c>
      <c r="F180" t="s">
        <v>145</v>
      </c>
      <c r="G180" t="s">
        <v>261</v>
      </c>
      <c r="H180" t="str">
        <f t="shared" si="24"/>
        <v>V.rosea.Highcomp.Shade</v>
      </c>
      <c r="I180" t="s">
        <v>741</v>
      </c>
      <c r="J180" t="s">
        <v>454</v>
      </c>
      <c r="K180">
        <v>6</v>
      </c>
      <c r="L180">
        <v>60</v>
      </c>
      <c r="M180">
        <v>60</v>
      </c>
      <c r="N180">
        <v>60</v>
      </c>
      <c r="O180">
        <f t="shared" si="25"/>
        <v>0</v>
      </c>
      <c r="P180">
        <v>35</v>
      </c>
      <c r="Q180">
        <v>45</v>
      </c>
      <c r="R180">
        <v>45</v>
      </c>
      <c r="S180">
        <f t="shared" si="26"/>
        <v>45</v>
      </c>
      <c r="T180">
        <f t="shared" si="27"/>
        <v>0.75</v>
      </c>
      <c r="V180" t="s">
        <v>103</v>
      </c>
      <c r="W180">
        <v>50</v>
      </c>
      <c r="X180">
        <v>15.4</v>
      </c>
      <c r="Y180">
        <v>15.9</v>
      </c>
      <c r="Z180">
        <v>13</v>
      </c>
      <c r="AA180">
        <v>14.766666669999999</v>
      </c>
      <c r="AB180">
        <v>14.766666669999999</v>
      </c>
      <c r="AC180">
        <v>14.9</v>
      </c>
      <c r="AD180">
        <v>14.9</v>
      </c>
      <c r="AE180">
        <v>15.4</v>
      </c>
      <c r="AF180">
        <v>15.06666667</v>
      </c>
      <c r="AG180">
        <v>11.5</v>
      </c>
      <c r="AH180">
        <v>13</v>
      </c>
      <c r="AI180">
        <v>11.5</v>
      </c>
      <c r="AJ180">
        <v>12</v>
      </c>
      <c r="AK180">
        <v>16.899999999999999</v>
      </c>
      <c r="AL180">
        <v>16.899999999999999</v>
      </c>
      <c r="AM180">
        <v>16.899999999999999</v>
      </c>
      <c r="AN180">
        <v>16.899999999999999</v>
      </c>
      <c r="AO180">
        <v>12</v>
      </c>
      <c r="AP180">
        <v>5.6</v>
      </c>
      <c r="AQ180">
        <v>5.6</v>
      </c>
      <c r="AR180">
        <v>8.5</v>
      </c>
      <c r="AS180">
        <v>6.5666666669999998</v>
      </c>
      <c r="AT180">
        <v>6.6</v>
      </c>
      <c r="AU180">
        <v>8.1</v>
      </c>
      <c r="AV180">
        <v>7.1</v>
      </c>
      <c r="AW180">
        <v>7.266666667</v>
      </c>
      <c r="AX180">
        <v>6.5666666669999998</v>
      </c>
      <c r="AY180">
        <v>-8.1999999999999993</v>
      </c>
      <c r="AZ180">
        <v>5</v>
      </c>
      <c r="BA180">
        <v>15</v>
      </c>
      <c r="BB180">
        <v>0</v>
      </c>
      <c r="BC180">
        <v>25</v>
      </c>
      <c r="BD180">
        <v>0</v>
      </c>
      <c r="BE180">
        <v>1</v>
      </c>
      <c r="BF180">
        <v>0</v>
      </c>
      <c r="BG180">
        <v>0</v>
      </c>
      <c r="BI180">
        <v>14.2</v>
      </c>
      <c r="BJ180">
        <v>58.783000000000001</v>
      </c>
      <c r="BK180">
        <v>0</v>
      </c>
      <c r="BL180">
        <v>0</v>
      </c>
      <c r="BM180">
        <v>0</v>
      </c>
      <c r="BN180">
        <v>0</v>
      </c>
      <c r="BO180">
        <v>50</v>
      </c>
      <c r="BP180">
        <f t="shared" si="28"/>
        <v>-50</v>
      </c>
      <c r="BQ180">
        <v>24</v>
      </c>
      <c r="BR180">
        <f t="shared" si="29"/>
        <v>-24</v>
      </c>
      <c r="BS180">
        <v>38.624053042500002</v>
      </c>
      <c r="BT180">
        <v>2.1099400125000001</v>
      </c>
      <c r="BU180">
        <v>10.25944241</v>
      </c>
      <c r="BV180">
        <v>-38.624053042500002</v>
      </c>
      <c r="BW180">
        <v>7.5681404499999994E-2</v>
      </c>
      <c r="BX180">
        <v>10.25944241</v>
      </c>
      <c r="BY180">
        <v>44.469318793149299</v>
      </c>
      <c r="BZ180">
        <v>2.1523600721482001</v>
      </c>
      <c r="CA180">
        <v>3.25888338289765</v>
      </c>
      <c r="CB180">
        <v>44.469318793149299</v>
      </c>
      <c r="CC180">
        <v>8.0805189806300692</v>
      </c>
      <c r="CD180">
        <v>3.25888338289765</v>
      </c>
      <c r="CE180" t="s">
        <v>114</v>
      </c>
      <c r="CF180" t="s">
        <v>114</v>
      </c>
      <c r="CG180" t="s">
        <v>114</v>
      </c>
      <c r="CH180">
        <v>37.175820723333302</v>
      </c>
      <c r="CI180">
        <v>2.0345320203333301</v>
      </c>
      <c r="CJ180">
        <v>9.9597555599999996</v>
      </c>
      <c r="CK180" t="s">
        <v>114</v>
      </c>
      <c r="CL180">
        <v>-37.175820723333302</v>
      </c>
      <c r="CM180">
        <v>0.67835961499999997</v>
      </c>
      <c r="CN180">
        <v>9.9597555599999996</v>
      </c>
      <c r="CO180" t="s">
        <v>114</v>
      </c>
      <c r="CP180">
        <v>32.183100199885097</v>
      </c>
      <c r="CQ180">
        <v>1.35511845198239</v>
      </c>
      <c r="CR180">
        <v>3.4384672505360099</v>
      </c>
      <c r="CS180" t="s">
        <v>114</v>
      </c>
      <c r="CT180">
        <v>32.183100199885097</v>
      </c>
      <c r="CU180">
        <v>5.7700969813808101</v>
      </c>
      <c r="CV180">
        <v>3.4384672505360099</v>
      </c>
      <c r="CW180" t="s">
        <v>114</v>
      </c>
    </row>
    <row r="181" spans="1:101" x14ac:dyDescent="0.25">
      <c r="A181" t="s">
        <v>85</v>
      </c>
      <c r="B181">
        <v>6</v>
      </c>
      <c r="C181" t="s">
        <v>25</v>
      </c>
      <c r="D181" t="s">
        <v>94</v>
      </c>
      <c r="E181" t="s">
        <v>105</v>
      </c>
      <c r="F181" t="s">
        <v>145</v>
      </c>
      <c r="G181" t="s">
        <v>266</v>
      </c>
      <c r="H181" t="str">
        <f t="shared" si="24"/>
        <v>H.glabra.Highcomp.Open</v>
      </c>
      <c r="I181" t="s">
        <v>734</v>
      </c>
      <c r="J181" t="s">
        <v>455</v>
      </c>
      <c r="K181">
        <v>7</v>
      </c>
      <c r="L181">
        <v>45</v>
      </c>
      <c r="M181">
        <v>15</v>
      </c>
      <c r="N181">
        <v>45</v>
      </c>
      <c r="O181">
        <f t="shared" si="25"/>
        <v>30</v>
      </c>
      <c r="P181">
        <v>60</v>
      </c>
      <c r="Q181">
        <v>60</v>
      </c>
      <c r="R181">
        <v>40</v>
      </c>
      <c r="S181">
        <f t="shared" si="26"/>
        <v>50</v>
      </c>
      <c r="T181">
        <f t="shared" si="27"/>
        <v>1.1111111111111112</v>
      </c>
      <c r="V181" t="s">
        <v>103</v>
      </c>
      <c r="W181">
        <v>20</v>
      </c>
      <c r="X181">
        <v>9.5</v>
      </c>
      <c r="Y181">
        <v>10</v>
      </c>
      <c r="Z181">
        <v>11.5</v>
      </c>
      <c r="AA181">
        <v>10.33333333</v>
      </c>
      <c r="AB181">
        <v>10.33333333</v>
      </c>
      <c r="AC181">
        <v>12.5</v>
      </c>
      <c r="AD181">
        <v>10.5</v>
      </c>
      <c r="AE181">
        <v>13.9</v>
      </c>
      <c r="AF181">
        <v>12.3</v>
      </c>
      <c r="AG181">
        <v>11.5</v>
      </c>
      <c r="AH181">
        <v>12</v>
      </c>
      <c r="AI181">
        <v>11</v>
      </c>
      <c r="AJ181">
        <v>11.5</v>
      </c>
      <c r="AK181">
        <v>9</v>
      </c>
      <c r="AL181">
        <v>12.5</v>
      </c>
      <c r="AM181">
        <v>12.5</v>
      </c>
      <c r="AN181">
        <v>11.33333333</v>
      </c>
      <c r="AO181">
        <v>11.5</v>
      </c>
      <c r="AP181">
        <v>6.1</v>
      </c>
      <c r="AQ181">
        <v>5.0999999999999996</v>
      </c>
      <c r="AR181">
        <v>6.6</v>
      </c>
      <c r="AS181">
        <v>5.9333333330000002</v>
      </c>
      <c r="AT181">
        <v>6.6</v>
      </c>
      <c r="AU181">
        <v>5.6</v>
      </c>
      <c r="AV181">
        <v>5.6</v>
      </c>
      <c r="AW181">
        <v>5.9333333330000002</v>
      </c>
      <c r="AX181">
        <v>5.9333333330000002</v>
      </c>
      <c r="AY181">
        <v>-4.4000000000000004</v>
      </c>
      <c r="AZ181">
        <v>20</v>
      </c>
      <c r="BA181">
        <v>0</v>
      </c>
      <c r="BB181">
        <v>1</v>
      </c>
      <c r="BC181">
        <v>20</v>
      </c>
      <c r="BD181">
        <v>0</v>
      </c>
      <c r="BE181">
        <v>0</v>
      </c>
      <c r="BF181">
        <v>0</v>
      </c>
      <c r="BG181">
        <v>0</v>
      </c>
      <c r="BI181">
        <v>10.6</v>
      </c>
      <c r="BJ181">
        <v>4.2060000000000004</v>
      </c>
      <c r="BK181">
        <v>0</v>
      </c>
      <c r="BL181">
        <v>1</v>
      </c>
      <c r="BM181">
        <v>1</v>
      </c>
      <c r="BN181">
        <v>0</v>
      </c>
      <c r="BO181">
        <v>199.5</v>
      </c>
      <c r="BP181">
        <f t="shared" si="28"/>
        <v>-199.5</v>
      </c>
      <c r="BQ181">
        <v>66</v>
      </c>
      <c r="BR181">
        <f t="shared" si="29"/>
        <v>-66</v>
      </c>
      <c r="BS181">
        <v>23.136397949999999</v>
      </c>
      <c r="BT181">
        <v>1.03945407425</v>
      </c>
      <c r="BU181">
        <v>18.803840910000002</v>
      </c>
      <c r="BV181">
        <v>-23.136397949999999</v>
      </c>
      <c r="BW181">
        <v>-0.85685742625000005</v>
      </c>
      <c r="BX181">
        <v>18.803840910000002</v>
      </c>
      <c r="BY181">
        <v>362.63092080871002</v>
      </c>
      <c r="BZ181">
        <v>0.52166136577574496</v>
      </c>
      <c r="CA181">
        <v>54.379565903426297</v>
      </c>
      <c r="CB181">
        <v>362.63092080871002</v>
      </c>
      <c r="CC181">
        <v>0.98334153051594597</v>
      </c>
      <c r="CD181">
        <v>54.379565903426297</v>
      </c>
      <c r="CE181" t="s">
        <v>114</v>
      </c>
      <c r="CF181" t="s">
        <v>114</v>
      </c>
      <c r="CG181" t="s">
        <v>114</v>
      </c>
      <c r="CH181">
        <v>26.417227401428601</v>
      </c>
      <c r="CI181">
        <v>0.75048516928571396</v>
      </c>
      <c r="CJ181">
        <v>18.297382671428601</v>
      </c>
      <c r="CK181" t="s">
        <v>114</v>
      </c>
      <c r="CL181">
        <v>-26.417227401428601</v>
      </c>
      <c r="CM181">
        <v>-0.33312140242857102</v>
      </c>
      <c r="CN181">
        <v>18.297382671428601</v>
      </c>
      <c r="CO181" t="s">
        <v>114</v>
      </c>
      <c r="CP181">
        <v>198.059214454472</v>
      </c>
      <c r="CQ181">
        <v>0.39072428205538601</v>
      </c>
      <c r="CR181">
        <v>27.5887828699172</v>
      </c>
      <c r="CS181" t="s">
        <v>114</v>
      </c>
      <c r="CT181">
        <v>198.059214454472</v>
      </c>
      <c r="CU181">
        <v>0.91835875604418604</v>
      </c>
      <c r="CV181">
        <v>27.5887828699172</v>
      </c>
      <c r="CW181" t="s">
        <v>114</v>
      </c>
    </row>
    <row r="182" spans="1:101" x14ac:dyDescent="0.25">
      <c r="A182" t="s">
        <v>85</v>
      </c>
      <c r="B182">
        <v>6</v>
      </c>
      <c r="C182" t="s">
        <v>25</v>
      </c>
      <c r="D182" t="s">
        <v>94</v>
      </c>
      <c r="E182" t="s">
        <v>110</v>
      </c>
      <c r="F182" t="s">
        <v>145</v>
      </c>
      <c r="G182" t="s">
        <v>262</v>
      </c>
      <c r="H182" t="str">
        <f t="shared" si="24"/>
        <v>M.minima.Highcomp.Open</v>
      </c>
      <c r="I182" t="s">
        <v>742</v>
      </c>
      <c r="J182" t="s">
        <v>456</v>
      </c>
      <c r="K182">
        <v>17</v>
      </c>
      <c r="L182">
        <v>90</v>
      </c>
      <c r="M182">
        <v>50</v>
      </c>
      <c r="N182">
        <v>90</v>
      </c>
      <c r="O182">
        <f t="shared" si="25"/>
        <v>40</v>
      </c>
      <c r="P182">
        <v>10</v>
      </c>
      <c r="Q182">
        <v>45</v>
      </c>
      <c r="R182">
        <v>5</v>
      </c>
      <c r="S182">
        <f t="shared" si="26"/>
        <v>25</v>
      </c>
      <c r="T182">
        <f t="shared" si="27"/>
        <v>0.27777777777777779</v>
      </c>
      <c r="V182" t="s">
        <v>103</v>
      </c>
      <c r="W182">
        <v>30</v>
      </c>
      <c r="X182">
        <v>9.5</v>
      </c>
      <c r="Y182">
        <v>10</v>
      </c>
      <c r="Z182">
        <v>11.5</v>
      </c>
      <c r="AA182">
        <v>10.33333333</v>
      </c>
      <c r="AB182">
        <v>10.33333333</v>
      </c>
      <c r="AC182">
        <v>9.5</v>
      </c>
      <c r="AD182">
        <v>10</v>
      </c>
      <c r="AE182">
        <v>12</v>
      </c>
      <c r="AF182">
        <v>10.5</v>
      </c>
      <c r="AG182">
        <v>11.5</v>
      </c>
      <c r="AH182">
        <v>12</v>
      </c>
      <c r="AI182">
        <v>11</v>
      </c>
      <c r="AJ182">
        <v>11.5</v>
      </c>
      <c r="AK182">
        <v>8.5</v>
      </c>
      <c r="AL182">
        <v>11</v>
      </c>
      <c r="AM182">
        <v>11</v>
      </c>
      <c r="AN182">
        <v>10.16666667</v>
      </c>
      <c r="AO182">
        <v>11.5</v>
      </c>
      <c r="AP182">
        <v>6.1</v>
      </c>
      <c r="AQ182">
        <v>5.0999999999999996</v>
      </c>
      <c r="AR182">
        <v>6.6</v>
      </c>
      <c r="AS182">
        <v>5.9333333330000002</v>
      </c>
      <c r="AT182">
        <v>6.6</v>
      </c>
      <c r="AU182">
        <v>5.6</v>
      </c>
      <c r="AV182">
        <v>6.1</v>
      </c>
      <c r="AW182">
        <v>6.1</v>
      </c>
      <c r="AX182">
        <v>5.9333333330000002</v>
      </c>
      <c r="AY182">
        <v>-4.4000000000000004</v>
      </c>
      <c r="AZ182">
        <v>20</v>
      </c>
      <c r="BA182">
        <v>0</v>
      </c>
      <c r="BB182">
        <v>1</v>
      </c>
      <c r="BC182">
        <v>20</v>
      </c>
      <c r="BD182">
        <v>0</v>
      </c>
      <c r="BE182">
        <v>0</v>
      </c>
      <c r="BF182">
        <v>0</v>
      </c>
      <c r="BG182">
        <v>0</v>
      </c>
      <c r="BI182">
        <v>10.6</v>
      </c>
      <c r="BJ182">
        <v>4.2060000000000004</v>
      </c>
      <c r="BK182">
        <v>0</v>
      </c>
      <c r="BL182">
        <v>9</v>
      </c>
      <c r="BM182">
        <v>8</v>
      </c>
      <c r="BN182">
        <v>8</v>
      </c>
      <c r="BO182">
        <v>10</v>
      </c>
      <c r="BP182">
        <f t="shared" si="28"/>
        <v>-2</v>
      </c>
      <c r="BQ182">
        <v>20</v>
      </c>
      <c r="BR182">
        <f t="shared" si="29"/>
        <v>-12</v>
      </c>
      <c r="BS182">
        <v>17.121547244999999</v>
      </c>
      <c r="BT182">
        <v>0.76054567149999996</v>
      </c>
      <c r="BU182">
        <v>8.0601769324999992</v>
      </c>
      <c r="BV182">
        <v>-17.121547244999999</v>
      </c>
      <c r="BW182">
        <v>0.76054567149999996</v>
      </c>
      <c r="BX182">
        <v>-5.9908270525000002</v>
      </c>
      <c r="BY182">
        <v>214.34230013444201</v>
      </c>
      <c r="BZ182">
        <v>0.25792029978054198</v>
      </c>
      <c r="CA182">
        <v>62.388200806072</v>
      </c>
      <c r="CB182">
        <v>214.34230013444201</v>
      </c>
      <c r="CC182">
        <v>0.25792029978054198</v>
      </c>
      <c r="CD182">
        <v>101.15679201972399</v>
      </c>
      <c r="CE182">
        <v>0.4172958075</v>
      </c>
      <c r="CF182">
        <v>9.2322246010061407E-2</v>
      </c>
      <c r="CG182">
        <v>0.50695300647058805</v>
      </c>
      <c r="CH182">
        <v>21.547385699411802</v>
      </c>
      <c r="CI182">
        <v>0.95435915435294105</v>
      </c>
      <c r="CJ182">
        <v>7.7305662882352904</v>
      </c>
      <c r="CK182">
        <v>0.50695300647058805</v>
      </c>
      <c r="CL182">
        <v>-21.547385699411802</v>
      </c>
      <c r="CM182">
        <v>0.95435915435294105</v>
      </c>
      <c r="CN182">
        <v>-3.3484136011764698</v>
      </c>
      <c r="CO182">
        <v>2.91768658099021E-2</v>
      </c>
      <c r="CP182">
        <v>89.178101884946102</v>
      </c>
      <c r="CQ182">
        <v>6.1063401494056702E-2</v>
      </c>
      <c r="CR182">
        <v>32.827522253166897</v>
      </c>
      <c r="CS182">
        <v>2.91768658099021E-2</v>
      </c>
      <c r="CT182">
        <v>89.178101884946102</v>
      </c>
      <c r="CU182">
        <v>6.1063401494056702E-2</v>
      </c>
      <c r="CV182">
        <v>84.411665088689304</v>
      </c>
      <c r="CW182">
        <v>0.4172958075</v>
      </c>
    </row>
    <row r="183" spans="1:101" x14ac:dyDescent="0.25">
      <c r="A183" t="s">
        <v>86</v>
      </c>
      <c r="B183">
        <v>6</v>
      </c>
      <c r="C183" t="s">
        <v>27</v>
      </c>
      <c r="D183" t="s">
        <v>94</v>
      </c>
      <c r="E183" t="s">
        <v>110</v>
      </c>
      <c r="F183" t="s">
        <v>145</v>
      </c>
      <c r="G183" t="s">
        <v>262</v>
      </c>
      <c r="H183" t="str">
        <f t="shared" si="24"/>
        <v>M.minima.Highcomp.Open</v>
      </c>
      <c r="I183" t="s">
        <v>742</v>
      </c>
      <c r="J183" t="s">
        <v>457</v>
      </c>
      <c r="K183">
        <v>3</v>
      </c>
      <c r="L183">
        <v>30</v>
      </c>
      <c r="M183">
        <v>70</v>
      </c>
      <c r="N183">
        <v>30</v>
      </c>
      <c r="O183">
        <f t="shared" si="25"/>
        <v>-40</v>
      </c>
      <c r="P183">
        <v>20</v>
      </c>
      <c r="Q183">
        <v>25</v>
      </c>
      <c r="R183">
        <v>5</v>
      </c>
      <c r="S183">
        <f t="shared" si="26"/>
        <v>15</v>
      </c>
      <c r="T183">
        <f t="shared" si="27"/>
        <v>0.5</v>
      </c>
      <c r="V183" t="s">
        <v>121</v>
      </c>
      <c r="W183" t="s">
        <v>114</v>
      </c>
      <c r="X183">
        <v>8.5</v>
      </c>
      <c r="Y183">
        <v>9</v>
      </c>
      <c r="Z183">
        <v>10</v>
      </c>
      <c r="AA183">
        <v>9.1666666669999994</v>
      </c>
      <c r="AB183">
        <v>9.1666666669999994</v>
      </c>
      <c r="AC183">
        <v>8.1</v>
      </c>
      <c r="AD183">
        <v>8.5</v>
      </c>
      <c r="AE183">
        <v>9</v>
      </c>
      <c r="AF183">
        <v>8.5333333329999999</v>
      </c>
      <c r="AG183">
        <v>8.5</v>
      </c>
      <c r="AH183">
        <v>8.5</v>
      </c>
      <c r="AI183">
        <v>8.5</v>
      </c>
      <c r="AJ183">
        <v>8.5</v>
      </c>
      <c r="AK183">
        <v>9.5</v>
      </c>
      <c r="AL183">
        <v>7.6</v>
      </c>
      <c r="AM183">
        <v>8.1</v>
      </c>
      <c r="AN183">
        <v>8.4</v>
      </c>
      <c r="AO183">
        <v>8.5</v>
      </c>
      <c r="AP183">
        <v>5.0999999999999996</v>
      </c>
      <c r="AQ183">
        <v>4.5999999999999996</v>
      </c>
      <c r="AR183">
        <v>3.6</v>
      </c>
      <c r="AS183">
        <v>4.4333333330000002</v>
      </c>
      <c r="AT183">
        <v>4.0999999999999996</v>
      </c>
      <c r="AU183">
        <v>4.0999999999999996</v>
      </c>
      <c r="AV183">
        <v>3.1</v>
      </c>
      <c r="AW183">
        <v>3.766666667</v>
      </c>
      <c r="AX183">
        <v>4.4333333330000002</v>
      </c>
      <c r="AY183">
        <v>-4.733333333</v>
      </c>
      <c r="AZ183">
        <v>75</v>
      </c>
      <c r="BA183">
        <v>1</v>
      </c>
      <c r="BB183">
        <v>1</v>
      </c>
      <c r="BC183">
        <v>8</v>
      </c>
      <c r="BD183">
        <v>1</v>
      </c>
      <c r="BE183">
        <v>0</v>
      </c>
      <c r="BF183">
        <v>0</v>
      </c>
      <c r="BG183">
        <v>0</v>
      </c>
      <c r="BI183">
        <v>17</v>
      </c>
      <c r="BJ183">
        <v>20.623000000000001</v>
      </c>
      <c r="BK183">
        <v>0</v>
      </c>
      <c r="BL183">
        <v>1</v>
      </c>
      <c r="BM183">
        <v>1</v>
      </c>
      <c r="BN183">
        <v>1</v>
      </c>
      <c r="BO183">
        <v>10</v>
      </c>
      <c r="BP183">
        <f t="shared" si="28"/>
        <v>-9</v>
      </c>
      <c r="BQ183">
        <v>0</v>
      </c>
      <c r="BR183">
        <f t="shared" si="29"/>
        <v>1</v>
      </c>
      <c r="BS183">
        <v>56.551630430000003</v>
      </c>
      <c r="BT183" t="s">
        <v>114</v>
      </c>
      <c r="BU183">
        <v>7.2618725350000002</v>
      </c>
      <c r="BV183">
        <v>-56.551630430000003</v>
      </c>
      <c r="BW183" t="s">
        <v>114</v>
      </c>
      <c r="BX183">
        <v>7.2618725350000002</v>
      </c>
      <c r="BY183">
        <v>182.8828125</v>
      </c>
      <c r="BZ183" t="s">
        <v>114</v>
      </c>
      <c r="CA183">
        <v>24.199814509955001</v>
      </c>
      <c r="CB183">
        <v>182.8828125</v>
      </c>
      <c r="CC183" t="s">
        <v>114</v>
      </c>
      <c r="CD183">
        <v>24.199814509955001</v>
      </c>
      <c r="CE183" t="s">
        <v>114</v>
      </c>
      <c r="CF183" t="s">
        <v>114</v>
      </c>
      <c r="CG183" t="s">
        <v>114</v>
      </c>
      <c r="CH183">
        <v>59.739130430000003</v>
      </c>
      <c r="CI183" t="s">
        <v>114</v>
      </c>
      <c r="CJ183">
        <v>8.4213699000000002</v>
      </c>
      <c r="CK183" t="s">
        <v>114</v>
      </c>
      <c r="CL183">
        <v>-59.739130430000003</v>
      </c>
      <c r="CM183" t="s">
        <v>114</v>
      </c>
      <c r="CN183">
        <v>8.4213699000000002</v>
      </c>
      <c r="CO183" t="s">
        <v>114</v>
      </c>
      <c r="CP183">
        <v>121.921875</v>
      </c>
      <c r="CQ183" t="s">
        <v>114</v>
      </c>
      <c r="CR183">
        <v>16.133209673303298</v>
      </c>
      <c r="CS183" t="s">
        <v>114</v>
      </c>
      <c r="CT183">
        <v>121.921875</v>
      </c>
      <c r="CU183" t="s">
        <v>114</v>
      </c>
      <c r="CV183">
        <v>16.133209673303298</v>
      </c>
      <c r="CW183" t="s">
        <v>114</v>
      </c>
    </row>
    <row r="184" spans="1:101" x14ac:dyDescent="0.25">
      <c r="A184" t="s">
        <v>86</v>
      </c>
      <c r="B184">
        <v>6</v>
      </c>
      <c r="C184" t="s">
        <v>27</v>
      </c>
      <c r="D184" t="s">
        <v>94</v>
      </c>
      <c r="E184" t="s">
        <v>112</v>
      </c>
      <c r="F184" t="s">
        <v>145</v>
      </c>
      <c r="G184" t="s">
        <v>261</v>
      </c>
      <c r="H184" t="str">
        <f t="shared" si="24"/>
        <v>V.rosea.Highcomp.Open</v>
      </c>
      <c r="I184" t="s">
        <v>743</v>
      </c>
      <c r="J184" t="s">
        <v>458</v>
      </c>
      <c r="K184">
        <v>2</v>
      </c>
      <c r="L184">
        <v>80</v>
      </c>
      <c r="M184">
        <v>50</v>
      </c>
      <c r="N184">
        <v>80</v>
      </c>
      <c r="O184">
        <f t="shared" si="25"/>
        <v>30</v>
      </c>
      <c r="P184">
        <v>90</v>
      </c>
      <c r="Q184">
        <v>290</v>
      </c>
      <c r="R184">
        <v>200</v>
      </c>
      <c r="S184">
        <f t="shared" si="26"/>
        <v>245</v>
      </c>
      <c r="T184">
        <f t="shared" si="27"/>
        <v>3.0625</v>
      </c>
      <c r="V184" t="s">
        <v>110</v>
      </c>
      <c r="W184">
        <v>30</v>
      </c>
      <c r="X184">
        <v>8.5</v>
      </c>
      <c r="Y184">
        <v>9</v>
      </c>
      <c r="Z184">
        <v>10</v>
      </c>
      <c r="AA184">
        <v>9.1666666669999994</v>
      </c>
      <c r="AB184">
        <v>9.1666666669999994</v>
      </c>
      <c r="AC184">
        <v>8.5</v>
      </c>
      <c r="AD184">
        <v>8.5</v>
      </c>
      <c r="AE184">
        <v>8.5</v>
      </c>
      <c r="AF184">
        <v>8.5</v>
      </c>
      <c r="AG184">
        <v>8.5</v>
      </c>
      <c r="AH184">
        <v>8.5</v>
      </c>
      <c r="AI184">
        <v>8.5</v>
      </c>
      <c r="AJ184">
        <v>8.5</v>
      </c>
      <c r="AK184">
        <v>7.6</v>
      </c>
      <c r="AL184">
        <v>7.6</v>
      </c>
      <c r="AM184">
        <v>8.5</v>
      </c>
      <c r="AN184">
        <v>7.9</v>
      </c>
      <c r="AO184">
        <v>8.5</v>
      </c>
      <c r="AP184">
        <v>5.0999999999999996</v>
      </c>
      <c r="AQ184">
        <v>4.5999999999999996</v>
      </c>
      <c r="AR184">
        <v>3.6</v>
      </c>
      <c r="AS184">
        <v>4.4333333330000002</v>
      </c>
      <c r="AT184">
        <v>5.6</v>
      </c>
      <c r="AU184">
        <v>4.5999999999999996</v>
      </c>
      <c r="AV184">
        <v>4.0999999999999996</v>
      </c>
      <c r="AW184">
        <v>4.766666667</v>
      </c>
      <c r="AX184">
        <v>4.4333333330000002</v>
      </c>
      <c r="AY184">
        <v>-4.733333333</v>
      </c>
      <c r="AZ184">
        <v>75</v>
      </c>
      <c r="BA184">
        <v>1</v>
      </c>
      <c r="BB184">
        <v>1</v>
      </c>
      <c r="BC184">
        <v>8</v>
      </c>
      <c r="BD184">
        <v>1</v>
      </c>
      <c r="BE184">
        <v>0</v>
      </c>
      <c r="BF184">
        <v>0</v>
      </c>
      <c r="BG184">
        <v>0</v>
      </c>
      <c r="BI184">
        <v>17</v>
      </c>
      <c r="BJ184">
        <v>20.623000000000001</v>
      </c>
      <c r="BK184">
        <v>0</v>
      </c>
      <c r="BL184">
        <v>53</v>
      </c>
      <c r="BM184">
        <v>35</v>
      </c>
      <c r="BN184">
        <v>144</v>
      </c>
      <c r="BO184">
        <v>152</v>
      </c>
      <c r="BP184">
        <f t="shared" si="28"/>
        <v>-8</v>
      </c>
      <c r="BQ184">
        <v>132</v>
      </c>
      <c r="BR184">
        <f t="shared" si="29"/>
        <v>12</v>
      </c>
      <c r="BS184">
        <v>31.661684784999998</v>
      </c>
      <c r="BT184">
        <v>1.303913619</v>
      </c>
      <c r="BU184">
        <v>5.3332122699999998</v>
      </c>
      <c r="BV184">
        <v>-31.661684784999998</v>
      </c>
      <c r="BW184">
        <v>1.303913619</v>
      </c>
      <c r="BX184">
        <v>5.3332122699999998</v>
      </c>
      <c r="BY184">
        <v>1103.98918928378</v>
      </c>
      <c r="BZ184">
        <v>1.0945836371444501E-2</v>
      </c>
      <c r="CA184">
        <v>7.1569837768872997</v>
      </c>
      <c r="CB184">
        <v>1103.98918928378</v>
      </c>
      <c r="CC184">
        <v>1.0945836371444501E-2</v>
      </c>
      <c r="CD184">
        <v>7.1569837768872997</v>
      </c>
      <c r="CE184" t="s">
        <v>114</v>
      </c>
      <c r="CF184" t="s">
        <v>114</v>
      </c>
      <c r="CG184" t="s">
        <v>114</v>
      </c>
      <c r="CH184">
        <v>31.661684784999998</v>
      </c>
      <c r="CI184">
        <v>1.303913619</v>
      </c>
      <c r="CJ184">
        <v>5.3332122699999998</v>
      </c>
      <c r="CK184" t="s">
        <v>114</v>
      </c>
      <c r="CL184">
        <v>-31.661684784999998</v>
      </c>
      <c r="CM184">
        <v>1.303913619</v>
      </c>
      <c r="CN184">
        <v>5.3332122699999998</v>
      </c>
      <c r="CO184" t="s">
        <v>114</v>
      </c>
      <c r="CP184">
        <v>1103.98918928378</v>
      </c>
      <c r="CQ184">
        <v>1.0945836371444501E-2</v>
      </c>
      <c r="CR184">
        <v>7.1569837768872997</v>
      </c>
      <c r="CS184" t="s">
        <v>114</v>
      </c>
      <c r="CT184">
        <v>1103.98918928378</v>
      </c>
      <c r="CU184">
        <v>1.0945836371444501E-2</v>
      </c>
      <c r="CV184">
        <v>7.1569837768872997</v>
      </c>
      <c r="CW184" t="s">
        <v>114</v>
      </c>
    </row>
    <row r="185" spans="1:101" x14ac:dyDescent="0.25">
      <c r="A185" t="s">
        <v>87</v>
      </c>
      <c r="B185">
        <v>6</v>
      </c>
      <c r="C185" t="s">
        <v>29</v>
      </c>
      <c r="D185" t="s">
        <v>95</v>
      </c>
      <c r="E185" t="s">
        <v>102</v>
      </c>
      <c r="F185" t="s">
        <v>145</v>
      </c>
      <c r="G185" t="s">
        <v>265</v>
      </c>
      <c r="H185" t="str">
        <f t="shared" si="24"/>
        <v>A.calendula.Highcomp.Shade</v>
      </c>
      <c r="I185" t="s">
        <v>740</v>
      </c>
      <c r="J185" t="s">
        <v>459</v>
      </c>
      <c r="K185">
        <v>6</v>
      </c>
      <c r="L185">
        <v>140</v>
      </c>
      <c r="M185">
        <v>140</v>
      </c>
      <c r="N185">
        <v>140</v>
      </c>
      <c r="O185">
        <f t="shared" si="25"/>
        <v>0</v>
      </c>
      <c r="P185">
        <v>160</v>
      </c>
      <c r="Q185">
        <v>160</v>
      </c>
      <c r="R185">
        <v>110</v>
      </c>
      <c r="S185">
        <f t="shared" si="26"/>
        <v>135</v>
      </c>
      <c r="T185">
        <f t="shared" si="27"/>
        <v>0.9642857142857143</v>
      </c>
      <c r="V185" t="s">
        <v>110</v>
      </c>
      <c r="W185">
        <v>30</v>
      </c>
      <c r="X185">
        <v>9</v>
      </c>
      <c r="Y185">
        <v>7.6</v>
      </c>
      <c r="Z185">
        <v>11.5</v>
      </c>
      <c r="AA185">
        <v>9.3666666670000005</v>
      </c>
      <c r="AB185">
        <v>9.3666666670000005</v>
      </c>
      <c r="AC185">
        <v>14.4</v>
      </c>
      <c r="AD185">
        <v>12.5</v>
      </c>
      <c r="AE185">
        <v>12.5</v>
      </c>
      <c r="AF185">
        <v>13.133333329999999</v>
      </c>
      <c r="AG185">
        <v>8.5</v>
      </c>
      <c r="AH185">
        <v>8.5</v>
      </c>
      <c r="AI185">
        <v>9.5</v>
      </c>
      <c r="AJ185">
        <v>8.8333333330000006</v>
      </c>
      <c r="AK185">
        <v>11</v>
      </c>
      <c r="AL185">
        <v>12</v>
      </c>
      <c r="AM185">
        <v>13</v>
      </c>
      <c r="AN185">
        <v>12</v>
      </c>
      <c r="AO185">
        <v>8.8333333330000006</v>
      </c>
      <c r="AP185">
        <v>6.1</v>
      </c>
      <c r="AQ185">
        <v>6.1</v>
      </c>
      <c r="AR185">
        <v>6.1</v>
      </c>
      <c r="AS185">
        <v>6.1</v>
      </c>
      <c r="AT185">
        <v>5.0999999999999996</v>
      </c>
      <c r="AU185">
        <v>6.1</v>
      </c>
      <c r="AV185">
        <v>4.5999999999999996</v>
      </c>
      <c r="AW185">
        <v>5.266666667</v>
      </c>
      <c r="AX185">
        <v>6.1</v>
      </c>
      <c r="AY185">
        <v>-3.266666667</v>
      </c>
      <c r="AZ185">
        <v>75</v>
      </c>
      <c r="BA185">
        <v>0</v>
      </c>
      <c r="BB185">
        <v>5</v>
      </c>
      <c r="BC185">
        <v>10</v>
      </c>
      <c r="BD185">
        <v>0</v>
      </c>
      <c r="BE185">
        <v>1</v>
      </c>
      <c r="BF185">
        <v>0</v>
      </c>
      <c r="BG185">
        <v>0</v>
      </c>
      <c r="BI185">
        <v>15</v>
      </c>
      <c r="BJ185">
        <v>54.951000000000001</v>
      </c>
      <c r="BK185">
        <v>0</v>
      </c>
      <c r="BL185">
        <v>20</v>
      </c>
      <c r="BM185">
        <v>15</v>
      </c>
      <c r="BN185">
        <v>686</v>
      </c>
      <c r="BO185">
        <v>567</v>
      </c>
      <c r="BP185">
        <f t="shared" si="28"/>
        <v>119</v>
      </c>
      <c r="BQ185">
        <v>362</v>
      </c>
      <c r="BR185">
        <f t="shared" si="29"/>
        <v>324</v>
      </c>
      <c r="BS185">
        <v>33.874463230000003</v>
      </c>
      <c r="BT185" t="s">
        <v>114</v>
      </c>
      <c r="BU185">
        <v>4.0812668966666701</v>
      </c>
      <c r="BV185">
        <v>-26.221215783333299</v>
      </c>
      <c r="BW185" t="s">
        <v>114</v>
      </c>
      <c r="BX185">
        <v>-0.445568143333333</v>
      </c>
      <c r="BY185">
        <v>467.579721400361</v>
      </c>
      <c r="BZ185" t="s">
        <v>114</v>
      </c>
      <c r="CA185">
        <v>4.9908587259627897</v>
      </c>
      <c r="CB185">
        <v>1157.4703743471</v>
      </c>
      <c r="CC185" t="s">
        <v>114</v>
      </c>
      <c r="CD185">
        <v>29.678171493173299</v>
      </c>
      <c r="CE185" t="s">
        <v>114</v>
      </c>
      <c r="CF185" t="s">
        <v>114</v>
      </c>
      <c r="CG185" t="s">
        <v>114</v>
      </c>
      <c r="CH185">
        <v>29.869565215000002</v>
      </c>
      <c r="CI185" t="s">
        <v>114</v>
      </c>
      <c r="CJ185">
        <v>4.71183030333333</v>
      </c>
      <c r="CK185" t="s">
        <v>114</v>
      </c>
      <c r="CL185">
        <v>-18.389694044999999</v>
      </c>
      <c r="CM185" t="s">
        <v>114</v>
      </c>
      <c r="CN185">
        <v>-1.0761315499999999</v>
      </c>
      <c r="CO185" t="s">
        <v>114</v>
      </c>
      <c r="CP185">
        <v>454.58576648245003</v>
      </c>
      <c r="CQ185" t="s">
        <v>114</v>
      </c>
      <c r="CR185">
        <v>2.4771823337032601</v>
      </c>
      <c r="CS185" t="s">
        <v>114</v>
      </c>
      <c r="CT185">
        <v>1119.3978613597701</v>
      </c>
      <c r="CU185" t="s">
        <v>114</v>
      </c>
      <c r="CV185">
        <v>27.7291251671091</v>
      </c>
      <c r="CW185" t="s">
        <v>114</v>
      </c>
    </row>
    <row r="186" spans="1:101" x14ac:dyDescent="0.25">
      <c r="A186" t="s">
        <v>87</v>
      </c>
      <c r="B186">
        <v>6</v>
      </c>
      <c r="C186" t="s">
        <v>29</v>
      </c>
      <c r="D186" t="s">
        <v>95</v>
      </c>
      <c r="E186" t="s">
        <v>110</v>
      </c>
      <c r="F186" t="s">
        <v>145</v>
      </c>
      <c r="G186" t="s">
        <v>262</v>
      </c>
      <c r="H186" t="str">
        <f t="shared" si="24"/>
        <v>M.minima.Highcomp.Shade</v>
      </c>
      <c r="I186" t="s">
        <v>744</v>
      </c>
      <c r="J186" t="s">
        <v>460</v>
      </c>
      <c r="K186">
        <v>1</v>
      </c>
      <c r="L186">
        <v>10</v>
      </c>
      <c r="M186">
        <v>50</v>
      </c>
      <c r="N186">
        <v>10</v>
      </c>
      <c r="O186">
        <f t="shared" si="25"/>
        <v>-40</v>
      </c>
      <c r="P186">
        <v>8</v>
      </c>
      <c r="Q186">
        <v>14</v>
      </c>
      <c r="R186">
        <v>5</v>
      </c>
      <c r="S186">
        <f t="shared" si="26"/>
        <v>9.5</v>
      </c>
      <c r="T186">
        <f t="shared" si="27"/>
        <v>0.95</v>
      </c>
      <c r="V186" t="s">
        <v>110</v>
      </c>
      <c r="W186">
        <v>55</v>
      </c>
      <c r="X186">
        <v>9</v>
      </c>
      <c r="Y186">
        <v>7.6</v>
      </c>
      <c r="Z186">
        <v>11.5</v>
      </c>
      <c r="AA186">
        <v>9.3666666670000005</v>
      </c>
      <c r="AB186">
        <v>9.3666666670000005</v>
      </c>
      <c r="AC186">
        <v>10.5</v>
      </c>
      <c r="AD186">
        <v>8.5</v>
      </c>
      <c r="AE186">
        <v>9.5</v>
      </c>
      <c r="AF186">
        <v>9.5</v>
      </c>
      <c r="AG186">
        <v>8.5</v>
      </c>
      <c r="AH186">
        <v>8.5</v>
      </c>
      <c r="AI186">
        <v>9.5</v>
      </c>
      <c r="AJ186">
        <v>8.8333333330000006</v>
      </c>
      <c r="AK186">
        <v>8.5</v>
      </c>
      <c r="AL186">
        <v>9</v>
      </c>
      <c r="AM186">
        <v>12</v>
      </c>
      <c r="AN186">
        <v>9.8333333330000006</v>
      </c>
      <c r="AO186">
        <v>8.8333333330000006</v>
      </c>
      <c r="AP186">
        <v>6.1</v>
      </c>
      <c r="AQ186">
        <v>6.1</v>
      </c>
      <c r="AR186">
        <v>6.1</v>
      </c>
      <c r="AS186">
        <v>6.1</v>
      </c>
      <c r="AT186">
        <v>5.6</v>
      </c>
      <c r="AU186">
        <v>6.1</v>
      </c>
      <c r="AV186">
        <v>5.0999999999999996</v>
      </c>
      <c r="AW186">
        <v>5.6</v>
      </c>
      <c r="AX186">
        <v>6.1</v>
      </c>
      <c r="AY186">
        <v>-3.266666667</v>
      </c>
      <c r="AZ186">
        <v>75</v>
      </c>
      <c r="BA186">
        <v>0</v>
      </c>
      <c r="BB186">
        <v>5</v>
      </c>
      <c r="BC186">
        <v>10</v>
      </c>
      <c r="BD186">
        <v>0</v>
      </c>
      <c r="BE186">
        <v>1</v>
      </c>
      <c r="BF186">
        <v>0</v>
      </c>
      <c r="BG186">
        <v>0</v>
      </c>
      <c r="BI186">
        <v>15</v>
      </c>
      <c r="BJ186">
        <v>54.951000000000001</v>
      </c>
      <c r="BK186">
        <v>0</v>
      </c>
      <c r="BL186">
        <v>3</v>
      </c>
      <c r="BM186">
        <v>1</v>
      </c>
      <c r="BN186">
        <v>1</v>
      </c>
      <c r="BO186">
        <v>0</v>
      </c>
      <c r="BP186">
        <f t="shared" si="28"/>
        <v>1</v>
      </c>
      <c r="BQ186">
        <v>0</v>
      </c>
      <c r="BR186">
        <f t="shared" si="29"/>
        <v>1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 t="s">
        <v>114</v>
      </c>
      <c r="BZ186" t="s">
        <v>114</v>
      </c>
      <c r="CA186" t="s">
        <v>114</v>
      </c>
      <c r="CB186" t="s">
        <v>114</v>
      </c>
      <c r="CC186" t="s">
        <v>114</v>
      </c>
      <c r="CD186" t="s">
        <v>114</v>
      </c>
      <c r="CE186">
        <v>0</v>
      </c>
      <c r="CF186" t="s">
        <v>114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 t="s">
        <v>114</v>
      </c>
      <c r="CP186" t="s">
        <v>114</v>
      </c>
      <c r="CQ186" t="s">
        <v>114</v>
      </c>
      <c r="CR186" t="s">
        <v>114</v>
      </c>
      <c r="CS186" t="s">
        <v>114</v>
      </c>
      <c r="CT186" t="s">
        <v>114</v>
      </c>
      <c r="CU186" t="s">
        <v>114</v>
      </c>
      <c r="CV186" t="s">
        <v>114</v>
      </c>
      <c r="CW186">
        <v>0</v>
      </c>
    </row>
    <row r="187" spans="1:101" x14ac:dyDescent="0.25">
      <c r="A187" t="s">
        <v>88</v>
      </c>
      <c r="B187">
        <v>6</v>
      </c>
      <c r="C187" t="s">
        <v>31</v>
      </c>
      <c r="D187" t="s">
        <v>95</v>
      </c>
      <c r="E187" t="s">
        <v>110</v>
      </c>
      <c r="F187" t="s">
        <v>145</v>
      </c>
      <c r="G187" t="s">
        <v>262</v>
      </c>
      <c r="H187" t="str">
        <f t="shared" si="24"/>
        <v>M.minima.Highcomp.Shade</v>
      </c>
      <c r="I187" t="s">
        <v>744</v>
      </c>
      <c r="J187" t="s">
        <v>461</v>
      </c>
      <c r="K187">
        <v>4</v>
      </c>
      <c r="L187">
        <v>180</v>
      </c>
      <c r="M187">
        <v>30</v>
      </c>
      <c r="N187">
        <v>180</v>
      </c>
      <c r="O187">
        <f t="shared" si="25"/>
        <v>150</v>
      </c>
      <c r="P187">
        <v>16</v>
      </c>
      <c r="Q187">
        <v>25</v>
      </c>
      <c r="R187">
        <v>0</v>
      </c>
      <c r="S187">
        <f t="shared" si="26"/>
        <v>12.5</v>
      </c>
      <c r="T187">
        <f t="shared" si="27"/>
        <v>6.9444444444444448E-2</v>
      </c>
      <c r="U187" t="s">
        <v>794</v>
      </c>
      <c r="V187" t="s">
        <v>113</v>
      </c>
      <c r="W187">
        <v>120</v>
      </c>
      <c r="X187">
        <v>15.9</v>
      </c>
      <c r="Y187">
        <v>11.5</v>
      </c>
      <c r="Z187">
        <v>18.399999999999999</v>
      </c>
      <c r="AA187">
        <v>15.266666669999999</v>
      </c>
      <c r="AB187">
        <v>15.266666669999999</v>
      </c>
      <c r="AC187">
        <v>12</v>
      </c>
      <c r="AD187">
        <v>12.5</v>
      </c>
      <c r="AE187">
        <v>13</v>
      </c>
      <c r="AF187">
        <v>12.5</v>
      </c>
      <c r="AG187">
        <v>12</v>
      </c>
      <c r="AH187">
        <v>15.4</v>
      </c>
      <c r="AI187">
        <v>15.9</v>
      </c>
      <c r="AJ187">
        <v>14.43333333</v>
      </c>
      <c r="AK187">
        <v>10.5</v>
      </c>
      <c r="AL187">
        <v>10</v>
      </c>
      <c r="AM187">
        <v>12.5</v>
      </c>
      <c r="AN187">
        <v>11</v>
      </c>
      <c r="AO187">
        <v>14.43333333</v>
      </c>
      <c r="AP187">
        <v>8.5</v>
      </c>
      <c r="AQ187">
        <v>4.5999999999999996</v>
      </c>
      <c r="AR187">
        <v>5.6</v>
      </c>
      <c r="AS187">
        <v>6.233333333</v>
      </c>
      <c r="AT187">
        <v>4.5999999999999996</v>
      </c>
      <c r="AU187">
        <v>5.6</v>
      </c>
      <c r="AV187">
        <v>5.0999999999999996</v>
      </c>
      <c r="AW187">
        <v>5.0999999999999996</v>
      </c>
      <c r="AX187">
        <v>6.233333333</v>
      </c>
      <c r="AY187">
        <v>-9.0333333329999999</v>
      </c>
      <c r="AZ187">
        <v>10</v>
      </c>
      <c r="BA187">
        <v>40</v>
      </c>
      <c r="BB187">
        <v>2</v>
      </c>
      <c r="BC187">
        <v>10</v>
      </c>
      <c r="BD187">
        <v>1</v>
      </c>
      <c r="BE187">
        <v>1</v>
      </c>
      <c r="BF187">
        <v>0</v>
      </c>
      <c r="BG187">
        <v>0</v>
      </c>
      <c r="BI187">
        <v>15.5</v>
      </c>
      <c r="BJ187">
        <v>42.4</v>
      </c>
      <c r="BK187">
        <v>0</v>
      </c>
      <c r="BL187">
        <v>3</v>
      </c>
      <c r="BM187">
        <v>3</v>
      </c>
      <c r="BN187">
        <v>3</v>
      </c>
      <c r="BO187">
        <v>0</v>
      </c>
      <c r="BP187">
        <f t="shared" si="28"/>
        <v>3</v>
      </c>
      <c r="BQ187">
        <v>0</v>
      </c>
      <c r="BR187">
        <f t="shared" si="29"/>
        <v>3</v>
      </c>
      <c r="BS187">
        <v>17.763751644999999</v>
      </c>
      <c r="BT187">
        <v>0.66851159100000002</v>
      </c>
      <c r="BU187">
        <v>7.9912752200000003</v>
      </c>
      <c r="BV187">
        <v>-17.763751644999999</v>
      </c>
      <c r="BW187">
        <v>0.66851159100000002</v>
      </c>
      <c r="BX187">
        <v>7.9912752200000003</v>
      </c>
      <c r="BY187">
        <v>105.619899290072</v>
      </c>
      <c r="BZ187">
        <v>0.229866758514709</v>
      </c>
      <c r="CA187">
        <v>29.6846753499884</v>
      </c>
      <c r="CB187">
        <v>105.619899290072</v>
      </c>
      <c r="CC187">
        <v>0.229866758514709</v>
      </c>
      <c r="CD187">
        <v>29.6846753499884</v>
      </c>
      <c r="CE187">
        <v>0.58813364999999995</v>
      </c>
      <c r="CF187">
        <v>2.3251878998645E-2</v>
      </c>
      <c r="CG187">
        <v>0.64204547499999998</v>
      </c>
      <c r="CH187">
        <v>14.1302289175</v>
      </c>
      <c r="CI187">
        <v>0.49900246199999998</v>
      </c>
      <c r="CJ187">
        <v>9.9175629500000007</v>
      </c>
      <c r="CK187">
        <v>0.64204547499999998</v>
      </c>
      <c r="CL187">
        <v>-14.1302289175</v>
      </c>
      <c r="CM187">
        <v>0.49900246199999998</v>
      </c>
      <c r="CN187">
        <v>9.9175629500000007</v>
      </c>
      <c r="CO187">
        <v>1.16259394993225E-2</v>
      </c>
      <c r="CP187">
        <v>52.809949645036198</v>
      </c>
      <c r="CQ187">
        <v>0.114933379257355</v>
      </c>
      <c r="CR187">
        <v>14.8423376749942</v>
      </c>
      <c r="CS187">
        <v>1.16259394993225E-2</v>
      </c>
      <c r="CT187">
        <v>52.809949645036198</v>
      </c>
      <c r="CU187">
        <v>0.114933379257355</v>
      </c>
      <c r="CV187">
        <v>14.8423376749942</v>
      </c>
      <c r="CW187">
        <v>0.58813364999999995</v>
      </c>
    </row>
    <row r="188" spans="1:101" x14ac:dyDescent="0.25">
      <c r="A188" t="s">
        <v>88</v>
      </c>
      <c r="B188">
        <v>6</v>
      </c>
      <c r="C188" t="s">
        <v>31</v>
      </c>
      <c r="D188" t="s">
        <v>95</v>
      </c>
      <c r="E188" t="s">
        <v>112</v>
      </c>
      <c r="F188" t="s">
        <v>145</v>
      </c>
      <c r="G188" t="s">
        <v>261</v>
      </c>
      <c r="H188" t="str">
        <f t="shared" si="24"/>
        <v>V.rosea.Highcomp.Shade</v>
      </c>
      <c r="I188" t="s">
        <v>741</v>
      </c>
      <c r="J188" t="s">
        <v>462</v>
      </c>
      <c r="K188">
        <v>2</v>
      </c>
      <c r="L188">
        <v>100</v>
      </c>
      <c r="M188">
        <v>70</v>
      </c>
      <c r="N188">
        <v>100</v>
      </c>
      <c r="O188">
        <f t="shared" si="25"/>
        <v>30</v>
      </c>
      <c r="P188">
        <v>60</v>
      </c>
      <c r="Q188">
        <v>170</v>
      </c>
      <c r="R188">
        <v>45</v>
      </c>
      <c r="S188">
        <f t="shared" si="26"/>
        <v>107.5</v>
      </c>
      <c r="T188">
        <f t="shared" si="27"/>
        <v>1.075</v>
      </c>
      <c r="V188" t="s">
        <v>113</v>
      </c>
      <c r="W188">
        <v>40</v>
      </c>
      <c r="X188">
        <v>15.9</v>
      </c>
      <c r="Y188">
        <v>11.5</v>
      </c>
      <c r="Z188">
        <v>18.399999999999999</v>
      </c>
      <c r="AA188">
        <v>15.266666669999999</v>
      </c>
      <c r="AB188">
        <v>15.266666669999999</v>
      </c>
      <c r="AC188">
        <v>11.5</v>
      </c>
      <c r="AD188">
        <v>10</v>
      </c>
      <c r="AE188">
        <v>11.5</v>
      </c>
      <c r="AF188">
        <v>11</v>
      </c>
      <c r="AG188">
        <v>12</v>
      </c>
      <c r="AH188">
        <v>15.4</v>
      </c>
      <c r="AI188">
        <v>15.9</v>
      </c>
      <c r="AJ188">
        <v>14.43333333</v>
      </c>
      <c r="AK188">
        <v>12</v>
      </c>
      <c r="AL188">
        <v>11</v>
      </c>
      <c r="AM188">
        <v>11.5</v>
      </c>
      <c r="AN188">
        <v>11.5</v>
      </c>
      <c r="AO188">
        <v>14.43333333</v>
      </c>
      <c r="AP188">
        <v>8.5</v>
      </c>
      <c r="AQ188">
        <v>4.5999999999999996</v>
      </c>
      <c r="AR188">
        <v>5.6</v>
      </c>
      <c r="AS188">
        <v>6.233333333</v>
      </c>
      <c r="AT188">
        <v>5.0999999999999996</v>
      </c>
      <c r="AU188">
        <v>4.5999999999999996</v>
      </c>
      <c r="AV188">
        <v>4.5999999999999996</v>
      </c>
      <c r="AW188">
        <v>4.766666667</v>
      </c>
      <c r="AX188">
        <v>6.233333333</v>
      </c>
      <c r="AY188">
        <v>-9.0333333329999999</v>
      </c>
      <c r="AZ188">
        <v>10</v>
      </c>
      <c r="BA188">
        <v>40</v>
      </c>
      <c r="BB188">
        <v>2</v>
      </c>
      <c r="BC188">
        <v>10</v>
      </c>
      <c r="BD188">
        <v>1</v>
      </c>
      <c r="BE188">
        <v>1</v>
      </c>
      <c r="BF188">
        <v>0</v>
      </c>
      <c r="BG188">
        <v>0</v>
      </c>
      <c r="BI188">
        <v>15.5</v>
      </c>
      <c r="BJ188">
        <v>42.4</v>
      </c>
      <c r="BK188">
        <v>0</v>
      </c>
      <c r="BL188">
        <v>36</v>
      </c>
      <c r="BM188">
        <v>29</v>
      </c>
      <c r="BN188">
        <v>112</v>
      </c>
      <c r="BO188">
        <v>50</v>
      </c>
      <c r="BP188">
        <f t="shared" si="28"/>
        <v>62</v>
      </c>
      <c r="BQ188">
        <v>48</v>
      </c>
      <c r="BR188">
        <f t="shared" si="29"/>
        <v>64</v>
      </c>
      <c r="BS188">
        <v>18.663825760000002</v>
      </c>
      <c r="BT188">
        <v>1.5594277780000001</v>
      </c>
      <c r="BU188">
        <v>15.285372730000001</v>
      </c>
      <c r="BV188">
        <v>-18.663825760000002</v>
      </c>
      <c r="BW188">
        <v>1.5594277780000001</v>
      </c>
      <c r="BX188">
        <v>15.285372730000001</v>
      </c>
      <c r="BY188" t="s">
        <v>114</v>
      </c>
      <c r="BZ188" t="s">
        <v>114</v>
      </c>
      <c r="CA188" t="s">
        <v>114</v>
      </c>
      <c r="CB188" t="s">
        <v>114</v>
      </c>
      <c r="CC188" t="s">
        <v>114</v>
      </c>
      <c r="CD188" t="s">
        <v>114</v>
      </c>
      <c r="CE188">
        <v>1.9981640000000001</v>
      </c>
      <c r="CF188" t="s">
        <v>114</v>
      </c>
      <c r="CG188">
        <v>1.9981640000000001</v>
      </c>
      <c r="CH188">
        <v>18.663825760000002</v>
      </c>
      <c r="CI188">
        <v>1.5594277780000001</v>
      </c>
      <c r="CJ188">
        <v>15.285372730000001</v>
      </c>
      <c r="CK188">
        <v>1.9981640000000001</v>
      </c>
      <c r="CL188">
        <v>-18.663825760000002</v>
      </c>
      <c r="CM188">
        <v>1.5594277780000001</v>
      </c>
      <c r="CN188">
        <v>15.285372730000001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1.9981640000000001</v>
      </c>
    </row>
    <row r="189" spans="1:101" x14ac:dyDescent="0.25">
      <c r="A189" t="s">
        <v>89</v>
      </c>
      <c r="B189">
        <v>6</v>
      </c>
      <c r="C189" t="s">
        <v>33</v>
      </c>
      <c r="D189" t="s">
        <v>95</v>
      </c>
      <c r="E189" t="s">
        <v>104</v>
      </c>
      <c r="F189" t="s">
        <v>145</v>
      </c>
      <c r="G189" t="s">
        <v>264</v>
      </c>
      <c r="H189" t="str">
        <f t="shared" si="24"/>
        <v>T.cyanopetala.Highcomp.Shade</v>
      </c>
      <c r="I189" t="s">
        <v>745</v>
      </c>
      <c r="J189" t="s">
        <v>463</v>
      </c>
      <c r="K189">
        <v>3</v>
      </c>
      <c r="L189">
        <v>45</v>
      </c>
      <c r="M189">
        <v>150</v>
      </c>
      <c r="N189">
        <v>45</v>
      </c>
      <c r="O189">
        <f t="shared" si="25"/>
        <v>-105</v>
      </c>
      <c r="P189">
        <v>40</v>
      </c>
      <c r="Q189">
        <v>20</v>
      </c>
      <c r="R189">
        <v>10</v>
      </c>
      <c r="S189">
        <f t="shared" si="26"/>
        <v>15</v>
      </c>
      <c r="T189">
        <f t="shared" si="27"/>
        <v>0.33333333333333331</v>
      </c>
      <c r="V189" t="s">
        <v>104</v>
      </c>
      <c r="W189">
        <v>90</v>
      </c>
      <c r="X189">
        <v>13</v>
      </c>
      <c r="Y189">
        <v>13.9</v>
      </c>
      <c r="Z189">
        <v>16.899999999999999</v>
      </c>
      <c r="AA189">
        <v>14.6</v>
      </c>
      <c r="AB189">
        <v>14.6</v>
      </c>
      <c r="AC189">
        <v>16.399999999999999</v>
      </c>
      <c r="AD189">
        <v>10</v>
      </c>
      <c r="AE189">
        <v>13.9</v>
      </c>
      <c r="AF189">
        <v>13.43333333</v>
      </c>
      <c r="AG189">
        <v>13.9</v>
      </c>
      <c r="AH189">
        <v>16.399999999999999</v>
      </c>
      <c r="AI189">
        <v>14.4</v>
      </c>
      <c r="AJ189">
        <v>14.9</v>
      </c>
      <c r="AK189">
        <v>12</v>
      </c>
      <c r="AL189">
        <v>13.5</v>
      </c>
      <c r="AM189">
        <v>14.9</v>
      </c>
      <c r="AN189">
        <v>13.46666667</v>
      </c>
      <c r="AO189">
        <v>14.9</v>
      </c>
      <c r="AP189">
        <v>6.6</v>
      </c>
      <c r="AQ189">
        <v>6.6</v>
      </c>
      <c r="AR189" t="s">
        <v>114</v>
      </c>
      <c r="AS189">
        <v>6.6</v>
      </c>
      <c r="AT189">
        <v>6.1</v>
      </c>
      <c r="AU189">
        <v>5.0999999999999996</v>
      </c>
      <c r="AV189">
        <v>6.6</v>
      </c>
      <c r="AW189">
        <v>5.9333333330000002</v>
      </c>
      <c r="AX189">
        <v>6.6</v>
      </c>
      <c r="AY189">
        <v>-8</v>
      </c>
      <c r="AZ189">
        <v>15</v>
      </c>
      <c r="BA189">
        <v>15</v>
      </c>
      <c r="BB189">
        <v>5</v>
      </c>
      <c r="BC189">
        <v>50</v>
      </c>
      <c r="BD189">
        <v>1</v>
      </c>
      <c r="BE189">
        <v>1</v>
      </c>
      <c r="BF189">
        <v>0</v>
      </c>
      <c r="BG189">
        <v>0</v>
      </c>
      <c r="BI189">
        <v>8.8000000000000007</v>
      </c>
      <c r="BJ189">
        <v>42.4</v>
      </c>
      <c r="BK189">
        <v>0</v>
      </c>
      <c r="BL189">
        <v>22</v>
      </c>
      <c r="BM189">
        <v>22</v>
      </c>
      <c r="BN189">
        <v>122</v>
      </c>
      <c r="BO189">
        <v>44</v>
      </c>
      <c r="BP189">
        <f t="shared" si="28"/>
        <v>78</v>
      </c>
      <c r="BQ189">
        <v>44</v>
      </c>
      <c r="BR189">
        <f t="shared" si="29"/>
        <v>78</v>
      </c>
      <c r="BS189">
        <v>7.3194444433333299</v>
      </c>
      <c r="BT189">
        <v>1.29714051033333</v>
      </c>
      <c r="BU189">
        <v>1.9218113999999999</v>
      </c>
      <c r="BV189">
        <v>3.11111111</v>
      </c>
      <c r="BW189">
        <v>1.29714051033333</v>
      </c>
      <c r="BX189">
        <v>1.9218113999999999</v>
      </c>
      <c r="BY189">
        <v>61.958477981504601</v>
      </c>
      <c r="BZ189">
        <v>1.44664591899371</v>
      </c>
      <c r="CA189">
        <v>2.8015822476687902</v>
      </c>
      <c r="CB189">
        <v>127.801359911921</v>
      </c>
      <c r="CC189">
        <v>1.44664591899371</v>
      </c>
      <c r="CD189">
        <v>2.8015822476687902</v>
      </c>
      <c r="CE189" t="s">
        <v>114</v>
      </c>
      <c r="CF189" t="s">
        <v>114</v>
      </c>
      <c r="CG189" t="s">
        <v>114</v>
      </c>
      <c r="CH189">
        <v>7.3194444433333299</v>
      </c>
      <c r="CI189">
        <v>1.29714051033333</v>
      </c>
      <c r="CJ189">
        <v>1.9218113999999999</v>
      </c>
      <c r="CK189" t="s">
        <v>114</v>
      </c>
      <c r="CL189">
        <v>3.11111111</v>
      </c>
      <c r="CM189">
        <v>1.29714051033333</v>
      </c>
      <c r="CN189">
        <v>1.9218113999999999</v>
      </c>
      <c r="CO189" t="s">
        <v>114</v>
      </c>
      <c r="CP189">
        <v>61.958477981504601</v>
      </c>
      <c r="CQ189">
        <v>1.44664591899371</v>
      </c>
      <c r="CR189">
        <v>2.8015822476687902</v>
      </c>
      <c r="CS189" t="s">
        <v>114</v>
      </c>
      <c r="CT189">
        <v>127.801359911921</v>
      </c>
      <c r="CU189">
        <v>1.44664591899371</v>
      </c>
      <c r="CV189">
        <v>2.8015822476687902</v>
      </c>
      <c r="CW189" t="s">
        <v>114</v>
      </c>
    </row>
    <row r="190" spans="1:101" x14ac:dyDescent="0.25">
      <c r="A190" t="s">
        <v>89</v>
      </c>
      <c r="B190">
        <v>6</v>
      </c>
      <c r="C190" t="s">
        <v>33</v>
      </c>
      <c r="D190" t="s">
        <v>95</v>
      </c>
      <c r="E190" t="s">
        <v>112</v>
      </c>
      <c r="F190" t="s">
        <v>145</v>
      </c>
      <c r="G190" t="s">
        <v>261</v>
      </c>
      <c r="H190" t="str">
        <f t="shared" si="24"/>
        <v>V.rosea.Highcomp.Shade</v>
      </c>
      <c r="I190" t="s">
        <v>741</v>
      </c>
      <c r="J190" t="s">
        <v>464</v>
      </c>
      <c r="K190">
        <v>4</v>
      </c>
      <c r="L190">
        <v>45</v>
      </c>
      <c r="M190">
        <v>120</v>
      </c>
      <c r="N190">
        <v>45</v>
      </c>
      <c r="O190">
        <f t="shared" si="25"/>
        <v>-75</v>
      </c>
      <c r="P190">
        <v>30</v>
      </c>
      <c r="Q190">
        <v>80</v>
      </c>
      <c r="R190">
        <v>25</v>
      </c>
      <c r="S190">
        <f t="shared" si="26"/>
        <v>52.5</v>
      </c>
      <c r="T190">
        <f t="shared" si="27"/>
        <v>1.1666666666666667</v>
      </c>
      <c r="V190" t="s">
        <v>113</v>
      </c>
      <c r="W190">
        <v>110</v>
      </c>
      <c r="X190">
        <v>13</v>
      </c>
      <c r="Y190">
        <v>13.9</v>
      </c>
      <c r="Z190">
        <v>16.899999999999999</v>
      </c>
      <c r="AA190">
        <v>14.6</v>
      </c>
      <c r="AB190">
        <v>14.6</v>
      </c>
      <c r="AC190">
        <v>18.899999999999999</v>
      </c>
      <c r="AD190">
        <v>18.399999999999999</v>
      </c>
      <c r="AE190">
        <v>17.399999999999999</v>
      </c>
      <c r="AF190">
        <v>18.233333330000001</v>
      </c>
      <c r="AG190">
        <v>13.9</v>
      </c>
      <c r="AH190">
        <v>16.399999999999999</v>
      </c>
      <c r="AI190">
        <v>14.4</v>
      </c>
      <c r="AJ190">
        <v>14.9</v>
      </c>
      <c r="AK190">
        <v>18.899999999999999</v>
      </c>
      <c r="AL190">
        <v>14.9</v>
      </c>
      <c r="AM190">
        <v>15.4</v>
      </c>
      <c r="AN190">
        <v>16.399999999999999</v>
      </c>
      <c r="AO190">
        <v>14.9</v>
      </c>
      <c r="AP190">
        <v>6.6</v>
      </c>
      <c r="AQ190">
        <v>6.6</v>
      </c>
      <c r="AR190" t="s">
        <v>114</v>
      </c>
      <c r="AS190">
        <v>6.6</v>
      </c>
      <c r="AT190">
        <v>6.1</v>
      </c>
      <c r="AU190">
        <v>6.6</v>
      </c>
      <c r="AV190">
        <v>6.1</v>
      </c>
      <c r="AW190">
        <v>6.266666667</v>
      </c>
      <c r="AX190">
        <v>6.6</v>
      </c>
      <c r="AY190">
        <v>-8</v>
      </c>
      <c r="AZ190">
        <v>15</v>
      </c>
      <c r="BA190">
        <v>15</v>
      </c>
      <c r="BB190">
        <v>5</v>
      </c>
      <c r="BC190">
        <v>50</v>
      </c>
      <c r="BD190">
        <v>1</v>
      </c>
      <c r="BE190">
        <v>1</v>
      </c>
      <c r="BF190">
        <v>0</v>
      </c>
      <c r="BG190">
        <v>0</v>
      </c>
      <c r="BI190">
        <v>8.8000000000000007</v>
      </c>
      <c r="BJ190">
        <v>42.4</v>
      </c>
      <c r="BK190">
        <v>1</v>
      </c>
      <c r="BL190">
        <v>3</v>
      </c>
      <c r="BM190">
        <v>3</v>
      </c>
      <c r="BN190">
        <v>9</v>
      </c>
      <c r="BO190">
        <v>50</v>
      </c>
      <c r="BP190">
        <f t="shared" si="28"/>
        <v>-41</v>
      </c>
      <c r="BQ190">
        <v>78</v>
      </c>
      <c r="BR190">
        <f t="shared" si="29"/>
        <v>-69</v>
      </c>
      <c r="BS190">
        <v>18.663825760000002</v>
      </c>
      <c r="BT190">
        <v>1.5594277780000001</v>
      </c>
      <c r="BU190">
        <v>15.285372730000001</v>
      </c>
      <c r="BV190">
        <v>-18.663825760000002</v>
      </c>
      <c r="BW190">
        <v>1.5594277780000001</v>
      </c>
      <c r="BX190">
        <v>15.285372730000001</v>
      </c>
      <c r="BY190" t="s">
        <v>114</v>
      </c>
      <c r="BZ190" t="s">
        <v>114</v>
      </c>
      <c r="CA190" t="s">
        <v>114</v>
      </c>
      <c r="CB190" t="s">
        <v>114</v>
      </c>
      <c r="CC190" t="s">
        <v>114</v>
      </c>
      <c r="CD190" t="s">
        <v>114</v>
      </c>
      <c r="CE190">
        <v>1.9981640000000001</v>
      </c>
      <c r="CF190" t="s">
        <v>114</v>
      </c>
      <c r="CG190">
        <v>1.9981640000000001</v>
      </c>
      <c r="CH190">
        <v>18.663825760000002</v>
      </c>
      <c r="CI190">
        <v>1.5594277780000001</v>
      </c>
      <c r="CJ190">
        <v>15.285372730000001</v>
      </c>
      <c r="CK190">
        <v>1.9981640000000001</v>
      </c>
      <c r="CL190">
        <v>-18.663825760000002</v>
      </c>
      <c r="CM190">
        <v>1.5594277780000001</v>
      </c>
      <c r="CN190">
        <v>15.285372730000001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1.9981640000000001</v>
      </c>
    </row>
    <row r="191" spans="1:101" x14ac:dyDescent="0.25">
      <c r="A191" t="s">
        <v>90</v>
      </c>
      <c r="B191">
        <v>6</v>
      </c>
      <c r="C191" t="s">
        <v>35</v>
      </c>
      <c r="D191" t="s">
        <v>94</v>
      </c>
      <c r="E191" t="s">
        <v>111</v>
      </c>
      <c r="F191" t="s">
        <v>145</v>
      </c>
      <c r="G191" t="s">
        <v>263</v>
      </c>
      <c r="H191" t="str">
        <f t="shared" si="24"/>
        <v>P.canescens.Highcomp.Open</v>
      </c>
      <c r="I191" t="s">
        <v>739</v>
      </c>
      <c r="J191" t="s">
        <v>465</v>
      </c>
      <c r="K191">
        <v>4</v>
      </c>
      <c r="L191">
        <v>310</v>
      </c>
      <c r="M191">
        <v>490</v>
      </c>
      <c r="N191">
        <v>310</v>
      </c>
      <c r="O191">
        <f t="shared" si="25"/>
        <v>-180</v>
      </c>
      <c r="P191">
        <v>75</v>
      </c>
      <c r="Q191">
        <v>100</v>
      </c>
      <c r="R191">
        <v>70</v>
      </c>
      <c r="S191">
        <f t="shared" si="26"/>
        <v>85</v>
      </c>
      <c r="T191">
        <f t="shared" si="27"/>
        <v>0.27419354838709675</v>
      </c>
      <c r="V191" t="s">
        <v>121</v>
      </c>
      <c r="W191" t="s">
        <v>114</v>
      </c>
      <c r="X191">
        <v>10</v>
      </c>
      <c r="Y191">
        <v>10</v>
      </c>
      <c r="Z191">
        <v>10.5</v>
      </c>
      <c r="AA191">
        <v>10.16666667</v>
      </c>
      <c r="AB191">
        <v>10.16666667</v>
      </c>
      <c r="AC191">
        <v>10</v>
      </c>
      <c r="AD191">
        <v>10.5</v>
      </c>
      <c r="AE191">
        <v>12</v>
      </c>
      <c r="AF191">
        <v>10.83333333</v>
      </c>
      <c r="AG191">
        <v>9</v>
      </c>
      <c r="AH191">
        <v>10</v>
      </c>
      <c r="AI191">
        <v>11</v>
      </c>
      <c r="AJ191">
        <v>10</v>
      </c>
      <c r="AK191">
        <v>9.5</v>
      </c>
      <c r="AL191">
        <v>9.5</v>
      </c>
      <c r="AM191">
        <v>9.5</v>
      </c>
      <c r="AN191">
        <v>9.5</v>
      </c>
      <c r="AO191">
        <v>10</v>
      </c>
      <c r="AP191">
        <v>4.0999999999999996</v>
      </c>
      <c r="AQ191">
        <v>4.0999999999999996</v>
      </c>
      <c r="AR191">
        <v>4.5999999999999996</v>
      </c>
      <c r="AS191">
        <v>4.266666667</v>
      </c>
      <c r="AT191">
        <v>5.0999999999999996</v>
      </c>
      <c r="AU191">
        <v>3.6</v>
      </c>
      <c r="AV191">
        <v>5.6</v>
      </c>
      <c r="AW191">
        <v>4.766666667</v>
      </c>
      <c r="AX191">
        <v>4.266666667</v>
      </c>
      <c r="AY191">
        <v>-5.9</v>
      </c>
      <c r="AZ191">
        <v>20</v>
      </c>
      <c r="BA191">
        <v>25</v>
      </c>
      <c r="BB191">
        <v>3</v>
      </c>
      <c r="BC191">
        <v>10</v>
      </c>
      <c r="BD191">
        <v>0</v>
      </c>
      <c r="BE191">
        <v>1</v>
      </c>
      <c r="BF191">
        <v>0</v>
      </c>
      <c r="BG191">
        <v>0</v>
      </c>
      <c r="BI191">
        <v>15.3</v>
      </c>
      <c r="BJ191">
        <v>4.1269999999999998</v>
      </c>
      <c r="BK191">
        <v>0</v>
      </c>
      <c r="BL191" t="s">
        <v>114</v>
      </c>
      <c r="BM191" t="s">
        <v>114</v>
      </c>
      <c r="BN191" t="s">
        <v>114</v>
      </c>
      <c r="BO191">
        <v>4600</v>
      </c>
      <c r="BP191" t="s">
        <v>114</v>
      </c>
      <c r="BQ191">
        <v>4442</v>
      </c>
      <c r="BR191" t="s">
        <v>114</v>
      </c>
      <c r="BS191">
        <v>44.774886879999997</v>
      </c>
      <c r="BT191">
        <v>1.686176111</v>
      </c>
      <c r="BU191">
        <v>8.3051498699999993</v>
      </c>
      <c r="BV191">
        <v>-32.341919849999996</v>
      </c>
      <c r="BW191">
        <v>-1.686176111</v>
      </c>
      <c r="BX191">
        <v>-8.3051498699999993</v>
      </c>
      <c r="BY191">
        <v>2091.9995591676502</v>
      </c>
      <c r="BZ191">
        <v>4.9067340897632699</v>
      </c>
      <c r="CA191">
        <v>18.476658985201901</v>
      </c>
      <c r="CB191">
        <v>4009.58099023359</v>
      </c>
      <c r="CC191">
        <v>4.9067340897632699</v>
      </c>
      <c r="CD191">
        <v>18.476658985201901</v>
      </c>
      <c r="CE191" t="s">
        <v>114</v>
      </c>
      <c r="CF191" t="s">
        <v>114</v>
      </c>
      <c r="CG191" t="s">
        <v>114</v>
      </c>
      <c r="CH191">
        <v>60.945846805000002</v>
      </c>
      <c r="CI191">
        <v>0.90301472199999999</v>
      </c>
      <c r="CJ191">
        <v>6.7854188500000001</v>
      </c>
      <c r="CK191" t="s">
        <v>114</v>
      </c>
      <c r="CL191">
        <v>-54.729363290000002</v>
      </c>
      <c r="CM191">
        <v>-0.90301472199999999</v>
      </c>
      <c r="CN191">
        <v>-6.7854188500000001</v>
      </c>
      <c r="CO191" t="s">
        <v>114</v>
      </c>
      <c r="CP191">
        <v>1045.9997795838201</v>
      </c>
      <c r="CQ191">
        <v>2.4533670448816398</v>
      </c>
      <c r="CR191">
        <v>9.2383294926009594</v>
      </c>
      <c r="CS191" t="s">
        <v>114</v>
      </c>
      <c r="CT191">
        <v>2004.7904951168</v>
      </c>
      <c r="CU191">
        <v>2.4533670448816398</v>
      </c>
      <c r="CV191">
        <v>9.2383294926009594</v>
      </c>
      <c r="CW191" t="s">
        <v>114</v>
      </c>
    </row>
    <row r="192" spans="1:101" x14ac:dyDescent="0.25">
      <c r="A192" t="s">
        <v>90</v>
      </c>
      <c r="B192">
        <v>6</v>
      </c>
      <c r="C192" t="s">
        <v>35</v>
      </c>
      <c r="D192" t="s">
        <v>94</v>
      </c>
      <c r="E192" t="s">
        <v>104</v>
      </c>
      <c r="F192" t="s">
        <v>145</v>
      </c>
      <c r="G192" t="s">
        <v>264</v>
      </c>
      <c r="H192" t="str">
        <f t="shared" si="24"/>
        <v>T.cyanopetala.Highcomp.Open</v>
      </c>
      <c r="I192" t="s">
        <v>738</v>
      </c>
      <c r="J192" t="s">
        <v>466</v>
      </c>
      <c r="K192">
        <v>3</v>
      </c>
      <c r="L192">
        <v>120</v>
      </c>
      <c r="M192">
        <v>95</v>
      </c>
      <c r="N192">
        <v>120</v>
      </c>
      <c r="O192">
        <f t="shared" si="25"/>
        <v>25</v>
      </c>
      <c r="P192">
        <v>25</v>
      </c>
      <c r="Q192">
        <v>30</v>
      </c>
      <c r="R192">
        <v>16</v>
      </c>
      <c r="S192">
        <f t="shared" si="26"/>
        <v>23</v>
      </c>
      <c r="T192">
        <f t="shared" si="27"/>
        <v>0.19166666666666668</v>
      </c>
      <c r="V192" t="s">
        <v>111</v>
      </c>
      <c r="W192">
        <v>110</v>
      </c>
      <c r="X192">
        <v>10</v>
      </c>
      <c r="Y192">
        <v>10</v>
      </c>
      <c r="Z192">
        <v>10.5</v>
      </c>
      <c r="AA192">
        <v>10.16666667</v>
      </c>
      <c r="AB192">
        <v>10.16666667</v>
      </c>
      <c r="AC192">
        <v>10</v>
      </c>
      <c r="AD192">
        <v>11</v>
      </c>
      <c r="AE192">
        <v>12</v>
      </c>
      <c r="AF192">
        <v>11</v>
      </c>
      <c r="AG192">
        <v>9</v>
      </c>
      <c r="AH192">
        <v>10</v>
      </c>
      <c r="AI192">
        <v>11</v>
      </c>
      <c r="AJ192">
        <v>10</v>
      </c>
      <c r="AK192">
        <v>11</v>
      </c>
      <c r="AL192">
        <v>11.5</v>
      </c>
      <c r="AM192">
        <v>11.5</v>
      </c>
      <c r="AN192">
        <v>11.33333333</v>
      </c>
      <c r="AO192">
        <v>10</v>
      </c>
      <c r="AP192">
        <v>4.0999999999999996</v>
      </c>
      <c r="AQ192">
        <v>4.0999999999999996</v>
      </c>
      <c r="AR192">
        <v>4.5999999999999996</v>
      </c>
      <c r="AS192">
        <v>4.266666667</v>
      </c>
      <c r="AT192">
        <v>5.6</v>
      </c>
      <c r="AU192">
        <v>5.6</v>
      </c>
      <c r="AV192">
        <v>5.0999999999999996</v>
      </c>
      <c r="AW192">
        <v>5.4333333330000002</v>
      </c>
      <c r="AX192">
        <v>4.266666667</v>
      </c>
      <c r="AY192">
        <v>-5.9</v>
      </c>
      <c r="AZ192">
        <v>20</v>
      </c>
      <c r="BA192">
        <v>25</v>
      </c>
      <c r="BB192">
        <v>3</v>
      </c>
      <c r="BC192">
        <v>10</v>
      </c>
      <c r="BD192">
        <v>0</v>
      </c>
      <c r="BE192">
        <v>1</v>
      </c>
      <c r="BF192">
        <v>0</v>
      </c>
      <c r="BG192">
        <v>0</v>
      </c>
      <c r="BI192">
        <v>15.3</v>
      </c>
      <c r="BJ192">
        <v>4.1269999999999998</v>
      </c>
      <c r="BK192">
        <v>1</v>
      </c>
      <c r="BL192">
        <v>3</v>
      </c>
      <c r="BM192">
        <v>3</v>
      </c>
      <c r="BN192">
        <v>14</v>
      </c>
      <c r="BO192">
        <v>48</v>
      </c>
      <c r="BP192">
        <f t="shared" ref="BP192:BP231" si="30">BN192-BO192</f>
        <v>-34</v>
      </c>
      <c r="BQ192">
        <v>78</v>
      </c>
      <c r="BR192">
        <f>BN192-BQ192</f>
        <v>-64</v>
      </c>
      <c r="BS192">
        <v>38.558403364999997</v>
      </c>
      <c r="BT192">
        <v>2.2434222225</v>
      </c>
      <c r="BU192">
        <v>6.4267455050000004</v>
      </c>
      <c r="BV192">
        <v>-19.592331935000001</v>
      </c>
      <c r="BW192">
        <v>2.2434222225</v>
      </c>
      <c r="BX192">
        <v>6.4267455050000004</v>
      </c>
      <c r="BY192">
        <v>767.71894130244198</v>
      </c>
      <c r="BZ192">
        <v>7.18241071560445E-3</v>
      </c>
      <c r="CA192">
        <v>13.8637341615051</v>
      </c>
      <c r="CB192">
        <v>2973.5009401160901</v>
      </c>
      <c r="CC192">
        <v>7.18241071560445E-3</v>
      </c>
      <c r="CD192">
        <v>13.8637341615051</v>
      </c>
      <c r="CE192" t="s">
        <v>114</v>
      </c>
      <c r="CF192" t="s">
        <v>114</v>
      </c>
      <c r="CG192" t="s">
        <v>114</v>
      </c>
      <c r="CH192">
        <v>45.0891806766667</v>
      </c>
      <c r="CI192">
        <v>2.2234466670000002</v>
      </c>
      <c r="CJ192">
        <v>5.5491308666666699</v>
      </c>
      <c r="CK192" t="s">
        <v>114</v>
      </c>
      <c r="CL192">
        <v>-32.445133056666698</v>
      </c>
      <c r="CM192">
        <v>2.2234466670000002</v>
      </c>
      <c r="CN192">
        <v>5.5491308666666699</v>
      </c>
      <c r="CO192" t="s">
        <v>114</v>
      </c>
      <c r="CP192">
        <v>511.812627534961</v>
      </c>
      <c r="CQ192">
        <v>4.78827381040296E-3</v>
      </c>
      <c r="CR192">
        <v>9.2424894410033698</v>
      </c>
      <c r="CS192" t="s">
        <v>114</v>
      </c>
      <c r="CT192">
        <v>1982.33396007739</v>
      </c>
      <c r="CU192">
        <v>4.78827381040296E-3</v>
      </c>
      <c r="CV192">
        <v>9.2424894410033698</v>
      </c>
      <c r="CW192" t="s">
        <v>114</v>
      </c>
    </row>
    <row r="193" spans="1:101" x14ac:dyDescent="0.25">
      <c r="A193" t="s">
        <v>91</v>
      </c>
      <c r="B193">
        <v>6</v>
      </c>
      <c r="C193" t="s">
        <v>37</v>
      </c>
      <c r="D193" t="s">
        <v>94</v>
      </c>
      <c r="E193" t="s">
        <v>112</v>
      </c>
      <c r="F193" t="s">
        <v>145</v>
      </c>
      <c r="G193" t="s">
        <v>261</v>
      </c>
      <c r="H193" t="str">
        <f t="shared" si="24"/>
        <v>V.rosea.Highcomp.Open</v>
      </c>
      <c r="I193" t="s">
        <v>743</v>
      </c>
      <c r="J193" t="s">
        <v>467</v>
      </c>
      <c r="K193">
        <v>1</v>
      </c>
      <c r="L193">
        <v>60</v>
      </c>
      <c r="M193">
        <v>50</v>
      </c>
      <c r="N193">
        <v>60</v>
      </c>
      <c r="O193">
        <f t="shared" si="25"/>
        <v>10</v>
      </c>
      <c r="P193">
        <v>55</v>
      </c>
      <c r="Q193">
        <v>220</v>
      </c>
      <c r="R193">
        <v>190</v>
      </c>
      <c r="S193">
        <f t="shared" si="26"/>
        <v>205</v>
      </c>
      <c r="T193">
        <f t="shared" si="27"/>
        <v>3.4166666666666665</v>
      </c>
      <c r="V193" t="s">
        <v>112</v>
      </c>
      <c r="W193">
        <v>100</v>
      </c>
      <c r="X193">
        <v>9</v>
      </c>
      <c r="Y193">
        <v>8.1</v>
      </c>
      <c r="Z193">
        <v>13</v>
      </c>
      <c r="AA193">
        <v>10.03333333</v>
      </c>
      <c r="AB193">
        <v>10.03333333</v>
      </c>
      <c r="AC193">
        <v>10</v>
      </c>
      <c r="AD193">
        <v>11</v>
      </c>
      <c r="AE193">
        <v>11</v>
      </c>
      <c r="AF193">
        <v>10.66666667</v>
      </c>
      <c r="AG193">
        <v>7.1</v>
      </c>
      <c r="AH193">
        <v>8.5</v>
      </c>
      <c r="AI193">
        <v>12</v>
      </c>
      <c r="AJ193">
        <v>9.1999999999999993</v>
      </c>
      <c r="AK193">
        <v>9</v>
      </c>
      <c r="AL193">
        <v>9</v>
      </c>
      <c r="AM193">
        <v>10.5</v>
      </c>
      <c r="AN193">
        <v>9.5</v>
      </c>
      <c r="AO193">
        <v>9.1999999999999993</v>
      </c>
      <c r="AP193">
        <v>4.0999999999999996</v>
      </c>
      <c r="AQ193">
        <v>4.0999999999999996</v>
      </c>
      <c r="AR193">
        <v>3.6</v>
      </c>
      <c r="AS193">
        <v>3.9333333330000002</v>
      </c>
      <c r="AT193">
        <v>5.0999999999999996</v>
      </c>
      <c r="AU193">
        <v>4.0999999999999996</v>
      </c>
      <c r="AV193">
        <v>4.5999999999999996</v>
      </c>
      <c r="AW193">
        <v>4.5999999999999996</v>
      </c>
      <c r="AX193">
        <v>3.9333333330000002</v>
      </c>
      <c r="AY193">
        <v>-6.1</v>
      </c>
      <c r="AZ193">
        <v>75</v>
      </c>
      <c r="BA193">
        <v>0</v>
      </c>
      <c r="BB193">
        <v>3</v>
      </c>
      <c r="BC193">
        <v>1</v>
      </c>
      <c r="BD193">
        <v>0</v>
      </c>
      <c r="BE193">
        <v>0</v>
      </c>
      <c r="BF193">
        <v>0</v>
      </c>
      <c r="BG193">
        <v>0</v>
      </c>
      <c r="BI193">
        <v>15.9</v>
      </c>
      <c r="BJ193">
        <v>0.74299999999999999</v>
      </c>
      <c r="BK193">
        <v>0</v>
      </c>
      <c r="BL193">
        <v>100</v>
      </c>
      <c r="BM193">
        <v>86</v>
      </c>
      <c r="BN193">
        <v>394</v>
      </c>
      <c r="BO193">
        <v>152</v>
      </c>
      <c r="BP193">
        <f t="shared" si="30"/>
        <v>242</v>
      </c>
      <c r="BQ193">
        <v>251</v>
      </c>
      <c r="BR193">
        <f>BN193-BQ193</f>
        <v>143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 t="s">
        <v>114</v>
      </c>
      <c r="BZ193" t="s">
        <v>114</v>
      </c>
      <c r="CA193" t="s">
        <v>114</v>
      </c>
      <c r="CB193" t="s">
        <v>114</v>
      </c>
      <c r="CC193" t="s">
        <v>114</v>
      </c>
      <c r="CD193" t="s">
        <v>114</v>
      </c>
      <c r="CE193">
        <v>0</v>
      </c>
      <c r="CF193" t="s">
        <v>114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 t="s">
        <v>114</v>
      </c>
      <c r="CP193" t="s">
        <v>114</v>
      </c>
      <c r="CQ193" t="s">
        <v>114</v>
      </c>
      <c r="CR193" t="s">
        <v>114</v>
      </c>
      <c r="CS193" t="s">
        <v>114</v>
      </c>
      <c r="CT193" t="s">
        <v>114</v>
      </c>
      <c r="CU193" t="s">
        <v>114</v>
      </c>
      <c r="CV193" t="s">
        <v>114</v>
      </c>
      <c r="CW193">
        <v>0</v>
      </c>
    </row>
    <row r="194" spans="1:101" x14ac:dyDescent="0.25">
      <c r="A194" t="s">
        <v>92</v>
      </c>
      <c r="B194">
        <v>6</v>
      </c>
      <c r="C194" t="s">
        <v>64</v>
      </c>
      <c r="D194" t="s">
        <v>94</v>
      </c>
      <c r="E194" t="s">
        <v>112</v>
      </c>
      <c r="F194" t="s">
        <v>145</v>
      </c>
      <c r="G194" t="s">
        <v>261</v>
      </c>
      <c r="H194" t="str">
        <f t="shared" ref="H194:H257" si="31">G194&amp;"."&amp;D194</f>
        <v>V.rosea.Highcomp.Open</v>
      </c>
      <c r="I194" t="s">
        <v>743</v>
      </c>
      <c r="J194" t="s">
        <v>468</v>
      </c>
      <c r="K194">
        <v>3</v>
      </c>
      <c r="L194">
        <v>70</v>
      </c>
      <c r="M194">
        <v>60</v>
      </c>
      <c r="N194">
        <v>70</v>
      </c>
      <c r="O194">
        <f t="shared" si="25"/>
        <v>10</v>
      </c>
      <c r="P194">
        <v>70</v>
      </c>
      <c r="Q194">
        <v>200</v>
      </c>
      <c r="R194">
        <v>60</v>
      </c>
      <c r="S194">
        <f t="shared" si="26"/>
        <v>130</v>
      </c>
      <c r="T194">
        <f t="shared" si="27"/>
        <v>1.8571428571428572</v>
      </c>
      <c r="U194" t="s">
        <v>15</v>
      </c>
      <c r="V194" t="s">
        <v>102</v>
      </c>
      <c r="W194">
        <v>70</v>
      </c>
      <c r="X194">
        <v>10</v>
      </c>
      <c r="Y194">
        <v>11</v>
      </c>
      <c r="Z194">
        <v>13</v>
      </c>
      <c r="AA194">
        <v>11.33333333</v>
      </c>
      <c r="AB194">
        <v>11.33333333</v>
      </c>
      <c r="AC194">
        <v>9</v>
      </c>
      <c r="AD194">
        <v>10</v>
      </c>
      <c r="AE194">
        <v>11.5</v>
      </c>
      <c r="AF194">
        <v>10.16666667</v>
      </c>
      <c r="AG194">
        <v>11</v>
      </c>
      <c r="AH194">
        <v>10.5</v>
      </c>
      <c r="AI194">
        <v>9</v>
      </c>
      <c r="AJ194">
        <v>10.16666667</v>
      </c>
      <c r="AK194">
        <v>12</v>
      </c>
      <c r="AL194">
        <v>11</v>
      </c>
      <c r="AM194">
        <v>9</v>
      </c>
      <c r="AN194">
        <v>10.66666667</v>
      </c>
      <c r="AO194">
        <v>10.16666667</v>
      </c>
      <c r="AP194">
        <v>4.0999999999999996</v>
      </c>
      <c r="AQ194">
        <v>6.6</v>
      </c>
      <c r="AR194">
        <v>6.1</v>
      </c>
      <c r="AS194">
        <v>5.6</v>
      </c>
      <c r="AT194">
        <v>5.6</v>
      </c>
      <c r="AU194">
        <v>5.0999999999999996</v>
      </c>
      <c r="AV194">
        <v>6.6</v>
      </c>
      <c r="AW194">
        <v>5.766666667</v>
      </c>
      <c r="AX194">
        <v>5.6</v>
      </c>
      <c r="AY194">
        <v>-5.733333333</v>
      </c>
      <c r="AZ194">
        <v>50</v>
      </c>
      <c r="BA194">
        <v>1</v>
      </c>
      <c r="BB194">
        <v>25</v>
      </c>
      <c r="BC194">
        <v>1</v>
      </c>
      <c r="BD194">
        <v>0</v>
      </c>
      <c r="BE194">
        <v>0</v>
      </c>
      <c r="BF194">
        <v>0</v>
      </c>
      <c r="BG194">
        <v>0</v>
      </c>
      <c r="BI194">
        <v>7</v>
      </c>
      <c r="BJ194">
        <v>2.6829999999999998</v>
      </c>
      <c r="BK194">
        <v>0</v>
      </c>
      <c r="BL194">
        <v>45</v>
      </c>
      <c r="BM194">
        <v>45</v>
      </c>
      <c r="BN194">
        <v>186</v>
      </c>
      <c r="BO194">
        <v>152</v>
      </c>
      <c r="BP194">
        <f t="shared" si="30"/>
        <v>34</v>
      </c>
      <c r="BQ194">
        <v>73</v>
      </c>
      <c r="BR194">
        <f>BN194-BQ194</f>
        <v>113</v>
      </c>
      <c r="BS194">
        <v>34.276620370000003</v>
      </c>
      <c r="BT194">
        <v>1.4628597225</v>
      </c>
      <c r="BU194">
        <v>8.0964593649999994</v>
      </c>
      <c r="BV194">
        <v>-34.276620370000003</v>
      </c>
      <c r="BW194">
        <v>1.4628597225</v>
      </c>
      <c r="BX194">
        <v>8.0964593649999994</v>
      </c>
      <c r="BY194">
        <v>428.05212622194801</v>
      </c>
      <c r="BZ194">
        <v>0.170034229127912</v>
      </c>
      <c r="CA194">
        <v>0.79854260887252904</v>
      </c>
      <c r="CB194">
        <v>428.05212622194801</v>
      </c>
      <c r="CC194">
        <v>0.170034229127912</v>
      </c>
      <c r="CD194">
        <v>0.79854260887252904</v>
      </c>
      <c r="CE194">
        <v>1.490935785</v>
      </c>
      <c r="CF194">
        <v>0.38177769900328201</v>
      </c>
      <c r="CG194">
        <v>1.34529969</v>
      </c>
      <c r="CH194">
        <v>29.400077159999999</v>
      </c>
      <c r="CI194">
        <v>1.3656674076666699</v>
      </c>
      <c r="CJ194">
        <v>8.3070857599999997</v>
      </c>
      <c r="CK194">
        <v>1.34529969</v>
      </c>
      <c r="CL194">
        <v>-29.400077159999999</v>
      </c>
      <c r="CM194">
        <v>1.3656674076666699</v>
      </c>
      <c r="CN194">
        <v>8.3070857599999997</v>
      </c>
      <c r="CO194">
        <v>0.25451846600218803</v>
      </c>
      <c r="CP194">
        <v>285.36808414796502</v>
      </c>
      <c r="CQ194">
        <v>0.113356152751941</v>
      </c>
      <c r="CR194">
        <v>0.53236173924835295</v>
      </c>
      <c r="CS194">
        <v>0.25451846600218803</v>
      </c>
      <c r="CT194">
        <v>285.36808414796502</v>
      </c>
      <c r="CU194">
        <v>0.113356152751941</v>
      </c>
      <c r="CV194">
        <v>0.53236173924835295</v>
      </c>
      <c r="CW194">
        <v>1.490935785</v>
      </c>
    </row>
    <row r="195" spans="1:101" x14ac:dyDescent="0.25">
      <c r="A195" t="s">
        <v>93</v>
      </c>
      <c r="B195">
        <v>6</v>
      </c>
      <c r="C195" t="s">
        <v>66</v>
      </c>
      <c r="D195" t="s">
        <v>95</v>
      </c>
      <c r="E195" t="s">
        <v>104</v>
      </c>
      <c r="F195" t="s">
        <v>145</v>
      </c>
      <c r="G195" t="s">
        <v>264</v>
      </c>
      <c r="H195" t="str">
        <f t="shared" si="31"/>
        <v>T.cyanopetala.Highcomp.Shade</v>
      </c>
      <c r="I195" t="s">
        <v>745</v>
      </c>
      <c r="J195" t="s">
        <v>469</v>
      </c>
      <c r="K195">
        <v>9</v>
      </c>
      <c r="L195">
        <v>45</v>
      </c>
      <c r="M195">
        <v>30</v>
      </c>
      <c r="N195">
        <v>45</v>
      </c>
      <c r="O195">
        <f t="shared" ref="O195" si="32">N195-M195</f>
        <v>15</v>
      </c>
      <c r="P195">
        <v>25</v>
      </c>
      <c r="Q195">
        <v>15</v>
      </c>
      <c r="R195">
        <v>10</v>
      </c>
      <c r="S195">
        <f t="shared" ref="S195:S258" si="33">AVERAGE(Q195:R195)</f>
        <v>12.5</v>
      </c>
      <c r="T195">
        <f t="shared" ref="T195:T258" si="34">S195/N195</f>
        <v>0.27777777777777779</v>
      </c>
      <c r="V195" t="s">
        <v>103</v>
      </c>
      <c r="W195">
        <v>80</v>
      </c>
      <c r="X195">
        <v>12</v>
      </c>
      <c r="Y195">
        <v>11</v>
      </c>
      <c r="Z195">
        <v>11.5</v>
      </c>
      <c r="AA195">
        <v>11.5</v>
      </c>
      <c r="AB195">
        <v>11.5</v>
      </c>
      <c r="AC195">
        <v>12</v>
      </c>
      <c r="AD195">
        <v>13</v>
      </c>
      <c r="AE195">
        <v>11.5</v>
      </c>
      <c r="AF195">
        <v>12.16666667</v>
      </c>
      <c r="AG195">
        <v>9.5</v>
      </c>
      <c r="AH195">
        <v>8.5</v>
      </c>
      <c r="AI195">
        <v>9.5</v>
      </c>
      <c r="AJ195">
        <v>9.1666666669999994</v>
      </c>
      <c r="AK195">
        <v>11</v>
      </c>
      <c r="AL195">
        <v>11</v>
      </c>
      <c r="AM195">
        <v>11</v>
      </c>
      <c r="AN195">
        <v>11</v>
      </c>
      <c r="AO195">
        <v>9.1666666669999994</v>
      </c>
      <c r="AP195">
        <v>4.5999999999999996</v>
      </c>
      <c r="AQ195">
        <v>5.0999999999999996</v>
      </c>
      <c r="AR195">
        <v>4.5999999999999996</v>
      </c>
      <c r="AS195">
        <v>4.766666667</v>
      </c>
      <c r="AT195">
        <v>3.6</v>
      </c>
      <c r="AU195">
        <v>6.1</v>
      </c>
      <c r="AV195">
        <v>4.5999999999999996</v>
      </c>
      <c r="AW195">
        <v>4.766666667</v>
      </c>
      <c r="AX195">
        <v>4.766666667</v>
      </c>
      <c r="AY195">
        <v>-6.733333333</v>
      </c>
      <c r="AZ195">
        <v>15</v>
      </c>
      <c r="BA195">
        <v>30</v>
      </c>
      <c r="BB195">
        <v>5</v>
      </c>
      <c r="BC195">
        <v>10</v>
      </c>
      <c r="BD195">
        <v>0</v>
      </c>
      <c r="BE195">
        <v>1</v>
      </c>
      <c r="BF195">
        <v>0</v>
      </c>
      <c r="BG195">
        <v>0</v>
      </c>
      <c r="BI195">
        <v>10.7</v>
      </c>
      <c r="BJ195">
        <v>49.594000000000001</v>
      </c>
      <c r="BK195">
        <v>0</v>
      </c>
      <c r="BL195">
        <v>1</v>
      </c>
      <c r="BM195">
        <v>1</v>
      </c>
      <c r="BN195">
        <v>6</v>
      </c>
      <c r="BO195">
        <v>44</v>
      </c>
      <c r="BP195">
        <f t="shared" si="30"/>
        <v>-38</v>
      </c>
      <c r="BQ195">
        <v>18</v>
      </c>
      <c r="BR195">
        <f>BN195-BQ195</f>
        <v>-12</v>
      </c>
      <c r="BS195">
        <v>13.472380952</v>
      </c>
      <c r="BT195">
        <v>1.7180545338</v>
      </c>
      <c r="BU195">
        <v>3.7444439140000001</v>
      </c>
      <c r="BV195">
        <v>10.947380952</v>
      </c>
      <c r="BW195">
        <v>1.7180545338</v>
      </c>
      <c r="BX195">
        <v>3.7444439140000001</v>
      </c>
      <c r="BY195">
        <v>108.941946499735</v>
      </c>
      <c r="BZ195">
        <v>1.0565756431247</v>
      </c>
      <c r="CA195">
        <v>10.960809318265399</v>
      </c>
      <c r="CB195">
        <v>186.016820009235</v>
      </c>
      <c r="CC195">
        <v>1.0565756431247</v>
      </c>
      <c r="CD195">
        <v>10.960809318265399</v>
      </c>
      <c r="CE195" t="s">
        <v>114</v>
      </c>
      <c r="CF195" t="s">
        <v>114</v>
      </c>
      <c r="CG195" t="s">
        <v>114</v>
      </c>
      <c r="CH195">
        <v>15.6374338611111</v>
      </c>
      <c r="CI195">
        <v>2.0124738295555602</v>
      </c>
      <c r="CJ195">
        <v>3.5333939777777799</v>
      </c>
      <c r="CK195" t="s">
        <v>114</v>
      </c>
      <c r="CL195">
        <v>14.2346560833333</v>
      </c>
      <c r="CM195">
        <v>2.0124738295555602</v>
      </c>
      <c r="CN195">
        <v>3.5333939777777799</v>
      </c>
      <c r="CO195" t="s">
        <v>114</v>
      </c>
      <c r="CP195">
        <v>71.980837094099797</v>
      </c>
      <c r="CQ195">
        <v>0.65022292047336605</v>
      </c>
      <c r="CR195">
        <v>5.6086919238617599</v>
      </c>
      <c r="CS195" t="s">
        <v>114</v>
      </c>
      <c r="CT195">
        <v>119.122729037676</v>
      </c>
      <c r="CU195">
        <v>0.65022292047336605</v>
      </c>
      <c r="CV195">
        <v>5.6086919238617599</v>
      </c>
      <c r="CW195" t="s">
        <v>114</v>
      </c>
    </row>
    <row r="196" spans="1:101" x14ac:dyDescent="0.25">
      <c r="A196" t="s">
        <v>67</v>
      </c>
      <c r="B196">
        <v>10</v>
      </c>
      <c r="C196" t="s">
        <v>11</v>
      </c>
      <c r="D196" t="s">
        <v>94</v>
      </c>
      <c r="E196" t="s">
        <v>113</v>
      </c>
      <c r="F196" t="s">
        <v>120</v>
      </c>
      <c r="G196" t="s">
        <v>267</v>
      </c>
      <c r="H196" t="str">
        <f t="shared" si="31"/>
        <v>H.glutinosum.Solo.Open</v>
      </c>
      <c r="I196" t="s">
        <v>666</v>
      </c>
      <c r="J196" t="s">
        <v>470</v>
      </c>
      <c r="K196">
        <v>0</v>
      </c>
      <c r="L196">
        <v>40</v>
      </c>
      <c r="M196">
        <v>35</v>
      </c>
      <c r="N196">
        <v>35</v>
      </c>
      <c r="O196" t="s">
        <v>114</v>
      </c>
      <c r="P196">
        <v>4</v>
      </c>
      <c r="Q196">
        <v>5</v>
      </c>
      <c r="R196">
        <v>0</v>
      </c>
      <c r="S196">
        <f t="shared" si="33"/>
        <v>2.5</v>
      </c>
      <c r="T196">
        <f t="shared" si="34"/>
        <v>7.1428571428571425E-2</v>
      </c>
      <c r="U196" t="s">
        <v>15</v>
      </c>
      <c r="V196" t="s">
        <v>114</v>
      </c>
      <c r="W196" t="s">
        <v>114</v>
      </c>
      <c r="X196">
        <v>20.8</v>
      </c>
      <c r="Y196">
        <v>19.8</v>
      </c>
      <c r="Z196">
        <v>21.8</v>
      </c>
      <c r="AA196">
        <v>20.8</v>
      </c>
      <c r="AB196">
        <v>19</v>
      </c>
      <c r="AC196">
        <v>19.3</v>
      </c>
      <c r="AD196">
        <v>19.3</v>
      </c>
      <c r="AE196">
        <v>18.399999999999999</v>
      </c>
      <c r="AF196">
        <v>19</v>
      </c>
      <c r="AG196">
        <v>23.3</v>
      </c>
      <c r="AH196">
        <v>21.3</v>
      </c>
      <c r="AI196">
        <v>22.8</v>
      </c>
      <c r="AJ196">
        <v>22.466666669999999</v>
      </c>
      <c r="AK196">
        <v>20.8</v>
      </c>
      <c r="AL196">
        <v>19.8</v>
      </c>
      <c r="AM196">
        <v>20.3</v>
      </c>
      <c r="AN196">
        <v>20.3</v>
      </c>
      <c r="AO196">
        <v>22.466666669999999</v>
      </c>
      <c r="AP196">
        <v>11</v>
      </c>
      <c r="AQ196">
        <v>10</v>
      </c>
      <c r="AR196" t="s">
        <v>114</v>
      </c>
      <c r="AS196">
        <v>10.5</v>
      </c>
      <c r="AT196">
        <v>9</v>
      </c>
      <c r="AU196">
        <v>11</v>
      </c>
      <c r="AV196" t="s">
        <v>114</v>
      </c>
      <c r="AW196">
        <v>10</v>
      </c>
      <c r="AX196">
        <v>10</v>
      </c>
      <c r="AY196">
        <v>-9</v>
      </c>
      <c r="AZ196">
        <v>90</v>
      </c>
      <c r="BA196">
        <v>0</v>
      </c>
      <c r="BB196">
        <v>10</v>
      </c>
      <c r="BC196">
        <v>0</v>
      </c>
      <c r="BD196">
        <v>0</v>
      </c>
      <c r="BE196">
        <v>0</v>
      </c>
      <c r="BF196">
        <v>0</v>
      </c>
      <c r="BG196">
        <v>0</v>
      </c>
      <c r="BI196">
        <v>7.7</v>
      </c>
      <c r="BJ196">
        <v>0.70399999999999996</v>
      </c>
      <c r="BK196">
        <v>0</v>
      </c>
      <c r="BL196">
        <v>1</v>
      </c>
      <c r="BM196">
        <v>1</v>
      </c>
      <c r="BN196">
        <v>0</v>
      </c>
      <c r="BO196">
        <v>0</v>
      </c>
      <c r="BP196">
        <f t="shared" si="30"/>
        <v>0</v>
      </c>
      <c r="BQ196" t="s">
        <v>114</v>
      </c>
      <c r="BR196" t="s">
        <v>114</v>
      </c>
      <c r="BS196" t="s">
        <v>114</v>
      </c>
      <c r="BT196" t="s">
        <v>114</v>
      </c>
      <c r="BU196" t="s">
        <v>114</v>
      </c>
      <c r="BV196" t="s">
        <v>114</v>
      </c>
      <c r="BW196" t="s">
        <v>114</v>
      </c>
      <c r="BX196" t="s">
        <v>114</v>
      </c>
      <c r="BY196" t="s">
        <v>114</v>
      </c>
      <c r="BZ196" t="s">
        <v>114</v>
      </c>
      <c r="CA196" t="s">
        <v>114</v>
      </c>
      <c r="CB196" t="s">
        <v>114</v>
      </c>
      <c r="CC196" t="s">
        <v>114</v>
      </c>
      <c r="CD196" t="s">
        <v>114</v>
      </c>
      <c r="CE196" t="s">
        <v>114</v>
      </c>
      <c r="CF196" t="s">
        <v>114</v>
      </c>
      <c r="CG196" t="s">
        <v>114</v>
      </c>
      <c r="CH196" t="s">
        <v>114</v>
      </c>
      <c r="CI196" t="s">
        <v>114</v>
      </c>
      <c r="CJ196" t="s">
        <v>114</v>
      </c>
      <c r="CK196" t="s">
        <v>114</v>
      </c>
      <c r="CL196" t="s">
        <v>114</v>
      </c>
      <c r="CM196" t="s">
        <v>114</v>
      </c>
      <c r="CN196" t="s">
        <v>114</v>
      </c>
      <c r="CO196" t="s">
        <v>114</v>
      </c>
      <c r="CP196" t="s">
        <v>114</v>
      </c>
      <c r="CQ196" t="s">
        <v>114</v>
      </c>
      <c r="CR196" t="s">
        <v>114</v>
      </c>
      <c r="CS196" t="s">
        <v>114</v>
      </c>
      <c r="CT196" t="s">
        <v>114</v>
      </c>
      <c r="CU196" t="s">
        <v>114</v>
      </c>
      <c r="CV196" t="s">
        <v>114</v>
      </c>
      <c r="CW196" t="s">
        <v>114</v>
      </c>
    </row>
    <row r="197" spans="1:101" x14ac:dyDescent="0.25">
      <c r="A197" t="s">
        <v>67</v>
      </c>
      <c r="B197">
        <v>10</v>
      </c>
      <c r="C197" t="s">
        <v>11</v>
      </c>
      <c r="D197" t="s">
        <v>94</v>
      </c>
      <c r="E197" t="s">
        <v>103</v>
      </c>
      <c r="F197" t="s">
        <v>120</v>
      </c>
      <c r="G197" t="s">
        <v>268</v>
      </c>
      <c r="H197" t="str">
        <f t="shared" si="31"/>
        <v>P.airoides.Solo.Open</v>
      </c>
      <c r="I197" t="s">
        <v>667</v>
      </c>
      <c r="J197" t="s">
        <v>471</v>
      </c>
      <c r="K197">
        <v>0</v>
      </c>
      <c r="L197">
        <v>70</v>
      </c>
      <c r="M197">
        <v>35</v>
      </c>
      <c r="N197">
        <v>35</v>
      </c>
      <c r="O197" t="s">
        <v>114</v>
      </c>
      <c r="P197">
        <v>25</v>
      </c>
      <c r="Q197">
        <v>40</v>
      </c>
      <c r="R197">
        <v>25</v>
      </c>
      <c r="S197">
        <f t="shared" si="33"/>
        <v>32.5</v>
      </c>
      <c r="T197">
        <f t="shared" si="34"/>
        <v>0.9285714285714286</v>
      </c>
      <c r="U197" t="s">
        <v>15</v>
      </c>
      <c r="V197" t="s">
        <v>114</v>
      </c>
      <c r="W197" t="s">
        <v>114</v>
      </c>
      <c r="X197">
        <v>20.8</v>
      </c>
      <c r="Y197">
        <v>19.8</v>
      </c>
      <c r="Z197">
        <v>21.8</v>
      </c>
      <c r="AA197">
        <v>20.8</v>
      </c>
      <c r="AB197">
        <v>17.899999999999999</v>
      </c>
      <c r="AC197">
        <v>17.899999999999999</v>
      </c>
      <c r="AD197">
        <v>17.399999999999999</v>
      </c>
      <c r="AE197">
        <v>18.399999999999999</v>
      </c>
      <c r="AF197">
        <v>17.899999999999999</v>
      </c>
      <c r="AG197">
        <v>23.3</v>
      </c>
      <c r="AH197">
        <v>21.3</v>
      </c>
      <c r="AI197">
        <v>22.8</v>
      </c>
      <c r="AJ197">
        <v>22.466666669999999</v>
      </c>
      <c r="AK197">
        <v>21.3</v>
      </c>
      <c r="AL197">
        <v>20.3</v>
      </c>
      <c r="AM197">
        <v>20.3</v>
      </c>
      <c r="AN197">
        <v>20.633333329999999</v>
      </c>
      <c r="AO197">
        <v>20.633333329999999</v>
      </c>
      <c r="AP197">
        <v>11</v>
      </c>
      <c r="AQ197">
        <v>10</v>
      </c>
      <c r="AR197" t="s">
        <v>114</v>
      </c>
      <c r="AS197">
        <v>10.5</v>
      </c>
      <c r="AT197">
        <v>8.5</v>
      </c>
      <c r="AU197">
        <v>9</v>
      </c>
      <c r="AV197" t="s">
        <v>114</v>
      </c>
      <c r="AW197">
        <v>8.75</v>
      </c>
      <c r="AX197">
        <v>8.75</v>
      </c>
      <c r="AY197">
        <v>-9.15</v>
      </c>
      <c r="AZ197">
        <v>90</v>
      </c>
      <c r="BA197">
        <v>0</v>
      </c>
      <c r="BB197">
        <v>10</v>
      </c>
      <c r="BC197">
        <v>0</v>
      </c>
      <c r="BD197">
        <v>0</v>
      </c>
      <c r="BE197">
        <v>0</v>
      </c>
      <c r="BF197">
        <v>0</v>
      </c>
      <c r="BG197">
        <v>0</v>
      </c>
      <c r="BI197">
        <v>7.7</v>
      </c>
      <c r="BJ197">
        <v>0.70399999999999996</v>
      </c>
      <c r="BK197">
        <v>0</v>
      </c>
      <c r="BL197">
        <v>5</v>
      </c>
      <c r="BM197">
        <v>5</v>
      </c>
      <c r="BN197">
        <v>204</v>
      </c>
      <c r="BO197">
        <v>368.5</v>
      </c>
      <c r="BP197">
        <f t="shared" si="30"/>
        <v>-164.5</v>
      </c>
      <c r="BQ197" t="s">
        <v>114</v>
      </c>
      <c r="BR197" t="s">
        <v>114</v>
      </c>
      <c r="BS197" t="s">
        <v>114</v>
      </c>
      <c r="BT197" t="s">
        <v>114</v>
      </c>
      <c r="BU197" t="s">
        <v>114</v>
      </c>
      <c r="BV197" t="s">
        <v>114</v>
      </c>
      <c r="BW197" t="s">
        <v>114</v>
      </c>
      <c r="BX197" t="s">
        <v>114</v>
      </c>
      <c r="BY197" t="s">
        <v>114</v>
      </c>
      <c r="BZ197" t="s">
        <v>114</v>
      </c>
      <c r="CA197" t="s">
        <v>114</v>
      </c>
      <c r="CB197" t="s">
        <v>114</v>
      </c>
      <c r="CC197" t="s">
        <v>114</v>
      </c>
      <c r="CD197" t="s">
        <v>114</v>
      </c>
      <c r="CE197" t="s">
        <v>114</v>
      </c>
      <c r="CF197" t="s">
        <v>114</v>
      </c>
      <c r="CG197" t="s">
        <v>114</v>
      </c>
      <c r="CH197" t="s">
        <v>114</v>
      </c>
      <c r="CI197" t="s">
        <v>114</v>
      </c>
      <c r="CJ197" t="s">
        <v>114</v>
      </c>
      <c r="CK197" t="s">
        <v>114</v>
      </c>
      <c r="CL197" t="s">
        <v>114</v>
      </c>
      <c r="CM197" t="s">
        <v>114</v>
      </c>
      <c r="CN197" t="s">
        <v>114</v>
      </c>
      <c r="CO197" t="s">
        <v>114</v>
      </c>
      <c r="CP197" t="s">
        <v>114</v>
      </c>
      <c r="CQ197" t="s">
        <v>114</v>
      </c>
      <c r="CR197" t="s">
        <v>114</v>
      </c>
      <c r="CS197" t="s">
        <v>114</v>
      </c>
      <c r="CT197" t="s">
        <v>114</v>
      </c>
      <c r="CU197" t="s">
        <v>114</v>
      </c>
      <c r="CV197" t="s">
        <v>114</v>
      </c>
      <c r="CW197" t="s">
        <v>114</v>
      </c>
    </row>
    <row r="198" spans="1:101" x14ac:dyDescent="0.25">
      <c r="A198" t="s">
        <v>67</v>
      </c>
      <c r="B198">
        <v>10</v>
      </c>
      <c r="C198" t="s">
        <v>11</v>
      </c>
      <c r="D198" t="s">
        <v>94</v>
      </c>
      <c r="E198" t="s">
        <v>112</v>
      </c>
      <c r="F198" t="s">
        <v>120</v>
      </c>
      <c r="G198" t="s">
        <v>269</v>
      </c>
      <c r="H198" t="str">
        <f t="shared" si="31"/>
        <v>V.rosea.Solo.Open</v>
      </c>
      <c r="I198" t="s">
        <v>668</v>
      </c>
      <c r="J198" t="s">
        <v>472</v>
      </c>
      <c r="K198">
        <v>0</v>
      </c>
      <c r="L198">
        <v>25</v>
      </c>
      <c r="M198">
        <v>70</v>
      </c>
      <c r="N198">
        <v>70</v>
      </c>
      <c r="O198" t="s">
        <v>114</v>
      </c>
      <c r="P198">
        <v>45</v>
      </c>
      <c r="Q198">
        <v>120</v>
      </c>
      <c r="R198">
        <v>20</v>
      </c>
      <c r="S198">
        <f t="shared" si="33"/>
        <v>70</v>
      </c>
      <c r="T198">
        <f t="shared" si="34"/>
        <v>1</v>
      </c>
      <c r="U198" t="s">
        <v>792</v>
      </c>
      <c r="V198" t="s">
        <v>114</v>
      </c>
      <c r="W198" t="s">
        <v>114</v>
      </c>
      <c r="X198">
        <v>20.8</v>
      </c>
      <c r="Y198">
        <v>19.8</v>
      </c>
      <c r="Z198">
        <v>21.8</v>
      </c>
      <c r="AA198">
        <v>20.8</v>
      </c>
      <c r="AB198">
        <v>18.7</v>
      </c>
      <c r="AC198">
        <v>18.399999999999999</v>
      </c>
      <c r="AD198">
        <v>18.399999999999999</v>
      </c>
      <c r="AE198">
        <v>19.3</v>
      </c>
      <c r="AF198">
        <v>18.7</v>
      </c>
      <c r="AG198">
        <v>23.3</v>
      </c>
      <c r="AH198">
        <v>21.3</v>
      </c>
      <c r="AI198">
        <v>22.8</v>
      </c>
      <c r="AJ198">
        <v>22.466666669999999</v>
      </c>
      <c r="AK198">
        <v>20.3</v>
      </c>
      <c r="AL198">
        <v>23.3</v>
      </c>
      <c r="AM198">
        <v>19.3</v>
      </c>
      <c r="AN198">
        <v>20.966666669999999</v>
      </c>
      <c r="AO198">
        <v>20.966666669999999</v>
      </c>
      <c r="AP198">
        <v>11</v>
      </c>
      <c r="AQ198">
        <v>10</v>
      </c>
      <c r="AR198" t="s">
        <v>114</v>
      </c>
      <c r="AS198">
        <v>10.5</v>
      </c>
      <c r="AT198">
        <v>7.6</v>
      </c>
      <c r="AU198">
        <v>8.1</v>
      </c>
      <c r="AV198" t="s">
        <v>114</v>
      </c>
      <c r="AW198">
        <v>7.85</v>
      </c>
      <c r="AX198">
        <v>7.85</v>
      </c>
      <c r="AY198">
        <v>-10.85</v>
      </c>
      <c r="AZ198">
        <v>90</v>
      </c>
      <c r="BA198">
        <v>0</v>
      </c>
      <c r="BB198">
        <v>10</v>
      </c>
      <c r="BC198">
        <v>0</v>
      </c>
      <c r="BD198">
        <v>0</v>
      </c>
      <c r="BE198">
        <v>0</v>
      </c>
      <c r="BF198">
        <v>0</v>
      </c>
      <c r="BG198">
        <v>0</v>
      </c>
      <c r="BI198">
        <v>7.7</v>
      </c>
      <c r="BJ198">
        <v>0.70399999999999996</v>
      </c>
      <c r="BK198">
        <v>0</v>
      </c>
      <c r="BL198">
        <v>14</v>
      </c>
      <c r="BM198">
        <v>14</v>
      </c>
      <c r="BN198">
        <v>44</v>
      </c>
      <c r="BO198">
        <v>62</v>
      </c>
      <c r="BP198">
        <f t="shared" si="30"/>
        <v>-18</v>
      </c>
      <c r="BQ198" t="s">
        <v>114</v>
      </c>
      <c r="BR198" t="s">
        <v>114</v>
      </c>
      <c r="BS198" t="s">
        <v>114</v>
      </c>
      <c r="BT198" t="s">
        <v>114</v>
      </c>
      <c r="BU198" t="s">
        <v>114</v>
      </c>
      <c r="BV198" t="s">
        <v>114</v>
      </c>
      <c r="BW198" t="s">
        <v>114</v>
      </c>
      <c r="BX198" t="s">
        <v>114</v>
      </c>
      <c r="BY198" t="s">
        <v>114</v>
      </c>
      <c r="BZ198" t="s">
        <v>114</v>
      </c>
      <c r="CA198" t="s">
        <v>114</v>
      </c>
      <c r="CB198" t="s">
        <v>114</v>
      </c>
      <c r="CC198" t="s">
        <v>114</v>
      </c>
      <c r="CD198" t="s">
        <v>114</v>
      </c>
      <c r="CE198" t="s">
        <v>114</v>
      </c>
      <c r="CF198" t="s">
        <v>114</v>
      </c>
      <c r="CG198" t="s">
        <v>114</v>
      </c>
      <c r="CH198" t="s">
        <v>114</v>
      </c>
      <c r="CI198" t="s">
        <v>114</v>
      </c>
      <c r="CJ198" t="s">
        <v>114</v>
      </c>
      <c r="CK198" t="s">
        <v>114</v>
      </c>
      <c r="CL198" t="s">
        <v>114</v>
      </c>
      <c r="CM198" t="s">
        <v>114</v>
      </c>
      <c r="CN198" t="s">
        <v>114</v>
      </c>
      <c r="CO198" t="s">
        <v>114</v>
      </c>
      <c r="CP198" t="s">
        <v>114</v>
      </c>
      <c r="CQ198" t="s">
        <v>114</v>
      </c>
      <c r="CR198" t="s">
        <v>114</v>
      </c>
      <c r="CS198" t="s">
        <v>114</v>
      </c>
      <c r="CT198" t="s">
        <v>114</v>
      </c>
      <c r="CU198" t="s">
        <v>114</v>
      </c>
      <c r="CV198" t="s">
        <v>114</v>
      </c>
      <c r="CW198" t="s">
        <v>114</v>
      </c>
    </row>
    <row r="199" spans="1:101" x14ac:dyDescent="0.25">
      <c r="A199" t="s">
        <v>68</v>
      </c>
      <c r="B199">
        <v>10</v>
      </c>
      <c r="C199" t="s">
        <v>15</v>
      </c>
      <c r="D199" t="s">
        <v>95</v>
      </c>
      <c r="E199" t="s">
        <v>113</v>
      </c>
      <c r="F199" t="s">
        <v>120</v>
      </c>
      <c r="G199" t="s">
        <v>267</v>
      </c>
      <c r="H199" t="str">
        <f t="shared" si="31"/>
        <v>H.glutinosum.Solo.Shade</v>
      </c>
      <c r="I199" t="s">
        <v>669</v>
      </c>
      <c r="J199" t="s">
        <v>473</v>
      </c>
      <c r="K199">
        <v>0</v>
      </c>
      <c r="L199">
        <v>120</v>
      </c>
      <c r="M199">
        <v>35</v>
      </c>
      <c r="N199">
        <v>35</v>
      </c>
      <c r="O199" t="s">
        <v>114</v>
      </c>
      <c r="P199">
        <v>4</v>
      </c>
      <c r="Q199">
        <v>8</v>
      </c>
      <c r="R199">
        <v>2</v>
      </c>
      <c r="S199">
        <f t="shared" si="33"/>
        <v>5</v>
      </c>
      <c r="T199">
        <f t="shared" si="34"/>
        <v>0.14285714285714285</v>
      </c>
      <c r="U199" t="s">
        <v>29</v>
      </c>
      <c r="V199" t="s">
        <v>114</v>
      </c>
      <c r="W199" t="s">
        <v>114</v>
      </c>
      <c r="X199">
        <v>13.5</v>
      </c>
      <c r="Y199">
        <v>12</v>
      </c>
      <c r="Z199">
        <v>16.899999999999999</v>
      </c>
      <c r="AA199">
        <v>14.133333329999999</v>
      </c>
      <c r="AB199">
        <v>18.233333330000001</v>
      </c>
      <c r="AC199">
        <v>17.399999999999999</v>
      </c>
      <c r="AD199">
        <v>18.399999999999999</v>
      </c>
      <c r="AE199">
        <v>18.899999999999999</v>
      </c>
      <c r="AF199">
        <v>18.233333330000001</v>
      </c>
      <c r="AG199">
        <v>20.3</v>
      </c>
      <c r="AH199">
        <v>14.4</v>
      </c>
      <c r="AI199">
        <v>20.3</v>
      </c>
      <c r="AJ199">
        <v>18.333333329999999</v>
      </c>
      <c r="AK199">
        <v>22.8</v>
      </c>
      <c r="AL199">
        <v>23.3</v>
      </c>
      <c r="AM199">
        <v>19.8</v>
      </c>
      <c r="AN199">
        <v>21.966666669999999</v>
      </c>
      <c r="AO199">
        <v>21.966666669999999</v>
      </c>
      <c r="AP199">
        <v>5.6</v>
      </c>
      <c r="AQ199">
        <v>6.6</v>
      </c>
      <c r="AR199">
        <v>7.1</v>
      </c>
      <c r="AS199">
        <v>6.4333333330000002</v>
      </c>
      <c r="AT199">
        <v>8.1</v>
      </c>
      <c r="AU199">
        <v>8.5</v>
      </c>
      <c r="AV199">
        <v>7.6</v>
      </c>
      <c r="AW199">
        <v>8.0666666669999998</v>
      </c>
      <c r="AX199">
        <v>8.0666666669999998</v>
      </c>
      <c r="AY199">
        <v>-10.16666667</v>
      </c>
      <c r="AZ199">
        <v>10</v>
      </c>
      <c r="BA199">
        <v>80</v>
      </c>
      <c r="BB199">
        <v>10</v>
      </c>
      <c r="BC199">
        <v>0</v>
      </c>
      <c r="BD199">
        <v>0</v>
      </c>
      <c r="BE199">
        <v>1</v>
      </c>
      <c r="BF199">
        <v>0</v>
      </c>
      <c r="BG199">
        <v>0</v>
      </c>
      <c r="BI199">
        <v>7.5</v>
      </c>
      <c r="BJ199">
        <v>44.895000000000003</v>
      </c>
      <c r="BK199">
        <v>0</v>
      </c>
      <c r="BL199">
        <v>1</v>
      </c>
      <c r="BM199">
        <v>1</v>
      </c>
      <c r="BN199">
        <v>0</v>
      </c>
      <c r="BO199">
        <v>1.6666669999999999</v>
      </c>
      <c r="BP199">
        <f t="shared" si="30"/>
        <v>-1.6666669999999999</v>
      </c>
      <c r="BQ199" t="s">
        <v>114</v>
      </c>
      <c r="BR199" t="s">
        <v>114</v>
      </c>
      <c r="BS199" t="s">
        <v>114</v>
      </c>
      <c r="BT199" t="s">
        <v>114</v>
      </c>
      <c r="BU199" t="s">
        <v>114</v>
      </c>
      <c r="BV199" t="s">
        <v>114</v>
      </c>
      <c r="BW199" t="s">
        <v>114</v>
      </c>
      <c r="BX199" t="s">
        <v>114</v>
      </c>
      <c r="BY199" t="s">
        <v>114</v>
      </c>
      <c r="BZ199" t="s">
        <v>114</v>
      </c>
      <c r="CA199" t="s">
        <v>114</v>
      </c>
      <c r="CB199" t="s">
        <v>114</v>
      </c>
      <c r="CC199" t="s">
        <v>114</v>
      </c>
      <c r="CD199" t="s">
        <v>114</v>
      </c>
      <c r="CE199" t="s">
        <v>114</v>
      </c>
      <c r="CF199" t="s">
        <v>114</v>
      </c>
      <c r="CG199" t="s">
        <v>114</v>
      </c>
      <c r="CH199" t="s">
        <v>114</v>
      </c>
      <c r="CI199" t="s">
        <v>114</v>
      </c>
      <c r="CJ199" t="s">
        <v>114</v>
      </c>
      <c r="CK199" t="s">
        <v>114</v>
      </c>
      <c r="CL199" t="s">
        <v>114</v>
      </c>
      <c r="CM199" t="s">
        <v>114</v>
      </c>
      <c r="CN199" t="s">
        <v>114</v>
      </c>
      <c r="CO199" t="s">
        <v>114</v>
      </c>
      <c r="CP199" t="s">
        <v>114</v>
      </c>
      <c r="CQ199" t="s">
        <v>114</v>
      </c>
      <c r="CR199" t="s">
        <v>114</v>
      </c>
      <c r="CS199" t="s">
        <v>114</v>
      </c>
      <c r="CT199" t="s">
        <v>114</v>
      </c>
      <c r="CU199" t="s">
        <v>114</v>
      </c>
      <c r="CV199" t="s">
        <v>114</v>
      </c>
      <c r="CW199" t="s">
        <v>114</v>
      </c>
    </row>
    <row r="200" spans="1:101" x14ac:dyDescent="0.25">
      <c r="A200" t="s">
        <v>68</v>
      </c>
      <c r="B200">
        <v>10</v>
      </c>
      <c r="C200" t="s">
        <v>15</v>
      </c>
      <c r="D200" t="s">
        <v>95</v>
      </c>
      <c r="E200" t="s">
        <v>110</v>
      </c>
      <c r="F200" t="s">
        <v>120</v>
      </c>
      <c r="G200" t="s">
        <v>270</v>
      </c>
      <c r="H200" t="str">
        <f t="shared" si="31"/>
        <v>M.minima.Solo.Shade</v>
      </c>
      <c r="I200" t="s">
        <v>670</v>
      </c>
      <c r="J200" t="s">
        <v>474</v>
      </c>
      <c r="K200">
        <v>0</v>
      </c>
      <c r="L200">
        <v>45</v>
      </c>
      <c r="M200">
        <v>55</v>
      </c>
      <c r="N200">
        <v>55</v>
      </c>
      <c r="O200" t="s">
        <v>114</v>
      </c>
      <c r="P200">
        <v>16</v>
      </c>
      <c r="Q200">
        <v>25</v>
      </c>
      <c r="R200">
        <v>20</v>
      </c>
      <c r="S200">
        <f t="shared" si="33"/>
        <v>22.5</v>
      </c>
      <c r="T200">
        <f t="shared" si="34"/>
        <v>0.40909090909090912</v>
      </c>
      <c r="U200" t="s">
        <v>29</v>
      </c>
      <c r="V200" t="s">
        <v>114</v>
      </c>
      <c r="W200" t="s">
        <v>114</v>
      </c>
      <c r="X200">
        <v>13.5</v>
      </c>
      <c r="Y200">
        <v>12</v>
      </c>
      <c r="Z200">
        <v>16.899999999999999</v>
      </c>
      <c r="AA200">
        <v>14.133333329999999</v>
      </c>
      <c r="AB200">
        <v>12.5</v>
      </c>
      <c r="AC200">
        <v>12</v>
      </c>
      <c r="AD200">
        <v>12</v>
      </c>
      <c r="AE200">
        <v>13.5</v>
      </c>
      <c r="AF200">
        <v>12.5</v>
      </c>
      <c r="AG200">
        <v>20.3</v>
      </c>
      <c r="AH200">
        <v>14.4</v>
      </c>
      <c r="AI200">
        <v>20.3</v>
      </c>
      <c r="AJ200">
        <v>18.333333329999999</v>
      </c>
      <c r="AK200">
        <v>15.9</v>
      </c>
      <c r="AL200">
        <v>16.399999999999999</v>
      </c>
      <c r="AM200">
        <v>14.9</v>
      </c>
      <c r="AN200">
        <v>15.733333330000001</v>
      </c>
      <c r="AO200">
        <v>15.733333330000001</v>
      </c>
      <c r="AP200">
        <v>5.6</v>
      </c>
      <c r="AQ200">
        <v>6.6</v>
      </c>
      <c r="AR200">
        <v>7.1</v>
      </c>
      <c r="AS200">
        <v>6.4333333330000002</v>
      </c>
      <c r="AT200">
        <v>4.0999999999999996</v>
      </c>
      <c r="AU200">
        <v>5.0999999999999996</v>
      </c>
      <c r="AV200">
        <v>4.5999999999999996</v>
      </c>
      <c r="AW200">
        <v>4.5999999999999996</v>
      </c>
      <c r="AX200">
        <v>4.5999999999999996</v>
      </c>
      <c r="AY200">
        <v>-7.9</v>
      </c>
      <c r="AZ200">
        <v>0</v>
      </c>
      <c r="BA200">
        <v>20</v>
      </c>
      <c r="BB200">
        <v>80</v>
      </c>
      <c r="BC200">
        <v>0</v>
      </c>
      <c r="BD200">
        <v>0</v>
      </c>
      <c r="BE200">
        <v>1</v>
      </c>
      <c r="BF200">
        <v>0</v>
      </c>
      <c r="BG200">
        <v>0</v>
      </c>
      <c r="BI200">
        <v>7.5</v>
      </c>
      <c r="BJ200">
        <v>44.895000000000003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f t="shared" si="30"/>
        <v>0</v>
      </c>
      <c r="BQ200" t="s">
        <v>114</v>
      </c>
      <c r="BR200" t="s">
        <v>114</v>
      </c>
      <c r="BS200" t="s">
        <v>114</v>
      </c>
      <c r="BT200" t="s">
        <v>114</v>
      </c>
      <c r="BU200" t="s">
        <v>114</v>
      </c>
      <c r="BV200" t="s">
        <v>114</v>
      </c>
      <c r="BW200" t="s">
        <v>114</v>
      </c>
      <c r="BX200" t="s">
        <v>114</v>
      </c>
      <c r="BY200" t="s">
        <v>114</v>
      </c>
      <c r="BZ200" t="s">
        <v>114</v>
      </c>
      <c r="CA200" t="s">
        <v>114</v>
      </c>
      <c r="CB200" t="s">
        <v>114</v>
      </c>
      <c r="CC200" t="s">
        <v>114</v>
      </c>
      <c r="CD200" t="s">
        <v>114</v>
      </c>
      <c r="CE200" t="s">
        <v>114</v>
      </c>
      <c r="CF200" t="s">
        <v>114</v>
      </c>
      <c r="CG200" t="s">
        <v>114</v>
      </c>
      <c r="CH200" t="s">
        <v>114</v>
      </c>
      <c r="CI200" t="s">
        <v>114</v>
      </c>
      <c r="CJ200" t="s">
        <v>114</v>
      </c>
      <c r="CK200" t="s">
        <v>114</v>
      </c>
      <c r="CL200" t="s">
        <v>114</v>
      </c>
      <c r="CM200" t="s">
        <v>114</v>
      </c>
      <c r="CN200" t="s">
        <v>114</v>
      </c>
      <c r="CO200" t="s">
        <v>114</v>
      </c>
      <c r="CP200" t="s">
        <v>114</v>
      </c>
      <c r="CQ200" t="s">
        <v>114</v>
      </c>
      <c r="CR200" t="s">
        <v>114</v>
      </c>
      <c r="CS200" t="s">
        <v>114</v>
      </c>
      <c r="CT200" t="s">
        <v>114</v>
      </c>
      <c r="CU200" t="s">
        <v>114</v>
      </c>
      <c r="CV200" t="s">
        <v>114</v>
      </c>
      <c r="CW200" t="s">
        <v>114</v>
      </c>
    </row>
    <row r="201" spans="1:101" x14ac:dyDescent="0.25">
      <c r="A201" t="s">
        <v>68</v>
      </c>
      <c r="B201">
        <v>10</v>
      </c>
      <c r="C201" t="s">
        <v>15</v>
      </c>
      <c r="D201" t="s">
        <v>95</v>
      </c>
      <c r="E201" t="s">
        <v>111</v>
      </c>
      <c r="F201" t="s">
        <v>120</v>
      </c>
      <c r="G201" t="s">
        <v>271</v>
      </c>
      <c r="H201" t="str">
        <f t="shared" si="31"/>
        <v>P.canescens.Solo.Shade</v>
      </c>
      <c r="I201" t="s">
        <v>671</v>
      </c>
      <c r="J201" t="s">
        <v>475</v>
      </c>
      <c r="K201">
        <v>0</v>
      </c>
      <c r="L201">
        <v>250</v>
      </c>
      <c r="M201">
        <v>260</v>
      </c>
      <c r="N201">
        <v>260</v>
      </c>
      <c r="O201" t="s">
        <v>114</v>
      </c>
      <c r="P201">
        <v>4</v>
      </c>
      <c r="Q201">
        <v>8</v>
      </c>
      <c r="R201">
        <v>2</v>
      </c>
      <c r="S201">
        <f t="shared" si="33"/>
        <v>5</v>
      </c>
      <c r="T201">
        <f t="shared" si="34"/>
        <v>1.9230769230769232E-2</v>
      </c>
      <c r="U201" t="s">
        <v>29</v>
      </c>
      <c r="V201" t="s">
        <v>114</v>
      </c>
      <c r="W201" t="s">
        <v>114</v>
      </c>
      <c r="X201">
        <v>13.5</v>
      </c>
      <c r="Y201">
        <v>12</v>
      </c>
      <c r="Z201">
        <v>16.899999999999999</v>
      </c>
      <c r="AA201">
        <v>14.133333329999999</v>
      </c>
      <c r="AB201">
        <v>16.56666667</v>
      </c>
      <c r="AC201">
        <v>16.399999999999999</v>
      </c>
      <c r="AD201">
        <v>17.399999999999999</v>
      </c>
      <c r="AE201">
        <v>15.9</v>
      </c>
      <c r="AF201">
        <v>16.56666667</v>
      </c>
      <c r="AG201">
        <v>20.3</v>
      </c>
      <c r="AH201">
        <v>14.4</v>
      </c>
      <c r="AI201">
        <v>20.3</v>
      </c>
      <c r="AJ201">
        <v>18.333333329999999</v>
      </c>
      <c r="AK201">
        <v>18.399999999999999</v>
      </c>
      <c r="AL201">
        <v>20.8</v>
      </c>
      <c r="AM201">
        <v>21.8</v>
      </c>
      <c r="AN201">
        <v>20.333333329999999</v>
      </c>
      <c r="AO201">
        <v>20.333333329999999</v>
      </c>
      <c r="AP201">
        <v>5.6</v>
      </c>
      <c r="AQ201">
        <v>6.6</v>
      </c>
      <c r="AR201">
        <v>7.1</v>
      </c>
      <c r="AS201">
        <v>6.4333333330000002</v>
      </c>
      <c r="AT201">
        <v>2.5</v>
      </c>
      <c r="AU201">
        <v>5.6</v>
      </c>
      <c r="AV201">
        <v>6.6</v>
      </c>
      <c r="AW201">
        <v>4.9000000000000004</v>
      </c>
      <c r="AX201">
        <v>4.9000000000000004</v>
      </c>
      <c r="AY201">
        <v>-11.66666667</v>
      </c>
      <c r="AZ201">
        <v>0</v>
      </c>
      <c r="BA201">
        <v>90</v>
      </c>
      <c r="BB201">
        <v>10</v>
      </c>
      <c r="BC201">
        <v>0</v>
      </c>
      <c r="BD201">
        <v>0</v>
      </c>
      <c r="BE201">
        <v>1</v>
      </c>
      <c r="BF201">
        <v>0</v>
      </c>
      <c r="BG201">
        <v>0</v>
      </c>
      <c r="BI201">
        <v>7.5</v>
      </c>
      <c r="BJ201">
        <v>44.895000000000003</v>
      </c>
      <c r="BK201">
        <v>0</v>
      </c>
      <c r="BL201">
        <v>35</v>
      </c>
      <c r="BM201">
        <v>21</v>
      </c>
      <c r="BN201">
        <v>613</v>
      </c>
      <c r="BO201">
        <v>639.25</v>
      </c>
      <c r="BP201">
        <f t="shared" si="30"/>
        <v>-26.25</v>
      </c>
      <c r="BQ201" t="s">
        <v>114</v>
      </c>
      <c r="BR201" t="s">
        <v>114</v>
      </c>
      <c r="BS201" t="s">
        <v>114</v>
      </c>
      <c r="BT201" t="s">
        <v>114</v>
      </c>
      <c r="BU201" t="s">
        <v>114</v>
      </c>
      <c r="BV201" t="s">
        <v>114</v>
      </c>
      <c r="BW201" t="s">
        <v>114</v>
      </c>
      <c r="BX201" t="s">
        <v>114</v>
      </c>
      <c r="BY201" t="s">
        <v>114</v>
      </c>
      <c r="BZ201" t="s">
        <v>114</v>
      </c>
      <c r="CA201" t="s">
        <v>114</v>
      </c>
      <c r="CB201" t="s">
        <v>114</v>
      </c>
      <c r="CC201" t="s">
        <v>114</v>
      </c>
      <c r="CD201" t="s">
        <v>114</v>
      </c>
      <c r="CE201" t="s">
        <v>114</v>
      </c>
      <c r="CF201" t="s">
        <v>114</v>
      </c>
      <c r="CG201" t="s">
        <v>114</v>
      </c>
      <c r="CH201" t="s">
        <v>114</v>
      </c>
      <c r="CI201" t="s">
        <v>114</v>
      </c>
      <c r="CJ201" t="s">
        <v>114</v>
      </c>
      <c r="CK201" t="s">
        <v>114</v>
      </c>
      <c r="CL201" t="s">
        <v>114</v>
      </c>
      <c r="CM201" t="s">
        <v>114</v>
      </c>
      <c r="CN201" t="s">
        <v>114</v>
      </c>
      <c r="CO201" t="s">
        <v>114</v>
      </c>
      <c r="CP201" t="s">
        <v>114</v>
      </c>
      <c r="CQ201" t="s">
        <v>114</v>
      </c>
      <c r="CR201" t="s">
        <v>114</v>
      </c>
      <c r="CS201" t="s">
        <v>114</v>
      </c>
      <c r="CT201" t="s">
        <v>114</v>
      </c>
      <c r="CU201" t="s">
        <v>114</v>
      </c>
      <c r="CV201" t="s">
        <v>114</v>
      </c>
      <c r="CW201" t="s">
        <v>114</v>
      </c>
    </row>
    <row r="202" spans="1:101" x14ac:dyDescent="0.25">
      <c r="A202" t="s">
        <v>68</v>
      </c>
      <c r="B202">
        <v>10</v>
      </c>
      <c r="C202" t="s">
        <v>15</v>
      </c>
      <c r="D202" t="s">
        <v>95</v>
      </c>
      <c r="E202" t="s">
        <v>104</v>
      </c>
      <c r="F202" t="s">
        <v>120</v>
      </c>
      <c r="G202" t="s">
        <v>272</v>
      </c>
      <c r="H202" t="str">
        <f t="shared" si="31"/>
        <v>T.cyanopetala.Solo.Shade</v>
      </c>
      <c r="I202" t="s">
        <v>672</v>
      </c>
      <c r="J202" t="s">
        <v>476</v>
      </c>
      <c r="K202">
        <v>0</v>
      </c>
      <c r="L202" t="s">
        <v>114</v>
      </c>
      <c r="M202" t="s">
        <v>114</v>
      </c>
      <c r="N202" t="s">
        <v>114</v>
      </c>
      <c r="O202" t="s">
        <v>114</v>
      </c>
      <c r="P202" t="s">
        <v>114</v>
      </c>
      <c r="Q202" t="s">
        <v>114</v>
      </c>
      <c r="R202" t="s">
        <v>114</v>
      </c>
      <c r="S202" t="s">
        <v>114</v>
      </c>
      <c r="T202" t="s">
        <v>114</v>
      </c>
      <c r="U202" t="s">
        <v>114</v>
      </c>
      <c r="V202" t="s">
        <v>114</v>
      </c>
      <c r="W202" t="s">
        <v>114</v>
      </c>
      <c r="X202">
        <v>13.5</v>
      </c>
      <c r="Y202">
        <v>12</v>
      </c>
      <c r="Z202">
        <v>16.899999999999999</v>
      </c>
      <c r="AA202">
        <v>14.133333329999999</v>
      </c>
      <c r="AB202">
        <v>14.4</v>
      </c>
      <c r="AC202">
        <v>13.9</v>
      </c>
      <c r="AD202">
        <v>13.9</v>
      </c>
      <c r="AE202">
        <v>15.4</v>
      </c>
      <c r="AF202">
        <v>14.4</v>
      </c>
      <c r="AG202">
        <v>20.3</v>
      </c>
      <c r="AH202">
        <v>14.4</v>
      </c>
      <c r="AI202">
        <v>20.3</v>
      </c>
      <c r="AJ202">
        <v>18.333333329999999</v>
      </c>
      <c r="AK202">
        <v>13</v>
      </c>
      <c r="AL202">
        <v>15.4</v>
      </c>
      <c r="AM202">
        <v>17.899999999999999</v>
      </c>
      <c r="AN202">
        <v>15.43333333</v>
      </c>
      <c r="AO202">
        <v>15.43333333</v>
      </c>
      <c r="AP202">
        <v>5.6</v>
      </c>
      <c r="AQ202">
        <v>6.6</v>
      </c>
      <c r="AR202">
        <v>7.1</v>
      </c>
      <c r="AS202">
        <v>6.4333333330000002</v>
      </c>
      <c r="AT202">
        <v>5.6</v>
      </c>
      <c r="AU202">
        <v>5.6</v>
      </c>
      <c r="AV202">
        <v>5.0999999999999996</v>
      </c>
      <c r="AW202">
        <v>5.4333333330000002</v>
      </c>
      <c r="AX202">
        <v>5.4333333330000002</v>
      </c>
      <c r="AY202">
        <v>-8.9666666670000001</v>
      </c>
      <c r="AZ202">
        <v>60</v>
      </c>
      <c r="BA202">
        <v>0</v>
      </c>
      <c r="BB202">
        <v>0</v>
      </c>
      <c r="BC202">
        <v>30</v>
      </c>
      <c r="BD202">
        <v>0</v>
      </c>
      <c r="BE202">
        <v>1</v>
      </c>
      <c r="BF202">
        <v>10</v>
      </c>
      <c r="BG202">
        <v>0</v>
      </c>
      <c r="BI202">
        <v>7.5</v>
      </c>
      <c r="BJ202">
        <v>44.895000000000003</v>
      </c>
      <c r="BK202">
        <v>0</v>
      </c>
      <c r="BL202">
        <v>0</v>
      </c>
      <c r="BM202">
        <v>0</v>
      </c>
      <c r="BN202">
        <v>0</v>
      </c>
      <c r="BO202">
        <v>21</v>
      </c>
      <c r="BP202">
        <f t="shared" si="30"/>
        <v>-21</v>
      </c>
      <c r="BQ202" t="s">
        <v>114</v>
      </c>
      <c r="BR202" t="s">
        <v>114</v>
      </c>
      <c r="BS202" t="s">
        <v>114</v>
      </c>
      <c r="BT202" t="s">
        <v>114</v>
      </c>
      <c r="BU202" t="s">
        <v>114</v>
      </c>
      <c r="BV202" t="s">
        <v>114</v>
      </c>
      <c r="BW202" t="s">
        <v>114</v>
      </c>
      <c r="BX202" t="s">
        <v>114</v>
      </c>
      <c r="BY202" t="s">
        <v>114</v>
      </c>
      <c r="BZ202" t="s">
        <v>114</v>
      </c>
      <c r="CA202" t="s">
        <v>114</v>
      </c>
      <c r="CB202" t="s">
        <v>114</v>
      </c>
      <c r="CC202" t="s">
        <v>114</v>
      </c>
      <c r="CD202" t="s">
        <v>114</v>
      </c>
      <c r="CE202" t="s">
        <v>114</v>
      </c>
      <c r="CF202" t="s">
        <v>114</v>
      </c>
      <c r="CG202" t="s">
        <v>114</v>
      </c>
      <c r="CH202" t="s">
        <v>114</v>
      </c>
      <c r="CI202" t="s">
        <v>114</v>
      </c>
      <c r="CJ202" t="s">
        <v>114</v>
      </c>
      <c r="CK202" t="s">
        <v>114</v>
      </c>
      <c r="CL202" t="s">
        <v>114</v>
      </c>
      <c r="CM202" t="s">
        <v>114</v>
      </c>
      <c r="CN202" t="s">
        <v>114</v>
      </c>
      <c r="CO202" t="s">
        <v>114</v>
      </c>
      <c r="CP202" t="s">
        <v>114</v>
      </c>
      <c r="CQ202" t="s">
        <v>114</v>
      </c>
      <c r="CR202" t="s">
        <v>114</v>
      </c>
      <c r="CS202" t="s">
        <v>114</v>
      </c>
      <c r="CT202" t="s">
        <v>114</v>
      </c>
      <c r="CU202" t="s">
        <v>114</v>
      </c>
      <c r="CV202" t="s">
        <v>114</v>
      </c>
      <c r="CW202" t="s">
        <v>114</v>
      </c>
    </row>
    <row r="203" spans="1:101" x14ac:dyDescent="0.25">
      <c r="A203" t="s">
        <v>69</v>
      </c>
      <c r="B203">
        <v>10</v>
      </c>
      <c r="C203" t="s">
        <v>17</v>
      </c>
      <c r="D203" t="s">
        <v>95</v>
      </c>
      <c r="E203" t="s">
        <v>102</v>
      </c>
      <c r="F203" t="s">
        <v>120</v>
      </c>
      <c r="G203" t="s">
        <v>273</v>
      </c>
      <c r="H203" t="str">
        <f t="shared" si="31"/>
        <v>A.calendula.Solo.Shade</v>
      </c>
      <c r="I203" t="s">
        <v>673</v>
      </c>
      <c r="J203" t="s">
        <v>477</v>
      </c>
      <c r="K203">
        <v>0</v>
      </c>
      <c r="L203">
        <v>120</v>
      </c>
      <c r="M203">
        <v>110</v>
      </c>
      <c r="N203">
        <v>110</v>
      </c>
      <c r="O203" t="s">
        <v>114</v>
      </c>
      <c r="P203">
        <v>110</v>
      </c>
      <c r="Q203">
        <v>80</v>
      </c>
      <c r="R203">
        <v>80</v>
      </c>
      <c r="S203">
        <f t="shared" si="33"/>
        <v>80</v>
      </c>
      <c r="T203">
        <f t="shared" si="34"/>
        <v>0.72727272727272729</v>
      </c>
      <c r="U203" t="s">
        <v>15</v>
      </c>
      <c r="V203" t="s">
        <v>114</v>
      </c>
      <c r="W203" t="s">
        <v>114</v>
      </c>
      <c r="X203">
        <v>17.899999999999999</v>
      </c>
      <c r="Y203">
        <v>21.3</v>
      </c>
      <c r="Z203">
        <v>15.9</v>
      </c>
      <c r="AA203">
        <v>18.366666670000001</v>
      </c>
      <c r="AB203">
        <v>16.399999999999999</v>
      </c>
      <c r="AC203">
        <v>16.899999999999999</v>
      </c>
      <c r="AD203">
        <v>16.899999999999999</v>
      </c>
      <c r="AE203">
        <v>15.4</v>
      </c>
      <c r="AF203">
        <v>16.399999999999999</v>
      </c>
      <c r="AG203">
        <v>18.399999999999999</v>
      </c>
      <c r="AH203">
        <v>19.3</v>
      </c>
      <c r="AI203">
        <v>24.3</v>
      </c>
      <c r="AJ203">
        <v>20.666666670000001</v>
      </c>
      <c r="AK203">
        <v>18.899999999999999</v>
      </c>
      <c r="AL203">
        <v>19.3</v>
      </c>
      <c r="AM203">
        <v>22.8</v>
      </c>
      <c r="AN203">
        <v>20.333333329999999</v>
      </c>
      <c r="AO203">
        <v>20.333333329999999</v>
      </c>
      <c r="AP203">
        <v>10</v>
      </c>
      <c r="AQ203">
        <v>12.5</v>
      </c>
      <c r="AR203">
        <v>9</v>
      </c>
      <c r="AS203">
        <v>10.5</v>
      </c>
      <c r="AT203">
        <v>8.1</v>
      </c>
      <c r="AU203">
        <v>8.5</v>
      </c>
      <c r="AV203">
        <v>8.5</v>
      </c>
      <c r="AW203">
        <v>8.3666666670000005</v>
      </c>
      <c r="AX203">
        <v>8.3666666670000005</v>
      </c>
      <c r="AY203">
        <v>-8.0333333329999999</v>
      </c>
      <c r="AZ203">
        <v>100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I203">
        <v>11.5</v>
      </c>
      <c r="BJ203">
        <v>42.4</v>
      </c>
      <c r="BK203">
        <v>0</v>
      </c>
      <c r="BL203">
        <v>5</v>
      </c>
      <c r="BM203">
        <v>5</v>
      </c>
      <c r="BN203">
        <v>190</v>
      </c>
      <c r="BO203">
        <v>274</v>
      </c>
      <c r="BP203">
        <f t="shared" si="30"/>
        <v>-84</v>
      </c>
      <c r="BQ203" t="s">
        <v>114</v>
      </c>
      <c r="BR203" t="s">
        <v>114</v>
      </c>
      <c r="BS203" t="s">
        <v>114</v>
      </c>
      <c r="BT203" t="s">
        <v>114</v>
      </c>
      <c r="BU203" t="s">
        <v>114</v>
      </c>
      <c r="BV203" t="s">
        <v>114</v>
      </c>
      <c r="BW203" t="s">
        <v>114</v>
      </c>
      <c r="BX203" t="s">
        <v>114</v>
      </c>
      <c r="BY203" t="s">
        <v>114</v>
      </c>
      <c r="BZ203" t="s">
        <v>114</v>
      </c>
      <c r="CA203" t="s">
        <v>114</v>
      </c>
      <c r="CB203" t="s">
        <v>114</v>
      </c>
      <c r="CC203" t="s">
        <v>114</v>
      </c>
      <c r="CD203" t="s">
        <v>114</v>
      </c>
      <c r="CE203" t="s">
        <v>114</v>
      </c>
      <c r="CF203" t="s">
        <v>114</v>
      </c>
      <c r="CG203" t="s">
        <v>114</v>
      </c>
      <c r="CH203" t="s">
        <v>114</v>
      </c>
      <c r="CI203" t="s">
        <v>114</v>
      </c>
      <c r="CJ203" t="s">
        <v>114</v>
      </c>
      <c r="CK203" t="s">
        <v>114</v>
      </c>
      <c r="CL203" t="s">
        <v>114</v>
      </c>
      <c r="CM203" t="s">
        <v>114</v>
      </c>
      <c r="CN203" t="s">
        <v>114</v>
      </c>
      <c r="CO203" t="s">
        <v>114</v>
      </c>
      <c r="CP203" t="s">
        <v>114</v>
      </c>
      <c r="CQ203" t="s">
        <v>114</v>
      </c>
      <c r="CR203" t="s">
        <v>114</v>
      </c>
      <c r="CS203" t="s">
        <v>114</v>
      </c>
      <c r="CT203" t="s">
        <v>114</v>
      </c>
      <c r="CU203" t="s">
        <v>114</v>
      </c>
      <c r="CV203" t="s">
        <v>114</v>
      </c>
      <c r="CW203" t="s">
        <v>114</v>
      </c>
    </row>
    <row r="204" spans="1:101" x14ac:dyDescent="0.25">
      <c r="A204" t="s">
        <v>69</v>
      </c>
      <c r="B204">
        <v>10</v>
      </c>
      <c r="C204" t="s">
        <v>17</v>
      </c>
      <c r="D204" t="s">
        <v>95</v>
      </c>
      <c r="E204" t="s">
        <v>113</v>
      </c>
      <c r="F204" t="s">
        <v>120</v>
      </c>
      <c r="G204" t="s">
        <v>267</v>
      </c>
      <c r="H204" t="str">
        <f t="shared" si="31"/>
        <v>H.glutinosum.Solo.Shade</v>
      </c>
      <c r="I204" t="s">
        <v>669</v>
      </c>
      <c r="J204" t="s">
        <v>478</v>
      </c>
      <c r="K204">
        <v>0</v>
      </c>
      <c r="L204">
        <v>35</v>
      </c>
      <c r="M204">
        <v>5</v>
      </c>
      <c r="N204">
        <v>5</v>
      </c>
      <c r="O204" t="s">
        <v>114</v>
      </c>
      <c r="P204">
        <v>8</v>
      </c>
      <c r="Q204">
        <v>6</v>
      </c>
      <c r="R204">
        <v>5</v>
      </c>
      <c r="S204">
        <f t="shared" si="33"/>
        <v>5.5</v>
      </c>
      <c r="T204">
        <f t="shared" si="34"/>
        <v>1.1000000000000001</v>
      </c>
      <c r="U204" t="s">
        <v>19</v>
      </c>
      <c r="V204" t="s">
        <v>114</v>
      </c>
      <c r="W204" t="s">
        <v>114</v>
      </c>
      <c r="X204">
        <v>17.899999999999999</v>
      </c>
      <c r="Y204">
        <v>21.3</v>
      </c>
      <c r="Z204">
        <v>15.9</v>
      </c>
      <c r="AA204">
        <v>18.366666670000001</v>
      </c>
      <c r="AB204">
        <v>19.166666670000001</v>
      </c>
      <c r="AC204">
        <v>19.3</v>
      </c>
      <c r="AD204">
        <v>18.399999999999999</v>
      </c>
      <c r="AE204">
        <v>19.8</v>
      </c>
      <c r="AF204">
        <v>19.166666670000001</v>
      </c>
      <c r="AG204">
        <v>18.399999999999999</v>
      </c>
      <c r="AH204">
        <v>19.3</v>
      </c>
      <c r="AI204">
        <v>24.3</v>
      </c>
      <c r="AJ204">
        <v>20.666666670000001</v>
      </c>
      <c r="AK204">
        <v>21.3</v>
      </c>
      <c r="AL204">
        <v>21.8</v>
      </c>
      <c r="AM204">
        <v>21.3</v>
      </c>
      <c r="AN204">
        <v>21.466666669999999</v>
      </c>
      <c r="AO204">
        <v>21.466666669999999</v>
      </c>
      <c r="AP204">
        <v>10</v>
      </c>
      <c r="AQ204">
        <v>12.5</v>
      </c>
      <c r="AR204">
        <v>9</v>
      </c>
      <c r="AS204">
        <v>10.5</v>
      </c>
      <c r="AT204">
        <v>12</v>
      </c>
      <c r="AU204">
        <v>13</v>
      </c>
      <c r="AV204">
        <v>13</v>
      </c>
      <c r="AW204">
        <v>12.66666667</v>
      </c>
      <c r="AX204">
        <v>12.66666667</v>
      </c>
      <c r="AY204">
        <v>-6.5</v>
      </c>
      <c r="AZ204">
        <v>100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I204">
        <v>11.5</v>
      </c>
      <c r="BJ204">
        <v>42.4</v>
      </c>
      <c r="BK204">
        <v>0</v>
      </c>
      <c r="BL204">
        <v>0</v>
      </c>
      <c r="BM204">
        <v>0</v>
      </c>
      <c r="BN204">
        <v>0</v>
      </c>
      <c r="BO204">
        <v>1.6666669999999999</v>
      </c>
      <c r="BP204">
        <f t="shared" si="30"/>
        <v>-1.6666669999999999</v>
      </c>
      <c r="BQ204" t="s">
        <v>114</v>
      </c>
      <c r="BR204" t="s">
        <v>114</v>
      </c>
      <c r="BS204" t="s">
        <v>114</v>
      </c>
      <c r="BT204" t="s">
        <v>114</v>
      </c>
      <c r="BU204" t="s">
        <v>114</v>
      </c>
      <c r="BV204" t="s">
        <v>114</v>
      </c>
      <c r="BW204" t="s">
        <v>114</v>
      </c>
      <c r="BX204" t="s">
        <v>114</v>
      </c>
      <c r="BY204" t="s">
        <v>114</v>
      </c>
      <c r="BZ204" t="s">
        <v>114</v>
      </c>
      <c r="CA204" t="s">
        <v>114</v>
      </c>
      <c r="CB204" t="s">
        <v>114</v>
      </c>
      <c r="CC204" t="s">
        <v>114</v>
      </c>
      <c r="CD204" t="s">
        <v>114</v>
      </c>
      <c r="CE204" t="s">
        <v>114</v>
      </c>
      <c r="CF204" t="s">
        <v>114</v>
      </c>
      <c r="CG204" t="s">
        <v>114</v>
      </c>
      <c r="CH204" t="s">
        <v>114</v>
      </c>
      <c r="CI204" t="s">
        <v>114</v>
      </c>
      <c r="CJ204" t="s">
        <v>114</v>
      </c>
      <c r="CK204" t="s">
        <v>114</v>
      </c>
      <c r="CL204" t="s">
        <v>114</v>
      </c>
      <c r="CM204" t="s">
        <v>114</v>
      </c>
      <c r="CN204" t="s">
        <v>114</v>
      </c>
      <c r="CO204" t="s">
        <v>114</v>
      </c>
      <c r="CP204" t="s">
        <v>114</v>
      </c>
      <c r="CQ204" t="s">
        <v>114</v>
      </c>
      <c r="CR204" t="s">
        <v>114</v>
      </c>
      <c r="CS204" t="s">
        <v>114</v>
      </c>
      <c r="CT204" t="s">
        <v>114</v>
      </c>
      <c r="CU204" t="s">
        <v>114</v>
      </c>
      <c r="CV204" t="s">
        <v>114</v>
      </c>
      <c r="CW204" t="s">
        <v>114</v>
      </c>
    </row>
    <row r="205" spans="1:101" x14ac:dyDescent="0.25">
      <c r="A205" t="s">
        <v>69</v>
      </c>
      <c r="B205">
        <v>10</v>
      </c>
      <c r="C205" t="s">
        <v>17</v>
      </c>
      <c r="D205" t="s">
        <v>95</v>
      </c>
      <c r="E205" t="s">
        <v>103</v>
      </c>
      <c r="F205" t="s">
        <v>120</v>
      </c>
      <c r="G205" t="s">
        <v>268</v>
      </c>
      <c r="H205" t="str">
        <f t="shared" si="31"/>
        <v>P.airoides.Solo.Shade</v>
      </c>
      <c r="I205" t="s">
        <v>674</v>
      </c>
      <c r="J205" t="s">
        <v>479</v>
      </c>
      <c r="K205">
        <v>0</v>
      </c>
      <c r="L205">
        <v>110</v>
      </c>
      <c r="M205">
        <v>30</v>
      </c>
      <c r="N205">
        <v>30</v>
      </c>
      <c r="O205" t="s">
        <v>114</v>
      </c>
      <c r="P205">
        <v>20</v>
      </c>
      <c r="Q205">
        <v>25</v>
      </c>
      <c r="R205">
        <v>0</v>
      </c>
      <c r="S205">
        <f t="shared" si="33"/>
        <v>12.5</v>
      </c>
      <c r="T205">
        <f t="shared" si="34"/>
        <v>0.41666666666666669</v>
      </c>
      <c r="U205" t="s">
        <v>19</v>
      </c>
      <c r="V205" t="s">
        <v>114</v>
      </c>
      <c r="W205" t="s">
        <v>114</v>
      </c>
      <c r="X205">
        <v>17.899999999999999</v>
      </c>
      <c r="Y205">
        <v>21.3</v>
      </c>
      <c r="Z205">
        <v>15.9</v>
      </c>
      <c r="AA205">
        <v>18.366666670000001</v>
      </c>
      <c r="AB205">
        <v>16.899999999999999</v>
      </c>
      <c r="AC205">
        <v>15.4</v>
      </c>
      <c r="AD205">
        <v>18.399999999999999</v>
      </c>
      <c r="AE205">
        <v>16.899999999999999</v>
      </c>
      <c r="AF205">
        <v>16.899999999999999</v>
      </c>
      <c r="AG205">
        <v>18.399999999999999</v>
      </c>
      <c r="AH205">
        <v>19.3</v>
      </c>
      <c r="AI205">
        <v>24.3</v>
      </c>
      <c r="AJ205">
        <v>20.666666670000001</v>
      </c>
      <c r="AK205">
        <v>20.3</v>
      </c>
      <c r="AL205">
        <v>19.8</v>
      </c>
      <c r="AM205">
        <v>22.3</v>
      </c>
      <c r="AN205">
        <v>20.8</v>
      </c>
      <c r="AO205">
        <v>20.8</v>
      </c>
      <c r="AP205">
        <v>10</v>
      </c>
      <c r="AQ205">
        <v>12.5</v>
      </c>
      <c r="AR205">
        <v>9</v>
      </c>
      <c r="AS205">
        <v>10.5</v>
      </c>
      <c r="AT205">
        <v>11.5</v>
      </c>
      <c r="AU205">
        <v>11.5</v>
      </c>
      <c r="AV205">
        <v>10.5</v>
      </c>
      <c r="AW205">
        <v>11.16666667</v>
      </c>
      <c r="AX205">
        <v>11.16666667</v>
      </c>
      <c r="AY205">
        <v>-5.733333333</v>
      </c>
      <c r="AZ205">
        <v>100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I205">
        <v>11.5</v>
      </c>
      <c r="BJ205">
        <v>42.4</v>
      </c>
      <c r="BK205">
        <v>0</v>
      </c>
      <c r="BL205">
        <v>0</v>
      </c>
      <c r="BM205">
        <v>0</v>
      </c>
      <c r="BN205">
        <v>0</v>
      </c>
      <c r="BO205">
        <v>194</v>
      </c>
      <c r="BP205">
        <f t="shared" si="30"/>
        <v>-194</v>
      </c>
      <c r="BQ205" t="s">
        <v>114</v>
      </c>
      <c r="BR205" t="s">
        <v>114</v>
      </c>
      <c r="BS205" t="s">
        <v>114</v>
      </c>
      <c r="BT205" t="s">
        <v>114</v>
      </c>
      <c r="BU205" t="s">
        <v>114</v>
      </c>
      <c r="BV205" t="s">
        <v>114</v>
      </c>
      <c r="BW205" t="s">
        <v>114</v>
      </c>
      <c r="BX205" t="s">
        <v>114</v>
      </c>
      <c r="BY205" t="s">
        <v>114</v>
      </c>
      <c r="BZ205" t="s">
        <v>114</v>
      </c>
      <c r="CA205" t="s">
        <v>114</v>
      </c>
      <c r="CB205" t="s">
        <v>114</v>
      </c>
      <c r="CC205" t="s">
        <v>114</v>
      </c>
      <c r="CD205" t="s">
        <v>114</v>
      </c>
      <c r="CE205" t="s">
        <v>114</v>
      </c>
      <c r="CF205" t="s">
        <v>114</v>
      </c>
      <c r="CG205" t="s">
        <v>114</v>
      </c>
      <c r="CH205" t="s">
        <v>114</v>
      </c>
      <c r="CI205" t="s">
        <v>114</v>
      </c>
      <c r="CJ205" t="s">
        <v>114</v>
      </c>
      <c r="CK205" t="s">
        <v>114</v>
      </c>
      <c r="CL205" t="s">
        <v>114</v>
      </c>
      <c r="CM205" t="s">
        <v>114</v>
      </c>
      <c r="CN205" t="s">
        <v>114</v>
      </c>
      <c r="CO205" t="s">
        <v>114</v>
      </c>
      <c r="CP205" t="s">
        <v>114</v>
      </c>
      <c r="CQ205" t="s">
        <v>114</v>
      </c>
      <c r="CR205" t="s">
        <v>114</v>
      </c>
      <c r="CS205" t="s">
        <v>114</v>
      </c>
      <c r="CT205" t="s">
        <v>114</v>
      </c>
      <c r="CU205" t="s">
        <v>114</v>
      </c>
      <c r="CV205" t="s">
        <v>114</v>
      </c>
      <c r="CW205" t="s">
        <v>114</v>
      </c>
    </row>
    <row r="206" spans="1:101" x14ac:dyDescent="0.25">
      <c r="A206" t="s">
        <v>69</v>
      </c>
      <c r="B206">
        <v>10</v>
      </c>
      <c r="C206" t="s">
        <v>17</v>
      </c>
      <c r="D206" t="s">
        <v>95</v>
      </c>
      <c r="E206" t="s">
        <v>111</v>
      </c>
      <c r="F206" t="s">
        <v>120</v>
      </c>
      <c r="G206" t="s">
        <v>271</v>
      </c>
      <c r="H206" t="str">
        <f t="shared" si="31"/>
        <v>P.canescens.Solo.Shade</v>
      </c>
      <c r="I206" t="s">
        <v>671</v>
      </c>
      <c r="J206" t="s">
        <v>480</v>
      </c>
      <c r="K206">
        <v>0</v>
      </c>
      <c r="L206">
        <v>150</v>
      </c>
      <c r="M206">
        <v>210</v>
      </c>
      <c r="N206">
        <v>210</v>
      </c>
      <c r="O206" t="s">
        <v>114</v>
      </c>
      <c r="P206">
        <v>50</v>
      </c>
      <c r="Q206">
        <v>45</v>
      </c>
      <c r="R206">
        <v>40</v>
      </c>
      <c r="S206">
        <f t="shared" si="33"/>
        <v>42.5</v>
      </c>
      <c r="T206">
        <f t="shared" si="34"/>
        <v>0.20238095238095238</v>
      </c>
      <c r="U206" t="s">
        <v>792</v>
      </c>
      <c r="V206" t="s">
        <v>114</v>
      </c>
      <c r="W206" t="s">
        <v>114</v>
      </c>
      <c r="X206">
        <v>17.899999999999999</v>
      </c>
      <c r="Y206">
        <v>21.3</v>
      </c>
      <c r="Z206">
        <v>15.9</v>
      </c>
      <c r="AA206">
        <v>18.366666670000001</v>
      </c>
      <c r="AB206">
        <v>18.06666667</v>
      </c>
      <c r="AC206">
        <v>17.399999999999999</v>
      </c>
      <c r="AD206">
        <v>18.399999999999999</v>
      </c>
      <c r="AE206">
        <v>18.399999999999999</v>
      </c>
      <c r="AF206">
        <v>18.06666667</v>
      </c>
      <c r="AG206">
        <v>18.399999999999999</v>
      </c>
      <c r="AH206">
        <v>19.3</v>
      </c>
      <c r="AI206">
        <v>24.3</v>
      </c>
      <c r="AJ206">
        <v>20.666666670000001</v>
      </c>
      <c r="AK206">
        <v>22.8</v>
      </c>
      <c r="AL206">
        <v>19.3</v>
      </c>
      <c r="AM206">
        <v>23.8</v>
      </c>
      <c r="AN206">
        <v>21.966666669999999</v>
      </c>
      <c r="AO206">
        <v>21.966666669999999</v>
      </c>
      <c r="AP206">
        <v>10</v>
      </c>
      <c r="AQ206">
        <v>12.5</v>
      </c>
      <c r="AR206">
        <v>9</v>
      </c>
      <c r="AS206">
        <v>10.5</v>
      </c>
      <c r="AT206">
        <v>9.5</v>
      </c>
      <c r="AU206">
        <v>12</v>
      </c>
      <c r="AV206">
        <v>13</v>
      </c>
      <c r="AW206">
        <v>11.5</v>
      </c>
      <c r="AX206">
        <v>11.5</v>
      </c>
      <c r="AY206">
        <v>-6.5666666669999998</v>
      </c>
      <c r="AZ206">
        <v>90</v>
      </c>
      <c r="BA206">
        <v>10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I206">
        <v>11.5</v>
      </c>
      <c r="BJ206">
        <v>42.4</v>
      </c>
      <c r="BK206">
        <v>0</v>
      </c>
      <c r="BL206">
        <v>19</v>
      </c>
      <c r="BM206">
        <v>12</v>
      </c>
      <c r="BN206">
        <v>245</v>
      </c>
      <c r="BO206">
        <v>639.25</v>
      </c>
      <c r="BP206">
        <f t="shared" si="30"/>
        <v>-394.25</v>
      </c>
      <c r="BQ206" t="s">
        <v>114</v>
      </c>
      <c r="BR206" t="s">
        <v>114</v>
      </c>
      <c r="BS206" t="s">
        <v>114</v>
      </c>
      <c r="BT206" t="s">
        <v>114</v>
      </c>
      <c r="BU206" t="s">
        <v>114</v>
      </c>
      <c r="BV206" t="s">
        <v>114</v>
      </c>
      <c r="BW206" t="s">
        <v>114</v>
      </c>
      <c r="BX206" t="s">
        <v>114</v>
      </c>
      <c r="BY206" t="s">
        <v>114</v>
      </c>
      <c r="BZ206" t="s">
        <v>114</v>
      </c>
      <c r="CA206" t="s">
        <v>114</v>
      </c>
      <c r="CB206" t="s">
        <v>114</v>
      </c>
      <c r="CC206" t="s">
        <v>114</v>
      </c>
      <c r="CD206" t="s">
        <v>114</v>
      </c>
      <c r="CE206" t="s">
        <v>114</v>
      </c>
      <c r="CF206" t="s">
        <v>114</v>
      </c>
      <c r="CG206" t="s">
        <v>114</v>
      </c>
      <c r="CH206" t="s">
        <v>114</v>
      </c>
      <c r="CI206" t="s">
        <v>114</v>
      </c>
      <c r="CJ206" t="s">
        <v>114</v>
      </c>
      <c r="CK206" t="s">
        <v>114</v>
      </c>
      <c r="CL206" t="s">
        <v>114</v>
      </c>
      <c r="CM206" t="s">
        <v>114</v>
      </c>
      <c r="CN206" t="s">
        <v>114</v>
      </c>
      <c r="CO206" t="s">
        <v>114</v>
      </c>
      <c r="CP206" t="s">
        <v>114</v>
      </c>
      <c r="CQ206" t="s">
        <v>114</v>
      </c>
      <c r="CR206" t="s">
        <v>114</v>
      </c>
      <c r="CS206" t="s">
        <v>114</v>
      </c>
      <c r="CT206" t="s">
        <v>114</v>
      </c>
      <c r="CU206" t="s">
        <v>114</v>
      </c>
      <c r="CV206" t="s">
        <v>114</v>
      </c>
      <c r="CW206" t="s">
        <v>114</v>
      </c>
    </row>
    <row r="207" spans="1:101" x14ac:dyDescent="0.25">
      <c r="A207" t="s">
        <v>69</v>
      </c>
      <c r="B207">
        <v>10</v>
      </c>
      <c r="C207" t="s">
        <v>17</v>
      </c>
      <c r="D207" t="s">
        <v>95</v>
      </c>
      <c r="E207" t="s">
        <v>112</v>
      </c>
      <c r="F207" t="s">
        <v>120</v>
      </c>
      <c r="G207" t="s">
        <v>269</v>
      </c>
      <c r="H207" t="str">
        <f t="shared" si="31"/>
        <v>V.rosea.Solo.Shade</v>
      </c>
      <c r="I207" t="s">
        <v>675</v>
      </c>
      <c r="J207" t="s">
        <v>481</v>
      </c>
      <c r="K207">
        <v>0</v>
      </c>
      <c r="L207" t="s">
        <v>114</v>
      </c>
      <c r="M207" t="s">
        <v>114</v>
      </c>
      <c r="N207" t="s">
        <v>114</v>
      </c>
      <c r="O207" t="s">
        <v>114</v>
      </c>
      <c r="P207" t="s">
        <v>114</v>
      </c>
      <c r="Q207" t="s">
        <v>114</v>
      </c>
      <c r="R207" t="s">
        <v>114</v>
      </c>
      <c r="S207" t="s">
        <v>114</v>
      </c>
      <c r="T207" t="s">
        <v>114</v>
      </c>
      <c r="U207" t="s">
        <v>114</v>
      </c>
      <c r="V207" t="s">
        <v>114</v>
      </c>
      <c r="W207" t="s">
        <v>114</v>
      </c>
      <c r="X207">
        <v>17.899999999999999</v>
      </c>
      <c r="Y207">
        <v>21.3</v>
      </c>
      <c r="Z207">
        <v>15.9</v>
      </c>
      <c r="AA207">
        <v>18.366666670000001</v>
      </c>
      <c r="AB207">
        <v>19</v>
      </c>
      <c r="AC207">
        <v>19.3</v>
      </c>
      <c r="AD207">
        <v>19.8</v>
      </c>
      <c r="AE207">
        <v>17.899999999999999</v>
      </c>
      <c r="AF207">
        <v>19</v>
      </c>
      <c r="AG207">
        <v>18.399999999999999</v>
      </c>
      <c r="AH207">
        <v>19.3</v>
      </c>
      <c r="AI207">
        <v>24.3</v>
      </c>
      <c r="AJ207">
        <v>20.666666670000001</v>
      </c>
      <c r="AK207">
        <v>21.8</v>
      </c>
      <c r="AL207">
        <v>20.3</v>
      </c>
      <c r="AM207">
        <v>17.899999999999999</v>
      </c>
      <c r="AN207">
        <v>20</v>
      </c>
      <c r="AO207">
        <v>20</v>
      </c>
      <c r="AP207">
        <v>10</v>
      </c>
      <c r="AQ207">
        <v>12.5</v>
      </c>
      <c r="AR207">
        <v>9</v>
      </c>
      <c r="AS207">
        <v>10.5</v>
      </c>
      <c r="AT207">
        <v>12</v>
      </c>
      <c r="AU207">
        <v>11.5</v>
      </c>
      <c r="AV207">
        <v>10</v>
      </c>
      <c r="AW207">
        <v>11.16666667</v>
      </c>
      <c r="AX207">
        <v>11.16666667</v>
      </c>
      <c r="AY207">
        <v>-7.8333333329999997</v>
      </c>
      <c r="AZ207">
        <v>100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I207">
        <v>11.5</v>
      </c>
      <c r="BJ207">
        <v>42.4</v>
      </c>
      <c r="BK207">
        <v>1</v>
      </c>
      <c r="BL207">
        <v>7</v>
      </c>
      <c r="BM207">
        <v>7</v>
      </c>
      <c r="BN207">
        <v>37</v>
      </c>
      <c r="BO207">
        <v>155</v>
      </c>
      <c r="BP207">
        <f t="shared" si="30"/>
        <v>-118</v>
      </c>
      <c r="BQ207" t="s">
        <v>114</v>
      </c>
      <c r="BR207" t="s">
        <v>114</v>
      </c>
      <c r="BS207" t="s">
        <v>114</v>
      </c>
      <c r="BT207" t="s">
        <v>114</v>
      </c>
      <c r="BU207" t="s">
        <v>114</v>
      </c>
      <c r="BV207" t="s">
        <v>114</v>
      </c>
      <c r="BW207" t="s">
        <v>114</v>
      </c>
      <c r="BX207" t="s">
        <v>114</v>
      </c>
      <c r="BY207" t="s">
        <v>114</v>
      </c>
      <c r="BZ207" t="s">
        <v>114</v>
      </c>
      <c r="CA207" t="s">
        <v>114</v>
      </c>
      <c r="CB207" t="s">
        <v>114</v>
      </c>
      <c r="CC207" t="s">
        <v>114</v>
      </c>
      <c r="CD207" t="s">
        <v>114</v>
      </c>
      <c r="CE207" t="s">
        <v>114</v>
      </c>
      <c r="CF207" t="s">
        <v>114</v>
      </c>
      <c r="CG207" t="s">
        <v>114</v>
      </c>
      <c r="CH207" t="s">
        <v>114</v>
      </c>
      <c r="CI207" t="s">
        <v>114</v>
      </c>
      <c r="CJ207" t="s">
        <v>114</v>
      </c>
      <c r="CK207" t="s">
        <v>114</v>
      </c>
      <c r="CL207" t="s">
        <v>114</v>
      </c>
      <c r="CM207" t="s">
        <v>114</v>
      </c>
      <c r="CN207" t="s">
        <v>114</v>
      </c>
      <c r="CO207" t="s">
        <v>114</v>
      </c>
      <c r="CP207" t="s">
        <v>114</v>
      </c>
      <c r="CQ207" t="s">
        <v>114</v>
      </c>
      <c r="CR207" t="s">
        <v>114</v>
      </c>
      <c r="CS207" t="s">
        <v>114</v>
      </c>
      <c r="CT207" t="s">
        <v>114</v>
      </c>
      <c r="CU207" t="s">
        <v>114</v>
      </c>
      <c r="CV207" t="s">
        <v>114</v>
      </c>
      <c r="CW207" t="s">
        <v>114</v>
      </c>
    </row>
    <row r="208" spans="1:101" x14ac:dyDescent="0.25">
      <c r="A208" t="s">
        <v>70</v>
      </c>
      <c r="B208">
        <v>10</v>
      </c>
      <c r="C208" t="s">
        <v>19</v>
      </c>
      <c r="D208" t="s">
        <v>95</v>
      </c>
      <c r="E208" t="s">
        <v>102</v>
      </c>
      <c r="F208" t="s">
        <v>120</v>
      </c>
      <c r="G208" t="s">
        <v>273</v>
      </c>
      <c r="H208" t="str">
        <f t="shared" si="31"/>
        <v>A.calendula.Solo.Shade</v>
      </c>
      <c r="I208" t="s">
        <v>673</v>
      </c>
      <c r="J208" t="s">
        <v>482</v>
      </c>
      <c r="K208">
        <v>0</v>
      </c>
      <c r="L208">
        <v>90</v>
      </c>
      <c r="M208">
        <v>100</v>
      </c>
      <c r="N208">
        <v>100</v>
      </c>
      <c r="O208" t="s">
        <v>114</v>
      </c>
      <c r="P208">
        <v>85</v>
      </c>
      <c r="Q208">
        <v>70</v>
      </c>
      <c r="R208">
        <v>40</v>
      </c>
      <c r="S208">
        <f t="shared" si="33"/>
        <v>55</v>
      </c>
      <c r="T208">
        <f t="shared" si="34"/>
        <v>0.55000000000000004</v>
      </c>
      <c r="U208" t="s">
        <v>15</v>
      </c>
      <c r="V208" t="s">
        <v>114</v>
      </c>
      <c r="W208" t="s">
        <v>114</v>
      </c>
      <c r="X208">
        <v>17.899999999999999</v>
      </c>
      <c r="Y208">
        <v>15.4</v>
      </c>
      <c r="Z208">
        <v>18.399999999999999</v>
      </c>
      <c r="AA208">
        <v>17.233333330000001</v>
      </c>
      <c r="AB208">
        <v>14.766666669999999</v>
      </c>
      <c r="AC208">
        <v>16.899999999999999</v>
      </c>
      <c r="AD208">
        <v>15.9</v>
      </c>
      <c r="AE208">
        <v>11.5</v>
      </c>
      <c r="AF208">
        <v>14.766666669999999</v>
      </c>
      <c r="AG208">
        <v>16.899999999999999</v>
      </c>
      <c r="AH208">
        <v>15.9</v>
      </c>
      <c r="AI208">
        <v>19.8</v>
      </c>
      <c r="AJ208">
        <v>17.533333330000001</v>
      </c>
      <c r="AK208">
        <v>17.399999999999999</v>
      </c>
      <c r="AL208">
        <v>15.9</v>
      </c>
      <c r="AM208">
        <v>17.399999999999999</v>
      </c>
      <c r="AN208">
        <v>16.899999999999999</v>
      </c>
      <c r="AO208">
        <v>16.899999999999999</v>
      </c>
      <c r="AP208">
        <v>5.6</v>
      </c>
      <c r="AQ208">
        <v>6.6</v>
      </c>
      <c r="AR208" t="s">
        <v>114</v>
      </c>
      <c r="AS208">
        <v>6.1</v>
      </c>
      <c r="AT208">
        <v>5.0999999999999996</v>
      </c>
      <c r="AU208">
        <v>6.1</v>
      </c>
      <c r="AV208">
        <v>6.1</v>
      </c>
      <c r="AW208">
        <v>5.766666667</v>
      </c>
      <c r="AX208">
        <v>5.766666667</v>
      </c>
      <c r="AY208">
        <v>-9</v>
      </c>
      <c r="AZ208">
        <v>30</v>
      </c>
      <c r="BA208">
        <v>30</v>
      </c>
      <c r="BB208">
        <v>30</v>
      </c>
      <c r="BC208">
        <v>0</v>
      </c>
      <c r="BD208">
        <v>0</v>
      </c>
      <c r="BE208">
        <v>0</v>
      </c>
      <c r="BF208">
        <v>0</v>
      </c>
      <c r="BG208">
        <v>10</v>
      </c>
      <c r="BI208">
        <v>11.2</v>
      </c>
      <c r="BJ208">
        <v>42.911000000000001</v>
      </c>
      <c r="BK208">
        <v>0</v>
      </c>
      <c r="BL208">
        <v>5</v>
      </c>
      <c r="BM208">
        <v>4</v>
      </c>
      <c r="BN208">
        <v>124</v>
      </c>
      <c r="BO208">
        <v>274</v>
      </c>
      <c r="BP208">
        <f t="shared" si="30"/>
        <v>-150</v>
      </c>
      <c r="BQ208" t="s">
        <v>114</v>
      </c>
      <c r="BR208" t="s">
        <v>114</v>
      </c>
      <c r="BS208" t="s">
        <v>114</v>
      </c>
      <c r="BT208" t="s">
        <v>114</v>
      </c>
      <c r="BU208" t="s">
        <v>114</v>
      </c>
      <c r="BV208" t="s">
        <v>114</v>
      </c>
      <c r="BW208" t="s">
        <v>114</v>
      </c>
      <c r="BX208" t="s">
        <v>114</v>
      </c>
      <c r="BY208" t="s">
        <v>114</v>
      </c>
      <c r="BZ208" t="s">
        <v>114</v>
      </c>
      <c r="CA208" t="s">
        <v>114</v>
      </c>
      <c r="CB208" t="s">
        <v>114</v>
      </c>
      <c r="CC208" t="s">
        <v>114</v>
      </c>
      <c r="CD208" t="s">
        <v>114</v>
      </c>
      <c r="CE208" t="s">
        <v>114</v>
      </c>
      <c r="CF208" t="s">
        <v>114</v>
      </c>
      <c r="CG208" t="s">
        <v>114</v>
      </c>
      <c r="CH208" t="s">
        <v>114</v>
      </c>
      <c r="CI208" t="s">
        <v>114</v>
      </c>
      <c r="CJ208" t="s">
        <v>114</v>
      </c>
      <c r="CK208" t="s">
        <v>114</v>
      </c>
      <c r="CL208" t="s">
        <v>114</v>
      </c>
      <c r="CM208" t="s">
        <v>114</v>
      </c>
      <c r="CN208" t="s">
        <v>114</v>
      </c>
      <c r="CO208" t="s">
        <v>114</v>
      </c>
      <c r="CP208" t="s">
        <v>114</v>
      </c>
      <c r="CQ208" t="s">
        <v>114</v>
      </c>
      <c r="CR208" t="s">
        <v>114</v>
      </c>
      <c r="CS208" t="s">
        <v>114</v>
      </c>
      <c r="CT208" t="s">
        <v>114</v>
      </c>
      <c r="CU208" t="s">
        <v>114</v>
      </c>
      <c r="CV208" t="s">
        <v>114</v>
      </c>
      <c r="CW208" t="s">
        <v>114</v>
      </c>
    </row>
    <row r="209" spans="1:101" x14ac:dyDescent="0.25">
      <c r="A209" t="s">
        <v>70</v>
      </c>
      <c r="B209">
        <v>10</v>
      </c>
      <c r="C209" t="s">
        <v>19</v>
      </c>
      <c r="D209" t="s">
        <v>95</v>
      </c>
      <c r="E209" t="s">
        <v>105</v>
      </c>
      <c r="F209" t="s">
        <v>120</v>
      </c>
      <c r="G209" t="s">
        <v>274</v>
      </c>
      <c r="H209" t="str">
        <f t="shared" si="31"/>
        <v>H.glabra.Solo.Shade</v>
      </c>
      <c r="I209" t="s">
        <v>676</v>
      </c>
      <c r="J209" t="s">
        <v>483</v>
      </c>
      <c r="K209">
        <v>0</v>
      </c>
      <c r="L209">
        <v>15</v>
      </c>
      <c r="M209">
        <v>50</v>
      </c>
      <c r="N209">
        <v>50</v>
      </c>
      <c r="O209" t="s">
        <v>114</v>
      </c>
      <c r="P209">
        <v>110</v>
      </c>
      <c r="Q209">
        <v>110</v>
      </c>
      <c r="R209">
        <v>90</v>
      </c>
      <c r="S209">
        <f t="shared" si="33"/>
        <v>100</v>
      </c>
      <c r="T209">
        <f t="shared" si="34"/>
        <v>2</v>
      </c>
      <c r="U209" t="s">
        <v>15</v>
      </c>
      <c r="V209" t="s">
        <v>114</v>
      </c>
      <c r="W209" t="s">
        <v>114</v>
      </c>
      <c r="X209">
        <v>17.899999999999999</v>
      </c>
      <c r="Y209">
        <v>15.4</v>
      </c>
      <c r="Z209">
        <v>18.399999999999999</v>
      </c>
      <c r="AA209">
        <v>17.233333330000001</v>
      </c>
      <c r="AB209">
        <v>13.766666669999999</v>
      </c>
      <c r="AC209">
        <v>14.4</v>
      </c>
      <c r="AD209">
        <v>13</v>
      </c>
      <c r="AE209">
        <v>13.9</v>
      </c>
      <c r="AF209">
        <v>13.766666669999999</v>
      </c>
      <c r="AG209">
        <v>16.899999999999999</v>
      </c>
      <c r="AH209">
        <v>15.9</v>
      </c>
      <c r="AI209">
        <v>19.8</v>
      </c>
      <c r="AJ209">
        <v>17.533333330000001</v>
      </c>
      <c r="AK209">
        <v>13.5</v>
      </c>
      <c r="AL209">
        <v>15.4</v>
      </c>
      <c r="AM209">
        <v>13.9</v>
      </c>
      <c r="AN209">
        <v>14.266666669999999</v>
      </c>
      <c r="AO209">
        <v>14.266666669999999</v>
      </c>
      <c r="AP209">
        <v>5.6</v>
      </c>
      <c r="AQ209">
        <v>6.6</v>
      </c>
      <c r="AR209" t="s">
        <v>114</v>
      </c>
      <c r="AS209">
        <v>6.1</v>
      </c>
      <c r="AT209">
        <v>4.5999999999999996</v>
      </c>
      <c r="AU209">
        <v>5.6</v>
      </c>
      <c r="AV209">
        <v>6.1</v>
      </c>
      <c r="AW209">
        <v>5.4333333330000002</v>
      </c>
      <c r="AX209">
        <v>5.4333333330000002</v>
      </c>
      <c r="AY209">
        <v>-8.3333333330000006</v>
      </c>
      <c r="AZ209">
        <v>0</v>
      </c>
      <c r="BA209">
        <v>70</v>
      </c>
      <c r="BB209">
        <v>30</v>
      </c>
      <c r="BC209">
        <v>0</v>
      </c>
      <c r="BD209">
        <v>0</v>
      </c>
      <c r="BE209">
        <v>0</v>
      </c>
      <c r="BF209">
        <v>0</v>
      </c>
      <c r="BG209">
        <v>0</v>
      </c>
      <c r="BI209">
        <v>11.2</v>
      </c>
      <c r="BJ209">
        <v>42.911000000000001</v>
      </c>
      <c r="BK209">
        <v>0</v>
      </c>
      <c r="BL209">
        <v>5</v>
      </c>
      <c r="BM209">
        <v>4</v>
      </c>
      <c r="BN209">
        <v>326</v>
      </c>
      <c r="BO209">
        <v>215.5</v>
      </c>
      <c r="BP209">
        <f t="shared" si="30"/>
        <v>110.5</v>
      </c>
      <c r="BQ209" t="s">
        <v>114</v>
      </c>
      <c r="BR209" t="s">
        <v>114</v>
      </c>
      <c r="BS209" t="s">
        <v>114</v>
      </c>
      <c r="BT209" t="s">
        <v>114</v>
      </c>
      <c r="BU209" t="s">
        <v>114</v>
      </c>
      <c r="BV209" t="s">
        <v>114</v>
      </c>
      <c r="BW209" t="s">
        <v>114</v>
      </c>
      <c r="BX209" t="s">
        <v>114</v>
      </c>
      <c r="BY209" t="s">
        <v>114</v>
      </c>
      <c r="BZ209" t="s">
        <v>114</v>
      </c>
      <c r="CA209" t="s">
        <v>114</v>
      </c>
      <c r="CB209" t="s">
        <v>114</v>
      </c>
      <c r="CC209" t="s">
        <v>114</v>
      </c>
      <c r="CD209" t="s">
        <v>114</v>
      </c>
      <c r="CE209" t="s">
        <v>114</v>
      </c>
      <c r="CF209" t="s">
        <v>114</v>
      </c>
      <c r="CG209" t="s">
        <v>114</v>
      </c>
      <c r="CH209" t="s">
        <v>114</v>
      </c>
      <c r="CI209" t="s">
        <v>114</v>
      </c>
      <c r="CJ209" t="s">
        <v>114</v>
      </c>
      <c r="CK209" t="s">
        <v>114</v>
      </c>
      <c r="CL209" t="s">
        <v>114</v>
      </c>
      <c r="CM209" t="s">
        <v>114</v>
      </c>
      <c r="CN209" t="s">
        <v>114</v>
      </c>
      <c r="CO209" t="s">
        <v>114</v>
      </c>
      <c r="CP209" t="s">
        <v>114</v>
      </c>
      <c r="CQ209" t="s">
        <v>114</v>
      </c>
      <c r="CR209" t="s">
        <v>114</v>
      </c>
      <c r="CS209" t="s">
        <v>114</v>
      </c>
      <c r="CT209" t="s">
        <v>114</v>
      </c>
      <c r="CU209" t="s">
        <v>114</v>
      </c>
      <c r="CV209" t="s">
        <v>114</v>
      </c>
      <c r="CW209" t="s">
        <v>114</v>
      </c>
    </row>
    <row r="210" spans="1:101" x14ac:dyDescent="0.25">
      <c r="A210" t="s">
        <v>70</v>
      </c>
      <c r="B210">
        <v>10</v>
      </c>
      <c r="C210" t="s">
        <v>19</v>
      </c>
      <c r="D210" t="s">
        <v>95</v>
      </c>
      <c r="E210" t="s">
        <v>111</v>
      </c>
      <c r="F210" t="s">
        <v>120</v>
      </c>
      <c r="G210" t="s">
        <v>271</v>
      </c>
      <c r="H210" t="str">
        <f t="shared" si="31"/>
        <v>P.canescens.Solo.Shade</v>
      </c>
      <c r="I210" t="s">
        <v>671</v>
      </c>
      <c r="J210" t="s">
        <v>484</v>
      </c>
      <c r="K210">
        <v>0</v>
      </c>
      <c r="L210">
        <v>290</v>
      </c>
      <c r="M210">
        <v>205</v>
      </c>
      <c r="N210">
        <v>205</v>
      </c>
      <c r="O210" t="s">
        <v>114</v>
      </c>
      <c r="P210">
        <v>65</v>
      </c>
      <c r="Q210">
        <v>90</v>
      </c>
      <c r="R210">
        <v>85</v>
      </c>
      <c r="S210">
        <f t="shared" si="33"/>
        <v>87.5</v>
      </c>
      <c r="T210">
        <f t="shared" si="34"/>
        <v>0.42682926829268292</v>
      </c>
      <c r="U210" t="s">
        <v>15</v>
      </c>
      <c r="V210" t="s">
        <v>114</v>
      </c>
      <c r="W210" t="s">
        <v>114</v>
      </c>
      <c r="X210">
        <v>17.899999999999999</v>
      </c>
      <c r="Y210">
        <v>15.4</v>
      </c>
      <c r="Z210">
        <v>18.399999999999999</v>
      </c>
      <c r="AA210">
        <v>17.233333330000001</v>
      </c>
      <c r="AB210">
        <v>15.4</v>
      </c>
      <c r="AC210">
        <v>16.899999999999999</v>
      </c>
      <c r="AD210">
        <v>14.4</v>
      </c>
      <c r="AE210">
        <v>14.9</v>
      </c>
      <c r="AF210">
        <v>15.4</v>
      </c>
      <c r="AG210">
        <v>16.899999999999999</v>
      </c>
      <c r="AH210">
        <v>15.9</v>
      </c>
      <c r="AI210">
        <v>19.8</v>
      </c>
      <c r="AJ210">
        <v>17.533333330000001</v>
      </c>
      <c r="AK210">
        <v>18.399999999999999</v>
      </c>
      <c r="AL210">
        <v>16.399999999999999</v>
      </c>
      <c r="AM210">
        <v>16.399999999999999</v>
      </c>
      <c r="AN210">
        <v>17.06666667</v>
      </c>
      <c r="AO210">
        <v>17.06666667</v>
      </c>
      <c r="AP210">
        <v>5.6</v>
      </c>
      <c r="AQ210">
        <v>6.6</v>
      </c>
      <c r="AR210" t="s">
        <v>114</v>
      </c>
      <c r="AS210">
        <v>6.1</v>
      </c>
      <c r="AT210">
        <v>5.6</v>
      </c>
      <c r="AU210">
        <v>5.6</v>
      </c>
      <c r="AV210" t="s">
        <v>114</v>
      </c>
      <c r="AW210">
        <v>5.6</v>
      </c>
      <c r="AX210">
        <v>5.6</v>
      </c>
      <c r="AY210">
        <v>-9.8000000000000007</v>
      </c>
      <c r="AZ210">
        <v>40</v>
      </c>
      <c r="BA210">
        <v>40</v>
      </c>
      <c r="BB210">
        <v>10</v>
      </c>
      <c r="BC210">
        <v>10</v>
      </c>
      <c r="BD210">
        <v>0</v>
      </c>
      <c r="BE210">
        <v>0</v>
      </c>
      <c r="BF210">
        <v>0</v>
      </c>
      <c r="BG210">
        <v>0</v>
      </c>
      <c r="BI210">
        <v>11.2</v>
      </c>
      <c r="BJ210">
        <v>42.911000000000001</v>
      </c>
      <c r="BK210">
        <v>0</v>
      </c>
      <c r="BL210">
        <v>22</v>
      </c>
      <c r="BM210">
        <v>15</v>
      </c>
      <c r="BN210">
        <v>851</v>
      </c>
      <c r="BO210">
        <v>639.25</v>
      </c>
      <c r="BP210">
        <f t="shared" si="30"/>
        <v>211.75</v>
      </c>
      <c r="BQ210" t="s">
        <v>114</v>
      </c>
      <c r="BR210" t="s">
        <v>114</v>
      </c>
      <c r="BS210" t="s">
        <v>114</v>
      </c>
      <c r="BT210" t="s">
        <v>114</v>
      </c>
      <c r="BU210" t="s">
        <v>114</v>
      </c>
      <c r="BV210" t="s">
        <v>114</v>
      </c>
      <c r="BW210" t="s">
        <v>114</v>
      </c>
      <c r="BX210" t="s">
        <v>114</v>
      </c>
      <c r="BY210" t="s">
        <v>114</v>
      </c>
      <c r="BZ210" t="s">
        <v>114</v>
      </c>
      <c r="CA210" t="s">
        <v>114</v>
      </c>
      <c r="CB210" t="s">
        <v>114</v>
      </c>
      <c r="CC210" t="s">
        <v>114</v>
      </c>
      <c r="CD210" t="s">
        <v>114</v>
      </c>
      <c r="CE210" t="s">
        <v>114</v>
      </c>
      <c r="CF210" t="s">
        <v>114</v>
      </c>
      <c r="CG210" t="s">
        <v>114</v>
      </c>
      <c r="CH210" t="s">
        <v>114</v>
      </c>
      <c r="CI210" t="s">
        <v>114</v>
      </c>
      <c r="CJ210" t="s">
        <v>114</v>
      </c>
      <c r="CK210" t="s">
        <v>114</v>
      </c>
      <c r="CL210" t="s">
        <v>114</v>
      </c>
      <c r="CM210" t="s">
        <v>114</v>
      </c>
      <c r="CN210" t="s">
        <v>114</v>
      </c>
      <c r="CO210" t="s">
        <v>114</v>
      </c>
      <c r="CP210" t="s">
        <v>114</v>
      </c>
      <c r="CQ210" t="s">
        <v>114</v>
      </c>
      <c r="CR210" t="s">
        <v>114</v>
      </c>
      <c r="CS210" t="s">
        <v>114</v>
      </c>
      <c r="CT210" t="s">
        <v>114</v>
      </c>
      <c r="CU210" t="s">
        <v>114</v>
      </c>
      <c r="CV210" t="s">
        <v>114</v>
      </c>
      <c r="CW210" t="s">
        <v>114</v>
      </c>
    </row>
    <row r="211" spans="1:101" x14ac:dyDescent="0.25">
      <c r="A211" t="s">
        <v>71</v>
      </c>
      <c r="B211">
        <v>10</v>
      </c>
      <c r="C211" t="s">
        <v>21</v>
      </c>
      <c r="D211" t="s">
        <v>94</v>
      </c>
      <c r="E211" t="s">
        <v>102</v>
      </c>
      <c r="F211" t="s">
        <v>120</v>
      </c>
      <c r="G211" t="s">
        <v>273</v>
      </c>
      <c r="H211" t="str">
        <f t="shared" si="31"/>
        <v>A.calendula.Solo.Open</v>
      </c>
      <c r="I211" t="s">
        <v>677</v>
      </c>
      <c r="J211" t="s">
        <v>485</v>
      </c>
      <c r="K211">
        <v>0</v>
      </c>
      <c r="L211">
        <v>160</v>
      </c>
      <c r="M211">
        <v>115</v>
      </c>
      <c r="N211">
        <v>115</v>
      </c>
      <c r="O211" t="s">
        <v>114</v>
      </c>
      <c r="P211">
        <v>125</v>
      </c>
      <c r="Q211">
        <v>105</v>
      </c>
      <c r="R211">
        <v>100</v>
      </c>
      <c r="S211">
        <f t="shared" si="33"/>
        <v>102.5</v>
      </c>
      <c r="T211">
        <f t="shared" si="34"/>
        <v>0.89130434782608692</v>
      </c>
      <c r="U211" t="s">
        <v>792</v>
      </c>
      <c r="V211" t="s">
        <v>114</v>
      </c>
      <c r="W211" t="s">
        <v>114</v>
      </c>
      <c r="X211">
        <v>11.5</v>
      </c>
      <c r="Y211">
        <v>11.5</v>
      </c>
      <c r="Z211">
        <v>12.5</v>
      </c>
      <c r="AA211">
        <v>11.83333333</v>
      </c>
      <c r="AB211">
        <v>13.133333329999999</v>
      </c>
      <c r="AC211">
        <v>13.9</v>
      </c>
      <c r="AD211">
        <v>13</v>
      </c>
      <c r="AE211">
        <v>12.5</v>
      </c>
      <c r="AF211">
        <v>13.133333329999999</v>
      </c>
      <c r="AG211">
        <v>14.4</v>
      </c>
      <c r="AH211">
        <v>13</v>
      </c>
      <c r="AI211">
        <v>14</v>
      </c>
      <c r="AJ211">
        <v>13.8</v>
      </c>
      <c r="AK211">
        <v>13.9</v>
      </c>
      <c r="AL211">
        <v>14.4</v>
      </c>
      <c r="AM211">
        <v>16.399999999999999</v>
      </c>
      <c r="AN211">
        <v>14.9</v>
      </c>
      <c r="AO211">
        <v>14.9</v>
      </c>
      <c r="AP211">
        <v>3.6</v>
      </c>
      <c r="AQ211">
        <v>5.6</v>
      </c>
      <c r="AR211">
        <v>8.1</v>
      </c>
      <c r="AS211">
        <v>5.766666667</v>
      </c>
      <c r="AT211">
        <v>6.1</v>
      </c>
      <c r="AU211">
        <v>6.6</v>
      </c>
      <c r="AV211">
        <v>6.1</v>
      </c>
      <c r="AW211">
        <v>6.266666667</v>
      </c>
      <c r="AX211">
        <v>6.266666667</v>
      </c>
      <c r="AY211">
        <v>-6.8666666669999996</v>
      </c>
      <c r="AZ211">
        <v>40</v>
      </c>
      <c r="BA211">
        <v>0</v>
      </c>
      <c r="BB211">
        <v>40</v>
      </c>
      <c r="BC211">
        <v>20</v>
      </c>
      <c r="BD211">
        <v>0</v>
      </c>
      <c r="BE211">
        <v>1</v>
      </c>
      <c r="BF211">
        <v>0</v>
      </c>
      <c r="BG211">
        <v>0</v>
      </c>
      <c r="BI211">
        <v>6.9</v>
      </c>
      <c r="BJ211">
        <v>2.4950000000000001</v>
      </c>
      <c r="BK211">
        <v>0</v>
      </c>
      <c r="BL211">
        <v>16</v>
      </c>
      <c r="BM211">
        <v>16</v>
      </c>
      <c r="BN211">
        <v>405</v>
      </c>
      <c r="BO211">
        <v>560.5</v>
      </c>
      <c r="BP211">
        <f t="shared" si="30"/>
        <v>-155.5</v>
      </c>
      <c r="BQ211" t="s">
        <v>114</v>
      </c>
      <c r="BR211" t="s">
        <v>114</v>
      </c>
      <c r="BS211" t="s">
        <v>114</v>
      </c>
      <c r="BT211" t="s">
        <v>114</v>
      </c>
      <c r="BU211" t="s">
        <v>114</v>
      </c>
      <c r="BV211" t="s">
        <v>114</v>
      </c>
      <c r="BW211" t="s">
        <v>114</v>
      </c>
      <c r="BX211" t="s">
        <v>114</v>
      </c>
      <c r="BY211" t="s">
        <v>114</v>
      </c>
      <c r="BZ211" t="s">
        <v>114</v>
      </c>
      <c r="CA211" t="s">
        <v>114</v>
      </c>
      <c r="CB211" t="s">
        <v>114</v>
      </c>
      <c r="CC211" t="s">
        <v>114</v>
      </c>
      <c r="CD211" t="s">
        <v>114</v>
      </c>
      <c r="CE211" t="s">
        <v>114</v>
      </c>
      <c r="CF211" t="s">
        <v>114</v>
      </c>
      <c r="CG211" t="s">
        <v>114</v>
      </c>
      <c r="CH211" t="s">
        <v>114</v>
      </c>
      <c r="CI211" t="s">
        <v>114</v>
      </c>
      <c r="CJ211" t="s">
        <v>114</v>
      </c>
      <c r="CK211" t="s">
        <v>114</v>
      </c>
      <c r="CL211" t="s">
        <v>114</v>
      </c>
      <c r="CM211" t="s">
        <v>114</v>
      </c>
      <c r="CN211" t="s">
        <v>114</v>
      </c>
      <c r="CO211" t="s">
        <v>114</v>
      </c>
      <c r="CP211" t="s">
        <v>114</v>
      </c>
      <c r="CQ211" t="s">
        <v>114</v>
      </c>
      <c r="CR211" t="s">
        <v>114</v>
      </c>
      <c r="CS211" t="s">
        <v>114</v>
      </c>
      <c r="CT211" t="s">
        <v>114</v>
      </c>
      <c r="CU211" t="s">
        <v>114</v>
      </c>
      <c r="CV211" t="s">
        <v>114</v>
      </c>
      <c r="CW211" t="s">
        <v>114</v>
      </c>
    </row>
    <row r="212" spans="1:101" x14ac:dyDescent="0.25">
      <c r="A212" t="s">
        <v>71</v>
      </c>
      <c r="B212">
        <v>10</v>
      </c>
      <c r="C212" t="s">
        <v>21</v>
      </c>
      <c r="D212" t="s">
        <v>94</v>
      </c>
      <c r="E212" t="s">
        <v>111</v>
      </c>
      <c r="F212" t="s">
        <v>120</v>
      </c>
      <c r="G212" t="s">
        <v>271</v>
      </c>
      <c r="H212" t="str">
        <f t="shared" si="31"/>
        <v>P.canescens.Solo.Open</v>
      </c>
      <c r="I212" t="s">
        <v>678</v>
      </c>
      <c r="J212" t="s">
        <v>486</v>
      </c>
      <c r="K212">
        <v>0</v>
      </c>
      <c r="L212">
        <v>330</v>
      </c>
      <c r="M212">
        <v>190</v>
      </c>
      <c r="N212">
        <v>190</v>
      </c>
      <c r="O212" t="s">
        <v>114</v>
      </c>
      <c r="P212">
        <v>65</v>
      </c>
      <c r="Q212">
        <v>180</v>
      </c>
      <c r="R212">
        <v>65</v>
      </c>
      <c r="S212">
        <f t="shared" si="33"/>
        <v>122.5</v>
      </c>
      <c r="T212">
        <f t="shared" si="34"/>
        <v>0.64473684210526316</v>
      </c>
      <c r="U212" t="s">
        <v>15</v>
      </c>
      <c r="V212" t="s">
        <v>114</v>
      </c>
      <c r="W212" t="s">
        <v>114</v>
      </c>
      <c r="X212">
        <v>11.5</v>
      </c>
      <c r="Y212">
        <v>11.5</v>
      </c>
      <c r="Z212">
        <v>12.5</v>
      </c>
      <c r="AA212">
        <v>11.83333333</v>
      </c>
      <c r="AB212">
        <v>14.43333333</v>
      </c>
      <c r="AC212">
        <v>13.5</v>
      </c>
      <c r="AD212">
        <v>14.4</v>
      </c>
      <c r="AE212">
        <v>15.4</v>
      </c>
      <c r="AF212">
        <v>14.43333333</v>
      </c>
      <c r="AG212">
        <v>14.4</v>
      </c>
      <c r="AH212">
        <v>13</v>
      </c>
      <c r="AI212">
        <v>14</v>
      </c>
      <c r="AJ212">
        <v>13.8</v>
      </c>
      <c r="AK212">
        <v>13.9</v>
      </c>
      <c r="AL212">
        <v>15.9</v>
      </c>
      <c r="AM212">
        <v>17.399999999999999</v>
      </c>
      <c r="AN212">
        <v>15.733333330000001</v>
      </c>
      <c r="AO212">
        <v>15.733333330000001</v>
      </c>
      <c r="AP212">
        <v>3.6</v>
      </c>
      <c r="AQ212">
        <v>5.6</v>
      </c>
      <c r="AR212">
        <v>8.1</v>
      </c>
      <c r="AS212">
        <v>5.766666667</v>
      </c>
      <c r="AT212">
        <v>5.6</v>
      </c>
      <c r="AU212">
        <v>6.6</v>
      </c>
      <c r="AV212">
        <v>5.0999999999999996</v>
      </c>
      <c r="AW212">
        <v>5.766666667</v>
      </c>
      <c r="AX212">
        <v>5.766666667</v>
      </c>
      <c r="AY212">
        <v>-8.6666666669999994</v>
      </c>
      <c r="AZ212">
        <v>30</v>
      </c>
      <c r="BA212">
        <v>30</v>
      </c>
      <c r="BB212">
        <v>0</v>
      </c>
      <c r="BC212">
        <v>40</v>
      </c>
      <c r="BD212">
        <v>0</v>
      </c>
      <c r="BE212">
        <v>1</v>
      </c>
      <c r="BF212">
        <v>0</v>
      </c>
      <c r="BG212">
        <v>0</v>
      </c>
      <c r="BI212">
        <v>6.9</v>
      </c>
      <c r="BJ212">
        <v>2.4950000000000001</v>
      </c>
      <c r="BK212">
        <v>0</v>
      </c>
      <c r="BL212">
        <v>51</v>
      </c>
      <c r="BM212">
        <v>44</v>
      </c>
      <c r="BN212">
        <v>2519</v>
      </c>
      <c r="BO212">
        <v>2412</v>
      </c>
      <c r="BP212">
        <f t="shared" si="30"/>
        <v>107</v>
      </c>
      <c r="BQ212" t="s">
        <v>114</v>
      </c>
      <c r="BR212" t="s">
        <v>114</v>
      </c>
      <c r="BS212" t="s">
        <v>114</v>
      </c>
      <c r="BT212" t="s">
        <v>114</v>
      </c>
      <c r="BU212" t="s">
        <v>114</v>
      </c>
      <c r="BV212" t="s">
        <v>114</v>
      </c>
      <c r="BW212" t="s">
        <v>114</v>
      </c>
      <c r="BX212" t="s">
        <v>114</v>
      </c>
      <c r="BY212" t="s">
        <v>114</v>
      </c>
      <c r="BZ212" t="s">
        <v>114</v>
      </c>
      <c r="CA212" t="s">
        <v>114</v>
      </c>
      <c r="CB212" t="s">
        <v>114</v>
      </c>
      <c r="CC212" t="s">
        <v>114</v>
      </c>
      <c r="CD212" t="s">
        <v>114</v>
      </c>
      <c r="CE212" t="s">
        <v>114</v>
      </c>
      <c r="CF212" t="s">
        <v>114</v>
      </c>
      <c r="CG212" t="s">
        <v>114</v>
      </c>
      <c r="CH212" t="s">
        <v>114</v>
      </c>
      <c r="CI212" t="s">
        <v>114</v>
      </c>
      <c r="CJ212" t="s">
        <v>114</v>
      </c>
      <c r="CK212" t="s">
        <v>114</v>
      </c>
      <c r="CL212" t="s">
        <v>114</v>
      </c>
      <c r="CM212" t="s">
        <v>114</v>
      </c>
      <c r="CN212" t="s">
        <v>114</v>
      </c>
      <c r="CO212" t="s">
        <v>114</v>
      </c>
      <c r="CP212" t="s">
        <v>114</v>
      </c>
      <c r="CQ212" t="s">
        <v>114</v>
      </c>
      <c r="CR212" t="s">
        <v>114</v>
      </c>
      <c r="CS212" t="s">
        <v>114</v>
      </c>
      <c r="CT212" t="s">
        <v>114</v>
      </c>
      <c r="CU212" t="s">
        <v>114</v>
      </c>
      <c r="CV212" t="s">
        <v>114</v>
      </c>
      <c r="CW212" t="s">
        <v>114</v>
      </c>
    </row>
    <row r="213" spans="1:101" x14ac:dyDescent="0.25">
      <c r="A213" t="s">
        <v>71</v>
      </c>
      <c r="B213">
        <v>10</v>
      </c>
      <c r="C213" t="s">
        <v>21</v>
      </c>
      <c r="D213" t="s">
        <v>94</v>
      </c>
      <c r="E213" t="s">
        <v>104</v>
      </c>
      <c r="F213" t="s">
        <v>120</v>
      </c>
      <c r="G213" t="s">
        <v>272</v>
      </c>
      <c r="H213" t="str">
        <f t="shared" si="31"/>
        <v>T.cyanopetala.Solo.Open</v>
      </c>
      <c r="I213" t="s">
        <v>679</v>
      </c>
      <c r="J213" t="s">
        <v>487</v>
      </c>
      <c r="K213">
        <v>0</v>
      </c>
      <c r="L213">
        <v>25</v>
      </c>
      <c r="M213">
        <v>140</v>
      </c>
      <c r="N213">
        <v>140</v>
      </c>
      <c r="O213" t="s">
        <v>114</v>
      </c>
      <c r="P213">
        <v>30</v>
      </c>
      <c r="Q213">
        <v>90</v>
      </c>
      <c r="R213">
        <v>35</v>
      </c>
      <c r="S213">
        <f t="shared" si="33"/>
        <v>62.5</v>
      </c>
      <c r="T213">
        <f t="shared" si="34"/>
        <v>0.44642857142857145</v>
      </c>
      <c r="U213" t="s">
        <v>794</v>
      </c>
      <c r="V213" t="s">
        <v>114</v>
      </c>
      <c r="W213" t="s">
        <v>114</v>
      </c>
      <c r="X213">
        <v>11.5</v>
      </c>
      <c r="Y213">
        <v>11.5</v>
      </c>
      <c r="Z213">
        <v>12.5</v>
      </c>
      <c r="AA213">
        <v>11.83333333</v>
      </c>
      <c r="AB213">
        <v>11.83333333</v>
      </c>
      <c r="AC213">
        <v>11.5</v>
      </c>
      <c r="AD213">
        <v>11.5</v>
      </c>
      <c r="AE213">
        <v>12.5</v>
      </c>
      <c r="AF213">
        <v>11.83333333</v>
      </c>
      <c r="AG213">
        <v>14.4</v>
      </c>
      <c r="AH213">
        <v>13</v>
      </c>
      <c r="AI213">
        <v>14</v>
      </c>
      <c r="AJ213">
        <v>13.8</v>
      </c>
      <c r="AK213">
        <v>14.9</v>
      </c>
      <c r="AL213">
        <v>17.399999999999999</v>
      </c>
      <c r="AM213">
        <v>18.399999999999999</v>
      </c>
      <c r="AN213">
        <v>16.899999999999999</v>
      </c>
      <c r="AO213">
        <v>16.899999999999999</v>
      </c>
      <c r="AP213">
        <v>3.6</v>
      </c>
      <c r="AQ213">
        <v>5.6</v>
      </c>
      <c r="AR213">
        <v>8.1</v>
      </c>
      <c r="AS213">
        <v>5.766666667</v>
      </c>
      <c r="AT213">
        <v>4.0999999999999996</v>
      </c>
      <c r="AU213">
        <v>6.1</v>
      </c>
      <c r="AV213">
        <v>7.6</v>
      </c>
      <c r="AW213">
        <v>5.9333333330000002</v>
      </c>
      <c r="AX213">
        <v>5.9333333330000002</v>
      </c>
      <c r="AY213">
        <v>-5.9</v>
      </c>
      <c r="AZ213">
        <v>70</v>
      </c>
      <c r="BA213">
        <v>10</v>
      </c>
      <c r="BB213">
        <v>0</v>
      </c>
      <c r="BC213">
        <v>10</v>
      </c>
      <c r="BD213">
        <v>0</v>
      </c>
      <c r="BE213">
        <v>1</v>
      </c>
      <c r="BF213">
        <v>10</v>
      </c>
      <c r="BG213">
        <v>0</v>
      </c>
      <c r="BI213">
        <v>6.9</v>
      </c>
      <c r="BJ213">
        <v>2.4950000000000001</v>
      </c>
      <c r="BK213">
        <v>0</v>
      </c>
      <c r="BL213">
        <v>28</v>
      </c>
      <c r="BM213">
        <v>28</v>
      </c>
      <c r="BN213">
        <v>150</v>
      </c>
      <c r="BO213">
        <v>150</v>
      </c>
      <c r="BP213">
        <f t="shared" si="30"/>
        <v>0</v>
      </c>
      <c r="BQ213" t="s">
        <v>114</v>
      </c>
      <c r="BR213" t="s">
        <v>114</v>
      </c>
      <c r="BS213" t="s">
        <v>114</v>
      </c>
      <c r="BT213" t="s">
        <v>114</v>
      </c>
      <c r="BU213" t="s">
        <v>114</v>
      </c>
      <c r="BV213" t="s">
        <v>114</v>
      </c>
      <c r="BW213" t="s">
        <v>114</v>
      </c>
      <c r="BX213" t="s">
        <v>114</v>
      </c>
      <c r="BY213" t="s">
        <v>114</v>
      </c>
      <c r="BZ213" t="s">
        <v>114</v>
      </c>
      <c r="CA213" t="s">
        <v>114</v>
      </c>
      <c r="CB213" t="s">
        <v>114</v>
      </c>
      <c r="CC213" t="s">
        <v>114</v>
      </c>
      <c r="CD213" t="s">
        <v>114</v>
      </c>
      <c r="CE213" t="s">
        <v>114</v>
      </c>
      <c r="CF213" t="s">
        <v>114</v>
      </c>
      <c r="CG213" t="s">
        <v>114</v>
      </c>
      <c r="CH213" t="s">
        <v>114</v>
      </c>
      <c r="CI213" t="s">
        <v>114</v>
      </c>
      <c r="CJ213" t="s">
        <v>114</v>
      </c>
      <c r="CK213" t="s">
        <v>114</v>
      </c>
      <c r="CL213" t="s">
        <v>114</v>
      </c>
      <c r="CM213" t="s">
        <v>114</v>
      </c>
      <c r="CN213" t="s">
        <v>114</v>
      </c>
      <c r="CO213" t="s">
        <v>114</v>
      </c>
      <c r="CP213" t="s">
        <v>114</v>
      </c>
      <c r="CQ213" t="s">
        <v>114</v>
      </c>
      <c r="CR213" t="s">
        <v>114</v>
      </c>
      <c r="CS213" t="s">
        <v>114</v>
      </c>
      <c r="CT213" t="s">
        <v>114</v>
      </c>
      <c r="CU213" t="s">
        <v>114</v>
      </c>
      <c r="CV213" t="s">
        <v>114</v>
      </c>
      <c r="CW213" t="s">
        <v>114</v>
      </c>
    </row>
    <row r="214" spans="1:101" x14ac:dyDescent="0.25">
      <c r="A214" t="s">
        <v>72</v>
      </c>
      <c r="B214">
        <v>10</v>
      </c>
      <c r="C214" t="s">
        <v>23</v>
      </c>
      <c r="D214" t="s">
        <v>95</v>
      </c>
      <c r="E214" t="s">
        <v>105</v>
      </c>
      <c r="F214" t="s">
        <v>120</v>
      </c>
      <c r="G214" t="s">
        <v>274</v>
      </c>
      <c r="H214" t="str">
        <f t="shared" si="31"/>
        <v>H.glabra.Solo.Shade</v>
      </c>
      <c r="I214" t="s">
        <v>676</v>
      </c>
      <c r="J214" t="s">
        <v>488</v>
      </c>
      <c r="K214">
        <v>0</v>
      </c>
      <c r="L214">
        <v>60</v>
      </c>
      <c r="M214">
        <v>35</v>
      </c>
      <c r="N214">
        <v>35</v>
      </c>
      <c r="O214" t="s">
        <v>114</v>
      </c>
      <c r="P214">
        <v>60</v>
      </c>
      <c r="Q214">
        <v>60</v>
      </c>
      <c r="R214">
        <v>40</v>
      </c>
      <c r="S214">
        <f t="shared" si="33"/>
        <v>50</v>
      </c>
      <c r="T214">
        <f t="shared" si="34"/>
        <v>1.4285714285714286</v>
      </c>
      <c r="U214" t="s">
        <v>15</v>
      </c>
      <c r="V214" t="s">
        <v>114</v>
      </c>
      <c r="W214" t="s">
        <v>114</v>
      </c>
      <c r="X214">
        <v>12</v>
      </c>
      <c r="Y214">
        <v>14.9</v>
      </c>
      <c r="Z214">
        <v>15.4</v>
      </c>
      <c r="AA214">
        <v>14.1</v>
      </c>
      <c r="AB214">
        <v>17.233333330000001</v>
      </c>
      <c r="AC214">
        <v>16.899999999999999</v>
      </c>
      <c r="AD214">
        <v>17.399999999999999</v>
      </c>
      <c r="AE214">
        <v>17.399999999999999</v>
      </c>
      <c r="AF214">
        <v>17.233333330000001</v>
      </c>
      <c r="AG214">
        <v>14.4</v>
      </c>
      <c r="AH214">
        <v>14.9</v>
      </c>
      <c r="AI214">
        <v>16.899999999999999</v>
      </c>
      <c r="AJ214">
        <v>15.4</v>
      </c>
      <c r="AK214">
        <v>21.3</v>
      </c>
      <c r="AL214">
        <v>18.399999999999999</v>
      </c>
      <c r="AM214">
        <v>19.3</v>
      </c>
      <c r="AN214">
        <v>19.666666670000001</v>
      </c>
      <c r="AO214">
        <v>19.666666670000001</v>
      </c>
      <c r="AP214">
        <v>8.5</v>
      </c>
      <c r="AQ214">
        <v>8.5</v>
      </c>
      <c r="AR214">
        <v>11</v>
      </c>
      <c r="AS214">
        <v>9.3333333330000006</v>
      </c>
      <c r="AT214">
        <v>8.5</v>
      </c>
      <c r="AU214">
        <v>8.5</v>
      </c>
      <c r="AV214">
        <v>9.5</v>
      </c>
      <c r="AW214">
        <v>8.8333333330000006</v>
      </c>
      <c r="AX214">
        <v>8.8333333330000006</v>
      </c>
      <c r="AY214">
        <v>-8.4</v>
      </c>
      <c r="AZ214">
        <v>100</v>
      </c>
      <c r="BA214">
        <v>0</v>
      </c>
      <c r="BB214">
        <v>0</v>
      </c>
      <c r="BC214">
        <v>0</v>
      </c>
      <c r="BD214">
        <v>0</v>
      </c>
      <c r="BE214">
        <v>1</v>
      </c>
      <c r="BF214">
        <v>0</v>
      </c>
      <c r="BG214">
        <v>0</v>
      </c>
      <c r="BI214">
        <v>7.9</v>
      </c>
      <c r="BJ214">
        <v>46.957999999999998</v>
      </c>
      <c r="BK214">
        <v>0</v>
      </c>
      <c r="BL214">
        <v>4</v>
      </c>
      <c r="BM214">
        <v>4</v>
      </c>
      <c r="BN214">
        <v>105</v>
      </c>
      <c r="BO214">
        <v>215.5</v>
      </c>
      <c r="BP214">
        <f t="shared" si="30"/>
        <v>-110.5</v>
      </c>
      <c r="BQ214" t="s">
        <v>114</v>
      </c>
      <c r="BR214" t="s">
        <v>114</v>
      </c>
      <c r="BS214" t="s">
        <v>114</v>
      </c>
      <c r="BT214" t="s">
        <v>114</v>
      </c>
      <c r="BU214" t="s">
        <v>114</v>
      </c>
      <c r="BV214" t="s">
        <v>114</v>
      </c>
      <c r="BW214" t="s">
        <v>114</v>
      </c>
      <c r="BX214" t="s">
        <v>114</v>
      </c>
      <c r="BY214" t="s">
        <v>114</v>
      </c>
      <c r="BZ214" t="s">
        <v>114</v>
      </c>
      <c r="CA214" t="s">
        <v>114</v>
      </c>
      <c r="CB214" t="s">
        <v>114</v>
      </c>
      <c r="CC214" t="s">
        <v>114</v>
      </c>
      <c r="CD214" t="s">
        <v>114</v>
      </c>
      <c r="CE214" t="s">
        <v>114</v>
      </c>
      <c r="CF214" t="s">
        <v>114</v>
      </c>
      <c r="CG214" t="s">
        <v>114</v>
      </c>
      <c r="CH214" t="s">
        <v>114</v>
      </c>
      <c r="CI214" t="s">
        <v>114</v>
      </c>
      <c r="CJ214" t="s">
        <v>114</v>
      </c>
      <c r="CK214" t="s">
        <v>114</v>
      </c>
      <c r="CL214" t="s">
        <v>114</v>
      </c>
      <c r="CM214" t="s">
        <v>114</v>
      </c>
      <c r="CN214" t="s">
        <v>114</v>
      </c>
      <c r="CO214" t="s">
        <v>114</v>
      </c>
      <c r="CP214" t="s">
        <v>114</v>
      </c>
      <c r="CQ214" t="s">
        <v>114</v>
      </c>
      <c r="CR214" t="s">
        <v>114</v>
      </c>
      <c r="CS214" t="s">
        <v>114</v>
      </c>
      <c r="CT214" t="s">
        <v>114</v>
      </c>
      <c r="CU214" t="s">
        <v>114</v>
      </c>
      <c r="CV214" t="s">
        <v>114</v>
      </c>
      <c r="CW214" t="s">
        <v>114</v>
      </c>
    </row>
    <row r="215" spans="1:101" x14ac:dyDescent="0.25">
      <c r="A215" t="s">
        <v>72</v>
      </c>
      <c r="B215">
        <v>10</v>
      </c>
      <c r="C215" t="s">
        <v>23</v>
      </c>
      <c r="D215" t="s">
        <v>95</v>
      </c>
      <c r="E215" t="s">
        <v>111</v>
      </c>
      <c r="F215" t="s">
        <v>120</v>
      </c>
      <c r="G215" t="s">
        <v>271</v>
      </c>
      <c r="H215" t="str">
        <f t="shared" si="31"/>
        <v>P.canescens.Solo.Shade</v>
      </c>
      <c r="I215" t="s">
        <v>671</v>
      </c>
      <c r="J215" t="s">
        <v>489</v>
      </c>
      <c r="K215">
        <v>0</v>
      </c>
      <c r="L215">
        <v>80</v>
      </c>
      <c r="M215">
        <v>280</v>
      </c>
      <c r="N215">
        <v>280</v>
      </c>
      <c r="O215" t="s">
        <v>114</v>
      </c>
      <c r="P215">
        <v>60</v>
      </c>
      <c r="Q215">
        <v>140</v>
      </c>
      <c r="R215">
        <v>40</v>
      </c>
      <c r="S215">
        <f t="shared" si="33"/>
        <v>90</v>
      </c>
      <c r="T215">
        <f t="shared" si="34"/>
        <v>0.32142857142857145</v>
      </c>
      <c r="U215" t="s">
        <v>15</v>
      </c>
      <c r="V215" t="s">
        <v>114</v>
      </c>
      <c r="W215" t="s">
        <v>114</v>
      </c>
      <c r="X215">
        <v>12</v>
      </c>
      <c r="Y215">
        <v>14.9</v>
      </c>
      <c r="Z215">
        <v>15.4</v>
      </c>
      <c r="AA215">
        <v>14.1</v>
      </c>
      <c r="AB215">
        <v>17.733333330000001</v>
      </c>
      <c r="AC215">
        <v>16.399999999999999</v>
      </c>
      <c r="AD215">
        <v>18.399999999999999</v>
      </c>
      <c r="AE215">
        <v>18.399999999999999</v>
      </c>
      <c r="AF215">
        <v>17.733333330000001</v>
      </c>
      <c r="AG215">
        <v>14.4</v>
      </c>
      <c r="AH215">
        <v>14.9</v>
      </c>
      <c r="AI215">
        <v>16.899999999999999</v>
      </c>
      <c r="AJ215">
        <v>15.4</v>
      </c>
      <c r="AK215">
        <v>19.8</v>
      </c>
      <c r="AL215">
        <v>18.399999999999999</v>
      </c>
      <c r="AM215">
        <v>19.8</v>
      </c>
      <c r="AN215">
        <v>19.333333329999999</v>
      </c>
      <c r="AO215">
        <v>19.333333329999999</v>
      </c>
      <c r="AP215">
        <v>8.5</v>
      </c>
      <c r="AQ215">
        <v>8.5</v>
      </c>
      <c r="AR215">
        <v>11</v>
      </c>
      <c r="AS215">
        <v>9.3333333330000006</v>
      </c>
      <c r="AT215">
        <v>8.5</v>
      </c>
      <c r="AU215">
        <v>8.5</v>
      </c>
      <c r="AV215">
        <v>11</v>
      </c>
      <c r="AW215">
        <v>9.3333333330000006</v>
      </c>
      <c r="AX215">
        <v>9.3333333330000006</v>
      </c>
      <c r="AY215">
        <v>-8.4</v>
      </c>
      <c r="AZ215">
        <v>80</v>
      </c>
      <c r="BA215">
        <v>0</v>
      </c>
      <c r="BB215">
        <v>0</v>
      </c>
      <c r="BC215">
        <v>10</v>
      </c>
      <c r="BD215">
        <v>0</v>
      </c>
      <c r="BE215">
        <v>1</v>
      </c>
      <c r="BF215">
        <v>0</v>
      </c>
      <c r="BG215">
        <v>10</v>
      </c>
      <c r="BI215">
        <v>7.9</v>
      </c>
      <c r="BJ215">
        <v>46.957999999999998</v>
      </c>
      <c r="BK215">
        <v>0</v>
      </c>
      <c r="BL215">
        <v>21</v>
      </c>
      <c r="BM215">
        <v>20</v>
      </c>
      <c r="BN215">
        <v>848</v>
      </c>
      <c r="BO215">
        <v>639.25</v>
      </c>
      <c r="BP215">
        <f t="shared" si="30"/>
        <v>208.75</v>
      </c>
      <c r="BQ215" t="s">
        <v>114</v>
      </c>
      <c r="BR215" t="s">
        <v>114</v>
      </c>
      <c r="BS215" t="s">
        <v>114</v>
      </c>
      <c r="BT215" t="s">
        <v>114</v>
      </c>
      <c r="BU215" t="s">
        <v>114</v>
      </c>
      <c r="BV215" t="s">
        <v>114</v>
      </c>
      <c r="BW215" t="s">
        <v>114</v>
      </c>
      <c r="BX215" t="s">
        <v>114</v>
      </c>
      <c r="BY215" t="s">
        <v>114</v>
      </c>
      <c r="BZ215" t="s">
        <v>114</v>
      </c>
      <c r="CA215" t="s">
        <v>114</v>
      </c>
      <c r="CB215" t="s">
        <v>114</v>
      </c>
      <c r="CC215" t="s">
        <v>114</v>
      </c>
      <c r="CD215" t="s">
        <v>114</v>
      </c>
      <c r="CE215" t="s">
        <v>114</v>
      </c>
      <c r="CF215" t="s">
        <v>114</v>
      </c>
      <c r="CG215" t="s">
        <v>114</v>
      </c>
      <c r="CH215" t="s">
        <v>114</v>
      </c>
      <c r="CI215" t="s">
        <v>114</v>
      </c>
      <c r="CJ215" t="s">
        <v>114</v>
      </c>
      <c r="CK215" t="s">
        <v>114</v>
      </c>
      <c r="CL215" t="s">
        <v>114</v>
      </c>
      <c r="CM215" t="s">
        <v>114</v>
      </c>
      <c r="CN215" t="s">
        <v>114</v>
      </c>
      <c r="CO215" t="s">
        <v>114</v>
      </c>
      <c r="CP215" t="s">
        <v>114</v>
      </c>
      <c r="CQ215" t="s">
        <v>114</v>
      </c>
      <c r="CR215" t="s">
        <v>114</v>
      </c>
      <c r="CS215" t="s">
        <v>114</v>
      </c>
      <c r="CT215" t="s">
        <v>114</v>
      </c>
      <c r="CU215" t="s">
        <v>114</v>
      </c>
      <c r="CV215" t="s">
        <v>114</v>
      </c>
      <c r="CW215" t="s">
        <v>114</v>
      </c>
    </row>
    <row r="216" spans="1:101" x14ac:dyDescent="0.25">
      <c r="A216" t="s">
        <v>72</v>
      </c>
      <c r="B216">
        <v>10</v>
      </c>
      <c r="C216" t="s">
        <v>23</v>
      </c>
      <c r="D216" t="s">
        <v>95</v>
      </c>
      <c r="E216" t="s">
        <v>104</v>
      </c>
      <c r="F216" t="s">
        <v>120</v>
      </c>
      <c r="G216" t="s">
        <v>272</v>
      </c>
      <c r="H216" t="str">
        <f t="shared" si="31"/>
        <v>T.cyanopetala.Solo.Shade</v>
      </c>
      <c r="I216" t="s">
        <v>672</v>
      </c>
      <c r="J216" t="s">
        <v>490</v>
      </c>
      <c r="K216">
        <v>0</v>
      </c>
      <c r="L216">
        <v>20</v>
      </c>
      <c r="M216">
        <v>120</v>
      </c>
      <c r="N216">
        <v>120</v>
      </c>
      <c r="O216" t="s">
        <v>114</v>
      </c>
      <c r="P216">
        <v>25</v>
      </c>
      <c r="Q216">
        <v>40</v>
      </c>
      <c r="R216">
        <v>40</v>
      </c>
      <c r="S216">
        <f t="shared" si="33"/>
        <v>40</v>
      </c>
      <c r="T216">
        <f t="shared" si="34"/>
        <v>0.33333333333333331</v>
      </c>
      <c r="U216" t="s">
        <v>794</v>
      </c>
      <c r="V216" t="s">
        <v>114</v>
      </c>
      <c r="W216" t="s">
        <v>114</v>
      </c>
      <c r="X216">
        <v>12</v>
      </c>
      <c r="Y216">
        <v>14.9</v>
      </c>
      <c r="Z216">
        <v>15.4</v>
      </c>
      <c r="AA216">
        <v>14.1</v>
      </c>
      <c r="AB216">
        <v>13</v>
      </c>
      <c r="AC216">
        <v>12.5</v>
      </c>
      <c r="AD216">
        <v>13</v>
      </c>
      <c r="AE216">
        <v>13.5</v>
      </c>
      <c r="AF216">
        <v>13</v>
      </c>
      <c r="AG216">
        <v>14.4</v>
      </c>
      <c r="AH216">
        <v>14.9</v>
      </c>
      <c r="AI216">
        <v>16.899999999999999</v>
      </c>
      <c r="AJ216">
        <v>15.4</v>
      </c>
      <c r="AK216">
        <v>13.5</v>
      </c>
      <c r="AL216">
        <v>14.9</v>
      </c>
      <c r="AM216">
        <v>14.9</v>
      </c>
      <c r="AN216">
        <v>14.43333333</v>
      </c>
      <c r="AO216">
        <v>14.43333333</v>
      </c>
      <c r="AP216">
        <v>8.5</v>
      </c>
      <c r="AQ216">
        <v>8.5</v>
      </c>
      <c r="AR216">
        <v>11</v>
      </c>
      <c r="AS216">
        <v>9.3333333330000006</v>
      </c>
      <c r="AT216">
        <v>5.6</v>
      </c>
      <c r="AU216">
        <v>5.6</v>
      </c>
      <c r="AV216">
        <v>6.1</v>
      </c>
      <c r="AW216">
        <v>5.766666667</v>
      </c>
      <c r="AX216">
        <v>5.766666667</v>
      </c>
      <c r="AY216">
        <v>-7.233333333</v>
      </c>
      <c r="AZ216">
        <v>60</v>
      </c>
      <c r="BA216">
        <v>20</v>
      </c>
      <c r="BB216">
        <v>20</v>
      </c>
      <c r="BC216">
        <v>0</v>
      </c>
      <c r="BD216">
        <v>0</v>
      </c>
      <c r="BE216">
        <v>1</v>
      </c>
      <c r="BF216">
        <v>0</v>
      </c>
      <c r="BG216">
        <v>0</v>
      </c>
      <c r="BI216">
        <v>7.9</v>
      </c>
      <c r="BJ216">
        <v>46.957999999999998</v>
      </c>
      <c r="BK216">
        <v>0</v>
      </c>
      <c r="BL216">
        <v>10</v>
      </c>
      <c r="BM216">
        <v>10</v>
      </c>
      <c r="BN216">
        <v>42</v>
      </c>
      <c r="BO216">
        <v>21</v>
      </c>
      <c r="BP216">
        <f t="shared" si="30"/>
        <v>21</v>
      </c>
      <c r="BQ216" t="s">
        <v>114</v>
      </c>
      <c r="BR216" t="s">
        <v>114</v>
      </c>
      <c r="BS216" t="s">
        <v>114</v>
      </c>
      <c r="BT216" t="s">
        <v>114</v>
      </c>
      <c r="BU216" t="s">
        <v>114</v>
      </c>
      <c r="BV216" t="s">
        <v>114</v>
      </c>
      <c r="BW216" t="s">
        <v>114</v>
      </c>
      <c r="BX216" t="s">
        <v>114</v>
      </c>
      <c r="BY216" t="s">
        <v>114</v>
      </c>
      <c r="BZ216" t="s">
        <v>114</v>
      </c>
      <c r="CA216" t="s">
        <v>114</v>
      </c>
      <c r="CB216" t="s">
        <v>114</v>
      </c>
      <c r="CC216" t="s">
        <v>114</v>
      </c>
      <c r="CD216" t="s">
        <v>114</v>
      </c>
      <c r="CE216" t="s">
        <v>114</v>
      </c>
      <c r="CF216" t="s">
        <v>114</v>
      </c>
      <c r="CG216" t="s">
        <v>114</v>
      </c>
      <c r="CH216" t="s">
        <v>114</v>
      </c>
      <c r="CI216" t="s">
        <v>114</v>
      </c>
      <c r="CJ216" t="s">
        <v>114</v>
      </c>
      <c r="CK216" t="s">
        <v>114</v>
      </c>
      <c r="CL216" t="s">
        <v>114</v>
      </c>
      <c r="CM216" t="s">
        <v>114</v>
      </c>
      <c r="CN216" t="s">
        <v>114</v>
      </c>
      <c r="CO216" t="s">
        <v>114</v>
      </c>
      <c r="CP216" t="s">
        <v>114</v>
      </c>
      <c r="CQ216" t="s">
        <v>114</v>
      </c>
      <c r="CR216" t="s">
        <v>114</v>
      </c>
      <c r="CS216" t="s">
        <v>114</v>
      </c>
      <c r="CT216" t="s">
        <v>114</v>
      </c>
      <c r="CU216" t="s">
        <v>114</v>
      </c>
      <c r="CV216" t="s">
        <v>114</v>
      </c>
      <c r="CW216" t="s">
        <v>114</v>
      </c>
    </row>
    <row r="217" spans="1:101" x14ac:dyDescent="0.25">
      <c r="A217" t="s">
        <v>72</v>
      </c>
      <c r="B217">
        <v>10</v>
      </c>
      <c r="C217" t="s">
        <v>23</v>
      </c>
      <c r="D217" t="s">
        <v>95</v>
      </c>
      <c r="E217" t="s">
        <v>112</v>
      </c>
      <c r="F217" t="s">
        <v>120</v>
      </c>
      <c r="G217" t="s">
        <v>269</v>
      </c>
      <c r="H217" t="str">
        <f t="shared" si="31"/>
        <v>V.rosea.Solo.Shade</v>
      </c>
      <c r="I217" t="s">
        <v>675</v>
      </c>
      <c r="J217" t="s">
        <v>491</v>
      </c>
      <c r="K217">
        <v>0</v>
      </c>
      <c r="L217">
        <v>40</v>
      </c>
      <c r="M217">
        <v>100</v>
      </c>
      <c r="N217">
        <v>100</v>
      </c>
      <c r="O217" t="s">
        <v>114</v>
      </c>
      <c r="P217">
        <v>60</v>
      </c>
      <c r="Q217">
        <v>150</v>
      </c>
      <c r="R217">
        <v>40</v>
      </c>
      <c r="S217">
        <f t="shared" si="33"/>
        <v>95</v>
      </c>
      <c r="T217">
        <f t="shared" si="34"/>
        <v>0.95</v>
      </c>
      <c r="U217" t="s">
        <v>792</v>
      </c>
      <c r="V217" t="s">
        <v>114</v>
      </c>
      <c r="W217" t="s">
        <v>114</v>
      </c>
      <c r="X217">
        <v>12</v>
      </c>
      <c r="Y217">
        <v>14.9</v>
      </c>
      <c r="Z217">
        <v>15.4</v>
      </c>
      <c r="AA217">
        <v>14.1</v>
      </c>
      <c r="AB217">
        <v>14.9</v>
      </c>
      <c r="AC217">
        <v>14.9</v>
      </c>
      <c r="AD217">
        <v>14.9</v>
      </c>
      <c r="AE217">
        <v>14.9</v>
      </c>
      <c r="AF217">
        <v>14.9</v>
      </c>
      <c r="AG217">
        <v>14.4</v>
      </c>
      <c r="AH217">
        <v>14.9</v>
      </c>
      <c r="AI217">
        <v>16.899999999999999</v>
      </c>
      <c r="AJ217">
        <v>15.4</v>
      </c>
      <c r="AK217">
        <v>14.9</v>
      </c>
      <c r="AL217">
        <v>16.899999999999999</v>
      </c>
      <c r="AM217">
        <v>17.399999999999999</v>
      </c>
      <c r="AN217">
        <v>16.399999999999999</v>
      </c>
      <c r="AO217">
        <v>16.399999999999999</v>
      </c>
      <c r="AP217">
        <v>8.5</v>
      </c>
      <c r="AQ217">
        <v>8.5</v>
      </c>
      <c r="AR217">
        <v>11</v>
      </c>
      <c r="AS217">
        <v>9.3333333330000006</v>
      </c>
      <c r="AT217">
        <v>7.6</v>
      </c>
      <c r="AU217">
        <v>7.6</v>
      </c>
      <c r="AV217">
        <v>9</v>
      </c>
      <c r="AW217">
        <v>8.0666666669999998</v>
      </c>
      <c r="AX217">
        <v>8.0666666669999998</v>
      </c>
      <c r="AY217">
        <v>-6.8333333329999997</v>
      </c>
      <c r="AZ217">
        <v>100</v>
      </c>
      <c r="BA217">
        <v>0</v>
      </c>
      <c r="BB217">
        <v>0</v>
      </c>
      <c r="BC217">
        <v>0</v>
      </c>
      <c r="BD217">
        <v>0</v>
      </c>
      <c r="BE217">
        <v>1</v>
      </c>
      <c r="BF217">
        <v>0</v>
      </c>
      <c r="BG217">
        <v>0</v>
      </c>
      <c r="BI217">
        <v>7.9</v>
      </c>
      <c r="BJ217">
        <v>46.957999999999998</v>
      </c>
      <c r="BK217">
        <v>0</v>
      </c>
      <c r="BL217">
        <v>44</v>
      </c>
      <c r="BM217">
        <v>41</v>
      </c>
      <c r="BN217">
        <v>155</v>
      </c>
      <c r="BO217">
        <v>155</v>
      </c>
      <c r="BP217">
        <f t="shared" si="30"/>
        <v>0</v>
      </c>
      <c r="BQ217" t="s">
        <v>114</v>
      </c>
      <c r="BR217" t="s">
        <v>114</v>
      </c>
      <c r="BS217" t="s">
        <v>114</v>
      </c>
      <c r="BT217" t="s">
        <v>114</v>
      </c>
      <c r="BU217" t="s">
        <v>114</v>
      </c>
      <c r="BV217" t="s">
        <v>114</v>
      </c>
      <c r="BW217" t="s">
        <v>114</v>
      </c>
      <c r="BX217" t="s">
        <v>114</v>
      </c>
      <c r="BY217" t="s">
        <v>114</v>
      </c>
      <c r="BZ217" t="s">
        <v>114</v>
      </c>
      <c r="CA217" t="s">
        <v>114</v>
      </c>
      <c r="CB217" t="s">
        <v>114</v>
      </c>
      <c r="CC217" t="s">
        <v>114</v>
      </c>
      <c r="CD217" t="s">
        <v>114</v>
      </c>
      <c r="CE217" t="s">
        <v>114</v>
      </c>
      <c r="CF217" t="s">
        <v>114</v>
      </c>
      <c r="CG217" t="s">
        <v>114</v>
      </c>
      <c r="CH217" t="s">
        <v>114</v>
      </c>
      <c r="CI217" t="s">
        <v>114</v>
      </c>
      <c r="CJ217" t="s">
        <v>114</v>
      </c>
      <c r="CK217" t="s">
        <v>114</v>
      </c>
      <c r="CL217" t="s">
        <v>114</v>
      </c>
      <c r="CM217" t="s">
        <v>114</v>
      </c>
      <c r="CN217" t="s">
        <v>114</v>
      </c>
      <c r="CO217" t="s">
        <v>114</v>
      </c>
      <c r="CP217" t="s">
        <v>114</v>
      </c>
      <c r="CQ217" t="s">
        <v>114</v>
      </c>
      <c r="CR217" t="s">
        <v>114</v>
      </c>
      <c r="CS217" t="s">
        <v>114</v>
      </c>
      <c r="CT217" t="s">
        <v>114</v>
      </c>
      <c r="CU217" t="s">
        <v>114</v>
      </c>
      <c r="CV217" t="s">
        <v>114</v>
      </c>
      <c r="CW217" t="s">
        <v>114</v>
      </c>
    </row>
    <row r="218" spans="1:101" x14ac:dyDescent="0.25">
      <c r="A218" t="s">
        <v>73</v>
      </c>
      <c r="B218">
        <v>10</v>
      </c>
      <c r="C218" t="s">
        <v>25</v>
      </c>
      <c r="D218" t="s">
        <v>94</v>
      </c>
      <c r="E218" t="s">
        <v>105</v>
      </c>
      <c r="F218" t="s">
        <v>120</v>
      </c>
      <c r="G218" t="s">
        <v>274</v>
      </c>
      <c r="H218" t="str">
        <f t="shared" si="31"/>
        <v>H.glabra.Solo.Open</v>
      </c>
      <c r="I218" t="s">
        <v>680</v>
      </c>
      <c r="J218" t="s">
        <v>492</v>
      </c>
      <c r="K218">
        <v>0</v>
      </c>
      <c r="L218">
        <v>30</v>
      </c>
      <c r="M218">
        <v>45</v>
      </c>
      <c r="N218">
        <v>45</v>
      </c>
      <c r="O218" t="s">
        <v>114</v>
      </c>
      <c r="P218">
        <v>45</v>
      </c>
      <c r="Q218">
        <v>45</v>
      </c>
      <c r="R218">
        <v>45</v>
      </c>
      <c r="S218">
        <f t="shared" si="33"/>
        <v>45</v>
      </c>
      <c r="T218">
        <f t="shared" si="34"/>
        <v>1</v>
      </c>
      <c r="U218" t="s">
        <v>15</v>
      </c>
      <c r="V218" t="s">
        <v>114</v>
      </c>
      <c r="W218" t="s">
        <v>114</v>
      </c>
      <c r="X218">
        <v>12.5</v>
      </c>
      <c r="Y218">
        <v>15.4</v>
      </c>
      <c r="Z218">
        <v>14.9</v>
      </c>
      <c r="AA218">
        <v>14.266666669999999</v>
      </c>
      <c r="AB218">
        <v>12.633333329999999</v>
      </c>
      <c r="AC218">
        <v>12.5</v>
      </c>
      <c r="AD218">
        <v>11</v>
      </c>
      <c r="AE218">
        <v>14.4</v>
      </c>
      <c r="AF218">
        <v>12.633333329999999</v>
      </c>
      <c r="AG218">
        <v>13.9</v>
      </c>
      <c r="AH218">
        <v>13.9</v>
      </c>
      <c r="AI218">
        <v>15.9</v>
      </c>
      <c r="AJ218">
        <v>14.56666667</v>
      </c>
      <c r="AK218">
        <v>13.9</v>
      </c>
      <c r="AL218">
        <v>12</v>
      </c>
      <c r="AM218">
        <v>14.4</v>
      </c>
      <c r="AN218">
        <v>13.43333333</v>
      </c>
      <c r="AO218">
        <v>13.43333333</v>
      </c>
      <c r="AP218">
        <v>4.0999999999999996</v>
      </c>
      <c r="AQ218">
        <v>6.6</v>
      </c>
      <c r="AR218">
        <v>6.6</v>
      </c>
      <c r="AS218">
        <v>5.766666667</v>
      </c>
      <c r="AT218">
        <v>6.6</v>
      </c>
      <c r="AU218">
        <v>5.6</v>
      </c>
      <c r="AV218">
        <v>5.0999999999999996</v>
      </c>
      <c r="AW218">
        <v>5.766666667</v>
      </c>
      <c r="AX218">
        <v>5.766666667</v>
      </c>
      <c r="AY218">
        <v>-6.8666666669999996</v>
      </c>
      <c r="AZ218">
        <v>75</v>
      </c>
      <c r="BA218">
        <v>0</v>
      </c>
      <c r="BB218">
        <v>0</v>
      </c>
      <c r="BC218">
        <v>20</v>
      </c>
      <c r="BD218">
        <v>0</v>
      </c>
      <c r="BE218">
        <v>0</v>
      </c>
      <c r="BF218">
        <v>0</v>
      </c>
      <c r="BG218">
        <v>5</v>
      </c>
      <c r="BI218">
        <v>9.6999999999999993</v>
      </c>
      <c r="BJ218">
        <v>7.2759999999999998</v>
      </c>
      <c r="BK218">
        <v>0</v>
      </c>
      <c r="BL218">
        <v>6</v>
      </c>
      <c r="BM218">
        <v>6</v>
      </c>
      <c r="BN218">
        <v>177</v>
      </c>
      <c r="BO218">
        <v>257.5</v>
      </c>
      <c r="BP218">
        <f t="shared" si="30"/>
        <v>-80.5</v>
      </c>
      <c r="BQ218" t="s">
        <v>114</v>
      </c>
      <c r="BR218" t="s">
        <v>114</v>
      </c>
      <c r="BS218" t="s">
        <v>114</v>
      </c>
      <c r="BT218" t="s">
        <v>114</v>
      </c>
      <c r="BU218" t="s">
        <v>114</v>
      </c>
      <c r="BV218" t="s">
        <v>114</v>
      </c>
      <c r="BW218" t="s">
        <v>114</v>
      </c>
      <c r="BX218" t="s">
        <v>114</v>
      </c>
      <c r="BY218" t="s">
        <v>114</v>
      </c>
      <c r="BZ218" t="s">
        <v>114</v>
      </c>
      <c r="CA218" t="s">
        <v>114</v>
      </c>
      <c r="CB218" t="s">
        <v>114</v>
      </c>
      <c r="CC218" t="s">
        <v>114</v>
      </c>
      <c r="CD218" t="s">
        <v>114</v>
      </c>
      <c r="CE218" t="s">
        <v>114</v>
      </c>
      <c r="CF218" t="s">
        <v>114</v>
      </c>
      <c r="CG218" t="s">
        <v>114</v>
      </c>
      <c r="CH218" t="s">
        <v>114</v>
      </c>
      <c r="CI218" t="s">
        <v>114</v>
      </c>
      <c r="CJ218" t="s">
        <v>114</v>
      </c>
      <c r="CK218" t="s">
        <v>114</v>
      </c>
      <c r="CL218" t="s">
        <v>114</v>
      </c>
      <c r="CM218" t="s">
        <v>114</v>
      </c>
      <c r="CN218" t="s">
        <v>114</v>
      </c>
      <c r="CO218" t="s">
        <v>114</v>
      </c>
      <c r="CP218" t="s">
        <v>114</v>
      </c>
      <c r="CQ218" t="s">
        <v>114</v>
      </c>
      <c r="CR218" t="s">
        <v>114</v>
      </c>
      <c r="CS218" t="s">
        <v>114</v>
      </c>
      <c r="CT218" t="s">
        <v>114</v>
      </c>
      <c r="CU218" t="s">
        <v>114</v>
      </c>
      <c r="CV218" t="s">
        <v>114</v>
      </c>
      <c r="CW218" t="s">
        <v>114</v>
      </c>
    </row>
    <row r="219" spans="1:101" x14ac:dyDescent="0.25">
      <c r="A219" t="s">
        <v>73</v>
      </c>
      <c r="B219">
        <v>10</v>
      </c>
      <c r="C219" t="s">
        <v>25</v>
      </c>
      <c r="D219" t="s">
        <v>94</v>
      </c>
      <c r="E219" t="s">
        <v>110</v>
      </c>
      <c r="F219" t="s">
        <v>120</v>
      </c>
      <c r="G219" t="s">
        <v>270</v>
      </c>
      <c r="H219" t="str">
        <f t="shared" si="31"/>
        <v>M.minima.Solo.Open</v>
      </c>
      <c r="I219" t="s">
        <v>681</v>
      </c>
      <c r="J219" t="s">
        <v>493</v>
      </c>
      <c r="K219">
        <v>0</v>
      </c>
      <c r="L219">
        <v>25</v>
      </c>
      <c r="M219">
        <v>25</v>
      </c>
      <c r="N219">
        <v>25</v>
      </c>
      <c r="O219" t="s">
        <v>114</v>
      </c>
      <c r="P219">
        <v>7</v>
      </c>
      <c r="Q219">
        <v>50</v>
      </c>
      <c r="R219">
        <v>7</v>
      </c>
      <c r="S219">
        <f t="shared" si="33"/>
        <v>28.5</v>
      </c>
      <c r="T219">
        <f t="shared" si="34"/>
        <v>1.1399999999999999</v>
      </c>
      <c r="U219" t="s">
        <v>794</v>
      </c>
      <c r="V219" t="s">
        <v>114</v>
      </c>
      <c r="W219" t="s">
        <v>114</v>
      </c>
      <c r="X219">
        <v>12.5</v>
      </c>
      <c r="Y219">
        <v>15.4</v>
      </c>
      <c r="Z219">
        <v>14.9</v>
      </c>
      <c r="AA219">
        <v>14.266666669999999</v>
      </c>
      <c r="AB219">
        <v>13.43333333</v>
      </c>
      <c r="AC219">
        <v>12</v>
      </c>
      <c r="AD219">
        <v>13.9</v>
      </c>
      <c r="AE219">
        <v>14.4</v>
      </c>
      <c r="AF219">
        <v>13.43333333</v>
      </c>
      <c r="AG219">
        <v>13.9</v>
      </c>
      <c r="AH219">
        <v>13.9</v>
      </c>
      <c r="AI219">
        <v>15.9</v>
      </c>
      <c r="AJ219">
        <v>14.56666667</v>
      </c>
      <c r="AK219">
        <v>10</v>
      </c>
      <c r="AL219">
        <v>13</v>
      </c>
      <c r="AM219">
        <v>9.5</v>
      </c>
      <c r="AN219">
        <v>10.83333333</v>
      </c>
      <c r="AO219">
        <v>10.83333333</v>
      </c>
      <c r="AP219">
        <v>4.0999999999999996</v>
      </c>
      <c r="AQ219">
        <v>6.6</v>
      </c>
      <c r="AR219">
        <v>6.6</v>
      </c>
      <c r="AS219">
        <v>5.766666667</v>
      </c>
      <c r="AT219">
        <v>5.0999999999999996</v>
      </c>
      <c r="AU219">
        <v>5.0999999999999996</v>
      </c>
      <c r="AV219">
        <v>7</v>
      </c>
      <c r="AW219">
        <v>5.733333333</v>
      </c>
      <c r="AX219">
        <v>5.733333333</v>
      </c>
      <c r="AY219">
        <v>-7.7</v>
      </c>
      <c r="AZ219">
        <v>100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I219">
        <v>9.6999999999999993</v>
      </c>
      <c r="BJ219">
        <v>7.2759999999999998</v>
      </c>
      <c r="BK219">
        <v>0</v>
      </c>
      <c r="BL219">
        <v>9</v>
      </c>
      <c r="BM219">
        <v>9</v>
      </c>
      <c r="BN219">
        <v>9</v>
      </c>
      <c r="BO219">
        <v>7.6666670000000003</v>
      </c>
      <c r="BP219">
        <f t="shared" si="30"/>
        <v>1.3333329999999997</v>
      </c>
      <c r="BQ219" t="s">
        <v>114</v>
      </c>
      <c r="BR219" t="s">
        <v>114</v>
      </c>
      <c r="BS219" t="s">
        <v>114</v>
      </c>
      <c r="BT219" t="s">
        <v>114</v>
      </c>
      <c r="BU219" t="s">
        <v>114</v>
      </c>
      <c r="BV219" t="s">
        <v>114</v>
      </c>
      <c r="BW219" t="s">
        <v>114</v>
      </c>
      <c r="BX219" t="s">
        <v>114</v>
      </c>
      <c r="BY219" t="s">
        <v>114</v>
      </c>
      <c r="BZ219" t="s">
        <v>114</v>
      </c>
      <c r="CA219" t="s">
        <v>114</v>
      </c>
      <c r="CB219" t="s">
        <v>114</v>
      </c>
      <c r="CC219" t="s">
        <v>114</v>
      </c>
      <c r="CD219" t="s">
        <v>114</v>
      </c>
      <c r="CE219" t="s">
        <v>114</v>
      </c>
      <c r="CF219" t="s">
        <v>114</v>
      </c>
      <c r="CG219" t="s">
        <v>114</v>
      </c>
      <c r="CH219" t="s">
        <v>114</v>
      </c>
      <c r="CI219" t="s">
        <v>114</v>
      </c>
      <c r="CJ219" t="s">
        <v>114</v>
      </c>
      <c r="CK219" t="s">
        <v>114</v>
      </c>
      <c r="CL219" t="s">
        <v>114</v>
      </c>
      <c r="CM219" t="s">
        <v>114</v>
      </c>
      <c r="CN219" t="s">
        <v>114</v>
      </c>
      <c r="CO219" t="s">
        <v>114</v>
      </c>
      <c r="CP219" t="s">
        <v>114</v>
      </c>
      <c r="CQ219" t="s">
        <v>114</v>
      </c>
      <c r="CR219" t="s">
        <v>114</v>
      </c>
      <c r="CS219" t="s">
        <v>114</v>
      </c>
      <c r="CT219" t="s">
        <v>114</v>
      </c>
      <c r="CU219" t="s">
        <v>114</v>
      </c>
      <c r="CV219" t="s">
        <v>114</v>
      </c>
      <c r="CW219" t="s">
        <v>114</v>
      </c>
    </row>
    <row r="220" spans="1:101" x14ac:dyDescent="0.25">
      <c r="A220" t="s">
        <v>73</v>
      </c>
      <c r="B220">
        <v>10</v>
      </c>
      <c r="C220" t="s">
        <v>25</v>
      </c>
      <c r="D220" t="s">
        <v>94</v>
      </c>
      <c r="E220" t="s">
        <v>104</v>
      </c>
      <c r="F220" t="s">
        <v>120</v>
      </c>
      <c r="G220" t="s">
        <v>272</v>
      </c>
      <c r="H220" t="str">
        <f t="shared" si="31"/>
        <v>T.cyanopetala.Solo.Open</v>
      </c>
      <c r="I220" t="s">
        <v>679</v>
      </c>
      <c r="J220" t="s">
        <v>494</v>
      </c>
      <c r="K220">
        <v>0</v>
      </c>
      <c r="L220">
        <v>30</v>
      </c>
      <c r="M220">
        <v>45</v>
      </c>
      <c r="N220">
        <v>45</v>
      </c>
      <c r="O220" t="s">
        <v>114</v>
      </c>
      <c r="P220">
        <v>30</v>
      </c>
      <c r="Q220">
        <v>35</v>
      </c>
      <c r="R220">
        <v>30</v>
      </c>
      <c r="S220">
        <f t="shared" si="33"/>
        <v>32.5</v>
      </c>
      <c r="T220">
        <f t="shared" si="34"/>
        <v>0.72222222222222221</v>
      </c>
      <c r="U220" t="s">
        <v>15</v>
      </c>
      <c r="V220" t="s">
        <v>114</v>
      </c>
      <c r="W220" t="s">
        <v>114</v>
      </c>
      <c r="X220">
        <v>12.5</v>
      </c>
      <c r="Y220">
        <v>15.4</v>
      </c>
      <c r="Z220">
        <v>14.9</v>
      </c>
      <c r="AA220">
        <v>14.266666669999999</v>
      </c>
      <c r="AB220">
        <v>12.16666667</v>
      </c>
      <c r="AC220">
        <v>12.5</v>
      </c>
      <c r="AD220">
        <v>12.5</v>
      </c>
      <c r="AE220">
        <v>11.5</v>
      </c>
      <c r="AF220">
        <v>12.16666667</v>
      </c>
      <c r="AG220">
        <v>13.9</v>
      </c>
      <c r="AH220">
        <v>13.9</v>
      </c>
      <c r="AI220">
        <v>15.9</v>
      </c>
      <c r="AJ220">
        <v>14.56666667</v>
      </c>
      <c r="AK220">
        <v>11.5</v>
      </c>
      <c r="AL220">
        <v>12</v>
      </c>
      <c r="AM220">
        <v>13</v>
      </c>
      <c r="AN220">
        <v>12.16666667</v>
      </c>
      <c r="AO220">
        <v>12.16666667</v>
      </c>
      <c r="AP220">
        <v>4.0999999999999996</v>
      </c>
      <c r="AQ220">
        <v>6.6</v>
      </c>
      <c r="AR220">
        <v>6.6</v>
      </c>
      <c r="AS220">
        <v>5.766666667</v>
      </c>
      <c r="AT220">
        <v>5.6</v>
      </c>
      <c r="AU220">
        <v>6.1</v>
      </c>
      <c r="AV220">
        <v>6.1</v>
      </c>
      <c r="AW220">
        <v>5.9333333330000002</v>
      </c>
      <c r="AX220">
        <v>5.9333333330000002</v>
      </c>
      <c r="AY220">
        <v>-6.233333333</v>
      </c>
      <c r="AZ220">
        <v>70</v>
      </c>
      <c r="BA220">
        <v>0</v>
      </c>
      <c r="BB220">
        <v>0</v>
      </c>
      <c r="BC220">
        <v>15</v>
      </c>
      <c r="BD220">
        <v>0</v>
      </c>
      <c r="BE220">
        <v>0</v>
      </c>
      <c r="BF220">
        <v>0</v>
      </c>
      <c r="BG220">
        <v>15</v>
      </c>
      <c r="BI220">
        <v>9.6999999999999993</v>
      </c>
      <c r="BJ220">
        <v>7.2759999999999998</v>
      </c>
      <c r="BK220">
        <v>1</v>
      </c>
      <c r="BL220">
        <v>6</v>
      </c>
      <c r="BM220">
        <v>6</v>
      </c>
      <c r="BN220">
        <v>50</v>
      </c>
      <c r="BO220">
        <v>150</v>
      </c>
      <c r="BP220">
        <f t="shared" si="30"/>
        <v>-100</v>
      </c>
      <c r="BQ220" t="s">
        <v>114</v>
      </c>
      <c r="BR220" t="s">
        <v>114</v>
      </c>
      <c r="BS220" t="s">
        <v>114</v>
      </c>
      <c r="BT220" t="s">
        <v>114</v>
      </c>
      <c r="BU220" t="s">
        <v>114</v>
      </c>
      <c r="BV220" t="s">
        <v>114</v>
      </c>
      <c r="BW220" t="s">
        <v>114</v>
      </c>
      <c r="BX220" t="s">
        <v>114</v>
      </c>
      <c r="BY220" t="s">
        <v>114</v>
      </c>
      <c r="BZ220" t="s">
        <v>114</v>
      </c>
      <c r="CA220" t="s">
        <v>114</v>
      </c>
      <c r="CB220" t="s">
        <v>114</v>
      </c>
      <c r="CC220" t="s">
        <v>114</v>
      </c>
      <c r="CD220" t="s">
        <v>114</v>
      </c>
      <c r="CE220" t="s">
        <v>114</v>
      </c>
      <c r="CF220" t="s">
        <v>114</v>
      </c>
      <c r="CG220" t="s">
        <v>114</v>
      </c>
      <c r="CH220" t="s">
        <v>114</v>
      </c>
      <c r="CI220" t="s">
        <v>114</v>
      </c>
      <c r="CJ220" t="s">
        <v>114</v>
      </c>
      <c r="CK220" t="s">
        <v>114</v>
      </c>
      <c r="CL220" t="s">
        <v>114</v>
      </c>
      <c r="CM220" t="s">
        <v>114</v>
      </c>
      <c r="CN220" t="s">
        <v>114</v>
      </c>
      <c r="CO220" t="s">
        <v>114</v>
      </c>
      <c r="CP220" t="s">
        <v>114</v>
      </c>
      <c r="CQ220" t="s">
        <v>114</v>
      </c>
      <c r="CR220" t="s">
        <v>114</v>
      </c>
      <c r="CS220" t="s">
        <v>114</v>
      </c>
      <c r="CT220" t="s">
        <v>114</v>
      </c>
      <c r="CU220" t="s">
        <v>114</v>
      </c>
      <c r="CV220" t="s">
        <v>114</v>
      </c>
      <c r="CW220" t="s">
        <v>114</v>
      </c>
    </row>
    <row r="221" spans="1:101" x14ac:dyDescent="0.25">
      <c r="A221" t="s">
        <v>73</v>
      </c>
      <c r="B221">
        <v>10</v>
      </c>
      <c r="C221" t="s">
        <v>25</v>
      </c>
      <c r="D221" t="s">
        <v>94</v>
      </c>
      <c r="E221" t="s">
        <v>112</v>
      </c>
      <c r="F221" t="s">
        <v>120</v>
      </c>
      <c r="G221" t="s">
        <v>269</v>
      </c>
      <c r="H221" t="str">
        <f t="shared" si="31"/>
        <v>V.rosea.Solo.Open</v>
      </c>
      <c r="I221" t="s">
        <v>668</v>
      </c>
      <c r="J221" t="s">
        <v>495</v>
      </c>
      <c r="K221">
        <v>0</v>
      </c>
      <c r="L221">
        <v>60</v>
      </c>
      <c r="M221">
        <v>70</v>
      </c>
      <c r="N221">
        <v>70</v>
      </c>
      <c r="O221" t="s">
        <v>114</v>
      </c>
      <c r="P221">
        <v>40</v>
      </c>
      <c r="Q221">
        <v>90</v>
      </c>
      <c r="R221">
        <v>30</v>
      </c>
      <c r="S221">
        <f t="shared" si="33"/>
        <v>60</v>
      </c>
      <c r="T221">
        <f t="shared" si="34"/>
        <v>0.8571428571428571</v>
      </c>
      <c r="U221" t="s">
        <v>792</v>
      </c>
      <c r="V221" t="s">
        <v>114</v>
      </c>
      <c r="W221" t="s">
        <v>114</v>
      </c>
      <c r="X221">
        <v>12.5</v>
      </c>
      <c r="Y221">
        <v>15.4</v>
      </c>
      <c r="Z221">
        <v>14.9</v>
      </c>
      <c r="AA221">
        <v>14.266666669999999</v>
      </c>
      <c r="AB221">
        <v>14.1</v>
      </c>
      <c r="AC221">
        <v>12</v>
      </c>
      <c r="AD221">
        <v>16.399999999999999</v>
      </c>
      <c r="AE221">
        <v>13.9</v>
      </c>
      <c r="AF221">
        <v>14.1</v>
      </c>
      <c r="AG221">
        <v>13.9</v>
      </c>
      <c r="AH221">
        <v>13.9</v>
      </c>
      <c r="AI221">
        <v>15.9</v>
      </c>
      <c r="AJ221">
        <v>14.56666667</v>
      </c>
      <c r="AK221">
        <v>17.899999999999999</v>
      </c>
      <c r="AL221">
        <v>13.9</v>
      </c>
      <c r="AM221">
        <v>14.4</v>
      </c>
      <c r="AN221">
        <v>15.4</v>
      </c>
      <c r="AO221">
        <v>15.4</v>
      </c>
      <c r="AP221">
        <v>4.0999999999999996</v>
      </c>
      <c r="AQ221">
        <v>6.6</v>
      </c>
      <c r="AR221">
        <v>6.6</v>
      </c>
      <c r="AS221">
        <v>5.766666667</v>
      </c>
      <c r="AT221">
        <v>4.5999999999999996</v>
      </c>
      <c r="AU221">
        <v>4.5999999999999996</v>
      </c>
      <c r="AV221">
        <v>6.6</v>
      </c>
      <c r="AW221">
        <v>5.266666667</v>
      </c>
      <c r="AX221">
        <v>5.266666667</v>
      </c>
      <c r="AY221">
        <v>-8.8333333330000006</v>
      </c>
      <c r="AZ221">
        <v>90</v>
      </c>
      <c r="BA221">
        <v>0</v>
      </c>
      <c r="BB221">
        <v>0</v>
      </c>
      <c r="BC221">
        <v>10</v>
      </c>
      <c r="BD221">
        <v>0</v>
      </c>
      <c r="BE221">
        <v>0</v>
      </c>
      <c r="BF221">
        <v>0</v>
      </c>
      <c r="BG221">
        <v>0</v>
      </c>
      <c r="BI221">
        <v>9.6999999999999993</v>
      </c>
      <c r="BJ221">
        <v>7.2759999999999998</v>
      </c>
      <c r="BK221">
        <v>0</v>
      </c>
      <c r="BL221">
        <v>27</v>
      </c>
      <c r="BM221">
        <v>24</v>
      </c>
      <c r="BN221">
        <v>80</v>
      </c>
      <c r="BO221">
        <v>62</v>
      </c>
      <c r="BP221">
        <f t="shared" si="30"/>
        <v>18</v>
      </c>
      <c r="BQ221" t="s">
        <v>114</v>
      </c>
      <c r="BR221" t="s">
        <v>114</v>
      </c>
      <c r="BS221" t="s">
        <v>114</v>
      </c>
      <c r="BT221" t="s">
        <v>114</v>
      </c>
      <c r="BU221" t="s">
        <v>114</v>
      </c>
      <c r="BV221" t="s">
        <v>114</v>
      </c>
      <c r="BW221" t="s">
        <v>114</v>
      </c>
      <c r="BX221" t="s">
        <v>114</v>
      </c>
      <c r="BY221" t="s">
        <v>114</v>
      </c>
      <c r="BZ221" t="s">
        <v>114</v>
      </c>
      <c r="CA221" t="s">
        <v>114</v>
      </c>
      <c r="CB221" t="s">
        <v>114</v>
      </c>
      <c r="CC221" t="s">
        <v>114</v>
      </c>
      <c r="CD221" t="s">
        <v>114</v>
      </c>
      <c r="CE221" t="s">
        <v>114</v>
      </c>
      <c r="CF221" t="s">
        <v>114</v>
      </c>
      <c r="CG221" t="s">
        <v>114</v>
      </c>
      <c r="CH221" t="s">
        <v>114</v>
      </c>
      <c r="CI221" t="s">
        <v>114</v>
      </c>
      <c r="CJ221" t="s">
        <v>114</v>
      </c>
      <c r="CK221" t="s">
        <v>114</v>
      </c>
      <c r="CL221" t="s">
        <v>114</v>
      </c>
      <c r="CM221" t="s">
        <v>114</v>
      </c>
      <c r="CN221" t="s">
        <v>114</v>
      </c>
      <c r="CO221" t="s">
        <v>114</v>
      </c>
      <c r="CP221" t="s">
        <v>114</v>
      </c>
      <c r="CQ221" t="s">
        <v>114</v>
      </c>
      <c r="CR221" t="s">
        <v>114</v>
      </c>
      <c r="CS221" t="s">
        <v>114</v>
      </c>
      <c r="CT221" t="s">
        <v>114</v>
      </c>
      <c r="CU221" t="s">
        <v>114</v>
      </c>
      <c r="CV221" t="s">
        <v>114</v>
      </c>
      <c r="CW221" t="s">
        <v>114</v>
      </c>
    </row>
    <row r="222" spans="1:101" x14ac:dyDescent="0.25">
      <c r="A222" t="s">
        <v>74</v>
      </c>
      <c r="B222">
        <v>10</v>
      </c>
      <c r="C222" t="s">
        <v>27</v>
      </c>
      <c r="D222" t="s">
        <v>95</v>
      </c>
      <c r="E222" t="s">
        <v>102</v>
      </c>
      <c r="F222" t="s">
        <v>120</v>
      </c>
      <c r="G222" t="s">
        <v>273</v>
      </c>
      <c r="H222" t="str">
        <f t="shared" si="31"/>
        <v>A.calendula.Solo.Shade</v>
      </c>
      <c r="I222" t="s">
        <v>673</v>
      </c>
      <c r="J222" t="s">
        <v>496</v>
      </c>
      <c r="K222">
        <v>0</v>
      </c>
      <c r="L222">
        <v>140</v>
      </c>
      <c r="M222">
        <v>110</v>
      </c>
      <c r="N222">
        <v>110</v>
      </c>
      <c r="O222" t="s">
        <v>114</v>
      </c>
      <c r="P222">
        <v>150</v>
      </c>
      <c r="Q222">
        <v>155</v>
      </c>
      <c r="R222">
        <v>40</v>
      </c>
      <c r="S222">
        <f t="shared" si="33"/>
        <v>97.5</v>
      </c>
      <c r="T222">
        <f t="shared" si="34"/>
        <v>0.88636363636363635</v>
      </c>
      <c r="U222" t="s">
        <v>15</v>
      </c>
      <c r="V222" t="s">
        <v>114</v>
      </c>
      <c r="W222" t="s">
        <v>114</v>
      </c>
      <c r="X222">
        <v>15.4</v>
      </c>
      <c r="Y222">
        <v>13</v>
      </c>
      <c r="Z222">
        <v>13.5</v>
      </c>
      <c r="AA222">
        <v>13.96666667</v>
      </c>
      <c r="AB222">
        <v>15.56666667</v>
      </c>
      <c r="AC222">
        <v>15.4</v>
      </c>
      <c r="AD222">
        <v>15.4</v>
      </c>
      <c r="AE222">
        <v>15.9</v>
      </c>
      <c r="AF222">
        <v>15.56666667</v>
      </c>
      <c r="AG222">
        <v>19.3</v>
      </c>
      <c r="AH222">
        <v>18.8</v>
      </c>
      <c r="AI222">
        <v>17.899999999999999</v>
      </c>
      <c r="AJ222">
        <v>18.666666670000001</v>
      </c>
      <c r="AK222">
        <v>19.8</v>
      </c>
      <c r="AL222">
        <v>18.399999999999999</v>
      </c>
      <c r="AM222">
        <v>18.399999999999999</v>
      </c>
      <c r="AN222">
        <v>18.866666670000001</v>
      </c>
      <c r="AO222">
        <v>18.866666670000001</v>
      </c>
      <c r="AP222">
        <v>6.6</v>
      </c>
      <c r="AQ222">
        <v>7.1</v>
      </c>
      <c r="AR222">
        <v>7.6</v>
      </c>
      <c r="AS222">
        <v>7.1</v>
      </c>
      <c r="AT222">
        <v>6.1</v>
      </c>
      <c r="AU222">
        <v>6.6</v>
      </c>
      <c r="AV222">
        <v>7.1</v>
      </c>
      <c r="AW222">
        <v>6.6</v>
      </c>
      <c r="AX222">
        <v>6.6</v>
      </c>
      <c r="AY222">
        <v>-8.9666666670000001</v>
      </c>
      <c r="AZ222">
        <v>100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I222">
        <v>4.7</v>
      </c>
      <c r="BJ222">
        <v>43.395000000000003</v>
      </c>
      <c r="BK222">
        <v>0</v>
      </c>
      <c r="BL222">
        <v>13</v>
      </c>
      <c r="BM222">
        <v>10</v>
      </c>
      <c r="BN222">
        <v>508</v>
      </c>
      <c r="BO222">
        <v>274</v>
      </c>
      <c r="BP222">
        <f t="shared" si="30"/>
        <v>234</v>
      </c>
      <c r="BQ222" t="s">
        <v>114</v>
      </c>
      <c r="BR222" t="s">
        <v>114</v>
      </c>
      <c r="BS222" t="s">
        <v>114</v>
      </c>
      <c r="BT222" t="s">
        <v>114</v>
      </c>
      <c r="BU222" t="s">
        <v>114</v>
      </c>
      <c r="BV222" t="s">
        <v>114</v>
      </c>
      <c r="BW222" t="s">
        <v>114</v>
      </c>
      <c r="BX222" t="s">
        <v>114</v>
      </c>
      <c r="BY222" t="s">
        <v>114</v>
      </c>
      <c r="BZ222" t="s">
        <v>114</v>
      </c>
      <c r="CA222" t="s">
        <v>114</v>
      </c>
      <c r="CB222" t="s">
        <v>114</v>
      </c>
      <c r="CC222" t="s">
        <v>114</v>
      </c>
      <c r="CD222" t="s">
        <v>114</v>
      </c>
      <c r="CE222" t="s">
        <v>114</v>
      </c>
      <c r="CF222" t="s">
        <v>114</v>
      </c>
      <c r="CG222" t="s">
        <v>114</v>
      </c>
      <c r="CH222" t="s">
        <v>114</v>
      </c>
      <c r="CI222" t="s">
        <v>114</v>
      </c>
      <c r="CJ222" t="s">
        <v>114</v>
      </c>
      <c r="CK222" t="s">
        <v>114</v>
      </c>
      <c r="CL222" t="s">
        <v>114</v>
      </c>
      <c r="CM222" t="s">
        <v>114</v>
      </c>
      <c r="CN222" t="s">
        <v>114</v>
      </c>
      <c r="CO222" t="s">
        <v>114</v>
      </c>
      <c r="CP222" t="s">
        <v>114</v>
      </c>
      <c r="CQ222" t="s">
        <v>114</v>
      </c>
      <c r="CR222" t="s">
        <v>114</v>
      </c>
      <c r="CS222" t="s">
        <v>114</v>
      </c>
      <c r="CT222" t="s">
        <v>114</v>
      </c>
      <c r="CU222" t="s">
        <v>114</v>
      </c>
      <c r="CV222" t="s">
        <v>114</v>
      </c>
      <c r="CW222" t="s">
        <v>114</v>
      </c>
    </row>
    <row r="223" spans="1:101" x14ac:dyDescent="0.25">
      <c r="A223" t="s">
        <v>74</v>
      </c>
      <c r="B223">
        <v>10</v>
      </c>
      <c r="C223" t="s">
        <v>27</v>
      </c>
      <c r="D223" t="s">
        <v>95</v>
      </c>
      <c r="E223" t="s">
        <v>113</v>
      </c>
      <c r="F223" t="s">
        <v>120</v>
      </c>
      <c r="G223" t="s">
        <v>267</v>
      </c>
      <c r="H223" t="str">
        <f t="shared" si="31"/>
        <v>H.glutinosum.Solo.Shade</v>
      </c>
      <c r="I223" t="s">
        <v>669</v>
      </c>
      <c r="J223" t="s">
        <v>497</v>
      </c>
      <c r="K223">
        <v>0</v>
      </c>
      <c r="L223">
        <v>80</v>
      </c>
      <c r="M223">
        <v>40</v>
      </c>
      <c r="N223">
        <v>40</v>
      </c>
      <c r="O223" t="s">
        <v>114</v>
      </c>
      <c r="P223">
        <v>10</v>
      </c>
      <c r="Q223">
        <v>8</v>
      </c>
      <c r="R223">
        <v>5</v>
      </c>
      <c r="S223">
        <f t="shared" si="33"/>
        <v>6.5</v>
      </c>
      <c r="T223">
        <f t="shared" si="34"/>
        <v>0.16250000000000001</v>
      </c>
      <c r="U223" t="s">
        <v>15</v>
      </c>
      <c r="V223" t="s">
        <v>114</v>
      </c>
      <c r="W223" t="s">
        <v>114</v>
      </c>
      <c r="X223">
        <v>15.4</v>
      </c>
      <c r="Y223">
        <v>13</v>
      </c>
      <c r="Z223">
        <v>13.5</v>
      </c>
      <c r="AA223">
        <v>13.96666667</v>
      </c>
      <c r="AB223">
        <v>17.399999999999999</v>
      </c>
      <c r="AC223">
        <v>16.899999999999999</v>
      </c>
      <c r="AD223">
        <v>17.899999999999999</v>
      </c>
      <c r="AE223">
        <v>17.399999999999999</v>
      </c>
      <c r="AF223">
        <v>17.399999999999999</v>
      </c>
      <c r="AG223">
        <v>19.3</v>
      </c>
      <c r="AH223">
        <v>18.8</v>
      </c>
      <c r="AI223">
        <v>17.899999999999999</v>
      </c>
      <c r="AJ223">
        <v>18.666666670000001</v>
      </c>
      <c r="AK223">
        <v>19.8</v>
      </c>
      <c r="AL223">
        <v>20.3</v>
      </c>
      <c r="AM223">
        <v>20.8</v>
      </c>
      <c r="AN223">
        <v>20.3</v>
      </c>
      <c r="AO223">
        <v>20.3</v>
      </c>
      <c r="AP223">
        <v>6.6</v>
      </c>
      <c r="AQ223">
        <v>7.1</v>
      </c>
      <c r="AR223">
        <v>7.6</v>
      </c>
      <c r="AS223">
        <v>7.1</v>
      </c>
      <c r="AT223">
        <v>8.5</v>
      </c>
      <c r="AU223">
        <v>8.5</v>
      </c>
      <c r="AV223">
        <v>8.1</v>
      </c>
      <c r="AW223">
        <v>8.3666666670000005</v>
      </c>
      <c r="AX223">
        <v>8.3666666670000005</v>
      </c>
      <c r="AY223">
        <v>-9.0333333329999999</v>
      </c>
      <c r="AZ223">
        <v>75</v>
      </c>
      <c r="BA223">
        <v>0</v>
      </c>
      <c r="BB223">
        <v>25</v>
      </c>
      <c r="BC223">
        <v>0</v>
      </c>
      <c r="BD223">
        <v>0</v>
      </c>
      <c r="BE223">
        <v>0</v>
      </c>
      <c r="BF223">
        <v>0</v>
      </c>
      <c r="BG223">
        <v>0</v>
      </c>
      <c r="BI223">
        <v>4.7</v>
      </c>
      <c r="BJ223">
        <v>43.395000000000003</v>
      </c>
      <c r="BK223">
        <v>0</v>
      </c>
      <c r="BL223">
        <v>5</v>
      </c>
      <c r="BM223">
        <v>3</v>
      </c>
      <c r="BN223">
        <v>5</v>
      </c>
      <c r="BO223">
        <v>1.6666669999999999</v>
      </c>
      <c r="BP223">
        <f t="shared" si="30"/>
        <v>3.3333330000000001</v>
      </c>
      <c r="BQ223" t="s">
        <v>114</v>
      </c>
      <c r="BR223" t="s">
        <v>114</v>
      </c>
      <c r="BS223" t="s">
        <v>114</v>
      </c>
      <c r="BT223" t="s">
        <v>114</v>
      </c>
      <c r="BU223" t="s">
        <v>114</v>
      </c>
      <c r="BV223" t="s">
        <v>114</v>
      </c>
      <c r="BW223" t="s">
        <v>114</v>
      </c>
      <c r="BX223" t="s">
        <v>114</v>
      </c>
      <c r="BY223" t="s">
        <v>114</v>
      </c>
      <c r="BZ223" t="s">
        <v>114</v>
      </c>
      <c r="CA223" t="s">
        <v>114</v>
      </c>
      <c r="CB223" t="s">
        <v>114</v>
      </c>
      <c r="CC223" t="s">
        <v>114</v>
      </c>
      <c r="CD223" t="s">
        <v>114</v>
      </c>
      <c r="CE223" t="s">
        <v>114</v>
      </c>
      <c r="CF223" t="s">
        <v>114</v>
      </c>
      <c r="CG223" t="s">
        <v>114</v>
      </c>
      <c r="CH223" t="s">
        <v>114</v>
      </c>
      <c r="CI223" t="s">
        <v>114</v>
      </c>
      <c r="CJ223" t="s">
        <v>114</v>
      </c>
      <c r="CK223" t="s">
        <v>114</v>
      </c>
      <c r="CL223" t="s">
        <v>114</v>
      </c>
      <c r="CM223" t="s">
        <v>114</v>
      </c>
      <c r="CN223" t="s">
        <v>114</v>
      </c>
      <c r="CO223" t="s">
        <v>114</v>
      </c>
      <c r="CP223" t="s">
        <v>114</v>
      </c>
      <c r="CQ223" t="s">
        <v>114</v>
      </c>
      <c r="CR223" t="s">
        <v>114</v>
      </c>
      <c r="CS223" t="s">
        <v>114</v>
      </c>
      <c r="CT223" t="s">
        <v>114</v>
      </c>
      <c r="CU223" t="s">
        <v>114</v>
      </c>
      <c r="CV223" t="s">
        <v>114</v>
      </c>
      <c r="CW223" t="s">
        <v>114</v>
      </c>
    </row>
    <row r="224" spans="1:101" x14ac:dyDescent="0.25">
      <c r="A224" t="s">
        <v>74</v>
      </c>
      <c r="B224">
        <v>10</v>
      </c>
      <c r="C224" t="s">
        <v>27</v>
      </c>
      <c r="D224" t="s">
        <v>95</v>
      </c>
      <c r="E224" t="s">
        <v>103</v>
      </c>
      <c r="F224" t="s">
        <v>120</v>
      </c>
      <c r="G224" t="s">
        <v>268</v>
      </c>
      <c r="H224" t="str">
        <f t="shared" si="31"/>
        <v>P.airoides.Solo.Shade</v>
      </c>
      <c r="I224" t="s">
        <v>674</v>
      </c>
      <c r="J224" t="s">
        <v>498</v>
      </c>
      <c r="K224">
        <v>0</v>
      </c>
      <c r="L224">
        <v>50</v>
      </c>
      <c r="M224">
        <v>60</v>
      </c>
      <c r="N224">
        <v>60</v>
      </c>
      <c r="O224" t="s">
        <v>114</v>
      </c>
      <c r="P224">
        <v>30</v>
      </c>
      <c r="Q224">
        <v>40</v>
      </c>
      <c r="R224">
        <v>13</v>
      </c>
      <c r="S224">
        <f t="shared" si="33"/>
        <v>26.5</v>
      </c>
      <c r="T224">
        <f t="shared" si="34"/>
        <v>0.44166666666666665</v>
      </c>
      <c r="U224" t="s">
        <v>15</v>
      </c>
      <c r="V224" t="s">
        <v>114</v>
      </c>
      <c r="W224" t="s">
        <v>114</v>
      </c>
      <c r="X224">
        <v>15.4</v>
      </c>
      <c r="Y224">
        <v>13</v>
      </c>
      <c r="Z224">
        <v>13.5</v>
      </c>
      <c r="AA224">
        <v>13.96666667</v>
      </c>
      <c r="AB224">
        <v>15.733333330000001</v>
      </c>
      <c r="AC224">
        <v>15.4</v>
      </c>
      <c r="AD224">
        <v>15.9</v>
      </c>
      <c r="AE224">
        <v>15.9</v>
      </c>
      <c r="AF224">
        <v>15.733333330000001</v>
      </c>
      <c r="AG224">
        <v>19.3</v>
      </c>
      <c r="AH224">
        <v>18.8</v>
      </c>
      <c r="AI224">
        <v>17.899999999999999</v>
      </c>
      <c r="AJ224">
        <v>18.666666670000001</v>
      </c>
      <c r="AK224">
        <v>16.899999999999999</v>
      </c>
      <c r="AL224">
        <v>19.3</v>
      </c>
      <c r="AM224">
        <v>19.8</v>
      </c>
      <c r="AN224">
        <v>18.666666670000001</v>
      </c>
      <c r="AO224">
        <v>18.666666670000001</v>
      </c>
      <c r="AP224">
        <v>6.6</v>
      </c>
      <c r="AQ224">
        <v>7.1</v>
      </c>
      <c r="AR224">
        <v>7.6</v>
      </c>
      <c r="AS224">
        <v>7.1</v>
      </c>
      <c r="AT224">
        <v>6.6</v>
      </c>
      <c r="AU224">
        <v>7.6</v>
      </c>
      <c r="AV224">
        <v>7.1</v>
      </c>
      <c r="AW224">
        <v>7.1</v>
      </c>
      <c r="AX224">
        <v>7.1</v>
      </c>
      <c r="AY224">
        <v>-8.6333333329999995</v>
      </c>
      <c r="AZ224">
        <v>100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I224">
        <v>4.7</v>
      </c>
      <c r="BJ224">
        <v>43.395000000000003</v>
      </c>
      <c r="BK224">
        <v>0</v>
      </c>
      <c r="BL224">
        <v>7</v>
      </c>
      <c r="BM224">
        <v>7</v>
      </c>
      <c r="BN224">
        <v>388</v>
      </c>
      <c r="BO224">
        <v>194</v>
      </c>
      <c r="BP224">
        <f t="shared" si="30"/>
        <v>194</v>
      </c>
      <c r="BQ224" t="s">
        <v>114</v>
      </c>
      <c r="BR224" t="s">
        <v>114</v>
      </c>
      <c r="BS224" t="s">
        <v>114</v>
      </c>
      <c r="BT224" t="s">
        <v>114</v>
      </c>
      <c r="BU224" t="s">
        <v>114</v>
      </c>
      <c r="BV224" t="s">
        <v>114</v>
      </c>
      <c r="BW224" t="s">
        <v>114</v>
      </c>
      <c r="BX224" t="s">
        <v>114</v>
      </c>
      <c r="BY224" t="s">
        <v>114</v>
      </c>
      <c r="BZ224" t="s">
        <v>114</v>
      </c>
      <c r="CA224" t="s">
        <v>114</v>
      </c>
      <c r="CB224" t="s">
        <v>114</v>
      </c>
      <c r="CC224" t="s">
        <v>114</v>
      </c>
      <c r="CD224" t="s">
        <v>114</v>
      </c>
      <c r="CE224" t="s">
        <v>114</v>
      </c>
      <c r="CF224" t="s">
        <v>114</v>
      </c>
      <c r="CG224" t="s">
        <v>114</v>
      </c>
      <c r="CH224" t="s">
        <v>114</v>
      </c>
      <c r="CI224" t="s">
        <v>114</v>
      </c>
      <c r="CJ224" t="s">
        <v>114</v>
      </c>
      <c r="CK224" t="s">
        <v>114</v>
      </c>
      <c r="CL224" t="s">
        <v>114</v>
      </c>
      <c r="CM224" t="s">
        <v>114</v>
      </c>
      <c r="CN224" t="s">
        <v>114</v>
      </c>
      <c r="CO224" t="s">
        <v>114</v>
      </c>
      <c r="CP224" t="s">
        <v>114</v>
      </c>
      <c r="CQ224" t="s">
        <v>114</v>
      </c>
      <c r="CR224" t="s">
        <v>114</v>
      </c>
      <c r="CS224" t="s">
        <v>114</v>
      </c>
      <c r="CT224" t="s">
        <v>114</v>
      </c>
      <c r="CU224" t="s">
        <v>114</v>
      </c>
      <c r="CV224" t="s">
        <v>114</v>
      </c>
      <c r="CW224" t="s">
        <v>114</v>
      </c>
    </row>
    <row r="225" spans="1:101" x14ac:dyDescent="0.25">
      <c r="A225" t="s">
        <v>75</v>
      </c>
      <c r="B225">
        <v>10</v>
      </c>
      <c r="C225" t="s">
        <v>29</v>
      </c>
      <c r="D225" t="s">
        <v>94</v>
      </c>
      <c r="E225" t="s">
        <v>105</v>
      </c>
      <c r="F225" t="s">
        <v>120</v>
      </c>
      <c r="G225" t="s">
        <v>274</v>
      </c>
      <c r="H225" t="str">
        <f t="shared" si="31"/>
        <v>H.glabra.Solo.Open</v>
      </c>
      <c r="I225" t="s">
        <v>680</v>
      </c>
      <c r="J225" t="s">
        <v>499</v>
      </c>
      <c r="K225">
        <v>0</v>
      </c>
      <c r="L225">
        <v>40</v>
      </c>
      <c r="M225">
        <v>45</v>
      </c>
      <c r="N225">
        <v>45</v>
      </c>
      <c r="O225" t="s">
        <v>114</v>
      </c>
      <c r="P225">
        <v>90</v>
      </c>
      <c r="Q225">
        <v>90</v>
      </c>
      <c r="R225">
        <v>50</v>
      </c>
      <c r="S225">
        <f t="shared" si="33"/>
        <v>70</v>
      </c>
      <c r="T225">
        <f t="shared" si="34"/>
        <v>1.5555555555555556</v>
      </c>
      <c r="U225" t="s">
        <v>15</v>
      </c>
      <c r="V225" t="s">
        <v>114</v>
      </c>
      <c r="W225" t="s">
        <v>114</v>
      </c>
      <c r="X225">
        <v>13.5</v>
      </c>
      <c r="Y225">
        <v>14.9</v>
      </c>
      <c r="Z225">
        <v>14.9</v>
      </c>
      <c r="AA225">
        <v>14.43333333</v>
      </c>
      <c r="AB225">
        <v>13.93333333</v>
      </c>
      <c r="AC225">
        <v>14.4</v>
      </c>
      <c r="AD225">
        <v>13.5</v>
      </c>
      <c r="AE225">
        <v>13.9</v>
      </c>
      <c r="AF225">
        <v>13.93333333</v>
      </c>
      <c r="AG225">
        <v>13</v>
      </c>
      <c r="AH225">
        <v>16.399999999999999</v>
      </c>
      <c r="AI225">
        <v>15.9</v>
      </c>
      <c r="AJ225">
        <v>15.1</v>
      </c>
      <c r="AK225">
        <v>15.4</v>
      </c>
      <c r="AL225">
        <v>16.399999999999999</v>
      </c>
      <c r="AM225">
        <v>18.899999999999999</v>
      </c>
      <c r="AN225">
        <v>16.899999999999999</v>
      </c>
      <c r="AO225">
        <v>16.899999999999999</v>
      </c>
      <c r="AP225">
        <v>5.0999999999999996</v>
      </c>
      <c r="AQ225">
        <v>6.1</v>
      </c>
      <c r="AR225">
        <v>7.1</v>
      </c>
      <c r="AS225">
        <v>6.1</v>
      </c>
      <c r="AT225">
        <v>5.0999999999999996</v>
      </c>
      <c r="AU225">
        <v>5.6</v>
      </c>
      <c r="AV225">
        <v>6.6</v>
      </c>
      <c r="AW225">
        <v>5.766666667</v>
      </c>
      <c r="AX225">
        <v>5.766666667</v>
      </c>
      <c r="AY225">
        <v>-8.1666666669999994</v>
      </c>
      <c r="AZ225">
        <v>40</v>
      </c>
      <c r="BA225">
        <v>0</v>
      </c>
      <c r="BB225">
        <v>0</v>
      </c>
      <c r="BC225">
        <v>60</v>
      </c>
      <c r="BD225">
        <v>0</v>
      </c>
      <c r="BE225">
        <v>0</v>
      </c>
      <c r="BF225">
        <v>0</v>
      </c>
      <c r="BG225">
        <v>0</v>
      </c>
      <c r="BI225">
        <v>15.4</v>
      </c>
      <c r="BJ225">
        <v>33.924999999999997</v>
      </c>
      <c r="BK225">
        <v>0</v>
      </c>
      <c r="BL225">
        <v>7</v>
      </c>
      <c r="BM225">
        <v>7</v>
      </c>
      <c r="BN225">
        <v>338</v>
      </c>
      <c r="BO225">
        <v>257.5</v>
      </c>
      <c r="BP225">
        <f t="shared" si="30"/>
        <v>80.5</v>
      </c>
      <c r="BQ225" t="s">
        <v>114</v>
      </c>
      <c r="BR225" t="s">
        <v>114</v>
      </c>
      <c r="BS225" t="s">
        <v>114</v>
      </c>
      <c r="BT225" t="s">
        <v>114</v>
      </c>
      <c r="BU225" t="s">
        <v>114</v>
      </c>
      <c r="BV225" t="s">
        <v>114</v>
      </c>
      <c r="BW225" t="s">
        <v>114</v>
      </c>
      <c r="BX225" t="s">
        <v>114</v>
      </c>
      <c r="BY225" t="s">
        <v>114</v>
      </c>
      <c r="BZ225" t="s">
        <v>114</v>
      </c>
      <c r="CA225" t="s">
        <v>114</v>
      </c>
      <c r="CB225" t="s">
        <v>114</v>
      </c>
      <c r="CC225" t="s">
        <v>114</v>
      </c>
      <c r="CD225" t="s">
        <v>114</v>
      </c>
      <c r="CE225" t="s">
        <v>114</v>
      </c>
      <c r="CF225" t="s">
        <v>114</v>
      </c>
      <c r="CG225" t="s">
        <v>114</v>
      </c>
      <c r="CH225" t="s">
        <v>114</v>
      </c>
      <c r="CI225" t="s">
        <v>114</v>
      </c>
      <c r="CJ225" t="s">
        <v>114</v>
      </c>
      <c r="CK225" t="s">
        <v>114</v>
      </c>
      <c r="CL225" t="s">
        <v>114</v>
      </c>
      <c r="CM225" t="s">
        <v>114</v>
      </c>
      <c r="CN225" t="s">
        <v>114</v>
      </c>
      <c r="CO225" t="s">
        <v>114</v>
      </c>
      <c r="CP225" t="s">
        <v>114</v>
      </c>
      <c r="CQ225" t="s">
        <v>114</v>
      </c>
      <c r="CR225" t="s">
        <v>114</v>
      </c>
      <c r="CS225" t="s">
        <v>114</v>
      </c>
      <c r="CT225" t="s">
        <v>114</v>
      </c>
      <c r="CU225" t="s">
        <v>114</v>
      </c>
      <c r="CV225" t="s">
        <v>114</v>
      </c>
      <c r="CW225" t="s">
        <v>114</v>
      </c>
    </row>
    <row r="226" spans="1:101" x14ac:dyDescent="0.25">
      <c r="A226" t="s">
        <v>75</v>
      </c>
      <c r="B226">
        <v>10</v>
      </c>
      <c r="C226" t="s">
        <v>29</v>
      </c>
      <c r="D226" t="s">
        <v>94</v>
      </c>
      <c r="E226" t="s">
        <v>110</v>
      </c>
      <c r="F226" t="s">
        <v>120</v>
      </c>
      <c r="G226" t="s">
        <v>270</v>
      </c>
      <c r="H226" t="str">
        <f t="shared" si="31"/>
        <v>M.minima.Solo.Open</v>
      </c>
      <c r="I226" t="s">
        <v>681</v>
      </c>
      <c r="J226" t="s">
        <v>500</v>
      </c>
      <c r="K226">
        <v>0</v>
      </c>
      <c r="L226">
        <v>120</v>
      </c>
      <c r="M226">
        <v>40</v>
      </c>
      <c r="N226">
        <v>40</v>
      </c>
      <c r="O226" t="s">
        <v>114</v>
      </c>
      <c r="P226">
        <v>10</v>
      </c>
      <c r="Q226">
        <v>90</v>
      </c>
      <c r="R226">
        <v>80</v>
      </c>
      <c r="S226">
        <f t="shared" si="33"/>
        <v>85</v>
      </c>
      <c r="T226">
        <f t="shared" si="34"/>
        <v>2.125</v>
      </c>
      <c r="U226" t="s">
        <v>794</v>
      </c>
      <c r="V226" t="s">
        <v>114</v>
      </c>
      <c r="W226" t="s">
        <v>114</v>
      </c>
      <c r="X226">
        <v>13.5</v>
      </c>
      <c r="Y226">
        <v>14.9</v>
      </c>
      <c r="Z226">
        <v>14.9</v>
      </c>
      <c r="AA226">
        <v>14.43333333</v>
      </c>
      <c r="AB226">
        <v>13.9</v>
      </c>
      <c r="AC226">
        <v>13.9</v>
      </c>
      <c r="AD226">
        <v>13.9</v>
      </c>
      <c r="AE226">
        <v>13.9</v>
      </c>
      <c r="AF226">
        <v>13.9</v>
      </c>
      <c r="AG226">
        <v>13</v>
      </c>
      <c r="AH226">
        <v>16.399999999999999</v>
      </c>
      <c r="AI226">
        <v>15.9</v>
      </c>
      <c r="AJ226">
        <v>15.1</v>
      </c>
      <c r="AK226">
        <v>15.4</v>
      </c>
      <c r="AL226">
        <v>15.9</v>
      </c>
      <c r="AM226">
        <v>15.9</v>
      </c>
      <c r="AN226">
        <v>15.733333330000001</v>
      </c>
      <c r="AO226">
        <v>15.733333330000001</v>
      </c>
      <c r="AP226">
        <v>5.0999999999999996</v>
      </c>
      <c r="AQ226">
        <v>6.1</v>
      </c>
      <c r="AR226">
        <v>7.1</v>
      </c>
      <c r="AS226">
        <v>6.1</v>
      </c>
      <c r="AT226">
        <v>4.0999999999999996</v>
      </c>
      <c r="AU226">
        <v>6.1</v>
      </c>
      <c r="AV226">
        <v>6.1</v>
      </c>
      <c r="AW226">
        <v>5.4333333330000002</v>
      </c>
      <c r="AX226">
        <v>5.4333333330000002</v>
      </c>
      <c r="AY226">
        <v>-8.4666666670000001</v>
      </c>
      <c r="AZ226">
        <v>100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I226">
        <v>15.4</v>
      </c>
      <c r="BJ226">
        <v>33.924999999999997</v>
      </c>
      <c r="BK226">
        <v>0</v>
      </c>
      <c r="BL226">
        <v>5</v>
      </c>
      <c r="BM226">
        <v>5</v>
      </c>
      <c r="BN226">
        <v>5</v>
      </c>
      <c r="BO226">
        <v>7.6666670000000003</v>
      </c>
      <c r="BP226">
        <f t="shared" si="30"/>
        <v>-2.6666670000000003</v>
      </c>
      <c r="BQ226" t="s">
        <v>114</v>
      </c>
      <c r="BR226" t="s">
        <v>114</v>
      </c>
      <c r="BS226" t="s">
        <v>114</v>
      </c>
      <c r="BT226" t="s">
        <v>114</v>
      </c>
      <c r="BU226" t="s">
        <v>114</v>
      </c>
      <c r="BV226" t="s">
        <v>114</v>
      </c>
      <c r="BW226" t="s">
        <v>114</v>
      </c>
      <c r="BX226" t="s">
        <v>114</v>
      </c>
      <c r="BY226" t="s">
        <v>114</v>
      </c>
      <c r="BZ226" t="s">
        <v>114</v>
      </c>
      <c r="CA226" t="s">
        <v>114</v>
      </c>
      <c r="CB226" t="s">
        <v>114</v>
      </c>
      <c r="CC226" t="s">
        <v>114</v>
      </c>
      <c r="CD226" t="s">
        <v>114</v>
      </c>
      <c r="CE226" t="s">
        <v>114</v>
      </c>
      <c r="CF226" t="s">
        <v>114</v>
      </c>
      <c r="CG226" t="s">
        <v>114</v>
      </c>
      <c r="CH226" t="s">
        <v>114</v>
      </c>
      <c r="CI226" t="s">
        <v>114</v>
      </c>
      <c r="CJ226" t="s">
        <v>114</v>
      </c>
      <c r="CK226" t="s">
        <v>114</v>
      </c>
      <c r="CL226" t="s">
        <v>114</v>
      </c>
      <c r="CM226" t="s">
        <v>114</v>
      </c>
      <c r="CN226" t="s">
        <v>114</v>
      </c>
      <c r="CO226" t="s">
        <v>114</v>
      </c>
      <c r="CP226" t="s">
        <v>114</v>
      </c>
      <c r="CQ226" t="s">
        <v>114</v>
      </c>
      <c r="CR226" t="s">
        <v>114</v>
      </c>
      <c r="CS226" t="s">
        <v>114</v>
      </c>
      <c r="CT226" t="s">
        <v>114</v>
      </c>
      <c r="CU226" t="s">
        <v>114</v>
      </c>
      <c r="CV226" t="s">
        <v>114</v>
      </c>
      <c r="CW226" t="s">
        <v>114</v>
      </c>
    </row>
    <row r="227" spans="1:101" x14ac:dyDescent="0.25">
      <c r="A227" t="s">
        <v>75</v>
      </c>
      <c r="B227">
        <v>10</v>
      </c>
      <c r="C227" t="s">
        <v>29</v>
      </c>
      <c r="D227" t="s">
        <v>94</v>
      </c>
      <c r="E227" t="s">
        <v>103</v>
      </c>
      <c r="F227" t="s">
        <v>120</v>
      </c>
      <c r="G227" t="s">
        <v>268</v>
      </c>
      <c r="H227" t="str">
        <f t="shared" si="31"/>
        <v>P.airoides.Solo.Open</v>
      </c>
      <c r="I227" t="s">
        <v>667</v>
      </c>
      <c r="J227" t="s">
        <v>501</v>
      </c>
      <c r="K227">
        <v>0</v>
      </c>
      <c r="L227">
        <v>45</v>
      </c>
      <c r="M227">
        <v>70</v>
      </c>
      <c r="N227">
        <v>70</v>
      </c>
      <c r="O227" t="s">
        <v>114</v>
      </c>
      <c r="P227">
        <v>40</v>
      </c>
      <c r="Q227">
        <v>65</v>
      </c>
      <c r="R227">
        <v>10</v>
      </c>
      <c r="S227">
        <f t="shared" si="33"/>
        <v>37.5</v>
      </c>
      <c r="T227">
        <f t="shared" si="34"/>
        <v>0.5357142857142857</v>
      </c>
      <c r="U227" t="s">
        <v>23</v>
      </c>
      <c r="V227" t="s">
        <v>114</v>
      </c>
      <c r="W227" t="s">
        <v>114</v>
      </c>
      <c r="X227">
        <v>13.5</v>
      </c>
      <c r="Y227">
        <v>14.9</v>
      </c>
      <c r="Z227">
        <v>14.9</v>
      </c>
      <c r="AA227">
        <v>14.43333333</v>
      </c>
      <c r="AB227">
        <v>11.66666667</v>
      </c>
      <c r="AC227">
        <v>12</v>
      </c>
      <c r="AD227">
        <v>12</v>
      </c>
      <c r="AE227">
        <v>11</v>
      </c>
      <c r="AF227">
        <v>11.66666667</v>
      </c>
      <c r="AG227">
        <v>13</v>
      </c>
      <c r="AH227">
        <v>16.399999999999999</v>
      </c>
      <c r="AI227">
        <v>15.9</v>
      </c>
      <c r="AJ227">
        <v>15.1</v>
      </c>
      <c r="AK227">
        <v>12.5</v>
      </c>
      <c r="AL227">
        <v>13</v>
      </c>
      <c r="AM227">
        <v>13</v>
      </c>
      <c r="AN227">
        <v>12.83333333</v>
      </c>
      <c r="AO227">
        <v>12.83333333</v>
      </c>
      <c r="AP227">
        <v>5.0999999999999996</v>
      </c>
      <c r="AQ227">
        <v>6.1</v>
      </c>
      <c r="AR227">
        <v>7.1</v>
      </c>
      <c r="AS227">
        <v>6.1</v>
      </c>
      <c r="AT227">
        <v>4.0999999999999996</v>
      </c>
      <c r="AU227">
        <v>5.0999999999999996</v>
      </c>
      <c r="AV227">
        <v>4.5999999999999996</v>
      </c>
      <c r="AW227">
        <v>4.5999999999999996</v>
      </c>
      <c r="AX227">
        <v>4.5999999999999996</v>
      </c>
      <c r="AY227">
        <v>-7.0666666669999998</v>
      </c>
      <c r="AZ227">
        <v>40</v>
      </c>
      <c r="BA227">
        <v>30</v>
      </c>
      <c r="BB227">
        <v>30</v>
      </c>
      <c r="BC227">
        <v>0</v>
      </c>
      <c r="BD227">
        <v>0</v>
      </c>
      <c r="BE227">
        <v>0</v>
      </c>
      <c r="BF227">
        <v>0</v>
      </c>
      <c r="BG227">
        <v>0</v>
      </c>
      <c r="BI227">
        <v>15.4</v>
      </c>
      <c r="BJ227">
        <v>33.924999999999997</v>
      </c>
      <c r="BK227">
        <v>0</v>
      </c>
      <c r="BL227">
        <v>10</v>
      </c>
      <c r="BM227">
        <v>10</v>
      </c>
      <c r="BN227">
        <v>533</v>
      </c>
      <c r="BO227">
        <v>368.5</v>
      </c>
      <c r="BP227">
        <f t="shared" si="30"/>
        <v>164.5</v>
      </c>
      <c r="BQ227" t="s">
        <v>114</v>
      </c>
      <c r="BR227" t="s">
        <v>114</v>
      </c>
      <c r="BS227" t="s">
        <v>114</v>
      </c>
      <c r="BT227" t="s">
        <v>114</v>
      </c>
      <c r="BU227" t="s">
        <v>114</v>
      </c>
      <c r="BV227" t="s">
        <v>114</v>
      </c>
      <c r="BW227" t="s">
        <v>114</v>
      </c>
      <c r="BX227" t="s">
        <v>114</v>
      </c>
      <c r="BY227" t="s">
        <v>114</v>
      </c>
      <c r="BZ227" t="s">
        <v>114</v>
      </c>
      <c r="CA227" t="s">
        <v>114</v>
      </c>
      <c r="CB227" t="s">
        <v>114</v>
      </c>
      <c r="CC227" t="s">
        <v>114</v>
      </c>
      <c r="CD227" t="s">
        <v>114</v>
      </c>
      <c r="CE227" t="s">
        <v>114</v>
      </c>
      <c r="CF227" t="s">
        <v>114</v>
      </c>
      <c r="CG227" t="s">
        <v>114</v>
      </c>
      <c r="CH227" t="s">
        <v>114</v>
      </c>
      <c r="CI227" t="s">
        <v>114</v>
      </c>
      <c r="CJ227" t="s">
        <v>114</v>
      </c>
      <c r="CK227" t="s">
        <v>114</v>
      </c>
      <c r="CL227" t="s">
        <v>114</v>
      </c>
      <c r="CM227" t="s">
        <v>114</v>
      </c>
      <c r="CN227" t="s">
        <v>114</v>
      </c>
      <c r="CO227" t="s">
        <v>114</v>
      </c>
      <c r="CP227" t="s">
        <v>114</v>
      </c>
      <c r="CQ227" t="s">
        <v>114</v>
      </c>
      <c r="CR227" t="s">
        <v>114</v>
      </c>
      <c r="CS227" t="s">
        <v>114</v>
      </c>
      <c r="CT227" t="s">
        <v>114</v>
      </c>
      <c r="CU227" t="s">
        <v>114</v>
      </c>
      <c r="CV227" t="s">
        <v>114</v>
      </c>
      <c r="CW227" t="s">
        <v>114</v>
      </c>
    </row>
    <row r="228" spans="1:101" x14ac:dyDescent="0.25">
      <c r="A228" t="s">
        <v>76</v>
      </c>
      <c r="B228">
        <v>10</v>
      </c>
      <c r="C228" t="s">
        <v>31</v>
      </c>
      <c r="D228" t="s">
        <v>94</v>
      </c>
      <c r="E228" t="s">
        <v>113</v>
      </c>
      <c r="F228" t="s">
        <v>120</v>
      </c>
      <c r="G228" t="s">
        <v>267</v>
      </c>
      <c r="H228" t="str">
        <f t="shared" si="31"/>
        <v>H.glutinosum.Solo.Open</v>
      </c>
      <c r="I228" t="s">
        <v>666</v>
      </c>
      <c r="J228" t="s">
        <v>502</v>
      </c>
      <c r="K228">
        <v>0</v>
      </c>
      <c r="L228">
        <v>90</v>
      </c>
      <c r="M228">
        <v>20</v>
      </c>
      <c r="N228">
        <v>20</v>
      </c>
      <c r="O228" t="s">
        <v>114</v>
      </c>
      <c r="P228">
        <v>6</v>
      </c>
      <c r="Q228">
        <v>5</v>
      </c>
      <c r="R228">
        <v>2</v>
      </c>
      <c r="S228">
        <f t="shared" si="33"/>
        <v>3.5</v>
      </c>
      <c r="T228">
        <f t="shared" si="34"/>
        <v>0.17499999999999999</v>
      </c>
      <c r="U228" t="s">
        <v>15</v>
      </c>
      <c r="V228" t="s">
        <v>114</v>
      </c>
      <c r="W228" t="s">
        <v>114</v>
      </c>
      <c r="X228">
        <v>16.899999999999999</v>
      </c>
      <c r="Y228">
        <v>17.899999999999999</v>
      </c>
      <c r="Z228">
        <v>17.899999999999999</v>
      </c>
      <c r="AA228">
        <v>17.56666667</v>
      </c>
      <c r="AB228">
        <v>14.4</v>
      </c>
      <c r="AC228">
        <v>13.9</v>
      </c>
      <c r="AD228">
        <v>13.9</v>
      </c>
      <c r="AE228">
        <v>15.4</v>
      </c>
      <c r="AF228">
        <v>14.4</v>
      </c>
      <c r="AG228">
        <v>13</v>
      </c>
      <c r="AH228">
        <v>16.399999999999999</v>
      </c>
      <c r="AI228">
        <v>15.9</v>
      </c>
      <c r="AJ228">
        <v>15.1</v>
      </c>
      <c r="AK228">
        <v>18.399999999999999</v>
      </c>
      <c r="AL228">
        <v>17.899999999999999</v>
      </c>
      <c r="AM228">
        <v>17.399999999999999</v>
      </c>
      <c r="AN228">
        <v>17.899999999999999</v>
      </c>
      <c r="AO228">
        <v>17.899999999999999</v>
      </c>
      <c r="AP228">
        <v>10</v>
      </c>
      <c r="AQ228">
        <v>10.5</v>
      </c>
      <c r="AR228">
        <v>11.5</v>
      </c>
      <c r="AS228">
        <v>10.66666667</v>
      </c>
      <c r="AT228">
        <v>8.5</v>
      </c>
      <c r="AU228">
        <v>6.6</v>
      </c>
      <c r="AV228">
        <v>7.1</v>
      </c>
      <c r="AW228">
        <v>7.4</v>
      </c>
      <c r="AX228">
        <v>7.4</v>
      </c>
      <c r="AY228">
        <v>-7</v>
      </c>
      <c r="AZ228">
        <v>60</v>
      </c>
      <c r="BA228">
        <v>30</v>
      </c>
      <c r="BB228">
        <v>10</v>
      </c>
      <c r="BC228">
        <v>0</v>
      </c>
      <c r="BD228">
        <v>0</v>
      </c>
      <c r="BE228">
        <v>0</v>
      </c>
      <c r="BF228">
        <v>0</v>
      </c>
      <c r="BG228">
        <v>0</v>
      </c>
      <c r="BI228">
        <v>9.6999999999999993</v>
      </c>
      <c r="BJ228">
        <v>11.682</v>
      </c>
      <c r="BK228">
        <v>0</v>
      </c>
      <c r="BL228">
        <v>1</v>
      </c>
      <c r="BM228">
        <v>0</v>
      </c>
      <c r="BN228">
        <v>0</v>
      </c>
      <c r="BO228">
        <v>0</v>
      </c>
      <c r="BP228">
        <f t="shared" si="30"/>
        <v>0</v>
      </c>
      <c r="BQ228" t="s">
        <v>114</v>
      </c>
      <c r="BR228" t="s">
        <v>114</v>
      </c>
      <c r="BS228" t="s">
        <v>114</v>
      </c>
      <c r="BT228" t="s">
        <v>114</v>
      </c>
      <c r="BU228" t="s">
        <v>114</v>
      </c>
      <c r="BV228" t="s">
        <v>114</v>
      </c>
      <c r="BW228" t="s">
        <v>114</v>
      </c>
      <c r="BX228" t="s">
        <v>114</v>
      </c>
      <c r="BY228" t="s">
        <v>114</v>
      </c>
      <c r="BZ228" t="s">
        <v>114</v>
      </c>
      <c r="CA228" t="s">
        <v>114</v>
      </c>
      <c r="CB228" t="s">
        <v>114</v>
      </c>
      <c r="CC228" t="s">
        <v>114</v>
      </c>
      <c r="CD228" t="s">
        <v>114</v>
      </c>
      <c r="CE228" t="s">
        <v>114</v>
      </c>
      <c r="CF228" t="s">
        <v>114</v>
      </c>
      <c r="CG228" t="s">
        <v>114</v>
      </c>
      <c r="CH228" t="s">
        <v>114</v>
      </c>
      <c r="CI228" t="s">
        <v>114</v>
      </c>
      <c r="CJ228" t="s">
        <v>114</v>
      </c>
      <c r="CK228" t="s">
        <v>114</v>
      </c>
      <c r="CL228" t="s">
        <v>114</v>
      </c>
      <c r="CM228" t="s">
        <v>114</v>
      </c>
      <c r="CN228" t="s">
        <v>114</v>
      </c>
      <c r="CO228" t="s">
        <v>114</v>
      </c>
      <c r="CP228" t="s">
        <v>114</v>
      </c>
      <c r="CQ228" t="s">
        <v>114</v>
      </c>
      <c r="CR228" t="s">
        <v>114</v>
      </c>
      <c r="CS228" t="s">
        <v>114</v>
      </c>
      <c r="CT228" t="s">
        <v>114</v>
      </c>
      <c r="CU228" t="s">
        <v>114</v>
      </c>
      <c r="CV228" t="s">
        <v>114</v>
      </c>
      <c r="CW228" t="s">
        <v>114</v>
      </c>
    </row>
    <row r="229" spans="1:101" x14ac:dyDescent="0.25">
      <c r="A229" t="s">
        <v>77</v>
      </c>
      <c r="B229">
        <v>10</v>
      </c>
      <c r="C229" t="s">
        <v>33</v>
      </c>
      <c r="D229" t="s">
        <v>94</v>
      </c>
      <c r="E229" t="s">
        <v>102</v>
      </c>
      <c r="F229" t="s">
        <v>120</v>
      </c>
      <c r="G229" t="s">
        <v>273</v>
      </c>
      <c r="H229" t="str">
        <f t="shared" si="31"/>
        <v>A.calendula.Solo.Open</v>
      </c>
      <c r="I229" t="s">
        <v>677</v>
      </c>
      <c r="J229" t="s">
        <v>503</v>
      </c>
      <c r="K229">
        <v>0</v>
      </c>
      <c r="L229">
        <v>140</v>
      </c>
      <c r="M229">
        <v>80</v>
      </c>
      <c r="N229">
        <v>80</v>
      </c>
      <c r="O229" t="s">
        <v>114</v>
      </c>
      <c r="P229">
        <v>120</v>
      </c>
      <c r="Q229">
        <v>120</v>
      </c>
      <c r="R229">
        <v>50</v>
      </c>
      <c r="S229">
        <f t="shared" si="33"/>
        <v>85</v>
      </c>
      <c r="T229">
        <f t="shared" si="34"/>
        <v>1.0625</v>
      </c>
      <c r="U229" t="s">
        <v>15</v>
      </c>
      <c r="V229" t="s">
        <v>114</v>
      </c>
      <c r="W229" t="s">
        <v>114</v>
      </c>
      <c r="X229">
        <v>14.4</v>
      </c>
      <c r="Y229">
        <v>18.399999999999999</v>
      </c>
      <c r="Z229">
        <v>16.899999999999999</v>
      </c>
      <c r="AA229">
        <v>16.56666667</v>
      </c>
      <c r="AB229">
        <v>15.56666667</v>
      </c>
      <c r="AC229">
        <v>15.4</v>
      </c>
      <c r="AD229">
        <v>15.4</v>
      </c>
      <c r="AE229">
        <v>15.9</v>
      </c>
      <c r="AF229">
        <v>15.56666667</v>
      </c>
      <c r="AG229">
        <v>16.399999999999999</v>
      </c>
      <c r="AH229">
        <v>16.899999999999999</v>
      </c>
      <c r="AI229">
        <v>16.899999999999999</v>
      </c>
      <c r="AJ229">
        <v>16.733333330000001</v>
      </c>
      <c r="AK229">
        <v>18.899999999999999</v>
      </c>
      <c r="AL229">
        <v>16.399999999999999</v>
      </c>
      <c r="AM229">
        <v>19.399999999999999</v>
      </c>
      <c r="AN229">
        <v>18.233333330000001</v>
      </c>
      <c r="AO229">
        <v>18.233333330000001</v>
      </c>
      <c r="AP229">
        <v>3.6</v>
      </c>
      <c r="AQ229">
        <v>5.0999999999999996</v>
      </c>
      <c r="AR229">
        <v>7.1</v>
      </c>
      <c r="AS229">
        <v>5.266666667</v>
      </c>
      <c r="AT229">
        <v>4.0999999999999996</v>
      </c>
      <c r="AU229">
        <v>5.0999999999999996</v>
      </c>
      <c r="AV229">
        <v>7.6</v>
      </c>
      <c r="AW229">
        <v>5.6</v>
      </c>
      <c r="AX229">
        <v>5.6</v>
      </c>
      <c r="AY229">
        <v>-9.9666666670000001</v>
      </c>
      <c r="AZ229">
        <v>90</v>
      </c>
      <c r="BA229">
        <v>0</v>
      </c>
      <c r="BB229">
        <v>10</v>
      </c>
      <c r="BC229">
        <v>0</v>
      </c>
      <c r="BD229">
        <v>0</v>
      </c>
      <c r="BE229">
        <v>0</v>
      </c>
      <c r="BF229">
        <v>0</v>
      </c>
      <c r="BG229">
        <v>0</v>
      </c>
      <c r="BI229">
        <v>4.5999999999999996</v>
      </c>
      <c r="BJ229">
        <v>31.262</v>
      </c>
      <c r="BK229">
        <v>0</v>
      </c>
      <c r="BL229">
        <v>21</v>
      </c>
      <c r="BM229">
        <v>21</v>
      </c>
      <c r="BN229">
        <v>716</v>
      </c>
      <c r="BO229">
        <v>560.5</v>
      </c>
      <c r="BP229">
        <f t="shared" si="30"/>
        <v>155.5</v>
      </c>
      <c r="BQ229" t="s">
        <v>114</v>
      </c>
      <c r="BR229" t="s">
        <v>114</v>
      </c>
      <c r="BS229" t="s">
        <v>114</v>
      </c>
      <c r="BT229" t="s">
        <v>114</v>
      </c>
      <c r="BU229" t="s">
        <v>114</v>
      </c>
      <c r="BV229" t="s">
        <v>114</v>
      </c>
      <c r="BW229" t="s">
        <v>114</v>
      </c>
      <c r="BX229" t="s">
        <v>114</v>
      </c>
      <c r="BY229" t="s">
        <v>114</v>
      </c>
      <c r="BZ229" t="s">
        <v>114</v>
      </c>
      <c r="CA229" t="s">
        <v>114</v>
      </c>
      <c r="CB229" t="s">
        <v>114</v>
      </c>
      <c r="CC229" t="s">
        <v>114</v>
      </c>
      <c r="CD229" t="s">
        <v>114</v>
      </c>
      <c r="CE229" t="s">
        <v>114</v>
      </c>
      <c r="CF229" t="s">
        <v>114</v>
      </c>
      <c r="CG229" t="s">
        <v>114</v>
      </c>
      <c r="CH229" t="s">
        <v>114</v>
      </c>
      <c r="CI229" t="s">
        <v>114</v>
      </c>
      <c r="CJ229" t="s">
        <v>114</v>
      </c>
      <c r="CK229" t="s">
        <v>114</v>
      </c>
      <c r="CL229" t="s">
        <v>114</v>
      </c>
      <c r="CM229" t="s">
        <v>114</v>
      </c>
      <c r="CN229" t="s">
        <v>114</v>
      </c>
      <c r="CO229" t="s">
        <v>114</v>
      </c>
      <c r="CP229" t="s">
        <v>114</v>
      </c>
      <c r="CQ229" t="s">
        <v>114</v>
      </c>
      <c r="CR229" t="s">
        <v>114</v>
      </c>
      <c r="CS229" t="s">
        <v>114</v>
      </c>
      <c r="CT229" t="s">
        <v>114</v>
      </c>
      <c r="CU229" t="s">
        <v>114</v>
      </c>
      <c r="CV229" t="s">
        <v>114</v>
      </c>
      <c r="CW229" t="s">
        <v>114</v>
      </c>
    </row>
    <row r="230" spans="1:101" x14ac:dyDescent="0.25">
      <c r="A230" t="s">
        <v>77</v>
      </c>
      <c r="B230">
        <v>10</v>
      </c>
      <c r="C230" t="s">
        <v>33</v>
      </c>
      <c r="D230" t="s">
        <v>94</v>
      </c>
      <c r="E230" t="s">
        <v>110</v>
      </c>
      <c r="F230" t="s">
        <v>120</v>
      </c>
      <c r="G230" t="s">
        <v>270</v>
      </c>
      <c r="H230" t="str">
        <f t="shared" si="31"/>
        <v>M.minima.Solo.Open</v>
      </c>
      <c r="I230" t="s">
        <v>681</v>
      </c>
      <c r="J230" t="s">
        <v>504</v>
      </c>
      <c r="K230">
        <v>0</v>
      </c>
      <c r="L230">
        <v>85</v>
      </c>
      <c r="M230">
        <v>50</v>
      </c>
      <c r="N230">
        <v>50</v>
      </c>
      <c r="O230" t="s">
        <v>114</v>
      </c>
      <c r="P230">
        <v>15</v>
      </c>
      <c r="Q230">
        <v>110</v>
      </c>
      <c r="R230">
        <v>35</v>
      </c>
      <c r="S230">
        <f t="shared" si="33"/>
        <v>72.5</v>
      </c>
      <c r="T230">
        <f t="shared" si="34"/>
        <v>1.45</v>
      </c>
      <c r="U230" t="s">
        <v>794</v>
      </c>
      <c r="V230" t="s">
        <v>114</v>
      </c>
      <c r="W230" t="s">
        <v>114</v>
      </c>
      <c r="X230">
        <v>14.4</v>
      </c>
      <c r="Y230">
        <v>18.399999999999999</v>
      </c>
      <c r="Z230">
        <v>16.899999999999999</v>
      </c>
      <c r="AA230">
        <v>16.56666667</v>
      </c>
      <c r="AB230">
        <v>13.3</v>
      </c>
      <c r="AC230">
        <v>12.5</v>
      </c>
      <c r="AD230">
        <v>13.5</v>
      </c>
      <c r="AE230">
        <v>13.9</v>
      </c>
      <c r="AF230">
        <v>13.3</v>
      </c>
      <c r="AG230">
        <v>16.399999999999999</v>
      </c>
      <c r="AH230">
        <v>16.899999999999999</v>
      </c>
      <c r="AI230">
        <v>16.899999999999999</v>
      </c>
      <c r="AJ230">
        <v>16.733333330000001</v>
      </c>
      <c r="AK230">
        <v>15.9</v>
      </c>
      <c r="AL230">
        <v>13.5</v>
      </c>
      <c r="AM230">
        <v>16.399999999999999</v>
      </c>
      <c r="AN230">
        <v>15.266666669999999</v>
      </c>
      <c r="AO230">
        <v>15.266666669999999</v>
      </c>
      <c r="AP230">
        <v>3.6</v>
      </c>
      <c r="AQ230">
        <v>5.0999999999999996</v>
      </c>
      <c r="AR230">
        <v>7.1</v>
      </c>
      <c r="AS230">
        <v>5.266666667</v>
      </c>
      <c r="AT230">
        <v>3.6</v>
      </c>
      <c r="AU230">
        <v>3.1</v>
      </c>
      <c r="AV230">
        <v>2.7</v>
      </c>
      <c r="AW230">
        <v>3.1333333329999999</v>
      </c>
      <c r="AX230">
        <v>3.1333333329999999</v>
      </c>
      <c r="AY230">
        <v>-10.16666667</v>
      </c>
      <c r="AZ230">
        <v>80</v>
      </c>
      <c r="BA230">
        <v>0</v>
      </c>
      <c r="BB230">
        <v>0</v>
      </c>
      <c r="BC230">
        <v>20</v>
      </c>
      <c r="BD230">
        <v>0</v>
      </c>
      <c r="BE230">
        <v>0</v>
      </c>
      <c r="BF230">
        <v>0</v>
      </c>
      <c r="BG230">
        <v>0</v>
      </c>
      <c r="BI230">
        <v>4.5999999999999996</v>
      </c>
      <c r="BJ230">
        <v>31.262</v>
      </c>
      <c r="BK230">
        <v>0</v>
      </c>
      <c r="BL230">
        <v>9</v>
      </c>
      <c r="BM230">
        <v>9</v>
      </c>
      <c r="BN230">
        <v>9</v>
      </c>
      <c r="BO230">
        <v>7.6666670000000003</v>
      </c>
      <c r="BP230">
        <f t="shared" si="30"/>
        <v>1.3333329999999997</v>
      </c>
      <c r="BQ230" t="s">
        <v>114</v>
      </c>
      <c r="BR230" t="s">
        <v>114</v>
      </c>
      <c r="BS230" t="s">
        <v>114</v>
      </c>
      <c r="BT230" t="s">
        <v>114</v>
      </c>
      <c r="BU230" t="s">
        <v>114</v>
      </c>
      <c r="BV230" t="s">
        <v>114</v>
      </c>
      <c r="BW230" t="s">
        <v>114</v>
      </c>
      <c r="BX230" t="s">
        <v>114</v>
      </c>
      <c r="BY230" t="s">
        <v>114</v>
      </c>
      <c r="BZ230" t="s">
        <v>114</v>
      </c>
      <c r="CA230" t="s">
        <v>114</v>
      </c>
      <c r="CB230" t="s">
        <v>114</v>
      </c>
      <c r="CC230" t="s">
        <v>114</v>
      </c>
      <c r="CD230" t="s">
        <v>114</v>
      </c>
      <c r="CE230" t="s">
        <v>114</v>
      </c>
      <c r="CF230" t="s">
        <v>114</v>
      </c>
      <c r="CG230" t="s">
        <v>114</v>
      </c>
      <c r="CH230" t="s">
        <v>114</v>
      </c>
      <c r="CI230" t="s">
        <v>114</v>
      </c>
      <c r="CJ230" t="s">
        <v>114</v>
      </c>
      <c r="CK230" t="s">
        <v>114</v>
      </c>
      <c r="CL230" t="s">
        <v>114</v>
      </c>
      <c r="CM230" t="s">
        <v>114</v>
      </c>
      <c r="CN230" t="s">
        <v>114</v>
      </c>
      <c r="CO230" t="s">
        <v>114</v>
      </c>
      <c r="CP230" t="s">
        <v>114</v>
      </c>
      <c r="CQ230" t="s">
        <v>114</v>
      </c>
      <c r="CR230" t="s">
        <v>114</v>
      </c>
      <c r="CS230" t="s">
        <v>114</v>
      </c>
      <c r="CT230" t="s">
        <v>114</v>
      </c>
      <c r="CU230" t="s">
        <v>114</v>
      </c>
      <c r="CV230" t="s">
        <v>114</v>
      </c>
      <c r="CW230" t="s">
        <v>114</v>
      </c>
    </row>
    <row r="231" spans="1:101" x14ac:dyDescent="0.25">
      <c r="A231" t="s">
        <v>78</v>
      </c>
      <c r="B231">
        <v>10</v>
      </c>
      <c r="C231" t="s">
        <v>35</v>
      </c>
      <c r="D231" t="s">
        <v>94</v>
      </c>
      <c r="E231" t="s">
        <v>111</v>
      </c>
      <c r="F231" t="s">
        <v>120</v>
      </c>
      <c r="G231" t="s">
        <v>271</v>
      </c>
      <c r="H231" t="str">
        <f t="shared" si="31"/>
        <v>P.canescens.Solo.Open</v>
      </c>
      <c r="I231" t="s">
        <v>678</v>
      </c>
      <c r="J231" t="s">
        <v>505</v>
      </c>
      <c r="K231">
        <v>0</v>
      </c>
      <c r="L231">
        <v>250</v>
      </c>
      <c r="M231">
        <v>300</v>
      </c>
      <c r="N231">
        <v>300</v>
      </c>
      <c r="O231" t="s">
        <v>114</v>
      </c>
      <c r="P231">
        <v>60</v>
      </c>
      <c r="Q231">
        <v>80</v>
      </c>
      <c r="R231">
        <v>50</v>
      </c>
      <c r="S231">
        <f t="shared" si="33"/>
        <v>65</v>
      </c>
      <c r="T231">
        <f t="shared" si="34"/>
        <v>0.21666666666666667</v>
      </c>
      <c r="U231" t="s">
        <v>792</v>
      </c>
      <c r="V231" t="s">
        <v>114</v>
      </c>
      <c r="W231" t="s">
        <v>114</v>
      </c>
      <c r="X231">
        <v>16.899999999999999</v>
      </c>
      <c r="Y231">
        <v>15.9</v>
      </c>
      <c r="Z231">
        <v>17.899999999999999</v>
      </c>
      <c r="AA231">
        <v>16.899999999999999</v>
      </c>
      <c r="AB231">
        <v>17.06666667</v>
      </c>
      <c r="AC231">
        <v>16.399999999999999</v>
      </c>
      <c r="AD231">
        <v>16.899999999999999</v>
      </c>
      <c r="AE231">
        <v>17.899999999999999</v>
      </c>
      <c r="AF231">
        <v>17.06666667</v>
      </c>
      <c r="AG231">
        <v>17.899999999999999</v>
      </c>
      <c r="AH231">
        <v>18.399999999999999</v>
      </c>
      <c r="AI231">
        <v>18.399999999999999</v>
      </c>
      <c r="AJ231">
        <v>18.233333330000001</v>
      </c>
      <c r="AK231">
        <v>18.399999999999999</v>
      </c>
      <c r="AL231">
        <v>19.3</v>
      </c>
      <c r="AM231">
        <v>19.3</v>
      </c>
      <c r="AN231">
        <v>19</v>
      </c>
      <c r="AO231">
        <v>19</v>
      </c>
      <c r="AP231">
        <v>8.5</v>
      </c>
      <c r="AQ231">
        <v>8.5</v>
      </c>
      <c r="AR231">
        <v>9</v>
      </c>
      <c r="AS231">
        <v>8.6666666669999994</v>
      </c>
      <c r="AT231">
        <v>6.1</v>
      </c>
      <c r="AU231">
        <v>7.6</v>
      </c>
      <c r="AV231">
        <v>8.5</v>
      </c>
      <c r="AW231">
        <v>7.4</v>
      </c>
      <c r="AX231">
        <v>7.4</v>
      </c>
      <c r="AY231">
        <v>-9.6666666669999994</v>
      </c>
      <c r="AZ231">
        <v>65</v>
      </c>
      <c r="BA231">
        <v>0</v>
      </c>
      <c r="BB231">
        <v>10</v>
      </c>
      <c r="BC231">
        <v>25</v>
      </c>
      <c r="BD231">
        <v>0</v>
      </c>
      <c r="BE231">
        <v>0</v>
      </c>
      <c r="BF231">
        <v>0</v>
      </c>
      <c r="BG231">
        <v>0</v>
      </c>
      <c r="BI231">
        <v>13.6</v>
      </c>
      <c r="BJ231">
        <v>5.9870000000000001</v>
      </c>
      <c r="BK231">
        <v>0</v>
      </c>
      <c r="BL231">
        <v>29</v>
      </c>
      <c r="BM231">
        <v>25</v>
      </c>
      <c r="BN231">
        <v>2305</v>
      </c>
      <c r="BO231">
        <v>2412</v>
      </c>
      <c r="BP231">
        <f t="shared" si="30"/>
        <v>-107</v>
      </c>
      <c r="BQ231" t="s">
        <v>114</v>
      </c>
      <c r="BR231" t="s">
        <v>114</v>
      </c>
      <c r="BS231" t="s">
        <v>114</v>
      </c>
      <c r="BT231" t="s">
        <v>114</v>
      </c>
      <c r="BU231" t="s">
        <v>114</v>
      </c>
      <c r="BV231" t="s">
        <v>114</v>
      </c>
      <c r="BW231" t="s">
        <v>114</v>
      </c>
      <c r="BX231" t="s">
        <v>114</v>
      </c>
      <c r="BY231" t="s">
        <v>114</v>
      </c>
      <c r="BZ231" t="s">
        <v>114</v>
      </c>
      <c r="CA231" t="s">
        <v>114</v>
      </c>
      <c r="CB231" t="s">
        <v>114</v>
      </c>
      <c r="CC231" t="s">
        <v>114</v>
      </c>
      <c r="CD231" t="s">
        <v>114</v>
      </c>
      <c r="CE231" t="s">
        <v>114</v>
      </c>
      <c r="CF231" t="s">
        <v>114</v>
      </c>
      <c r="CG231" t="s">
        <v>114</v>
      </c>
      <c r="CH231" t="s">
        <v>114</v>
      </c>
      <c r="CI231" t="s">
        <v>114</v>
      </c>
      <c r="CJ231" t="s">
        <v>114</v>
      </c>
      <c r="CK231" t="s">
        <v>114</v>
      </c>
      <c r="CL231" t="s">
        <v>114</v>
      </c>
      <c r="CM231" t="s">
        <v>114</v>
      </c>
      <c r="CN231" t="s">
        <v>114</v>
      </c>
      <c r="CO231" t="s">
        <v>114</v>
      </c>
      <c r="CP231" t="s">
        <v>114</v>
      </c>
      <c r="CQ231" t="s">
        <v>114</v>
      </c>
      <c r="CR231" t="s">
        <v>114</v>
      </c>
      <c r="CS231" t="s">
        <v>114</v>
      </c>
      <c r="CT231" t="s">
        <v>114</v>
      </c>
      <c r="CU231" t="s">
        <v>114</v>
      </c>
      <c r="CV231" t="s">
        <v>114</v>
      </c>
      <c r="CW231" t="s">
        <v>114</v>
      </c>
    </row>
    <row r="232" spans="1:101" x14ac:dyDescent="0.25">
      <c r="A232" t="s">
        <v>50</v>
      </c>
      <c r="B232">
        <v>12</v>
      </c>
      <c r="C232" t="s">
        <v>11</v>
      </c>
      <c r="D232" t="s">
        <v>95</v>
      </c>
      <c r="E232" t="s">
        <v>113</v>
      </c>
      <c r="F232" t="s">
        <v>120</v>
      </c>
      <c r="G232" t="s">
        <v>267</v>
      </c>
      <c r="H232" t="str">
        <f t="shared" si="31"/>
        <v>H.glutinosum.Solo.Shade</v>
      </c>
      <c r="I232" t="s">
        <v>682</v>
      </c>
      <c r="J232" t="s">
        <v>506</v>
      </c>
      <c r="K232">
        <v>0</v>
      </c>
      <c r="L232">
        <v>100</v>
      </c>
      <c r="M232">
        <v>120</v>
      </c>
      <c r="N232">
        <v>120</v>
      </c>
      <c r="O232" t="s">
        <v>114</v>
      </c>
      <c r="P232">
        <v>12</v>
      </c>
      <c r="Q232">
        <v>30</v>
      </c>
      <c r="R232">
        <v>5</v>
      </c>
      <c r="S232">
        <f t="shared" si="33"/>
        <v>17.5</v>
      </c>
      <c r="T232">
        <f t="shared" si="34"/>
        <v>0.14583333333333334</v>
      </c>
      <c r="U232" t="s">
        <v>792</v>
      </c>
      <c r="V232" t="s">
        <v>114</v>
      </c>
      <c r="W232" t="s">
        <v>114</v>
      </c>
      <c r="X232">
        <v>16.899999999999999</v>
      </c>
      <c r="Y232">
        <v>16.399999999999999</v>
      </c>
      <c r="Z232">
        <v>14.4</v>
      </c>
      <c r="AA232">
        <v>15.9</v>
      </c>
      <c r="AB232">
        <v>16.399999999999999</v>
      </c>
      <c r="AC232">
        <v>15.9</v>
      </c>
      <c r="AD232">
        <v>16.399999999999999</v>
      </c>
      <c r="AE232">
        <v>16.899999999999999</v>
      </c>
      <c r="AF232">
        <v>16.399999999999999</v>
      </c>
      <c r="AG232">
        <v>15.4</v>
      </c>
      <c r="AH232">
        <v>18.399999999999999</v>
      </c>
      <c r="AI232">
        <v>16.899999999999999</v>
      </c>
      <c r="AJ232">
        <v>16.899999999999999</v>
      </c>
      <c r="AK232">
        <v>17.399999999999999</v>
      </c>
      <c r="AL232">
        <v>17.399999999999999</v>
      </c>
      <c r="AM232">
        <v>16.899999999999999</v>
      </c>
      <c r="AN232">
        <v>17.233333330000001</v>
      </c>
      <c r="AO232">
        <v>17.233333330000001</v>
      </c>
      <c r="AP232">
        <v>8.5</v>
      </c>
      <c r="AQ232">
        <v>8.5</v>
      </c>
      <c r="AR232">
        <v>5.6</v>
      </c>
      <c r="AS232">
        <v>7.5333333329999999</v>
      </c>
      <c r="AT232">
        <v>8.5</v>
      </c>
      <c r="AU232">
        <v>8.5</v>
      </c>
      <c r="AV232">
        <v>9</v>
      </c>
      <c r="AW232">
        <v>8.6666666669999994</v>
      </c>
      <c r="AX232">
        <v>8.6666666669999994</v>
      </c>
      <c r="AY232">
        <v>-7.733333333</v>
      </c>
      <c r="AZ232">
        <v>50</v>
      </c>
      <c r="BA232">
        <v>25</v>
      </c>
      <c r="BB232">
        <v>25</v>
      </c>
      <c r="BC232">
        <v>0</v>
      </c>
      <c r="BD232">
        <v>0</v>
      </c>
      <c r="BE232">
        <v>1</v>
      </c>
      <c r="BF232">
        <v>0</v>
      </c>
      <c r="BG232">
        <v>0</v>
      </c>
      <c r="BI232">
        <v>9.1</v>
      </c>
      <c r="BJ232">
        <v>47.033999999999999</v>
      </c>
      <c r="BK232">
        <v>0</v>
      </c>
      <c r="BL232">
        <v>3</v>
      </c>
      <c r="BM232">
        <v>3</v>
      </c>
      <c r="BN232" t="s">
        <v>114</v>
      </c>
      <c r="BO232">
        <v>7</v>
      </c>
      <c r="BP232" t="s">
        <v>114</v>
      </c>
      <c r="BQ232" t="s">
        <v>114</v>
      </c>
      <c r="BR232" t="s">
        <v>114</v>
      </c>
      <c r="BS232" t="s">
        <v>114</v>
      </c>
      <c r="BT232" t="s">
        <v>114</v>
      </c>
      <c r="BU232" t="s">
        <v>114</v>
      </c>
      <c r="BV232" t="s">
        <v>114</v>
      </c>
      <c r="BW232" t="s">
        <v>114</v>
      </c>
      <c r="BX232" t="s">
        <v>114</v>
      </c>
      <c r="BY232" t="s">
        <v>114</v>
      </c>
      <c r="BZ232" t="s">
        <v>114</v>
      </c>
      <c r="CA232" t="s">
        <v>114</v>
      </c>
      <c r="CB232" t="s">
        <v>114</v>
      </c>
      <c r="CC232" t="s">
        <v>114</v>
      </c>
      <c r="CD232" t="s">
        <v>114</v>
      </c>
      <c r="CE232" t="s">
        <v>114</v>
      </c>
      <c r="CF232" t="s">
        <v>114</v>
      </c>
      <c r="CG232" t="s">
        <v>114</v>
      </c>
      <c r="CH232" t="s">
        <v>114</v>
      </c>
      <c r="CI232" t="s">
        <v>114</v>
      </c>
      <c r="CJ232" t="s">
        <v>114</v>
      </c>
      <c r="CK232" t="s">
        <v>114</v>
      </c>
      <c r="CL232" t="s">
        <v>114</v>
      </c>
      <c r="CM232" t="s">
        <v>114</v>
      </c>
      <c r="CN232" t="s">
        <v>114</v>
      </c>
      <c r="CO232" t="s">
        <v>114</v>
      </c>
      <c r="CP232" t="s">
        <v>114</v>
      </c>
      <c r="CQ232" t="s">
        <v>114</v>
      </c>
      <c r="CR232" t="s">
        <v>114</v>
      </c>
      <c r="CS232" t="s">
        <v>114</v>
      </c>
      <c r="CT232" t="s">
        <v>114</v>
      </c>
      <c r="CU232" t="s">
        <v>114</v>
      </c>
      <c r="CV232" t="s">
        <v>114</v>
      </c>
      <c r="CW232" t="s">
        <v>114</v>
      </c>
    </row>
    <row r="233" spans="1:101" x14ac:dyDescent="0.25">
      <c r="A233" t="s">
        <v>50</v>
      </c>
      <c r="B233">
        <v>12</v>
      </c>
      <c r="C233" t="s">
        <v>11</v>
      </c>
      <c r="D233" t="s">
        <v>95</v>
      </c>
      <c r="E233" t="s">
        <v>103</v>
      </c>
      <c r="F233" t="s">
        <v>120</v>
      </c>
      <c r="G233" t="s">
        <v>268</v>
      </c>
      <c r="H233" t="str">
        <f t="shared" si="31"/>
        <v>P.airoides.Solo.Shade</v>
      </c>
      <c r="I233" t="s">
        <v>683</v>
      </c>
      <c r="J233" t="s">
        <v>507</v>
      </c>
      <c r="K233">
        <v>0</v>
      </c>
      <c r="L233">
        <v>100</v>
      </c>
      <c r="M233">
        <v>60</v>
      </c>
      <c r="N233">
        <v>60</v>
      </c>
      <c r="O233" t="s">
        <v>114</v>
      </c>
      <c r="P233">
        <v>35</v>
      </c>
      <c r="Q233">
        <v>40</v>
      </c>
      <c r="R233">
        <v>25</v>
      </c>
      <c r="S233">
        <f t="shared" si="33"/>
        <v>32.5</v>
      </c>
      <c r="T233">
        <f t="shared" si="34"/>
        <v>0.54166666666666663</v>
      </c>
      <c r="U233" t="s">
        <v>794</v>
      </c>
      <c r="V233" t="s">
        <v>114</v>
      </c>
      <c r="W233" t="s">
        <v>114</v>
      </c>
      <c r="X233">
        <v>16.899999999999999</v>
      </c>
      <c r="Y233">
        <v>16.399999999999999</v>
      </c>
      <c r="Z233">
        <v>14.4</v>
      </c>
      <c r="AA233">
        <v>15.9</v>
      </c>
      <c r="AB233">
        <v>16.56666667</v>
      </c>
      <c r="AC233">
        <v>15.9</v>
      </c>
      <c r="AD233">
        <v>16.399999999999999</v>
      </c>
      <c r="AE233">
        <v>17.399999999999999</v>
      </c>
      <c r="AF233">
        <v>16.56666667</v>
      </c>
      <c r="AG233">
        <v>15.4</v>
      </c>
      <c r="AH233">
        <v>18.399999999999999</v>
      </c>
      <c r="AI233">
        <v>16.899999999999999</v>
      </c>
      <c r="AJ233">
        <v>16.899999999999999</v>
      </c>
      <c r="AK233">
        <v>15.4</v>
      </c>
      <c r="AL233">
        <v>21.3</v>
      </c>
      <c r="AM233">
        <v>17.899999999999999</v>
      </c>
      <c r="AN233">
        <v>18.2</v>
      </c>
      <c r="AO233">
        <v>18.2</v>
      </c>
      <c r="AP233">
        <v>8.5</v>
      </c>
      <c r="AQ233">
        <v>8.5</v>
      </c>
      <c r="AR233">
        <v>5.6</v>
      </c>
      <c r="AS233">
        <v>7.5333333329999999</v>
      </c>
      <c r="AT233">
        <v>8.1</v>
      </c>
      <c r="AU233">
        <v>9</v>
      </c>
      <c r="AV233">
        <v>11</v>
      </c>
      <c r="AW233">
        <v>9.3666666670000005</v>
      </c>
      <c r="AX233">
        <v>9.3666666670000005</v>
      </c>
      <c r="AY233">
        <v>-7.2</v>
      </c>
      <c r="AZ233">
        <v>20</v>
      </c>
      <c r="BA233">
        <v>70</v>
      </c>
      <c r="BB233">
        <v>10</v>
      </c>
      <c r="BC233">
        <v>0</v>
      </c>
      <c r="BD233">
        <v>0</v>
      </c>
      <c r="BE233">
        <v>1</v>
      </c>
      <c r="BF233">
        <v>0</v>
      </c>
      <c r="BG233">
        <v>0</v>
      </c>
      <c r="BI233">
        <v>9.1</v>
      </c>
      <c r="BJ233">
        <v>47.033999999999999</v>
      </c>
      <c r="BK233">
        <v>0</v>
      </c>
      <c r="BL233">
        <v>4</v>
      </c>
      <c r="BM233">
        <v>4</v>
      </c>
      <c r="BN233">
        <v>338</v>
      </c>
      <c r="BO233">
        <v>290.75</v>
      </c>
      <c r="BP233">
        <f t="shared" ref="BP233:BP264" si="35">BN233-BO233</f>
        <v>47.25</v>
      </c>
      <c r="BQ233" t="s">
        <v>114</v>
      </c>
      <c r="BR233" t="s">
        <v>114</v>
      </c>
      <c r="BS233" t="s">
        <v>114</v>
      </c>
      <c r="BT233" t="s">
        <v>114</v>
      </c>
      <c r="BU233" t="s">
        <v>114</v>
      </c>
      <c r="BV233" t="s">
        <v>114</v>
      </c>
      <c r="BW233" t="s">
        <v>114</v>
      </c>
      <c r="BX233" t="s">
        <v>114</v>
      </c>
      <c r="BY233" t="s">
        <v>114</v>
      </c>
      <c r="BZ233" t="s">
        <v>114</v>
      </c>
      <c r="CA233" t="s">
        <v>114</v>
      </c>
      <c r="CB233" t="s">
        <v>114</v>
      </c>
      <c r="CC233" t="s">
        <v>114</v>
      </c>
      <c r="CD233" t="s">
        <v>114</v>
      </c>
      <c r="CE233" t="s">
        <v>114</v>
      </c>
      <c r="CF233" t="s">
        <v>114</v>
      </c>
      <c r="CG233" t="s">
        <v>114</v>
      </c>
      <c r="CH233" t="s">
        <v>114</v>
      </c>
      <c r="CI233" t="s">
        <v>114</v>
      </c>
      <c r="CJ233" t="s">
        <v>114</v>
      </c>
      <c r="CK233" t="s">
        <v>114</v>
      </c>
      <c r="CL233" t="s">
        <v>114</v>
      </c>
      <c r="CM233" t="s">
        <v>114</v>
      </c>
      <c r="CN233" t="s">
        <v>114</v>
      </c>
      <c r="CO233" t="s">
        <v>114</v>
      </c>
      <c r="CP233" t="s">
        <v>114</v>
      </c>
      <c r="CQ233" t="s">
        <v>114</v>
      </c>
      <c r="CR233" t="s">
        <v>114</v>
      </c>
      <c r="CS233" t="s">
        <v>114</v>
      </c>
      <c r="CT233" t="s">
        <v>114</v>
      </c>
      <c r="CU233" t="s">
        <v>114</v>
      </c>
      <c r="CV233" t="s">
        <v>114</v>
      </c>
      <c r="CW233" t="s">
        <v>114</v>
      </c>
    </row>
    <row r="234" spans="1:101" x14ac:dyDescent="0.25">
      <c r="A234" t="s">
        <v>50</v>
      </c>
      <c r="B234">
        <v>12</v>
      </c>
      <c r="C234" t="s">
        <v>11</v>
      </c>
      <c r="D234" t="s">
        <v>95</v>
      </c>
      <c r="E234" t="s">
        <v>111</v>
      </c>
      <c r="F234" t="s">
        <v>120</v>
      </c>
      <c r="G234" t="s">
        <v>271</v>
      </c>
      <c r="H234" t="str">
        <f t="shared" si="31"/>
        <v>P.canescens.Solo.Shade</v>
      </c>
      <c r="I234" t="s">
        <v>684</v>
      </c>
      <c r="J234" t="s">
        <v>508</v>
      </c>
      <c r="K234">
        <v>0</v>
      </c>
      <c r="L234">
        <v>290</v>
      </c>
      <c r="M234">
        <v>270</v>
      </c>
      <c r="N234">
        <v>270</v>
      </c>
      <c r="O234" t="s">
        <v>114</v>
      </c>
      <c r="P234">
        <v>80</v>
      </c>
      <c r="Q234">
        <v>250</v>
      </c>
      <c r="R234">
        <v>110</v>
      </c>
      <c r="S234">
        <f t="shared" si="33"/>
        <v>180</v>
      </c>
      <c r="T234">
        <f t="shared" si="34"/>
        <v>0.66666666666666663</v>
      </c>
      <c r="U234" t="s">
        <v>15</v>
      </c>
      <c r="V234" t="s">
        <v>114</v>
      </c>
      <c r="W234" t="s">
        <v>114</v>
      </c>
      <c r="X234">
        <v>16.899999999999999</v>
      </c>
      <c r="Y234">
        <v>16.399999999999999</v>
      </c>
      <c r="Z234">
        <v>14.4</v>
      </c>
      <c r="AA234">
        <v>15.9</v>
      </c>
      <c r="AB234">
        <v>17.56666667</v>
      </c>
      <c r="AC234">
        <v>17.899999999999999</v>
      </c>
      <c r="AD234">
        <v>17.899999999999999</v>
      </c>
      <c r="AE234">
        <v>16.899999999999999</v>
      </c>
      <c r="AF234">
        <v>17.56666667</v>
      </c>
      <c r="AG234">
        <v>15.4</v>
      </c>
      <c r="AH234">
        <v>18.399999999999999</v>
      </c>
      <c r="AI234">
        <v>16.899999999999999</v>
      </c>
      <c r="AJ234">
        <v>16.899999999999999</v>
      </c>
      <c r="AK234">
        <v>17.100000000000001</v>
      </c>
      <c r="AL234">
        <v>18.399999999999999</v>
      </c>
      <c r="AM234">
        <v>19.8</v>
      </c>
      <c r="AN234">
        <v>18.43333333</v>
      </c>
      <c r="AO234">
        <v>18.43333333</v>
      </c>
      <c r="AP234">
        <v>8.5</v>
      </c>
      <c r="AQ234">
        <v>8.5</v>
      </c>
      <c r="AR234">
        <v>5.6</v>
      </c>
      <c r="AS234">
        <v>7.5333333329999999</v>
      </c>
      <c r="AT234">
        <v>8.5</v>
      </c>
      <c r="AU234">
        <v>8.5</v>
      </c>
      <c r="AV234">
        <v>9</v>
      </c>
      <c r="AW234">
        <v>8.6666666669999994</v>
      </c>
      <c r="AX234">
        <v>8.6666666669999994</v>
      </c>
      <c r="AY234">
        <v>-8.9</v>
      </c>
      <c r="AZ234">
        <v>40</v>
      </c>
      <c r="BA234">
        <v>50</v>
      </c>
      <c r="BB234">
        <v>10</v>
      </c>
      <c r="BC234">
        <v>0</v>
      </c>
      <c r="BD234">
        <v>0</v>
      </c>
      <c r="BE234">
        <v>1</v>
      </c>
      <c r="BF234">
        <v>0</v>
      </c>
      <c r="BG234">
        <v>0</v>
      </c>
      <c r="BI234">
        <v>9.1</v>
      </c>
      <c r="BJ234">
        <v>47.033999999999999</v>
      </c>
      <c r="BK234">
        <v>0</v>
      </c>
      <c r="BL234">
        <v>16</v>
      </c>
      <c r="BM234">
        <v>15</v>
      </c>
      <c r="BN234">
        <v>655</v>
      </c>
      <c r="BO234">
        <v>955.66669999999999</v>
      </c>
      <c r="BP234">
        <f t="shared" si="35"/>
        <v>-300.66669999999999</v>
      </c>
      <c r="BQ234" t="s">
        <v>114</v>
      </c>
      <c r="BR234" t="s">
        <v>114</v>
      </c>
      <c r="BS234" t="s">
        <v>114</v>
      </c>
      <c r="BT234" t="s">
        <v>114</v>
      </c>
      <c r="BU234" t="s">
        <v>114</v>
      </c>
      <c r="BV234" t="s">
        <v>114</v>
      </c>
      <c r="BW234" t="s">
        <v>114</v>
      </c>
      <c r="BX234" t="s">
        <v>114</v>
      </c>
      <c r="BY234" t="s">
        <v>114</v>
      </c>
      <c r="BZ234" t="s">
        <v>114</v>
      </c>
      <c r="CA234" t="s">
        <v>114</v>
      </c>
      <c r="CB234" t="s">
        <v>114</v>
      </c>
      <c r="CC234" t="s">
        <v>114</v>
      </c>
      <c r="CD234" t="s">
        <v>114</v>
      </c>
      <c r="CE234" t="s">
        <v>114</v>
      </c>
      <c r="CF234" t="s">
        <v>114</v>
      </c>
      <c r="CG234" t="s">
        <v>114</v>
      </c>
      <c r="CH234" t="s">
        <v>114</v>
      </c>
      <c r="CI234" t="s">
        <v>114</v>
      </c>
      <c r="CJ234" t="s">
        <v>114</v>
      </c>
      <c r="CK234" t="s">
        <v>114</v>
      </c>
      <c r="CL234" t="s">
        <v>114</v>
      </c>
      <c r="CM234" t="s">
        <v>114</v>
      </c>
      <c r="CN234" t="s">
        <v>114</v>
      </c>
      <c r="CO234" t="s">
        <v>114</v>
      </c>
      <c r="CP234" t="s">
        <v>114</v>
      </c>
      <c r="CQ234" t="s">
        <v>114</v>
      </c>
      <c r="CR234" t="s">
        <v>114</v>
      </c>
      <c r="CS234" t="s">
        <v>114</v>
      </c>
      <c r="CT234" t="s">
        <v>114</v>
      </c>
      <c r="CU234" t="s">
        <v>114</v>
      </c>
      <c r="CV234" t="s">
        <v>114</v>
      </c>
      <c r="CW234" t="s">
        <v>114</v>
      </c>
    </row>
    <row r="235" spans="1:101" x14ac:dyDescent="0.25">
      <c r="A235" t="s">
        <v>50</v>
      </c>
      <c r="B235">
        <v>12</v>
      </c>
      <c r="C235" t="s">
        <v>11</v>
      </c>
      <c r="D235" t="s">
        <v>95</v>
      </c>
      <c r="E235" t="s">
        <v>104</v>
      </c>
      <c r="F235" t="s">
        <v>120</v>
      </c>
      <c r="G235" t="s">
        <v>272</v>
      </c>
      <c r="H235" t="str">
        <f t="shared" si="31"/>
        <v>T.cyanopetala.Solo.Shade</v>
      </c>
      <c r="I235" t="s">
        <v>685</v>
      </c>
      <c r="J235" t="s">
        <v>509</v>
      </c>
      <c r="K235">
        <v>0</v>
      </c>
      <c r="L235">
        <v>40</v>
      </c>
      <c r="M235">
        <v>40</v>
      </c>
      <c r="N235">
        <v>40</v>
      </c>
      <c r="O235" t="s">
        <v>114</v>
      </c>
      <c r="P235">
        <v>30</v>
      </c>
      <c r="Q235">
        <v>25</v>
      </c>
      <c r="R235">
        <v>20</v>
      </c>
      <c r="S235">
        <f t="shared" si="33"/>
        <v>22.5</v>
      </c>
      <c r="T235">
        <f t="shared" si="34"/>
        <v>0.5625</v>
      </c>
      <c r="U235" t="s">
        <v>15</v>
      </c>
      <c r="V235" t="s">
        <v>114</v>
      </c>
      <c r="W235" t="s">
        <v>114</v>
      </c>
      <c r="X235">
        <v>16.899999999999999</v>
      </c>
      <c r="Y235">
        <v>16.399999999999999</v>
      </c>
      <c r="Z235">
        <v>14.4</v>
      </c>
      <c r="AA235">
        <v>15.9</v>
      </c>
      <c r="AB235">
        <v>13.93333333</v>
      </c>
      <c r="AC235">
        <v>14.4</v>
      </c>
      <c r="AD235">
        <v>14.4</v>
      </c>
      <c r="AE235">
        <v>13</v>
      </c>
      <c r="AF235">
        <v>13.93333333</v>
      </c>
      <c r="AG235">
        <v>15.4</v>
      </c>
      <c r="AH235">
        <v>18.399999999999999</v>
      </c>
      <c r="AI235">
        <v>16.899999999999999</v>
      </c>
      <c r="AJ235">
        <v>16.899999999999999</v>
      </c>
      <c r="AK235">
        <v>13.9</v>
      </c>
      <c r="AL235">
        <v>14.9</v>
      </c>
      <c r="AM235">
        <v>16.399999999999999</v>
      </c>
      <c r="AN235">
        <v>15.06666667</v>
      </c>
      <c r="AO235">
        <v>15.06666667</v>
      </c>
      <c r="AP235">
        <v>8.5</v>
      </c>
      <c r="AQ235">
        <v>8.5</v>
      </c>
      <c r="AR235">
        <v>5.6</v>
      </c>
      <c r="AS235">
        <v>7.5333333329999999</v>
      </c>
      <c r="AT235">
        <v>7.6</v>
      </c>
      <c r="AU235">
        <v>6.6</v>
      </c>
      <c r="AV235">
        <v>6.1</v>
      </c>
      <c r="AW235">
        <v>6.766666667</v>
      </c>
      <c r="AX235">
        <v>6.766666667</v>
      </c>
      <c r="AY235">
        <v>-7.1666666670000003</v>
      </c>
      <c r="AZ235">
        <v>90</v>
      </c>
      <c r="BA235">
        <v>0</v>
      </c>
      <c r="BB235">
        <v>10</v>
      </c>
      <c r="BC235">
        <v>0</v>
      </c>
      <c r="BD235">
        <v>0</v>
      </c>
      <c r="BE235">
        <v>1</v>
      </c>
      <c r="BF235">
        <v>0</v>
      </c>
      <c r="BG235">
        <v>0</v>
      </c>
      <c r="BI235">
        <v>9.1</v>
      </c>
      <c r="BJ235">
        <v>47.033999999999999</v>
      </c>
      <c r="BK235">
        <v>0</v>
      </c>
      <c r="BL235">
        <v>5</v>
      </c>
      <c r="BM235">
        <v>5</v>
      </c>
      <c r="BN235">
        <v>20</v>
      </c>
      <c r="BO235">
        <v>22</v>
      </c>
      <c r="BP235">
        <f t="shared" si="35"/>
        <v>-2</v>
      </c>
      <c r="BQ235" t="s">
        <v>114</v>
      </c>
      <c r="BR235" t="s">
        <v>114</v>
      </c>
      <c r="BS235" t="s">
        <v>114</v>
      </c>
      <c r="BT235" t="s">
        <v>114</v>
      </c>
      <c r="BU235" t="s">
        <v>114</v>
      </c>
      <c r="BV235" t="s">
        <v>114</v>
      </c>
      <c r="BW235" t="s">
        <v>114</v>
      </c>
      <c r="BX235" t="s">
        <v>114</v>
      </c>
      <c r="BY235" t="s">
        <v>114</v>
      </c>
      <c r="BZ235" t="s">
        <v>114</v>
      </c>
      <c r="CA235" t="s">
        <v>114</v>
      </c>
      <c r="CB235" t="s">
        <v>114</v>
      </c>
      <c r="CC235" t="s">
        <v>114</v>
      </c>
      <c r="CD235" t="s">
        <v>114</v>
      </c>
      <c r="CE235" t="s">
        <v>114</v>
      </c>
      <c r="CF235" t="s">
        <v>114</v>
      </c>
      <c r="CG235" t="s">
        <v>114</v>
      </c>
      <c r="CH235" t="s">
        <v>114</v>
      </c>
      <c r="CI235" t="s">
        <v>114</v>
      </c>
      <c r="CJ235" t="s">
        <v>114</v>
      </c>
      <c r="CK235" t="s">
        <v>114</v>
      </c>
      <c r="CL235" t="s">
        <v>114</v>
      </c>
      <c r="CM235" t="s">
        <v>114</v>
      </c>
      <c r="CN235" t="s">
        <v>114</v>
      </c>
      <c r="CO235" t="s">
        <v>114</v>
      </c>
      <c r="CP235" t="s">
        <v>114</v>
      </c>
      <c r="CQ235" t="s">
        <v>114</v>
      </c>
      <c r="CR235" t="s">
        <v>114</v>
      </c>
      <c r="CS235" t="s">
        <v>114</v>
      </c>
      <c r="CT235" t="s">
        <v>114</v>
      </c>
      <c r="CU235" t="s">
        <v>114</v>
      </c>
      <c r="CV235" t="s">
        <v>114</v>
      </c>
      <c r="CW235" t="s">
        <v>114</v>
      </c>
    </row>
    <row r="236" spans="1:101" x14ac:dyDescent="0.25">
      <c r="A236" t="s">
        <v>51</v>
      </c>
      <c r="B236">
        <v>12</v>
      </c>
      <c r="C236" t="s">
        <v>15</v>
      </c>
      <c r="D236" t="s">
        <v>94</v>
      </c>
      <c r="E236" t="s">
        <v>105</v>
      </c>
      <c r="F236" t="s">
        <v>120</v>
      </c>
      <c r="G236" t="s">
        <v>274</v>
      </c>
      <c r="H236" t="str">
        <f t="shared" si="31"/>
        <v>H.glabra.Solo.Open</v>
      </c>
      <c r="I236" t="s">
        <v>686</v>
      </c>
      <c r="J236" t="s">
        <v>510</v>
      </c>
      <c r="K236">
        <v>0</v>
      </c>
      <c r="L236">
        <v>50</v>
      </c>
      <c r="M236">
        <v>50</v>
      </c>
      <c r="N236">
        <v>50</v>
      </c>
      <c r="O236" t="s">
        <v>114</v>
      </c>
      <c r="P236">
        <v>150</v>
      </c>
      <c r="Q236">
        <v>160</v>
      </c>
      <c r="R236">
        <v>115</v>
      </c>
      <c r="S236">
        <f t="shared" si="33"/>
        <v>137.5</v>
      </c>
      <c r="T236">
        <f t="shared" si="34"/>
        <v>2.75</v>
      </c>
      <c r="U236" t="s">
        <v>792</v>
      </c>
      <c r="V236" t="s">
        <v>114</v>
      </c>
      <c r="W236" t="s">
        <v>114</v>
      </c>
      <c r="X236">
        <v>13</v>
      </c>
      <c r="Y236">
        <v>13.9</v>
      </c>
      <c r="Z236">
        <v>14.4</v>
      </c>
      <c r="AA236">
        <v>13.766666669999999</v>
      </c>
      <c r="AB236">
        <v>17.866666670000001</v>
      </c>
      <c r="AC236">
        <v>17.399999999999999</v>
      </c>
      <c r="AD236">
        <v>20.3</v>
      </c>
      <c r="AE236">
        <v>15.9</v>
      </c>
      <c r="AF236">
        <v>17.866666670000001</v>
      </c>
      <c r="AG236">
        <v>14.4</v>
      </c>
      <c r="AH236">
        <v>14.4</v>
      </c>
      <c r="AI236">
        <v>15.4</v>
      </c>
      <c r="AJ236">
        <v>14.733333330000001</v>
      </c>
      <c r="AK236">
        <v>17.899999999999999</v>
      </c>
      <c r="AL236">
        <v>18.399999999999999</v>
      </c>
      <c r="AM236">
        <v>14.9</v>
      </c>
      <c r="AN236">
        <v>17.06666667</v>
      </c>
      <c r="AO236">
        <v>17.06666667</v>
      </c>
      <c r="AP236">
        <v>5.6</v>
      </c>
      <c r="AQ236">
        <v>4.5999999999999996</v>
      </c>
      <c r="AR236">
        <v>5.0999999999999996</v>
      </c>
      <c r="AS236">
        <v>5.0999999999999996</v>
      </c>
      <c r="AT236">
        <v>5.0999999999999996</v>
      </c>
      <c r="AU236">
        <v>6.1</v>
      </c>
      <c r="AV236">
        <v>7.6</v>
      </c>
      <c r="AW236">
        <v>6.266666667</v>
      </c>
      <c r="AX236">
        <v>6.266666667</v>
      </c>
      <c r="AY236">
        <v>-11.6</v>
      </c>
      <c r="AZ236">
        <v>100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I236">
        <v>13.3</v>
      </c>
      <c r="BJ236">
        <v>4.7930000000000001</v>
      </c>
      <c r="BK236">
        <v>0</v>
      </c>
      <c r="BL236">
        <v>10</v>
      </c>
      <c r="BM236">
        <v>8</v>
      </c>
      <c r="BN236">
        <v>338</v>
      </c>
      <c r="BO236">
        <v>308.33330000000001</v>
      </c>
      <c r="BP236">
        <f t="shared" si="35"/>
        <v>29.666699999999992</v>
      </c>
      <c r="BQ236" t="s">
        <v>114</v>
      </c>
      <c r="BR236" t="s">
        <v>114</v>
      </c>
      <c r="BS236" t="s">
        <v>114</v>
      </c>
      <c r="BT236" t="s">
        <v>114</v>
      </c>
      <c r="BU236" t="s">
        <v>114</v>
      </c>
      <c r="BV236" t="s">
        <v>114</v>
      </c>
      <c r="BW236" t="s">
        <v>114</v>
      </c>
      <c r="BX236" t="s">
        <v>114</v>
      </c>
      <c r="BY236" t="s">
        <v>114</v>
      </c>
      <c r="BZ236" t="s">
        <v>114</v>
      </c>
      <c r="CA236" t="s">
        <v>114</v>
      </c>
      <c r="CB236" t="s">
        <v>114</v>
      </c>
      <c r="CC236" t="s">
        <v>114</v>
      </c>
      <c r="CD236" t="s">
        <v>114</v>
      </c>
      <c r="CE236" t="s">
        <v>114</v>
      </c>
      <c r="CF236" t="s">
        <v>114</v>
      </c>
      <c r="CG236" t="s">
        <v>114</v>
      </c>
      <c r="CH236" t="s">
        <v>114</v>
      </c>
      <c r="CI236" t="s">
        <v>114</v>
      </c>
      <c r="CJ236" t="s">
        <v>114</v>
      </c>
      <c r="CK236" t="s">
        <v>114</v>
      </c>
      <c r="CL236" t="s">
        <v>114</v>
      </c>
      <c r="CM236" t="s">
        <v>114</v>
      </c>
      <c r="CN236" t="s">
        <v>114</v>
      </c>
      <c r="CO236" t="s">
        <v>114</v>
      </c>
      <c r="CP236" t="s">
        <v>114</v>
      </c>
      <c r="CQ236" t="s">
        <v>114</v>
      </c>
      <c r="CR236" t="s">
        <v>114</v>
      </c>
      <c r="CS236" t="s">
        <v>114</v>
      </c>
      <c r="CT236" t="s">
        <v>114</v>
      </c>
      <c r="CU236" t="s">
        <v>114</v>
      </c>
      <c r="CV236" t="s">
        <v>114</v>
      </c>
      <c r="CW236" t="s">
        <v>114</v>
      </c>
    </row>
    <row r="237" spans="1:101" x14ac:dyDescent="0.25">
      <c r="A237" t="s">
        <v>51</v>
      </c>
      <c r="B237">
        <v>12</v>
      </c>
      <c r="C237" t="s">
        <v>15</v>
      </c>
      <c r="D237" t="s">
        <v>94</v>
      </c>
      <c r="E237" t="s">
        <v>111</v>
      </c>
      <c r="F237" t="s">
        <v>120</v>
      </c>
      <c r="G237" t="s">
        <v>271</v>
      </c>
      <c r="H237" t="str">
        <f t="shared" si="31"/>
        <v>P.canescens.Solo.Open</v>
      </c>
      <c r="I237" t="s">
        <v>687</v>
      </c>
      <c r="J237" t="s">
        <v>511</v>
      </c>
      <c r="K237">
        <v>0</v>
      </c>
      <c r="L237">
        <v>180</v>
      </c>
      <c r="M237">
        <v>250</v>
      </c>
      <c r="N237">
        <v>250</v>
      </c>
      <c r="O237" t="s">
        <v>114</v>
      </c>
      <c r="P237">
        <v>75</v>
      </c>
      <c r="Q237">
        <v>70</v>
      </c>
      <c r="R237">
        <v>55</v>
      </c>
      <c r="S237">
        <f t="shared" si="33"/>
        <v>62.5</v>
      </c>
      <c r="T237">
        <f t="shared" si="34"/>
        <v>0.25</v>
      </c>
      <c r="U237" t="s">
        <v>792</v>
      </c>
      <c r="V237" t="s">
        <v>114</v>
      </c>
      <c r="W237" t="s">
        <v>114</v>
      </c>
      <c r="X237">
        <v>13</v>
      </c>
      <c r="Y237">
        <v>13.9</v>
      </c>
      <c r="Z237">
        <v>14.4</v>
      </c>
      <c r="AA237">
        <v>13.766666669999999</v>
      </c>
      <c r="AB237">
        <v>14.266666669999999</v>
      </c>
      <c r="AC237">
        <v>14.4</v>
      </c>
      <c r="AD237">
        <v>13</v>
      </c>
      <c r="AE237">
        <v>15.4</v>
      </c>
      <c r="AF237">
        <v>14.266666669999999</v>
      </c>
      <c r="AG237">
        <v>14.4</v>
      </c>
      <c r="AH237">
        <v>14.4</v>
      </c>
      <c r="AI237">
        <v>15.4</v>
      </c>
      <c r="AJ237">
        <v>14.733333330000001</v>
      </c>
      <c r="AK237">
        <v>11</v>
      </c>
      <c r="AL237">
        <v>13</v>
      </c>
      <c r="AM237">
        <v>13.9</v>
      </c>
      <c r="AN237">
        <v>12.633333329999999</v>
      </c>
      <c r="AO237">
        <v>12.633333329999999</v>
      </c>
      <c r="AP237">
        <v>5.6</v>
      </c>
      <c r="AQ237">
        <v>4.5999999999999996</v>
      </c>
      <c r="AR237">
        <v>5.0999999999999996</v>
      </c>
      <c r="AS237">
        <v>5.0999999999999996</v>
      </c>
      <c r="AT237">
        <v>5.6</v>
      </c>
      <c r="AU237">
        <v>5.0999999999999996</v>
      </c>
      <c r="AV237">
        <v>8.1</v>
      </c>
      <c r="AW237">
        <v>6.266666667</v>
      </c>
      <c r="AX237">
        <v>6.266666667</v>
      </c>
      <c r="AY237">
        <v>-8</v>
      </c>
      <c r="AZ237">
        <v>80</v>
      </c>
      <c r="BA237">
        <v>10</v>
      </c>
      <c r="BB237">
        <v>10</v>
      </c>
      <c r="BC237">
        <v>0</v>
      </c>
      <c r="BD237">
        <v>0</v>
      </c>
      <c r="BE237">
        <v>0</v>
      </c>
      <c r="BF237">
        <v>0</v>
      </c>
      <c r="BG237">
        <v>0</v>
      </c>
      <c r="BI237">
        <v>13.3</v>
      </c>
      <c r="BJ237">
        <v>4.7930000000000001</v>
      </c>
      <c r="BK237">
        <v>0</v>
      </c>
      <c r="BL237">
        <v>26</v>
      </c>
      <c r="BM237">
        <v>24</v>
      </c>
      <c r="BN237">
        <v>424</v>
      </c>
      <c r="BO237">
        <v>422.66669999999999</v>
      </c>
      <c r="BP237">
        <f t="shared" si="35"/>
        <v>1.3333000000000084</v>
      </c>
      <c r="BQ237" t="s">
        <v>114</v>
      </c>
      <c r="BR237" t="s">
        <v>114</v>
      </c>
      <c r="BS237" t="s">
        <v>114</v>
      </c>
      <c r="BT237" t="s">
        <v>114</v>
      </c>
      <c r="BU237" t="s">
        <v>114</v>
      </c>
      <c r="BV237" t="s">
        <v>114</v>
      </c>
      <c r="BW237" t="s">
        <v>114</v>
      </c>
      <c r="BX237" t="s">
        <v>114</v>
      </c>
      <c r="BY237" t="s">
        <v>114</v>
      </c>
      <c r="BZ237" t="s">
        <v>114</v>
      </c>
      <c r="CA237" t="s">
        <v>114</v>
      </c>
      <c r="CB237" t="s">
        <v>114</v>
      </c>
      <c r="CC237" t="s">
        <v>114</v>
      </c>
      <c r="CD237" t="s">
        <v>114</v>
      </c>
      <c r="CE237" t="s">
        <v>114</v>
      </c>
      <c r="CF237" t="s">
        <v>114</v>
      </c>
      <c r="CG237" t="s">
        <v>114</v>
      </c>
      <c r="CH237" t="s">
        <v>114</v>
      </c>
      <c r="CI237" t="s">
        <v>114</v>
      </c>
      <c r="CJ237" t="s">
        <v>114</v>
      </c>
      <c r="CK237" t="s">
        <v>114</v>
      </c>
      <c r="CL237" t="s">
        <v>114</v>
      </c>
      <c r="CM237" t="s">
        <v>114</v>
      </c>
      <c r="CN237" t="s">
        <v>114</v>
      </c>
      <c r="CO237" t="s">
        <v>114</v>
      </c>
      <c r="CP237" t="s">
        <v>114</v>
      </c>
      <c r="CQ237" t="s">
        <v>114</v>
      </c>
      <c r="CR237" t="s">
        <v>114</v>
      </c>
      <c r="CS237" t="s">
        <v>114</v>
      </c>
      <c r="CT237" t="s">
        <v>114</v>
      </c>
      <c r="CU237" t="s">
        <v>114</v>
      </c>
      <c r="CV237" t="s">
        <v>114</v>
      </c>
      <c r="CW237" t="s">
        <v>114</v>
      </c>
    </row>
    <row r="238" spans="1:101" x14ac:dyDescent="0.25">
      <c r="A238" t="s">
        <v>51</v>
      </c>
      <c r="B238">
        <v>12</v>
      </c>
      <c r="C238" t="s">
        <v>15</v>
      </c>
      <c r="D238" t="s">
        <v>94</v>
      </c>
      <c r="E238" t="s">
        <v>112</v>
      </c>
      <c r="F238" t="s">
        <v>120</v>
      </c>
      <c r="G238" t="s">
        <v>269</v>
      </c>
      <c r="H238" t="str">
        <f t="shared" si="31"/>
        <v>V.rosea.Solo.Open</v>
      </c>
      <c r="I238" t="s">
        <v>688</v>
      </c>
      <c r="J238" t="s">
        <v>512</v>
      </c>
      <c r="K238">
        <v>0</v>
      </c>
      <c r="L238">
        <v>120</v>
      </c>
      <c r="M238">
        <v>50</v>
      </c>
      <c r="N238">
        <v>50</v>
      </c>
      <c r="O238" t="s">
        <v>114</v>
      </c>
      <c r="P238">
        <v>50</v>
      </c>
      <c r="Q238">
        <v>120</v>
      </c>
      <c r="R238">
        <v>115</v>
      </c>
      <c r="S238">
        <f t="shared" si="33"/>
        <v>117.5</v>
      </c>
      <c r="T238">
        <f t="shared" si="34"/>
        <v>2.35</v>
      </c>
      <c r="U238" t="s">
        <v>15</v>
      </c>
      <c r="V238" t="s">
        <v>114</v>
      </c>
      <c r="W238" t="s">
        <v>114</v>
      </c>
      <c r="X238">
        <v>13</v>
      </c>
      <c r="Y238">
        <v>13.9</v>
      </c>
      <c r="Z238">
        <v>14.4</v>
      </c>
      <c r="AA238">
        <v>13.766666669999999</v>
      </c>
      <c r="AB238">
        <v>11.96666667</v>
      </c>
      <c r="AC238">
        <v>10</v>
      </c>
      <c r="AD238">
        <v>11.5</v>
      </c>
      <c r="AE238">
        <v>14.4</v>
      </c>
      <c r="AF238">
        <v>11.96666667</v>
      </c>
      <c r="AG238">
        <v>14.4</v>
      </c>
      <c r="AH238">
        <v>14.4</v>
      </c>
      <c r="AI238">
        <v>15.4</v>
      </c>
      <c r="AJ238">
        <v>14.733333330000001</v>
      </c>
      <c r="AK238">
        <v>21.8</v>
      </c>
      <c r="AL238">
        <v>13.9</v>
      </c>
      <c r="AM238">
        <v>16.899999999999999</v>
      </c>
      <c r="AN238">
        <v>17.533333330000001</v>
      </c>
      <c r="AO238">
        <v>17.533333330000001</v>
      </c>
      <c r="AP238">
        <v>5.6</v>
      </c>
      <c r="AQ238">
        <v>4.5999999999999996</v>
      </c>
      <c r="AR238">
        <v>5.0999999999999996</v>
      </c>
      <c r="AS238">
        <v>5.0999999999999996</v>
      </c>
      <c r="AT238">
        <v>6.6</v>
      </c>
      <c r="AU238">
        <v>7.1</v>
      </c>
      <c r="AV238">
        <v>8.1</v>
      </c>
      <c r="AW238">
        <v>7.266666667</v>
      </c>
      <c r="AX238">
        <v>7.266666667</v>
      </c>
      <c r="AY238">
        <v>-4.7</v>
      </c>
      <c r="AZ238">
        <v>80</v>
      </c>
      <c r="BA238">
        <v>0</v>
      </c>
      <c r="BB238">
        <v>0</v>
      </c>
      <c r="BC238">
        <v>20</v>
      </c>
      <c r="BD238">
        <v>0</v>
      </c>
      <c r="BE238">
        <v>0</v>
      </c>
      <c r="BF238">
        <v>0</v>
      </c>
      <c r="BG238">
        <v>0</v>
      </c>
      <c r="BI238">
        <v>13.3</v>
      </c>
      <c r="BJ238">
        <v>4.7930000000000001</v>
      </c>
      <c r="BK238">
        <v>0</v>
      </c>
      <c r="BL238">
        <v>89</v>
      </c>
      <c r="BM238">
        <v>82</v>
      </c>
      <c r="BN238">
        <v>366</v>
      </c>
      <c r="BO238">
        <v>184.8</v>
      </c>
      <c r="BP238">
        <f t="shared" si="35"/>
        <v>181.2</v>
      </c>
      <c r="BQ238" t="s">
        <v>114</v>
      </c>
      <c r="BR238" t="s">
        <v>114</v>
      </c>
      <c r="BS238" t="s">
        <v>114</v>
      </c>
      <c r="BT238" t="s">
        <v>114</v>
      </c>
      <c r="BU238" t="s">
        <v>114</v>
      </c>
      <c r="BV238" t="s">
        <v>114</v>
      </c>
      <c r="BW238" t="s">
        <v>114</v>
      </c>
      <c r="BX238" t="s">
        <v>114</v>
      </c>
      <c r="BY238" t="s">
        <v>114</v>
      </c>
      <c r="BZ238" t="s">
        <v>114</v>
      </c>
      <c r="CA238" t="s">
        <v>114</v>
      </c>
      <c r="CB238" t="s">
        <v>114</v>
      </c>
      <c r="CC238" t="s">
        <v>114</v>
      </c>
      <c r="CD238" t="s">
        <v>114</v>
      </c>
      <c r="CE238" t="s">
        <v>114</v>
      </c>
      <c r="CF238" t="s">
        <v>114</v>
      </c>
      <c r="CG238" t="s">
        <v>114</v>
      </c>
      <c r="CH238" t="s">
        <v>114</v>
      </c>
      <c r="CI238" t="s">
        <v>114</v>
      </c>
      <c r="CJ238" t="s">
        <v>114</v>
      </c>
      <c r="CK238" t="s">
        <v>114</v>
      </c>
      <c r="CL238" t="s">
        <v>114</v>
      </c>
      <c r="CM238" t="s">
        <v>114</v>
      </c>
      <c r="CN238" t="s">
        <v>114</v>
      </c>
      <c r="CO238" t="s">
        <v>114</v>
      </c>
      <c r="CP238" t="s">
        <v>114</v>
      </c>
      <c r="CQ238" t="s">
        <v>114</v>
      </c>
      <c r="CR238" t="s">
        <v>114</v>
      </c>
      <c r="CS238" t="s">
        <v>114</v>
      </c>
      <c r="CT238" t="s">
        <v>114</v>
      </c>
      <c r="CU238" t="s">
        <v>114</v>
      </c>
      <c r="CV238" t="s">
        <v>114</v>
      </c>
      <c r="CW238" t="s">
        <v>114</v>
      </c>
    </row>
    <row r="239" spans="1:101" x14ac:dyDescent="0.25">
      <c r="A239" t="s">
        <v>52</v>
      </c>
      <c r="B239">
        <v>12</v>
      </c>
      <c r="C239" t="s">
        <v>17</v>
      </c>
      <c r="D239" t="s">
        <v>95</v>
      </c>
      <c r="E239" t="s">
        <v>102</v>
      </c>
      <c r="F239" t="s">
        <v>120</v>
      </c>
      <c r="G239" t="s">
        <v>273</v>
      </c>
      <c r="H239" t="str">
        <f t="shared" si="31"/>
        <v>A.calendula.Solo.Shade</v>
      </c>
      <c r="I239" t="s">
        <v>689</v>
      </c>
      <c r="J239" t="s">
        <v>513</v>
      </c>
      <c r="K239">
        <v>0</v>
      </c>
      <c r="L239">
        <v>110</v>
      </c>
      <c r="M239">
        <v>120</v>
      </c>
      <c r="N239">
        <v>120</v>
      </c>
      <c r="O239" t="s">
        <v>114</v>
      </c>
      <c r="P239">
        <v>190</v>
      </c>
      <c r="Q239">
        <v>190</v>
      </c>
      <c r="R239">
        <v>155</v>
      </c>
      <c r="S239">
        <f t="shared" si="33"/>
        <v>172.5</v>
      </c>
      <c r="T239">
        <f t="shared" si="34"/>
        <v>1.4375</v>
      </c>
      <c r="U239" t="s">
        <v>792</v>
      </c>
      <c r="V239" t="s">
        <v>114</v>
      </c>
      <c r="W239" t="s">
        <v>114</v>
      </c>
      <c r="X239">
        <v>13</v>
      </c>
      <c r="Y239">
        <v>13.9</v>
      </c>
      <c r="Z239">
        <v>14.4</v>
      </c>
      <c r="AA239">
        <v>13.766666669999999</v>
      </c>
      <c r="AB239">
        <v>16.733333330000001</v>
      </c>
      <c r="AC239">
        <v>17.899999999999999</v>
      </c>
      <c r="AD239">
        <v>15.9</v>
      </c>
      <c r="AE239">
        <v>16.399999999999999</v>
      </c>
      <c r="AF239">
        <v>16.733333330000001</v>
      </c>
      <c r="AG239">
        <v>17.899999999999999</v>
      </c>
      <c r="AH239">
        <v>17.399999999999999</v>
      </c>
      <c r="AI239">
        <v>18.399999999999999</v>
      </c>
      <c r="AJ239">
        <v>17.899999999999999</v>
      </c>
      <c r="AK239">
        <v>15.4</v>
      </c>
      <c r="AL239">
        <v>16.399999999999999</v>
      </c>
      <c r="AM239">
        <v>18.399999999999999</v>
      </c>
      <c r="AN239">
        <v>16.733333330000001</v>
      </c>
      <c r="AO239">
        <v>16.733333330000001</v>
      </c>
      <c r="AP239">
        <v>6.1</v>
      </c>
      <c r="AQ239">
        <v>7.6</v>
      </c>
      <c r="AR239">
        <v>8.5</v>
      </c>
      <c r="AS239">
        <v>7.4</v>
      </c>
      <c r="AT239">
        <v>5.6</v>
      </c>
      <c r="AU239">
        <v>6.6</v>
      </c>
      <c r="AV239">
        <v>8.5</v>
      </c>
      <c r="AW239">
        <v>6.9</v>
      </c>
      <c r="AX239">
        <v>6.9</v>
      </c>
      <c r="AY239">
        <v>-9.8333333330000006</v>
      </c>
      <c r="AZ239">
        <v>30</v>
      </c>
      <c r="BA239">
        <v>20</v>
      </c>
      <c r="BB239">
        <v>50</v>
      </c>
      <c r="BC239">
        <v>0</v>
      </c>
      <c r="BD239">
        <v>0</v>
      </c>
      <c r="BE239">
        <v>0</v>
      </c>
      <c r="BF239">
        <v>0</v>
      </c>
      <c r="BG239">
        <v>0</v>
      </c>
      <c r="BI239">
        <v>6.4</v>
      </c>
      <c r="BJ239">
        <v>42.4</v>
      </c>
      <c r="BK239">
        <v>0</v>
      </c>
      <c r="BL239">
        <v>29</v>
      </c>
      <c r="BM239">
        <v>28</v>
      </c>
      <c r="BN239">
        <v>924</v>
      </c>
      <c r="BO239">
        <v>545.5</v>
      </c>
      <c r="BP239">
        <f t="shared" si="35"/>
        <v>378.5</v>
      </c>
      <c r="BQ239" t="s">
        <v>114</v>
      </c>
      <c r="BR239" t="s">
        <v>114</v>
      </c>
      <c r="BS239" t="s">
        <v>114</v>
      </c>
      <c r="BT239" t="s">
        <v>114</v>
      </c>
      <c r="BU239" t="s">
        <v>114</v>
      </c>
      <c r="BV239" t="s">
        <v>114</v>
      </c>
      <c r="BW239" t="s">
        <v>114</v>
      </c>
      <c r="BX239" t="s">
        <v>114</v>
      </c>
      <c r="BY239" t="s">
        <v>114</v>
      </c>
      <c r="BZ239" t="s">
        <v>114</v>
      </c>
      <c r="CA239" t="s">
        <v>114</v>
      </c>
      <c r="CB239" t="s">
        <v>114</v>
      </c>
      <c r="CC239" t="s">
        <v>114</v>
      </c>
      <c r="CD239" t="s">
        <v>114</v>
      </c>
      <c r="CE239" t="s">
        <v>114</v>
      </c>
      <c r="CF239" t="s">
        <v>114</v>
      </c>
      <c r="CG239" t="s">
        <v>114</v>
      </c>
      <c r="CH239" t="s">
        <v>114</v>
      </c>
      <c r="CI239" t="s">
        <v>114</v>
      </c>
      <c r="CJ239" t="s">
        <v>114</v>
      </c>
      <c r="CK239" t="s">
        <v>114</v>
      </c>
      <c r="CL239" t="s">
        <v>114</v>
      </c>
      <c r="CM239" t="s">
        <v>114</v>
      </c>
      <c r="CN239" t="s">
        <v>114</v>
      </c>
      <c r="CO239" t="s">
        <v>114</v>
      </c>
      <c r="CP239" t="s">
        <v>114</v>
      </c>
      <c r="CQ239" t="s">
        <v>114</v>
      </c>
      <c r="CR239" t="s">
        <v>114</v>
      </c>
      <c r="CS239" t="s">
        <v>114</v>
      </c>
      <c r="CT239" t="s">
        <v>114</v>
      </c>
      <c r="CU239" t="s">
        <v>114</v>
      </c>
      <c r="CV239" t="s">
        <v>114</v>
      </c>
      <c r="CW239" t="s">
        <v>114</v>
      </c>
    </row>
    <row r="240" spans="1:101" x14ac:dyDescent="0.25">
      <c r="A240" t="s">
        <v>52</v>
      </c>
      <c r="B240">
        <v>12</v>
      </c>
      <c r="C240" t="s">
        <v>17</v>
      </c>
      <c r="D240" t="s">
        <v>95</v>
      </c>
      <c r="E240" t="s">
        <v>103</v>
      </c>
      <c r="F240" t="s">
        <v>120</v>
      </c>
      <c r="G240" t="s">
        <v>268</v>
      </c>
      <c r="H240" t="str">
        <f t="shared" si="31"/>
        <v>P.airoides.Solo.Shade</v>
      </c>
      <c r="I240" t="s">
        <v>683</v>
      </c>
      <c r="J240" t="s">
        <v>514</v>
      </c>
      <c r="K240">
        <v>0</v>
      </c>
      <c r="L240">
        <v>40</v>
      </c>
      <c r="M240">
        <v>60</v>
      </c>
      <c r="N240">
        <v>60</v>
      </c>
      <c r="O240" t="s">
        <v>114</v>
      </c>
      <c r="P240">
        <v>30</v>
      </c>
      <c r="Q240">
        <v>50</v>
      </c>
      <c r="R240">
        <v>25</v>
      </c>
      <c r="S240">
        <f t="shared" si="33"/>
        <v>37.5</v>
      </c>
      <c r="T240">
        <f t="shared" si="34"/>
        <v>0.625</v>
      </c>
      <c r="U240" t="s">
        <v>15</v>
      </c>
      <c r="V240" t="s">
        <v>114</v>
      </c>
      <c r="W240" t="s">
        <v>114</v>
      </c>
      <c r="X240">
        <v>13</v>
      </c>
      <c r="Y240">
        <v>13.9</v>
      </c>
      <c r="Z240">
        <v>14.4</v>
      </c>
      <c r="AA240">
        <v>13.766666669999999</v>
      </c>
      <c r="AB240">
        <v>17.899999999999999</v>
      </c>
      <c r="AC240">
        <v>18.399999999999999</v>
      </c>
      <c r="AD240">
        <v>18.399999999999999</v>
      </c>
      <c r="AE240">
        <v>16.899999999999999</v>
      </c>
      <c r="AF240">
        <v>17.899999999999999</v>
      </c>
      <c r="AG240">
        <v>17.899999999999999</v>
      </c>
      <c r="AH240">
        <v>17.399999999999999</v>
      </c>
      <c r="AI240">
        <v>18.399999999999999</v>
      </c>
      <c r="AJ240">
        <v>17.899999999999999</v>
      </c>
      <c r="AK240">
        <v>16.899999999999999</v>
      </c>
      <c r="AL240">
        <v>16.399999999999999</v>
      </c>
      <c r="AM240">
        <v>17.399999999999999</v>
      </c>
      <c r="AN240">
        <v>16.899999999999999</v>
      </c>
      <c r="AO240">
        <v>16.899999999999999</v>
      </c>
      <c r="AP240">
        <v>6.1</v>
      </c>
      <c r="AQ240">
        <v>7.6</v>
      </c>
      <c r="AR240">
        <v>8.5</v>
      </c>
      <c r="AS240">
        <v>7.4</v>
      </c>
      <c r="AT240">
        <v>5.6</v>
      </c>
      <c r="AU240">
        <v>7.6</v>
      </c>
      <c r="AV240" t="s">
        <v>114</v>
      </c>
      <c r="AW240">
        <v>6.6</v>
      </c>
      <c r="AX240">
        <v>6.6</v>
      </c>
      <c r="AY240">
        <v>-11.3</v>
      </c>
      <c r="AZ240">
        <v>20</v>
      </c>
      <c r="BA240">
        <v>0</v>
      </c>
      <c r="BB240">
        <v>70</v>
      </c>
      <c r="BC240">
        <v>10</v>
      </c>
      <c r="BD240">
        <v>0</v>
      </c>
      <c r="BE240">
        <v>0</v>
      </c>
      <c r="BF240">
        <v>0</v>
      </c>
      <c r="BG240">
        <v>0</v>
      </c>
      <c r="BI240">
        <v>6.4</v>
      </c>
      <c r="BJ240">
        <v>42.4</v>
      </c>
      <c r="BK240">
        <v>0</v>
      </c>
      <c r="BL240">
        <v>4</v>
      </c>
      <c r="BM240">
        <v>4</v>
      </c>
      <c r="BN240">
        <v>177</v>
      </c>
      <c r="BO240">
        <v>290.75</v>
      </c>
      <c r="BP240">
        <f t="shared" si="35"/>
        <v>-113.75</v>
      </c>
      <c r="BQ240" t="s">
        <v>114</v>
      </c>
      <c r="BR240" t="s">
        <v>114</v>
      </c>
      <c r="BS240" t="s">
        <v>114</v>
      </c>
      <c r="BT240" t="s">
        <v>114</v>
      </c>
      <c r="BU240" t="s">
        <v>114</v>
      </c>
      <c r="BV240" t="s">
        <v>114</v>
      </c>
      <c r="BW240" t="s">
        <v>114</v>
      </c>
      <c r="BX240" t="s">
        <v>114</v>
      </c>
      <c r="BY240" t="s">
        <v>114</v>
      </c>
      <c r="BZ240" t="s">
        <v>114</v>
      </c>
      <c r="CA240" t="s">
        <v>114</v>
      </c>
      <c r="CB240" t="s">
        <v>114</v>
      </c>
      <c r="CC240" t="s">
        <v>114</v>
      </c>
      <c r="CD240" t="s">
        <v>114</v>
      </c>
      <c r="CE240" t="s">
        <v>114</v>
      </c>
      <c r="CF240" t="s">
        <v>114</v>
      </c>
      <c r="CG240" t="s">
        <v>114</v>
      </c>
      <c r="CH240" t="s">
        <v>114</v>
      </c>
      <c r="CI240" t="s">
        <v>114</v>
      </c>
      <c r="CJ240" t="s">
        <v>114</v>
      </c>
      <c r="CK240" t="s">
        <v>114</v>
      </c>
      <c r="CL240" t="s">
        <v>114</v>
      </c>
      <c r="CM240" t="s">
        <v>114</v>
      </c>
      <c r="CN240" t="s">
        <v>114</v>
      </c>
      <c r="CO240" t="s">
        <v>114</v>
      </c>
      <c r="CP240" t="s">
        <v>114</v>
      </c>
      <c r="CQ240" t="s">
        <v>114</v>
      </c>
      <c r="CR240" t="s">
        <v>114</v>
      </c>
      <c r="CS240" t="s">
        <v>114</v>
      </c>
      <c r="CT240" t="s">
        <v>114</v>
      </c>
      <c r="CU240" t="s">
        <v>114</v>
      </c>
      <c r="CV240" t="s">
        <v>114</v>
      </c>
      <c r="CW240" t="s">
        <v>114</v>
      </c>
    </row>
    <row r="241" spans="1:101" x14ac:dyDescent="0.25">
      <c r="A241" t="s">
        <v>52</v>
      </c>
      <c r="B241">
        <v>12</v>
      </c>
      <c r="C241" t="s">
        <v>17</v>
      </c>
      <c r="D241" t="s">
        <v>95</v>
      </c>
      <c r="E241" t="s">
        <v>111</v>
      </c>
      <c r="F241" t="s">
        <v>120</v>
      </c>
      <c r="G241" t="s">
        <v>271</v>
      </c>
      <c r="H241" t="str">
        <f t="shared" si="31"/>
        <v>P.canescens.Solo.Shade</v>
      </c>
      <c r="I241" t="s">
        <v>684</v>
      </c>
      <c r="J241" t="s">
        <v>515</v>
      </c>
      <c r="K241">
        <v>0</v>
      </c>
      <c r="L241">
        <v>300</v>
      </c>
      <c r="M241">
        <v>290</v>
      </c>
      <c r="N241">
        <v>290</v>
      </c>
      <c r="O241" t="s">
        <v>114</v>
      </c>
      <c r="P241">
        <v>95</v>
      </c>
      <c r="Q241">
        <v>200</v>
      </c>
      <c r="R241">
        <v>130</v>
      </c>
      <c r="S241">
        <f t="shared" si="33"/>
        <v>165</v>
      </c>
      <c r="T241">
        <f t="shared" si="34"/>
        <v>0.56896551724137934</v>
      </c>
      <c r="V241" t="s">
        <v>114</v>
      </c>
      <c r="W241" t="s">
        <v>114</v>
      </c>
      <c r="X241">
        <v>13</v>
      </c>
      <c r="Y241">
        <v>13.9</v>
      </c>
      <c r="Z241">
        <v>14.4</v>
      </c>
      <c r="AA241">
        <v>13.766666669999999</v>
      </c>
      <c r="AB241">
        <v>17.733333330000001</v>
      </c>
      <c r="AC241">
        <v>17.399999999999999</v>
      </c>
      <c r="AD241">
        <v>17.899999999999999</v>
      </c>
      <c r="AE241">
        <v>17.899999999999999</v>
      </c>
      <c r="AF241">
        <v>17.733333330000001</v>
      </c>
      <c r="AG241">
        <v>17.899999999999999</v>
      </c>
      <c r="AH241">
        <v>17.399999999999999</v>
      </c>
      <c r="AI241">
        <v>18.399999999999999</v>
      </c>
      <c r="AJ241">
        <v>17.899999999999999</v>
      </c>
      <c r="AK241">
        <v>19.3</v>
      </c>
      <c r="AL241">
        <v>19.8</v>
      </c>
      <c r="AM241">
        <v>17.399999999999999</v>
      </c>
      <c r="AN241">
        <v>18.833333329999999</v>
      </c>
      <c r="AO241">
        <v>18.833333329999999</v>
      </c>
      <c r="AP241">
        <v>6.1</v>
      </c>
      <c r="AQ241">
        <v>7.6</v>
      </c>
      <c r="AR241">
        <v>8.5</v>
      </c>
      <c r="AS241">
        <v>7.4</v>
      </c>
      <c r="AT241">
        <v>7.1</v>
      </c>
      <c r="AU241">
        <v>7.1</v>
      </c>
      <c r="AV241">
        <v>5.0999999999999996</v>
      </c>
      <c r="AW241">
        <v>6.4333333330000002</v>
      </c>
      <c r="AX241">
        <v>6.4333333330000002</v>
      </c>
      <c r="AY241">
        <v>-11.3</v>
      </c>
      <c r="AZ241">
        <v>10</v>
      </c>
      <c r="BA241">
        <v>0</v>
      </c>
      <c r="BB241">
        <v>80</v>
      </c>
      <c r="BC241">
        <v>0</v>
      </c>
      <c r="BD241">
        <v>10</v>
      </c>
      <c r="BE241">
        <v>0</v>
      </c>
      <c r="BF241">
        <v>10</v>
      </c>
      <c r="BG241">
        <v>0</v>
      </c>
      <c r="BI241">
        <v>6.4</v>
      </c>
      <c r="BJ241">
        <v>42.4</v>
      </c>
      <c r="BK241">
        <v>0</v>
      </c>
      <c r="BL241">
        <v>23</v>
      </c>
      <c r="BM241">
        <v>23</v>
      </c>
      <c r="BN241">
        <v>782</v>
      </c>
      <c r="BO241">
        <v>955.66669999999999</v>
      </c>
      <c r="BP241">
        <f t="shared" si="35"/>
        <v>-173.66669999999999</v>
      </c>
      <c r="BQ241" t="s">
        <v>114</v>
      </c>
      <c r="BR241" t="s">
        <v>114</v>
      </c>
      <c r="BS241" t="s">
        <v>114</v>
      </c>
      <c r="BT241" t="s">
        <v>114</v>
      </c>
      <c r="BU241" t="s">
        <v>114</v>
      </c>
      <c r="BV241" t="s">
        <v>114</v>
      </c>
      <c r="BW241" t="s">
        <v>114</v>
      </c>
      <c r="BX241" t="s">
        <v>114</v>
      </c>
      <c r="BY241" t="s">
        <v>114</v>
      </c>
      <c r="BZ241" t="s">
        <v>114</v>
      </c>
      <c r="CA241" t="s">
        <v>114</v>
      </c>
      <c r="CB241" t="s">
        <v>114</v>
      </c>
      <c r="CC241" t="s">
        <v>114</v>
      </c>
      <c r="CD241" t="s">
        <v>114</v>
      </c>
      <c r="CE241" t="s">
        <v>114</v>
      </c>
      <c r="CF241" t="s">
        <v>114</v>
      </c>
      <c r="CG241" t="s">
        <v>114</v>
      </c>
      <c r="CH241" t="s">
        <v>114</v>
      </c>
      <c r="CI241" t="s">
        <v>114</v>
      </c>
      <c r="CJ241" t="s">
        <v>114</v>
      </c>
      <c r="CK241" t="s">
        <v>114</v>
      </c>
      <c r="CL241" t="s">
        <v>114</v>
      </c>
      <c r="CM241" t="s">
        <v>114</v>
      </c>
      <c r="CN241" t="s">
        <v>114</v>
      </c>
      <c r="CO241" t="s">
        <v>114</v>
      </c>
      <c r="CP241" t="s">
        <v>114</v>
      </c>
      <c r="CQ241" t="s">
        <v>114</v>
      </c>
      <c r="CR241" t="s">
        <v>114</v>
      </c>
      <c r="CS241" t="s">
        <v>114</v>
      </c>
      <c r="CT241" t="s">
        <v>114</v>
      </c>
      <c r="CU241" t="s">
        <v>114</v>
      </c>
      <c r="CV241" t="s">
        <v>114</v>
      </c>
      <c r="CW241" t="s">
        <v>114</v>
      </c>
    </row>
    <row r="242" spans="1:101" x14ac:dyDescent="0.25">
      <c r="A242" t="s">
        <v>52</v>
      </c>
      <c r="B242">
        <v>12</v>
      </c>
      <c r="C242" t="s">
        <v>17</v>
      </c>
      <c r="D242" t="s">
        <v>95</v>
      </c>
      <c r="E242" t="s">
        <v>112</v>
      </c>
      <c r="F242" t="s">
        <v>120</v>
      </c>
      <c r="G242" t="s">
        <v>269</v>
      </c>
      <c r="H242" t="str">
        <f t="shared" si="31"/>
        <v>V.rosea.Solo.Shade</v>
      </c>
      <c r="I242" t="s">
        <v>690</v>
      </c>
      <c r="J242" t="s">
        <v>516</v>
      </c>
      <c r="K242">
        <v>0</v>
      </c>
      <c r="L242">
        <v>65</v>
      </c>
      <c r="M242">
        <v>85</v>
      </c>
      <c r="N242">
        <v>85</v>
      </c>
      <c r="O242" t="s">
        <v>114</v>
      </c>
      <c r="P242">
        <v>85</v>
      </c>
      <c r="Q242">
        <v>130</v>
      </c>
      <c r="R242">
        <v>40</v>
      </c>
      <c r="S242">
        <f t="shared" si="33"/>
        <v>85</v>
      </c>
      <c r="T242">
        <f t="shared" si="34"/>
        <v>1</v>
      </c>
      <c r="U242" t="s">
        <v>792</v>
      </c>
      <c r="V242" t="s">
        <v>114</v>
      </c>
      <c r="W242" t="s">
        <v>114</v>
      </c>
      <c r="X242">
        <v>13</v>
      </c>
      <c r="Y242">
        <v>13.9</v>
      </c>
      <c r="Z242">
        <v>14.4</v>
      </c>
      <c r="AA242">
        <v>13.766666669999999</v>
      </c>
      <c r="AB242">
        <v>13</v>
      </c>
      <c r="AC242">
        <v>12.5</v>
      </c>
      <c r="AD242">
        <v>13</v>
      </c>
      <c r="AE242">
        <v>13.5</v>
      </c>
      <c r="AF242">
        <v>13</v>
      </c>
      <c r="AG242">
        <v>17.899999999999999</v>
      </c>
      <c r="AH242">
        <v>17.399999999999999</v>
      </c>
      <c r="AI242">
        <v>18.399999999999999</v>
      </c>
      <c r="AJ242">
        <v>17.899999999999999</v>
      </c>
      <c r="AK242">
        <v>13.5</v>
      </c>
      <c r="AL242">
        <v>18.399999999999999</v>
      </c>
      <c r="AM242">
        <v>15.4</v>
      </c>
      <c r="AN242">
        <v>15.766666669999999</v>
      </c>
      <c r="AO242">
        <v>15.766666669999999</v>
      </c>
      <c r="AP242">
        <v>6.1</v>
      </c>
      <c r="AQ242">
        <v>7.6</v>
      </c>
      <c r="AR242">
        <v>8.5</v>
      </c>
      <c r="AS242">
        <v>7.4</v>
      </c>
      <c r="AT242">
        <v>7.1</v>
      </c>
      <c r="AU242">
        <v>7.6</v>
      </c>
      <c r="AV242">
        <v>6.6</v>
      </c>
      <c r="AW242">
        <v>7.1</v>
      </c>
      <c r="AX242">
        <v>7.1</v>
      </c>
      <c r="AY242">
        <v>-5.9</v>
      </c>
      <c r="AZ242">
        <v>50</v>
      </c>
      <c r="BA242">
        <v>0</v>
      </c>
      <c r="BB242">
        <v>50</v>
      </c>
      <c r="BC242">
        <v>0</v>
      </c>
      <c r="BD242">
        <v>0</v>
      </c>
      <c r="BE242">
        <v>0</v>
      </c>
      <c r="BF242">
        <v>0</v>
      </c>
      <c r="BG242">
        <v>0</v>
      </c>
      <c r="BI242">
        <v>6.4</v>
      </c>
      <c r="BJ242">
        <v>42.4</v>
      </c>
      <c r="BK242">
        <v>0</v>
      </c>
      <c r="BL242">
        <v>92</v>
      </c>
      <c r="BM242">
        <v>72</v>
      </c>
      <c r="BN242">
        <v>257</v>
      </c>
      <c r="BO242">
        <v>133</v>
      </c>
      <c r="BP242">
        <f t="shared" si="35"/>
        <v>124</v>
      </c>
      <c r="BQ242" t="s">
        <v>114</v>
      </c>
      <c r="BR242" t="s">
        <v>114</v>
      </c>
      <c r="BS242" t="s">
        <v>114</v>
      </c>
      <c r="BT242" t="s">
        <v>114</v>
      </c>
      <c r="BU242" t="s">
        <v>114</v>
      </c>
      <c r="BV242" t="s">
        <v>114</v>
      </c>
      <c r="BW242" t="s">
        <v>114</v>
      </c>
      <c r="BX242" t="s">
        <v>114</v>
      </c>
      <c r="BY242" t="s">
        <v>114</v>
      </c>
      <c r="BZ242" t="s">
        <v>114</v>
      </c>
      <c r="CA242" t="s">
        <v>114</v>
      </c>
      <c r="CB242" t="s">
        <v>114</v>
      </c>
      <c r="CC242" t="s">
        <v>114</v>
      </c>
      <c r="CD242" t="s">
        <v>114</v>
      </c>
      <c r="CE242" t="s">
        <v>114</v>
      </c>
      <c r="CF242" t="s">
        <v>114</v>
      </c>
      <c r="CG242" t="s">
        <v>114</v>
      </c>
      <c r="CH242" t="s">
        <v>114</v>
      </c>
      <c r="CI242" t="s">
        <v>114</v>
      </c>
      <c r="CJ242" t="s">
        <v>114</v>
      </c>
      <c r="CK242" t="s">
        <v>114</v>
      </c>
      <c r="CL242" t="s">
        <v>114</v>
      </c>
      <c r="CM242" t="s">
        <v>114</v>
      </c>
      <c r="CN242" t="s">
        <v>114</v>
      </c>
      <c r="CO242" t="s">
        <v>114</v>
      </c>
      <c r="CP242" t="s">
        <v>114</v>
      </c>
      <c r="CQ242" t="s">
        <v>114</v>
      </c>
      <c r="CR242" t="s">
        <v>114</v>
      </c>
      <c r="CS242" t="s">
        <v>114</v>
      </c>
      <c r="CT242" t="s">
        <v>114</v>
      </c>
      <c r="CU242" t="s">
        <v>114</v>
      </c>
      <c r="CV242" t="s">
        <v>114</v>
      </c>
      <c r="CW242" t="s">
        <v>114</v>
      </c>
    </row>
    <row r="243" spans="1:101" x14ac:dyDescent="0.25">
      <c r="A243" t="s">
        <v>53</v>
      </c>
      <c r="B243">
        <v>12</v>
      </c>
      <c r="C243" t="s">
        <v>19</v>
      </c>
      <c r="D243" t="s">
        <v>94</v>
      </c>
      <c r="E243" t="s">
        <v>102</v>
      </c>
      <c r="F243" t="s">
        <v>120</v>
      </c>
      <c r="G243" t="s">
        <v>273</v>
      </c>
      <c r="H243" t="str">
        <f t="shared" si="31"/>
        <v>A.calendula.Solo.Open</v>
      </c>
      <c r="I243" t="s">
        <v>691</v>
      </c>
      <c r="J243" t="s">
        <v>517</v>
      </c>
      <c r="K243">
        <v>0</v>
      </c>
      <c r="L243" t="s">
        <v>114</v>
      </c>
      <c r="M243" t="s">
        <v>114</v>
      </c>
      <c r="N243" t="s">
        <v>114</v>
      </c>
      <c r="O243" t="s">
        <v>114</v>
      </c>
      <c r="P243" t="s">
        <v>114</v>
      </c>
      <c r="Q243" t="s">
        <v>114</v>
      </c>
      <c r="R243" t="s">
        <v>114</v>
      </c>
      <c r="S243" t="s">
        <v>114</v>
      </c>
      <c r="T243" t="s">
        <v>114</v>
      </c>
      <c r="U243" t="s">
        <v>114</v>
      </c>
      <c r="V243" t="s">
        <v>114</v>
      </c>
      <c r="W243" t="s">
        <v>114</v>
      </c>
      <c r="X243">
        <v>17.399999999999999</v>
      </c>
      <c r="Y243">
        <v>15.9</v>
      </c>
      <c r="Z243">
        <v>14.9</v>
      </c>
      <c r="AA243">
        <v>16.06666667</v>
      </c>
      <c r="AB243">
        <v>17.233333330000001</v>
      </c>
      <c r="AC243">
        <v>16.899999999999999</v>
      </c>
      <c r="AD243">
        <v>16.399999999999999</v>
      </c>
      <c r="AE243">
        <v>18.399999999999999</v>
      </c>
      <c r="AF243">
        <v>17.233333330000001</v>
      </c>
      <c r="AG243">
        <v>17.399999999999999</v>
      </c>
      <c r="AH243">
        <v>17.399999999999999</v>
      </c>
      <c r="AI243">
        <v>18.399999999999999</v>
      </c>
      <c r="AJ243">
        <v>17.733333330000001</v>
      </c>
      <c r="AK243">
        <v>19.3</v>
      </c>
      <c r="AL243">
        <v>17.399999999999999</v>
      </c>
      <c r="AM243">
        <v>18.899999999999999</v>
      </c>
      <c r="AN243">
        <v>18.533333330000001</v>
      </c>
      <c r="AO243">
        <v>18.533333330000001</v>
      </c>
      <c r="AP243">
        <v>6.1</v>
      </c>
      <c r="AQ243">
        <v>9</v>
      </c>
      <c r="AR243">
        <v>8.5</v>
      </c>
      <c r="AS243">
        <v>7.8666666669999996</v>
      </c>
      <c r="AT243">
        <v>6.6</v>
      </c>
      <c r="AU243">
        <v>6.1</v>
      </c>
      <c r="AV243">
        <v>6.6</v>
      </c>
      <c r="AW243">
        <v>6.4333333330000002</v>
      </c>
      <c r="AX243">
        <v>6.4333333330000002</v>
      </c>
      <c r="AY243">
        <v>-10.8</v>
      </c>
      <c r="AZ243">
        <v>70</v>
      </c>
      <c r="BA243">
        <v>0</v>
      </c>
      <c r="BB243">
        <v>30</v>
      </c>
      <c r="BC243">
        <v>0</v>
      </c>
      <c r="BD243">
        <v>0</v>
      </c>
      <c r="BE243">
        <v>0</v>
      </c>
      <c r="BF243">
        <v>0</v>
      </c>
      <c r="BG243">
        <v>0</v>
      </c>
      <c r="BI243">
        <v>11.2</v>
      </c>
      <c r="BJ243">
        <v>2.4319999999999999</v>
      </c>
      <c r="BK243">
        <v>0</v>
      </c>
      <c r="BL243">
        <v>0</v>
      </c>
      <c r="BM243">
        <v>0</v>
      </c>
      <c r="BN243">
        <v>0</v>
      </c>
      <c r="BO243">
        <v>485.5</v>
      </c>
      <c r="BP243">
        <f t="shared" si="35"/>
        <v>-485.5</v>
      </c>
      <c r="BQ243" t="s">
        <v>114</v>
      </c>
      <c r="BR243" t="s">
        <v>114</v>
      </c>
      <c r="BS243" t="s">
        <v>114</v>
      </c>
      <c r="BT243" t="s">
        <v>114</v>
      </c>
      <c r="BU243" t="s">
        <v>114</v>
      </c>
      <c r="BV243" t="s">
        <v>114</v>
      </c>
      <c r="BW243" t="s">
        <v>114</v>
      </c>
      <c r="BX243" t="s">
        <v>114</v>
      </c>
      <c r="BY243" t="s">
        <v>114</v>
      </c>
      <c r="BZ243" t="s">
        <v>114</v>
      </c>
      <c r="CA243" t="s">
        <v>114</v>
      </c>
      <c r="CB243" t="s">
        <v>114</v>
      </c>
      <c r="CC243" t="s">
        <v>114</v>
      </c>
      <c r="CD243" t="s">
        <v>114</v>
      </c>
      <c r="CE243" t="s">
        <v>114</v>
      </c>
      <c r="CF243" t="s">
        <v>114</v>
      </c>
      <c r="CG243" t="s">
        <v>114</v>
      </c>
      <c r="CH243" t="s">
        <v>114</v>
      </c>
      <c r="CI243" t="s">
        <v>114</v>
      </c>
      <c r="CJ243" t="s">
        <v>114</v>
      </c>
      <c r="CK243" t="s">
        <v>114</v>
      </c>
      <c r="CL243" t="s">
        <v>114</v>
      </c>
      <c r="CM243" t="s">
        <v>114</v>
      </c>
      <c r="CN243" t="s">
        <v>114</v>
      </c>
      <c r="CO243" t="s">
        <v>114</v>
      </c>
      <c r="CP243" t="s">
        <v>114</v>
      </c>
      <c r="CQ243" t="s">
        <v>114</v>
      </c>
      <c r="CR243" t="s">
        <v>114</v>
      </c>
      <c r="CS243" t="s">
        <v>114</v>
      </c>
      <c r="CT243" t="s">
        <v>114</v>
      </c>
      <c r="CU243" t="s">
        <v>114</v>
      </c>
      <c r="CV243" t="s">
        <v>114</v>
      </c>
      <c r="CW243" t="s">
        <v>114</v>
      </c>
    </row>
    <row r="244" spans="1:101" x14ac:dyDescent="0.25">
      <c r="A244" t="s">
        <v>53</v>
      </c>
      <c r="B244">
        <v>12</v>
      </c>
      <c r="C244" t="s">
        <v>19</v>
      </c>
      <c r="D244" t="s">
        <v>94</v>
      </c>
      <c r="E244" t="s">
        <v>113</v>
      </c>
      <c r="F244" t="s">
        <v>120</v>
      </c>
      <c r="G244" t="s">
        <v>267</v>
      </c>
      <c r="H244" t="str">
        <f t="shared" si="31"/>
        <v>H.glutinosum.Solo.Open</v>
      </c>
      <c r="I244" t="s">
        <v>692</v>
      </c>
      <c r="J244" t="s">
        <v>518</v>
      </c>
      <c r="K244">
        <v>0</v>
      </c>
      <c r="L244">
        <v>40</v>
      </c>
      <c r="M244">
        <v>10</v>
      </c>
      <c r="N244">
        <v>10</v>
      </c>
      <c r="O244" t="s">
        <v>114</v>
      </c>
      <c r="P244">
        <v>3</v>
      </c>
      <c r="Q244">
        <v>10</v>
      </c>
      <c r="R244">
        <v>3</v>
      </c>
      <c r="S244">
        <f t="shared" si="33"/>
        <v>6.5</v>
      </c>
      <c r="T244">
        <f t="shared" si="34"/>
        <v>0.65</v>
      </c>
      <c r="U244" t="s">
        <v>19</v>
      </c>
      <c r="V244" t="s">
        <v>114</v>
      </c>
      <c r="W244" t="s">
        <v>114</v>
      </c>
      <c r="X244">
        <v>17.399999999999999</v>
      </c>
      <c r="Y244">
        <v>15.9</v>
      </c>
      <c r="Z244">
        <v>14.9</v>
      </c>
      <c r="AA244">
        <v>16.06666667</v>
      </c>
      <c r="AB244">
        <v>15.9</v>
      </c>
      <c r="AC244">
        <v>13.9</v>
      </c>
      <c r="AD244">
        <v>16.899999999999999</v>
      </c>
      <c r="AE244">
        <v>16.899999999999999</v>
      </c>
      <c r="AF244">
        <v>15.9</v>
      </c>
      <c r="AG244">
        <v>17.399999999999999</v>
      </c>
      <c r="AH244">
        <v>17.399999999999999</v>
      </c>
      <c r="AI244">
        <v>18.399999999999999</v>
      </c>
      <c r="AJ244">
        <v>17.733333330000001</v>
      </c>
      <c r="AK244">
        <v>15.4</v>
      </c>
      <c r="AL244">
        <v>16.899999999999999</v>
      </c>
      <c r="AM244">
        <v>18.399999999999999</v>
      </c>
      <c r="AN244">
        <v>16.899999999999999</v>
      </c>
      <c r="AO244">
        <v>16.899999999999999</v>
      </c>
      <c r="AP244">
        <v>6.1</v>
      </c>
      <c r="AQ244">
        <v>9</v>
      </c>
      <c r="AR244">
        <v>8.5</v>
      </c>
      <c r="AS244">
        <v>7.8666666669999996</v>
      </c>
      <c r="AT244">
        <v>6.1</v>
      </c>
      <c r="AU244">
        <v>5.0999999999999996</v>
      </c>
      <c r="AV244">
        <v>7.6</v>
      </c>
      <c r="AW244">
        <v>6.266666667</v>
      </c>
      <c r="AX244">
        <v>6.266666667</v>
      </c>
      <c r="AY244">
        <v>-9.6333333329999995</v>
      </c>
      <c r="AZ244">
        <v>20</v>
      </c>
      <c r="BA244">
        <v>0</v>
      </c>
      <c r="BB244">
        <v>80</v>
      </c>
      <c r="BC244">
        <v>0</v>
      </c>
      <c r="BD244">
        <v>0</v>
      </c>
      <c r="BE244">
        <v>0</v>
      </c>
      <c r="BF244">
        <v>0</v>
      </c>
      <c r="BG244">
        <v>0</v>
      </c>
      <c r="BI244">
        <v>11.2</v>
      </c>
      <c r="BJ244">
        <v>2.4319999999999999</v>
      </c>
      <c r="BK244">
        <v>0</v>
      </c>
      <c r="BL244">
        <v>0</v>
      </c>
      <c r="BM244">
        <v>0</v>
      </c>
      <c r="BN244">
        <v>0</v>
      </c>
      <c r="BO244">
        <v>2.75</v>
      </c>
      <c r="BP244">
        <f t="shared" si="35"/>
        <v>-2.75</v>
      </c>
      <c r="BQ244" t="s">
        <v>114</v>
      </c>
      <c r="BR244" t="s">
        <v>114</v>
      </c>
      <c r="BS244" t="s">
        <v>114</v>
      </c>
      <c r="BT244" t="s">
        <v>114</v>
      </c>
      <c r="BU244" t="s">
        <v>114</v>
      </c>
      <c r="BV244" t="s">
        <v>114</v>
      </c>
      <c r="BW244" t="s">
        <v>114</v>
      </c>
      <c r="BX244" t="s">
        <v>114</v>
      </c>
      <c r="BY244" t="s">
        <v>114</v>
      </c>
      <c r="BZ244" t="s">
        <v>114</v>
      </c>
      <c r="CA244" t="s">
        <v>114</v>
      </c>
      <c r="CB244" t="s">
        <v>114</v>
      </c>
      <c r="CC244" t="s">
        <v>114</v>
      </c>
      <c r="CD244" t="s">
        <v>114</v>
      </c>
      <c r="CE244" t="s">
        <v>114</v>
      </c>
      <c r="CF244" t="s">
        <v>114</v>
      </c>
      <c r="CG244" t="s">
        <v>114</v>
      </c>
      <c r="CH244" t="s">
        <v>114</v>
      </c>
      <c r="CI244" t="s">
        <v>114</v>
      </c>
      <c r="CJ244" t="s">
        <v>114</v>
      </c>
      <c r="CK244" t="s">
        <v>114</v>
      </c>
      <c r="CL244" t="s">
        <v>114</v>
      </c>
      <c r="CM244" t="s">
        <v>114</v>
      </c>
      <c r="CN244" t="s">
        <v>114</v>
      </c>
      <c r="CO244" t="s">
        <v>114</v>
      </c>
      <c r="CP244" t="s">
        <v>114</v>
      </c>
      <c r="CQ244" t="s">
        <v>114</v>
      </c>
      <c r="CR244" t="s">
        <v>114</v>
      </c>
      <c r="CS244" t="s">
        <v>114</v>
      </c>
      <c r="CT244" t="s">
        <v>114</v>
      </c>
      <c r="CU244" t="s">
        <v>114</v>
      </c>
      <c r="CV244" t="s">
        <v>114</v>
      </c>
      <c r="CW244" t="s">
        <v>114</v>
      </c>
    </row>
    <row r="245" spans="1:101" x14ac:dyDescent="0.25">
      <c r="A245" t="s">
        <v>53</v>
      </c>
      <c r="B245">
        <v>12</v>
      </c>
      <c r="C245" t="s">
        <v>19</v>
      </c>
      <c r="D245" t="s">
        <v>94</v>
      </c>
      <c r="E245" t="s">
        <v>103</v>
      </c>
      <c r="F245" t="s">
        <v>120</v>
      </c>
      <c r="G245" t="s">
        <v>268</v>
      </c>
      <c r="H245" t="str">
        <f t="shared" si="31"/>
        <v>P.airoides.Solo.Open</v>
      </c>
      <c r="I245" t="s">
        <v>693</v>
      </c>
      <c r="J245" t="s">
        <v>519</v>
      </c>
      <c r="K245">
        <v>0</v>
      </c>
      <c r="L245">
        <v>20</v>
      </c>
      <c r="M245">
        <v>60</v>
      </c>
      <c r="N245">
        <v>60</v>
      </c>
      <c r="O245" t="s">
        <v>114</v>
      </c>
      <c r="P245">
        <v>20</v>
      </c>
      <c r="Q245">
        <v>25</v>
      </c>
      <c r="R245">
        <v>10</v>
      </c>
      <c r="S245">
        <f t="shared" si="33"/>
        <v>17.5</v>
      </c>
      <c r="T245">
        <f t="shared" si="34"/>
        <v>0.29166666666666669</v>
      </c>
      <c r="U245" t="s">
        <v>792</v>
      </c>
      <c r="V245" t="s">
        <v>114</v>
      </c>
      <c r="W245" t="s">
        <v>114</v>
      </c>
      <c r="X245">
        <v>17.399999999999999</v>
      </c>
      <c r="Y245">
        <v>15.9</v>
      </c>
      <c r="Z245">
        <v>14.9</v>
      </c>
      <c r="AA245">
        <v>16.06666667</v>
      </c>
      <c r="AB245">
        <v>17.733333330000001</v>
      </c>
      <c r="AC245">
        <v>17.399999999999999</v>
      </c>
      <c r="AD245">
        <v>17.899999999999999</v>
      </c>
      <c r="AE245">
        <v>17.899999999999999</v>
      </c>
      <c r="AF245">
        <v>17.733333330000001</v>
      </c>
      <c r="AG245">
        <v>17.399999999999999</v>
      </c>
      <c r="AH245">
        <v>17.399999999999999</v>
      </c>
      <c r="AI245">
        <v>18.399999999999999</v>
      </c>
      <c r="AJ245">
        <v>17.733333330000001</v>
      </c>
      <c r="AK245">
        <v>16.899999999999999</v>
      </c>
      <c r="AL245">
        <v>17.399999999999999</v>
      </c>
      <c r="AM245">
        <v>17.899999999999999</v>
      </c>
      <c r="AN245">
        <v>17.399999999999999</v>
      </c>
      <c r="AO245">
        <v>17.399999999999999</v>
      </c>
      <c r="AP245">
        <v>6.1</v>
      </c>
      <c r="AQ245">
        <v>9</v>
      </c>
      <c r="AR245">
        <v>8.5</v>
      </c>
      <c r="AS245">
        <v>7.8666666669999996</v>
      </c>
      <c r="AT245">
        <v>7.6</v>
      </c>
      <c r="AU245">
        <v>6.6</v>
      </c>
      <c r="AV245">
        <v>6.1</v>
      </c>
      <c r="AW245">
        <v>6.766666667</v>
      </c>
      <c r="AX245">
        <v>6.766666667</v>
      </c>
      <c r="AY245">
        <v>-10.96666667</v>
      </c>
      <c r="AZ245">
        <v>70</v>
      </c>
      <c r="BA245">
        <v>0</v>
      </c>
      <c r="BB245">
        <v>30</v>
      </c>
      <c r="BC245">
        <v>0</v>
      </c>
      <c r="BD245">
        <v>0</v>
      </c>
      <c r="BE245">
        <v>0</v>
      </c>
      <c r="BF245">
        <v>0</v>
      </c>
      <c r="BG245">
        <v>0</v>
      </c>
      <c r="BI245">
        <v>11.2</v>
      </c>
      <c r="BJ245">
        <v>2.4319999999999999</v>
      </c>
      <c r="BK245">
        <v>0</v>
      </c>
      <c r="BL245">
        <v>5</v>
      </c>
      <c r="BM245">
        <v>5</v>
      </c>
      <c r="BN245">
        <v>441</v>
      </c>
      <c r="BO245">
        <v>313.5</v>
      </c>
      <c r="BP245">
        <f t="shared" si="35"/>
        <v>127.5</v>
      </c>
      <c r="BQ245" t="s">
        <v>114</v>
      </c>
      <c r="BR245" t="s">
        <v>114</v>
      </c>
      <c r="BS245" t="s">
        <v>114</v>
      </c>
      <c r="BT245" t="s">
        <v>114</v>
      </c>
      <c r="BU245" t="s">
        <v>114</v>
      </c>
      <c r="BV245" t="s">
        <v>114</v>
      </c>
      <c r="BW245" t="s">
        <v>114</v>
      </c>
      <c r="BX245" t="s">
        <v>114</v>
      </c>
      <c r="BY245" t="s">
        <v>114</v>
      </c>
      <c r="BZ245" t="s">
        <v>114</v>
      </c>
      <c r="CA245" t="s">
        <v>114</v>
      </c>
      <c r="CB245" t="s">
        <v>114</v>
      </c>
      <c r="CC245" t="s">
        <v>114</v>
      </c>
      <c r="CD245" t="s">
        <v>114</v>
      </c>
      <c r="CE245" t="s">
        <v>114</v>
      </c>
      <c r="CF245" t="s">
        <v>114</v>
      </c>
      <c r="CG245" t="s">
        <v>114</v>
      </c>
      <c r="CH245" t="s">
        <v>114</v>
      </c>
      <c r="CI245" t="s">
        <v>114</v>
      </c>
      <c r="CJ245" t="s">
        <v>114</v>
      </c>
      <c r="CK245" t="s">
        <v>114</v>
      </c>
      <c r="CL245" t="s">
        <v>114</v>
      </c>
      <c r="CM245" t="s">
        <v>114</v>
      </c>
      <c r="CN245" t="s">
        <v>114</v>
      </c>
      <c r="CO245" t="s">
        <v>114</v>
      </c>
      <c r="CP245" t="s">
        <v>114</v>
      </c>
      <c r="CQ245" t="s">
        <v>114</v>
      </c>
      <c r="CR245" t="s">
        <v>114</v>
      </c>
      <c r="CS245" t="s">
        <v>114</v>
      </c>
      <c r="CT245" t="s">
        <v>114</v>
      </c>
      <c r="CU245" t="s">
        <v>114</v>
      </c>
      <c r="CV245" t="s">
        <v>114</v>
      </c>
      <c r="CW245" t="s">
        <v>114</v>
      </c>
    </row>
    <row r="246" spans="1:101" x14ac:dyDescent="0.25">
      <c r="A246" t="s">
        <v>53</v>
      </c>
      <c r="B246">
        <v>12</v>
      </c>
      <c r="C246" t="s">
        <v>19</v>
      </c>
      <c r="D246" t="s">
        <v>94</v>
      </c>
      <c r="E246" t="s">
        <v>112</v>
      </c>
      <c r="F246" t="s">
        <v>120</v>
      </c>
      <c r="G246" t="s">
        <v>269</v>
      </c>
      <c r="H246" t="str">
        <f t="shared" si="31"/>
        <v>V.rosea.Solo.Open</v>
      </c>
      <c r="I246" t="s">
        <v>688</v>
      </c>
      <c r="J246" t="s">
        <v>520</v>
      </c>
      <c r="K246">
        <v>0</v>
      </c>
      <c r="L246">
        <v>40</v>
      </c>
      <c r="M246">
        <v>40</v>
      </c>
      <c r="N246">
        <v>40</v>
      </c>
      <c r="O246" t="s">
        <v>114</v>
      </c>
      <c r="P246">
        <v>25</v>
      </c>
      <c r="Q246">
        <v>45</v>
      </c>
      <c r="R246">
        <v>25</v>
      </c>
      <c r="S246">
        <f t="shared" si="33"/>
        <v>35</v>
      </c>
      <c r="T246">
        <f t="shared" si="34"/>
        <v>0.875</v>
      </c>
      <c r="U246" t="s">
        <v>15</v>
      </c>
      <c r="V246" t="s">
        <v>114</v>
      </c>
      <c r="W246" t="s">
        <v>114</v>
      </c>
      <c r="X246">
        <v>17.399999999999999</v>
      </c>
      <c r="Y246">
        <v>15.9</v>
      </c>
      <c r="Z246">
        <v>14.9</v>
      </c>
      <c r="AA246">
        <v>16.06666667</v>
      </c>
      <c r="AB246">
        <v>16.733333330000001</v>
      </c>
      <c r="AC246">
        <v>16.899999999999999</v>
      </c>
      <c r="AD246">
        <v>16.399999999999999</v>
      </c>
      <c r="AE246">
        <v>16.899999999999999</v>
      </c>
      <c r="AF246">
        <v>16.733333330000001</v>
      </c>
      <c r="AG246">
        <v>17.399999999999999</v>
      </c>
      <c r="AH246">
        <v>17.399999999999999</v>
      </c>
      <c r="AI246">
        <v>18.399999999999999</v>
      </c>
      <c r="AJ246">
        <v>17.733333330000001</v>
      </c>
      <c r="AK246">
        <v>17.399999999999999</v>
      </c>
      <c r="AL246">
        <v>17.399999999999999</v>
      </c>
      <c r="AM246">
        <v>18.399999999999999</v>
      </c>
      <c r="AN246">
        <v>17.733333330000001</v>
      </c>
      <c r="AO246">
        <v>17.733333330000001</v>
      </c>
      <c r="AP246">
        <v>6.1</v>
      </c>
      <c r="AQ246">
        <v>9</v>
      </c>
      <c r="AR246">
        <v>8.5</v>
      </c>
      <c r="AS246">
        <v>7.8666666669999996</v>
      </c>
      <c r="AT246">
        <v>6.6</v>
      </c>
      <c r="AU246">
        <v>6.6</v>
      </c>
      <c r="AV246">
        <v>6.1</v>
      </c>
      <c r="AW246">
        <v>6.4333333330000002</v>
      </c>
      <c r="AX246">
        <v>6.4333333330000002</v>
      </c>
      <c r="AY246">
        <v>-10.3</v>
      </c>
      <c r="AZ246">
        <v>90</v>
      </c>
      <c r="BA246">
        <v>0</v>
      </c>
      <c r="BB246">
        <v>10</v>
      </c>
      <c r="BC246">
        <v>0</v>
      </c>
      <c r="BD246">
        <v>0</v>
      </c>
      <c r="BE246">
        <v>0</v>
      </c>
      <c r="BF246">
        <v>0</v>
      </c>
      <c r="BG246">
        <v>0</v>
      </c>
      <c r="BI246">
        <v>11.2</v>
      </c>
      <c r="BJ246">
        <v>2.4319999999999999</v>
      </c>
      <c r="BK246">
        <v>0</v>
      </c>
      <c r="BL246">
        <v>15</v>
      </c>
      <c r="BM246">
        <v>11</v>
      </c>
      <c r="BN246">
        <v>36</v>
      </c>
      <c r="BO246">
        <v>184.8</v>
      </c>
      <c r="BP246">
        <f t="shared" si="35"/>
        <v>-148.80000000000001</v>
      </c>
      <c r="BQ246" t="s">
        <v>114</v>
      </c>
      <c r="BR246" t="s">
        <v>114</v>
      </c>
      <c r="BS246" t="s">
        <v>114</v>
      </c>
      <c r="BT246" t="s">
        <v>114</v>
      </c>
      <c r="BU246" t="s">
        <v>114</v>
      </c>
      <c r="BV246" t="s">
        <v>114</v>
      </c>
      <c r="BW246" t="s">
        <v>114</v>
      </c>
      <c r="BX246" t="s">
        <v>114</v>
      </c>
      <c r="BY246" t="s">
        <v>114</v>
      </c>
      <c r="BZ246" t="s">
        <v>114</v>
      </c>
      <c r="CA246" t="s">
        <v>114</v>
      </c>
      <c r="CB246" t="s">
        <v>114</v>
      </c>
      <c r="CC246" t="s">
        <v>114</v>
      </c>
      <c r="CD246" t="s">
        <v>114</v>
      </c>
      <c r="CE246" t="s">
        <v>114</v>
      </c>
      <c r="CF246" t="s">
        <v>114</v>
      </c>
      <c r="CG246" t="s">
        <v>114</v>
      </c>
      <c r="CH246" t="s">
        <v>114</v>
      </c>
      <c r="CI246" t="s">
        <v>114</v>
      </c>
      <c r="CJ246" t="s">
        <v>114</v>
      </c>
      <c r="CK246" t="s">
        <v>114</v>
      </c>
      <c r="CL246" t="s">
        <v>114</v>
      </c>
      <c r="CM246" t="s">
        <v>114</v>
      </c>
      <c r="CN246" t="s">
        <v>114</v>
      </c>
      <c r="CO246" t="s">
        <v>114</v>
      </c>
      <c r="CP246" t="s">
        <v>114</v>
      </c>
      <c r="CQ246" t="s">
        <v>114</v>
      </c>
      <c r="CR246" t="s">
        <v>114</v>
      </c>
      <c r="CS246" t="s">
        <v>114</v>
      </c>
      <c r="CT246" t="s">
        <v>114</v>
      </c>
      <c r="CU246" t="s">
        <v>114</v>
      </c>
      <c r="CV246" t="s">
        <v>114</v>
      </c>
      <c r="CW246" t="s">
        <v>114</v>
      </c>
    </row>
    <row r="247" spans="1:101" x14ac:dyDescent="0.25">
      <c r="A247" t="s">
        <v>54</v>
      </c>
      <c r="B247">
        <v>12</v>
      </c>
      <c r="C247" t="s">
        <v>21</v>
      </c>
      <c r="D247" t="s">
        <v>95</v>
      </c>
      <c r="E247" t="s">
        <v>113</v>
      </c>
      <c r="F247" t="s">
        <v>120</v>
      </c>
      <c r="G247" t="s">
        <v>267</v>
      </c>
      <c r="H247" t="str">
        <f t="shared" si="31"/>
        <v>H.glutinosum.Solo.Shade</v>
      </c>
      <c r="I247" t="s">
        <v>682</v>
      </c>
      <c r="J247" t="s">
        <v>521</v>
      </c>
      <c r="K247">
        <v>0</v>
      </c>
      <c r="L247">
        <v>35</v>
      </c>
      <c r="M247">
        <v>90</v>
      </c>
      <c r="N247">
        <v>90</v>
      </c>
      <c r="O247" t="s">
        <v>114</v>
      </c>
      <c r="P247">
        <v>8</v>
      </c>
      <c r="Q247">
        <v>60</v>
      </c>
      <c r="R247">
        <v>20</v>
      </c>
      <c r="S247">
        <f t="shared" si="33"/>
        <v>40</v>
      </c>
      <c r="T247">
        <f t="shared" si="34"/>
        <v>0.44444444444444442</v>
      </c>
      <c r="U247" t="s">
        <v>15</v>
      </c>
      <c r="V247" t="s">
        <v>114</v>
      </c>
      <c r="W247" t="s">
        <v>114</v>
      </c>
      <c r="X247">
        <v>13</v>
      </c>
      <c r="Y247">
        <v>13.9</v>
      </c>
      <c r="Z247">
        <v>17.399999999999999</v>
      </c>
      <c r="AA247">
        <v>14.766666669999999</v>
      </c>
      <c r="AB247">
        <v>14.43333333</v>
      </c>
      <c r="AC247">
        <v>15.4</v>
      </c>
      <c r="AD247">
        <v>14.4</v>
      </c>
      <c r="AE247">
        <v>13.5</v>
      </c>
      <c r="AF247">
        <v>14.43333333</v>
      </c>
      <c r="AG247">
        <v>17.399999999999999</v>
      </c>
      <c r="AH247">
        <v>17.899999999999999</v>
      </c>
      <c r="AI247">
        <v>18.899999999999999</v>
      </c>
      <c r="AJ247">
        <v>18.06666667</v>
      </c>
      <c r="AK247">
        <v>14.9</v>
      </c>
      <c r="AL247">
        <v>14.9</v>
      </c>
      <c r="AM247">
        <v>16.399999999999999</v>
      </c>
      <c r="AN247">
        <v>15.4</v>
      </c>
      <c r="AO247">
        <v>15.4</v>
      </c>
      <c r="AP247">
        <v>5.9</v>
      </c>
      <c r="AQ247">
        <v>6.3</v>
      </c>
      <c r="AR247">
        <v>6.3</v>
      </c>
      <c r="AS247">
        <v>6.1666666670000003</v>
      </c>
      <c r="AT247">
        <v>5.3</v>
      </c>
      <c r="AU247">
        <v>5.3</v>
      </c>
      <c r="AV247">
        <v>5.9</v>
      </c>
      <c r="AW247">
        <v>5.5</v>
      </c>
      <c r="AX247">
        <v>5.5</v>
      </c>
      <c r="AY247">
        <v>-8.9333333330000002</v>
      </c>
      <c r="AZ247">
        <v>10</v>
      </c>
      <c r="BA247">
        <v>40</v>
      </c>
      <c r="BB247">
        <v>50</v>
      </c>
      <c r="BC247">
        <v>0</v>
      </c>
      <c r="BD247">
        <v>0</v>
      </c>
      <c r="BE247">
        <v>0</v>
      </c>
      <c r="BF247">
        <v>0</v>
      </c>
      <c r="BG247">
        <v>0</v>
      </c>
      <c r="BI247">
        <v>13</v>
      </c>
      <c r="BJ247">
        <v>42.4</v>
      </c>
      <c r="BK247">
        <v>0</v>
      </c>
      <c r="BL247">
        <v>4</v>
      </c>
      <c r="BM247">
        <v>4</v>
      </c>
      <c r="BN247">
        <v>7</v>
      </c>
      <c r="BO247">
        <v>7</v>
      </c>
      <c r="BP247">
        <f t="shared" si="35"/>
        <v>0</v>
      </c>
      <c r="BQ247" t="s">
        <v>114</v>
      </c>
      <c r="BR247" t="s">
        <v>114</v>
      </c>
      <c r="BS247" t="s">
        <v>114</v>
      </c>
      <c r="BT247" t="s">
        <v>114</v>
      </c>
      <c r="BU247" t="s">
        <v>114</v>
      </c>
      <c r="BV247" t="s">
        <v>114</v>
      </c>
      <c r="BW247" t="s">
        <v>114</v>
      </c>
      <c r="BX247" t="s">
        <v>114</v>
      </c>
      <c r="BY247" t="s">
        <v>114</v>
      </c>
      <c r="BZ247" t="s">
        <v>114</v>
      </c>
      <c r="CA247" t="s">
        <v>114</v>
      </c>
      <c r="CB247" t="s">
        <v>114</v>
      </c>
      <c r="CC247" t="s">
        <v>114</v>
      </c>
      <c r="CD247" t="s">
        <v>114</v>
      </c>
      <c r="CE247" t="s">
        <v>114</v>
      </c>
      <c r="CF247" t="s">
        <v>114</v>
      </c>
      <c r="CG247" t="s">
        <v>114</v>
      </c>
      <c r="CH247" t="s">
        <v>114</v>
      </c>
      <c r="CI247" t="s">
        <v>114</v>
      </c>
      <c r="CJ247" t="s">
        <v>114</v>
      </c>
      <c r="CK247" t="s">
        <v>114</v>
      </c>
      <c r="CL247" t="s">
        <v>114</v>
      </c>
      <c r="CM247" t="s">
        <v>114</v>
      </c>
      <c r="CN247" t="s">
        <v>114</v>
      </c>
      <c r="CO247" t="s">
        <v>114</v>
      </c>
      <c r="CP247" t="s">
        <v>114</v>
      </c>
      <c r="CQ247" t="s">
        <v>114</v>
      </c>
      <c r="CR247" t="s">
        <v>114</v>
      </c>
      <c r="CS247" t="s">
        <v>114</v>
      </c>
      <c r="CT247" t="s">
        <v>114</v>
      </c>
      <c r="CU247" t="s">
        <v>114</v>
      </c>
      <c r="CV247" t="s">
        <v>114</v>
      </c>
      <c r="CW247" t="s">
        <v>114</v>
      </c>
    </row>
    <row r="248" spans="1:101" x14ac:dyDescent="0.25">
      <c r="A248" t="s">
        <v>54</v>
      </c>
      <c r="B248">
        <v>12</v>
      </c>
      <c r="C248" t="s">
        <v>21</v>
      </c>
      <c r="D248" t="s">
        <v>95</v>
      </c>
      <c r="E248" t="s">
        <v>110</v>
      </c>
      <c r="F248" t="s">
        <v>120</v>
      </c>
      <c r="G248" t="s">
        <v>270</v>
      </c>
      <c r="H248" t="str">
        <f t="shared" si="31"/>
        <v>M.minima.Solo.Shade</v>
      </c>
      <c r="I248" t="s">
        <v>694</v>
      </c>
      <c r="J248" t="s">
        <v>522</v>
      </c>
      <c r="K248">
        <v>0</v>
      </c>
      <c r="L248">
        <v>70</v>
      </c>
      <c r="M248">
        <v>90</v>
      </c>
      <c r="N248">
        <v>90</v>
      </c>
      <c r="O248" t="s">
        <v>114</v>
      </c>
      <c r="P248">
        <v>20</v>
      </c>
      <c r="Q248">
        <v>120</v>
      </c>
      <c r="R248">
        <v>25</v>
      </c>
      <c r="S248">
        <f t="shared" si="33"/>
        <v>72.5</v>
      </c>
      <c r="T248">
        <f t="shared" si="34"/>
        <v>0.80555555555555558</v>
      </c>
      <c r="U248" t="s">
        <v>23</v>
      </c>
      <c r="V248" t="s">
        <v>114</v>
      </c>
      <c r="W248" t="s">
        <v>114</v>
      </c>
      <c r="X248">
        <v>13</v>
      </c>
      <c r="Y248">
        <v>13.9</v>
      </c>
      <c r="Z248">
        <v>17.399999999999999</v>
      </c>
      <c r="AA248">
        <v>14.766666669999999</v>
      </c>
      <c r="AB248">
        <v>14.766666669999999</v>
      </c>
      <c r="AC248">
        <v>15.4</v>
      </c>
      <c r="AD248">
        <v>17.399999999999999</v>
      </c>
      <c r="AE248">
        <v>11.5</v>
      </c>
      <c r="AF248">
        <v>14.766666669999999</v>
      </c>
      <c r="AG248">
        <v>17.399999999999999</v>
      </c>
      <c r="AH248">
        <v>17.899999999999999</v>
      </c>
      <c r="AI248">
        <v>18.899999999999999</v>
      </c>
      <c r="AJ248">
        <v>18.06666667</v>
      </c>
      <c r="AK248">
        <v>17.399999999999999</v>
      </c>
      <c r="AL248">
        <v>17.399999999999999</v>
      </c>
      <c r="AM248">
        <v>17.899999999999999</v>
      </c>
      <c r="AN248">
        <v>17.56666667</v>
      </c>
      <c r="AO248">
        <v>17.56666667</v>
      </c>
      <c r="AP248">
        <v>5.9</v>
      </c>
      <c r="AQ248">
        <v>6.3</v>
      </c>
      <c r="AR248">
        <v>6.3</v>
      </c>
      <c r="AS248">
        <v>6.1666666670000003</v>
      </c>
      <c r="AT248">
        <v>5.3</v>
      </c>
      <c r="AU248">
        <v>6.3</v>
      </c>
      <c r="AV248">
        <v>5.6</v>
      </c>
      <c r="AW248">
        <v>5.733333333</v>
      </c>
      <c r="AX248">
        <v>5.733333333</v>
      </c>
      <c r="AY248">
        <v>-9.0333333329999999</v>
      </c>
      <c r="AZ248">
        <v>50</v>
      </c>
      <c r="BA248">
        <v>10</v>
      </c>
      <c r="BB248">
        <v>40</v>
      </c>
      <c r="BC248">
        <v>0</v>
      </c>
      <c r="BD248">
        <v>0</v>
      </c>
      <c r="BE248">
        <v>0</v>
      </c>
      <c r="BF248">
        <v>0</v>
      </c>
      <c r="BG248">
        <v>0</v>
      </c>
      <c r="BI248">
        <v>13</v>
      </c>
      <c r="BJ248">
        <v>42.4</v>
      </c>
      <c r="BK248">
        <v>1</v>
      </c>
      <c r="BL248">
        <v>3</v>
      </c>
      <c r="BM248">
        <v>3</v>
      </c>
      <c r="BN248">
        <v>1</v>
      </c>
      <c r="BO248">
        <v>9</v>
      </c>
      <c r="BP248">
        <f t="shared" si="35"/>
        <v>-8</v>
      </c>
      <c r="BQ248" t="s">
        <v>114</v>
      </c>
      <c r="BR248" t="s">
        <v>114</v>
      </c>
      <c r="BS248" t="s">
        <v>114</v>
      </c>
      <c r="BT248" t="s">
        <v>114</v>
      </c>
      <c r="BU248" t="s">
        <v>114</v>
      </c>
      <c r="BV248" t="s">
        <v>114</v>
      </c>
      <c r="BW248" t="s">
        <v>114</v>
      </c>
      <c r="BX248" t="s">
        <v>114</v>
      </c>
      <c r="BY248" t="s">
        <v>114</v>
      </c>
      <c r="BZ248" t="s">
        <v>114</v>
      </c>
      <c r="CA248" t="s">
        <v>114</v>
      </c>
      <c r="CB248" t="s">
        <v>114</v>
      </c>
      <c r="CC248" t="s">
        <v>114</v>
      </c>
      <c r="CD248" t="s">
        <v>114</v>
      </c>
      <c r="CE248" t="s">
        <v>114</v>
      </c>
      <c r="CF248" t="s">
        <v>114</v>
      </c>
      <c r="CG248" t="s">
        <v>114</v>
      </c>
      <c r="CH248" t="s">
        <v>114</v>
      </c>
      <c r="CI248" t="s">
        <v>114</v>
      </c>
      <c r="CJ248" t="s">
        <v>114</v>
      </c>
      <c r="CK248" t="s">
        <v>114</v>
      </c>
      <c r="CL248" t="s">
        <v>114</v>
      </c>
      <c r="CM248" t="s">
        <v>114</v>
      </c>
      <c r="CN248" t="s">
        <v>114</v>
      </c>
      <c r="CO248" t="s">
        <v>114</v>
      </c>
      <c r="CP248" t="s">
        <v>114</v>
      </c>
      <c r="CQ248" t="s">
        <v>114</v>
      </c>
      <c r="CR248" t="s">
        <v>114</v>
      </c>
      <c r="CS248" t="s">
        <v>114</v>
      </c>
      <c r="CT248" t="s">
        <v>114</v>
      </c>
      <c r="CU248" t="s">
        <v>114</v>
      </c>
      <c r="CV248" t="s">
        <v>114</v>
      </c>
      <c r="CW248" t="s">
        <v>114</v>
      </c>
    </row>
    <row r="249" spans="1:101" x14ac:dyDescent="0.25">
      <c r="A249" t="s">
        <v>54</v>
      </c>
      <c r="B249">
        <v>12</v>
      </c>
      <c r="C249" t="s">
        <v>21</v>
      </c>
      <c r="D249" t="s">
        <v>95</v>
      </c>
      <c r="E249" t="s">
        <v>111</v>
      </c>
      <c r="F249" t="s">
        <v>120</v>
      </c>
      <c r="G249" t="s">
        <v>271</v>
      </c>
      <c r="H249" t="str">
        <f t="shared" si="31"/>
        <v>P.canescens.Solo.Shade</v>
      </c>
      <c r="I249" t="s">
        <v>684</v>
      </c>
      <c r="J249" t="s">
        <v>523</v>
      </c>
      <c r="K249">
        <v>0</v>
      </c>
      <c r="L249">
        <v>360</v>
      </c>
      <c r="M249">
        <v>280</v>
      </c>
      <c r="N249">
        <v>280</v>
      </c>
      <c r="O249" t="s">
        <v>114</v>
      </c>
      <c r="P249">
        <v>75</v>
      </c>
      <c r="Q249">
        <v>140</v>
      </c>
      <c r="R249">
        <v>40</v>
      </c>
      <c r="S249">
        <f t="shared" si="33"/>
        <v>90</v>
      </c>
      <c r="T249">
        <f t="shared" si="34"/>
        <v>0.32142857142857145</v>
      </c>
      <c r="U249" t="s">
        <v>792</v>
      </c>
      <c r="V249" t="s">
        <v>114</v>
      </c>
      <c r="W249" t="s">
        <v>114</v>
      </c>
      <c r="X249">
        <v>13</v>
      </c>
      <c r="Y249">
        <v>13.9</v>
      </c>
      <c r="Z249">
        <v>17.399999999999999</v>
      </c>
      <c r="AA249">
        <v>14.766666669999999</v>
      </c>
      <c r="AB249">
        <v>16.06666667</v>
      </c>
      <c r="AC249">
        <v>17.399999999999999</v>
      </c>
      <c r="AD249">
        <v>14.9</v>
      </c>
      <c r="AE249">
        <v>15.9</v>
      </c>
      <c r="AF249">
        <v>16.06666667</v>
      </c>
      <c r="AG249">
        <v>17.399999999999999</v>
      </c>
      <c r="AH249">
        <v>17.899999999999999</v>
      </c>
      <c r="AI249">
        <v>18.899999999999999</v>
      </c>
      <c r="AJ249">
        <v>18.06666667</v>
      </c>
      <c r="AK249">
        <v>17.399999999999999</v>
      </c>
      <c r="AL249">
        <v>17.399999999999999</v>
      </c>
      <c r="AM249">
        <v>18.899999999999999</v>
      </c>
      <c r="AN249">
        <v>17.899999999999999</v>
      </c>
      <c r="AO249">
        <v>17.899999999999999</v>
      </c>
      <c r="AP249">
        <v>5.9</v>
      </c>
      <c r="AQ249">
        <v>6.3</v>
      </c>
      <c r="AR249">
        <v>6.3</v>
      </c>
      <c r="AS249">
        <v>6.1666666670000003</v>
      </c>
      <c r="AT249">
        <v>7.6</v>
      </c>
      <c r="AU249">
        <v>5.9</v>
      </c>
      <c r="AV249">
        <v>7.2</v>
      </c>
      <c r="AW249">
        <v>6.9</v>
      </c>
      <c r="AX249">
        <v>6.9</v>
      </c>
      <c r="AY249">
        <v>-9.1666666669999994</v>
      </c>
      <c r="AZ249">
        <v>20</v>
      </c>
      <c r="BA249">
        <v>10</v>
      </c>
      <c r="BB249">
        <v>70</v>
      </c>
      <c r="BC249">
        <v>0</v>
      </c>
      <c r="BD249">
        <v>0</v>
      </c>
      <c r="BE249">
        <v>0</v>
      </c>
      <c r="BF249">
        <v>0</v>
      </c>
      <c r="BG249">
        <v>0</v>
      </c>
      <c r="BI249">
        <v>13</v>
      </c>
      <c r="BJ249">
        <v>42.4</v>
      </c>
      <c r="BK249">
        <v>0</v>
      </c>
      <c r="BL249">
        <v>22</v>
      </c>
      <c r="BM249">
        <v>18</v>
      </c>
      <c r="BN249">
        <v>1430</v>
      </c>
      <c r="BO249">
        <v>955.66669999999999</v>
      </c>
      <c r="BP249">
        <f t="shared" si="35"/>
        <v>474.33330000000001</v>
      </c>
      <c r="BQ249" t="s">
        <v>114</v>
      </c>
      <c r="BR249" t="s">
        <v>114</v>
      </c>
      <c r="BS249" t="s">
        <v>114</v>
      </c>
      <c r="BT249" t="s">
        <v>114</v>
      </c>
      <c r="BU249" t="s">
        <v>114</v>
      </c>
      <c r="BV249" t="s">
        <v>114</v>
      </c>
      <c r="BW249" t="s">
        <v>114</v>
      </c>
      <c r="BX249" t="s">
        <v>114</v>
      </c>
      <c r="BY249" t="s">
        <v>114</v>
      </c>
      <c r="BZ249" t="s">
        <v>114</v>
      </c>
      <c r="CA249" t="s">
        <v>114</v>
      </c>
      <c r="CB249" t="s">
        <v>114</v>
      </c>
      <c r="CC249" t="s">
        <v>114</v>
      </c>
      <c r="CD249" t="s">
        <v>114</v>
      </c>
      <c r="CE249" t="s">
        <v>114</v>
      </c>
      <c r="CF249" t="s">
        <v>114</v>
      </c>
      <c r="CG249" t="s">
        <v>114</v>
      </c>
      <c r="CH249" t="s">
        <v>114</v>
      </c>
      <c r="CI249" t="s">
        <v>114</v>
      </c>
      <c r="CJ249" t="s">
        <v>114</v>
      </c>
      <c r="CK249" t="s">
        <v>114</v>
      </c>
      <c r="CL249" t="s">
        <v>114</v>
      </c>
      <c r="CM249" t="s">
        <v>114</v>
      </c>
      <c r="CN249" t="s">
        <v>114</v>
      </c>
      <c r="CO249" t="s">
        <v>114</v>
      </c>
      <c r="CP249" t="s">
        <v>114</v>
      </c>
      <c r="CQ249" t="s">
        <v>114</v>
      </c>
      <c r="CR249" t="s">
        <v>114</v>
      </c>
      <c r="CS249" t="s">
        <v>114</v>
      </c>
      <c r="CT249" t="s">
        <v>114</v>
      </c>
      <c r="CU249" t="s">
        <v>114</v>
      </c>
      <c r="CV249" t="s">
        <v>114</v>
      </c>
      <c r="CW249" t="s">
        <v>114</v>
      </c>
    </row>
    <row r="250" spans="1:101" x14ac:dyDescent="0.25">
      <c r="A250" t="s">
        <v>55</v>
      </c>
      <c r="B250">
        <v>12</v>
      </c>
      <c r="C250" t="s">
        <v>23</v>
      </c>
      <c r="D250" t="s">
        <v>94</v>
      </c>
      <c r="E250" t="s">
        <v>113</v>
      </c>
      <c r="F250" t="s">
        <v>120</v>
      </c>
      <c r="G250" t="s">
        <v>267</v>
      </c>
      <c r="H250" t="str">
        <f t="shared" si="31"/>
        <v>H.glutinosum.Solo.Open</v>
      </c>
      <c r="I250" t="s">
        <v>692</v>
      </c>
      <c r="J250" t="s">
        <v>524</v>
      </c>
      <c r="K250">
        <v>0</v>
      </c>
      <c r="L250">
        <v>110</v>
      </c>
      <c r="M250">
        <v>50</v>
      </c>
      <c r="N250">
        <v>50</v>
      </c>
      <c r="O250" t="s">
        <v>114</v>
      </c>
      <c r="P250">
        <v>8</v>
      </c>
      <c r="Q250">
        <v>20</v>
      </c>
      <c r="R250">
        <v>5</v>
      </c>
      <c r="S250">
        <f t="shared" si="33"/>
        <v>12.5</v>
      </c>
      <c r="T250">
        <f t="shared" si="34"/>
        <v>0.25</v>
      </c>
      <c r="U250" t="s">
        <v>15</v>
      </c>
      <c r="V250" t="s">
        <v>114</v>
      </c>
      <c r="W250" t="s">
        <v>114</v>
      </c>
      <c r="X250">
        <v>20.3</v>
      </c>
      <c r="Y250">
        <v>21.8</v>
      </c>
      <c r="Z250">
        <v>22.3</v>
      </c>
      <c r="AA250">
        <v>21.466666669999999</v>
      </c>
      <c r="AB250">
        <v>21.166666670000001</v>
      </c>
      <c r="AC250">
        <v>21.3</v>
      </c>
      <c r="AD250">
        <v>23.3</v>
      </c>
      <c r="AE250">
        <v>18.899999999999999</v>
      </c>
      <c r="AF250">
        <v>21.166666670000001</v>
      </c>
      <c r="AG250">
        <v>24.7</v>
      </c>
      <c r="AH250">
        <v>22.8</v>
      </c>
      <c r="AI250">
        <v>24.7</v>
      </c>
      <c r="AJ250">
        <v>24.06666667</v>
      </c>
      <c r="AK250">
        <v>21.8</v>
      </c>
      <c r="AL250">
        <v>21.3</v>
      </c>
      <c r="AM250">
        <v>28.2</v>
      </c>
      <c r="AN250">
        <v>23.766666669999999</v>
      </c>
      <c r="AO250">
        <v>23.766666669999999</v>
      </c>
      <c r="AP250">
        <v>8.5</v>
      </c>
      <c r="AQ250">
        <v>8.5</v>
      </c>
      <c r="AR250">
        <v>9.5</v>
      </c>
      <c r="AS250">
        <v>8.8333333330000006</v>
      </c>
      <c r="AT250">
        <v>8.5</v>
      </c>
      <c r="AU250">
        <v>12.5</v>
      </c>
      <c r="AV250">
        <v>10</v>
      </c>
      <c r="AW250">
        <v>10.33333333</v>
      </c>
      <c r="AX250">
        <v>10.33333333</v>
      </c>
      <c r="AY250">
        <v>-10.83333333</v>
      </c>
      <c r="AZ250">
        <v>90</v>
      </c>
      <c r="BA250">
        <v>0</v>
      </c>
      <c r="BB250">
        <v>10</v>
      </c>
      <c r="BC250">
        <v>0</v>
      </c>
      <c r="BD250">
        <v>0</v>
      </c>
      <c r="BE250">
        <v>1</v>
      </c>
      <c r="BF250">
        <v>0</v>
      </c>
      <c r="BG250">
        <v>0</v>
      </c>
      <c r="BI250">
        <v>11.3</v>
      </c>
      <c r="BJ250">
        <v>1.375</v>
      </c>
      <c r="BK250">
        <v>0</v>
      </c>
      <c r="BL250">
        <v>0</v>
      </c>
      <c r="BM250">
        <v>0</v>
      </c>
      <c r="BN250">
        <v>0</v>
      </c>
      <c r="BO250">
        <v>2.75</v>
      </c>
      <c r="BP250">
        <f t="shared" si="35"/>
        <v>-2.75</v>
      </c>
      <c r="BQ250" t="s">
        <v>114</v>
      </c>
      <c r="BR250" t="s">
        <v>114</v>
      </c>
      <c r="BS250" t="s">
        <v>114</v>
      </c>
      <c r="BT250" t="s">
        <v>114</v>
      </c>
      <c r="BU250" t="s">
        <v>114</v>
      </c>
      <c r="BV250" t="s">
        <v>114</v>
      </c>
      <c r="BW250" t="s">
        <v>114</v>
      </c>
      <c r="BX250" t="s">
        <v>114</v>
      </c>
      <c r="BY250" t="s">
        <v>114</v>
      </c>
      <c r="BZ250" t="s">
        <v>114</v>
      </c>
      <c r="CA250" t="s">
        <v>114</v>
      </c>
      <c r="CB250" t="s">
        <v>114</v>
      </c>
      <c r="CC250" t="s">
        <v>114</v>
      </c>
      <c r="CD250" t="s">
        <v>114</v>
      </c>
      <c r="CE250" t="s">
        <v>114</v>
      </c>
      <c r="CF250" t="s">
        <v>114</v>
      </c>
      <c r="CG250" t="s">
        <v>114</v>
      </c>
      <c r="CH250" t="s">
        <v>114</v>
      </c>
      <c r="CI250" t="s">
        <v>114</v>
      </c>
      <c r="CJ250" t="s">
        <v>114</v>
      </c>
      <c r="CK250" t="s">
        <v>114</v>
      </c>
      <c r="CL250" t="s">
        <v>114</v>
      </c>
      <c r="CM250" t="s">
        <v>114</v>
      </c>
      <c r="CN250" t="s">
        <v>114</v>
      </c>
      <c r="CO250" t="s">
        <v>114</v>
      </c>
      <c r="CP250" t="s">
        <v>114</v>
      </c>
      <c r="CQ250" t="s">
        <v>114</v>
      </c>
      <c r="CR250" t="s">
        <v>114</v>
      </c>
      <c r="CS250" t="s">
        <v>114</v>
      </c>
      <c r="CT250" t="s">
        <v>114</v>
      </c>
      <c r="CU250" t="s">
        <v>114</v>
      </c>
      <c r="CV250" t="s">
        <v>114</v>
      </c>
      <c r="CW250" t="s">
        <v>114</v>
      </c>
    </row>
    <row r="251" spans="1:101" x14ac:dyDescent="0.25">
      <c r="A251" t="s">
        <v>55</v>
      </c>
      <c r="B251">
        <v>12</v>
      </c>
      <c r="C251" t="s">
        <v>23</v>
      </c>
      <c r="D251" t="s">
        <v>94</v>
      </c>
      <c r="E251" t="s">
        <v>110</v>
      </c>
      <c r="F251" t="s">
        <v>120</v>
      </c>
      <c r="G251" t="s">
        <v>270</v>
      </c>
      <c r="H251" t="str">
        <f t="shared" si="31"/>
        <v>M.minima.Solo.Open</v>
      </c>
      <c r="I251" t="s">
        <v>695</v>
      </c>
      <c r="J251" t="s">
        <v>525</v>
      </c>
      <c r="K251">
        <v>0</v>
      </c>
      <c r="L251">
        <v>80</v>
      </c>
      <c r="M251">
        <v>30</v>
      </c>
      <c r="N251">
        <v>30</v>
      </c>
      <c r="O251" t="s">
        <v>114</v>
      </c>
      <c r="P251">
        <v>10</v>
      </c>
      <c r="Q251">
        <v>10</v>
      </c>
      <c r="R251">
        <v>0</v>
      </c>
      <c r="S251">
        <f t="shared" si="33"/>
        <v>5</v>
      </c>
      <c r="T251">
        <f t="shared" si="34"/>
        <v>0.16666666666666666</v>
      </c>
      <c r="U251" t="s">
        <v>23</v>
      </c>
      <c r="V251" t="s">
        <v>114</v>
      </c>
      <c r="W251" t="s">
        <v>114</v>
      </c>
      <c r="X251">
        <v>20.3</v>
      </c>
      <c r="Y251">
        <v>21.8</v>
      </c>
      <c r="Z251">
        <v>22.3</v>
      </c>
      <c r="AA251">
        <v>21.466666669999999</v>
      </c>
      <c r="AB251">
        <v>20.633333329999999</v>
      </c>
      <c r="AC251">
        <v>19.3</v>
      </c>
      <c r="AD251">
        <v>22.8</v>
      </c>
      <c r="AE251">
        <v>19.8</v>
      </c>
      <c r="AF251">
        <v>20.633333329999999</v>
      </c>
      <c r="AG251">
        <v>24.7</v>
      </c>
      <c r="AH251">
        <v>22.8</v>
      </c>
      <c r="AI251">
        <v>24.7</v>
      </c>
      <c r="AJ251">
        <v>24.06666667</v>
      </c>
      <c r="AK251">
        <v>20.3</v>
      </c>
      <c r="AL251">
        <v>20.8</v>
      </c>
      <c r="AM251">
        <v>20.8</v>
      </c>
      <c r="AN251">
        <v>20.633333329999999</v>
      </c>
      <c r="AO251">
        <v>20.633333329999999</v>
      </c>
      <c r="AP251">
        <v>8.5</v>
      </c>
      <c r="AQ251">
        <v>8.5</v>
      </c>
      <c r="AR251">
        <v>9.5</v>
      </c>
      <c r="AS251">
        <v>8.8333333330000006</v>
      </c>
      <c r="AT251">
        <v>7.1</v>
      </c>
      <c r="AU251">
        <v>9</v>
      </c>
      <c r="AV251">
        <v>7.1</v>
      </c>
      <c r="AW251">
        <v>7.733333333</v>
      </c>
      <c r="AX251">
        <v>7.733333333</v>
      </c>
      <c r="AY251">
        <v>-12.9</v>
      </c>
      <c r="AZ251">
        <v>60</v>
      </c>
      <c r="BA251">
        <v>10</v>
      </c>
      <c r="BB251">
        <v>10</v>
      </c>
      <c r="BC251">
        <v>20</v>
      </c>
      <c r="BD251">
        <v>0</v>
      </c>
      <c r="BE251">
        <v>1</v>
      </c>
      <c r="BF251">
        <v>0</v>
      </c>
      <c r="BG251">
        <v>0</v>
      </c>
      <c r="BI251">
        <v>11.3</v>
      </c>
      <c r="BJ251">
        <v>1.375</v>
      </c>
      <c r="BK251">
        <v>0</v>
      </c>
      <c r="BL251">
        <v>1</v>
      </c>
      <c r="BM251">
        <v>1</v>
      </c>
      <c r="BN251">
        <v>1</v>
      </c>
      <c r="BO251">
        <v>8</v>
      </c>
      <c r="BP251">
        <f t="shared" si="35"/>
        <v>-7</v>
      </c>
      <c r="BQ251" t="s">
        <v>114</v>
      </c>
      <c r="BR251" t="s">
        <v>114</v>
      </c>
      <c r="BS251" t="s">
        <v>114</v>
      </c>
      <c r="BT251" t="s">
        <v>114</v>
      </c>
      <c r="BU251" t="s">
        <v>114</v>
      </c>
      <c r="BV251" t="s">
        <v>114</v>
      </c>
      <c r="BW251" t="s">
        <v>114</v>
      </c>
      <c r="BX251" t="s">
        <v>114</v>
      </c>
      <c r="BY251" t="s">
        <v>114</v>
      </c>
      <c r="BZ251" t="s">
        <v>114</v>
      </c>
      <c r="CA251" t="s">
        <v>114</v>
      </c>
      <c r="CB251" t="s">
        <v>114</v>
      </c>
      <c r="CC251" t="s">
        <v>114</v>
      </c>
      <c r="CD251" t="s">
        <v>114</v>
      </c>
      <c r="CE251" t="s">
        <v>114</v>
      </c>
      <c r="CF251" t="s">
        <v>114</v>
      </c>
      <c r="CG251" t="s">
        <v>114</v>
      </c>
      <c r="CH251" t="s">
        <v>114</v>
      </c>
      <c r="CI251" t="s">
        <v>114</v>
      </c>
      <c r="CJ251" t="s">
        <v>114</v>
      </c>
      <c r="CK251" t="s">
        <v>114</v>
      </c>
      <c r="CL251" t="s">
        <v>114</v>
      </c>
      <c r="CM251" t="s">
        <v>114</v>
      </c>
      <c r="CN251" t="s">
        <v>114</v>
      </c>
      <c r="CO251" t="s">
        <v>114</v>
      </c>
      <c r="CP251" t="s">
        <v>114</v>
      </c>
      <c r="CQ251" t="s">
        <v>114</v>
      </c>
      <c r="CR251" t="s">
        <v>114</v>
      </c>
      <c r="CS251" t="s">
        <v>114</v>
      </c>
      <c r="CT251" t="s">
        <v>114</v>
      </c>
      <c r="CU251" t="s">
        <v>114</v>
      </c>
      <c r="CV251" t="s">
        <v>114</v>
      </c>
      <c r="CW251" t="s">
        <v>114</v>
      </c>
    </row>
    <row r="252" spans="1:101" x14ac:dyDescent="0.25">
      <c r="A252" t="s">
        <v>55</v>
      </c>
      <c r="B252">
        <v>12</v>
      </c>
      <c r="C252" t="s">
        <v>23</v>
      </c>
      <c r="D252" t="s">
        <v>94</v>
      </c>
      <c r="E252" t="s">
        <v>103</v>
      </c>
      <c r="F252" t="s">
        <v>120</v>
      </c>
      <c r="G252" t="s">
        <v>268</v>
      </c>
      <c r="H252" t="str">
        <f t="shared" si="31"/>
        <v>P.airoides.Solo.Open</v>
      </c>
      <c r="I252" t="s">
        <v>693</v>
      </c>
      <c r="J252" t="s">
        <v>526</v>
      </c>
      <c r="K252">
        <v>0</v>
      </c>
      <c r="L252">
        <v>50</v>
      </c>
      <c r="M252">
        <v>50</v>
      </c>
      <c r="N252">
        <v>50</v>
      </c>
      <c r="O252" t="s">
        <v>114</v>
      </c>
      <c r="P252">
        <v>25</v>
      </c>
      <c r="Q252">
        <v>25</v>
      </c>
      <c r="R252">
        <v>15</v>
      </c>
      <c r="S252">
        <f t="shared" si="33"/>
        <v>20</v>
      </c>
      <c r="T252">
        <f t="shared" si="34"/>
        <v>0.4</v>
      </c>
      <c r="U252" t="s">
        <v>15</v>
      </c>
      <c r="V252" t="s">
        <v>114</v>
      </c>
      <c r="W252" t="s">
        <v>114</v>
      </c>
      <c r="X252">
        <v>20.3</v>
      </c>
      <c r="Y252">
        <v>21.8</v>
      </c>
      <c r="Z252">
        <v>22.3</v>
      </c>
      <c r="AA252">
        <v>21.466666669999999</v>
      </c>
      <c r="AB252">
        <v>19.833333329999999</v>
      </c>
      <c r="AC252">
        <v>18.899999999999999</v>
      </c>
      <c r="AD252">
        <v>19.8</v>
      </c>
      <c r="AE252">
        <v>20.8</v>
      </c>
      <c r="AF252">
        <v>19.833333329999999</v>
      </c>
      <c r="AG252">
        <v>24.7</v>
      </c>
      <c r="AH252">
        <v>22.8</v>
      </c>
      <c r="AI252">
        <v>24.7</v>
      </c>
      <c r="AJ252">
        <v>24.06666667</v>
      </c>
      <c r="AK252">
        <v>20.3</v>
      </c>
      <c r="AL252">
        <v>21.3</v>
      </c>
      <c r="AM252">
        <v>22.3</v>
      </c>
      <c r="AN252">
        <v>21.3</v>
      </c>
      <c r="AO252">
        <v>21.3</v>
      </c>
      <c r="AP252">
        <v>8.5</v>
      </c>
      <c r="AQ252">
        <v>8.5</v>
      </c>
      <c r="AR252">
        <v>9.5</v>
      </c>
      <c r="AS252">
        <v>8.8333333330000006</v>
      </c>
      <c r="AT252">
        <v>8.5</v>
      </c>
      <c r="AU252">
        <v>8.5</v>
      </c>
      <c r="AV252">
        <v>9</v>
      </c>
      <c r="AW252">
        <v>8.6666666669999994</v>
      </c>
      <c r="AX252">
        <v>8.6666666669999994</v>
      </c>
      <c r="AY252">
        <v>-11.16666667</v>
      </c>
      <c r="AZ252">
        <v>80</v>
      </c>
      <c r="BA252">
        <v>0</v>
      </c>
      <c r="BB252">
        <v>10</v>
      </c>
      <c r="BC252">
        <v>10</v>
      </c>
      <c r="BD252">
        <v>0</v>
      </c>
      <c r="BE252">
        <v>1</v>
      </c>
      <c r="BF252">
        <v>0</v>
      </c>
      <c r="BG252">
        <v>0</v>
      </c>
      <c r="BI252">
        <v>11.3</v>
      </c>
      <c r="BJ252">
        <v>1.375</v>
      </c>
      <c r="BK252">
        <v>0</v>
      </c>
      <c r="BL252">
        <v>3</v>
      </c>
      <c r="BM252">
        <v>3</v>
      </c>
      <c r="BN252">
        <v>186</v>
      </c>
      <c r="BO252">
        <v>313.5</v>
      </c>
      <c r="BP252">
        <f t="shared" si="35"/>
        <v>-127.5</v>
      </c>
      <c r="BQ252" t="s">
        <v>114</v>
      </c>
      <c r="BR252" t="s">
        <v>114</v>
      </c>
      <c r="BS252" t="s">
        <v>114</v>
      </c>
      <c r="BT252" t="s">
        <v>114</v>
      </c>
      <c r="BU252" t="s">
        <v>114</v>
      </c>
      <c r="BV252" t="s">
        <v>114</v>
      </c>
      <c r="BW252" t="s">
        <v>114</v>
      </c>
      <c r="BX252" t="s">
        <v>114</v>
      </c>
      <c r="BY252" t="s">
        <v>114</v>
      </c>
      <c r="BZ252" t="s">
        <v>114</v>
      </c>
      <c r="CA252" t="s">
        <v>114</v>
      </c>
      <c r="CB252" t="s">
        <v>114</v>
      </c>
      <c r="CC252" t="s">
        <v>114</v>
      </c>
      <c r="CD252" t="s">
        <v>114</v>
      </c>
      <c r="CE252" t="s">
        <v>114</v>
      </c>
      <c r="CF252" t="s">
        <v>114</v>
      </c>
      <c r="CG252" t="s">
        <v>114</v>
      </c>
      <c r="CH252" t="s">
        <v>114</v>
      </c>
      <c r="CI252" t="s">
        <v>114</v>
      </c>
      <c r="CJ252" t="s">
        <v>114</v>
      </c>
      <c r="CK252" t="s">
        <v>114</v>
      </c>
      <c r="CL252" t="s">
        <v>114</v>
      </c>
      <c r="CM252" t="s">
        <v>114</v>
      </c>
      <c r="CN252" t="s">
        <v>114</v>
      </c>
      <c r="CO252" t="s">
        <v>114</v>
      </c>
      <c r="CP252" t="s">
        <v>114</v>
      </c>
      <c r="CQ252" t="s">
        <v>114</v>
      </c>
      <c r="CR252" t="s">
        <v>114</v>
      </c>
      <c r="CS252" t="s">
        <v>114</v>
      </c>
      <c r="CT252" t="s">
        <v>114</v>
      </c>
      <c r="CU252" t="s">
        <v>114</v>
      </c>
      <c r="CV252" t="s">
        <v>114</v>
      </c>
      <c r="CW252" t="s">
        <v>114</v>
      </c>
    </row>
    <row r="253" spans="1:101" x14ac:dyDescent="0.25">
      <c r="A253" t="s">
        <v>55</v>
      </c>
      <c r="B253">
        <v>12</v>
      </c>
      <c r="C253" t="s">
        <v>23</v>
      </c>
      <c r="D253" t="s">
        <v>94</v>
      </c>
      <c r="E253" t="s">
        <v>111</v>
      </c>
      <c r="F253" t="s">
        <v>120</v>
      </c>
      <c r="G253" t="s">
        <v>271</v>
      </c>
      <c r="H253" t="str">
        <f t="shared" si="31"/>
        <v>P.canescens.Solo.Open</v>
      </c>
      <c r="I253" t="s">
        <v>687</v>
      </c>
      <c r="J253" t="s">
        <v>527</v>
      </c>
      <c r="K253">
        <v>0</v>
      </c>
      <c r="L253">
        <v>290</v>
      </c>
      <c r="M253">
        <v>290</v>
      </c>
      <c r="N253">
        <v>290</v>
      </c>
      <c r="O253" t="s">
        <v>114</v>
      </c>
      <c r="P253">
        <v>55</v>
      </c>
      <c r="Q253">
        <v>55</v>
      </c>
      <c r="R253">
        <v>25</v>
      </c>
      <c r="S253">
        <f t="shared" si="33"/>
        <v>40</v>
      </c>
      <c r="T253">
        <f t="shared" si="34"/>
        <v>0.13793103448275862</v>
      </c>
      <c r="U253" t="s">
        <v>15</v>
      </c>
      <c r="V253" t="s">
        <v>114</v>
      </c>
      <c r="W253" t="s">
        <v>114</v>
      </c>
      <c r="X253">
        <v>20.3</v>
      </c>
      <c r="Y253">
        <v>21.8</v>
      </c>
      <c r="Z253">
        <v>22.3</v>
      </c>
      <c r="AA253">
        <v>21.466666669999999</v>
      </c>
      <c r="AB253">
        <v>20.3</v>
      </c>
      <c r="AC253">
        <v>19.3</v>
      </c>
      <c r="AD253">
        <v>20.8</v>
      </c>
      <c r="AE253">
        <v>20.8</v>
      </c>
      <c r="AF253">
        <v>20.3</v>
      </c>
      <c r="AG253">
        <v>24.7</v>
      </c>
      <c r="AH253">
        <v>22.8</v>
      </c>
      <c r="AI253">
        <v>24.7</v>
      </c>
      <c r="AJ253">
        <v>24.06666667</v>
      </c>
      <c r="AK253">
        <v>22.8</v>
      </c>
      <c r="AL253">
        <v>20.8</v>
      </c>
      <c r="AM253">
        <v>18.399999999999999</v>
      </c>
      <c r="AN253">
        <v>20.666666670000001</v>
      </c>
      <c r="AO253">
        <v>20.666666670000001</v>
      </c>
      <c r="AP253">
        <v>8.5</v>
      </c>
      <c r="AQ253">
        <v>8.5</v>
      </c>
      <c r="AR253">
        <v>9.5</v>
      </c>
      <c r="AS253">
        <v>8.8333333330000006</v>
      </c>
      <c r="AT253">
        <v>8.5</v>
      </c>
      <c r="AU253">
        <v>9</v>
      </c>
      <c r="AV253">
        <v>12.5</v>
      </c>
      <c r="AW253">
        <v>10</v>
      </c>
      <c r="AX253">
        <v>10</v>
      </c>
      <c r="AY253">
        <v>-10.3</v>
      </c>
      <c r="AZ253">
        <v>70</v>
      </c>
      <c r="BA253">
        <v>10</v>
      </c>
      <c r="BB253">
        <v>10</v>
      </c>
      <c r="BC253">
        <v>0</v>
      </c>
      <c r="BD253">
        <v>0</v>
      </c>
      <c r="BE253">
        <v>1</v>
      </c>
      <c r="BF253">
        <v>0</v>
      </c>
      <c r="BG253">
        <v>10</v>
      </c>
      <c r="BI253">
        <v>11.3</v>
      </c>
      <c r="BJ253">
        <v>1.375</v>
      </c>
      <c r="BK253">
        <v>0</v>
      </c>
      <c r="BL253">
        <v>13</v>
      </c>
      <c r="BM253">
        <v>10</v>
      </c>
      <c r="BN253">
        <v>844</v>
      </c>
      <c r="BO253">
        <v>422.66669999999999</v>
      </c>
      <c r="BP253">
        <f t="shared" si="35"/>
        <v>421.33330000000001</v>
      </c>
      <c r="BQ253" t="s">
        <v>114</v>
      </c>
      <c r="BR253" t="s">
        <v>114</v>
      </c>
      <c r="BS253" t="s">
        <v>114</v>
      </c>
      <c r="BT253" t="s">
        <v>114</v>
      </c>
      <c r="BU253" t="s">
        <v>114</v>
      </c>
      <c r="BV253" t="s">
        <v>114</v>
      </c>
      <c r="BW253" t="s">
        <v>114</v>
      </c>
      <c r="BX253" t="s">
        <v>114</v>
      </c>
      <c r="BY253" t="s">
        <v>114</v>
      </c>
      <c r="BZ253" t="s">
        <v>114</v>
      </c>
      <c r="CA253" t="s">
        <v>114</v>
      </c>
      <c r="CB253" t="s">
        <v>114</v>
      </c>
      <c r="CC253" t="s">
        <v>114</v>
      </c>
      <c r="CD253" t="s">
        <v>114</v>
      </c>
      <c r="CE253" t="s">
        <v>114</v>
      </c>
      <c r="CF253" t="s">
        <v>114</v>
      </c>
      <c r="CG253" t="s">
        <v>114</v>
      </c>
      <c r="CH253" t="s">
        <v>114</v>
      </c>
      <c r="CI253" t="s">
        <v>114</v>
      </c>
      <c r="CJ253" t="s">
        <v>114</v>
      </c>
      <c r="CK253" t="s">
        <v>114</v>
      </c>
      <c r="CL253" t="s">
        <v>114</v>
      </c>
      <c r="CM253" t="s">
        <v>114</v>
      </c>
      <c r="CN253" t="s">
        <v>114</v>
      </c>
      <c r="CO253" t="s">
        <v>114</v>
      </c>
      <c r="CP253" t="s">
        <v>114</v>
      </c>
      <c r="CQ253" t="s">
        <v>114</v>
      </c>
      <c r="CR253" t="s">
        <v>114</v>
      </c>
      <c r="CS253" t="s">
        <v>114</v>
      </c>
      <c r="CT253" t="s">
        <v>114</v>
      </c>
      <c r="CU253" t="s">
        <v>114</v>
      </c>
      <c r="CV253" t="s">
        <v>114</v>
      </c>
      <c r="CW253" t="s">
        <v>114</v>
      </c>
    </row>
    <row r="254" spans="1:101" x14ac:dyDescent="0.25">
      <c r="A254" t="s">
        <v>56</v>
      </c>
      <c r="B254">
        <v>12</v>
      </c>
      <c r="C254" t="s">
        <v>25</v>
      </c>
      <c r="D254" t="s">
        <v>94</v>
      </c>
      <c r="E254" t="s">
        <v>113</v>
      </c>
      <c r="F254" t="s">
        <v>120</v>
      </c>
      <c r="G254" t="s">
        <v>267</v>
      </c>
      <c r="H254" t="str">
        <f t="shared" si="31"/>
        <v>H.glutinosum.Solo.Open</v>
      </c>
      <c r="I254" t="s">
        <v>692</v>
      </c>
      <c r="J254" t="s">
        <v>528</v>
      </c>
      <c r="K254">
        <v>0</v>
      </c>
      <c r="L254">
        <v>80</v>
      </c>
      <c r="M254">
        <v>40</v>
      </c>
      <c r="N254">
        <v>40</v>
      </c>
      <c r="O254" t="s">
        <v>114</v>
      </c>
      <c r="P254">
        <v>40</v>
      </c>
      <c r="Q254">
        <v>15</v>
      </c>
      <c r="R254">
        <v>5</v>
      </c>
      <c r="S254">
        <f t="shared" si="33"/>
        <v>10</v>
      </c>
      <c r="T254">
        <f t="shared" si="34"/>
        <v>0.25</v>
      </c>
      <c r="U254" t="s">
        <v>792</v>
      </c>
      <c r="V254" t="s">
        <v>114</v>
      </c>
      <c r="W254" t="s">
        <v>114</v>
      </c>
      <c r="X254">
        <v>10.5</v>
      </c>
      <c r="Y254">
        <v>10.5</v>
      </c>
      <c r="Z254">
        <v>12.5</v>
      </c>
      <c r="AA254">
        <v>11.16666667</v>
      </c>
      <c r="AB254">
        <v>15.733333330000001</v>
      </c>
      <c r="AC254">
        <v>16.399999999999999</v>
      </c>
      <c r="AD254">
        <v>15.9</v>
      </c>
      <c r="AE254">
        <v>14.9</v>
      </c>
      <c r="AF254">
        <v>15.733333330000001</v>
      </c>
      <c r="AG254">
        <v>12</v>
      </c>
      <c r="AH254">
        <v>12.5</v>
      </c>
      <c r="AI254">
        <v>13.5</v>
      </c>
      <c r="AJ254">
        <v>12.66666667</v>
      </c>
      <c r="AK254">
        <v>11.5</v>
      </c>
      <c r="AL254">
        <v>14.4</v>
      </c>
      <c r="AM254">
        <v>14.9</v>
      </c>
      <c r="AN254">
        <v>13.6</v>
      </c>
      <c r="AO254">
        <v>13.6</v>
      </c>
      <c r="AP254">
        <v>6.6</v>
      </c>
      <c r="AQ254">
        <v>5.0999999999999996</v>
      </c>
      <c r="AR254">
        <v>8.1</v>
      </c>
      <c r="AS254">
        <v>6.6</v>
      </c>
      <c r="AT254">
        <v>8.1</v>
      </c>
      <c r="AU254">
        <v>6.1</v>
      </c>
      <c r="AV254">
        <v>8.1</v>
      </c>
      <c r="AW254">
        <v>7.4333333330000002</v>
      </c>
      <c r="AX254">
        <v>7.4333333330000002</v>
      </c>
      <c r="AY254">
        <v>-8.3000000000000007</v>
      </c>
      <c r="AZ254">
        <v>90</v>
      </c>
      <c r="BA254">
        <v>0</v>
      </c>
      <c r="BB254">
        <v>10</v>
      </c>
      <c r="BC254">
        <v>0</v>
      </c>
      <c r="BD254">
        <v>0</v>
      </c>
      <c r="BE254">
        <v>0</v>
      </c>
      <c r="BF254">
        <v>0</v>
      </c>
      <c r="BG254">
        <v>0</v>
      </c>
      <c r="BI254">
        <v>12.7</v>
      </c>
      <c r="BJ254">
        <v>11.087999999999999</v>
      </c>
      <c r="BK254">
        <v>0</v>
      </c>
      <c r="BL254">
        <v>5</v>
      </c>
      <c r="BM254">
        <v>2</v>
      </c>
      <c r="BN254">
        <v>2</v>
      </c>
      <c r="BO254">
        <v>2.75</v>
      </c>
      <c r="BP254">
        <f t="shared" si="35"/>
        <v>-0.75</v>
      </c>
      <c r="BQ254" t="s">
        <v>114</v>
      </c>
      <c r="BR254" t="s">
        <v>114</v>
      </c>
      <c r="BS254" t="s">
        <v>114</v>
      </c>
      <c r="BT254" t="s">
        <v>114</v>
      </c>
      <c r="BU254" t="s">
        <v>114</v>
      </c>
      <c r="BV254" t="s">
        <v>114</v>
      </c>
      <c r="BW254" t="s">
        <v>114</v>
      </c>
      <c r="BX254" t="s">
        <v>114</v>
      </c>
      <c r="BY254" t="s">
        <v>114</v>
      </c>
      <c r="BZ254" t="s">
        <v>114</v>
      </c>
      <c r="CA254" t="s">
        <v>114</v>
      </c>
      <c r="CB254" t="s">
        <v>114</v>
      </c>
      <c r="CC254" t="s">
        <v>114</v>
      </c>
      <c r="CD254" t="s">
        <v>114</v>
      </c>
      <c r="CE254" t="s">
        <v>114</v>
      </c>
      <c r="CF254" t="s">
        <v>114</v>
      </c>
      <c r="CG254" t="s">
        <v>114</v>
      </c>
      <c r="CH254" t="s">
        <v>114</v>
      </c>
      <c r="CI254" t="s">
        <v>114</v>
      </c>
      <c r="CJ254" t="s">
        <v>114</v>
      </c>
      <c r="CK254" t="s">
        <v>114</v>
      </c>
      <c r="CL254" t="s">
        <v>114</v>
      </c>
      <c r="CM254" t="s">
        <v>114</v>
      </c>
      <c r="CN254" t="s">
        <v>114</v>
      </c>
      <c r="CO254" t="s">
        <v>114</v>
      </c>
      <c r="CP254" t="s">
        <v>114</v>
      </c>
      <c r="CQ254" t="s">
        <v>114</v>
      </c>
      <c r="CR254" t="s">
        <v>114</v>
      </c>
      <c r="CS254" t="s">
        <v>114</v>
      </c>
      <c r="CT254" t="s">
        <v>114</v>
      </c>
      <c r="CU254" t="s">
        <v>114</v>
      </c>
      <c r="CV254" t="s">
        <v>114</v>
      </c>
      <c r="CW254" t="s">
        <v>114</v>
      </c>
    </row>
    <row r="255" spans="1:101" x14ac:dyDescent="0.25">
      <c r="A255" t="s">
        <v>56</v>
      </c>
      <c r="B255">
        <v>12</v>
      </c>
      <c r="C255" t="s">
        <v>25</v>
      </c>
      <c r="D255" t="s">
        <v>94</v>
      </c>
      <c r="E255" t="s">
        <v>111</v>
      </c>
      <c r="F255" t="s">
        <v>120</v>
      </c>
      <c r="G255" t="s">
        <v>271</v>
      </c>
      <c r="H255" t="str">
        <f t="shared" si="31"/>
        <v>P.canescens.Solo.Open</v>
      </c>
      <c r="I255" t="s">
        <v>687</v>
      </c>
      <c r="J255" t="s">
        <v>529</v>
      </c>
      <c r="K255">
        <v>0</v>
      </c>
      <c r="L255">
        <v>180</v>
      </c>
      <c r="M255">
        <v>240</v>
      </c>
      <c r="N255">
        <v>240</v>
      </c>
      <c r="O255" t="s">
        <v>114</v>
      </c>
      <c r="P255">
        <v>60</v>
      </c>
      <c r="Q255">
        <v>45</v>
      </c>
      <c r="R255">
        <v>20</v>
      </c>
      <c r="S255">
        <f t="shared" si="33"/>
        <v>32.5</v>
      </c>
      <c r="T255">
        <f t="shared" si="34"/>
        <v>0.13541666666666666</v>
      </c>
      <c r="U255" t="s">
        <v>15</v>
      </c>
      <c r="V255" t="s">
        <v>114</v>
      </c>
      <c r="W255" t="s">
        <v>114</v>
      </c>
      <c r="X255">
        <v>10.5</v>
      </c>
      <c r="Y255">
        <v>10.5</v>
      </c>
      <c r="Z255">
        <v>12.5</v>
      </c>
      <c r="AA255">
        <v>11.16666667</v>
      </c>
      <c r="AB255">
        <v>11.83333333</v>
      </c>
      <c r="AC255">
        <v>12.5</v>
      </c>
      <c r="AD255">
        <v>11.5</v>
      </c>
      <c r="AE255">
        <v>11.5</v>
      </c>
      <c r="AF255">
        <v>11.83333333</v>
      </c>
      <c r="AG255">
        <v>12</v>
      </c>
      <c r="AH255">
        <v>12.5</v>
      </c>
      <c r="AI255">
        <v>13.5</v>
      </c>
      <c r="AJ255">
        <v>12.66666667</v>
      </c>
      <c r="AK255">
        <v>11</v>
      </c>
      <c r="AL255">
        <v>13</v>
      </c>
      <c r="AM255">
        <v>13.9</v>
      </c>
      <c r="AN255">
        <v>12.633333329999999</v>
      </c>
      <c r="AO255">
        <v>12.633333329999999</v>
      </c>
      <c r="AP255">
        <v>6.6</v>
      </c>
      <c r="AQ255">
        <v>5.0999999999999996</v>
      </c>
      <c r="AR255">
        <v>8.1</v>
      </c>
      <c r="AS255">
        <v>6.6</v>
      </c>
      <c r="AT255">
        <v>5.6</v>
      </c>
      <c r="AU255">
        <v>5.6</v>
      </c>
      <c r="AV255">
        <v>6.1</v>
      </c>
      <c r="AW255">
        <v>5.766666667</v>
      </c>
      <c r="AX255">
        <v>5.766666667</v>
      </c>
      <c r="AY255">
        <v>-6.0666666669999998</v>
      </c>
      <c r="AZ255">
        <v>60</v>
      </c>
      <c r="BA255">
        <v>20</v>
      </c>
      <c r="BB255">
        <v>10</v>
      </c>
      <c r="BC255">
        <v>10</v>
      </c>
      <c r="BD255">
        <v>0</v>
      </c>
      <c r="BE255">
        <v>0</v>
      </c>
      <c r="BF255">
        <v>0</v>
      </c>
      <c r="BG255">
        <v>0</v>
      </c>
      <c r="BI255">
        <v>12.7</v>
      </c>
      <c r="BJ255">
        <v>11.087999999999999</v>
      </c>
      <c r="BK255">
        <v>0</v>
      </c>
      <c r="BL255">
        <v>15</v>
      </c>
      <c r="BM255">
        <v>9</v>
      </c>
      <c r="BN255">
        <v>0</v>
      </c>
      <c r="BO255">
        <v>422.66669999999999</v>
      </c>
      <c r="BP255">
        <f t="shared" si="35"/>
        <v>-422.66669999999999</v>
      </c>
      <c r="BQ255" t="s">
        <v>114</v>
      </c>
      <c r="BR255" t="s">
        <v>114</v>
      </c>
      <c r="BS255" t="s">
        <v>114</v>
      </c>
      <c r="BT255" t="s">
        <v>114</v>
      </c>
      <c r="BU255" t="s">
        <v>114</v>
      </c>
      <c r="BV255" t="s">
        <v>114</v>
      </c>
      <c r="BW255" t="s">
        <v>114</v>
      </c>
      <c r="BX255" t="s">
        <v>114</v>
      </c>
      <c r="BY255" t="s">
        <v>114</v>
      </c>
      <c r="BZ255" t="s">
        <v>114</v>
      </c>
      <c r="CA255" t="s">
        <v>114</v>
      </c>
      <c r="CB255" t="s">
        <v>114</v>
      </c>
      <c r="CC255" t="s">
        <v>114</v>
      </c>
      <c r="CD255" t="s">
        <v>114</v>
      </c>
      <c r="CE255" t="s">
        <v>114</v>
      </c>
      <c r="CF255" t="s">
        <v>114</v>
      </c>
      <c r="CG255" t="s">
        <v>114</v>
      </c>
      <c r="CH255" t="s">
        <v>114</v>
      </c>
      <c r="CI255" t="s">
        <v>114</v>
      </c>
      <c r="CJ255" t="s">
        <v>114</v>
      </c>
      <c r="CK255" t="s">
        <v>114</v>
      </c>
      <c r="CL255" t="s">
        <v>114</v>
      </c>
      <c r="CM255" t="s">
        <v>114</v>
      </c>
      <c r="CN255" t="s">
        <v>114</v>
      </c>
      <c r="CO255" t="s">
        <v>114</v>
      </c>
      <c r="CP255" t="s">
        <v>114</v>
      </c>
      <c r="CQ255" t="s">
        <v>114</v>
      </c>
      <c r="CR255" t="s">
        <v>114</v>
      </c>
      <c r="CS255" t="s">
        <v>114</v>
      </c>
      <c r="CT255" t="s">
        <v>114</v>
      </c>
      <c r="CU255" t="s">
        <v>114</v>
      </c>
      <c r="CV255" t="s">
        <v>114</v>
      </c>
      <c r="CW255" t="s">
        <v>114</v>
      </c>
    </row>
    <row r="256" spans="1:101" x14ac:dyDescent="0.25">
      <c r="A256" t="s">
        <v>56</v>
      </c>
      <c r="B256">
        <v>12</v>
      </c>
      <c r="C256" t="s">
        <v>25</v>
      </c>
      <c r="D256" t="s">
        <v>94</v>
      </c>
      <c r="E256" t="s">
        <v>104</v>
      </c>
      <c r="F256" t="s">
        <v>120</v>
      </c>
      <c r="G256" t="s">
        <v>272</v>
      </c>
      <c r="H256" t="str">
        <f t="shared" si="31"/>
        <v>T.cyanopetala.Solo.Open</v>
      </c>
      <c r="I256" t="s">
        <v>696</v>
      </c>
      <c r="J256" t="s">
        <v>530</v>
      </c>
      <c r="K256">
        <v>0</v>
      </c>
      <c r="L256">
        <v>25</v>
      </c>
      <c r="M256">
        <v>55</v>
      </c>
      <c r="N256">
        <v>55</v>
      </c>
      <c r="O256" t="s">
        <v>114</v>
      </c>
      <c r="P256">
        <v>40</v>
      </c>
      <c r="Q256">
        <v>30</v>
      </c>
      <c r="R256">
        <v>25</v>
      </c>
      <c r="S256">
        <f t="shared" si="33"/>
        <v>27.5</v>
      </c>
      <c r="T256">
        <f t="shared" si="34"/>
        <v>0.5</v>
      </c>
      <c r="U256" t="s">
        <v>15</v>
      </c>
      <c r="V256" t="s">
        <v>114</v>
      </c>
      <c r="W256" t="s">
        <v>114</v>
      </c>
      <c r="X256">
        <v>10.5</v>
      </c>
      <c r="Y256">
        <v>10.5</v>
      </c>
      <c r="Z256">
        <v>12.5</v>
      </c>
      <c r="AA256">
        <v>11.16666667</v>
      </c>
      <c r="AB256">
        <v>12</v>
      </c>
      <c r="AC256">
        <v>12</v>
      </c>
      <c r="AD256">
        <v>11.5</v>
      </c>
      <c r="AE256">
        <v>12.5</v>
      </c>
      <c r="AF256">
        <v>12</v>
      </c>
      <c r="AG256">
        <v>12</v>
      </c>
      <c r="AH256">
        <v>12.5</v>
      </c>
      <c r="AI256">
        <v>13.5</v>
      </c>
      <c r="AJ256">
        <v>12.66666667</v>
      </c>
      <c r="AK256">
        <v>15.4</v>
      </c>
      <c r="AL256">
        <v>14</v>
      </c>
      <c r="AM256">
        <v>14.4</v>
      </c>
      <c r="AN256">
        <v>14.6</v>
      </c>
      <c r="AO256">
        <v>14.6</v>
      </c>
      <c r="AP256">
        <v>6.6</v>
      </c>
      <c r="AQ256">
        <v>5.0999999999999996</v>
      </c>
      <c r="AR256">
        <v>8.1</v>
      </c>
      <c r="AS256">
        <v>6.6</v>
      </c>
      <c r="AT256">
        <v>5.6</v>
      </c>
      <c r="AU256">
        <v>6.1</v>
      </c>
      <c r="AV256">
        <v>6.6</v>
      </c>
      <c r="AW256">
        <v>6.1</v>
      </c>
      <c r="AX256">
        <v>6.1</v>
      </c>
      <c r="AY256">
        <v>-5.9</v>
      </c>
      <c r="AZ256">
        <v>70</v>
      </c>
      <c r="BA256">
        <v>0</v>
      </c>
      <c r="BB256">
        <v>20</v>
      </c>
      <c r="BC256">
        <v>10</v>
      </c>
      <c r="BD256">
        <v>0</v>
      </c>
      <c r="BE256">
        <v>0</v>
      </c>
      <c r="BF256">
        <v>0</v>
      </c>
      <c r="BG256">
        <v>0</v>
      </c>
      <c r="BI256">
        <v>12.7</v>
      </c>
      <c r="BJ256">
        <v>11.087999999999999</v>
      </c>
      <c r="BK256">
        <v>0</v>
      </c>
      <c r="BL256">
        <v>7</v>
      </c>
      <c r="BM256">
        <v>7</v>
      </c>
      <c r="BN256">
        <v>43</v>
      </c>
      <c r="BO256">
        <v>32.5</v>
      </c>
      <c r="BP256">
        <f t="shared" si="35"/>
        <v>10.5</v>
      </c>
      <c r="BQ256" t="s">
        <v>114</v>
      </c>
      <c r="BR256" t="s">
        <v>114</v>
      </c>
      <c r="BS256" t="s">
        <v>114</v>
      </c>
      <c r="BT256" t="s">
        <v>114</v>
      </c>
      <c r="BU256" t="s">
        <v>114</v>
      </c>
      <c r="BV256" t="s">
        <v>114</v>
      </c>
      <c r="BW256" t="s">
        <v>114</v>
      </c>
      <c r="BX256" t="s">
        <v>114</v>
      </c>
      <c r="BY256" t="s">
        <v>114</v>
      </c>
      <c r="BZ256" t="s">
        <v>114</v>
      </c>
      <c r="CA256" t="s">
        <v>114</v>
      </c>
      <c r="CB256" t="s">
        <v>114</v>
      </c>
      <c r="CC256" t="s">
        <v>114</v>
      </c>
      <c r="CD256" t="s">
        <v>114</v>
      </c>
      <c r="CE256" t="s">
        <v>114</v>
      </c>
      <c r="CF256" t="s">
        <v>114</v>
      </c>
      <c r="CG256" t="s">
        <v>114</v>
      </c>
      <c r="CH256" t="s">
        <v>114</v>
      </c>
      <c r="CI256" t="s">
        <v>114</v>
      </c>
      <c r="CJ256" t="s">
        <v>114</v>
      </c>
      <c r="CK256" t="s">
        <v>114</v>
      </c>
      <c r="CL256" t="s">
        <v>114</v>
      </c>
      <c r="CM256" t="s">
        <v>114</v>
      </c>
      <c r="CN256" t="s">
        <v>114</v>
      </c>
      <c r="CO256" t="s">
        <v>114</v>
      </c>
      <c r="CP256" t="s">
        <v>114</v>
      </c>
      <c r="CQ256" t="s">
        <v>114</v>
      </c>
      <c r="CR256" t="s">
        <v>114</v>
      </c>
      <c r="CS256" t="s">
        <v>114</v>
      </c>
      <c r="CT256" t="s">
        <v>114</v>
      </c>
      <c r="CU256" t="s">
        <v>114</v>
      </c>
      <c r="CV256" t="s">
        <v>114</v>
      </c>
      <c r="CW256" t="s">
        <v>114</v>
      </c>
    </row>
    <row r="257" spans="1:101" x14ac:dyDescent="0.25">
      <c r="A257" t="s">
        <v>56</v>
      </c>
      <c r="B257">
        <v>12</v>
      </c>
      <c r="C257" t="s">
        <v>25</v>
      </c>
      <c r="D257" t="s">
        <v>94</v>
      </c>
      <c r="E257" t="s">
        <v>112</v>
      </c>
      <c r="F257" t="s">
        <v>120</v>
      </c>
      <c r="G257" t="s">
        <v>269</v>
      </c>
      <c r="H257" t="str">
        <f t="shared" si="31"/>
        <v>V.rosea.Solo.Open</v>
      </c>
      <c r="I257" t="s">
        <v>688</v>
      </c>
      <c r="J257" t="s">
        <v>531</v>
      </c>
      <c r="K257">
        <v>0</v>
      </c>
      <c r="L257">
        <v>35</v>
      </c>
      <c r="M257">
        <v>60</v>
      </c>
      <c r="N257">
        <v>60</v>
      </c>
      <c r="O257" t="s">
        <v>114</v>
      </c>
      <c r="P257">
        <v>40</v>
      </c>
      <c r="Q257">
        <v>165</v>
      </c>
      <c r="R257">
        <v>30</v>
      </c>
      <c r="S257">
        <f t="shared" si="33"/>
        <v>97.5</v>
      </c>
      <c r="T257">
        <f t="shared" si="34"/>
        <v>1.625</v>
      </c>
      <c r="U257" t="s">
        <v>792</v>
      </c>
      <c r="V257" t="s">
        <v>114</v>
      </c>
      <c r="W257" t="s">
        <v>114</v>
      </c>
      <c r="X257">
        <v>10.5</v>
      </c>
      <c r="Y257">
        <v>10.5</v>
      </c>
      <c r="Z257">
        <v>12.5</v>
      </c>
      <c r="AA257">
        <v>11.16666667</v>
      </c>
      <c r="AB257">
        <v>13.3</v>
      </c>
      <c r="AC257">
        <v>14.4</v>
      </c>
      <c r="AD257">
        <v>12.5</v>
      </c>
      <c r="AE257">
        <v>13</v>
      </c>
      <c r="AF257">
        <v>13.3</v>
      </c>
      <c r="AG257">
        <v>12</v>
      </c>
      <c r="AH257">
        <v>12.5</v>
      </c>
      <c r="AI257">
        <v>13.5</v>
      </c>
      <c r="AJ257">
        <v>12.66666667</v>
      </c>
      <c r="AK257">
        <v>12</v>
      </c>
      <c r="AL257">
        <v>13.9</v>
      </c>
      <c r="AM257">
        <v>13</v>
      </c>
      <c r="AN257">
        <v>12.96666667</v>
      </c>
      <c r="AO257">
        <v>12.96666667</v>
      </c>
      <c r="AP257">
        <v>6.6</v>
      </c>
      <c r="AQ257">
        <v>5.0999999999999996</v>
      </c>
      <c r="AR257">
        <v>8.1</v>
      </c>
      <c r="AS257">
        <v>6.6</v>
      </c>
      <c r="AT257">
        <v>5.0999999999999996</v>
      </c>
      <c r="AU257">
        <v>5.6</v>
      </c>
      <c r="AV257">
        <v>6.6</v>
      </c>
      <c r="AW257">
        <v>5.766666667</v>
      </c>
      <c r="AX257">
        <v>5.766666667</v>
      </c>
      <c r="AY257">
        <v>-7.5333333329999999</v>
      </c>
      <c r="AZ257">
        <v>75</v>
      </c>
      <c r="BA257">
        <v>0</v>
      </c>
      <c r="BB257">
        <v>25</v>
      </c>
      <c r="BC257">
        <v>0</v>
      </c>
      <c r="BD257">
        <v>0</v>
      </c>
      <c r="BE257">
        <v>0</v>
      </c>
      <c r="BF257">
        <v>0</v>
      </c>
      <c r="BG257">
        <v>0</v>
      </c>
      <c r="BI257">
        <v>12.7</v>
      </c>
      <c r="BJ257">
        <v>11.087999999999999</v>
      </c>
      <c r="BK257">
        <v>0</v>
      </c>
      <c r="BL257">
        <v>63</v>
      </c>
      <c r="BM257">
        <v>62</v>
      </c>
      <c r="BN257">
        <v>248</v>
      </c>
      <c r="BO257">
        <v>184.8</v>
      </c>
      <c r="BP257">
        <f t="shared" si="35"/>
        <v>63.199999999999989</v>
      </c>
      <c r="BQ257" t="s">
        <v>114</v>
      </c>
      <c r="BR257" t="s">
        <v>114</v>
      </c>
      <c r="BS257" t="s">
        <v>114</v>
      </c>
      <c r="BT257" t="s">
        <v>114</v>
      </c>
      <c r="BU257" t="s">
        <v>114</v>
      </c>
      <c r="BV257" t="s">
        <v>114</v>
      </c>
      <c r="BW257" t="s">
        <v>114</v>
      </c>
      <c r="BX257" t="s">
        <v>114</v>
      </c>
      <c r="BY257" t="s">
        <v>114</v>
      </c>
      <c r="BZ257" t="s">
        <v>114</v>
      </c>
      <c r="CA257" t="s">
        <v>114</v>
      </c>
      <c r="CB257" t="s">
        <v>114</v>
      </c>
      <c r="CC257" t="s">
        <v>114</v>
      </c>
      <c r="CD257" t="s">
        <v>114</v>
      </c>
      <c r="CE257" t="s">
        <v>114</v>
      </c>
      <c r="CF257" t="s">
        <v>114</v>
      </c>
      <c r="CG257" t="s">
        <v>114</v>
      </c>
      <c r="CH257" t="s">
        <v>114</v>
      </c>
      <c r="CI257" t="s">
        <v>114</v>
      </c>
      <c r="CJ257" t="s">
        <v>114</v>
      </c>
      <c r="CK257" t="s">
        <v>114</v>
      </c>
      <c r="CL257" t="s">
        <v>114</v>
      </c>
      <c r="CM257" t="s">
        <v>114</v>
      </c>
      <c r="CN257" t="s">
        <v>114</v>
      </c>
      <c r="CO257" t="s">
        <v>114</v>
      </c>
      <c r="CP257" t="s">
        <v>114</v>
      </c>
      <c r="CQ257" t="s">
        <v>114</v>
      </c>
      <c r="CR257" t="s">
        <v>114</v>
      </c>
      <c r="CS257" t="s">
        <v>114</v>
      </c>
      <c r="CT257" t="s">
        <v>114</v>
      </c>
      <c r="CU257" t="s">
        <v>114</v>
      </c>
      <c r="CV257" t="s">
        <v>114</v>
      </c>
      <c r="CW257" t="s">
        <v>114</v>
      </c>
    </row>
    <row r="258" spans="1:101" x14ac:dyDescent="0.25">
      <c r="A258" t="s">
        <v>57</v>
      </c>
      <c r="B258">
        <v>12</v>
      </c>
      <c r="C258" t="s">
        <v>27</v>
      </c>
      <c r="D258" t="s">
        <v>94</v>
      </c>
      <c r="E258" t="s">
        <v>105</v>
      </c>
      <c r="F258" t="s">
        <v>120</v>
      </c>
      <c r="G258" t="s">
        <v>274</v>
      </c>
      <c r="H258" t="str">
        <f t="shared" ref="H258:H321" si="36">G258&amp;"."&amp;D258</f>
        <v>H.glabra.Solo.Open</v>
      </c>
      <c r="I258" t="s">
        <v>686</v>
      </c>
      <c r="J258" t="s">
        <v>532</v>
      </c>
      <c r="K258">
        <v>0</v>
      </c>
      <c r="L258">
        <v>40</v>
      </c>
      <c r="M258">
        <v>30</v>
      </c>
      <c r="N258">
        <v>30</v>
      </c>
      <c r="O258" t="s">
        <v>114</v>
      </c>
      <c r="P258">
        <v>105</v>
      </c>
      <c r="Q258">
        <v>105</v>
      </c>
      <c r="R258">
        <v>100</v>
      </c>
      <c r="S258">
        <f t="shared" si="33"/>
        <v>102.5</v>
      </c>
      <c r="T258">
        <f t="shared" si="34"/>
        <v>3.4166666666666665</v>
      </c>
      <c r="V258" t="s">
        <v>114</v>
      </c>
      <c r="W258" t="s">
        <v>114</v>
      </c>
      <c r="X258">
        <v>13</v>
      </c>
      <c r="Y258">
        <v>10</v>
      </c>
      <c r="Z258">
        <v>12</v>
      </c>
      <c r="AA258">
        <v>11.66666667</v>
      </c>
      <c r="AB258">
        <v>10.83333333</v>
      </c>
      <c r="AC258">
        <v>11</v>
      </c>
      <c r="AD258">
        <v>11</v>
      </c>
      <c r="AE258">
        <v>10.5</v>
      </c>
      <c r="AF258">
        <v>10.83333333</v>
      </c>
      <c r="AG258">
        <v>13.5</v>
      </c>
      <c r="AH258">
        <v>12</v>
      </c>
      <c r="AI258">
        <v>13.9</v>
      </c>
      <c r="AJ258">
        <v>13.133333329999999</v>
      </c>
      <c r="AK258">
        <v>9.5</v>
      </c>
      <c r="AL258">
        <v>12</v>
      </c>
      <c r="AM258">
        <v>10.5</v>
      </c>
      <c r="AN258">
        <v>10.66666667</v>
      </c>
      <c r="AO258">
        <v>10.66666667</v>
      </c>
      <c r="AP258">
        <v>4.0999999999999996</v>
      </c>
      <c r="AQ258">
        <v>5.6</v>
      </c>
      <c r="AR258">
        <v>5.6</v>
      </c>
      <c r="AS258">
        <v>5.0999999999999996</v>
      </c>
      <c r="AT258">
        <v>4.5999999999999996</v>
      </c>
      <c r="AU258">
        <v>4.5999999999999996</v>
      </c>
      <c r="AV258">
        <v>5.6</v>
      </c>
      <c r="AW258">
        <v>4.9333333330000002</v>
      </c>
      <c r="AX258">
        <v>4.9333333330000002</v>
      </c>
      <c r="AY258">
        <v>-5.9</v>
      </c>
      <c r="AZ258">
        <v>0</v>
      </c>
      <c r="BA258">
        <v>0</v>
      </c>
      <c r="BB258">
        <v>0</v>
      </c>
      <c r="BC258">
        <v>100</v>
      </c>
      <c r="BD258">
        <v>0</v>
      </c>
      <c r="BE258">
        <v>0</v>
      </c>
      <c r="BF258">
        <v>0</v>
      </c>
      <c r="BG258">
        <v>0</v>
      </c>
      <c r="BI258">
        <v>20.9</v>
      </c>
      <c r="BJ258">
        <v>21.853999999999999</v>
      </c>
      <c r="BK258">
        <v>0</v>
      </c>
      <c r="BL258">
        <v>11</v>
      </c>
      <c r="BM258">
        <v>9</v>
      </c>
      <c r="BN258">
        <v>506</v>
      </c>
      <c r="BO258">
        <v>308.33330000000001</v>
      </c>
      <c r="BP258">
        <f t="shared" si="35"/>
        <v>197.66669999999999</v>
      </c>
      <c r="BQ258" t="s">
        <v>114</v>
      </c>
      <c r="BR258" t="s">
        <v>114</v>
      </c>
      <c r="BS258" t="s">
        <v>114</v>
      </c>
      <c r="BT258" t="s">
        <v>114</v>
      </c>
      <c r="BU258" t="s">
        <v>114</v>
      </c>
      <c r="BV258" t="s">
        <v>114</v>
      </c>
      <c r="BW258" t="s">
        <v>114</v>
      </c>
      <c r="BX258" t="s">
        <v>114</v>
      </c>
      <c r="BY258" t="s">
        <v>114</v>
      </c>
      <c r="BZ258" t="s">
        <v>114</v>
      </c>
      <c r="CA258" t="s">
        <v>114</v>
      </c>
      <c r="CB258" t="s">
        <v>114</v>
      </c>
      <c r="CC258" t="s">
        <v>114</v>
      </c>
      <c r="CD258" t="s">
        <v>114</v>
      </c>
      <c r="CE258" t="s">
        <v>114</v>
      </c>
      <c r="CF258" t="s">
        <v>114</v>
      </c>
      <c r="CG258" t="s">
        <v>114</v>
      </c>
      <c r="CH258" t="s">
        <v>114</v>
      </c>
      <c r="CI258" t="s">
        <v>114</v>
      </c>
      <c r="CJ258" t="s">
        <v>114</v>
      </c>
      <c r="CK258" t="s">
        <v>114</v>
      </c>
      <c r="CL258" t="s">
        <v>114</v>
      </c>
      <c r="CM258" t="s">
        <v>114</v>
      </c>
      <c r="CN258" t="s">
        <v>114</v>
      </c>
      <c r="CO258" t="s">
        <v>114</v>
      </c>
      <c r="CP258" t="s">
        <v>114</v>
      </c>
      <c r="CQ258" t="s">
        <v>114</v>
      </c>
      <c r="CR258" t="s">
        <v>114</v>
      </c>
      <c r="CS258" t="s">
        <v>114</v>
      </c>
      <c r="CT258" t="s">
        <v>114</v>
      </c>
      <c r="CU258" t="s">
        <v>114</v>
      </c>
      <c r="CV258" t="s">
        <v>114</v>
      </c>
      <c r="CW258" t="s">
        <v>114</v>
      </c>
    </row>
    <row r="259" spans="1:101" x14ac:dyDescent="0.25">
      <c r="A259" t="s">
        <v>57</v>
      </c>
      <c r="B259">
        <v>12</v>
      </c>
      <c r="C259" t="s">
        <v>27</v>
      </c>
      <c r="D259" t="s">
        <v>94</v>
      </c>
      <c r="E259" t="s">
        <v>113</v>
      </c>
      <c r="F259" t="s">
        <v>120</v>
      </c>
      <c r="G259" t="s">
        <v>267</v>
      </c>
      <c r="H259" t="str">
        <f t="shared" si="36"/>
        <v>H.glutinosum.Solo.Open</v>
      </c>
      <c r="I259" t="s">
        <v>692</v>
      </c>
      <c r="J259" t="s">
        <v>533</v>
      </c>
      <c r="K259">
        <v>0</v>
      </c>
      <c r="L259">
        <v>40</v>
      </c>
      <c r="M259">
        <v>65</v>
      </c>
      <c r="N259">
        <v>65</v>
      </c>
      <c r="O259" t="s">
        <v>114</v>
      </c>
      <c r="P259">
        <v>5</v>
      </c>
      <c r="Q259">
        <v>5</v>
      </c>
      <c r="R259">
        <v>5</v>
      </c>
      <c r="S259">
        <f t="shared" ref="S259:S322" si="37">AVERAGE(Q259:R259)</f>
        <v>5</v>
      </c>
      <c r="T259">
        <f t="shared" ref="T259:T322" si="38">S259/N259</f>
        <v>7.6923076923076927E-2</v>
      </c>
      <c r="U259" t="s">
        <v>15</v>
      </c>
      <c r="V259" t="s">
        <v>114</v>
      </c>
      <c r="W259" t="s">
        <v>114</v>
      </c>
      <c r="X259" t="s">
        <v>114</v>
      </c>
      <c r="Y259" t="s">
        <v>114</v>
      </c>
      <c r="Z259" t="s">
        <v>114</v>
      </c>
      <c r="AA259" t="s">
        <v>114</v>
      </c>
      <c r="AB259" t="s">
        <v>114</v>
      </c>
      <c r="AC259" t="s">
        <v>114</v>
      </c>
      <c r="AD259" t="s">
        <v>114</v>
      </c>
      <c r="AE259" t="s">
        <v>114</v>
      </c>
      <c r="AF259" t="s">
        <v>114</v>
      </c>
      <c r="AG259">
        <v>13.5</v>
      </c>
      <c r="AH259">
        <v>12</v>
      </c>
      <c r="AI259">
        <v>13.9</v>
      </c>
      <c r="AJ259">
        <v>13.133333329999999</v>
      </c>
      <c r="AK259">
        <v>11</v>
      </c>
      <c r="AL259">
        <v>8.5</v>
      </c>
      <c r="AM259">
        <v>13.5</v>
      </c>
      <c r="AN259">
        <v>11</v>
      </c>
      <c r="AO259">
        <v>11</v>
      </c>
      <c r="AP259">
        <v>4.0999999999999996</v>
      </c>
      <c r="AQ259">
        <v>5.6</v>
      </c>
      <c r="AR259">
        <v>5.6</v>
      </c>
      <c r="AS259">
        <v>5.0999999999999996</v>
      </c>
      <c r="AT259">
        <v>5.6</v>
      </c>
      <c r="AU259">
        <v>6.1</v>
      </c>
      <c r="AV259">
        <v>7.1</v>
      </c>
      <c r="AW259">
        <v>6.266666667</v>
      </c>
      <c r="AX259">
        <v>6.266666667</v>
      </c>
      <c r="AY259" t="s">
        <v>114</v>
      </c>
      <c r="AZ259">
        <v>80</v>
      </c>
      <c r="BA259">
        <v>0</v>
      </c>
      <c r="BB259">
        <v>20</v>
      </c>
      <c r="BC259">
        <v>0</v>
      </c>
      <c r="BD259">
        <v>0</v>
      </c>
      <c r="BE259">
        <v>0</v>
      </c>
      <c r="BF259">
        <v>0</v>
      </c>
      <c r="BG259">
        <v>0</v>
      </c>
      <c r="BI259">
        <v>20.9</v>
      </c>
      <c r="BJ259">
        <v>21.853999999999999</v>
      </c>
      <c r="BK259">
        <v>0</v>
      </c>
      <c r="BL259">
        <v>1</v>
      </c>
      <c r="BM259">
        <v>1</v>
      </c>
      <c r="BN259">
        <v>9</v>
      </c>
      <c r="BO259">
        <v>2.75</v>
      </c>
      <c r="BP259">
        <f t="shared" si="35"/>
        <v>6.25</v>
      </c>
      <c r="BQ259" t="s">
        <v>114</v>
      </c>
      <c r="BR259" t="s">
        <v>114</v>
      </c>
      <c r="BS259" t="s">
        <v>114</v>
      </c>
      <c r="BT259" t="s">
        <v>114</v>
      </c>
      <c r="BU259" t="s">
        <v>114</v>
      </c>
      <c r="BV259" t="s">
        <v>114</v>
      </c>
      <c r="BW259" t="s">
        <v>114</v>
      </c>
      <c r="BX259" t="s">
        <v>114</v>
      </c>
      <c r="BY259" t="s">
        <v>114</v>
      </c>
      <c r="BZ259" t="s">
        <v>114</v>
      </c>
      <c r="CA259" t="s">
        <v>114</v>
      </c>
      <c r="CB259" t="s">
        <v>114</v>
      </c>
      <c r="CC259" t="s">
        <v>114</v>
      </c>
      <c r="CD259" t="s">
        <v>114</v>
      </c>
      <c r="CE259" t="s">
        <v>114</v>
      </c>
      <c r="CF259" t="s">
        <v>114</v>
      </c>
      <c r="CG259" t="s">
        <v>114</v>
      </c>
      <c r="CH259" t="s">
        <v>114</v>
      </c>
      <c r="CI259" t="s">
        <v>114</v>
      </c>
      <c r="CJ259" t="s">
        <v>114</v>
      </c>
      <c r="CK259" t="s">
        <v>114</v>
      </c>
      <c r="CL259" t="s">
        <v>114</v>
      </c>
      <c r="CM259" t="s">
        <v>114</v>
      </c>
      <c r="CN259" t="s">
        <v>114</v>
      </c>
      <c r="CO259" t="s">
        <v>114</v>
      </c>
      <c r="CP259" t="s">
        <v>114</v>
      </c>
      <c r="CQ259" t="s">
        <v>114</v>
      </c>
      <c r="CR259" t="s">
        <v>114</v>
      </c>
      <c r="CS259" t="s">
        <v>114</v>
      </c>
      <c r="CT259" t="s">
        <v>114</v>
      </c>
      <c r="CU259" t="s">
        <v>114</v>
      </c>
      <c r="CV259" t="s">
        <v>114</v>
      </c>
      <c r="CW259" t="s">
        <v>114</v>
      </c>
    </row>
    <row r="260" spans="1:101" x14ac:dyDescent="0.25">
      <c r="A260" t="s">
        <v>57</v>
      </c>
      <c r="B260">
        <v>12</v>
      </c>
      <c r="C260" t="s">
        <v>27</v>
      </c>
      <c r="D260" t="s">
        <v>94</v>
      </c>
      <c r="E260" t="s">
        <v>112</v>
      </c>
      <c r="F260" t="s">
        <v>120</v>
      </c>
      <c r="G260" t="s">
        <v>269</v>
      </c>
      <c r="H260" t="str">
        <f t="shared" si="36"/>
        <v>V.rosea.Solo.Open</v>
      </c>
      <c r="I260" t="s">
        <v>688</v>
      </c>
      <c r="J260" t="s">
        <v>534</v>
      </c>
      <c r="K260">
        <v>0</v>
      </c>
      <c r="L260">
        <v>35</v>
      </c>
      <c r="M260">
        <v>100</v>
      </c>
      <c r="N260">
        <v>100</v>
      </c>
      <c r="O260" t="s">
        <v>114</v>
      </c>
      <c r="P260">
        <v>60</v>
      </c>
      <c r="Q260">
        <v>150</v>
      </c>
      <c r="R260">
        <v>140</v>
      </c>
      <c r="S260">
        <f t="shared" si="37"/>
        <v>145</v>
      </c>
      <c r="T260">
        <f t="shared" si="38"/>
        <v>1.45</v>
      </c>
      <c r="U260" t="s">
        <v>792</v>
      </c>
      <c r="V260" t="s">
        <v>114</v>
      </c>
      <c r="W260" t="s">
        <v>114</v>
      </c>
      <c r="X260">
        <v>13</v>
      </c>
      <c r="Y260">
        <v>10</v>
      </c>
      <c r="Z260">
        <v>12</v>
      </c>
      <c r="AA260">
        <v>11.66666667</v>
      </c>
      <c r="AB260">
        <v>10.33333333</v>
      </c>
      <c r="AC260">
        <v>11</v>
      </c>
      <c r="AD260">
        <v>11.5</v>
      </c>
      <c r="AE260">
        <v>8.5</v>
      </c>
      <c r="AF260">
        <v>10.33333333</v>
      </c>
      <c r="AG260">
        <v>13.5</v>
      </c>
      <c r="AH260">
        <v>12</v>
      </c>
      <c r="AI260">
        <v>13.9</v>
      </c>
      <c r="AJ260">
        <v>13.133333329999999</v>
      </c>
      <c r="AK260">
        <v>13</v>
      </c>
      <c r="AL260">
        <v>11</v>
      </c>
      <c r="AM260">
        <v>12</v>
      </c>
      <c r="AN260">
        <v>12</v>
      </c>
      <c r="AO260">
        <v>12</v>
      </c>
      <c r="AP260">
        <v>4.0999999999999996</v>
      </c>
      <c r="AQ260">
        <v>5.6</v>
      </c>
      <c r="AR260">
        <v>5.6</v>
      </c>
      <c r="AS260">
        <v>5.0999999999999996</v>
      </c>
      <c r="AT260">
        <v>6.1</v>
      </c>
      <c r="AU260">
        <v>6.6</v>
      </c>
      <c r="AV260">
        <v>5.6</v>
      </c>
      <c r="AW260">
        <v>6.1</v>
      </c>
      <c r="AX260">
        <v>6.1</v>
      </c>
      <c r="AY260">
        <v>-4.233333333</v>
      </c>
      <c r="AZ260">
        <v>70</v>
      </c>
      <c r="BA260">
        <v>0</v>
      </c>
      <c r="BB260">
        <v>0</v>
      </c>
      <c r="BC260">
        <v>30</v>
      </c>
      <c r="BD260">
        <v>0</v>
      </c>
      <c r="BE260">
        <v>0</v>
      </c>
      <c r="BF260">
        <v>0</v>
      </c>
      <c r="BG260">
        <v>0</v>
      </c>
      <c r="BI260">
        <v>20.9</v>
      </c>
      <c r="BJ260">
        <v>21.853999999999999</v>
      </c>
      <c r="BK260">
        <v>0</v>
      </c>
      <c r="BL260">
        <v>38</v>
      </c>
      <c r="BM260">
        <v>21</v>
      </c>
      <c r="BN260">
        <v>74</v>
      </c>
      <c r="BO260">
        <v>184.8</v>
      </c>
      <c r="BP260">
        <f t="shared" si="35"/>
        <v>-110.80000000000001</v>
      </c>
      <c r="BQ260" t="s">
        <v>114</v>
      </c>
      <c r="BR260" t="s">
        <v>114</v>
      </c>
      <c r="BS260" t="s">
        <v>114</v>
      </c>
      <c r="BT260" t="s">
        <v>114</v>
      </c>
      <c r="BU260" t="s">
        <v>114</v>
      </c>
      <c r="BV260" t="s">
        <v>114</v>
      </c>
      <c r="BW260" t="s">
        <v>114</v>
      </c>
      <c r="BX260" t="s">
        <v>114</v>
      </c>
      <c r="BY260" t="s">
        <v>114</v>
      </c>
      <c r="BZ260" t="s">
        <v>114</v>
      </c>
      <c r="CA260" t="s">
        <v>114</v>
      </c>
      <c r="CB260" t="s">
        <v>114</v>
      </c>
      <c r="CC260" t="s">
        <v>114</v>
      </c>
      <c r="CD260" t="s">
        <v>114</v>
      </c>
      <c r="CE260" t="s">
        <v>114</v>
      </c>
      <c r="CF260" t="s">
        <v>114</v>
      </c>
      <c r="CG260" t="s">
        <v>114</v>
      </c>
      <c r="CH260" t="s">
        <v>114</v>
      </c>
      <c r="CI260" t="s">
        <v>114</v>
      </c>
      <c r="CJ260" t="s">
        <v>114</v>
      </c>
      <c r="CK260" t="s">
        <v>114</v>
      </c>
      <c r="CL260" t="s">
        <v>114</v>
      </c>
      <c r="CM260" t="s">
        <v>114</v>
      </c>
      <c r="CN260" t="s">
        <v>114</v>
      </c>
      <c r="CO260" t="s">
        <v>114</v>
      </c>
      <c r="CP260" t="s">
        <v>114</v>
      </c>
      <c r="CQ260" t="s">
        <v>114</v>
      </c>
      <c r="CR260" t="s">
        <v>114</v>
      </c>
      <c r="CS260" t="s">
        <v>114</v>
      </c>
      <c r="CT260" t="s">
        <v>114</v>
      </c>
      <c r="CU260" t="s">
        <v>114</v>
      </c>
      <c r="CV260" t="s">
        <v>114</v>
      </c>
      <c r="CW260" t="s">
        <v>114</v>
      </c>
    </row>
    <row r="261" spans="1:101" x14ac:dyDescent="0.25">
      <c r="A261" t="s">
        <v>58</v>
      </c>
      <c r="B261">
        <v>12</v>
      </c>
      <c r="C261" t="s">
        <v>29</v>
      </c>
      <c r="D261" t="s">
        <v>95</v>
      </c>
      <c r="E261" t="s">
        <v>102</v>
      </c>
      <c r="F261" t="s">
        <v>120</v>
      </c>
      <c r="G261" t="s">
        <v>273</v>
      </c>
      <c r="H261" t="str">
        <f t="shared" si="36"/>
        <v>A.calendula.Solo.Shade</v>
      </c>
      <c r="I261" t="s">
        <v>689</v>
      </c>
      <c r="J261" t="s">
        <v>535</v>
      </c>
      <c r="K261">
        <v>0</v>
      </c>
      <c r="L261">
        <v>200</v>
      </c>
      <c r="M261">
        <v>85</v>
      </c>
      <c r="N261">
        <v>85</v>
      </c>
      <c r="O261" t="s">
        <v>114</v>
      </c>
      <c r="P261">
        <v>110</v>
      </c>
      <c r="Q261">
        <v>110</v>
      </c>
      <c r="R261">
        <v>30</v>
      </c>
      <c r="S261">
        <f t="shared" si="37"/>
        <v>70</v>
      </c>
      <c r="T261">
        <f t="shared" si="38"/>
        <v>0.82352941176470584</v>
      </c>
      <c r="U261" t="s">
        <v>15</v>
      </c>
      <c r="V261" t="s">
        <v>114</v>
      </c>
      <c r="W261" t="s">
        <v>114</v>
      </c>
      <c r="X261">
        <v>13</v>
      </c>
      <c r="Y261">
        <v>12.5</v>
      </c>
      <c r="Z261">
        <v>10.5</v>
      </c>
      <c r="AA261">
        <v>12</v>
      </c>
      <c r="AB261">
        <v>13.6</v>
      </c>
      <c r="AC261">
        <v>13.9</v>
      </c>
      <c r="AD261">
        <v>12</v>
      </c>
      <c r="AE261">
        <v>14.9</v>
      </c>
      <c r="AF261">
        <v>13.6</v>
      </c>
      <c r="AG261">
        <v>13.5</v>
      </c>
      <c r="AH261">
        <v>13</v>
      </c>
      <c r="AI261">
        <v>12</v>
      </c>
      <c r="AJ261">
        <v>12.83333333</v>
      </c>
      <c r="AK261">
        <v>14.4</v>
      </c>
      <c r="AL261">
        <v>15.4</v>
      </c>
      <c r="AM261">
        <v>15.4</v>
      </c>
      <c r="AN261">
        <v>15.06666667</v>
      </c>
      <c r="AO261">
        <v>15.06666667</v>
      </c>
      <c r="AP261">
        <v>4.5999999999999996</v>
      </c>
      <c r="AQ261">
        <v>5.6</v>
      </c>
      <c r="AR261">
        <v>4.9000000000000004</v>
      </c>
      <c r="AS261">
        <v>5.0333333329999999</v>
      </c>
      <c r="AT261">
        <v>3.9</v>
      </c>
      <c r="AU261">
        <v>5.3</v>
      </c>
      <c r="AV261">
        <v>5.6</v>
      </c>
      <c r="AW261">
        <v>4.9333333330000002</v>
      </c>
      <c r="AX261">
        <v>4.9333333330000002</v>
      </c>
      <c r="AY261">
        <v>-8.6666666669999994</v>
      </c>
      <c r="AZ261">
        <v>20</v>
      </c>
      <c r="BA261">
        <v>50</v>
      </c>
      <c r="BB261">
        <v>30</v>
      </c>
      <c r="BC261">
        <v>0</v>
      </c>
      <c r="BD261">
        <v>0</v>
      </c>
      <c r="BE261">
        <v>1</v>
      </c>
      <c r="BF261">
        <v>0</v>
      </c>
      <c r="BG261">
        <v>0</v>
      </c>
      <c r="BI261">
        <v>14.9</v>
      </c>
      <c r="BJ261">
        <v>43.93</v>
      </c>
      <c r="BK261">
        <v>0</v>
      </c>
      <c r="BL261">
        <v>9</v>
      </c>
      <c r="BM261">
        <v>9</v>
      </c>
      <c r="BN261">
        <v>171</v>
      </c>
      <c r="BO261">
        <v>545.5</v>
      </c>
      <c r="BP261">
        <f t="shared" si="35"/>
        <v>-374.5</v>
      </c>
      <c r="BQ261" t="s">
        <v>114</v>
      </c>
      <c r="BR261" t="s">
        <v>114</v>
      </c>
      <c r="BS261" t="s">
        <v>114</v>
      </c>
      <c r="BT261" t="s">
        <v>114</v>
      </c>
      <c r="BU261" t="s">
        <v>114</v>
      </c>
      <c r="BV261" t="s">
        <v>114</v>
      </c>
      <c r="BW261" t="s">
        <v>114</v>
      </c>
      <c r="BX261" t="s">
        <v>114</v>
      </c>
      <c r="BY261" t="s">
        <v>114</v>
      </c>
      <c r="BZ261" t="s">
        <v>114</v>
      </c>
      <c r="CA261" t="s">
        <v>114</v>
      </c>
      <c r="CB261" t="s">
        <v>114</v>
      </c>
      <c r="CC261" t="s">
        <v>114</v>
      </c>
      <c r="CD261" t="s">
        <v>114</v>
      </c>
      <c r="CE261" t="s">
        <v>114</v>
      </c>
      <c r="CF261" t="s">
        <v>114</v>
      </c>
      <c r="CG261" t="s">
        <v>114</v>
      </c>
      <c r="CH261" t="s">
        <v>114</v>
      </c>
      <c r="CI261" t="s">
        <v>114</v>
      </c>
      <c r="CJ261" t="s">
        <v>114</v>
      </c>
      <c r="CK261" t="s">
        <v>114</v>
      </c>
      <c r="CL261" t="s">
        <v>114</v>
      </c>
      <c r="CM261" t="s">
        <v>114</v>
      </c>
      <c r="CN261" t="s">
        <v>114</v>
      </c>
      <c r="CO261" t="s">
        <v>114</v>
      </c>
      <c r="CP261" t="s">
        <v>114</v>
      </c>
      <c r="CQ261" t="s">
        <v>114</v>
      </c>
      <c r="CR261" t="s">
        <v>114</v>
      </c>
      <c r="CS261" t="s">
        <v>114</v>
      </c>
      <c r="CT261" t="s">
        <v>114</v>
      </c>
      <c r="CU261" t="s">
        <v>114</v>
      </c>
      <c r="CV261" t="s">
        <v>114</v>
      </c>
      <c r="CW261" t="s">
        <v>114</v>
      </c>
    </row>
    <row r="262" spans="1:101" x14ac:dyDescent="0.25">
      <c r="A262" t="s">
        <v>58</v>
      </c>
      <c r="B262">
        <v>12</v>
      </c>
      <c r="C262" t="s">
        <v>29</v>
      </c>
      <c r="D262" t="s">
        <v>95</v>
      </c>
      <c r="E262" t="s">
        <v>110</v>
      </c>
      <c r="F262" t="s">
        <v>120</v>
      </c>
      <c r="G262" t="s">
        <v>270</v>
      </c>
      <c r="H262" t="str">
        <f t="shared" si="36"/>
        <v>M.minima.Solo.Shade</v>
      </c>
      <c r="I262" t="s">
        <v>694</v>
      </c>
      <c r="J262" t="s">
        <v>536</v>
      </c>
      <c r="K262">
        <v>0</v>
      </c>
      <c r="L262">
        <v>80</v>
      </c>
      <c r="M262">
        <v>50</v>
      </c>
      <c r="N262">
        <v>50</v>
      </c>
      <c r="O262" t="s">
        <v>114</v>
      </c>
      <c r="P262">
        <v>15</v>
      </c>
      <c r="Q262">
        <v>115</v>
      </c>
      <c r="R262">
        <v>95</v>
      </c>
      <c r="S262">
        <f t="shared" si="37"/>
        <v>105</v>
      </c>
      <c r="T262">
        <f t="shared" si="38"/>
        <v>2.1</v>
      </c>
      <c r="U262" t="s">
        <v>794</v>
      </c>
      <c r="V262" t="s">
        <v>114</v>
      </c>
      <c r="W262" t="s">
        <v>114</v>
      </c>
      <c r="X262">
        <v>13</v>
      </c>
      <c r="Y262">
        <v>12.5</v>
      </c>
      <c r="Z262">
        <v>10.5</v>
      </c>
      <c r="AA262">
        <v>12</v>
      </c>
      <c r="AB262">
        <v>12.96666667</v>
      </c>
      <c r="AC262">
        <v>11</v>
      </c>
      <c r="AD262">
        <v>13.5</v>
      </c>
      <c r="AE262">
        <v>14.4</v>
      </c>
      <c r="AF262">
        <v>12.96666667</v>
      </c>
      <c r="AG262">
        <v>13.5</v>
      </c>
      <c r="AH262">
        <v>13</v>
      </c>
      <c r="AI262">
        <v>12</v>
      </c>
      <c r="AJ262">
        <v>12.83333333</v>
      </c>
      <c r="AK262">
        <v>13.5</v>
      </c>
      <c r="AL262">
        <v>14.4</v>
      </c>
      <c r="AM262">
        <v>15.9</v>
      </c>
      <c r="AN262">
        <v>14.6</v>
      </c>
      <c r="AO262">
        <v>14.6</v>
      </c>
      <c r="AP262">
        <v>4.5999999999999996</v>
      </c>
      <c r="AQ262">
        <v>5.6</v>
      </c>
      <c r="AR262">
        <v>4.9000000000000004</v>
      </c>
      <c r="AS262">
        <v>5.0333333329999999</v>
      </c>
      <c r="AT262">
        <v>4.3</v>
      </c>
      <c r="AU262">
        <v>4.3</v>
      </c>
      <c r="AV262">
        <v>4.5999999999999996</v>
      </c>
      <c r="AW262">
        <v>4.4000000000000004</v>
      </c>
      <c r="AX262">
        <v>4.4000000000000004</v>
      </c>
      <c r="AY262">
        <v>-8.5666666669999998</v>
      </c>
      <c r="AZ262">
        <v>80</v>
      </c>
      <c r="BA262">
        <v>10</v>
      </c>
      <c r="BB262">
        <v>10</v>
      </c>
      <c r="BC262">
        <v>0</v>
      </c>
      <c r="BD262">
        <v>0</v>
      </c>
      <c r="BE262">
        <v>1</v>
      </c>
      <c r="BF262">
        <v>0</v>
      </c>
      <c r="BG262">
        <v>0</v>
      </c>
      <c r="BI262">
        <v>14.9</v>
      </c>
      <c r="BJ262">
        <v>43.93</v>
      </c>
      <c r="BK262">
        <v>1</v>
      </c>
      <c r="BL262">
        <v>0</v>
      </c>
      <c r="BM262">
        <v>0</v>
      </c>
      <c r="BN262">
        <v>0</v>
      </c>
      <c r="BO262">
        <v>9</v>
      </c>
      <c r="BP262">
        <f t="shared" si="35"/>
        <v>-9</v>
      </c>
      <c r="BQ262" t="s">
        <v>114</v>
      </c>
      <c r="BR262" t="s">
        <v>114</v>
      </c>
      <c r="BS262" t="s">
        <v>114</v>
      </c>
      <c r="BT262" t="s">
        <v>114</v>
      </c>
      <c r="BU262" t="s">
        <v>114</v>
      </c>
      <c r="BV262" t="s">
        <v>114</v>
      </c>
      <c r="BW262" t="s">
        <v>114</v>
      </c>
      <c r="BX262" t="s">
        <v>114</v>
      </c>
      <c r="BY262" t="s">
        <v>114</v>
      </c>
      <c r="BZ262" t="s">
        <v>114</v>
      </c>
      <c r="CA262" t="s">
        <v>114</v>
      </c>
      <c r="CB262" t="s">
        <v>114</v>
      </c>
      <c r="CC262" t="s">
        <v>114</v>
      </c>
      <c r="CD262" t="s">
        <v>114</v>
      </c>
      <c r="CE262" t="s">
        <v>114</v>
      </c>
      <c r="CF262" t="s">
        <v>114</v>
      </c>
      <c r="CG262" t="s">
        <v>114</v>
      </c>
      <c r="CH262" t="s">
        <v>114</v>
      </c>
      <c r="CI262" t="s">
        <v>114</v>
      </c>
      <c r="CJ262" t="s">
        <v>114</v>
      </c>
      <c r="CK262" t="s">
        <v>114</v>
      </c>
      <c r="CL262" t="s">
        <v>114</v>
      </c>
      <c r="CM262" t="s">
        <v>114</v>
      </c>
      <c r="CN262" t="s">
        <v>114</v>
      </c>
      <c r="CO262" t="s">
        <v>114</v>
      </c>
      <c r="CP262" t="s">
        <v>114</v>
      </c>
      <c r="CQ262" t="s">
        <v>114</v>
      </c>
      <c r="CR262" t="s">
        <v>114</v>
      </c>
      <c r="CS262" t="s">
        <v>114</v>
      </c>
      <c r="CT262" t="s">
        <v>114</v>
      </c>
      <c r="CU262" t="s">
        <v>114</v>
      </c>
      <c r="CV262" t="s">
        <v>114</v>
      </c>
      <c r="CW262" t="s">
        <v>114</v>
      </c>
    </row>
    <row r="263" spans="1:101" x14ac:dyDescent="0.25">
      <c r="A263" t="s">
        <v>58</v>
      </c>
      <c r="B263">
        <v>12</v>
      </c>
      <c r="C263" t="s">
        <v>29</v>
      </c>
      <c r="D263" t="s">
        <v>95</v>
      </c>
      <c r="E263" t="s">
        <v>103</v>
      </c>
      <c r="F263" t="s">
        <v>120</v>
      </c>
      <c r="G263" t="s">
        <v>268</v>
      </c>
      <c r="H263" t="str">
        <f t="shared" si="36"/>
        <v>P.airoides.Solo.Shade</v>
      </c>
      <c r="I263" t="s">
        <v>683</v>
      </c>
      <c r="J263" t="s">
        <v>537</v>
      </c>
      <c r="K263">
        <v>0</v>
      </c>
      <c r="L263">
        <v>60</v>
      </c>
      <c r="M263">
        <v>75</v>
      </c>
      <c r="N263">
        <v>75</v>
      </c>
      <c r="O263" t="s">
        <v>114</v>
      </c>
      <c r="P263">
        <v>45</v>
      </c>
      <c r="Q263">
        <v>50</v>
      </c>
      <c r="R263">
        <v>20</v>
      </c>
      <c r="S263">
        <f t="shared" si="37"/>
        <v>35</v>
      </c>
      <c r="T263">
        <f t="shared" si="38"/>
        <v>0.46666666666666667</v>
      </c>
      <c r="U263" t="s">
        <v>15</v>
      </c>
      <c r="V263" t="s">
        <v>114</v>
      </c>
      <c r="W263" t="s">
        <v>114</v>
      </c>
      <c r="X263">
        <v>13</v>
      </c>
      <c r="Y263">
        <v>12.5</v>
      </c>
      <c r="Z263">
        <v>10.5</v>
      </c>
      <c r="AA263">
        <v>12</v>
      </c>
      <c r="AB263">
        <v>12.16666667</v>
      </c>
      <c r="AC263">
        <v>12</v>
      </c>
      <c r="AD263">
        <v>12</v>
      </c>
      <c r="AE263">
        <v>12.5</v>
      </c>
      <c r="AF263">
        <v>12.16666667</v>
      </c>
      <c r="AG263">
        <v>13.5</v>
      </c>
      <c r="AH263">
        <v>13</v>
      </c>
      <c r="AI263">
        <v>12</v>
      </c>
      <c r="AJ263">
        <v>12.83333333</v>
      </c>
      <c r="AK263">
        <v>13</v>
      </c>
      <c r="AL263">
        <v>13.5</v>
      </c>
      <c r="AM263">
        <v>14.9</v>
      </c>
      <c r="AN263">
        <v>13.8</v>
      </c>
      <c r="AO263">
        <v>13.8</v>
      </c>
      <c r="AP263">
        <v>4.5999999999999996</v>
      </c>
      <c r="AQ263">
        <v>5.6</v>
      </c>
      <c r="AR263">
        <v>4.9000000000000004</v>
      </c>
      <c r="AS263">
        <v>5.0333333329999999</v>
      </c>
      <c r="AT263">
        <v>4.9000000000000004</v>
      </c>
      <c r="AU263">
        <v>5.3</v>
      </c>
      <c r="AV263">
        <v>5.6</v>
      </c>
      <c r="AW263">
        <v>5.266666667</v>
      </c>
      <c r="AX263">
        <v>5.266666667</v>
      </c>
      <c r="AY263">
        <v>-6.9</v>
      </c>
      <c r="AZ263">
        <v>45</v>
      </c>
      <c r="BA263">
        <v>10</v>
      </c>
      <c r="BB263">
        <v>10</v>
      </c>
      <c r="BC263">
        <v>25</v>
      </c>
      <c r="BD263">
        <v>10</v>
      </c>
      <c r="BE263">
        <v>1</v>
      </c>
      <c r="BF263">
        <v>0</v>
      </c>
      <c r="BG263">
        <v>0</v>
      </c>
      <c r="BI263">
        <v>14.9</v>
      </c>
      <c r="BJ263">
        <v>43.93</v>
      </c>
      <c r="BK263">
        <v>0</v>
      </c>
      <c r="BL263">
        <v>4</v>
      </c>
      <c r="BM263">
        <v>4</v>
      </c>
      <c r="BN263">
        <v>289</v>
      </c>
      <c r="BO263">
        <v>290.75</v>
      </c>
      <c r="BP263">
        <f t="shared" si="35"/>
        <v>-1.75</v>
      </c>
      <c r="BQ263" t="s">
        <v>114</v>
      </c>
      <c r="BR263" t="s">
        <v>114</v>
      </c>
      <c r="BS263" t="s">
        <v>114</v>
      </c>
      <c r="BT263" t="s">
        <v>114</v>
      </c>
      <c r="BU263" t="s">
        <v>114</v>
      </c>
      <c r="BV263" t="s">
        <v>114</v>
      </c>
      <c r="BW263" t="s">
        <v>114</v>
      </c>
      <c r="BX263" t="s">
        <v>114</v>
      </c>
      <c r="BY263" t="s">
        <v>114</v>
      </c>
      <c r="BZ263" t="s">
        <v>114</v>
      </c>
      <c r="CA263" t="s">
        <v>114</v>
      </c>
      <c r="CB263" t="s">
        <v>114</v>
      </c>
      <c r="CC263" t="s">
        <v>114</v>
      </c>
      <c r="CD263" t="s">
        <v>114</v>
      </c>
      <c r="CE263" t="s">
        <v>114</v>
      </c>
      <c r="CF263" t="s">
        <v>114</v>
      </c>
      <c r="CG263" t="s">
        <v>114</v>
      </c>
      <c r="CH263" t="s">
        <v>114</v>
      </c>
      <c r="CI263" t="s">
        <v>114</v>
      </c>
      <c r="CJ263" t="s">
        <v>114</v>
      </c>
      <c r="CK263" t="s">
        <v>114</v>
      </c>
      <c r="CL263" t="s">
        <v>114</v>
      </c>
      <c r="CM263" t="s">
        <v>114</v>
      </c>
      <c r="CN263" t="s">
        <v>114</v>
      </c>
      <c r="CO263" t="s">
        <v>114</v>
      </c>
      <c r="CP263" t="s">
        <v>114</v>
      </c>
      <c r="CQ263" t="s">
        <v>114</v>
      </c>
      <c r="CR263" t="s">
        <v>114</v>
      </c>
      <c r="CS263" t="s">
        <v>114</v>
      </c>
      <c r="CT263" t="s">
        <v>114</v>
      </c>
      <c r="CU263" t="s">
        <v>114</v>
      </c>
      <c r="CV263" t="s">
        <v>114</v>
      </c>
      <c r="CW263" t="s">
        <v>114</v>
      </c>
    </row>
    <row r="264" spans="1:101" x14ac:dyDescent="0.25">
      <c r="A264" t="s">
        <v>59</v>
      </c>
      <c r="B264">
        <v>12</v>
      </c>
      <c r="C264" t="s">
        <v>31</v>
      </c>
      <c r="D264" t="s">
        <v>94</v>
      </c>
      <c r="E264" t="s">
        <v>105</v>
      </c>
      <c r="F264" t="s">
        <v>120</v>
      </c>
      <c r="G264" t="s">
        <v>274</v>
      </c>
      <c r="H264" t="str">
        <f t="shared" si="36"/>
        <v>H.glabra.Solo.Open</v>
      </c>
      <c r="I264" t="s">
        <v>686</v>
      </c>
      <c r="J264" t="s">
        <v>538</v>
      </c>
      <c r="K264">
        <v>0</v>
      </c>
      <c r="L264">
        <v>80</v>
      </c>
      <c r="M264">
        <v>20</v>
      </c>
      <c r="N264">
        <v>20</v>
      </c>
      <c r="O264" t="s">
        <v>114</v>
      </c>
      <c r="P264">
        <v>55</v>
      </c>
      <c r="Q264">
        <v>55</v>
      </c>
      <c r="R264">
        <v>25</v>
      </c>
      <c r="S264">
        <f t="shared" si="37"/>
        <v>40</v>
      </c>
      <c r="T264">
        <f t="shared" si="38"/>
        <v>2</v>
      </c>
      <c r="U264" t="s">
        <v>15</v>
      </c>
      <c r="V264" t="s">
        <v>114</v>
      </c>
      <c r="W264" t="s">
        <v>114</v>
      </c>
      <c r="X264">
        <v>18.399999999999999</v>
      </c>
      <c r="Y264">
        <v>19.8</v>
      </c>
      <c r="Z264">
        <v>20.3</v>
      </c>
      <c r="AA264">
        <v>19.5</v>
      </c>
      <c r="AB264">
        <v>16.899999999999999</v>
      </c>
      <c r="AC264">
        <v>14.9</v>
      </c>
      <c r="AD264">
        <v>17.899999999999999</v>
      </c>
      <c r="AE264">
        <v>17.899999999999999</v>
      </c>
      <c r="AF264">
        <v>16.899999999999999</v>
      </c>
      <c r="AG264">
        <v>10.5</v>
      </c>
      <c r="AH264">
        <v>18.399999999999999</v>
      </c>
      <c r="AI264">
        <v>16.899999999999999</v>
      </c>
      <c r="AJ264">
        <v>15.266666669999999</v>
      </c>
      <c r="AK264">
        <v>15.4</v>
      </c>
      <c r="AL264">
        <v>19.8</v>
      </c>
      <c r="AM264">
        <v>18.399999999999999</v>
      </c>
      <c r="AN264">
        <v>17.866666670000001</v>
      </c>
      <c r="AO264">
        <v>17.866666670000001</v>
      </c>
      <c r="AP264">
        <v>6.1</v>
      </c>
      <c r="AQ264">
        <v>5.6</v>
      </c>
      <c r="AR264">
        <v>7.1</v>
      </c>
      <c r="AS264">
        <v>6.266666667</v>
      </c>
      <c r="AT264">
        <v>5.0999999999999996</v>
      </c>
      <c r="AU264">
        <v>5.6</v>
      </c>
      <c r="AV264">
        <v>7.6</v>
      </c>
      <c r="AW264">
        <v>6.1</v>
      </c>
      <c r="AX264">
        <v>6.1</v>
      </c>
      <c r="AY264">
        <v>-10.8</v>
      </c>
      <c r="AZ264">
        <v>0</v>
      </c>
      <c r="BA264">
        <v>10</v>
      </c>
      <c r="BB264">
        <v>0</v>
      </c>
      <c r="BC264">
        <v>90</v>
      </c>
      <c r="BD264">
        <v>0</v>
      </c>
      <c r="BE264">
        <v>1</v>
      </c>
      <c r="BF264">
        <v>0</v>
      </c>
      <c r="BG264">
        <v>0</v>
      </c>
      <c r="BI264">
        <v>16.5</v>
      </c>
      <c r="BJ264">
        <v>1.4530000000000001</v>
      </c>
      <c r="BK264">
        <v>0</v>
      </c>
      <c r="BL264">
        <v>3</v>
      </c>
      <c r="BM264">
        <v>3</v>
      </c>
      <c r="BN264">
        <v>81</v>
      </c>
      <c r="BO264">
        <v>308.33330000000001</v>
      </c>
      <c r="BP264">
        <f t="shared" si="35"/>
        <v>-227.33330000000001</v>
      </c>
      <c r="BQ264" t="s">
        <v>114</v>
      </c>
      <c r="BR264" t="s">
        <v>114</v>
      </c>
      <c r="BS264" t="s">
        <v>114</v>
      </c>
      <c r="BT264" t="s">
        <v>114</v>
      </c>
      <c r="BU264" t="s">
        <v>114</v>
      </c>
      <c r="BV264" t="s">
        <v>114</v>
      </c>
      <c r="BW264" t="s">
        <v>114</v>
      </c>
      <c r="BX264" t="s">
        <v>114</v>
      </c>
      <c r="BY264" t="s">
        <v>114</v>
      </c>
      <c r="BZ264" t="s">
        <v>114</v>
      </c>
      <c r="CA264" t="s">
        <v>114</v>
      </c>
      <c r="CB264" t="s">
        <v>114</v>
      </c>
      <c r="CC264" t="s">
        <v>114</v>
      </c>
      <c r="CD264" t="s">
        <v>114</v>
      </c>
      <c r="CE264" t="s">
        <v>114</v>
      </c>
      <c r="CF264" t="s">
        <v>114</v>
      </c>
      <c r="CG264" t="s">
        <v>114</v>
      </c>
      <c r="CH264" t="s">
        <v>114</v>
      </c>
      <c r="CI264" t="s">
        <v>114</v>
      </c>
      <c r="CJ264" t="s">
        <v>114</v>
      </c>
      <c r="CK264" t="s">
        <v>114</v>
      </c>
      <c r="CL264" t="s">
        <v>114</v>
      </c>
      <c r="CM264" t="s">
        <v>114</v>
      </c>
      <c r="CN264" t="s">
        <v>114</v>
      </c>
      <c r="CO264" t="s">
        <v>114</v>
      </c>
      <c r="CP264" t="s">
        <v>114</v>
      </c>
      <c r="CQ264" t="s">
        <v>114</v>
      </c>
      <c r="CR264" t="s">
        <v>114</v>
      </c>
      <c r="CS264" t="s">
        <v>114</v>
      </c>
      <c r="CT264" t="s">
        <v>114</v>
      </c>
      <c r="CU264" t="s">
        <v>114</v>
      </c>
      <c r="CV264" t="s">
        <v>114</v>
      </c>
      <c r="CW264" t="s">
        <v>114</v>
      </c>
    </row>
    <row r="265" spans="1:101" x14ac:dyDescent="0.25">
      <c r="A265" t="s">
        <v>59</v>
      </c>
      <c r="B265">
        <v>12</v>
      </c>
      <c r="C265" t="s">
        <v>31</v>
      </c>
      <c r="D265" t="s">
        <v>94</v>
      </c>
      <c r="E265" t="s">
        <v>110</v>
      </c>
      <c r="F265" t="s">
        <v>120</v>
      </c>
      <c r="G265" t="s">
        <v>270</v>
      </c>
      <c r="H265" t="str">
        <f t="shared" si="36"/>
        <v>M.minima.Solo.Open</v>
      </c>
      <c r="I265" t="s">
        <v>695</v>
      </c>
      <c r="J265" t="s">
        <v>539</v>
      </c>
      <c r="K265">
        <v>0</v>
      </c>
      <c r="L265">
        <v>130</v>
      </c>
      <c r="M265">
        <v>130</v>
      </c>
      <c r="N265">
        <v>130</v>
      </c>
      <c r="O265" t="s">
        <v>114</v>
      </c>
      <c r="P265">
        <v>15</v>
      </c>
      <c r="Q265">
        <v>90</v>
      </c>
      <c r="R265">
        <v>50</v>
      </c>
      <c r="S265">
        <f t="shared" si="37"/>
        <v>70</v>
      </c>
      <c r="T265">
        <f t="shared" si="38"/>
        <v>0.53846153846153844</v>
      </c>
      <c r="U265" t="s">
        <v>794</v>
      </c>
      <c r="V265" t="s">
        <v>114</v>
      </c>
      <c r="W265" t="s">
        <v>114</v>
      </c>
      <c r="X265">
        <v>18.399999999999999</v>
      </c>
      <c r="Y265">
        <v>19.8</v>
      </c>
      <c r="Z265">
        <v>20.3</v>
      </c>
      <c r="AA265">
        <v>19.5</v>
      </c>
      <c r="AB265">
        <v>16.899999999999999</v>
      </c>
      <c r="AC265">
        <v>17.899999999999999</v>
      </c>
      <c r="AD265">
        <v>17.899999999999999</v>
      </c>
      <c r="AE265">
        <v>14.9</v>
      </c>
      <c r="AF265">
        <v>16.899999999999999</v>
      </c>
      <c r="AG265">
        <v>10.5</v>
      </c>
      <c r="AH265">
        <v>18.399999999999999</v>
      </c>
      <c r="AI265">
        <v>16.899999999999999</v>
      </c>
      <c r="AJ265">
        <v>15.266666669999999</v>
      </c>
      <c r="AK265">
        <v>17.899999999999999</v>
      </c>
      <c r="AL265">
        <v>15.9</v>
      </c>
      <c r="AM265">
        <v>16.399999999999999</v>
      </c>
      <c r="AN265">
        <v>16.733333330000001</v>
      </c>
      <c r="AO265">
        <v>16.733333330000001</v>
      </c>
      <c r="AP265">
        <v>6.1</v>
      </c>
      <c r="AQ265">
        <v>5.6</v>
      </c>
      <c r="AR265">
        <v>7.1</v>
      </c>
      <c r="AS265">
        <v>6.266666667</v>
      </c>
      <c r="AT265">
        <v>5.6</v>
      </c>
      <c r="AU265">
        <v>4.5999999999999996</v>
      </c>
      <c r="AV265">
        <v>6.1</v>
      </c>
      <c r="AW265">
        <v>5.4333333330000002</v>
      </c>
      <c r="AX265">
        <v>5.4333333330000002</v>
      </c>
      <c r="AY265">
        <v>-11.46666667</v>
      </c>
      <c r="AZ265">
        <v>40</v>
      </c>
      <c r="BA265">
        <v>10</v>
      </c>
      <c r="BB265">
        <v>30</v>
      </c>
      <c r="BC265">
        <v>20</v>
      </c>
      <c r="BD265">
        <v>0</v>
      </c>
      <c r="BE265">
        <v>1</v>
      </c>
      <c r="BF265">
        <v>0</v>
      </c>
      <c r="BG265">
        <v>0</v>
      </c>
      <c r="BI265">
        <v>16.5</v>
      </c>
      <c r="BJ265">
        <v>1.4530000000000001</v>
      </c>
      <c r="BK265">
        <v>0</v>
      </c>
      <c r="BL265">
        <v>9</v>
      </c>
      <c r="BM265">
        <v>9</v>
      </c>
      <c r="BN265">
        <v>9</v>
      </c>
      <c r="BO265">
        <v>8</v>
      </c>
      <c r="BP265">
        <f t="shared" ref="BP265:BP296" si="39">BN265-BO265</f>
        <v>1</v>
      </c>
      <c r="BQ265" t="s">
        <v>114</v>
      </c>
      <c r="BR265" t="s">
        <v>114</v>
      </c>
      <c r="BS265" t="s">
        <v>114</v>
      </c>
      <c r="BT265" t="s">
        <v>114</v>
      </c>
      <c r="BU265" t="s">
        <v>114</v>
      </c>
      <c r="BV265" t="s">
        <v>114</v>
      </c>
      <c r="BW265" t="s">
        <v>114</v>
      </c>
      <c r="BX265" t="s">
        <v>114</v>
      </c>
      <c r="BY265" t="s">
        <v>114</v>
      </c>
      <c r="BZ265" t="s">
        <v>114</v>
      </c>
      <c r="CA265" t="s">
        <v>114</v>
      </c>
      <c r="CB265" t="s">
        <v>114</v>
      </c>
      <c r="CC265" t="s">
        <v>114</v>
      </c>
      <c r="CD265" t="s">
        <v>114</v>
      </c>
      <c r="CE265" t="s">
        <v>114</v>
      </c>
      <c r="CF265" t="s">
        <v>114</v>
      </c>
      <c r="CG265" t="s">
        <v>114</v>
      </c>
      <c r="CH265" t="s">
        <v>114</v>
      </c>
      <c r="CI265" t="s">
        <v>114</v>
      </c>
      <c r="CJ265" t="s">
        <v>114</v>
      </c>
      <c r="CK265" t="s">
        <v>114</v>
      </c>
      <c r="CL265" t="s">
        <v>114</v>
      </c>
      <c r="CM265" t="s">
        <v>114</v>
      </c>
      <c r="CN265" t="s">
        <v>114</v>
      </c>
      <c r="CO265" t="s">
        <v>114</v>
      </c>
      <c r="CP265" t="s">
        <v>114</v>
      </c>
      <c r="CQ265" t="s">
        <v>114</v>
      </c>
      <c r="CR265" t="s">
        <v>114</v>
      </c>
      <c r="CS265" t="s">
        <v>114</v>
      </c>
      <c r="CT265" t="s">
        <v>114</v>
      </c>
      <c r="CU265" t="s">
        <v>114</v>
      </c>
      <c r="CV265" t="s">
        <v>114</v>
      </c>
      <c r="CW265" t="s">
        <v>114</v>
      </c>
    </row>
    <row r="266" spans="1:101" x14ac:dyDescent="0.25">
      <c r="A266" t="s">
        <v>60</v>
      </c>
      <c r="B266">
        <v>12</v>
      </c>
      <c r="C266" t="s">
        <v>33</v>
      </c>
      <c r="D266" t="s">
        <v>95</v>
      </c>
      <c r="E266" t="s">
        <v>102</v>
      </c>
      <c r="F266" t="s">
        <v>120</v>
      </c>
      <c r="G266" t="s">
        <v>273</v>
      </c>
      <c r="H266" t="str">
        <f t="shared" si="36"/>
        <v>A.calendula.Solo.Shade</v>
      </c>
      <c r="I266" t="s">
        <v>689</v>
      </c>
      <c r="J266" t="s">
        <v>540</v>
      </c>
      <c r="K266">
        <v>0</v>
      </c>
      <c r="L266">
        <v>130</v>
      </c>
      <c r="M266">
        <v>80</v>
      </c>
      <c r="N266">
        <v>80</v>
      </c>
      <c r="O266" t="s">
        <v>114</v>
      </c>
      <c r="P266">
        <v>130</v>
      </c>
      <c r="Q266">
        <v>135</v>
      </c>
      <c r="R266">
        <v>130</v>
      </c>
      <c r="S266">
        <f t="shared" si="37"/>
        <v>132.5</v>
      </c>
      <c r="T266">
        <f t="shared" si="38"/>
        <v>1.65625</v>
      </c>
      <c r="U266" t="s">
        <v>792</v>
      </c>
      <c r="V266" t="s">
        <v>114</v>
      </c>
      <c r="W266" t="s">
        <v>114</v>
      </c>
      <c r="X266">
        <v>13.5</v>
      </c>
      <c r="Y266">
        <v>11</v>
      </c>
      <c r="Z266">
        <v>12</v>
      </c>
      <c r="AA266">
        <v>12.16666667</v>
      </c>
      <c r="AB266">
        <v>12.83333333</v>
      </c>
      <c r="AC266">
        <v>12.5</v>
      </c>
      <c r="AD266">
        <v>12.5</v>
      </c>
      <c r="AE266">
        <v>13.5</v>
      </c>
      <c r="AF266">
        <v>12.83333333</v>
      </c>
      <c r="AG266">
        <v>17.899999999999999</v>
      </c>
      <c r="AH266">
        <v>17.5</v>
      </c>
      <c r="AI266">
        <v>14.4</v>
      </c>
      <c r="AJ266">
        <v>16.600000000000001</v>
      </c>
      <c r="AK266">
        <v>15.9</v>
      </c>
      <c r="AL266">
        <v>13</v>
      </c>
      <c r="AM266">
        <v>13.9</v>
      </c>
      <c r="AN266">
        <v>14.266666669999999</v>
      </c>
      <c r="AO266">
        <v>14.266666669999999</v>
      </c>
      <c r="AP266">
        <v>4.0999999999999996</v>
      </c>
      <c r="AQ266">
        <v>5.6</v>
      </c>
      <c r="AR266" t="s">
        <v>114</v>
      </c>
      <c r="AS266">
        <v>4.8499999999999996</v>
      </c>
      <c r="AT266">
        <v>3.1</v>
      </c>
      <c r="AU266">
        <v>5.0999999999999996</v>
      </c>
      <c r="AV266">
        <v>6.6</v>
      </c>
      <c r="AW266">
        <v>4.9333333330000002</v>
      </c>
      <c r="AX266">
        <v>4.9333333330000002</v>
      </c>
      <c r="AY266">
        <v>-7.9</v>
      </c>
      <c r="AZ266">
        <v>100</v>
      </c>
      <c r="BA266">
        <v>0</v>
      </c>
      <c r="BB266">
        <v>0</v>
      </c>
      <c r="BC266">
        <v>0</v>
      </c>
      <c r="BD266">
        <v>0</v>
      </c>
      <c r="BE266">
        <v>1</v>
      </c>
      <c r="BF266">
        <v>0</v>
      </c>
      <c r="BG266">
        <v>0</v>
      </c>
      <c r="BI266">
        <v>14</v>
      </c>
      <c r="BJ266">
        <v>52.600999999999999</v>
      </c>
      <c r="BK266">
        <v>0</v>
      </c>
      <c r="BL266">
        <v>11</v>
      </c>
      <c r="BM266">
        <v>11</v>
      </c>
      <c r="BN266">
        <v>352</v>
      </c>
      <c r="BO266">
        <v>545.5</v>
      </c>
      <c r="BP266">
        <f t="shared" si="39"/>
        <v>-193.5</v>
      </c>
      <c r="BQ266" t="s">
        <v>114</v>
      </c>
      <c r="BR266" t="s">
        <v>114</v>
      </c>
      <c r="BS266" t="s">
        <v>114</v>
      </c>
      <c r="BT266" t="s">
        <v>114</v>
      </c>
      <c r="BU266" t="s">
        <v>114</v>
      </c>
      <c r="BV266" t="s">
        <v>114</v>
      </c>
      <c r="BW266" t="s">
        <v>114</v>
      </c>
      <c r="BX266" t="s">
        <v>114</v>
      </c>
      <c r="BY266" t="s">
        <v>114</v>
      </c>
      <c r="BZ266" t="s">
        <v>114</v>
      </c>
      <c r="CA266" t="s">
        <v>114</v>
      </c>
      <c r="CB266" t="s">
        <v>114</v>
      </c>
      <c r="CC266" t="s">
        <v>114</v>
      </c>
      <c r="CD266" t="s">
        <v>114</v>
      </c>
      <c r="CE266" t="s">
        <v>114</v>
      </c>
      <c r="CF266" t="s">
        <v>114</v>
      </c>
      <c r="CG266" t="s">
        <v>114</v>
      </c>
      <c r="CH266" t="s">
        <v>114</v>
      </c>
      <c r="CI266" t="s">
        <v>114</v>
      </c>
      <c r="CJ266" t="s">
        <v>114</v>
      </c>
      <c r="CK266" t="s">
        <v>114</v>
      </c>
      <c r="CL266" t="s">
        <v>114</v>
      </c>
      <c r="CM266" t="s">
        <v>114</v>
      </c>
      <c r="CN266" t="s">
        <v>114</v>
      </c>
      <c r="CO266" t="s">
        <v>114</v>
      </c>
      <c r="CP266" t="s">
        <v>114</v>
      </c>
      <c r="CQ266" t="s">
        <v>114</v>
      </c>
      <c r="CR266" t="s">
        <v>114</v>
      </c>
      <c r="CS266" t="s">
        <v>114</v>
      </c>
      <c r="CT266" t="s">
        <v>114</v>
      </c>
      <c r="CU266" t="s">
        <v>114</v>
      </c>
      <c r="CV266" t="s">
        <v>114</v>
      </c>
      <c r="CW266" t="s">
        <v>114</v>
      </c>
    </row>
    <row r="267" spans="1:101" x14ac:dyDescent="0.25">
      <c r="A267" t="s">
        <v>60</v>
      </c>
      <c r="B267">
        <v>12</v>
      </c>
      <c r="C267" t="s">
        <v>33</v>
      </c>
      <c r="D267" t="s">
        <v>95</v>
      </c>
      <c r="E267" t="s">
        <v>110</v>
      </c>
      <c r="F267" t="s">
        <v>120</v>
      </c>
      <c r="G267" t="s">
        <v>270</v>
      </c>
      <c r="H267" t="str">
        <f t="shared" si="36"/>
        <v>M.minima.Solo.Shade</v>
      </c>
      <c r="I267" t="s">
        <v>694</v>
      </c>
      <c r="J267" t="s">
        <v>541</v>
      </c>
      <c r="K267">
        <v>0</v>
      </c>
      <c r="L267">
        <v>80</v>
      </c>
      <c r="M267">
        <v>120</v>
      </c>
      <c r="N267">
        <v>120</v>
      </c>
      <c r="O267" t="s">
        <v>114</v>
      </c>
      <c r="P267">
        <v>20</v>
      </c>
      <c r="Q267">
        <v>30</v>
      </c>
      <c r="R267">
        <v>20</v>
      </c>
      <c r="S267">
        <f t="shared" si="37"/>
        <v>25</v>
      </c>
      <c r="T267">
        <f t="shared" si="38"/>
        <v>0.20833333333333334</v>
      </c>
      <c r="U267" t="s">
        <v>794</v>
      </c>
      <c r="V267" t="s">
        <v>114</v>
      </c>
      <c r="W267" t="s">
        <v>114</v>
      </c>
      <c r="X267">
        <v>13.5</v>
      </c>
      <c r="Y267">
        <v>11</v>
      </c>
      <c r="Z267">
        <v>12</v>
      </c>
      <c r="AA267">
        <v>12.16666667</v>
      </c>
      <c r="AB267">
        <v>11.83333333</v>
      </c>
      <c r="AC267">
        <v>11</v>
      </c>
      <c r="AD267">
        <v>11.5</v>
      </c>
      <c r="AE267">
        <v>13</v>
      </c>
      <c r="AF267">
        <v>11.83333333</v>
      </c>
      <c r="AG267">
        <v>17.899999999999999</v>
      </c>
      <c r="AH267">
        <v>17.5</v>
      </c>
      <c r="AI267">
        <v>14.4</v>
      </c>
      <c r="AJ267">
        <v>16.600000000000001</v>
      </c>
      <c r="AK267">
        <v>14.9</v>
      </c>
      <c r="AL267">
        <v>15.9</v>
      </c>
      <c r="AM267">
        <v>13</v>
      </c>
      <c r="AN267">
        <v>14.6</v>
      </c>
      <c r="AO267">
        <v>14.6</v>
      </c>
      <c r="AP267">
        <v>4.0999999999999996</v>
      </c>
      <c r="AQ267">
        <v>5.6</v>
      </c>
      <c r="AR267" t="s">
        <v>114</v>
      </c>
      <c r="AS267">
        <v>4.8499999999999996</v>
      </c>
      <c r="AT267">
        <v>5.0999999999999996</v>
      </c>
      <c r="AU267">
        <v>5.0999999999999996</v>
      </c>
      <c r="AV267">
        <v>4.5999999999999996</v>
      </c>
      <c r="AW267">
        <v>4.9333333330000002</v>
      </c>
      <c r="AX267">
        <v>4.9333333330000002</v>
      </c>
      <c r="AY267">
        <v>-6.9</v>
      </c>
      <c r="AZ267">
        <v>60</v>
      </c>
      <c r="BA267">
        <v>0</v>
      </c>
      <c r="BB267">
        <v>30</v>
      </c>
      <c r="BC267">
        <v>10</v>
      </c>
      <c r="BD267">
        <v>0</v>
      </c>
      <c r="BE267">
        <v>1</v>
      </c>
      <c r="BF267">
        <v>0</v>
      </c>
      <c r="BG267">
        <v>0</v>
      </c>
      <c r="BI267">
        <v>14</v>
      </c>
      <c r="BJ267">
        <v>52.600999999999999</v>
      </c>
      <c r="BK267">
        <v>0</v>
      </c>
      <c r="BL267">
        <v>10</v>
      </c>
      <c r="BM267">
        <v>9</v>
      </c>
      <c r="BN267">
        <v>9</v>
      </c>
      <c r="BO267">
        <v>9</v>
      </c>
      <c r="BP267">
        <f t="shared" si="39"/>
        <v>0</v>
      </c>
      <c r="BQ267" t="s">
        <v>114</v>
      </c>
      <c r="BR267" t="s">
        <v>114</v>
      </c>
      <c r="BS267" t="s">
        <v>114</v>
      </c>
      <c r="BT267" t="s">
        <v>114</v>
      </c>
      <c r="BU267" t="s">
        <v>114</v>
      </c>
      <c r="BV267" t="s">
        <v>114</v>
      </c>
      <c r="BW267" t="s">
        <v>114</v>
      </c>
      <c r="BX267" t="s">
        <v>114</v>
      </c>
      <c r="BY267" t="s">
        <v>114</v>
      </c>
      <c r="BZ267" t="s">
        <v>114</v>
      </c>
      <c r="CA267" t="s">
        <v>114</v>
      </c>
      <c r="CB267" t="s">
        <v>114</v>
      </c>
      <c r="CC267" t="s">
        <v>114</v>
      </c>
      <c r="CD267" t="s">
        <v>114</v>
      </c>
      <c r="CE267" t="s">
        <v>114</v>
      </c>
      <c r="CF267" t="s">
        <v>114</v>
      </c>
      <c r="CG267" t="s">
        <v>114</v>
      </c>
      <c r="CH267" t="s">
        <v>114</v>
      </c>
      <c r="CI267" t="s">
        <v>114</v>
      </c>
      <c r="CJ267" t="s">
        <v>114</v>
      </c>
      <c r="CK267" t="s">
        <v>114</v>
      </c>
      <c r="CL267" t="s">
        <v>114</v>
      </c>
      <c r="CM267" t="s">
        <v>114</v>
      </c>
      <c r="CN267" t="s">
        <v>114</v>
      </c>
      <c r="CO267" t="s">
        <v>114</v>
      </c>
      <c r="CP267" t="s">
        <v>114</v>
      </c>
      <c r="CQ267" t="s">
        <v>114</v>
      </c>
      <c r="CR267" t="s">
        <v>114</v>
      </c>
      <c r="CS267" t="s">
        <v>114</v>
      </c>
      <c r="CT267" t="s">
        <v>114</v>
      </c>
      <c r="CU267" t="s">
        <v>114</v>
      </c>
      <c r="CV267" t="s">
        <v>114</v>
      </c>
      <c r="CW267" t="s">
        <v>114</v>
      </c>
    </row>
    <row r="268" spans="1:101" x14ac:dyDescent="0.25">
      <c r="A268" t="s">
        <v>60</v>
      </c>
      <c r="B268">
        <v>12</v>
      </c>
      <c r="C268" t="s">
        <v>33</v>
      </c>
      <c r="D268" t="s">
        <v>95</v>
      </c>
      <c r="E268" t="s">
        <v>104</v>
      </c>
      <c r="F268" t="s">
        <v>120</v>
      </c>
      <c r="G268" t="s">
        <v>272</v>
      </c>
      <c r="H268" t="str">
        <f t="shared" si="36"/>
        <v>T.cyanopetala.Solo.Shade</v>
      </c>
      <c r="I268" t="s">
        <v>685</v>
      </c>
      <c r="J268" t="s">
        <v>542</v>
      </c>
      <c r="K268">
        <v>0</v>
      </c>
      <c r="L268">
        <v>25</v>
      </c>
      <c r="M268">
        <v>40</v>
      </c>
      <c r="N268">
        <v>40</v>
      </c>
      <c r="O268" t="s">
        <v>114</v>
      </c>
      <c r="P268">
        <v>35</v>
      </c>
      <c r="Q268">
        <v>30</v>
      </c>
      <c r="R268">
        <v>30</v>
      </c>
      <c r="S268">
        <f t="shared" si="37"/>
        <v>30</v>
      </c>
      <c r="T268">
        <f t="shared" si="38"/>
        <v>0.75</v>
      </c>
      <c r="U268" t="s">
        <v>29</v>
      </c>
      <c r="V268" t="s">
        <v>114</v>
      </c>
      <c r="W268" t="s">
        <v>114</v>
      </c>
      <c r="X268">
        <v>13.5</v>
      </c>
      <c r="Y268">
        <v>11</v>
      </c>
      <c r="Z268">
        <v>12</v>
      </c>
      <c r="AA268">
        <v>12.16666667</v>
      </c>
      <c r="AB268" t="s">
        <v>114</v>
      </c>
      <c r="AC268" t="s">
        <v>114</v>
      </c>
      <c r="AD268" t="s">
        <v>114</v>
      </c>
      <c r="AE268" t="s">
        <v>114</v>
      </c>
      <c r="AF268" t="s">
        <v>114</v>
      </c>
      <c r="AG268">
        <v>17.899999999999999</v>
      </c>
      <c r="AH268">
        <v>17.5</v>
      </c>
      <c r="AI268">
        <v>14.4</v>
      </c>
      <c r="AJ268">
        <v>16.600000000000001</v>
      </c>
      <c r="AK268">
        <v>13.5</v>
      </c>
      <c r="AL268">
        <v>15.9</v>
      </c>
      <c r="AM268">
        <v>14.4</v>
      </c>
      <c r="AN268">
        <v>14.6</v>
      </c>
      <c r="AO268">
        <v>14.6</v>
      </c>
      <c r="AP268">
        <v>4.0999999999999996</v>
      </c>
      <c r="AQ268">
        <v>5.6</v>
      </c>
      <c r="AR268" t="s">
        <v>114</v>
      </c>
      <c r="AS268">
        <v>4.8499999999999996</v>
      </c>
      <c r="AT268">
        <v>5.6</v>
      </c>
      <c r="AU268">
        <v>5.6</v>
      </c>
      <c r="AV268">
        <v>6.1</v>
      </c>
      <c r="AW268">
        <v>5.766666667</v>
      </c>
      <c r="AX268">
        <v>5.766666667</v>
      </c>
      <c r="AY268" t="s">
        <v>114</v>
      </c>
      <c r="AZ268">
        <v>50</v>
      </c>
      <c r="BA268">
        <v>0</v>
      </c>
      <c r="BB268">
        <v>30</v>
      </c>
      <c r="BC268">
        <v>10</v>
      </c>
      <c r="BD268">
        <v>0</v>
      </c>
      <c r="BE268">
        <v>1</v>
      </c>
      <c r="BF268">
        <v>10</v>
      </c>
      <c r="BG268">
        <v>0</v>
      </c>
      <c r="BI268">
        <v>14</v>
      </c>
      <c r="BJ268">
        <v>52.600999999999999</v>
      </c>
      <c r="BK268">
        <v>0</v>
      </c>
      <c r="BL268">
        <v>4</v>
      </c>
      <c r="BM268">
        <v>4</v>
      </c>
      <c r="BN268">
        <v>24</v>
      </c>
      <c r="BO268">
        <v>22</v>
      </c>
      <c r="BP268">
        <f t="shared" si="39"/>
        <v>2</v>
      </c>
      <c r="BQ268" t="s">
        <v>114</v>
      </c>
      <c r="BR268" t="s">
        <v>114</v>
      </c>
      <c r="BS268" t="s">
        <v>114</v>
      </c>
      <c r="BT268" t="s">
        <v>114</v>
      </c>
      <c r="BU268" t="s">
        <v>114</v>
      </c>
      <c r="BV268" t="s">
        <v>114</v>
      </c>
      <c r="BW268" t="s">
        <v>114</v>
      </c>
      <c r="BX268" t="s">
        <v>114</v>
      </c>
      <c r="BY268" t="s">
        <v>114</v>
      </c>
      <c r="BZ268" t="s">
        <v>114</v>
      </c>
      <c r="CA268" t="s">
        <v>114</v>
      </c>
      <c r="CB268" t="s">
        <v>114</v>
      </c>
      <c r="CC268" t="s">
        <v>114</v>
      </c>
      <c r="CD268" t="s">
        <v>114</v>
      </c>
      <c r="CE268" t="s">
        <v>114</v>
      </c>
      <c r="CF268" t="s">
        <v>114</v>
      </c>
      <c r="CG268" t="s">
        <v>114</v>
      </c>
      <c r="CH268" t="s">
        <v>114</v>
      </c>
      <c r="CI268" t="s">
        <v>114</v>
      </c>
      <c r="CJ268" t="s">
        <v>114</v>
      </c>
      <c r="CK268" t="s">
        <v>114</v>
      </c>
      <c r="CL268" t="s">
        <v>114</v>
      </c>
      <c r="CM268" t="s">
        <v>114</v>
      </c>
      <c r="CN268" t="s">
        <v>114</v>
      </c>
      <c r="CO268" t="s">
        <v>114</v>
      </c>
      <c r="CP268" t="s">
        <v>114</v>
      </c>
      <c r="CQ268" t="s">
        <v>114</v>
      </c>
      <c r="CR268" t="s">
        <v>114</v>
      </c>
      <c r="CS268" t="s">
        <v>114</v>
      </c>
      <c r="CT268" t="s">
        <v>114</v>
      </c>
      <c r="CU268" t="s">
        <v>114</v>
      </c>
      <c r="CV268" t="s">
        <v>114</v>
      </c>
      <c r="CW268" t="s">
        <v>114</v>
      </c>
    </row>
    <row r="269" spans="1:101" x14ac:dyDescent="0.25">
      <c r="A269" t="s">
        <v>60</v>
      </c>
      <c r="B269">
        <v>12</v>
      </c>
      <c r="C269" t="s">
        <v>33</v>
      </c>
      <c r="D269" t="s">
        <v>95</v>
      </c>
      <c r="E269" t="s">
        <v>112</v>
      </c>
      <c r="F269" t="s">
        <v>120</v>
      </c>
      <c r="G269" t="s">
        <v>269</v>
      </c>
      <c r="H269" t="str">
        <f t="shared" si="36"/>
        <v>V.rosea.Solo.Shade</v>
      </c>
      <c r="I269" t="s">
        <v>690</v>
      </c>
      <c r="J269" t="s">
        <v>543</v>
      </c>
      <c r="K269">
        <v>0</v>
      </c>
      <c r="L269">
        <v>40</v>
      </c>
      <c r="M269">
        <v>70</v>
      </c>
      <c r="N269">
        <v>70</v>
      </c>
      <c r="O269" t="s">
        <v>114</v>
      </c>
      <c r="P269">
        <v>75</v>
      </c>
      <c r="Q269">
        <v>150</v>
      </c>
      <c r="R269">
        <v>30</v>
      </c>
      <c r="S269">
        <f t="shared" si="37"/>
        <v>90</v>
      </c>
      <c r="T269">
        <f t="shared" si="38"/>
        <v>1.2857142857142858</v>
      </c>
      <c r="U269" t="s">
        <v>792</v>
      </c>
      <c r="V269" t="s">
        <v>114</v>
      </c>
      <c r="W269" t="s">
        <v>114</v>
      </c>
      <c r="X269">
        <v>13.5</v>
      </c>
      <c r="Y269">
        <v>11</v>
      </c>
      <c r="Z269">
        <v>12</v>
      </c>
      <c r="AA269">
        <v>12.16666667</v>
      </c>
      <c r="AB269">
        <v>13.46666667</v>
      </c>
      <c r="AC269">
        <v>13.9</v>
      </c>
      <c r="AD269">
        <v>13.5</v>
      </c>
      <c r="AE269">
        <v>13</v>
      </c>
      <c r="AF269">
        <v>13.46666667</v>
      </c>
      <c r="AG269">
        <v>17.899999999999999</v>
      </c>
      <c r="AH269">
        <v>17.5</v>
      </c>
      <c r="AI269">
        <v>14.4</v>
      </c>
      <c r="AJ269">
        <v>16.600000000000001</v>
      </c>
      <c r="AK269">
        <v>15.9</v>
      </c>
      <c r="AL269">
        <v>14.9</v>
      </c>
      <c r="AM269">
        <v>17.399999999999999</v>
      </c>
      <c r="AN269">
        <v>16.06666667</v>
      </c>
      <c r="AO269">
        <v>16.06666667</v>
      </c>
      <c r="AP269">
        <v>4.0999999999999996</v>
      </c>
      <c r="AQ269">
        <v>5.6</v>
      </c>
      <c r="AR269" t="s">
        <v>114</v>
      </c>
      <c r="AS269">
        <v>4.8499999999999996</v>
      </c>
      <c r="AT269">
        <v>6.6</v>
      </c>
      <c r="AU269">
        <v>6.6</v>
      </c>
      <c r="AV269">
        <v>7.1</v>
      </c>
      <c r="AW269">
        <v>6.766666667</v>
      </c>
      <c r="AX269">
        <v>6.766666667</v>
      </c>
      <c r="AY269">
        <v>-6.7</v>
      </c>
      <c r="AZ269">
        <v>10</v>
      </c>
      <c r="BA269">
        <v>0</v>
      </c>
      <c r="BB269">
        <v>80</v>
      </c>
      <c r="BC269">
        <v>10</v>
      </c>
      <c r="BD269">
        <v>0</v>
      </c>
      <c r="BE269">
        <v>1</v>
      </c>
      <c r="BF269">
        <v>0</v>
      </c>
      <c r="BG269">
        <v>0</v>
      </c>
      <c r="BI269">
        <v>14</v>
      </c>
      <c r="BJ269">
        <v>52.600999999999999</v>
      </c>
      <c r="BK269">
        <v>0</v>
      </c>
      <c r="BL269">
        <v>3</v>
      </c>
      <c r="BM269">
        <v>3</v>
      </c>
      <c r="BN269">
        <v>9</v>
      </c>
      <c r="BO269">
        <v>133</v>
      </c>
      <c r="BP269">
        <f t="shared" si="39"/>
        <v>-124</v>
      </c>
      <c r="BQ269" t="s">
        <v>114</v>
      </c>
      <c r="BR269" t="s">
        <v>114</v>
      </c>
      <c r="BS269" t="s">
        <v>114</v>
      </c>
      <c r="BT269" t="s">
        <v>114</v>
      </c>
      <c r="BU269" t="s">
        <v>114</v>
      </c>
      <c r="BV269" t="s">
        <v>114</v>
      </c>
      <c r="BW269" t="s">
        <v>114</v>
      </c>
      <c r="BX269" t="s">
        <v>114</v>
      </c>
      <c r="BY269" t="s">
        <v>114</v>
      </c>
      <c r="BZ269" t="s">
        <v>114</v>
      </c>
      <c r="CA269" t="s">
        <v>114</v>
      </c>
      <c r="CB269" t="s">
        <v>114</v>
      </c>
      <c r="CC269" t="s">
        <v>114</v>
      </c>
      <c r="CD269" t="s">
        <v>114</v>
      </c>
      <c r="CE269" t="s">
        <v>114</v>
      </c>
      <c r="CF269" t="s">
        <v>114</v>
      </c>
      <c r="CG269" t="s">
        <v>114</v>
      </c>
      <c r="CH269" t="s">
        <v>114</v>
      </c>
      <c r="CI269" t="s">
        <v>114</v>
      </c>
      <c r="CJ269" t="s">
        <v>114</v>
      </c>
      <c r="CK269" t="s">
        <v>114</v>
      </c>
      <c r="CL269" t="s">
        <v>114</v>
      </c>
      <c r="CM269" t="s">
        <v>114</v>
      </c>
      <c r="CN269" t="s">
        <v>114</v>
      </c>
      <c r="CO269" t="s">
        <v>114</v>
      </c>
      <c r="CP269" t="s">
        <v>114</v>
      </c>
      <c r="CQ269" t="s">
        <v>114</v>
      </c>
      <c r="CR269" t="s">
        <v>114</v>
      </c>
      <c r="CS269" t="s">
        <v>114</v>
      </c>
      <c r="CT269" t="s">
        <v>114</v>
      </c>
      <c r="CU269" t="s">
        <v>114</v>
      </c>
      <c r="CV269" t="s">
        <v>114</v>
      </c>
      <c r="CW269" t="s">
        <v>114</v>
      </c>
    </row>
    <row r="270" spans="1:101" x14ac:dyDescent="0.25">
      <c r="A270" t="s">
        <v>61</v>
      </c>
      <c r="B270">
        <v>12</v>
      </c>
      <c r="C270" t="s">
        <v>35</v>
      </c>
      <c r="D270" t="s">
        <v>94</v>
      </c>
      <c r="E270" t="s">
        <v>102</v>
      </c>
      <c r="F270" t="s">
        <v>120</v>
      </c>
      <c r="G270" t="s">
        <v>273</v>
      </c>
      <c r="H270" t="str">
        <f t="shared" si="36"/>
        <v>A.calendula.Solo.Open</v>
      </c>
      <c r="I270" t="s">
        <v>691</v>
      </c>
      <c r="J270" t="s">
        <v>544</v>
      </c>
      <c r="K270">
        <v>0</v>
      </c>
      <c r="L270">
        <v>25</v>
      </c>
      <c r="M270">
        <v>40</v>
      </c>
      <c r="N270">
        <v>40</v>
      </c>
      <c r="O270" t="s">
        <v>114</v>
      </c>
      <c r="P270">
        <v>140</v>
      </c>
      <c r="Q270">
        <v>150</v>
      </c>
      <c r="R270">
        <v>100</v>
      </c>
      <c r="S270">
        <f t="shared" si="37"/>
        <v>125</v>
      </c>
      <c r="T270">
        <f t="shared" si="38"/>
        <v>3.125</v>
      </c>
      <c r="U270" t="s">
        <v>15</v>
      </c>
      <c r="V270" t="s">
        <v>114</v>
      </c>
      <c r="W270" t="s">
        <v>114</v>
      </c>
      <c r="X270">
        <v>14.4</v>
      </c>
      <c r="Y270">
        <v>12</v>
      </c>
      <c r="Z270">
        <v>11.5</v>
      </c>
      <c r="AA270">
        <v>12.633333329999999</v>
      </c>
      <c r="AB270">
        <v>14.133333329999999</v>
      </c>
      <c r="AC270">
        <v>11</v>
      </c>
      <c r="AD270">
        <v>13.5</v>
      </c>
      <c r="AE270">
        <v>17.899999999999999</v>
      </c>
      <c r="AF270">
        <v>14.133333329999999</v>
      </c>
      <c r="AG270">
        <v>12.5</v>
      </c>
      <c r="AH270">
        <v>13.5</v>
      </c>
      <c r="AI270">
        <v>13.9</v>
      </c>
      <c r="AJ270">
        <v>13.3</v>
      </c>
      <c r="AK270">
        <v>15.9</v>
      </c>
      <c r="AL270">
        <v>15.4</v>
      </c>
      <c r="AM270">
        <v>18.399999999999999</v>
      </c>
      <c r="AN270">
        <v>16.56666667</v>
      </c>
      <c r="AO270">
        <v>16.56666667</v>
      </c>
      <c r="AP270">
        <v>5.6</v>
      </c>
      <c r="AQ270">
        <v>5.0999999999999996</v>
      </c>
      <c r="AR270">
        <v>6.1</v>
      </c>
      <c r="AS270">
        <v>5.6</v>
      </c>
      <c r="AT270">
        <v>4.5999999999999996</v>
      </c>
      <c r="AU270">
        <v>5.6</v>
      </c>
      <c r="AV270">
        <v>8.1</v>
      </c>
      <c r="AW270">
        <v>6.1</v>
      </c>
      <c r="AX270">
        <v>6.1</v>
      </c>
      <c r="AY270">
        <v>-8.0333333329999999</v>
      </c>
      <c r="AZ270">
        <v>80</v>
      </c>
      <c r="BA270">
        <v>0</v>
      </c>
      <c r="BB270">
        <v>20</v>
      </c>
      <c r="BC270">
        <v>0</v>
      </c>
      <c r="BD270">
        <v>0</v>
      </c>
      <c r="BE270">
        <v>0</v>
      </c>
      <c r="BF270">
        <v>0</v>
      </c>
      <c r="BG270">
        <v>0</v>
      </c>
      <c r="BI270">
        <v>11.5</v>
      </c>
      <c r="BJ270">
        <v>18.087</v>
      </c>
      <c r="BK270">
        <v>0</v>
      </c>
      <c r="BL270">
        <v>23</v>
      </c>
      <c r="BM270">
        <v>23</v>
      </c>
      <c r="BN270">
        <v>971</v>
      </c>
      <c r="BO270">
        <v>485.5</v>
      </c>
      <c r="BP270">
        <f t="shared" si="39"/>
        <v>485.5</v>
      </c>
      <c r="BQ270" t="s">
        <v>114</v>
      </c>
      <c r="BR270" t="s">
        <v>114</v>
      </c>
      <c r="BS270" t="s">
        <v>114</v>
      </c>
      <c r="BT270" t="s">
        <v>114</v>
      </c>
      <c r="BU270" t="s">
        <v>114</v>
      </c>
      <c r="BV270" t="s">
        <v>114</v>
      </c>
      <c r="BW270" t="s">
        <v>114</v>
      </c>
      <c r="BX270" t="s">
        <v>114</v>
      </c>
      <c r="BY270" t="s">
        <v>114</v>
      </c>
      <c r="BZ270" t="s">
        <v>114</v>
      </c>
      <c r="CA270" t="s">
        <v>114</v>
      </c>
      <c r="CB270" t="s">
        <v>114</v>
      </c>
      <c r="CC270" t="s">
        <v>114</v>
      </c>
      <c r="CD270" t="s">
        <v>114</v>
      </c>
      <c r="CE270" t="s">
        <v>114</v>
      </c>
      <c r="CF270" t="s">
        <v>114</v>
      </c>
      <c r="CG270" t="s">
        <v>114</v>
      </c>
      <c r="CH270" t="s">
        <v>114</v>
      </c>
      <c r="CI270" t="s">
        <v>114</v>
      </c>
      <c r="CJ270" t="s">
        <v>114</v>
      </c>
      <c r="CK270" t="s">
        <v>114</v>
      </c>
      <c r="CL270" t="s">
        <v>114</v>
      </c>
      <c r="CM270" t="s">
        <v>114</v>
      </c>
      <c r="CN270" t="s">
        <v>114</v>
      </c>
      <c r="CO270" t="s">
        <v>114</v>
      </c>
      <c r="CP270" t="s">
        <v>114</v>
      </c>
      <c r="CQ270" t="s">
        <v>114</v>
      </c>
      <c r="CR270" t="s">
        <v>114</v>
      </c>
      <c r="CS270" t="s">
        <v>114</v>
      </c>
      <c r="CT270" t="s">
        <v>114</v>
      </c>
      <c r="CU270" t="s">
        <v>114</v>
      </c>
      <c r="CV270" t="s">
        <v>114</v>
      </c>
      <c r="CW270" t="s">
        <v>114</v>
      </c>
    </row>
    <row r="271" spans="1:101" x14ac:dyDescent="0.25">
      <c r="A271" t="s">
        <v>61</v>
      </c>
      <c r="B271">
        <v>12</v>
      </c>
      <c r="C271" t="s">
        <v>35</v>
      </c>
      <c r="D271" t="s">
        <v>94</v>
      </c>
      <c r="E271" t="s">
        <v>110</v>
      </c>
      <c r="F271" t="s">
        <v>120</v>
      </c>
      <c r="G271" t="s">
        <v>270</v>
      </c>
      <c r="H271" t="str">
        <f t="shared" si="36"/>
        <v>M.minima.Solo.Open</v>
      </c>
      <c r="I271" t="s">
        <v>695</v>
      </c>
      <c r="J271" t="s">
        <v>545</v>
      </c>
      <c r="K271">
        <v>0</v>
      </c>
      <c r="L271">
        <v>20</v>
      </c>
      <c r="M271">
        <v>35</v>
      </c>
      <c r="N271">
        <v>35</v>
      </c>
      <c r="O271" t="s">
        <v>114</v>
      </c>
      <c r="P271">
        <v>10</v>
      </c>
      <c r="Q271">
        <v>20</v>
      </c>
      <c r="R271">
        <v>10</v>
      </c>
      <c r="S271">
        <f t="shared" si="37"/>
        <v>15</v>
      </c>
      <c r="T271">
        <f t="shared" si="38"/>
        <v>0.42857142857142855</v>
      </c>
      <c r="U271" t="s">
        <v>794</v>
      </c>
      <c r="V271" t="s">
        <v>114</v>
      </c>
      <c r="W271" t="s">
        <v>114</v>
      </c>
      <c r="X271">
        <v>14.4</v>
      </c>
      <c r="Y271">
        <v>12</v>
      </c>
      <c r="Z271">
        <v>11.5</v>
      </c>
      <c r="AA271">
        <v>12.633333329999999</v>
      </c>
      <c r="AB271">
        <v>12.633333329999999</v>
      </c>
      <c r="AC271">
        <v>10</v>
      </c>
      <c r="AD271">
        <v>10</v>
      </c>
      <c r="AE271">
        <v>17.899999999999999</v>
      </c>
      <c r="AF271">
        <v>12.633333329999999</v>
      </c>
      <c r="AG271">
        <v>12.5</v>
      </c>
      <c r="AH271">
        <v>13.5</v>
      </c>
      <c r="AI271">
        <v>13.9</v>
      </c>
      <c r="AJ271">
        <v>13.3</v>
      </c>
      <c r="AK271">
        <v>13.9</v>
      </c>
      <c r="AL271">
        <v>20.3</v>
      </c>
      <c r="AM271">
        <v>22.3</v>
      </c>
      <c r="AN271">
        <v>18.833333329999999</v>
      </c>
      <c r="AO271">
        <v>18.833333329999999</v>
      </c>
      <c r="AP271">
        <v>5.6</v>
      </c>
      <c r="AQ271">
        <v>5.0999999999999996</v>
      </c>
      <c r="AR271">
        <v>6.1</v>
      </c>
      <c r="AS271">
        <v>5.6</v>
      </c>
      <c r="AT271">
        <v>5.6</v>
      </c>
      <c r="AU271">
        <v>6.1</v>
      </c>
      <c r="AV271">
        <v>7.1</v>
      </c>
      <c r="AW271">
        <v>6.266666667</v>
      </c>
      <c r="AX271">
        <v>6.266666667</v>
      </c>
      <c r="AY271">
        <v>-6.3666666669999996</v>
      </c>
      <c r="AZ271">
        <v>100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I271">
        <v>11.5</v>
      </c>
      <c r="BJ271">
        <v>18.087</v>
      </c>
      <c r="BK271">
        <v>0</v>
      </c>
      <c r="BL271">
        <v>15</v>
      </c>
      <c r="BM271">
        <v>14</v>
      </c>
      <c r="BN271">
        <v>14</v>
      </c>
      <c r="BO271">
        <v>8</v>
      </c>
      <c r="BP271">
        <f t="shared" si="39"/>
        <v>6</v>
      </c>
      <c r="BQ271" t="s">
        <v>114</v>
      </c>
      <c r="BR271" t="s">
        <v>114</v>
      </c>
      <c r="BS271" t="s">
        <v>114</v>
      </c>
      <c r="BT271" t="s">
        <v>114</v>
      </c>
      <c r="BU271" t="s">
        <v>114</v>
      </c>
      <c r="BV271" t="s">
        <v>114</v>
      </c>
      <c r="BW271" t="s">
        <v>114</v>
      </c>
      <c r="BX271" t="s">
        <v>114</v>
      </c>
      <c r="BY271" t="s">
        <v>114</v>
      </c>
      <c r="BZ271" t="s">
        <v>114</v>
      </c>
      <c r="CA271" t="s">
        <v>114</v>
      </c>
      <c r="CB271" t="s">
        <v>114</v>
      </c>
      <c r="CC271" t="s">
        <v>114</v>
      </c>
      <c r="CD271" t="s">
        <v>114</v>
      </c>
      <c r="CE271" t="s">
        <v>114</v>
      </c>
      <c r="CF271" t="s">
        <v>114</v>
      </c>
      <c r="CG271" t="s">
        <v>114</v>
      </c>
      <c r="CH271" t="s">
        <v>114</v>
      </c>
      <c r="CI271" t="s">
        <v>114</v>
      </c>
      <c r="CJ271" t="s">
        <v>114</v>
      </c>
      <c r="CK271" t="s">
        <v>114</v>
      </c>
      <c r="CL271" t="s">
        <v>114</v>
      </c>
      <c r="CM271" t="s">
        <v>114</v>
      </c>
      <c r="CN271" t="s">
        <v>114</v>
      </c>
      <c r="CO271" t="s">
        <v>114</v>
      </c>
      <c r="CP271" t="s">
        <v>114</v>
      </c>
      <c r="CQ271" t="s">
        <v>114</v>
      </c>
      <c r="CR271" t="s">
        <v>114</v>
      </c>
      <c r="CS271" t="s">
        <v>114</v>
      </c>
      <c r="CT271" t="s">
        <v>114</v>
      </c>
      <c r="CU271" t="s">
        <v>114</v>
      </c>
      <c r="CV271" t="s">
        <v>114</v>
      </c>
      <c r="CW271" t="s">
        <v>114</v>
      </c>
    </row>
    <row r="272" spans="1:101" x14ac:dyDescent="0.25">
      <c r="A272" t="s">
        <v>61</v>
      </c>
      <c r="B272">
        <v>12</v>
      </c>
      <c r="C272" t="s">
        <v>35</v>
      </c>
      <c r="D272" t="s">
        <v>94</v>
      </c>
      <c r="E272" t="s">
        <v>112</v>
      </c>
      <c r="F272" t="s">
        <v>120</v>
      </c>
      <c r="G272" t="s">
        <v>269</v>
      </c>
      <c r="H272" t="str">
        <f t="shared" si="36"/>
        <v>V.rosea.Solo.Open</v>
      </c>
      <c r="I272" t="s">
        <v>688</v>
      </c>
      <c r="J272" t="s">
        <v>546</v>
      </c>
      <c r="K272">
        <v>0</v>
      </c>
      <c r="L272">
        <v>50</v>
      </c>
      <c r="M272">
        <v>45</v>
      </c>
      <c r="N272">
        <v>45</v>
      </c>
      <c r="O272" t="s">
        <v>114</v>
      </c>
      <c r="P272">
        <v>50</v>
      </c>
      <c r="Q272">
        <v>180</v>
      </c>
      <c r="R272">
        <v>110</v>
      </c>
      <c r="S272">
        <f t="shared" si="37"/>
        <v>145</v>
      </c>
      <c r="T272">
        <f t="shared" si="38"/>
        <v>3.2222222222222223</v>
      </c>
      <c r="U272" t="s">
        <v>792</v>
      </c>
      <c r="V272" t="s">
        <v>114</v>
      </c>
      <c r="W272" t="s">
        <v>114</v>
      </c>
      <c r="X272">
        <v>14.4</v>
      </c>
      <c r="Y272">
        <v>12</v>
      </c>
      <c r="Z272">
        <v>11.5</v>
      </c>
      <c r="AA272">
        <v>12.633333329999999</v>
      </c>
      <c r="AB272">
        <v>23.6</v>
      </c>
      <c r="AC272">
        <v>24.7</v>
      </c>
      <c r="AD272">
        <v>21.8</v>
      </c>
      <c r="AE272">
        <v>24.3</v>
      </c>
      <c r="AF272">
        <v>23.6</v>
      </c>
      <c r="AG272">
        <v>12.5</v>
      </c>
      <c r="AH272">
        <v>13.5</v>
      </c>
      <c r="AI272">
        <v>13.9</v>
      </c>
      <c r="AJ272">
        <v>13.3</v>
      </c>
      <c r="AK272">
        <v>11</v>
      </c>
      <c r="AL272">
        <v>31.1</v>
      </c>
      <c r="AM272">
        <v>22.3</v>
      </c>
      <c r="AN272">
        <v>21.466666669999999</v>
      </c>
      <c r="AO272">
        <v>21.466666669999999</v>
      </c>
      <c r="AP272">
        <v>5.6</v>
      </c>
      <c r="AQ272">
        <v>5.0999999999999996</v>
      </c>
      <c r="AR272">
        <v>6.1</v>
      </c>
      <c r="AS272">
        <v>5.6</v>
      </c>
      <c r="AT272">
        <v>4.5999999999999996</v>
      </c>
      <c r="AU272">
        <v>6.6</v>
      </c>
      <c r="AV272">
        <v>7.1</v>
      </c>
      <c r="AW272">
        <v>6.1</v>
      </c>
      <c r="AX272">
        <v>6.1</v>
      </c>
      <c r="AY272">
        <v>-17.5</v>
      </c>
      <c r="AZ272">
        <v>90</v>
      </c>
      <c r="BA272">
        <v>0</v>
      </c>
      <c r="BB272">
        <v>10</v>
      </c>
      <c r="BC272">
        <v>0</v>
      </c>
      <c r="BD272">
        <v>0</v>
      </c>
      <c r="BE272">
        <v>0</v>
      </c>
      <c r="BF272">
        <v>0</v>
      </c>
      <c r="BG272">
        <v>0</v>
      </c>
      <c r="BI272">
        <v>11.5</v>
      </c>
      <c r="BJ272">
        <v>18.087</v>
      </c>
      <c r="BK272">
        <v>0</v>
      </c>
      <c r="BL272">
        <v>57</v>
      </c>
      <c r="BM272">
        <v>57</v>
      </c>
      <c r="BN272">
        <v>200</v>
      </c>
      <c r="BO272">
        <v>184.8</v>
      </c>
      <c r="BP272">
        <f t="shared" si="39"/>
        <v>15.199999999999989</v>
      </c>
      <c r="BQ272" t="s">
        <v>114</v>
      </c>
      <c r="BR272" t="s">
        <v>114</v>
      </c>
      <c r="BS272" t="s">
        <v>114</v>
      </c>
      <c r="BT272" t="s">
        <v>114</v>
      </c>
      <c r="BU272" t="s">
        <v>114</v>
      </c>
      <c r="BV272" t="s">
        <v>114</v>
      </c>
      <c r="BW272" t="s">
        <v>114</v>
      </c>
      <c r="BX272" t="s">
        <v>114</v>
      </c>
      <c r="BY272" t="s">
        <v>114</v>
      </c>
      <c r="BZ272" t="s">
        <v>114</v>
      </c>
      <c r="CA272" t="s">
        <v>114</v>
      </c>
      <c r="CB272" t="s">
        <v>114</v>
      </c>
      <c r="CC272" t="s">
        <v>114</v>
      </c>
      <c r="CD272" t="s">
        <v>114</v>
      </c>
      <c r="CE272" t="s">
        <v>114</v>
      </c>
      <c r="CF272" t="s">
        <v>114</v>
      </c>
      <c r="CG272" t="s">
        <v>114</v>
      </c>
      <c r="CH272" t="s">
        <v>114</v>
      </c>
      <c r="CI272" t="s">
        <v>114</v>
      </c>
      <c r="CJ272" t="s">
        <v>114</v>
      </c>
      <c r="CK272" t="s">
        <v>114</v>
      </c>
      <c r="CL272" t="s">
        <v>114</v>
      </c>
      <c r="CM272" t="s">
        <v>114</v>
      </c>
      <c r="CN272" t="s">
        <v>114</v>
      </c>
      <c r="CO272" t="s">
        <v>114</v>
      </c>
      <c r="CP272" t="s">
        <v>114</v>
      </c>
      <c r="CQ272" t="s">
        <v>114</v>
      </c>
      <c r="CR272" t="s">
        <v>114</v>
      </c>
      <c r="CS272" t="s">
        <v>114</v>
      </c>
      <c r="CT272" t="s">
        <v>114</v>
      </c>
      <c r="CU272" t="s">
        <v>114</v>
      </c>
      <c r="CV272" t="s">
        <v>114</v>
      </c>
      <c r="CW272" t="s">
        <v>114</v>
      </c>
    </row>
    <row r="273" spans="1:101" x14ac:dyDescent="0.25">
      <c r="A273" t="s">
        <v>62</v>
      </c>
      <c r="B273">
        <v>12</v>
      </c>
      <c r="C273" t="s">
        <v>37</v>
      </c>
      <c r="D273" t="s">
        <v>95</v>
      </c>
      <c r="E273" t="s">
        <v>102</v>
      </c>
      <c r="F273" t="s">
        <v>120</v>
      </c>
      <c r="G273" t="s">
        <v>273</v>
      </c>
      <c r="H273" t="str">
        <f t="shared" si="36"/>
        <v>A.calendula.Solo.Shade</v>
      </c>
      <c r="I273" t="s">
        <v>689</v>
      </c>
      <c r="J273" t="s">
        <v>547</v>
      </c>
      <c r="K273">
        <v>0</v>
      </c>
      <c r="L273">
        <v>80</v>
      </c>
      <c r="M273">
        <v>160</v>
      </c>
      <c r="N273">
        <v>160</v>
      </c>
      <c r="O273" t="s">
        <v>114</v>
      </c>
      <c r="P273">
        <v>210</v>
      </c>
      <c r="Q273">
        <v>210</v>
      </c>
      <c r="R273">
        <v>130</v>
      </c>
      <c r="S273">
        <f t="shared" si="37"/>
        <v>170</v>
      </c>
      <c r="T273">
        <f t="shared" si="38"/>
        <v>1.0625</v>
      </c>
      <c r="U273" t="s">
        <v>792</v>
      </c>
      <c r="V273" t="s">
        <v>114</v>
      </c>
      <c r="W273" t="s">
        <v>114</v>
      </c>
      <c r="X273">
        <v>13.5</v>
      </c>
      <c r="Y273">
        <v>12.5</v>
      </c>
      <c r="Z273">
        <v>15.9</v>
      </c>
      <c r="AA273">
        <v>13.96666667</v>
      </c>
      <c r="AB273">
        <v>16.399999999999999</v>
      </c>
      <c r="AC273">
        <v>17.899999999999999</v>
      </c>
      <c r="AD273">
        <v>14.9</v>
      </c>
      <c r="AE273">
        <v>16.399999999999999</v>
      </c>
      <c r="AF273">
        <v>16.399999999999999</v>
      </c>
      <c r="AG273">
        <v>17.899999999999999</v>
      </c>
      <c r="AH273">
        <v>17.899999999999999</v>
      </c>
      <c r="AI273">
        <v>18.399999999999999</v>
      </c>
      <c r="AJ273">
        <v>18.06666667</v>
      </c>
      <c r="AK273">
        <v>15.4</v>
      </c>
      <c r="AL273">
        <v>12.5</v>
      </c>
      <c r="AM273">
        <v>15.4</v>
      </c>
      <c r="AN273">
        <v>14.43333333</v>
      </c>
      <c r="AO273">
        <v>14.43333333</v>
      </c>
      <c r="AP273">
        <v>5.6</v>
      </c>
      <c r="AQ273">
        <v>6.6</v>
      </c>
      <c r="AR273">
        <v>9</v>
      </c>
      <c r="AS273">
        <v>7.0666666669999998</v>
      </c>
      <c r="AT273">
        <v>8.1</v>
      </c>
      <c r="AU273">
        <v>7.6</v>
      </c>
      <c r="AV273">
        <v>8.5</v>
      </c>
      <c r="AW273">
        <v>8.0666666669999998</v>
      </c>
      <c r="AX273">
        <v>8.0666666669999998</v>
      </c>
      <c r="AY273">
        <v>-8.3333333330000006</v>
      </c>
      <c r="AZ273">
        <v>60</v>
      </c>
      <c r="BA273">
        <v>20</v>
      </c>
      <c r="BB273">
        <v>20</v>
      </c>
      <c r="BC273">
        <v>0</v>
      </c>
      <c r="BD273">
        <v>0</v>
      </c>
      <c r="BE273">
        <v>0</v>
      </c>
      <c r="BF273">
        <v>0</v>
      </c>
      <c r="BG273">
        <v>0</v>
      </c>
      <c r="BI273">
        <v>11.7</v>
      </c>
      <c r="BJ273">
        <v>55.235999999999997</v>
      </c>
      <c r="BK273">
        <v>0</v>
      </c>
      <c r="BL273">
        <v>21</v>
      </c>
      <c r="BM273">
        <v>21</v>
      </c>
      <c r="BN273">
        <v>735</v>
      </c>
      <c r="BO273">
        <v>545.5</v>
      </c>
      <c r="BP273">
        <f t="shared" si="39"/>
        <v>189.5</v>
      </c>
      <c r="BQ273" t="s">
        <v>114</v>
      </c>
      <c r="BR273" t="s">
        <v>114</v>
      </c>
      <c r="BS273" t="s">
        <v>114</v>
      </c>
      <c r="BT273" t="s">
        <v>114</v>
      </c>
      <c r="BU273" t="s">
        <v>114</v>
      </c>
      <c r="BV273" t="s">
        <v>114</v>
      </c>
      <c r="BW273" t="s">
        <v>114</v>
      </c>
      <c r="BX273" t="s">
        <v>114</v>
      </c>
      <c r="BY273" t="s">
        <v>114</v>
      </c>
      <c r="BZ273" t="s">
        <v>114</v>
      </c>
      <c r="CA273" t="s">
        <v>114</v>
      </c>
      <c r="CB273" t="s">
        <v>114</v>
      </c>
      <c r="CC273" t="s">
        <v>114</v>
      </c>
      <c r="CD273" t="s">
        <v>114</v>
      </c>
      <c r="CE273" t="s">
        <v>114</v>
      </c>
      <c r="CF273" t="s">
        <v>114</v>
      </c>
      <c r="CG273" t="s">
        <v>114</v>
      </c>
      <c r="CH273" t="s">
        <v>114</v>
      </c>
      <c r="CI273" t="s">
        <v>114</v>
      </c>
      <c r="CJ273" t="s">
        <v>114</v>
      </c>
      <c r="CK273" t="s">
        <v>114</v>
      </c>
      <c r="CL273" t="s">
        <v>114</v>
      </c>
      <c r="CM273" t="s">
        <v>114</v>
      </c>
      <c r="CN273" t="s">
        <v>114</v>
      </c>
      <c r="CO273" t="s">
        <v>114</v>
      </c>
      <c r="CP273" t="s">
        <v>114</v>
      </c>
      <c r="CQ273" t="s">
        <v>114</v>
      </c>
      <c r="CR273" t="s">
        <v>114</v>
      </c>
      <c r="CS273" t="s">
        <v>114</v>
      </c>
      <c r="CT273" t="s">
        <v>114</v>
      </c>
      <c r="CU273" t="s">
        <v>114</v>
      </c>
      <c r="CV273" t="s">
        <v>114</v>
      </c>
      <c r="CW273" t="s">
        <v>114</v>
      </c>
    </row>
    <row r="274" spans="1:101" x14ac:dyDescent="0.25">
      <c r="A274" t="s">
        <v>62</v>
      </c>
      <c r="B274">
        <v>12</v>
      </c>
      <c r="C274" t="s">
        <v>37</v>
      </c>
      <c r="D274" t="s">
        <v>95</v>
      </c>
      <c r="E274" t="s">
        <v>103</v>
      </c>
      <c r="F274" t="s">
        <v>120</v>
      </c>
      <c r="G274" t="s">
        <v>268</v>
      </c>
      <c r="H274" t="str">
        <f t="shared" si="36"/>
        <v>P.airoides.Solo.Shade</v>
      </c>
      <c r="I274" t="s">
        <v>683</v>
      </c>
      <c r="J274" t="s">
        <v>548</v>
      </c>
      <c r="K274">
        <v>0</v>
      </c>
      <c r="L274">
        <v>60</v>
      </c>
      <c r="M274">
        <v>50</v>
      </c>
      <c r="N274">
        <v>50</v>
      </c>
      <c r="O274" t="s">
        <v>114</v>
      </c>
      <c r="P274">
        <v>18</v>
      </c>
      <c r="Q274">
        <v>60</v>
      </c>
      <c r="R274">
        <v>40</v>
      </c>
      <c r="S274">
        <f t="shared" si="37"/>
        <v>50</v>
      </c>
      <c r="T274">
        <f t="shared" si="38"/>
        <v>1</v>
      </c>
      <c r="U274" t="s">
        <v>794</v>
      </c>
      <c r="V274" t="s">
        <v>114</v>
      </c>
      <c r="W274" t="s">
        <v>114</v>
      </c>
      <c r="X274">
        <v>13.5</v>
      </c>
      <c r="Y274">
        <v>12.5</v>
      </c>
      <c r="Z274">
        <v>15.9</v>
      </c>
      <c r="AA274">
        <v>13.96666667</v>
      </c>
      <c r="AB274">
        <v>12.8</v>
      </c>
      <c r="AC274">
        <v>11.5</v>
      </c>
      <c r="AD274">
        <v>13</v>
      </c>
      <c r="AE274">
        <v>13.9</v>
      </c>
      <c r="AF274">
        <v>12.8</v>
      </c>
      <c r="AG274">
        <v>17.899999999999999</v>
      </c>
      <c r="AH274">
        <v>17.899999999999999</v>
      </c>
      <c r="AI274">
        <v>18.399999999999999</v>
      </c>
      <c r="AJ274">
        <v>18.06666667</v>
      </c>
      <c r="AK274">
        <v>11.5</v>
      </c>
      <c r="AL274">
        <v>15.4</v>
      </c>
      <c r="AM274">
        <v>14.9</v>
      </c>
      <c r="AN274">
        <v>13.93333333</v>
      </c>
      <c r="AO274">
        <v>13.93333333</v>
      </c>
      <c r="AP274">
        <v>5.6</v>
      </c>
      <c r="AQ274">
        <v>6.6</v>
      </c>
      <c r="AR274">
        <v>9</v>
      </c>
      <c r="AS274">
        <v>7.0666666669999998</v>
      </c>
      <c r="AT274">
        <v>7.6</v>
      </c>
      <c r="AU274">
        <v>5.6</v>
      </c>
      <c r="AV274">
        <v>7.1</v>
      </c>
      <c r="AW274">
        <v>6.766666667</v>
      </c>
      <c r="AX274">
        <v>6.766666667</v>
      </c>
      <c r="AY274">
        <v>-6.0333333329999999</v>
      </c>
      <c r="AZ274">
        <v>90</v>
      </c>
      <c r="BA274">
        <v>0</v>
      </c>
      <c r="BB274">
        <v>0</v>
      </c>
      <c r="BC274">
        <v>0</v>
      </c>
      <c r="BD274">
        <v>10</v>
      </c>
      <c r="BE274">
        <v>0</v>
      </c>
      <c r="BF274">
        <v>0</v>
      </c>
      <c r="BG274">
        <v>0</v>
      </c>
      <c r="BI274">
        <v>11.7</v>
      </c>
      <c r="BJ274">
        <v>55.235999999999997</v>
      </c>
      <c r="BK274">
        <v>0</v>
      </c>
      <c r="BL274">
        <v>6</v>
      </c>
      <c r="BM274">
        <v>6</v>
      </c>
      <c r="BN274">
        <v>359</v>
      </c>
      <c r="BO274">
        <v>290.75</v>
      </c>
      <c r="BP274">
        <f t="shared" si="39"/>
        <v>68.25</v>
      </c>
      <c r="BQ274" t="s">
        <v>114</v>
      </c>
      <c r="BR274" t="s">
        <v>114</v>
      </c>
      <c r="BS274" t="s">
        <v>114</v>
      </c>
      <c r="BT274" t="s">
        <v>114</v>
      </c>
      <c r="BU274" t="s">
        <v>114</v>
      </c>
      <c r="BV274" t="s">
        <v>114</v>
      </c>
      <c r="BW274" t="s">
        <v>114</v>
      </c>
      <c r="BX274" t="s">
        <v>114</v>
      </c>
      <c r="BY274" t="s">
        <v>114</v>
      </c>
      <c r="BZ274" t="s">
        <v>114</v>
      </c>
      <c r="CA274" t="s">
        <v>114</v>
      </c>
      <c r="CB274" t="s">
        <v>114</v>
      </c>
      <c r="CC274" t="s">
        <v>114</v>
      </c>
      <c r="CD274" t="s">
        <v>114</v>
      </c>
      <c r="CE274" t="s">
        <v>114</v>
      </c>
      <c r="CF274" t="s">
        <v>114</v>
      </c>
      <c r="CG274" t="s">
        <v>114</v>
      </c>
      <c r="CH274" t="s">
        <v>114</v>
      </c>
      <c r="CI274" t="s">
        <v>114</v>
      </c>
      <c r="CJ274" t="s">
        <v>114</v>
      </c>
      <c r="CK274" t="s">
        <v>114</v>
      </c>
      <c r="CL274" t="s">
        <v>114</v>
      </c>
      <c r="CM274" t="s">
        <v>114</v>
      </c>
      <c r="CN274" t="s">
        <v>114</v>
      </c>
      <c r="CO274" t="s">
        <v>114</v>
      </c>
      <c r="CP274" t="s">
        <v>114</v>
      </c>
      <c r="CQ274" t="s">
        <v>114</v>
      </c>
      <c r="CR274" t="s">
        <v>114</v>
      </c>
      <c r="CS274" t="s">
        <v>114</v>
      </c>
      <c r="CT274" t="s">
        <v>114</v>
      </c>
      <c r="CU274" t="s">
        <v>114</v>
      </c>
      <c r="CV274" t="s">
        <v>114</v>
      </c>
      <c r="CW274" t="s">
        <v>114</v>
      </c>
    </row>
    <row r="275" spans="1:101" x14ac:dyDescent="0.25">
      <c r="A275" t="s">
        <v>63</v>
      </c>
      <c r="B275">
        <v>12</v>
      </c>
      <c r="C275" t="s">
        <v>64</v>
      </c>
      <c r="D275" t="s">
        <v>94</v>
      </c>
      <c r="E275" t="s">
        <v>104</v>
      </c>
      <c r="F275" t="s">
        <v>120</v>
      </c>
      <c r="G275" t="s">
        <v>272</v>
      </c>
      <c r="H275" t="str">
        <f t="shared" si="36"/>
        <v>T.cyanopetala.Solo.Open</v>
      </c>
      <c r="I275" t="s">
        <v>696</v>
      </c>
      <c r="J275" t="s">
        <v>549</v>
      </c>
      <c r="K275">
        <v>0</v>
      </c>
      <c r="L275">
        <v>60</v>
      </c>
      <c r="M275">
        <v>70</v>
      </c>
      <c r="N275">
        <v>70</v>
      </c>
      <c r="O275" t="s">
        <v>114</v>
      </c>
      <c r="P275">
        <v>50</v>
      </c>
      <c r="Q275">
        <v>45</v>
      </c>
      <c r="R275">
        <v>35</v>
      </c>
      <c r="S275">
        <f t="shared" si="37"/>
        <v>40</v>
      </c>
      <c r="T275">
        <f t="shared" si="38"/>
        <v>0.5714285714285714</v>
      </c>
      <c r="U275" t="s">
        <v>15</v>
      </c>
      <c r="V275" t="s">
        <v>114</v>
      </c>
      <c r="W275" t="s">
        <v>114</v>
      </c>
      <c r="X275">
        <v>12</v>
      </c>
      <c r="Y275">
        <v>15.9</v>
      </c>
      <c r="Z275">
        <v>16.399999999999999</v>
      </c>
      <c r="AA275">
        <v>14.766666669999999</v>
      </c>
      <c r="AB275">
        <v>15.1</v>
      </c>
      <c r="AC275">
        <v>13.5</v>
      </c>
      <c r="AD275">
        <v>14.4</v>
      </c>
      <c r="AE275">
        <v>17.399999999999999</v>
      </c>
      <c r="AF275">
        <v>15.1</v>
      </c>
      <c r="AG275">
        <v>13.9</v>
      </c>
      <c r="AH275">
        <v>14.9</v>
      </c>
      <c r="AI275">
        <v>14.4</v>
      </c>
      <c r="AJ275">
        <v>14.4</v>
      </c>
      <c r="AK275">
        <v>13.9</v>
      </c>
      <c r="AL275">
        <v>14.4</v>
      </c>
      <c r="AM275">
        <v>14.9</v>
      </c>
      <c r="AN275">
        <v>14.4</v>
      </c>
      <c r="AO275">
        <v>14.4</v>
      </c>
      <c r="AP275">
        <v>8.1</v>
      </c>
      <c r="AQ275">
        <v>9</v>
      </c>
      <c r="AR275">
        <v>10.5</v>
      </c>
      <c r="AS275">
        <v>9.1999999999999993</v>
      </c>
      <c r="AT275">
        <v>7.6</v>
      </c>
      <c r="AU275">
        <v>7.6</v>
      </c>
      <c r="AV275">
        <v>7.1</v>
      </c>
      <c r="AW275">
        <v>7.4333333330000002</v>
      </c>
      <c r="AX275">
        <v>7.4333333330000002</v>
      </c>
      <c r="AY275">
        <v>-7.6666666670000003</v>
      </c>
      <c r="AZ275">
        <v>50</v>
      </c>
      <c r="BA275">
        <v>0</v>
      </c>
      <c r="BB275">
        <v>0</v>
      </c>
      <c r="BC275">
        <v>25</v>
      </c>
      <c r="BD275">
        <v>0</v>
      </c>
      <c r="BE275">
        <v>1</v>
      </c>
      <c r="BF275">
        <v>10</v>
      </c>
      <c r="BG275">
        <v>0</v>
      </c>
      <c r="BI275">
        <v>10</v>
      </c>
      <c r="BJ275">
        <v>29.844000000000001</v>
      </c>
      <c r="BK275">
        <v>0</v>
      </c>
      <c r="BL275">
        <v>4</v>
      </c>
      <c r="BM275">
        <v>4</v>
      </c>
      <c r="BN275">
        <v>22</v>
      </c>
      <c r="BO275">
        <v>32.5</v>
      </c>
      <c r="BP275">
        <f t="shared" si="39"/>
        <v>-10.5</v>
      </c>
      <c r="BQ275" t="s">
        <v>114</v>
      </c>
      <c r="BR275" t="s">
        <v>114</v>
      </c>
      <c r="BS275" t="s">
        <v>114</v>
      </c>
      <c r="BT275" t="s">
        <v>114</v>
      </c>
      <c r="BU275" t="s">
        <v>114</v>
      </c>
      <c r="BV275" t="s">
        <v>114</v>
      </c>
      <c r="BW275" t="s">
        <v>114</v>
      </c>
      <c r="BX275" t="s">
        <v>114</v>
      </c>
      <c r="BY275" t="s">
        <v>114</v>
      </c>
      <c r="BZ275" t="s">
        <v>114</v>
      </c>
      <c r="CA275" t="s">
        <v>114</v>
      </c>
      <c r="CB275" t="s">
        <v>114</v>
      </c>
      <c r="CC275" t="s">
        <v>114</v>
      </c>
      <c r="CD275" t="s">
        <v>114</v>
      </c>
      <c r="CE275" t="s">
        <v>114</v>
      </c>
      <c r="CF275" t="s">
        <v>114</v>
      </c>
      <c r="CG275" t="s">
        <v>114</v>
      </c>
      <c r="CH275" t="s">
        <v>114</v>
      </c>
      <c r="CI275" t="s">
        <v>114</v>
      </c>
      <c r="CJ275" t="s">
        <v>114</v>
      </c>
      <c r="CK275" t="s">
        <v>114</v>
      </c>
      <c r="CL275" t="s">
        <v>114</v>
      </c>
      <c r="CM275" t="s">
        <v>114</v>
      </c>
      <c r="CN275" t="s">
        <v>114</v>
      </c>
      <c r="CO275" t="s">
        <v>114</v>
      </c>
      <c r="CP275" t="s">
        <v>114</v>
      </c>
      <c r="CQ275" t="s">
        <v>114</v>
      </c>
      <c r="CR275" t="s">
        <v>114</v>
      </c>
      <c r="CS275" t="s">
        <v>114</v>
      </c>
      <c r="CT275" t="s">
        <v>114</v>
      </c>
      <c r="CU275" t="s">
        <v>114</v>
      </c>
      <c r="CV275" t="s">
        <v>114</v>
      </c>
      <c r="CW275" t="s">
        <v>114</v>
      </c>
    </row>
    <row r="276" spans="1:101" x14ac:dyDescent="0.25">
      <c r="A276" t="s">
        <v>65</v>
      </c>
      <c r="B276">
        <v>12</v>
      </c>
      <c r="C276" t="s">
        <v>66</v>
      </c>
      <c r="D276" t="s">
        <v>95</v>
      </c>
      <c r="E276" t="s">
        <v>105</v>
      </c>
      <c r="F276" t="s">
        <v>120</v>
      </c>
      <c r="G276" t="s">
        <v>274</v>
      </c>
      <c r="H276" t="str">
        <f t="shared" si="36"/>
        <v>H.glabra.Solo.Shade</v>
      </c>
      <c r="I276" t="s">
        <v>697</v>
      </c>
      <c r="J276" t="s">
        <v>550</v>
      </c>
      <c r="K276">
        <v>0</v>
      </c>
      <c r="L276">
        <v>50</v>
      </c>
      <c r="M276">
        <v>80</v>
      </c>
      <c r="N276">
        <v>80</v>
      </c>
      <c r="O276" t="s">
        <v>114</v>
      </c>
      <c r="P276">
        <v>95</v>
      </c>
      <c r="Q276">
        <v>95</v>
      </c>
      <c r="R276">
        <v>90</v>
      </c>
      <c r="S276">
        <f t="shared" si="37"/>
        <v>92.5</v>
      </c>
      <c r="T276">
        <f t="shared" si="38"/>
        <v>1.15625</v>
      </c>
      <c r="U276" t="s">
        <v>792</v>
      </c>
      <c r="V276" t="s">
        <v>114</v>
      </c>
      <c r="W276" t="s">
        <v>114</v>
      </c>
      <c r="X276">
        <v>22.3</v>
      </c>
      <c r="Y276">
        <v>24.7</v>
      </c>
      <c r="Z276">
        <v>24.3</v>
      </c>
      <c r="AA276">
        <v>23.766666669999999</v>
      </c>
      <c r="AB276">
        <v>20.633333329999999</v>
      </c>
      <c r="AC276">
        <v>19.8</v>
      </c>
      <c r="AD276">
        <v>22.3</v>
      </c>
      <c r="AE276">
        <v>19.8</v>
      </c>
      <c r="AF276">
        <v>20.633333329999999</v>
      </c>
      <c r="AG276">
        <v>28.7</v>
      </c>
      <c r="AH276">
        <v>23.3</v>
      </c>
      <c r="AI276">
        <v>23.8</v>
      </c>
      <c r="AJ276">
        <v>25.266666669999999</v>
      </c>
      <c r="AK276">
        <v>23.3</v>
      </c>
      <c r="AL276">
        <v>24.7</v>
      </c>
      <c r="AM276">
        <v>23.3</v>
      </c>
      <c r="AN276">
        <v>23.766666669999999</v>
      </c>
      <c r="AO276">
        <v>23.766666669999999</v>
      </c>
      <c r="AP276">
        <v>6.3</v>
      </c>
      <c r="AQ276">
        <v>7.6</v>
      </c>
      <c r="AR276">
        <v>9.1999999999999993</v>
      </c>
      <c r="AS276">
        <v>7.7</v>
      </c>
      <c r="AT276">
        <v>7.6</v>
      </c>
      <c r="AU276">
        <v>7.9</v>
      </c>
      <c r="AV276">
        <v>9.1999999999999993</v>
      </c>
      <c r="AW276">
        <v>8.2333333329999991</v>
      </c>
      <c r="AX276">
        <v>8.2333333329999991</v>
      </c>
      <c r="AY276">
        <v>-12.4</v>
      </c>
      <c r="AZ276">
        <v>40</v>
      </c>
      <c r="BA276">
        <v>50</v>
      </c>
      <c r="BB276">
        <v>0</v>
      </c>
      <c r="BC276">
        <v>10</v>
      </c>
      <c r="BD276">
        <v>0</v>
      </c>
      <c r="BE276">
        <v>1</v>
      </c>
      <c r="BF276">
        <v>0</v>
      </c>
      <c r="BG276">
        <v>0</v>
      </c>
      <c r="BI276">
        <v>15.3</v>
      </c>
      <c r="BJ276">
        <v>42.4</v>
      </c>
      <c r="BK276">
        <v>0</v>
      </c>
      <c r="BL276">
        <v>5</v>
      </c>
      <c r="BM276">
        <v>5</v>
      </c>
      <c r="BN276">
        <v>253</v>
      </c>
      <c r="BO276">
        <v>253</v>
      </c>
      <c r="BP276">
        <f t="shared" si="39"/>
        <v>0</v>
      </c>
      <c r="BQ276" t="s">
        <v>114</v>
      </c>
      <c r="BR276" t="s">
        <v>114</v>
      </c>
      <c r="BS276" t="s">
        <v>114</v>
      </c>
      <c r="BT276" t="s">
        <v>114</v>
      </c>
      <c r="BU276" t="s">
        <v>114</v>
      </c>
      <c r="BV276" t="s">
        <v>114</v>
      </c>
      <c r="BW276" t="s">
        <v>114</v>
      </c>
      <c r="BX276" t="s">
        <v>114</v>
      </c>
      <c r="BY276" t="s">
        <v>114</v>
      </c>
      <c r="BZ276" t="s">
        <v>114</v>
      </c>
      <c r="CA276" t="s">
        <v>114</v>
      </c>
      <c r="CB276" t="s">
        <v>114</v>
      </c>
      <c r="CC276" t="s">
        <v>114</v>
      </c>
      <c r="CD276" t="s">
        <v>114</v>
      </c>
      <c r="CE276" t="s">
        <v>114</v>
      </c>
      <c r="CF276" t="s">
        <v>114</v>
      </c>
      <c r="CG276" t="s">
        <v>114</v>
      </c>
      <c r="CH276" t="s">
        <v>114</v>
      </c>
      <c r="CI276" t="s">
        <v>114</v>
      </c>
      <c r="CJ276" t="s">
        <v>114</v>
      </c>
      <c r="CK276" t="s">
        <v>114</v>
      </c>
      <c r="CL276" t="s">
        <v>114</v>
      </c>
      <c r="CM276" t="s">
        <v>114</v>
      </c>
      <c r="CN276" t="s">
        <v>114</v>
      </c>
      <c r="CO276" t="s">
        <v>114</v>
      </c>
      <c r="CP276" t="s">
        <v>114</v>
      </c>
      <c r="CQ276" t="s">
        <v>114</v>
      </c>
      <c r="CR276" t="s">
        <v>114</v>
      </c>
      <c r="CS276" t="s">
        <v>114</v>
      </c>
      <c r="CT276" t="s">
        <v>114</v>
      </c>
      <c r="CU276" t="s">
        <v>114</v>
      </c>
      <c r="CV276" t="s">
        <v>114</v>
      </c>
      <c r="CW276" t="s">
        <v>114</v>
      </c>
    </row>
    <row r="277" spans="1:101" x14ac:dyDescent="0.25">
      <c r="A277" t="s">
        <v>10</v>
      </c>
      <c r="B277">
        <v>15</v>
      </c>
      <c r="C277" t="s">
        <v>11</v>
      </c>
      <c r="D277" t="s">
        <v>94</v>
      </c>
      <c r="E277" t="s">
        <v>102</v>
      </c>
      <c r="F277" t="s">
        <v>120</v>
      </c>
      <c r="G277" t="s">
        <v>273</v>
      </c>
      <c r="H277" t="str">
        <f t="shared" si="36"/>
        <v>A.calendula.Solo.Open</v>
      </c>
      <c r="I277" t="s">
        <v>698</v>
      </c>
      <c r="J277" t="s">
        <v>551</v>
      </c>
      <c r="K277">
        <v>0</v>
      </c>
      <c r="L277">
        <v>120</v>
      </c>
      <c r="M277">
        <v>100</v>
      </c>
      <c r="N277">
        <v>100</v>
      </c>
      <c r="O277" t="s">
        <v>114</v>
      </c>
      <c r="P277">
        <v>70</v>
      </c>
      <c r="Q277">
        <v>70</v>
      </c>
      <c r="R277">
        <v>50</v>
      </c>
      <c r="S277">
        <f t="shared" si="37"/>
        <v>60</v>
      </c>
      <c r="T277">
        <f t="shared" si="38"/>
        <v>0.6</v>
      </c>
      <c r="U277" t="s">
        <v>792</v>
      </c>
      <c r="V277" t="s">
        <v>114</v>
      </c>
      <c r="W277" t="s">
        <v>114</v>
      </c>
      <c r="X277">
        <v>19.3</v>
      </c>
      <c r="Y277">
        <v>20.3</v>
      </c>
      <c r="Z277">
        <v>22.3</v>
      </c>
      <c r="AA277">
        <v>20.633333329999999</v>
      </c>
      <c r="AB277">
        <v>21.3</v>
      </c>
      <c r="AC277">
        <v>19.3</v>
      </c>
      <c r="AD277">
        <v>22.8</v>
      </c>
      <c r="AE277">
        <v>21.8</v>
      </c>
      <c r="AF277">
        <v>21.3</v>
      </c>
      <c r="AG277">
        <v>16.399999999999999</v>
      </c>
      <c r="AH277">
        <v>24.3</v>
      </c>
      <c r="AI277">
        <v>25.7</v>
      </c>
      <c r="AJ277">
        <v>22.133333329999999</v>
      </c>
      <c r="AK277">
        <v>22.8</v>
      </c>
      <c r="AL277">
        <v>27.2</v>
      </c>
      <c r="AM277">
        <v>24.7</v>
      </c>
      <c r="AN277">
        <v>24.9</v>
      </c>
      <c r="AO277">
        <v>24.9</v>
      </c>
      <c r="AP277">
        <v>8.5</v>
      </c>
      <c r="AQ277">
        <v>9</v>
      </c>
      <c r="AR277">
        <v>11</v>
      </c>
      <c r="AS277">
        <v>9.5</v>
      </c>
      <c r="AT277">
        <v>11.5</v>
      </c>
      <c r="AU277">
        <v>10</v>
      </c>
      <c r="AV277">
        <v>8.5</v>
      </c>
      <c r="AW277">
        <v>10</v>
      </c>
      <c r="AX277">
        <v>10</v>
      </c>
      <c r="AY277">
        <v>-11.3</v>
      </c>
      <c r="AZ277">
        <v>80</v>
      </c>
      <c r="BA277">
        <v>10</v>
      </c>
      <c r="BB277">
        <v>10</v>
      </c>
      <c r="BC277">
        <v>0</v>
      </c>
      <c r="BD277">
        <v>0</v>
      </c>
      <c r="BE277">
        <v>1</v>
      </c>
      <c r="BF277">
        <v>0</v>
      </c>
      <c r="BG277">
        <v>0</v>
      </c>
      <c r="BI277">
        <v>18.3</v>
      </c>
      <c r="BJ277">
        <v>2.7770000000000001</v>
      </c>
      <c r="BK277">
        <v>0</v>
      </c>
      <c r="BL277">
        <v>9</v>
      </c>
      <c r="BM277">
        <v>9</v>
      </c>
      <c r="BN277">
        <v>203</v>
      </c>
      <c r="BO277">
        <v>383.66669999999999</v>
      </c>
      <c r="BP277">
        <f t="shared" si="39"/>
        <v>-180.66669999999999</v>
      </c>
      <c r="BQ277" t="s">
        <v>114</v>
      </c>
      <c r="BR277" t="s">
        <v>114</v>
      </c>
      <c r="BS277" t="s">
        <v>114</v>
      </c>
      <c r="BT277" t="s">
        <v>114</v>
      </c>
      <c r="BU277" t="s">
        <v>114</v>
      </c>
      <c r="BV277" t="s">
        <v>114</v>
      </c>
      <c r="BW277" t="s">
        <v>114</v>
      </c>
      <c r="BX277" t="s">
        <v>114</v>
      </c>
      <c r="BY277" t="s">
        <v>114</v>
      </c>
      <c r="BZ277" t="s">
        <v>114</v>
      </c>
      <c r="CA277" t="s">
        <v>114</v>
      </c>
      <c r="CB277" t="s">
        <v>114</v>
      </c>
      <c r="CC277" t="s">
        <v>114</v>
      </c>
      <c r="CD277" t="s">
        <v>114</v>
      </c>
      <c r="CE277" t="s">
        <v>114</v>
      </c>
      <c r="CF277" t="s">
        <v>114</v>
      </c>
      <c r="CG277" t="s">
        <v>114</v>
      </c>
      <c r="CH277" t="s">
        <v>114</v>
      </c>
      <c r="CI277" t="s">
        <v>114</v>
      </c>
      <c r="CJ277" t="s">
        <v>114</v>
      </c>
      <c r="CK277" t="s">
        <v>114</v>
      </c>
      <c r="CL277" t="s">
        <v>114</v>
      </c>
      <c r="CM277" t="s">
        <v>114</v>
      </c>
      <c r="CN277" t="s">
        <v>114</v>
      </c>
      <c r="CO277" t="s">
        <v>114</v>
      </c>
      <c r="CP277" t="s">
        <v>114</v>
      </c>
      <c r="CQ277" t="s">
        <v>114</v>
      </c>
      <c r="CR277" t="s">
        <v>114</v>
      </c>
      <c r="CS277" t="s">
        <v>114</v>
      </c>
      <c r="CT277" t="s">
        <v>114</v>
      </c>
      <c r="CU277" t="s">
        <v>114</v>
      </c>
      <c r="CV277" t="s">
        <v>114</v>
      </c>
      <c r="CW277" t="s">
        <v>114</v>
      </c>
    </row>
    <row r="278" spans="1:101" x14ac:dyDescent="0.25">
      <c r="A278" t="s">
        <v>10</v>
      </c>
      <c r="B278">
        <v>15</v>
      </c>
      <c r="C278" t="s">
        <v>11</v>
      </c>
      <c r="D278" t="s">
        <v>94</v>
      </c>
      <c r="E278" t="s">
        <v>105</v>
      </c>
      <c r="F278" t="s">
        <v>120</v>
      </c>
      <c r="G278" t="s">
        <v>274</v>
      </c>
      <c r="H278" t="str">
        <f t="shared" si="36"/>
        <v>H.glabra.Solo.Open</v>
      </c>
      <c r="I278" t="s">
        <v>699</v>
      </c>
      <c r="J278" t="s">
        <v>552</v>
      </c>
      <c r="K278">
        <v>0</v>
      </c>
      <c r="L278">
        <v>10</v>
      </c>
      <c r="M278">
        <v>20</v>
      </c>
      <c r="N278">
        <v>20</v>
      </c>
      <c r="O278" t="s">
        <v>114</v>
      </c>
      <c r="P278">
        <v>90</v>
      </c>
      <c r="Q278">
        <v>90</v>
      </c>
      <c r="R278">
        <v>70</v>
      </c>
      <c r="S278">
        <f t="shared" si="37"/>
        <v>80</v>
      </c>
      <c r="T278">
        <f t="shared" si="38"/>
        <v>4</v>
      </c>
      <c r="U278" t="s">
        <v>15</v>
      </c>
      <c r="V278" t="s">
        <v>114</v>
      </c>
      <c r="W278" t="s">
        <v>114</v>
      </c>
      <c r="X278">
        <v>19.3</v>
      </c>
      <c r="Y278">
        <v>20.3</v>
      </c>
      <c r="Z278">
        <v>22.3</v>
      </c>
      <c r="AA278">
        <v>20.633333329999999</v>
      </c>
      <c r="AB278">
        <v>17.06666667</v>
      </c>
      <c r="AC278">
        <v>18.399999999999999</v>
      </c>
      <c r="AD278">
        <v>15.4</v>
      </c>
      <c r="AE278">
        <v>17.399999999999999</v>
      </c>
      <c r="AF278">
        <v>17.06666667</v>
      </c>
      <c r="AG278">
        <v>16.399999999999999</v>
      </c>
      <c r="AH278">
        <v>24.3</v>
      </c>
      <c r="AI278">
        <v>25.7</v>
      </c>
      <c r="AJ278">
        <v>22.133333329999999</v>
      </c>
      <c r="AK278">
        <v>19.3</v>
      </c>
      <c r="AL278">
        <v>23.8</v>
      </c>
      <c r="AM278">
        <v>22.3</v>
      </c>
      <c r="AN278">
        <v>21.8</v>
      </c>
      <c r="AO278">
        <v>21.8</v>
      </c>
      <c r="AP278">
        <v>8.5</v>
      </c>
      <c r="AQ278">
        <v>9</v>
      </c>
      <c r="AR278">
        <v>11</v>
      </c>
      <c r="AS278">
        <v>9.5</v>
      </c>
      <c r="AT278">
        <v>6.6</v>
      </c>
      <c r="AU278">
        <v>9</v>
      </c>
      <c r="AV278">
        <v>9</v>
      </c>
      <c r="AW278">
        <v>8.1999999999999993</v>
      </c>
      <c r="AX278">
        <v>8.1999999999999993</v>
      </c>
      <c r="AY278">
        <v>-8.8666666670000005</v>
      </c>
      <c r="AZ278">
        <v>70</v>
      </c>
      <c r="BA278">
        <v>10</v>
      </c>
      <c r="BB278">
        <v>0</v>
      </c>
      <c r="BC278">
        <v>20</v>
      </c>
      <c r="BD278">
        <v>0</v>
      </c>
      <c r="BE278">
        <v>1</v>
      </c>
      <c r="BF278">
        <v>0</v>
      </c>
      <c r="BG278">
        <v>0</v>
      </c>
      <c r="BI278">
        <v>18.3</v>
      </c>
      <c r="BJ278">
        <v>2.7770000000000001</v>
      </c>
      <c r="BK278">
        <v>0</v>
      </c>
      <c r="BL278">
        <v>9</v>
      </c>
      <c r="BM278">
        <v>9</v>
      </c>
      <c r="BN278">
        <v>550</v>
      </c>
      <c r="BO278">
        <v>582</v>
      </c>
      <c r="BP278">
        <f t="shared" si="39"/>
        <v>-32</v>
      </c>
      <c r="BQ278" t="s">
        <v>114</v>
      </c>
      <c r="BR278" t="s">
        <v>114</v>
      </c>
      <c r="BS278" t="s">
        <v>114</v>
      </c>
      <c r="BT278" t="s">
        <v>114</v>
      </c>
      <c r="BU278" t="s">
        <v>114</v>
      </c>
      <c r="BV278" t="s">
        <v>114</v>
      </c>
      <c r="BW278" t="s">
        <v>114</v>
      </c>
      <c r="BX278" t="s">
        <v>114</v>
      </c>
      <c r="BY278" t="s">
        <v>114</v>
      </c>
      <c r="BZ278" t="s">
        <v>114</v>
      </c>
      <c r="CA278" t="s">
        <v>114</v>
      </c>
      <c r="CB278" t="s">
        <v>114</v>
      </c>
      <c r="CC278" t="s">
        <v>114</v>
      </c>
      <c r="CD278" t="s">
        <v>114</v>
      </c>
      <c r="CE278" t="s">
        <v>114</v>
      </c>
      <c r="CF278" t="s">
        <v>114</v>
      </c>
      <c r="CG278" t="s">
        <v>114</v>
      </c>
      <c r="CH278" t="s">
        <v>114</v>
      </c>
      <c r="CI278" t="s">
        <v>114</v>
      </c>
      <c r="CJ278" t="s">
        <v>114</v>
      </c>
      <c r="CK278" t="s">
        <v>114</v>
      </c>
      <c r="CL278" t="s">
        <v>114</v>
      </c>
      <c r="CM278" t="s">
        <v>114</v>
      </c>
      <c r="CN278" t="s">
        <v>114</v>
      </c>
      <c r="CO278" t="s">
        <v>114</v>
      </c>
      <c r="CP278" t="s">
        <v>114</v>
      </c>
      <c r="CQ278" t="s">
        <v>114</v>
      </c>
      <c r="CR278" t="s">
        <v>114</v>
      </c>
      <c r="CS278" t="s">
        <v>114</v>
      </c>
      <c r="CT278" t="s">
        <v>114</v>
      </c>
      <c r="CU278" t="s">
        <v>114</v>
      </c>
      <c r="CV278" t="s">
        <v>114</v>
      </c>
      <c r="CW278" t="s">
        <v>114</v>
      </c>
    </row>
    <row r="279" spans="1:101" x14ac:dyDescent="0.25">
      <c r="A279" t="s">
        <v>10</v>
      </c>
      <c r="B279">
        <v>15</v>
      </c>
      <c r="C279" t="s">
        <v>11</v>
      </c>
      <c r="D279" t="s">
        <v>94</v>
      </c>
      <c r="E279" t="s">
        <v>103</v>
      </c>
      <c r="F279" t="s">
        <v>120</v>
      </c>
      <c r="G279" t="s">
        <v>268</v>
      </c>
      <c r="H279" t="str">
        <f t="shared" si="36"/>
        <v>P.airoides.Solo.Open</v>
      </c>
      <c r="I279" t="s">
        <v>700</v>
      </c>
      <c r="J279" t="s">
        <v>553</v>
      </c>
      <c r="K279">
        <v>0</v>
      </c>
      <c r="L279">
        <v>50</v>
      </c>
      <c r="M279">
        <v>60</v>
      </c>
      <c r="N279">
        <v>60</v>
      </c>
      <c r="O279" t="s">
        <v>114</v>
      </c>
      <c r="P279">
        <v>40</v>
      </c>
      <c r="Q279">
        <v>40</v>
      </c>
      <c r="R279">
        <v>15</v>
      </c>
      <c r="S279">
        <f t="shared" si="37"/>
        <v>27.5</v>
      </c>
      <c r="T279">
        <f t="shared" si="38"/>
        <v>0.45833333333333331</v>
      </c>
      <c r="U279" t="s">
        <v>15</v>
      </c>
      <c r="V279" t="s">
        <v>114</v>
      </c>
      <c r="W279" t="s">
        <v>114</v>
      </c>
      <c r="X279">
        <v>19.3</v>
      </c>
      <c r="Y279">
        <v>20.3</v>
      </c>
      <c r="Z279">
        <v>22.3</v>
      </c>
      <c r="AA279">
        <v>20.633333329999999</v>
      </c>
      <c r="AB279">
        <v>20.833333329999999</v>
      </c>
      <c r="AC279">
        <v>18.899999999999999</v>
      </c>
      <c r="AD279">
        <v>21.3</v>
      </c>
      <c r="AE279">
        <v>22.3</v>
      </c>
      <c r="AF279">
        <v>20.833333329999999</v>
      </c>
      <c r="AG279">
        <v>16.399999999999999</v>
      </c>
      <c r="AH279">
        <v>24.3</v>
      </c>
      <c r="AI279">
        <v>25.7</v>
      </c>
      <c r="AJ279">
        <v>22.133333329999999</v>
      </c>
      <c r="AK279">
        <v>24.3</v>
      </c>
      <c r="AL279">
        <v>24.3</v>
      </c>
      <c r="AM279">
        <v>19.3</v>
      </c>
      <c r="AN279">
        <v>22.633333329999999</v>
      </c>
      <c r="AO279">
        <v>22.633333329999999</v>
      </c>
      <c r="AP279">
        <v>8.5</v>
      </c>
      <c r="AQ279">
        <v>9</v>
      </c>
      <c r="AR279">
        <v>11</v>
      </c>
      <c r="AS279">
        <v>9.5</v>
      </c>
      <c r="AT279">
        <v>8.5</v>
      </c>
      <c r="AU279">
        <v>8.5</v>
      </c>
      <c r="AV279">
        <v>8.5</v>
      </c>
      <c r="AW279">
        <v>8.5</v>
      </c>
      <c r="AX279">
        <v>8.5</v>
      </c>
      <c r="AY279">
        <v>-12.33333333</v>
      </c>
      <c r="AZ279">
        <v>45</v>
      </c>
      <c r="BA279">
        <v>15</v>
      </c>
      <c r="BB279">
        <v>40</v>
      </c>
      <c r="BC279">
        <v>0</v>
      </c>
      <c r="BD279">
        <v>0</v>
      </c>
      <c r="BE279">
        <v>1</v>
      </c>
      <c r="BF279">
        <v>0</v>
      </c>
      <c r="BG279">
        <v>0</v>
      </c>
      <c r="BI279">
        <v>18.3</v>
      </c>
      <c r="BJ279">
        <v>2.7770000000000001</v>
      </c>
      <c r="BK279">
        <v>0</v>
      </c>
      <c r="BL279">
        <v>7</v>
      </c>
      <c r="BM279">
        <v>7</v>
      </c>
      <c r="BN279">
        <v>402</v>
      </c>
      <c r="BO279">
        <v>274</v>
      </c>
      <c r="BP279">
        <f t="shared" si="39"/>
        <v>128</v>
      </c>
      <c r="BQ279" t="s">
        <v>114</v>
      </c>
      <c r="BR279" t="s">
        <v>114</v>
      </c>
      <c r="BS279" t="s">
        <v>114</v>
      </c>
      <c r="BT279" t="s">
        <v>114</v>
      </c>
      <c r="BU279" t="s">
        <v>114</v>
      </c>
      <c r="BV279" t="s">
        <v>114</v>
      </c>
      <c r="BW279" t="s">
        <v>114</v>
      </c>
      <c r="BX279" t="s">
        <v>114</v>
      </c>
      <c r="BY279" t="s">
        <v>114</v>
      </c>
      <c r="BZ279" t="s">
        <v>114</v>
      </c>
      <c r="CA279" t="s">
        <v>114</v>
      </c>
      <c r="CB279" t="s">
        <v>114</v>
      </c>
      <c r="CC279" t="s">
        <v>114</v>
      </c>
      <c r="CD279" t="s">
        <v>114</v>
      </c>
      <c r="CE279" t="s">
        <v>114</v>
      </c>
      <c r="CF279" t="s">
        <v>114</v>
      </c>
      <c r="CG279" t="s">
        <v>114</v>
      </c>
      <c r="CH279" t="s">
        <v>114</v>
      </c>
      <c r="CI279" t="s">
        <v>114</v>
      </c>
      <c r="CJ279" t="s">
        <v>114</v>
      </c>
      <c r="CK279" t="s">
        <v>114</v>
      </c>
      <c r="CL279" t="s">
        <v>114</v>
      </c>
      <c r="CM279" t="s">
        <v>114</v>
      </c>
      <c r="CN279" t="s">
        <v>114</v>
      </c>
      <c r="CO279" t="s">
        <v>114</v>
      </c>
      <c r="CP279" t="s">
        <v>114</v>
      </c>
      <c r="CQ279" t="s">
        <v>114</v>
      </c>
      <c r="CR279" t="s">
        <v>114</v>
      </c>
      <c r="CS279" t="s">
        <v>114</v>
      </c>
      <c r="CT279" t="s">
        <v>114</v>
      </c>
      <c r="CU279" t="s">
        <v>114</v>
      </c>
      <c r="CV279" t="s">
        <v>114</v>
      </c>
      <c r="CW279" t="s">
        <v>114</v>
      </c>
    </row>
    <row r="280" spans="1:101" x14ac:dyDescent="0.25">
      <c r="A280" t="s">
        <v>10</v>
      </c>
      <c r="B280">
        <v>15</v>
      </c>
      <c r="C280" t="s">
        <v>11</v>
      </c>
      <c r="D280" t="s">
        <v>94</v>
      </c>
      <c r="E280" t="s">
        <v>104</v>
      </c>
      <c r="F280" t="s">
        <v>120</v>
      </c>
      <c r="G280" t="s">
        <v>272</v>
      </c>
      <c r="H280" t="str">
        <f t="shared" si="36"/>
        <v>T.cyanopetala.Solo.Open</v>
      </c>
      <c r="I280" t="s">
        <v>701</v>
      </c>
      <c r="J280" t="s">
        <v>554</v>
      </c>
      <c r="K280">
        <v>0</v>
      </c>
      <c r="L280">
        <v>40</v>
      </c>
      <c r="M280">
        <v>20</v>
      </c>
      <c r="N280">
        <v>20</v>
      </c>
      <c r="O280" t="s">
        <v>114</v>
      </c>
      <c r="P280">
        <v>20</v>
      </c>
      <c r="Q280">
        <v>20</v>
      </c>
      <c r="R280">
        <v>10</v>
      </c>
      <c r="S280">
        <f t="shared" si="37"/>
        <v>15</v>
      </c>
      <c r="T280">
        <f t="shared" si="38"/>
        <v>0.75</v>
      </c>
      <c r="U280" t="s">
        <v>15</v>
      </c>
      <c r="V280" t="s">
        <v>114</v>
      </c>
      <c r="W280" t="s">
        <v>114</v>
      </c>
      <c r="X280">
        <v>19.3</v>
      </c>
      <c r="Y280">
        <v>20.3</v>
      </c>
      <c r="Z280">
        <v>22.3</v>
      </c>
      <c r="AA280">
        <v>20.633333329999999</v>
      </c>
      <c r="AB280">
        <v>20.233333330000001</v>
      </c>
      <c r="AC280">
        <v>19.8</v>
      </c>
      <c r="AD280">
        <v>18.899999999999999</v>
      </c>
      <c r="AE280">
        <v>22</v>
      </c>
      <c r="AF280">
        <v>20.233333330000001</v>
      </c>
      <c r="AG280">
        <v>16.399999999999999</v>
      </c>
      <c r="AH280">
        <v>24.3</v>
      </c>
      <c r="AI280">
        <v>25.7</v>
      </c>
      <c r="AJ280">
        <v>22.133333329999999</v>
      </c>
      <c r="AK280">
        <v>25.7</v>
      </c>
      <c r="AL280">
        <v>24.3</v>
      </c>
      <c r="AM280">
        <v>22.3</v>
      </c>
      <c r="AN280">
        <v>24.1</v>
      </c>
      <c r="AO280">
        <v>24.1</v>
      </c>
      <c r="AP280">
        <v>8.5</v>
      </c>
      <c r="AQ280">
        <v>9</v>
      </c>
      <c r="AR280">
        <v>11</v>
      </c>
      <c r="AS280">
        <v>9.5</v>
      </c>
      <c r="AT280">
        <v>13</v>
      </c>
      <c r="AU280">
        <v>9</v>
      </c>
      <c r="AV280">
        <v>9</v>
      </c>
      <c r="AW280">
        <v>10.33333333</v>
      </c>
      <c r="AX280">
        <v>10.33333333</v>
      </c>
      <c r="AY280">
        <v>-9.9</v>
      </c>
      <c r="AZ280">
        <v>50</v>
      </c>
      <c r="BA280">
        <v>10</v>
      </c>
      <c r="BB280">
        <v>10</v>
      </c>
      <c r="BC280">
        <v>30</v>
      </c>
      <c r="BD280">
        <v>0</v>
      </c>
      <c r="BE280">
        <v>1</v>
      </c>
      <c r="BF280">
        <v>0</v>
      </c>
      <c r="BG280">
        <v>0</v>
      </c>
      <c r="BI280">
        <v>18.3</v>
      </c>
      <c r="BJ280">
        <v>2.7770000000000001</v>
      </c>
      <c r="BK280">
        <v>0</v>
      </c>
      <c r="BL280">
        <v>4</v>
      </c>
      <c r="BM280">
        <v>4</v>
      </c>
      <c r="BN280">
        <v>20</v>
      </c>
      <c r="BO280">
        <v>31</v>
      </c>
      <c r="BP280">
        <f t="shared" si="39"/>
        <v>-11</v>
      </c>
      <c r="BQ280" t="s">
        <v>114</v>
      </c>
      <c r="BR280" t="s">
        <v>114</v>
      </c>
      <c r="BS280" t="s">
        <v>114</v>
      </c>
      <c r="BT280" t="s">
        <v>114</v>
      </c>
      <c r="BU280" t="s">
        <v>114</v>
      </c>
      <c r="BV280" t="s">
        <v>114</v>
      </c>
      <c r="BW280" t="s">
        <v>114</v>
      </c>
      <c r="BX280" t="s">
        <v>114</v>
      </c>
      <c r="BY280" t="s">
        <v>114</v>
      </c>
      <c r="BZ280" t="s">
        <v>114</v>
      </c>
      <c r="CA280" t="s">
        <v>114</v>
      </c>
      <c r="CB280" t="s">
        <v>114</v>
      </c>
      <c r="CC280" t="s">
        <v>114</v>
      </c>
      <c r="CD280" t="s">
        <v>114</v>
      </c>
      <c r="CE280" t="s">
        <v>114</v>
      </c>
      <c r="CF280" t="s">
        <v>114</v>
      </c>
      <c r="CG280" t="s">
        <v>114</v>
      </c>
      <c r="CH280" t="s">
        <v>114</v>
      </c>
      <c r="CI280" t="s">
        <v>114</v>
      </c>
      <c r="CJ280" t="s">
        <v>114</v>
      </c>
      <c r="CK280" t="s">
        <v>114</v>
      </c>
      <c r="CL280" t="s">
        <v>114</v>
      </c>
      <c r="CM280" t="s">
        <v>114</v>
      </c>
      <c r="CN280" t="s">
        <v>114</v>
      </c>
      <c r="CO280" t="s">
        <v>114</v>
      </c>
      <c r="CP280" t="s">
        <v>114</v>
      </c>
      <c r="CQ280" t="s">
        <v>114</v>
      </c>
      <c r="CR280" t="s">
        <v>114</v>
      </c>
      <c r="CS280" t="s">
        <v>114</v>
      </c>
      <c r="CT280" t="s">
        <v>114</v>
      </c>
      <c r="CU280" t="s">
        <v>114</v>
      </c>
      <c r="CV280" t="s">
        <v>114</v>
      </c>
      <c r="CW280" t="s">
        <v>114</v>
      </c>
    </row>
    <row r="281" spans="1:101" x14ac:dyDescent="0.25">
      <c r="A281" t="s">
        <v>14</v>
      </c>
      <c r="B281">
        <v>15</v>
      </c>
      <c r="C281" t="s">
        <v>15</v>
      </c>
      <c r="D281" t="s">
        <v>94</v>
      </c>
      <c r="E281" t="s">
        <v>102</v>
      </c>
      <c r="F281" t="s">
        <v>120</v>
      </c>
      <c r="G281" t="s">
        <v>273</v>
      </c>
      <c r="H281" t="str">
        <f t="shared" si="36"/>
        <v>A.calendula.Solo.Open</v>
      </c>
      <c r="I281" t="s">
        <v>698</v>
      </c>
      <c r="J281" t="s">
        <v>555</v>
      </c>
      <c r="K281">
        <v>0</v>
      </c>
      <c r="L281">
        <v>40</v>
      </c>
      <c r="M281">
        <v>30</v>
      </c>
      <c r="N281">
        <v>30</v>
      </c>
      <c r="O281" t="s">
        <v>114</v>
      </c>
      <c r="P281">
        <v>90</v>
      </c>
      <c r="Q281">
        <v>90</v>
      </c>
      <c r="R281">
        <v>40</v>
      </c>
      <c r="S281">
        <f t="shared" si="37"/>
        <v>65</v>
      </c>
      <c r="T281">
        <f t="shared" si="38"/>
        <v>2.1666666666666665</v>
      </c>
      <c r="U281" t="s">
        <v>15</v>
      </c>
      <c r="V281" t="s">
        <v>114</v>
      </c>
      <c r="W281" t="s">
        <v>114</v>
      </c>
      <c r="X281">
        <v>23.8</v>
      </c>
      <c r="Y281">
        <v>22.3</v>
      </c>
      <c r="Z281">
        <v>18.399999999999999</v>
      </c>
      <c r="AA281">
        <v>21.5</v>
      </c>
      <c r="AB281">
        <v>21.3</v>
      </c>
      <c r="AC281">
        <v>19.3</v>
      </c>
      <c r="AD281">
        <v>21.3</v>
      </c>
      <c r="AE281">
        <v>23.3</v>
      </c>
      <c r="AF281">
        <v>21.3</v>
      </c>
      <c r="AG281">
        <v>21.8</v>
      </c>
      <c r="AH281">
        <v>27.2</v>
      </c>
      <c r="AI281">
        <v>24.3</v>
      </c>
      <c r="AJ281">
        <v>24.43333333</v>
      </c>
      <c r="AK281">
        <v>28.7</v>
      </c>
      <c r="AL281">
        <v>22.8</v>
      </c>
      <c r="AM281">
        <v>26.7</v>
      </c>
      <c r="AN281">
        <v>26.06666667</v>
      </c>
      <c r="AO281">
        <v>26.06666667</v>
      </c>
      <c r="AP281">
        <v>6.1</v>
      </c>
      <c r="AQ281">
        <v>9.5</v>
      </c>
      <c r="AR281">
        <v>9.5</v>
      </c>
      <c r="AS281">
        <v>8.3666666670000005</v>
      </c>
      <c r="AT281">
        <v>8.5</v>
      </c>
      <c r="AU281">
        <v>9.5</v>
      </c>
      <c r="AV281">
        <v>10.5</v>
      </c>
      <c r="AW281">
        <v>9.5</v>
      </c>
      <c r="AX281">
        <v>9.5</v>
      </c>
      <c r="AY281">
        <v>-11.8</v>
      </c>
      <c r="AZ281">
        <v>80</v>
      </c>
      <c r="BA281">
        <v>0</v>
      </c>
      <c r="BB281">
        <v>10</v>
      </c>
      <c r="BC281">
        <v>10</v>
      </c>
      <c r="BD281">
        <v>0</v>
      </c>
      <c r="BE281">
        <v>1</v>
      </c>
      <c r="BF281">
        <v>0</v>
      </c>
      <c r="BG281">
        <v>0</v>
      </c>
      <c r="BI281">
        <v>13.6</v>
      </c>
      <c r="BJ281">
        <v>2.15</v>
      </c>
      <c r="BK281">
        <v>0</v>
      </c>
      <c r="BL281">
        <v>11</v>
      </c>
      <c r="BM281">
        <v>11</v>
      </c>
      <c r="BN281">
        <v>325</v>
      </c>
      <c r="BO281">
        <v>383.66669999999999</v>
      </c>
      <c r="BP281">
        <f t="shared" si="39"/>
        <v>-58.666699999999992</v>
      </c>
      <c r="BQ281" t="s">
        <v>114</v>
      </c>
      <c r="BR281" t="s">
        <v>114</v>
      </c>
      <c r="BS281" t="s">
        <v>114</v>
      </c>
      <c r="BT281" t="s">
        <v>114</v>
      </c>
      <c r="BU281" t="s">
        <v>114</v>
      </c>
      <c r="BV281" t="s">
        <v>114</v>
      </c>
      <c r="BW281" t="s">
        <v>114</v>
      </c>
      <c r="BX281" t="s">
        <v>114</v>
      </c>
      <c r="BY281" t="s">
        <v>114</v>
      </c>
      <c r="BZ281" t="s">
        <v>114</v>
      </c>
      <c r="CA281" t="s">
        <v>114</v>
      </c>
      <c r="CB281" t="s">
        <v>114</v>
      </c>
      <c r="CC281" t="s">
        <v>114</v>
      </c>
      <c r="CD281" t="s">
        <v>114</v>
      </c>
      <c r="CE281" t="s">
        <v>114</v>
      </c>
      <c r="CF281" t="s">
        <v>114</v>
      </c>
      <c r="CG281" t="s">
        <v>114</v>
      </c>
      <c r="CH281" t="s">
        <v>114</v>
      </c>
      <c r="CI281" t="s">
        <v>114</v>
      </c>
      <c r="CJ281" t="s">
        <v>114</v>
      </c>
      <c r="CK281" t="s">
        <v>114</v>
      </c>
      <c r="CL281" t="s">
        <v>114</v>
      </c>
      <c r="CM281" t="s">
        <v>114</v>
      </c>
      <c r="CN281" t="s">
        <v>114</v>
      </c>
      <c r="CO281" t="s">
        <v>114</v>
      </c>
      <c r="CP281" t="s">
        <v>114</v>
      </c>
      <c r="CQ281" t="s">
        <v>114</v>
      </c>
      <c r="CR281" t="s">
        <v>114</v>
      </c>
      <c r="CS281" t="s">
        <v>114</v>
      </c>
      <c r="CT281" t="s">
        <v>114</v>
      </c>
      <c r="CU281" t="s">
        <v>114</v>
      </c>
      <c r="CV281" t="s">
        <v>114</v>
      </c>
      <c r="CW281" t="s">
        <v>114</v>
      </c>
    </row>
    <row r="282" spans="1:101" x14ac:dyDescent="0.25">
      <c r="A282" t="s">
        <v>14</v>
      </c>
      <c r="B282">
        <v>15</v>
      </c>
      <c r="C282" t="s">
        <v>15</v>
      </c>
      <c r="D282" t="s">
        <v>94</v>
      </c>
      <c r="E282" t="s">
        <v>110</v>
      </c>
      <c r="F282" t="s">
        <v>120</v>
      </c>
      <c r="G282" t="s">
        <v>270</v>
      </c>
      <c r="H282" t="str">
        <f t="shared" si="36"/>
        <v>M.minima.Solo.Open</v>
      </c>
      <c r="I282" t="s">
        <v>702</v>
      </c>
      <c r="J282" t="s">
        <v>556</v>
      </c>
      <c r="K282">
        <v>0</v>
      </c>
      <c r="L282">
        <v>35</v>
      </c>
      <c r="M282">
        <v>20</v>
      </c>
      <c r="N282">
        <v>20</v>
      </c>
      <c r="O282" t="s">
        <v>114</v>
      </c>
      <c r="P282">
        <v>18</v>
      </c>
      <c r="Q282">
        <v>70</v>
      </c>
      <c r="R282">
        <v>20</v>
      </c>
      <c r="S282">
        <f t="shared" si="37"/>
        <v>45</v>
      </c>
      <c r="T282">
        <f t="shared" si="38"/>
        <v>2.25</v>
      </c>
      <c r="U282" t="s">
        <v>794</v>
      </c>
      <c r="V282" t="s">
        <v>114</v>
      </c>
      <c r="W282" t="s">
        <v>114</v>
      </c>
      <c r="X282">
        <v>23.8</v>
      </c>
      <c r="Y282">
        <v>22.3</v>
      </c>
      <c r="Z282">
        <v>18.399999999999999</v>
      </c>
      <c r="AA282">
        <v>21.5</v>
      </c>
      <c r="AB282">
        <v>19</v>
      </c>
      <c r="AC282">
        <v>19.3</v>
      </c>
      <c r="AD282">
        <v>17.899999999999999</v>
      </c>
      <c r="AE282">
        <v>19.8</v>
      </c>
      <c r="AF282">
        <v>19</v>
      </c>
      <c r="AG282">
        <v>21.8</v>
      </c>
      <c r="AH282">
        <v>27.2</v>
      </c>
      <c r="AI282">
        <v>24.3</v>
      </c>
      <c r="AJ282">
        <v>24.43333333</v>
      </c>
      <c r="AK282">
        <v>29.2</v>
      </c>
      <c r="AL282">
        <v>22.3</v>
      </c>
      <c r="AM282">
        <v>25.2</v>
      </c>
      <c r="AN282">
        <v>25.56666667</v>
      </c>
      <c r="AO282">
        <v>25.56666667</v>
      </c>
      <c r="AP282">
        <v>6.1</v>
      </c>
      <c r="AQ282">
        <v>9.5</v>
      </c>
      <c r="AR282">
        <v>9.5</v>
      </c>
      <c r="AS282">
        <v>8.3666666670000005</v>
      </c>
      <c r="AT282">
        <v>9.5</v>
      </c>
      <c r="AU282">
        <v>10</v>
      </c>
      <c r="AV282">
        <v>8.1</v>
      </c>
      <c r="AW282">
        <v>9.1999999999999993</v>
      </c>
      <c r="AX282">
        <v>9.1999999999999993</v>
      </c>
      <c r="AY282">
        <v>-9.8000000000000007</v>
      </c>
      <c r="AZ282">
        <v>20</v>
      </c>
      <c r="BA282">
        <v>0</v>
      </c>
      <c r="BB282">
        <v>80</v>
      </c>
      <c r="BC282">
        <v>0</v>
      </c>
      <c r="BD282">
        <v>0</v>
      </c>
      <c r="BE282">
        <v>1</v>
      </c>
      <c r="BF282">
        <v>0</v>
      </c>
      <c r="BG282">
        <v>0</v>
      </c>
      <c r="BI282">
        <v>13.6</v>
      </c>
      <c r="BJ282">
        <v>2.15</v>
      </c>
      <c r="BK282">
        <v>0</v>
      </c>
      <c r="BL282">
        <v>6</v>
      </c>
      <c r="BM282">
        <v>5</v>
      </c>
      <c r="BN282">
        <v>5</v>
      </c>
      <c r="BO282">
        <v>6</v>
      </c>
      <c r="BP282">
        <f t="shared" si="39"/>
        <v>-1</v>
      </c>
      <c r="BQ282" t="s">
        <v>114</v>
      </c>
      <c r="BR282" t="s">
        <v>114</v>
      </c>
      <c r="BS282" t="s">
        <v>114</v>
      </c>
      <c r="BT282" t="s">
        <v>114</v>
      </c>
      <c r="BU282" t="s">
        <v>114</v>
      </c>
      <c r="BV282" t="s">
        <v>114</v>
      </c>
      <c r="BW282" t="s">
        <v>114</v>
      </c>
      <c r="BX282" t="s">
        <v>114</v>
      </c>
      <c r="BY282" t="s">
        <v>114</v>
      </c>
      <c r="BZ282" t="s">
        <v>114</v>
      </c>
      <c r="CA282" t="s">
        <v>114</v>
      </c>
      <c r="CB282" t="s">
        <v>114</v>
      </c>
      <c r="CC282" t="s">
        <v>114</v>
      </c>
      <c r="CD282" t="s">
        <v>114</v>
      </c>
      <c r="CE282" t="s">
        <v>114</v>
      </c>
      <c r="CF282" t="s">
        <v>114</v>
      </c>
      <c r="CG282" t="s">
        <v>114</v>
      </c>
      <c r="CH282" t="s">
        <v>114</v>
      </c>
      <c r="CI282" t="s">
        <v>114</v>
      </c>
      <c r="CJ282" t="s">
        <v>114</v>
      </c>
      <c r="CK282" t="s">
        <v>114</v>
      </c>
      <c r="CL282" t="s">
        <v>114</v>
      </c>
      <c r="CM282" t="s">
        <v>114</v>
      </c>
      <c r="CN282" t="s">
        <v>114</v>
      </c>
      <c r="CO282" t="s">
        <v>114</v>
      </c>
      <c r="CP282" t="s">
        <v>114</v>
      </c>
      <c r="CQ282" t="s">
        <v>114</v>
      </c>
      <c r="CR282" t="s">
        <v>114</v>
      </c>
      <c r="CS282" t="s">
        <v>114</v>
      </c>
      <c r="CT282" t="s">
        <v>114</v>
      </c>
      <c r="CU282" t="s">
        <v>114</v>
      </c>
      <c r="CV282" t="s">
        <v>114</v>
      </c>
      <c r="CW282" t="s">
        <v>114</v>
      </c>
    </row>
    <row r="283" spans="1:101" x14ac:dyDescent="0.25">
      <c r="A283" t="s">
        <v>14</v>
      </c>
      <c r="B283">
        <v>15</v>
      </c>
      <c r="C283" t="s">
        <v>15</v>
      </c>
      <c r="D283" t="s">
        <v>94</v>
      </c>
      <c r="E283" t="s">
        <v>111</v>
      </c>
      <c r="F283" t="s">
        <v>120</v>
      </c>
      <c r="G283" t="s">
        <v>271</v>
      </c>
      <c r="H283" t="str">
        <f t="shared" si="36"/>
        <v>P.canescens.Solo.Open</v>
      </c>
      <c r="I283" t="s">
        <v>703</v>
      </c>
      <c r="J283" t="s">
        <v>557</v>
      </c>
      <c r="K283">
        <v>0</v>
      </c>
      <c r="L283">
        <v>240</v>
      </c>
      <c r="M283">
        <v>260</v>
      </c>
      <c r="N283">
        <v>260</v>
      </c>
      <c r="O283" t="s">
        <v>114</v>
      </c>
      <c r="P283">
        <v>65</v>
      </c>
      <c r="Q283">
        <v>90</v>
      </c>
      <c r="R283">
        <v>90</v>
      </c>
      <c r="S283">
        <f t="shared" si="37"/>
        <v>90</v>
      </c>
      <c r="T283">
        <f t="shared" si="38"/>
        <v>0.34615384615384615</v>
      </c>
      <c r="U283" t="s">
        <v>792</v>
      </c>
      <c r="V283" t="s">
        <v>114</v>
      </c>
      <c r="W283" t="s">
        <v>114</v>
      </c>
      <c r="X283">
        <v>23.8</v>
      </c>
      <c r="Y283">
        <v>22.3</v>
      </c>
      <c r="Z283">
        <v>18.399999999999999</v>
      </c>
      <c r="AA283">
        <v>21.5</v>
      </c>
      <c r="AB283">
        <v>19.666666670000001</v>
      </c>
      <c r="AC283">
        <v>24.3</v>
      </c>
      <c r="AD283">
        <v>19.8</v>
      </c>
      <c r="AE283">
        <v>14.9</v>
      </c>
      <c r="AF283">
        <v>19.666666670000001</v>
      </c>
      <c r="AG283">
        <v>21.8</v>
      </c>
      <c r="AH283">
        <v>27.2</v>
      </c>
      <c r="AI283">
        <v>24.3</v>
      </c>
      <c r="AJ283">
        <v>24.43333333</v>
      </c>
      <c r="AK283">
        <v>20.8</v>
      </c>
      <c r="AL283">
        <v>23.8</v>
      </c>
      <c r="AM283">
        <v>25.7</v>
      </c>
      <c r="AN283">
        <v>23.43333333</v>
      </c>
      <c r="AO283">
        <v>23.43333333</v>
      </c>
      <c r="AP283">
        <v>6.1</v>
      </c>
      <c r="AQ283">
        <v>9.5</v>
      </c>
      <c r="AR283">
        <v>9.5</v>
      </c>
      <c r="AS283">
        <v>8.3666666670000005</v>
      </c>
      <c r="AT283">
        <v>4.5999999999999996</v>
      </c>
      <c r="AU283">
        <v>6.6</v>
      </c>
      <c r="AV283">
        <v>8.5</v>
      </c>
      <c r="AW283">
        <v>6.5666666669999998</v>
      </c>
      <c r="AX283">
        <v>6.5666666669999998</v>
      </c>
      <c r="AY283">
        <v>-13.1</v>
      </c>
      <c r="AZ283">
        <v>20</v>
      </c>
      <c r="BA283">
        <v>0</v>
      </c>
      <c r="BB283">
        <v>80</v>
      </c>
      <c r="BC283">
        <v>0</v>
      </c>
      <c r="BD283">
        <v>0</v>
      </c>
      <c r="BE283">
        <v>1</v>
      </c>
      <c r="BF283">
        <v>0</v>
      </c>
      <c r="BG283">
        <v>0</v>
      </c>
      <c r="BI283">
        <v>13.6</v>
      </c>
      <c r="BJ283">
        <v>2.15</v>
      </c>
      <c r="BK283">
        <v>0</v>
      </c>
      <c r="BL283">
        <v>49</v>
      </c>
      <c r="BM283">
        <v>30</v>
      </c>
      <c r="BN283">
        <v>2374</v>
      </c>
      <c r="BO283">
        <v>2240.3332999999998</v>
      </c>
      <c r="BP283">
        <f t="shared" si="39"/>
        <v>133.66670000000022</v>
      </c>
      <c r="BQ283" t="s">
        <v>114</v>
      </c>
      <c r="BR283" t="s">
        <v>114</v>
      </c>
      <c r="BS283" t="s">
        <v>114</v>
      </c>
      <c r="BT283" t="s">
        <v>114</v>
      </c>
      <c r="BU283" t="s">
        <v>114</v>
      </c>
      <c r="BV283" t="s">
        <v>114</v>
      </c>
      <c r="BW283" t="s">
        <v>114</v>
      </c>
      <c r="BX283" t="s">
        <v>114</v>
      </c>
      <c r="BY283" t="s">
        <v>114</v>
      </c>
      <c r="BZ283" t="s">
        <v>114</v>
      </c>
      <c r="CA283" t="s">
        <v>114</v>
      </c>
      <c r="CB283" t="s">
        <v>114</v>
      </c>
      <c r="CC283" t="s">
        <v>114</v>
      </c>
      <c r="CD283" t="s">
        <v>114</v>
      </c>
      <c r="CE283" t="s">
        <v>114</v>
      </c>
      <c r="CF283" t="s">
        <v>114</v>
      </c>
      <c r="CG283" t="s">
        <v>114</v>
      </c>
      <c r="CH283" t="s">
        <v>114</v>
      </c>
      <c r="CI283" t="s">
        <v>114</v>
      </c>
      <c r="CJ283" t="s">
        <v>114</v>
      </c>
      <c r="CK283" t="s">
        <v>114</v>
      </c>
      <c r="CL283" t="s">
        <v>114</v>
      </c>
      <c r="CM283" t="s">
        <v>114</v>
      </c>
      <c r="CN283" t="s">
        <v>114</v>
      </c>
      <c r="CO283" t="s">
        <v>114</v>
      </c>
      <c r="CP283" t="s">
        <v>114</v>
      </c>
      <c r="CQ283" t="s">
        <v>114</v>
      </c>
      <c r="CR283" t="s">
        <v>114</v>
      </c>
      <c r="CS283" t="s">
        <v>114</v>
      </c>
      <c r="CT283" t="s">
        <v>114</v>
      </c>
      <c r="CU283" t="s">
        <v>114</v>
      </c>
      <c r="CV283" t="s">
        <v>114</v>
      </c>
      <c r="CW283" t="s">
        <v>114</v>
      </c>
    </row>
    <row r="284" spans="1:101" x14ac:dyDescent="0.25">
      <c r="A284" t="s">
        <v>14</v>
      </c>
      <c r="B284">
        <v>15</v>
      </c>
      <c r="C284" t="s">
        <v>15</v>
      </c>
      <c r="D284" t="s">
        <v>94</v>
      </c>
      <c r="E284" t="s">
        <v>104</v>
      </c>
      <c r="F284" t="s">
        <v>120</v>
      </c>
      <c r="G284" t="s">
        <v>272</v>
      </c>
      <c r="H284" t="str">
        <f t="shared" si="36"/>
        <v>T.cyanopetala.Solo.Open</v>
      </c>
      <c r="I284" t="s">
        <v>701</v>
      </c>
      <c r="J284" t="s">
        <v>558</v>
      </c>
      <c r="K284">
        <v>0</v>
      </c>
      <c r="L284">
        <v>55</v>
      </c>
      <c r="M284">
        <v>70</v>
      </c>
      <c r="N284">
        <v>70</v>
      </c>
      <c r="O284" t="s">
        <v>114</v>
      </c>
      <c r="P284">
        <v>32</v>
      </c>
      <c r="Q284">
        <v>32</v>
      </c>
      <c r="R284">
        <v>0</v>
      </c>
      <c r="S284">
        <f t="shared" si="37"/>
        <v>16</v>
      </c>
      <c r="T284">
        <f t="shared" si="38"/>
        <v>0.22857142857142856</v>
      </c>
      <c r="U284" t="s">
        <v>792</v>
      </c>
      <c r="V284" t="s">
        <v>114</v>
      </c>
      <c r="W284" t="s">
        <v>114</v>
      </c>
      <c r="X284">
        <v>23.8</v>
      </c>
      <c r="Y284">
        <v>22.3</v>
      </c>
      <c r="Z284">
        <v>18.399999999999999</v>
      </c>
      <c r="AA284">
        <v>21.5</v>
      </c>
      <c r="AB284">
        <v>23.133333329999999</v>
      </c>
      <c r="AC284">
        <v>22.3</v>
      </c>
      <c r="AD284">
        <v>23.3</v>
      </c>
      <c r="AE284">
        <v>23.8</v>
      </c>
      <c r="AF284">
        <v>23.133333329999999</v>
      </c>
      <c r="AG284">
        <v>21.8</v>
      </c>
      <c r="AH284">
        <v>27.2</v>
      </c>
      <c r="AI284">
        <v>24.3</v>
      </c>
      <c r="AJ284">
        <v>24.43333333</v>
      </c>
      <c r="AK284">
        <v>18.399999999999999</v>
      </c>
      <c r="AL284">
        <v>24.7</v>
      </c>
      <c r="AM284">
        <v>24.3</v>
      </c>
      <c r="AN284">
        <v>22.466666669999999</v>
      </c>
      <c r="AO284">
        <v>22.466666669999999</v>
      </c>
      <c r="AP284">
        <v>6.1</v>
      </c>
      <c r="AQ284">
        <v>9.5</v>
      </c>
      <c r="AR284">
        <v>9.5</v>
      </c>
      <c r="AS284">
        <v>8.3666666670000005</v>
      </c>
      <c r="AT284">
        <v>10</v>
      </c>
      <c r="AU284">
        <v>9</v>
      </c>
      <c r="AV284">
        <v>10.5</v>
      </c>
      <c r="AW284">
        <v>9.8333333330000006</v>
      </c>
      <c r="AX284">
        <v>9.8333333330000006</v>
      </c>
      <c r="AY284">
        <v>-13.3</v>
      </c>
      <c r="AZ284">
        <v>80</v>
      </c>
      <c r="BA284">
        <v>10</v>
      </c>
      <c r="BB284">
        <v>10</v>
      </c>
      <c r="BC284">
        <v>0</v>
      </c>
      <c r="BD284">
        <v>0</v>
      </c>
      <c r="BE284">
        <v>1</v>
      </c>
      <c r="BF284">
        <v>0</v>
      </c>
      <c r="BG284">
        <v>0</v>
      </c>
      <c r="BI284">
        <v>13.6</v>
      </c>
      <c r="BJ284">
        <v>2.15</v>
      </c>
      <c r="BK284">
        <v>0</v>
      </c>
      <c r="BL284">
        <v>7</v>
      </c>
      <c r="BM284">
        <v>7</v>
      </c>
      <c r="BN284">
        <v>42</v>
      </c>
      <c r="BO284">
        <v>31</v>
      </c>
      <c r="BP284">
        <f t="shared" si="39"/>
        <v>11</v>
      </c>
      <c r="BQ284" t="s">
        <v>114</v>
      </c>
      <c r="BR284" t="s">
        <v>114</v>
      </c>
      <c r="BS284" t="s">
        <v>114</v>
      </c>
      <c r="BT284" t="s">
        <v>114</v>
      </c>
      <c r="BU284" t="s">
        <v>114</v>
      </c>
      <c r="BV284" t="s">
        <v>114</v>
      </c>
      <c r="BW284" t="s">
        <v>114</v>
      </c>
      <c r="BX284" t="s">
        <v>114</v>
      </c>
      <c r="BY284" t="s">
        <v>114</v>
      </c>
      <c r="BZ284" t="s">
        <v>114</v>
      </c>
      <c r="CA284" t="s">
        <v>114</v>
      </c>
      <c r="CB284" t="s">
        <v>114</v>
      </c>
      <c r="CC284" t="s">
        <v>114</v>
      </c>
      <c r="CD284" t="s">
        <v>114</v>
      </c>
      <c r="CE284" t="s">
        <v>114</v>
      </c>
      <c r="CF284" t="s">
        <v>114</v>
      </c>
      <c r="CG284" t="s">
        <v>114</v>
      </c>
      <c r="CH284" t="s">
        <v>114</v>
      </c>
      <c r="CI284" t="s">
        <v>114</v>
      </c>
      <c r="CJ284" t="s">
        <v>114</v>
      </c>
      <c r="CK284" t="s">
        <v>114</v>
      </c>
      <c r="CL284" t="s">
        <v>114</v>
      </c>
      <c r="CM284" t="s">
        <v>114</v>
      </c>
      <c r="CN284" t="s">
        <v>114</v>
      </c>
      <c r="CO284" t="s">
        <v>114</v>
      </c>
      <c r="CP284" t="s">
        <v>114</v>
      </c>
      <c r="CQ284" t="s">
        <v>114</v>
      </c>
      <c r="CR284" t="s">
        <v>114</v>
      </c>
      <c r="CS284" t="s">
        <v>114</v>
      </c>
      <c r="CT284" t="s">
        <v>114</v>
      </c>
      <c r="CU284" t="s">
        <v>114</v>
      </c>
      <c r="CV284" t="s">
        <v>114</v>
      </c>
      <c r="CW284" t="s">
        <v>114</v>
      </c>
    </row>
    <row r="285" spans="1:101" x14ac:dyDescent="0.25">
      <c r="A285" t="s">
        <v>16</v>
      </c>
      <c r="B285">
        <v>15</v>
      </c>
      <c r="C285" t="s">
        <v>17</v>
      </c>
      <c r="D285" t="s">
        <v>95</v>
      </c>
      <c r="E285" t="s">
        <v>113</v>
      </c>
      <c r="F285" t="s">
        <v>120</v>
      </c>
      <c r="G285" t="s">
        <v>267</v>
      </c>
      <c r="H285" t="str">
        <f t="shared" si="36"/>
        <v>H.glutinosum.Solo.Shade</v>
      </c>
      <c r="I285" t="s">
        <v>704</v>
      </c>
      <c r="J285" t="s">
        <v>559</v>
      </c>
      <c r="K285">
        <v>0</v>
      </c>
      <c r="L285">
        <v>100</v>
      </c>
      <c r="M285">
        <v>90</v>
      </c>
      <c r="N285">
        <v>90</v>
      </c>
      <c r="O285" t="s">
        <v>114</v>
      </c>
      <c r="P285">
        <v>12</v>
      </c>
      <c r="Q285">
        <v>30</v>
      </c>
      <c r="R285">
        <v>10</v>
      </c>
      <c r="S285">
        <f t="shared" si="37"/>
        <v>20</v>
      </c>
      <c r="T285">
        <f t="shared" si="38"/>
        <v>0.22222222222222221</v>
      </c>
      <c r="U285" t="s">
        <v>23</v>
      </c>
      <c r="V285" t="s">
        <v>114</v>
      </c>
      <c r="W285" t="s">
        <v>114</v>
      </c>
      <c r="X285">
        <v>13.9</v>
      </c>
      <c r="Y285">
        <v>15.4</v>
      </c>
      <c r="Z285">
        <v>15.9</v>
      </c>
      <c r="AA285">
        <v>15.06666667</v>
      </c>
      <c r="AB285">
        <v>21.966666669999999</v>
      </c>
      <c r="AC285">
        <v>26.7</v>
      </c>
      <c r="AD285">
        <v>17.899999999999999</v>
      </c>
      <c r="AE285">
        <v>21.3</v>
      </c>
      <c r="AF285">
        <v>21.966666669999999</v>
      </c>
      <c r="AG285">
        <v>22.3</v>
      </c>
      <c r="AH285">
        <v>22.3</v>
      </c>
      <c r="AI285">
        <v>23.4</v>
      </c>
      <c r="AJ285">
        <v>22.666666670000001</v>
      </c>
      <c r="AK285">
        <v>22.3</v>
      </c>
      <c r="AL285">
        <v>23.7</v>
      </c>
      <c r="AM285">
        <v>33.6</v>
      </c>
      <c r="AN285">
        <v>26.533333330000001</v>
      </c>
      <c r="AO285">
        <v>26.533333330000001</v>
      </c>
      <c r="AP285">
        <v>8.1</v>
      </c>
      <c r="AQ285">
        <v>8.5</v>
      </c>
      <c r="AR285">
        <v>12.5</v>
      </c>
      <c r="AS285">
        <v>9.6999999999999993</v>
      </c>
      <c r="AT285">
        <v>11</v>
      </c>
      <c r="AU285">
        <v>8.1</v>
      </c>
      <c r="AV285">
        <v>9.5</v>
      </c>
      <c r="AW285">
        <v>9.5333333329999999</v>
      </c>
      <c r="AX285">
        <v>9.5333333329999999</v>
      </c>
      <c r="AY285">
        <v>-12.43333333</v>
      </c>
      <c r="AZ285">
        <v>80</v>
      </c>
      <c r="BA285">
        <v>10</v>
      </c>
      <c r="BB285">
        <v>10</v>
      </c>
      <c r="BC285">
        <v>0</v>
      </c>
      <c r="BD285">
        <v>0</v>
      </c>
      <c r="BE285">
        <v>1</v>
      </c>
      <c r="BF285">
        <v>0</v>
      </c>
      <c r="BG285">
        <v>0</v>
      </c>
      <c r="BI285">
        <v>6.6</v>
      </c>
      <c r="BJ285">
        <v>42.4</v>
      </c>
      <c r="BK285">
        <v>0</v>
      </c>
      <c r="BL285">
        <v>4</v>
      </c>
      <c r="BM285">
        <v>4</v>
      </c>
      <c r="BN285">
        <v>60</v>
      </c>
      <c r="BO285">
        <v>22</v>
      </c>
      <c r="BP285">
        <f t="shared" si="39"/>
        <v>38</v>
      </c>
      <c r="BQ285" t="s">
        <v>114</v>
      </c>
      <c r="BR285" t="s">
        <v>114</v>
      </c>
      <c r="BS285" t="s">
        <v>114</v>
      </c>
      <c r="BT285" t="s">
        <v>114</v>
      </c>
      <c r="BU285" t="s">
        <v>114</v>
      </c>
      <c r="BV285" t="s">
        <v>114</v>
      </c>
      <c r="BW285" t="s">
        <v>114</v>
      </c>
      <c r="BX285" t="s">
        <v>114</v>
      </c>
      <c r="BY285" t="s">
        <v>114</v>
      </c>
      <c r="BZ285" t="s">
        <v>114</v>
      </c>
      <c r="CA285" t="s">
        <v>114</v>
      </c>
      <c r="CB285" t="s">
        <v>114</v>
      </c>
      <c r="CC285" t="s">
        <v>114</v>
      </c>
      <c r="CD285" t="s">
        <v>114</v>
      </c>
      <c r="CE285" t="s">
        <v>114</v>
      </c>
      <c r="CF285" t="s">
        <v>114</v>
      </c>
      <c r="CG285" t="s">
        <v>114</v>
      </c>
      <c r="CH285" t="s">
        <v>114</v>
      </c>
      <c r="CI285" t="s">
        <v>114</v>
      </c>
      <c r="CJ285" t="s">
        <v>114</v>
      </c>
      <c r="CK285" t="s">
        <v>114</v>
      </c>
      <c r="CL285" t="s">
        <v>114</v>
      </c>
      <c r="CM285" t="s">
        <v>114</v>
      </c>
      <c r="CN285" t="s">
        <v>114</v>
      </c>
      <c r="CO285" t="s">
        <v>114</v>
      </c>
      <c r="CP285" t="s">
        <v>114</v>
      </c>
      <c r="CQ285" t="s">
        <v>114</v>
      </c>
      <c r="CR285" t="s">
        <v>114</v>
      </c>
      <c r="CS285" t="s">
        <v>114</v>
      </c>
      <c r="CT285" t="s">
        <v>114</v>
      </c>
      <c r="CU285" t="s">
        <v>114</v>
      </c>
      <c r="CV285" t="s">
        <v>114</v>
      </c>
      <c r="CW285" t="s">
        <v>114</v>
      </c>
    </row>
    <row r="286" spans="1:101" x14ac:dyDescent="0.25">
      <c r="A286" t="s">
        <v>16</v>
      </c>
      <c r="B286">
        <v>15</v>
      </c>
      <c r="C286" t="s">
        <v>17</v>
      </c>
      <c r="D286" t="s">
        <v>95</v>
      </c>
      <c r="E286" t="s">
        <v>110</v>
      </c>
      <c r="F286" t="s">
        <v>120</v>
      </c>
      <c r="G286" t="s">
        <v>270</v>
      </c>
      <c r="H286" t="str">
        <f t="shared" si="36"/>
        <v>M.minima.Solo.Shade</v>
      </c>
      <c r="I286" t="s">
        <v>705</v>
      </c>
      <c r="J286" t="s">
        <v>560</v>
      </c>
      <c r="K286">
        <v>0</v>
      </c>
      <c r="L286">
        <v>80</v>
      </c>
      <c r="M286">
        <v>40</v>
      </c>
      <c r="N286">
        <v>40</v>
      </c>
      <c r="O286" t="s">
        <v>114</v>
      </c>
      <c r="P286">
        <v>10</v>
      </c>
      <c r="Q286">
        <v>150</v>
      </c>
      <c r="R286">
        <v>20</v>
      </c>
      <c r="S286">
        <f t="shared" si="37"/>
        <v>85</v>
      </c>
      <c r="T286">
        <f t="shared" si="38"/>
        <v>2.125</v>
      </c>
      <c r="U286" t="s">
        <v>795</v>
      </c>
      <c r="V286" t="s">
        <v>114</v>
      </c>
      <c r="W286" t="s">
        <v>114</v>
      </c>
      <c r="X286">
        <v>13.9</v>
      </c>
      <c r="Y286">
        <v>15.4</v>
      </c>
      <c r="Z286">
        <v>15.9</v>
      </c>
      <c r="AA286">
        <v>15.06666667</v>
      </c>
      <c r="AB286">
        <v>15.93333333</v>
      </c>
      <c r="AC286">
        <v>17.399999999999999</v>
      </c>
      <c r="AD286">
        <v>13.5</v>
      </c>
      <c r="AE286">
        <v>16.899999999999999</v>
      </c>
      <c r="AF286">
        <v>15.93333333</v>
      </c>
      <c r="AG286">
        <v>22.3</v>
      </c>
      <c r="AH286">
        <v>22.3</v>
      </c>
      <c r="AI286">
        <v>23.4</v>
      </c>
      <c r="AJ286">
        <v>22.666666670000001</v>
      </c>
      <c r="AK286">
        <v>23.8</v>
      </c>
      <c r="AL286">
        <v>20.8</v>
      </c>
      <c r="AM286">
        <v>18.399999999999999</v>
      </c>
      <c r="AN286">
        <v>21</v>
      </c>
      <c r="AO286">
        <v>21</v>
      </c>
      <c r="AP286">
        <v>8.1</v>
      </c>
      <c r="AQ286">
        <v>8.5</v>
      </c>
      <c r="AR286">
        <v>12.5</v>
      </c>
      <c r="AS286">
        <v>9.6999999999999993</v>
      </c>
      <c r="AT286">
        <v>7.6</v>
      </c>
      <c r="AU286">
        <v>7.6</v>
      </c>
      <c r="AV286">
        <v>6.1</v>
      </c>
      <c r="AW286">
        <v>7.1</v>
      </c>
      <c r="AX286">
        <v>7.1</v>
      </c>
      <c r="AY286">
        <v>-8.8333333330000006</v>
      </c>
      <c r="AZ286" t="s">
        <v>114</v>
      </c>
      <c r="BA286" t="s">
        <v>114</v>
      </c>
      <c r="BB286" t="s">
        <v>114</v>
      </c>
      <c r="BC286" t="s">
        <v>114</v>
      </c>
      <c r="BD286" t="s">
        <v>114</v>
      </c>
      <c r="BE286">
        <v>1</v>
      </c>
      <c r="BF286" t="s">
        <v>114</v>
      </c>
      <c r="BG286" t="s">
        <v>114</v>
      </c>
      <c r="BI286">
        <v>6.6</v>
      </c>
      <c r="BJ286">
        <v>42.4</v>
      </c>
      <c r="BK286">
        <v>0</v>
      </c>
      <c r="BL286">
        <v>16</v>
      </c>
      <c r="BM286">
        <v>11</v>
      </c>
      <c r="BN286">
        <v>11</v>
      </c>
      <c r="BO286">
        <v>4.6666670000000003</v>
      </c>
      <c r="BP286">
        <f t="shared" si="39"/>
        <v>6.3333329999999997</v>
      </c>
      <c r="BQ286" t="s">
        <v>114</v>
      </c>
      <c r="BR286" t="s">
        <v>114</v>
      </c>
      <c r="BS286" t="s">
        <v>114</v>
      </c>
      <c r="BT286" t="s">
        <v>114</v>
      </c>
      <c r="BU286" t="s">
        <v>114</v>
      </c>
      <c r="BV286" t="s">
        <v>114</v>
      </c>
      <c r="BW286" t="s">
        <v>114</v>
      </c>
      <c r="BX286" t="s">
        <v>114</v>
      </c>
      <c r="BY286" t="s">
        <v>114</v>
      </c>
      <c r="BZ286" t="s">
        <v>114</v>
      </c>
      <c r="CA286" t="s">
        <v>114</v>
      </c>
      <c r="CB286" t="s">
        <v>114</v>
      </c>
      <c r="CC286" t="s">
        <v>114</v>
      </c>
      <c r="CD286" t="s">
        <v>114</v>
      </c>
      <c r="CE286" t="s">
        <v>114</v>
      </c>
      <c r="CF286" t="s">
        <v>114</v>
      </c>
      <c r="CG286" t="s">
        <v>114</v>
      </c>
      <c r="CH286" t="s">
        <v>114</v>
      </c>
      <c r="CI286" t="s">
        <v>114</v>
      </c>
      <c r="CJ286" t="s">
        <v>114</v>
      </c>
      <c r="CK286" t="s">
        <v>114</v>
      </c>
      <c r="CL286" t="s">
        <v>114</v>
      </c>
      <c r="CM286" t="s">
        <v>114</v>
      </c>
      <c r="CN286" t="s">
        <v>114</v>
      </c>
      <c r="CO286" t="s">
        <v>114</v>
      </c>
      <c r="CP286" t="s">
        <v>114</v>
      </c>
      <c r="CQ286" t="s">
        <v>114</v>
      </c>
      <c r="CR286" t="s">
        <v>114</v>
      </c>
      <c r="CS286" t="s">
        <v>114</v>
      </c>
      <c r="CT286" t="s">
        <v>114</v>
      </c>
      <c r="CU286" t="s">
        <v>114</v>
      </c>
      <c r="CV286" t="s">
        <v>114</v>
      </c>
      <c r="CW286" t="s">
        <v>114</v>
      </c>
    </row>
    <row r="287" spans="1:101" x14ac:dyDescent="0.25">
      <c r="A287" t="s">
        <v>16</v>
      </c>
      <c r="B287">
        <v>15</v>
      </c>
      <c r="C287" t="s">
        <v>17</v>
      </c>
      <c r="D287" t="s">
        <v>95</v>
      </c>
      <c r="E287" t="s">
        <v>111</v>
      </c>
      <c r="F287" t="s">
        <v>120</v>
      </c>
      <c r="G287" t="s">
        <v>271</v>
      </c>
      <c r="H287" t="str">
        <f t="shared" si="36"/>
        <v>P.canescens.Solo.Shade</v>
      </c>
      <c r="I287" t="s">
        <v>706</v>
      </c>
      <c r="J287" t="s">
        <v>561</v>
      </c>
      <c r="K287">
        <v>0</v>
      </c>
      <c r="L287">
        <v>320</v>
      </c>
      <c r="M287">
        <v>210</v>
      </c>
      <c r="N287">
        <v>210</v>
      </c>
      <c r="O287" t="s">
        <v>114</v>
      </c>
      <c r="P287">
        <v>60</v>
      </c>
      <c r="Q287">
        <v>40</v>
      </c>
      <c r="R287">
        <v>30</v>
      </c>
      <c r="S287">
        <f t="shared" si="37"/>
        <v>35</v>
      </c>
      <c r="T287">
        <f t="shared" si="38"/>
        <v>0.16666666666666666</v>
      </c>
      <c r="U287" t="s">
        <v>15</v>
      </c>
      <c r="V287" t="s">
        <v>114</v>
      </c>
      <c r="W287" t="s">
        <v>114</v>
      </c>
      <c r="X287">
        <v>13.9</v>
      </c>
      <c r="Y287">
        <v>15.4</v>
      </c>
      <c r="Z287">
        <v>15.9</v>
      </c>
      <c r="AA287">
        <v>15.06666667</v>
      </c>
      <c r="AB287">
        <v>20.466666669999999</v>
      </c>
      <c r="AC287">
        <v>15.9</v>
      </c>
      <c r="AD287">
        <v>26.2</v>
      </c>
      <c r="AE287">
        <v>19.3</v>
      </c>
      <c r="AF287">
        <v>20.466666669999999</v>
      </c>
      <c r="AG287">
        <v>22.3</v>
      </c>
      <c r="AH287">
        <v>22.3</v>
      </c>
      <c r="AI287">
        <v>23.4</v>
      </c>
      <c r="AJ287">
        <v>22.666666670000001</v>
      </c>
      <c r="AK287">
        <v>20.8</v>
      </c>
      <c r="AL287">
        <v>24.7</v>
      </c>
      <c r="AM287">
        <v>29.7</v>
      </c>
      <c r="AN287">
        <v>25.06666667</v>
      </c>
      <c r="AO287">
        <v>25.06666667</v>
      </c>
      <c r="AP287">
        <v>8.1</v>
      </c>
      <c r="AQ287">
        <v>8.5</v>
      </c>
      <c r="AR287">
        <v>12.5</v>
      </c>
      <c r="AS287">
        <v>9.6999999999999993</v>
      </c>
      <c r="AT287">
        <v>8.1</v>
      </c>
      <c r="AU287">
        <v>8.5</v>
      </c>
      <c r="AV287">
        <v>12</v>
      </c>
      <c r="AW287">
        <v>9.5333333329999999</v>
      </c>
      <c r="AX287">
        <v>9.5333333329999999</v>
      </c>
      <c r="AY287">
        <v>-10.93333333</v>
      </c>
      <c r="AZ287">
        <v>50</v>
      </c>
      <c r="BA287">
        <v>40</v>
      </c>
      <c r="BB287">
        <v>10</v>
      </c>
      <c r="BC287">
        <v>0</v>
      </c>
      <c r="BD287">
        <v>0</v>
      </c>
      <c r="BE287">
        <v>1</v>
      </c>
      <c r="BF287">
        <v>0</v>
      </c>
      <c r="BG287">
        <v>0</v>
      </c>
      <c r="BI287">
        <v>6.6</v>
      </c>
      <c r="BJ287">
        <v>42.4</v>
      </c>
      <c r="BK287">
        <v>0</v>
      </c>
      <c r="BL287">
        <v>8</v>
      </c>
      <c r="BM287">
        <v>2</v>
      </c>
      <c r="BN287">
        <v>98</v>
      </c>
      <c r="BO287">
        <v>731.75</v>
      </c>
      <c r="BP287">
        <f t="shared" si="39"/>
        <v>-633.75</v>
      </c>
      <c r="BQ287" t="s">
        <v>114</v>
      </c>
      <c r="BR287" t="s">
        <v>114</v>
      </c>
      <c r="BS287" t="s">
        <v>114</v>
      </c>
      <c r="BT287" t="s">
        <v>114</v>
      </c>
      <c r="BU287" t="s">
        <v>114</v>
      </c>
      <c r="BV287" t="s">
        <v>114</v>
      </c>
      <c r="BW287" t="s">
        <v>114</v>
      </c>
      <c r="BX287" t="s">
        <v>114</v>
      </c>
      <c r="BY287" t="s">
        <v>114</v>
      </c>
      <c r="BZ287" t="s">
        <v>114</v>
      </c>
      <c r="CA287" t="s">
        <v>114</v>
      </c>
      <c r="CB287" t="s">
        <v>114</v>
      </c>
      <c r="CC287" t="s">
        <v>114</v>
      </c>
      <c r="CD287" t="s">
        <v>114</v>
      </c>
      <c r="CE287" t="s">
        <v>114</v>
      </c>
      <c r="CF287" t="s">
        <v>114</v>
      </c>
      <c r="CG287" t="s">
        <v>114</v>
      </c>
      <c r="CH287" t="s">
        <v>114</v>
      </c>
      <c r="CI287" t="s">
        <v>114</v>
      </c>
      <c r="CJ287" t="s">
        <v>114</v>
      </c>
      <c r="CK287" t="s">
        <v>114</v>
      </c>
      <c r="CL287" t="s">
        <v>114</v>
      </c>
      <c r="CM287" t="s">
        <v>114</v>
      </c>
      <c r="CN287" t="s">
        <v>114</v>
      </c>
      <c r="CO287" t="s">
        <v>114</v>
      </c>
      <c r="CP287" t="s">
        <v>114</v>
      </c>
      <c r="CQ287" t="s">
        <v>114</v>
      </c>
      <c r="CR287" t="s">
        <v>114</v>
      </c>
      <c r="CS287" t="s">
        <v>114</v>
      </c>
      <c r="CT287" t="s">
        <v>114</v>
      </c>
      <c r="CU287" t="s">
        <v>114</v>
      </c>
      <c r="CV287" t="s">
        <v>114</v>
      </c>
      <c r="CW287" t="s">
        <v>114</v>
      </c>
    </row>
    <row r="288" spans="1:101" x14ac:dyDescent="0.25">
      <c r="A288" t="s">
        <v>16</v>
      </c>
      <c r="B288">
        <v>15</v>
      </c>
      <c r="C288" t="s">
        <v>17</v>
      </c>
      <c r="D288" t="s">
        <v>95</v>
      </c>
      <c r="E288" t="s">
        <v>104</v>
      </c>
      <c r="F288" t="s">
        <v>120</v>
      </c>
      <c r="G288" t="s">
        <v>272</v>
      </c>
      <c r="H288" t="str">
        <f t="shared" si="36"/>
        <v>T.cyanopetala.Solo.Shade</v>
      </c>
      <c r="I288" t="s">
        <v>707</v>
      </c>
      <c r="J288" t="s">
        <v>562</v>
      </c>
      <c r="K288">
        <v>0</v>
      </c>
      <c r="L288">
        <v>65</v>
      </c>
      <c r="M288">
        <v>110</v>
      </c>
      <c r="N288">
        <v>110</v>
      </c>
      <c r="O288" t="s">
        <v>114</v>
      </c>
      <c r="P288">
        <v>30</v>
      </c>
      <c r="Q288">
        <v>160</v>
      </c>
      <c r="R288">
        <v>70</v>
      </c>
      <c r="S288">
        <f t="shared" si="37"/>
        <v>115</v>
      </c>
      <c r="T288">
        <f t="shared" si="38"/>
        <v>1.0454545454545454</v>
      </c>
      <c r="U288" t="s">
        <v>794</v>
      </c>
      <c r="V288" t="s">
        <v>114</v>
      </c>
      <c r="W288" t="s">
        <v>114</v>
      </c>
      <c r="X288">
        <v>13.9</v>
      </c>
      <c r="Y288">
        <v>15.4</v>
      </c>
      <c r="Z288">
        <v>15.9</v>
      </c>
      <c r="AA288">
        <v>15.06666667</v>
      </c>
      <c r="AB288">
        <v>17.06666667</v>
      </c>
      <c r="AC288">
        <v>14.4</v>
      </c>
      <c r="AD288">
        <v>18.899999999999999</v>
      </c>
      <c r="AE288">
        <v>17.899999999999999</v>
      </c>
      <c r="AF288">
        <v>17.06666667</v>
      </c>
      <c r="AG288">
        <v>22.3</v>
      </c>
      <c r="AH288">
        <v>22.3</v>
      </c>
      <c r="AI288">
        <v>23.4</v>
      </c>
      <c r="AJ288">
        <v>22.666666670000001</v>
      </c>
      <c r="AK288">
        <v>27.7</v>
      </c>
      <c r="AL288">
        <v>21.8</v>
      </c>
      <c r="AM288">
        <v>32.1</v>
      </c>
      <c r="AN288">
        <v>27.2</v>
      </c>
      <c r="AO288">
        <v>27.2</v>
      </c>
      <c r="AP288">
        <v>8.1</v>
      </c>
      <c r="AQ288">
        <v>8.5</v>
      </c>
      <c r="AR288">
        <v>12.5</v>
      </c>
      <c r="AS288">
        <v>9.6999999999999993</v>
      </c>
      <c r="AT288">
        <v>7.1</v>
      </c>
      <c r="AU288">
        <v>8.1</v>
      </c>
      <c r="AV288">
        <v>15.4</v>
      </c>
      <c r="AW288">
        <v>10.199999999999999</v>
      </c>
      <c r="AX288">
        <v>10.199999999999999</v>
      </c>
      <c r="AY288">
        <v>-6.8666666669999996</v>
      </c>
      <c r="AZ288">
        <v>70</v>
      </c>
      <c r="BA288">
        <v>15</v>
      </c>
      <c r="BB288">
        <v>15</v>
      </c>
      <c r="BC288">
        <v>0</v>
      </c>
      <c r="BD288">
        <v>0</v>
      </c>
      <c r="BE288">
        <v>1</v>
      </c>
      <c r="BF288">
        <v>0</v>
      </c>
      <c r="BG288">
        <v>0</v>
      </c>
      <c r="BI288">
        <v>6.6</v>
      </c>
      <c r="BJ288">
        <v>42.4</v>
      </c>
      <c r="BK288">
        <v>0</v>
      </c>
      <c r="BL288">
        <v>42</v>
      </c>
      <c r="BM288">
        <v>42</v>
      </c>
      <c r="BN288">
        <v>232</v>
      </c>
      <c r="BO288">
        <v>154.66666699999999</v>
      </c>
      <c r="BP288">
        <f t="shared" si="39"/>
        <v>77.33333300000001</v>
      </c>
      <c r="BQ288" t="s">
        <v>114</v>
      </c>
      <c r="BR288" t="s">
        <v>114</v>
      </c>
      <c r="BS288" t="s">
        <v>114</v>
      </c>
      <c r="BT288" t="s">
        <v>114</v>
      </c>
      <c r="BU288" t="s">
        <v>114</v>
      </c>
      <c r="BV288" t="s">
        <v>114</v>
      </c>
      <c r="BW288" t="s">
        <v>114</v>
      </c>
      <c r="BX288" t="s">
        <v>114</v>
      </c>
      <c r="BY288" t="s">
        <v>114</v>
      </c>
      <c r="BZ288" t="s">
        <v>114</v>
      </c>
      <c r="CA288" t="s">
        <v>114</v>
      </c>
      <c r="CB288" t="s">
        <v>114</v>
      </c>
      <c r="CC288" t="s">
        <v>114</v>
      </c>
      <c r="CD288" t="s">
        <v>114</v>
      </c>
      <c r="CE288" t="s">
        <v>114</v>
      </c>
      <c r="CF288" t="s">
        <v>114</v>
      </c>
      <c r="CG288" t="s">
        <v>114</v>
      </c>
      <c r="CH288" t="s">
        <v>114</v>
      </c>
      <c r="CI288" t="s">
        <v>114</v>
      </c>
      <c r="CJ288" t="s">
        <v>114</v>
      </c>
      <c r="CK288" t="s">
        <v>114</v>
      </c>
      <c r="CL288" t="s">
        <v>114</v>
      </c>
      <c r="CM288" t="s">
        <v>114</v>
      </c>
      <c r="CN288" t="s">
        <v>114</v>
      </c>
      <c r="CO288" t="s">
        <v>114</v>
      </c>
      <c r="CP288" t="s">
        <v>114</v>
      </c>
      <c r="CQ288" t="s">
        <v>114</v>
      </c>
      <c r="CR288" t="s">
        <v>114</v>
      </c>
      <c r="CS288" t="s">
        <v>114</v>
      </c>
      <c r="CT288" t="s">
        <v>114</v>
      </c>
      <c r="CU288" t="s">
        <v>114</v>
      </c>
      <c r="CV288" t="s">
        <v>114</v>
      </c>
      <c r="CW288" t="s">
        <v>114</v>
      </c>
    </row>
    <row r="289" spans="1:101" x14ac:dyDescent="0.25">
      <c r="A289" t="s">
        <v>18</v>
      </c>
      <c r="B289">
        <v>15</v>
      </c>
      <c r="C289" t="s">
        <v>19</v>
      </c>
      <c r="D289" t="s">
        <v>95</v>
      </c>
      <c r="E289" t="s">
        <v>113</v>
      </c>
      <c r="F289" t="s">
        <v>120</v>
      </c>
      <c r="G289" t="s">
        <v>267</v>
      </c>
      <c r="H289" t="str">
        <f t="shared" si="36"/>
        <v>H.glutinosum.Solo.Shade</v>
      </c>
      <c r="I289" t="s">
        <v>704</v>
      </c>
      <c r="J289" t="s">
        <v>563</v>
      </c>
      <c r="K289">
        <v>0</v>
      </c>
      <c r="L289">
        <v>75</v>
      </c>
      <c r="M289">
        <v>45</v>
      </c>
      <c r="N289">
        <v>45</v>
      </c>
      <c r="O289" t="s">
        <v>114</v>
      </c>
      <c r="P289">
        <v>3</v>
      </c>
      <c r="Q289">
        <v>3</v>
      </c>
      <c r="R289">
        <v>2</v>
      </c>
      <c r="S289">
        <f t="shared" si="37"/>
        <v>2.5</v>
      </c>
      <c r="T289">
        <f t="shared" si="38"/>
        <v>5.5555555555555552E-2</v>
      </c>
      <c r="U289" t="s">
        <v>15</v>
      </c>
      <c r="V289" t="s">
        <v>114</v>
      </c>
      <c r="W289" t="s">
        <v>114</v>
      </c>
      <c r="X289">
        <v>16.899999999999999</v>
      </c>
      <c r="Y289">
        <v>15.9</v>
      </c>
      <c r="Z289">
        <v>15.4</v>
      </c>
      <c r="AA289">
        <v>16.06666667</v>
      </c>
      <c r="AB289">
        <v>13.133333329999999</v>
      </c>
      <c r="AC289">
        <v>13.9</v>
      </c>
      <c r="AD289">
        <v>12</v>
      </c>
      <c r="AE289">
        <v>13.5</v>
      </c>
      <c r="AF289">
        <v>13.133333329999999</v>
      </c>
      <c r="AG289">
        <v>16.399999999999999</v>
      </c>
      <c r="AH289">
        <v>20.8</v>
      </c>
      <c r="AI289">
        <v>17.899999999999999</v>
      </c>
      <c r="AJ289">
        <v>18.366666670000001</v>
      </c>
      <c r="AK289">
        <v>16.899999999999999</v>
      </c>
      <c r="AL289">
        <v>15.4</v>
      </c>
      <c r="AM289">
        <v>17.399999999999999</v>
      </c>
      <c r="AN289">
        <v>16.56666667</v>
      </c>
      <c r="AO289">
        <v>16.56666667</v>
      </c>
      <c r="AP289">
        <v>5.6</v>
      </c>
      <c r="AQ289">
        <v>5.6</v>
      </c>
      <c r="AR289" t="s">
        <v>114</v>
      </c>
      <c r="AS289">
        <v>5.6</v>
      </c>
      <c r="AT289">
        <v>4.0999999999999996</v>
      </c>
      <c r="AU289">
        <v>5.0999999999999996</v>
      </c>
      <c r="AV289">
        <v>6.1</v>
      </c>
      <c r="AW289">
        <v>5.0999999999999996</v>
      </c>
      <c r="AX289">
        <v>5.0999999999999996</v>
      </c>
      <c r="AY289">
        <v>-8.0333333329999999</v>
      </c>
      <c r="AZ289">
        <v>60</v>
      </c>
      <c r="BA289">
        <v>40</v>
      </c>
      <c r="BB289">
        <v>0</v>
      </c>
      <c r="BC289">
        <v>0</v>
      </c>
      <c r="BD289">
        <v>0</v>
      </c>
      <c r="BE289">
        <v>1</v>
      </c>
      <c r="BF289">
        <v>0</v>
      </c>
      <c r="BG289">
        <v>0</v>
      </c>
      <c r="BI289">
        <v>9.1</v>
      </c>
      <c r="BJ289">
        <v>45.177</v>
      </c>
      <c r="BK289">
        <v>0</v>
      </c>
      <c r="BL289">
        <v>1</v>
      </c>
      <c r="BM289">
        <v>1</v>
      </c>
      <c r="BN289">
        <v>6</v>
      </c>
      <c r="BO289">
        <v>22</v>
      </c>
      <c r="BP289">
        <f t="shared" si="39"/>
        <v>-16</v>
      </c>
      <c r="BQ289" t="s">
        <v>114</v>
      </c>
      <c r="BR289" t="s">
        <v>114</v>
      </c>
      <c r="BS289" t="s">
        <v>114</v>
      </c>
      <c r="BT289" t="s">
        <v>114</v>
      </c>
      <c r="BU289" t="s">
        <v>114</v>
      </c>
      <c r="BV289" t="s">
        <v>114</v>
      </c>
      <c r="BW289" t="s">
        <v>114</v>
      </c>
      <c r="BX289" t="s">
        <v>114</v>
      </c>
      <c r="BY289" t="s">
        <v>114</v>
      </c>
      <c r="BZ289" t="s">
        <v>114</v>
      </c>
      <c r="CA289" t="s">
        <v>114</v>
      </c>
      <c r="CB289" t="s">
        <v>114</v>
      </c>
      <c r="CC289" t="s">
        <v>114</v>
      </c>
      <c r="CD289" t="s">
        <v>114</v>
      </c>
      <c r="CE289" t="s">
        <v>114</v>
      </c>
      <c r="CF289" t="s">
        <v>114</v>
      </c>
      <c r="CG289" t="s">
        <v>114</v>
      </c>
      <c r="CH289" t="s">
        <v>114</v>
      </c>
      <c r="CI289" t="s">
        <v>114</v>
      </c>
      <c r="CJ289" t="s">
        <v>114</v>
      </c>
      <c r="CK289" t="s">
        <v>114</v>
      </c>
      <c r="CL289" t="s">
        <v>114</v>
      </c>
      <c r="CM289" t="s">
        <v>114</v>
      </c>
      <c r="CN289" t="s">
        <v>114</v>
      </c>
      <c r="CO289" t="s">
        <v>114</v>
      </c>
      <c r="CP289" t="s">
        <v>114</v>
      </c>
      <c r="CQ289" t="s">
        <v>114</v>
      </c>
      <c r="CR289" t="s">
        <v>114</v>
      </c>
      <c r="CS289" t="s">
        <v>114</v>
      </c>
      <c r="CT289" t="s">
        <v>114</v>
      </c>
      <c r="CU289" t="s">
        <v>114</v>
      </c>
      <c r="CV289" t="s">
        <v>114</v>
      </c>
      <c r="CW289" t="s">
        <v>114</v>
      </c>
    </row>
    <row r="290" spans="1:101" x14ac:dyDescent="0.25">
      <c r="A290" t="s">
        <v>18</v>
      </c>
      <c r="B290">
        <v>15</v>
      </c>
      <c r="C290" t="s">
        <v>19</v>
      </c>
      <c r="D290" t="s">
        <v>95</v>
      </c>
      <c r="E290" t="s">
        <v>111</v>
      </c>
      <c r="F290" t="s">
        <v>120</v>
      </c>
      <c r="G290" t="s">
        <v>271</v>
      </c>
      <c r="H290" t="str">
        <f t="shared" si="36"/>
        <v>P.canescens.Solo.Shade</v>
      </c>
      <c r="I290" t="s">
        <v>706</v>
      </c>
      <c r="J290" t="s">
        <v>564</v>
      </c>
      <c r="K290">
        <v>0</v>
      </c>
      <c r="L290">
        <v>230</v>
      </c>
      <c r="M290">
        <v>230</v>
      </c>
      <c r="N290">
        <v>230</v>
      </c>
      <c r="O290" t="s">
        <v>114</v>
      </c>
      <c r="P290">
        <v>80</v>
      </c>
      <c r="Q290">
        <v>90</v>
      </c>
      <c r="R290">
        <v>95</v>
      </c>
      <c r="S290">
        <f t="shared" si="37"/>
        <v>92.5</v>
      </c>
      <c r="T290">
        <f t="shared" si="38"/>
        <v>0.40217391304347827</v>
      </c>
      <c r="U290" t="s">
        <v>15</v>
      </c>
      <c r="V290" t="s">
        <v>114</v>
      </c>
      <c r="W290" t="s">
        <v>114</v>
      </c>
      <c r="X290">
        <v>16.899999999999999</v>
      </c>
      <c r="Y290">
        <v>15.9</v>
      </c>
      <c r="Z290">
        <v>15.4</v>
      </c>
      <c r="AA290">
        <v>16.06666667</v>
      </c>
      <c r="AB290">
        <v>12.8</v>
      </c>
      <c r="AC290">
        <v>13.9</v>
      </c>
      <c r="AD290">
        <v>12</v>
      </c>
      <c r="AE290">
        <v>12.5</v>
      </c>
      <c r="AF290">
        <v>12.8</v>
      </c>
      <c r="AG290">
        <v>16.399999999999999</v>
      </c>
      <c r="AH290">
        <v>20.8</v>
      </c>
      <c r="AI290">
        <v>17.899999999999999</v>
      </c>
      <c r="AJ290">
        <v>18.366666670000001</v>
      </c>
      <c r="AK290">
        <v>18.899999999999999</v>
      </c>
      <c r="AL290">
        <v>15.4</v>
      </c>
      <c r="AM290">
        <v>18.399999999999999</v>
      </c>
      <c r="AN290">
        <v>17.56666667</v>
      </c>
      <c r="AO290">
        <v>17.56666667</v>
      </c>
      <c r="AP290">
        <v>5.6</v>
      </c>
      <c r="AQ290">
        <v>5.6</v>
      </c>
      <c r="AR290" t="s">
        <v>114</v>
      </c>
      <c r="AS290">
        <v>5.6</v>
      </c>
      <c r="AT290">
        <v>4.0999999999999996</v>
      </c>
      <c r="AU290">
        <v>4.5999999999999996</v>
      </c>
      <c r="AV290">
        <v>5.6</v>
      </c>
      <c r="AW290">
        <v>4.766666667</v>
      </c>
      <c r="AX290">
        <v>4.766666667</v>
      </c>
      <c r="AY290">
        <v>-8.0333333329999999</v>
      </c>
      <c r="AZ290">
        <v>50</v>
      </c>
      <c r="BA290">
        <v>10</v>
      </c>
      <c r="BB290">
        <v>30</v>
      </c>
      <c r="BC290">
        <v>10</v>
      </c>
      <c r="BD290">
        <v>0</v>
      </c>
      <c r="BE290">
        <v>1</v>
      </c>
      <c r="BF290">
        <v>0</v>
      </c>
      <c r="BG290">
        <v>0</v>
      </c>
      <c r="BI290">
        <v>9.1</v>
      </c>
      <c r="BJ290">
        <v>45.177</v>
      </c>
      <c r="BK290">
        <v>0</v>
      </c>
      <c r="BL290">
        <v>56</v>
      </c>
      <c r="BM290">
        <v>48</v>
      </c>
      <c r="BN290">
        <v>1659</v>
      </c>
      <c r="BO290">
        <v>731.75</v>
      </c>
      <c r="BP290">
        <f t="shared" si="39"/>
        <v>927.25</v>
      </c>
      <c r="BQ290" t="s">
        <v>114</v>
      </c>
      <c r="BR290" t="s">
        <v>114</v>
      </c>
      <c r="BS290" t="s">
        <v>114</v>
      </c>
      <c r="BT290" t="s">
        <v>114</v>
      </c>
      <c r="BU290" t="s">
        <v>114</v>
      </c>
      <c r="BV290" t="s">
        <v>114</v>
      </c>
      <c r="BW290" t="s">
        <v>114</v>
      </c>
      <c r="BX290" t="s">
        <v>114</v>
      </c>
      <c r="BY290" t="s">
        <v>114</v>
      </c>
      <c r="BZ290" t="s">
        <v>114</v>
      </c>
      <c r="CA290" t="s">
        <v>114</v>
      </c>
      <c r="CB290" t="s">
        <v>114</v>
      </c>
      <c r="CC290" t="s">
        <v>114</v>
      </c>
      <c r="CD290" t="s">
        <v>114</v>
      </c>
      <c r="CE290" t="s">
        <v>114</v>
      </c>
      <c r="CF290" t="s">
        <v>114</v>
      </c>
      <c r="CG290" t="s">
        <v>114</v>
      </c>
      <c r="CH290" t="s">
        <v>114</v>
      </c>
      <c r="CI290" t="s">
        <v>114</v>
      </c>
      <c r="CJ290" t="s">
        <v>114</v>
      </c>
      <c r="CK290" t="s">
        <v>114</v>
      </c>
      <c r="CL290" t="s">
        <v>114</v>
      </c>
      <c r="CM290" t="s">
        <v>114</v>
      </c>
      <c r="CN290" t="s">
        <v>114</v>
      </c>
      <c r="CO290" t="s">
        <v>114</v>
      </c>
      <c r="CP290" t="s">
        <v>114</v>
      </c>
      <c r="CQ290" t="s">
        <v>114</v>
      </c>
      <c r="CR290" t="s">
        <v>114</v>
      </c>
      <c r="CS290" t="s">
        <v>114</v>
      </c>
      <c r="CT290" t="s">
        <v>114</v>
      </c>
      <c r="CU290" t="s">
        <v>114</v>
      </c>
      <c r="CV290" t="s">
        <v>114</v>
      </c>
      <c r="CW290" t="s">
        <v>114</v>
      </c>
    </row>
    <row r="291" spans="1:101" x14ac:dyDescent="0.25">
      <c r="A291" t="s">
        <v>18</v>
      </c>
      <c r="B291">
        <v>15</v>
      </c>
      <c r="C291" t="s">
        <v>19</v>
      </c>
      <c r="D291" t="s">
        <v>95</v>
      </c>
      <c r="E291" t="s">
        <v>104</v>
      </c>
      <c r="F291" t="s">
        <v>120</v>
      </c>
      <c r="G291" t="s">
        <v>272</v>
      </c>
      <c r="H291" t="str">
        <f t="shared" si="36"/>
        <v>T.cyanopetala.Solo.Shade</v>
      </c>
      <c r="I291" t="s">
        <v>707</v>
      </c>
      <c r="J291" t="s">
        <v>565</v>
      </c>
      <c r="K291">
        <v>0</v>
      </c>
      <c r="L291">
        <v>110</v>
      </c>
      <c r="M291">
        <v>90</v>
      </c>
      <c r="N291">
        <v>90</v>
      </c>
      <c r="O291" t="s">
        <v>114</v>
      </c>
      <c r="P291">
        <v>10</v>
      </c>
      <c r="Q291">
        <v>30</v>
      </c>
      <c r="R291">
        <v>15</v>
      </c>
      <c r="S291">
        <f t="shared" si="37"/>
        <v>22.5</v>
      </c>
      <c r="T291">
        <f t="shared" si="38"/>
        <v>0.25</v>
      </c>
      <c r="U291" t="s">
        <v>794</v>
      </c>
      <c r="V291" t="s">
        <v>114</v>
      </c>
      <c r="W291" t="s">
        <v>114</v>
      </c>
      <c r="X291">
        <v>16.899999999999999</v>
      </c>
      <c r="Y291">
        <v>15.9</v>
      </c>
      <c r="Z291">
        <v>15.4</v>
      </c>
      <c r="AA291">
        <v>16.06666667</v>
      </c>
      <c r="AB291">
        <v>12</v>
      </c>
      <c r="AC291">
        <v>12.5</v>
      </c>
      <c r="AD291">
        <v>11.5</v>
      </c>
      <c r="AE291">
        <v>12</v>
      </c>
      <c r="AF291">
        <v>12</v>
      </c>
      <c r="AG291">
        <v>16.399999999999999</v>
      </c>
      <c r="AH291">
        <v>20.8</v>
      </c>
      <c r="AI291">
        <v>17.899999999999999</v>
      </c>
      <c r="AJ291">
        <v>18.366666670000001</v>
      </c>
      <c r="AK291">
        <v>17.399999999999999</v>
      </c>
      <c r="AL291">
        <v>18.399999999999999</v>
      </c>
      <c r="AM291">
        <v>16.899999999999999</v>
      </c>
      <c r="AN291">
        <v>17.56666667</v>
      </c>
      <c r="AO291">
        <v>17.56666667</v>
      </c>
      <c r="AP291">
        <v>5.6</v>
      </c>
      <c r="AQ291">
        <v>5.6</v>
      </c>
      <c r="AR291" t="s">
        <v>114</v>
      </c>
      <c r="AS291">
        <v>5.6</v>
      </c>
      <c r="AT291">
        <v>5.0999999999999996</v>
      </c>
      <c r="AU291">
        <v>5.0999999999999996</v>
      </c>
      <c r="AV291">
        <v>5.6</v>
      </c>
      <c r="AW291">
        <v>5.266666667</v>
      </c>
      <c r="AX291">
        <v>5.266666667</v>
      </c>
      <c r="AY291">
        <v>-6.733333333</v>
      </c>
      <c r="AZ291">
        <v>60</v>
      </c>
      <c r="BA291">
        <v>10</v>
      </c>
      <c r="BB291">
        <v>0</v>
      </c>
      <c r="BC291">
        <v>30</v>
      </c>
      <c r="BD291">
        <v>0</v>
      </c>
      <c r="BE291">
        <v>1</v>
      </c>
      <c r="BF291">
        <v>0</v>
      </c>
      <c r="BG291">
        <v>0</v>
      </c>
      <c r="BI291">
        <v>9.1</v>
      </c>
      <c r="BJ291">
        <v>45.177</v>
      </c>
      <c r="BK291">
        <v>0</v>
      </c>
      <c r="BL291">
        <v>10</v>
      </c>
      <c r="BM291">
        <v>10</v>
      </c>
      <c r="BN291">
        <v>58</v>
      </c>
      <c r="BO291">
        <v>154.66666699999999</v>
      </c>
      <c r="BP291">
        <f t="shared" si="39"/>
        <v>-96.66666699999999</v>
      </c>
      <c r="BQ291" t="s">
        <v>114</v>
      </c>
      <c r="BR291" t="s">
        <v>114</v>
      </c>
      <c r="BS291" t="s">
        <v>114</v>
      </c>
      <c r="BT291" t="s">
        <v>114</v>
      </c>
      <c r="BU291" t="s">
        <v>114</v>
      </c>
      <c r="BV291" t="s">
        <v>114</v>
      </c>
      <c r="BW291" t="s">
        <v>114</v>
      </c>
      <c r="BX291" t="s">
        <v>114</v>
      </c>
      <c r="BY291" t="s">
        <v>114</v>
      </c>
      <c r="BZ291" t="s">
        <v>114</v>
      </c>
      <c r="CA291" t="s">
        <v>114</v>
      </c>
      <c r="CB291" t="s">
        <v>114</v>
      </c>
      <c r="CC291" t="s">
        <v>114</v>
      </c>
      <c r="CD291" t="s">
        <v>114</v>
      </c>
      <c r="CE291" t="s">
        <v>114</v>
      </c>
      <c r="CF291" t="s">
        <v>114</v>
      </c>
      <c r="CG291" t="s">
        <v>114</v>
      </c>
      <c r="CH291" t="s">
        <v>114</v>
      </c>
      <c r="CI291" t="s">
        <v>114</v>
      </c>
      <c r="CJ291" t="s">
        <v>114</v>
      </c>
      <c r="CK291" t="s">
        <v>114</v>
      </c>
      <c r="CL291" t="s">
        <v>114</v>
      </c>
      <c r="CM291" t="s">
        <v>114</v>
      </c>
      <c r="CN291" t="s">
        <v>114</v>
      </c>
      <c r="CO291" t="s">
        <v>114</v>
      </c>
      <c r="CP291" t="s">
        <v>114</v>
      </c>
      <c r="CQ291" t="s">
        <v>114</v>
      </c>
      <c r="CR291" t="s">
        <v>114</v>
      </c>
      <c r="CS291" t="s">
        <v>114</v>
      </c>
      <c r="CT291" t="s">
        <v>114</v>
      </c>
      <c r="CU291" t="s">
        <v>114</v>
      </c>
      <c r="CV291" t="s">
        <v>114</v>
      </c>
      <c r="CW291" t="s">
        <v>114</v>
      </c>
    </row>
    <row r="292" spans="1:101" x14ac:dyDescent="0.25">
      <c r="A292" t="s">
        <v>18</v>
      </c>
      <c r="B292">
        <v>15</v>
      </c>
      <c r="C292" t="s">
        <v>19</v>
      </c>
      <c r="D292" t="s">
        <v>95</v>
      </c>
      <c r="E292" t="s">
        <v>112</v>
      </c>
      <c r="F292" t="s">
        <v>120</v>
      </c>
      <c r="G292" t="s">
        <v>269</v>
      </c>
      <c r="H292" t="str">
        <f t="shared" si="36"/>
        <v>V.rosea.Solo.Shade</v>
      </c>
      <c r="I292" t="s">
        <v>708</v>
      </c>
      <c r="J292" t="s">
        <v>566</v>
      </c>
      <c r="K292">
        <v>0</v>
      </c>
      <c r="L292">
        <v>30</v>
      </c>
      <c r="M292">
        <v>70</v>
      </c>
      <c r="N292">
        <v>70</v>
      </c>
      <c r="O292" t="s">
        <v>114</v>
      </c>
      <c r="P292">
        <v>40</v>
      </c>
      <c r="Q292">
        <v>45</v>
      </c>
      <c r="R292">
        <v>40</v>
      </c>
      <c r="S292">
        <f t="shared" si="37"/>
        <v>42.5</v>
      </c>
      <c r="T292">
        <f t="shared" si="38"/>
        <v>0.6071428571428571</v>
      </c>
      <c r="U292" t="s">
        <v>792</v>
      </c>
      <c r="V292" t="s">
        <v>114</v>
      </c>
      <c r="W292" t="s">
        <v>114</v>
      </c>
      <c r="X292">
        <v>16.899999999999999</v>
      </c>
      <c r="Y292">
        <v>15.9</v>
      </c>
      <c r="Z292">
        <v>15.4</v>
      </c>
      <c r="AA292">
        <v>16.06666667</v>
      </c>
      <c r="AB292">
        <v>13.6</v>
      </c>
      <c r="AC292">
        <v>13</v>
      </c>
      <c r="AD292">
        <v>13.9</v>
      </c>
      <c r="AE292">
        <v>13.9</v>
      </c>
      <c r="AF292">
        <v>13.6</v>
      </c>
      <c r="AG292">
        <v>16.399999999999999</v>
      </c>
      <c r="AH292">
        <v>20.8</v>
      </c>
      <c r="AI292">
        <v>17.899999999999999</v>
      </c>
      <c r="AJ292">
        <v>18.366666670000001</v>
      </c>
      <c r="AK292">
        <v>16.899999999999999</v>
      </c>
      <c r="AL292">
        <v>19.3</v>
      </c>
      <c r="AM292">
        <v>17.899999999999999</v>
      </c>
      <c r="AN292">
        <v>18.033333330000001</v>
      </c>
      <c r="AO292">
        <v>18.033333330000001</v>
      </c>
      <c r="AP292">
        <v>5.6</v>
      </c>
      <c r="AQ292">
        <v>5.6</v>
      </c>
      <c r="AR292" t="s">
        <v>114</v>
      </c>
      <c r="AS292">
        <v>5.6</v>
      </c>
      <c r="AT292">
        <v>5.6</v>
      </c>
      <c r="AU292">
        <v>6.6</v>
      </c>
      <c r="AV292">
        <v>5.6</v>
      </c>
      <c r="AW292">
        <v>5.9333333330000002</v>
      </c>
      <c r="AX292">
        <v>5.9333333330000002</v>
      </c>
      <c r="AY292">
        <v>-7.6666666670000003</v>
      </c>
      <c r="AZ292">
        <v>80</v>
      </c>
      <c r="BA292">
        <v>10</v>
      </c>
      <c r="BB292">
        <v>10</v>
      </c>
      <c r="BC292">
        <v>0</v>
      </c>
      <c r="BD292">
        <v>0</v>
      </c>
      <c r="BE292">
        <v>1</v>
      </c>
      <c r="BF292">
        <v>0</v>
      </c>
      <c r="BG292">
        <v>0</v>
      </c>
      <c r="BI292">
        <v>9.1</v>
      </c>
      <c r="BJ292">
        <v>45.177</v>
      </c>
      <c r="BK292">
        <v>0</v>
      </c>
      <c r="BL292">
        <v>11</v>
      </c>
      <c r="BM292">
        <v>10</v>
      </c>
      <c r="BN292">
        <v>30</v>
      </c>
      <c r="BO292">
        <v>31.75</v>
      </c>
      <c r="BP292">
        <f t="shared" si="39"/>
        <v>-1.75</v>
      </c>
      <c r="BQ292" t="s">
        <v>114</v>
      </c>
      <c r="BR292" t="s">
        <v>114</v>
      </c>
      <c r="BS292" t="s">
        <v>114</v>
      </c>
      <c r="BT292" t="s">
        <v>114</v>
      </c>
      <c r="BU292" t="s">
        <v>114</v>
      </c>
      <c r="BV292" t="s">
        <v>114</v>
      </c>
      <c r="BW292" t="s">
        <v>114</v>
      </c>
      <c r="BX292" t="s">
        <v>114</v>
      </c>
      <c r="BY292" t="s">
        <v>114</v>
      </c>
      <c r="BZ292" t="s">
        <v>114</v>
      </c>
      <c r="CA292" t="s">
        <v>114</v>
      </c>
      <c r="CB292" t="s">
        <v>114</v>
      </c>
      <c r="CC292" t="s">
        <v>114</v>
      </c>
      <c r="CD292" t="s">
        <v>114</v>
      </c>
      <c r="CE292" t="s">
        <v>114</v>
      </c>
      <c r="CF292" t="s">
        <v>114</v>
      </c>
      <c r="CG292" t="s">
        <v>114</v>
      </c>
      <c r="CH292" t="s">
        <v>114</v>
      </c>
      <c r="CI292" t="s">
        <v>114</v>
      </c>
      <c r="CJ292" t="s">
        <v>114</v>
      </c>
      <c r="CK292" t="s">
        <v>114</v>
      </c>
      <c r="CL292" t="s">
        <v>114</v>
      </c>
      <c r="CM292" t="s">
        <v>114</v>
      </c>
      <c r="CN292" t="s">
        <v>114</v>
      </c>
      <c r="CO292" t="s">
        <v>114</v>
      </c>
      <c r="CP292" t="s">
        <v>114</v>
      </c>
      <c r="CQ292" t="s">
        <v>114</v>
      </c>
      <c r="CR292" t="s">
        <v>114</v>
      </c>
      <c r="CS292" t="s">
        <v>114</v>
      </c>
      <c r="CT292" t="s">
        <v>114</v>
      </c>
      <c r="CU292" t="s">
        <v>114</v>
      </c>
      <c r="CV292" t="s">
        <v>114</v>
      </c>
      <c r="CW292" t="s">
        <v>114</v>
      </c>
    </row>
    <row r="293" spans="1:101" x14ac:dyDescent="0.25">
      <c r="A293" t="s">
        <v>20</v>
      </c>
      <c r="B293">
        <v>15</v>
      </c>
      <c r="C293" t="s">
        <v>21</v>
      </c>
      <c r="D293" t="s">
        <v>94</v>
      </c>
      <c r="E293" t="s">
        <v>102</v>
      </c>
      <c r="F293" t="s">
        <v>120</v>
      </c>
      <c r="G293" t="s">
        <v>273</v>
      </c>
      <c r="H293" t="str">
        <f t="shared" si="36"/>
        <v>A.calendula.Solo.Open</v>
      </c>
      <c r="I293" t="s">
        <v>698</v>
      </c>
      <c r="J293" t="s">
        <v>567</v>
      </c>
      <c r="K293">
        <v>0</v>
      </c>
      <c r="L293">
        <v>100</v>
      </c>
      <c r="M293">
        <v>70</v>
      </c>
      <c r="N293">
        <v>70</v>
      </c>
      <c r="O293" t="s">
        <v>114</v>
      </c>
      <c r="P293">
        <v>100</v>
      </c>
      <c r="Q293">
        <v>100</v>
      </c>
      <c r="R293">
        <v>80</v>
      </c>
      <c r="S293">
        <f t="shared" si="37"/>
        <v>90</v>
      </c>
      <c r="T293">
        <f t="shared" si="38"/>
        <v>1.2857142857142858</v>
      </c>
      <c r="U293" t="s">
        <v>15</v>
      </c>
      <c r="V293" t="s">
        <v>114</v>
      </c>
      <c r="W293" t="s">
        <v>114</v>
      </c>
      <c r="X293">
        <v>23.8</v>
      </c>
      <c r="Y293">
        <v>13.5</v>
      </c>
      <c r="Z293">
        <v>13.9</v>
      </c>
      <c r="AA293">
        <v>17.06666667</v>
      </c>
      <c r="AB293">
        <v>17.866666670000001</v>
      </c>
      <c r="AC293">
        <v>21.8</v>
      </c>
      <c r="AD293">
        <v>16.899999999999999</v>
      </c>
      <c r="AE293">
        <v>14.9</v>
      </c>
      <c r="AF293">
        <v>17.866666670000001</v>
      </c>
      <c r="AG293">
        <v>16.899999999999999</v>
      </c>
      <c r="AH293">
        <v>26.2</v>
      </c>
      <c r="AI293">
        <v>20.3</v>
      </c>
      <c r="AJ293">
        <v>21.133333329999999</v>
      </c>
      <c r="AK293">
        <v>24.7</v>
      </c>
      <c r="AL293">
        <v>19.3</v>
      </c>
      <c r="AM293">
        <v>15.9</v>
      </c>
      <c r="AN293">
        <v>19.966666669999999</v>
      </c>
      <c r="AO293">
        <v>19.966666669999999</v>
      </c>
      <c r="AP293">
        <v>8.5</v>
      </c>
      <c r="AQ293">
        <v>5.6</v>
      </c>
      <c r="AR293">
        <v>6.6</v>
      </c>
      <c r="AS293">
        <v>6.9</v>
      </c>
      <c r="AT293">
        <v>6.1</v>
      </c>
      <c r="AU293">
        <v>6.6</v>
      </c>
      <c r="AV293">
        <v>8.1</v>
      </c>
      <c r="AW293">
        <v>6.9333333330000002</v>
      </c>
      <c r="AX293">
        <v>6.9333333330000002</v>
      </c>
      <c r="AY293">
        <v>-10.93333333</v>
      </c>
      <c r="AZ293">
        <v>40</v>
      </c>
      <c r="BA293">
        <v>0</v>
      </c>
      <c r="BB293">
        <v>50</v>
      </c>
      <c r="BC293">
        <v>10</v>
      </c>
      <c r="BD293">
        <v>0</v>
      </c>
      <c r="BE293">
        <v>1</v>
      </c>
      <c r="BF293">
        <v>0</v>
      </c>
      <c r="BG293">
        <v>0</v>
      </c>
      <c r="BI293">
        <v>10.7</v>
      </c>
      <c r="BJ293">
        <v>0</v>
      </c>
      <c r="BK293">
        <v>0</v>
      </c>
      <c r="BL293">
        <v>17</v>
      </c>
      <c r="BM293">
        <v>17</v>
      </c>
      <c r="BN293">
        <v>623</v>
      </c>
      <c r="BO293">
        <v>383.66669999999999</v>
      </c>
      <c r="BP293">
        <f t="shared" si="39"/>
        <v>239.33330000000001</v>
      </c>
      <c r="BQ293" t="s">
        <v>114</v>
      </c>
      <c r="BR293" t="s">
        <v>114</v>
      </c>
      <c r="BS293" t="s">
        <v>114</v>
      </c>
      <c r="BT293" t="s">
        <v>114</v>
      </c>
      <c r="BU293" t="s">
        <v>114</v>
      </c>
      <c r="BV293" t="s">
        <v>114</v>
      </c>
      <c r="BW293" t="s">
        <v>114</v>
      </c>
      <c r="BX293" t="s">
        <v>114</v>
      </c>
      <c r="BY293" t="s">
        <v>114</v>
      </c>
      <c r="BZ293" t="s">
        <v>114</v>
      </c>
      <c r="CA293" t="s">
        <v>114</v>
      </c>
      <c r="CB293" t="s">
        <v>114</v>
      </c>
      <c r="CC293" t="s">
        <v>114</v>
      </c>
      <c r="CD293" t="s">
        <v>114</v>
      </c>
      <c r="CE293" t="s">
        <v>114</v>
      </c>
      <c r="CF293" t="s">
        <v>114</v>
      </c>
      <c r="CG293" t="s">
        <v>114</v>
      </c>
      <c r="CH293" t="s">
        <v>114</v>
      </c>
      <c r="CI293" t="s">
        <v>114</v>
      </c>
      <c r="CJ293" t="s">
        <v>114</v>
      </c>
      <c r="CK293" t="s">
        <v>114</v>
      </c>
      <c r="CL293" t="s">
        <v>114</v>
      </c>
      <c r="CM293" t="s">
        <v>114</v>
      </c>
      <c r="CN293" t="s">
        <v>114</v>
      </c>
      <c r="CO293" t="s">
        <v>114</v>
      </c>
      <c r="CP293" t="s">
        <v>114</v>
      </c>
      <c r="CQ293" t="s">
        <v>114</v>
      </c>
      <c r="CR293" t="s">
        <v>114</v>
      </c>
      <c r="CS293" t="s">
        <v>114</v>
      </c>
      <c r="CT293" t="s">
        <v>114</v>
      </c>
      <c r="CU293" t="s">
        <v>114</v>
      </c>
      <c r="CV293" t="s">
        <v>114</v>
      </c>
      <c r="CW293" t="s">
        <v>114</v>
      </c>
    </row>
    <row r="294" spans="1:101" x14ac:dyDescent="0.25">
      <c r="A294" t="s">
        <v>20</v>
      </c>
      <c r="B294">
        <v>15</v>
      </c>
      <c r="C294" t="s">
        <v>21</v>
      </c>
      <c r="D294" t="s">
        <v>94</v>
      </c>
      <c r="E294" t="s">
        <v>113</v>
      </c>
      <c r="F294" t="s">
        <v>120</v>
      </c>
      <c r="G294" t="s">
        <v>267</v>
      </c>
      <c r="H294" t="str">
        <f t="shared" si="36"/>
        <v>H.glutinosum.Solo.Open</v>
      </c>
      <c r="I294" t="s">
        <v>709</v>
      </c>
      <c r="J294" t="s">
        <v>568</v>
      </c>
      <c r="K294">
        <v>0</v>
      </c>
      <c r="L294">
        <v>90</v>
      </c>
      <c r="M294">
        <v>10</v>
      </c>
      <c r="N294">
        <v>10</v>
      </c>
      <c r="O294" t="s">
        <v>114</v>
      </c>
      <c r="P294">
        <v>10</v>
      </c>
      <c r="Q294">
        <v>5</v>
      </c>
      <c r="R294">
        <v>3</v>
      </c>
      <c r="S294">
        <f t="shared" si="37"/>
        <v>4</v>
      </c>
      <c r="T294">
        <f t="shared" si="38"/>
        <v>0.4</v>
      </c>
      <c r="U294" t="s">
        <v>19</v>
      </c>
      <c r="V294" t="s">
        <v>114</v>
      </c>
      <c r="W294" t="s">
        <v>114</v>
      </c>
      <c r="X294">
        <v>23.8</v>
      </c>
      <c r="Y294">
        <v>13.5</v>
      </c>
      <c r="Z294">
        <v>13.9</v>
      </c>
      <c r="AA294">
        <v>17.06666667</v>
      </c>
      <c r="AB294">
        <v>12.133333329999999</v>
      </c>
      <c r="AC294">
        <v>11.5</v>
      </c>
      <c r="AD294">
        <v>13.9</v>
      </c>
      <c r="AE294">
        <v>11</v>
      </c>
      <c r="AF294">
        <v>12.133333329999999</v>
      </c>
      <c r="AG294">
        <v>16.899999999999999</v>
      </c>
      <c r="AH294">
        <v>26.2</v>
      </c>
      <c r="AI294">
        <v>20.3</v>
      </c>
      <c r="AJ294">
        <v>21.133333329999999</v>
      </c>
      <c r="AK294">
        <v>14.4</v>
      </c>
      <c r="AL294">
        <v>19.3</v>
      </c>
      <c r="AM294">
        <v>18.399999999999999</v>
      </c>
      <c r="AN294">
        <v>17.366666670000001</v>
      </c>
      <c r="AO294">
        <v>17.366666670000001</v>
      </c>
      <c r="AP294">
        <v>8.5</v>
      </c>
      <c r="AQ294">
        <v>5.6</v>
      </c>
      <c r="AR294">
        <v>6.6</v>
      </c>
      <c r="AS294">
        <v>6.9</v>
      </c>
      <c r="AT294">
        <v>7.6</v>
      </c>
      <c r="AU294">
        <v>7.6</v>
      </c>
      <c r="AV294" t="s">
        <v>114</v>
      </c>
      <c r="AW294">
        <v>7.6</v>
      </c>
      <c r="AX294">
        <v>7.6</v>
      </c>
      <c r="AY294">
        <v>-4.5333333329999999</v>
      </c>
      <c r="AZ294">
        <v>100</v>
      </c>
      <c r="BA294">
        <v>0</v>
      </c>
      <c r="BB294">
        <v>0</v>
      </c>
      <c r="BC294">
        <v>0</v>
      </c>
      <c r="BD294">
        <v>0</v>
      </c>
      <c r="BE294">
        <v>1</v>
      </c>
      <c r="BF294">
        <v>0</v>
      </c>
      <c r="BG294">
        <v>0</v>
      </c>
      <c r="BI294">
        <v>10.7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8.5</v>
      </c>
      <c r="BP294">
        <f t="shared" si="39"/>
        <v>-8.5</v>
      </c>
      <c r="BQ294" t="s">
        <v>114</v>
      </c>
      <c r="BR294" t="s">
        <v>114</v>
      </c>
      <c r="BS294" t="s">
        <v>114</v>
      </c>
      <c r="BT294" t="s">
        <v>114</v>
      </c>
      <c r="BU294" t="s">
        <v>114</v>
      </c>
      <c r="BV294" t="s">
        <v>114</v>
      </c>
      <c r="BW294" t="s">
        <v>114</v>
      </c>
      <c r="BX294" t="s">
        <v>114</v>
      </c>
      <c r="BY294" t="s">
        <v>114</v>
      </c>
      <c r="BZ294" t="s">
        <v>114</v>
      </c>
      <c r="CA294" t="s">
        <v>114</v>
      </c>
      <c r="CB294" t="s">
        <v>114</v>
      </c>
      <c r="CC294" t="s">
        <v>114</v>
      </c>
      <c r="CD294" t="s">
        <v>114</v>
      </c>
      <c r="CE294" t="s">
        <v>114</v>
      </c>
      <c r="CF294" t="s">
        <v>114</v>
      </c>
      <c r="CG294" t="s">
        <v>114</v>
      </c>
      <c r="CH294" t="s">
        <v>114</v>
      </c>
      <c r="CI294" t="s">
        <v>114</v>
      </c>
      <c r="CJ294" t="s">
        <v>114</v>
      </c>
      <c r="CK294" t="s">
        <v>114</v>
      </c>
      <c r="CL294" t="s">
        <v>114</v>
      </c>
      <c r="CM294" t="s">
        <v>114</v>
      </c>
      <c r="CN294" t="s">
        <v>114</v>
      </c>
      <c r="CO294" t="s">
        <v>114</v>
      </c>
      <c r="CP294" t="s">
        <v>114</v>
      </c>
      <c r="CQ294" t="s">
        <v>114</v>
      </c>
      <c r="CR294" t="s">
        <v>114</v>
      </c>
      <c r="CS294" t="s">
        <v>114</v>
      </c>
      <c r="CT294" t="s">
        <v>114</v>
      </c>
      <c r="CU294" t="s">
        <v>114</v>
      </c>
      <c r="CV294" t="s">
        <v>114</v>
      </c>
      <c r="CW294" t="s">
        <v>114</v>
      </c>
    </row>
    <row r="295" spans="1:101" x14ac:dyDescent="0.25">
      <c r="A295" t="s">
        <v>20</v>
      </c>
      <c r="B295">
        <v>15</v>
      </c>
      <c r="C295" t="s">
        <v>21</v>
      </c>
      <c r="D295" t="s">
        <v>94</v>
      </c>
      <c r="E295" t="s">
        <v>110</v>
      </c>
      <c r="F295" t="s">
        <v>120</v>
      </c>
      <c r="G295" t="s">
        <v>270</v>
      </c>
      <c r="H295" t="str">
        <f t="shared" si="36"/>
        <v>M.minima.Solo.Open</v>
      </c>
      <c r="I295" t="s">
        <v>702</v>
      </c>
      <c r="J295" t="s">
        <v>569</v>
      </c>
      <c r="K295">
        <v>0</v>
      </c>
      <c r="L295">
        <v>30</v>
      </c>
      <c r="M295">
        <v>20</v>
      </c>
      <c r="N295">
        <v>20</v>
      </c>
      <c r="O295" t="s">
        <v>114</v>
      </c>
      <c r="P295">
        <v>5</v>
      </c>
      <c r="Q295">
        <v>70</v>
      </c>
      <c r="R295">
        <v>5</v>
      </c>
      <c r="S295">
        <f t="shared" si="37"/>
        <v>37.5</v>
      </c>
      <c r="T295">
        <f t="shared" si="38"/>
        <v>1.875</v>
      </c>
      <c r="U295" t="s">
        <v>795</v>
      </c>
      <c r="V295" t="s">
        <v>114</v>
      </c>
      <c r="W295" t="s">
        <v>114</v>
      </c>
      <c r="X295">
        <v>23.8</v>
      </c>
      <c r="Y295">
        <v>13.5</v>
      </c>
      <c r="Z295">
        <v>13.9</v>
      </c>
      <c r="AA295">
        <v>17.06666667</v>
      </c>
      <c r="AB295">
        <v>14.56666667</v>
      </c>
      <c r="AC295">
        <v>14.9</v>
      </c>
      <c r="AD295">
        <v>13.9</v>
      </c>
      <c r="AE295">
        <v>14.9</v>
      </c>
      <c r="AF295">
        <v>14.56666667</v>
      </c>
      <c r="AG295">
        <v>16.899999999999999</v>
      </c>
      <c r="AH295">
        <v>26.2</v>
      </c>
      <c r="AI295">
        <v>20.3</v>
      </c>
      <c r="AJ295">
        <v>21.133333329999999</v>
      </c>
      <c r="AK295">
        <v>18.399999999999999</v>
      </c>
      <c r="AL295">
        <v>19.8</v>
      </c>
      <c r="AM295">
        <v>17.399999999999999</v>
      </c>
      <c r="AN295">
        <v>18.533333330000001</v>
      </c>
      <c r="AO295">
        <v>18.533333330000001</v>
      </c>
      <c r="AP295">
        <v>8.5</v>
      </c>
      <c r="AQ295">
        <v>5.6</v>
      </c>
      <c r="AR295">
        <v>6.6</v>
      </c>
      <c r="AS295">
        <v>6.9</v>
      </c>
      <c r="AT295">
        <v>5.6</v>
      </c>
      <c r="AU295">
        <v>8.1</v>
      </c>
      <c r="AV295" t="s">
        <v>114</v>
      </c>
      <c r="AW295">
        <v>6.85</v>
      </c>
      <c r="AX295">
        <v>6.85</v>
      </c>
      <c r="AY295">
        <v>-7.7166666670000001</v>
      </c>
      <c r="AZ295">
        <v>100</v>
      </c>
      <c r="BA295">
        <v>0</v>
      </c>
      <c r="BB295">
        <v>0</v>
      </c>
      <c r="BC295">
        <v>0</v>
      </c>
      <c r="BD295">
        <v>0</v>
      </c>
      <c r="BE295">
        <v>1</v>
      </c>
      <c r="BF295">
        <v>0</v>
      </c>
      <c r="BG295">
        <v>0</v>
      </c>
      <c r="BI295">
        <v>10.7</v>
      </c>
      <c r="BJ295">
        <v>0</v>
      </c>
      <c r="BK295">
        <v>0</v>
      </c>
      <c r="BL295">
        <v>7</v>
      </c>
      <c r="BM295">
        <v>7</v>
      </c>
      <c r="BN295">
        <v>7</v>
      </c>
      <c r="BO295">
        <v>6</v>
      </c>
      <c r="BP295">
        <f t="shared" si="39"/>
        <v>1</v>
      </c>
      <c r="BQ295" t="s">
        <v>114</v>
      </c>
      <c r="BR295" t="s">
        <v>114</v>
      </c>
      <c r="BS295" t="s">
        <v>114</v>
      </c>
      <c r="BT295" t="s">
        <v>114</v>
      </c>
      <c r="BU295" t="s">
        <v>114</v>
      </c>
      <c r="BV295" t="s">
        <v>114</v>
      </c>
      <c r="BW295" t="s">
        <v>114</v>
      </c>
      <c r="BX295" t="s">
        <v>114</v>
      </c>
      <c r="BY295" t="s">
        <v>114</v>
      </c>
      <c r="BZ295" t="s">
        <v>114</v>
      </c>
      <c r="CA295" t="s">
        <v>114</v>
      </c>
      <c r="CB295" t="s">
        <v>114</v>
      </c>
      <c r="CC295" t="s">
        <v>114</v>
      </c>
      <c r="CD295" t="s">
        <v>114</v>
      </c>
      <c r="CE295" t="s">
        <v>114</v>
      </c>
      <c r="CF295" t="s">
        <v>114</v>
      </c>
      <c r="CG295" t="s">
        <v>114</v>
      </c>
      <c r="CH295" t="s">
        <v>114</v>
      </c>
      <c r="CI295" t="s">
        <v>114</v>
      </c>
      <c r="CJ295" t="s">
        <v>114</v>
      </c>
      <c r="CK295" t="s">
        <v>114</v>
      </c>
      <c r="CL295" t="s">
        <v>114</v>
      </c>
      <c r="CM295" t="s">
        <v>114</v>
      </c>
      <c r="CN295" t="s">
        <v>114</v>
      </c>
      <c r="CO295" t="s">
        <v>114</v>
      </c>
      <c r="CP295" t="s">
        <v>114</v>
      </c>
      <c r="CQ295" t="s">
        <v>114</v>
      </c>
      <c r="CR295" t="s">
        <v>114</v>
      </c>
      <c r="CS295" t="s">
        <v>114</v>
      </c>
      <c r="CT295" t="s">
        <v>114</v>
      </c>
      <c r="CU295" t="s">
        <v>114</v>
      </c>
      <c r="CV295" t="s">
        <v>114</v>
      </c>
      <c r="CW295" t="s">
        <v>114</v>
      </c>
    </row>
    <row r="296" spans="1:101" x14ac:dyDescent="0.25">
      <c r="A296" t="s">
        <v>20</v>
      </c>
      <c r="B296">
        <v>15</v>
      </c>
      <c r="C296" t="s">
        <v>21</v>
      </c>
      <c r="D296" t="s">
        <v>94</v>
      </c>
      <c r="E296" t="s">
        <v>111</v>
      </c>
      <c r="F296" t="s">
        <v>120</v>
      </c>
      <c r="G296" t="s">
        <v>271</v>
      </c>
      <c r="H296" t="str">
        <f t="shared" si="36"/>
        <v>P.canescens.Solo.Open</v>
      </c>
      <c r="I296" t="s">
        <v>703</v>
      </c>
      <c r="J296" t="s">
        <v>570</v>
      </c>
      <c r="K296">
        <v>0</v>
      </c>
      <c r="L296">
        <v>250</v>
      </c>
      <c r="M296">
        <v>180</v>
      </c>
      <c r="N296">
        <v>180</v>
      </c>
      <c r="O296" t="s">
        <v>114</v>
      </c>
      <c r="P296">
        <v>60</v>
      </c>
      <c r="Q296">
        <v>135</v>
      </c>
      <c r="R296">
        <v>70</v>
      </c>
      <c r="S296">
        <f t="shared" si="37"/>
        <v>102.5</v>
      </c>
      <c r="T296">
        <f t="shared" si="38"/>
        <v>0.56944444444444442</v>
      </c>
      <c r="U296" t="s">
        <v>15</v>
      </c>
      <c r="V296" t="s">
        <v>114</v>
      </c>
      <c r="W296" t="s">
        <v>114</v>
      </c>
      <c r="X296">
        <v>23.8</v>
      </c>
      <c r="Y296">
        <v>13.5</v>
      </c>
      <c r="Z296">
        <v>13.9</v>
      </c>
      <c r="AA296">
        <v>17.06666667</v>
      </c>
      <c r="AB296">
        <v>12.96666667</v>
      </c>
      <c r="AC296">
        <v>13</v>
      </c>
      <c r="AD296">
        <v>13.9</v>
      </c>
      <c r="AE296">
        <v>12</v>
      </c>
      <c r="AF296">
        <v>12.96666667</v>
      </c>
      <c r="AG296">
        <v>16.899999999999999</v>
      </c>
      <c r="AH296">
        <v>26.2</v>
      </c>
      <c r="AI296">
        <v>20.3</v>
      </c>
      <c r="AJ296">
        <v>21.133333329999999</v>
      </c>
      <c r="AK296">
        <v>16.399999999999999</v>
      </c>
      <c r="AL296">
        <v>16.399999999999999</v>
      </c>
      <c r="AM296">
        <v>18.399999999999999</v>
      </c>
      <c r="AN296">
        <v>17.06666667</v>
      </c>
      <c r="AO296">
        <v>17.06666667</v>
      </c>
      <c r="AP296">
        <v>8.5</v>
      </c>
      <c r="AQ296">
        <v>5.6</v>
      </c>
      <c r="AR296">
        <v>6.6</v>
      </c>
      <c r="AS296">
        <v>6.9</v>
      </c>
      <c r="AT296">
        <v>4.5999999999999996</v>
      </c>
      <c r="AU296">
        <v>5.6</v>
      </c>
      <c r="AV296" t="s">
        <v>114</v>
      </c>
      <c r="AW296">
        <v>5.0999999999999996</v>
      </c>
      <c r="AX296">
        <v>5.0999999999999996</v>
      </c>
      <c r="AY296">
        <v>-7.8666666669999996</v>
      </c>
      <c r="AZ296">
        <v>90</v>
      </c>
      <c r="BA296">
        <v>0</v>
      </c>
      <c r="BB296">
        <v>0</v>
      </c>
      <c r="BC296">
        <v>10</v>
      </c>
      <c r="BD296">
        <v>0</v>
      </c>
      <c r="BE296">
        <v>1</v>
      </c>
      <c r="BF296">
        <v>0</v>
      </c>
      <c r="BG296">
        <v>0</v>
      </c>
      <c r="BI296">
        <v>10.7</v>
      </c>
      <c r="BJ296">
        <v>0</v>
      </c>
      <c r="BK296">
        <v>0</v>
      </c>
      <c r="BL296">
        <v>39</v>
      </c>
      <c r="BM296">
        <v>35</v>
      </c>
      <c r="BN296">
        <v>2965</v>
      </c>
      <c r="BO296">
        <v>2240.3332999999998</v>
      </c>
      <c r="BP296">
        <f t="shared" si="39"/>
        <v>724.66670000000022</v>
      </c>
      <c r="BQ296" t="s">
        <v>114</v>
      </c>
      <c r="BR296" t="s">
        <v>114</v>
      </c>
      <c r="BS296" t="s">
        <v>114</v>
      </c>
      <c r="BT296" t="s">
        <v>114</v>
      </c>
      <c r="BU296" t="s">
        <v>114</v>
      </c>
      <c r="BV296" t="s">
        <v>114</v>
      </c>
      <c r="BW296" t="s">
        <v>114</v>
      </c>
      <c r="BX296" t="s">
        <v>114</v>
      </c>
      <c r="BY296" t="s">
        <v>114</v>
      </c>
      <c r="BZ296" t="s">
        <v>114</v>
      </c>
      <c r="CA296" t="s">
        <v>114</v>
      </c>
      <c r="CB296" t="s">
        <v>114</v>
      </c>
      <c r="CC296" t="s">
        <v>114</v>
      </c>
      <c r="CD296" t="s">
        <v>114</v>
      </c>
      <c r="CE296" t="s">
        <v>114</v>
      </c>
      <c r="CF296" t="s">
        <v>114</v>
      </c>
      <c r="CG296" t="s">
        <v>114</v>
      </c>
      <c r="CH296" t="s">
        <v>114</v>
      </c>
      <c r="CI296" t="s">
        <v>114</v>
      </c>
      <c r="CJ296" t="s">
        <v>114</v>
      </c>
      <c r="CK296" t="s">
        <v>114</v>
      </c>
      <c r="CL296" t="s">
        <v>114</v>
      </c>
      <c r="CM296" t="s">
        <v>114</v>
      </c>
      <c r="CN296" t="s">
        <v>114</v>
      </c>
      <c r="CO296" t="s">
        <v>114</v>
      </c>
      <c r="CP296" t="s">
        <v>114</v>
      </c>
      <c r="CQ296" t="s">
        <v>114</v>
      </c>
      <c r="CR296" t="s">
        <v>114</v>
      </c>
      <c r="CS296" t="s">
        <v>114</v>
      </c>
      <c r="CT296" t="s">
        <v>114</v>
      </c>
      <c r="CU296" t="s">
        <v>114</v>
      </c>
      <c r="CV296" t="s">
        <v>114</v>
      </c>
      <c r="CW296" t="s">
        <v>114</v>
      </c>
    </row>
    <row r="297" spans="1:101" x14ac:dyDescent="0.25">
      <c r="A297" t="s">
        <v>22</v>
      </c>
      <c r="B297">
        <v>15</v>
      </c>
      <c r="C297" t="s">
        <v>23</v>
      </c>
      <c r="D297" t="s">
        <v>95</v>
      </c>
      <c r="E297" t="s">
        <v>102</v>
      </c>
      <c r="F297" t="s">
        <v>120</v>
      </c>
      <c r="G297" t="s">
        <v>273</v>
      </c>
      <c r="H297" t="str">
        <f t="shared" si="36"/>
        <v>A.calendula.Solo.Shade</v>
      </c>
      <c r="I297" t="s">
        <v>710</v>
      </c>
      <c r="J297" t="s">
        <v>571</v>
      </c>
      <c r="K297">
        <v>0</v>
      </c>
      <c r="L297">
        <v>170</v>
      </c>
      <c r="M297">
        <v>130</v>
      </c>
      <c r="N297">
        <v>130</v>
      </c>
      <c r="O297" t="s">
        <v>114</v>
      </c>
      <c r="P297">
        <v>120</v>
      </c>
      <c r="Q297">
        <v>120</v>
      </c>
      <c r="R297">
        <v>85</v>
      </c>
      <c r="S297">
        <f t="shared" si="37"/>
        <v>102.5</v>
      </c>
      <c r="T297">
        <f t="shared" si="38"/>
        <v>0.78846153846153844</v>
      </c>
      <c r="V297" t="s">
        <v>114</v>
      </c>
      <c r="W297" t="s">
        <v>114</v>
      </c>
      <c r="X297">
        <v>11</v>
      </c>
      <c r="Y297">
        <v>11</v>
      </c>
      <c r="Z297">
        <v>13.5</v>
      </c>
      <c r="AA297">
        <v>11.83333333</v>
      </c>
      <c r="AB297">
        <v>14.4</v>
      </c>
      <c r="AC297">
        <v>13.9</v>
      </c>
      <c r="AD297">
        <v>14.4</v>
      </c>
      <c r="AE297">
        <v>14.9</v>
      </c>
      <c r="AF297">
        <v>14.4</v>
      </c>
      <c r="AG297">
        <v>16.899999999999999</v>
      </c>
      <c r="AH297">
        <v>14.9</v>
      </c>
      <c r="AI297">
        <v>15.9</v>
      </c>
      <c r="AJ297">
        <v>15.9</v>
      </c>
      <c r="AK297">
        <v>17.899999999999999</v>
      </c>
      <c r="AL297">
        <v>17.899999999999999</v>
      </c>
      <c r="AM297">
        <v>18.899999999999999</v>
      </c>
      <c r="AN297">
        <v>18.233333330000001</v>
      </c>
      <c r="AO297">
        <v>18.233333330000001</v>
      </c>
      <c r="AP297">
        <v>5.6</v>
      </c>
      <c r="AQ297">
        <v>5.6</v>
      </c>
      <c r="AR297">
        <v>8.1</v>
      </c>
      <c r="AS297">
        <v>6.4333333330000002</v>
      </c>
      <c r="AT297">
        <v>7.1</v>
      </c>
      <c r="AU297">
        <v>7.6</v>
      </c>
      <c r="AV297">
        <v>9.5</v>
      </c>
      <c r="AW297">
        <v>8.0666666669999998</v>
      </c>
      <c r="AX297">
        <v>8.0666666669999998</v>
      </c>
      <c r="AY297">
        <v>-6.3333333329999997</v>
      </c>
      <c r="AZ297">
        <v>0</v>
      </c>
      <c r="BA297">
        <v>0</v>
      </c>
      <c r="BB297">
        <v>0</v>
      </c>
      <c r="BC297">
        <v>60</v>
      </c>
      <c r="BD297">
        <v>0</v>
      </c>
      <c r="BE297">
        <v>1</v>
      </c>
      <c r="BF297">
        <v>40</v>
      </c>
      <c r="BG297">
        <v>0</v>
      </c>
      <c r="BI297">
        <v>4.4000000000000004</v>
      </c>
      <c r="BJ297">
        <v>46.103999999999999</v>
      </c>
      <c r="BK297">
        <v>0</v>
      </c>
      <c r="BL297">
        <v>16</v>
      </c>
      <c r="BM297">
        <v>16</v>
      </c>
      <c r="BN297">
        <v>880</v>
      </c>
      <c r="BO297">
        <v>880</v>
      </c>
      <c r="BP297">
        <f t="shared" ref="BP297:BP317" si="40">BN297-BO297</f>
        <v>0</v>
      </c>
      <c r="BQ297" t="s">
        <v>114</v>
      </c>
      <c r="BR297" t="s">
        <v>114</v>
      </c>
      <c r="BS297" t="s">
        <v>114</v>
      </c>
      <c r="BT297" t="s">
        <v>114</v>
      </c>
      <c r="BU297" t="s">
        <v>114</v>
      </c>
      <c r="BV297" t="s">
        <v>114</v>
      </c>
      <c r="BW297" t="s">
        <v>114</v>
      </c>
      <c r="BX297" t="s">
        <v>114</v>
      </c>
      <c r="BY297" t="s">
        <v>114</v>
      </c>
      <c r="BZ297" t="s">
        <v>114</v>
      </c>
      <c r="CA297" t="s">
        <v>114</v>
      </c>
      <c r="CB297" t="s">
        <v>114</v>
      </c>
      <c r="CC297" t="s">
        <v>114</v>
      </c>
      <c r="CD297" t="s">
        <v>114</v>
      </c>
      <c r="CE297" t="s">
        <v>114</v>
      </c>
      <c r="CF297" t="s">
        <v>114</v>
      </c>
      <c r="CG297" t="s">
        <v>114</v>
      </c>
      <c r="CH297" t="s">
        <v>114</v>
      </c>
      <c r="CI297" t="s">
        <v>114</v>
      </c>
      <c r="CJ297" t="s">
        <v>114</v>
      </c>
      <c r="CK297" t="s">
        <v>114</v>
      </c>
      <c r="CL297" t="s">
        <v>114</v>
      </c>
      <c r="CM297" t="s">
        <v>114</v>
      </c>
      <c r="CN297" t="s">
        <v>114</v>
      </c>
      <c r="CO297" t="s">
        <v>114</v>
      </c>
      <c r="CP297" t="s">
        <v>114</v>
      </c>
      <c r="CQ297" t="s">
        <v>114</v>
      </c>
      <c r="CR297" t="s">
        <v>114</v>
      </c>
      <c r="CS297" t="s">
        <v>114</v>
      </c>
      <c r="CT297" t="s">
        <v>114</v>
      </c>
      <c r="CU297" t="s">
        <v>114</v>
      </c>
      <c r="CV297" t="s">
        <v>114</v>
      </c>
      <c r="CW297" t="s">
        <v>114</v>
      </c>
    </row>
    <row r="298" spans="1:101" x14ac:dyDescent="0.25">
      <c r="A298" t="s">
        <v>22</v>
      </c>
      <c r="B298">
        <v>15</v>
      </c>
      <c r="C298" t="s">
        <v>23</v>
      </c>
      <c r="D298" t="s">
        <v>95</v>
      </c>
      <c r="E298" t="s">
        <v>105</v>
      </c>
      <c r="F298" t="s">
        <v>120</v>
      </c>
      <c r="G298" t="s">
        <v>274</v>
      </c>
      <c r="H298" t="str">
        <f t="shared" si="36"/>
        <v>H.glabra.Solo.Shade</v>
      </c>
      <c r="I298" t="s">
        <v>711</v>
      </c>
      <c r="J298" t="s">
        <v>572</v>
      </c>
      <c r="K298">
        <v>0</v>
      </c>
      <c r="L298">
        <v>35</v>
      </c>
      <c r="M298">
        <v>30</v>
      </c>
      <c r="N298">
        <v>30</v>
      </c>
      <c r="O298" t="s">
        <v>114</v>
      </c>
      <c r="P298">
        <v>35</v>
      </c>
      <c r="Q298">
        <v>35</v>
      </c>
      <c r="R298">
        <v>25</v>
      </c>
      <c r="S298">
        <f t="shared" si="37"/>
        <v>30</v>
      </c>
      <c r="T298">
        <f t="shared" si="38"/>
        <v>1</v>
      </c>
      <c r="V298" t="s">
        <v>114</v>
      </c>
      <c r="W298" t="s">
        <v>114</v>
      </c>
      <c r="X298">
        <v>11</v>
      </c>
      <c r="Y298">
        <v>11</v>
      </c>
      <c r="Z298">
        <v>13.5</v>
      </c>
      <c r="AA298">
        <v>11.83333333</v>
      </c>
      <c r="AB298">
        <v>12.33333333</v>
      </c>
      <c r="AC298">
        <v>13</v>
      </c>
      <c r="AD298">
        <v>12</v>
      </c>
      <c r="AE298">
        <v>12</v>
      </c>
      <c r="AF298">
        <v>12.33333333</v>
      </c>
      <c r="AG298">
        <v>16.899999999999999</v>
      </c>
      <c r="AH298">
        <v>14.9</v>
      </c>
      <c r="AI298">
        <v>15.9</v>
      </c>
      <c r="AJ298">
        <v>15.9</v>
      </c>
      <c r="AK298">
        <v>13.9</v>
      </c>
      <c r="AL298">
        <v>15.9</v>
      </c>
      <c r="AM298">
        <v>17.899999999999999</v>
      </c>
      <c r="AN298">
        <v>15.9</v>
      </c>
      <c r="AO298">
        <v>15.9</v>
      </c>
      <c r="AP298">
        <v>5.6</v>
      </c>
      <c r="AQ298">
        <v>5.6</v>
      </c>
      <c r="AR298">
        <v>8.1</v>
      </c>
      <c r="AS298">
        <v>6.4333333330000002</v>
      </c>
      <c r="AT298">
        <v>6.1</v>
      </c>
      <c r="AU298">
        <v>6.1</v>
      </c>
      <c r="AV298">
        <v>6.6</v>
      </c>
      <c r="AW298">
        <v>6.266666667</v>
      </c>
      <c r="AX298">
        <v>6.266666667</v>
      </c>
      <c r="AY298">
        <v>-6.0666666669999998</v>
      </c>
      <c r="AZ298">
        <v>10</v>
      </c>
      <c r="BA298">
        <v>40</v>
      </c>
      <c r="BB298">
        <v>0</v>
      </c>
      <c r="BC298">
        <v>30</v>
      </c>
      <c r="BD298">
        <v>0</v>
      </c>
      <c r="BE298">
        <v>1</v>
      </c>
      <c r="BF298">
        <v>20</v>
      </c>
      <c r="BG298">
        <v>0</v>
      </c>
      <c r="BI298">
        <v>4.4000000000000004</v>
      </c>
      <c r="BJ298">
        <v>46.103999999999999</v>
      </c>
      <c r="BK298">
        <v>0</v>
      </c>
      <c r="BL298">
        <v>4</v>
      </c>
      <c r="BM298">
        <v>4</v>
      </c>
      <c r="BN298">
        <v>108</v>
      </c>
      <c r="BO298">
        <v>97.333332999999996</v>
      </c>
      <c r="BP298">
        <f t="shared" si="40"/>
        <v>10.666667000000004</v>
      </c>
      <c r="BQ298" t="s">
        <v>114</v>
      </c>
      <c r="BR298" t="s">
        <v>114</v>
      </c>
      <c r="BS298" t="s">
        <v>114</v>
      </c>
      <c r="BT298" t="s">
        <v>114</v>
      </c>
      <c r="BU298" t="s">
        <v>114</v>
      </c>
      <c r="BV298" t="s">
        <v>114</v>
      </c>
      <c r="BW298" t="s">
        <v>114</v>
      </c>
      <c r="BX298" t="s">
        <v>114</v>
      </c>
      <c r="BY298" t="s">
        <v>114</v>
      </c>
      <c r="BZ298" t="s">
        <v>114</v>
      </c>
      <c r="CA298" t="s">
        <v>114</v>
      </c>
      <c r="CB298" t="s">
        <v>114</v>
      </c>
      <c r="CC298" t="s">
        <v>114</v>
      </c>
      <c r="CD298" t="s">
        <v>114</v>
      </c>
      <c r="CE298" t="s">
        <v>114</v>
      </c>
      <c r="CF298" t="s">
        <v>114</v>
      </c>
      <c r="CG298" t="s">
        <v>114</v>
      </c>
      <c r="CH298" t="s">
        <v>114</v>
      </c>
      <c r="CI298" t="s">
        <v>114</v>
      </c>
      <c r="CJ298" t="s">
        <v>114</v>
      </c>
      <c r="CK298" t="s">
        <v>114</v>
      </c>
      <c r="CL298" t="s">
        <v>114</v>
      </c>
      <c r="CM298" t="s">
        <v>114</v>
      </c>
      <c r="CN298" t="s">
        <v>114</v>
      </c>
      <c r="CO298" t="s">
        <v>114</v>
      </c>
      <c r="CP298" t="s">
        <v>114</v>
      </c>
      <c r="CQ298" t="s">
        <v>114</v>
      </c>
      <c r="CR298" t="s">
        <v>114</v>
      </c>
      <c r="CS298" t="s">
        <v>114</v>
      </c>
      <c r="CT298" t="s">
        <v>114</v>
      </c>
      <c r="CU298" t="s">
        <v>114</v>
      </c>
      <c r="CV298" t="s">
        <v>114</v>
      </c>
      <c r="CW298" t="s">
        <v>114</v>
      </c>
    </row>
    <row r="299" spans="1:101" x14ac:dyDescent="0.25">
      <c r="A299" t="s">
        <v>22</v>
      </c>
      <c r="B299">
        <v>15</v>
      </c>
      <c r="C299" t="s">
        <v>23</v>
      </c>
      <c r="D299" t="s">
        <v>95</v>
      </c>
      <c r="E299" t="s">
        <v>103</v>
      </c>
      <c r="F299" t="s">
        <v>120</v>
      </c>
      <c r="G299" t="s">
        <v>268</v>
      </c>
      <c r="H299" t="str">
        <f t="shared" si="36"/>
        <v>P.airoides.Solo.Shade</v>
      </c>
      <c r="I299" t="s">
        <v>712</v>
      </c>
      <c r="J299" t="s">
        <v>573</v>
      </c>
      <c r="K299">
        <v>0</v>
      </c>
      <c r="L299">
        <v>70</v>
      </c>
      <c r="M299">
        <v>170</v>
      </c>
      <c r="N299">
        <v>170</v>
      </c>
      <c r="O299" t="s">
        <v>114</v>
      </c>
      <c r="P299">
        <v>25</v>
      </c>
      <c r="Q299">
        <v>40</v>
      </c>
      <c r="R299">
        <v>20</v>
      </c>
      <c r="S299">
        <f t="shared" si="37"/>
        <v>30</v>
      </c>
      <c r="T299">
        <f t="shared" si="38"/>
        <v>0.17647058823529413</v>
      </c>
      <c r="V299" t="s">
        <v>114</v>
      </c>
      <c r="W299" t="s">
        <v>114</v>
      </c>
      <c r="X299">
        <v>11</v>
      </c>
      <c r="Y299">
        <v>11</v>
      </c>
      <c r="Z299">
        <v>13.5</v>
      </c>
      <c r="AA299">
        <v>11.83333333</v>
      </c>
      <c r="AB299">
        <v>9.8333333330000006</v>
      </c>
      <c r="AC299">
        <v>10</v>
      </c>
      <c r="AD299">
        <v>11</v>
      </c>
      <c r="AE299">
        <v>8.5</v>
      </c>
      <c r="AF299">
        <v>9.8333333330000006</v>
      </c>
      <c r="AG299">
        <v>16.899999999999999</v>
      </c>
      <c r="AH299">
        <v>14.9</v>
      </c>
      <c r="AI299">
        <v>15.9</v>
      </c>
      <c r="AJ299">
        <v>15.9</v>
      </c>
      <c r="AK299" t="s">
        <v>114</v>
      </c>
      <c r="AL299" t="s">
        <v>114</v>
      </c>
      <c r="AM299" t="s">
        <v>114</v>
      </c>
      <c r="AN299" t="s">
        <v>114</v>
      </c>
      <c r="AO299" t="s">
        <v>114</v>
      </c>
      <c r="AP299">
        <v>5.6</v>
      </c>
      <c r="AQ299">
        <v>5.6</v>
      </c>
      <c r="AR299">
        <v>8.1</v>
      </c>
      <c r="AS299">
        <v>6.4333333330000002</v>
      </c>
      <c r="AT299">
        <v>4.5999999999999996</v>
      </c>
      <c r="AU299">
        <v>5.6</v>
      </c>
      <c r="AV299">
        <v>6.1</v>
      </c>
      <c r="AW299">
        <v>5.4333333330000002</v>
      </c>
      <c r="AX299">
        <v>5.4333333330000002</v>
      </c>
      <c r="AY299">
        <v>-4.4000000000000004</v>
      </c>
      <c r="AZ299">
        <v>80</v>
      </c>
      <c r="BA299">
        <v>0</v>
      </c>
      <c r="BB299">
        <v>10</v>
      </c>
      <c r="BC299">
        <v>0</v>
      </c>
      <c r="BD299">
        <v>0</v>
      </c>
      <c r="BE299">
        <v>1</v>
      </c>
      <c r="BF299">
        <v>10</v>
      </c>
      <c r="BG299">
        <v>0</v>
      </c>
      <c r="BI299">
        <v>4.4000000000000004</v>
      </c>
      <c r="BJ299">
        <v>46.103999999999999</v>
      </c>
      <c r="BK299">
        <v>0</v>
      </c>
      <c r="BL299">
        <v>4</v>
      </c>
      <c r="BM299">
        <v>4</v>
      </c>
      <c r="BN299">
        <v>387</v>
      </c>
      <c r="BO299">
        <v>216</v>
      </c>
      <c r="BP299">
        <f t="shared" si="40"/>
        <v>171</v>
      </c>
      <c r="BQ299" t="s">
        <v>114</v>
      </c>
      <c r="BR299" t="s">
        <v>114</v>
      </c>
      <c r="BS299" t="s">
        <v>114</v>
      </c>
      <c r="BT299" t="s">
        <v>114</v>
      </c>
      <c r="BU299" t="s">
        <v>114</v>
      </c>
      <c r="BV299" t="s">
        <v>114</v>
      </c>
      <c r="BW299" t="s">
        <v>114</v>
      </c>
      <c r="BX299" t="s">
        <v>114</v>
      </c>
      <c r="BY299" t="s">
        <v>114</v>
      </c>
      <c r="BZ299" t="s">
        <v>114</v>
      </c>
      <c r="CA299" t="s">
        <v>114</v>
      </c>
      <c r="CB299" t="s">
        <v>114</v>
      </c>
      <c r="CC299" t="s">
        <v>114</v>
      </c>
      <c r="CD299" t="s">
        <v>114</v>
      </c>
      <c r="CE299" t="s">
        <v>114</v>
      </c>
      <c r="CF299" t="s">
        <v>114</v>
      </c>
      <c r="CG299" t="s">
        <v>114</v>
      </c>
      <c r="CH299" t="s">
        <v>114</v>
      </c>
      <c r="CI299" t="s">
        <v>114</v>
      </c>
      <c r="CJ299" t="s">
        <v>114</v>
      </c>
      <c r="CK299" t="s">
        <v>114</v>
      </c>
      <c r="CL299" t="s">
        <v>114</v>
      </c>
      <c r="CM299" t="s">
        <v>114</v>
      </c>
      <c r="CN299" t="s">
        <v>114</v>
      </c>
      <c r="CO299" t="s">
        <v>114</v>
      </c>
      <c r="CP299" t="s">
        <v>114</v>
      </c>
      <c r="CQ299" t="s">
        <v>114</v>
      </c>
      <c r="CR299" t="s">
        <v>114</v>
      </c>
      <c r="CS299" t="s">
        <v>114</v>
      </c>
      <c r="CT299" t="s">
        <v>114</v>
      </c>
      <c r="CU299" t="s">
        <v>114</v>
      </c>
      <c r="CV299" t="s">
        <v>114</v>
      </c>
      <c r="CW299" t="s">
        <v>114</v>
      </c>
    </row>
    <row r="300" spans="1:101" x14ac:dyDescent="0.25">
      <c r="A300" t="s">
        <v>22</v>
      </c>
      <c r="B300">
        <v>15</v>
      </c>
      <c r="C300" t="s">
        <v>23</v>
      </c>
      <c r="D300" t="s">
        <v>95</v>
      </c>
      <c r="E300" t="s">
        <v>111</v>
      </c>
      <c r="F300" t="s">
        <v>120</v>
      </c>
      <c r="G300" t="s">
        <v>271</v>
      </c>
      <c r="H300" t="str">
        <f t="shared" si="36"/>
        <v>P.canescens.Solo.Shade</v>
      </c>
      <c r="I300" t="s">
        <v>706</v>
      </c>
      <c r="J300" t="s">
        <v>574</v>
      </c>
      <c r="K300">
        <v>0</v>
      </c>
      <c r="L300">
        <v>220</v>
      </c>
      <c r="M300">
        <v>260</v>
      </c>
      <c r="N300">
        <v>260</v>
      </c>
      <c r="O300" t="s">
        <v>114</v>
      </c>
      <c r="P300">
        <v>70</v>
      </c>
      <c r="Q300">
        <v>150</v>
      </c>
      <c r="R300">
        <v>60</v>
      </c>
      <c r="S300">
        <f t="shared" si="37"/>
        <v>105</v>
      </c>
      <c r="T300">
        <f t="shared" si="38"/>
        <v>0.40384615384615385</v>
      </c>
      <c r="V300" t="s">
        <v>114</v>
      </c>
      <c r="W300" t="s">
        <v>114</v>
      </c>
      <c r="X300">
        <v>11</v>
      </c>
      <c r="Y300">
        <v>11</v>
      </c>
      <c r="Z300">
        <v>13.5</v>
      </c>
      <c r="AA300">
        <v>11.83333333</v>
      </c>
      <c r="AB300">
        <v>14.233333330000001</v>
      </c>
      <c r="AC300">
        <v>14.4</v>
      </c>
      <c r="AD300">
        <v>14.4</v>
      </c>
      <c r="AE300">
        <v>13.9</v>
      </c>
      <c r="AF300">
        <v>14.233333330000001</v>
      </c>
      <c r="AG300">
        <v>16.899999999999999</v>
      </c>
      <c r="AH300">
        <v>14.9</v>
      </c>
      <c r="AI300">
        <v>15.9</v>
      </c>
      <c r="AJ300">
        <v>15.9</v>
      </c>
      <c r="AK300">
        <v>18.399999999999999</v>
      </c>
      <c r="AL300">
        <v>16.899999999999999</v>
      </c>
      <c r="AM300">
        <v>17.899999999999999</v>
      </c>
      <c r="AN300">
        <v>17.733333330000001</v>
      </c>
      <c r="AO300">
        <v>17.733333330000001</v>
      </c>
      <c r="AP300">
        <v>5.6</v>
      </c>
      <c r="AQ300">
        <v>5.6</v>
      </c>
      <c r="AR300">
        <v>8.1</v>
      </c>
      <c r="AS300">
        <v>6.4333333330000002</v>
      </c>
      <c r="AT300">
        <v>6.1</v>
      </c>
      <c r="AU300">
        <v>7.1</v>
      </c>
      <c r="AV300">
        <v>7.1</v>
      </c>
      <c r="AW300">
        <v>6.766666667</v>
      </c>
      <c r="AX300">
        <v>6.766666667</v>
      </c>
      <c r="AY300">
        <v>-7.4666666670000001</v>
      </c>
      <c r="AZ300">
        <v>90</v>
      </c>
      <c r="BA300">
        <v>10</v>
      </c>
      <c r="BB300">
        <v>0</v>
      </c>
      <c r="BC300">
        <v>0</v>
      </c>
      <c r="BD300">
        <v>0</v>
      </c>
      <c r="BE300">
        <v>1</v>
      </c>
      <c r="BF300">
        <v>0</v>
      </c>
      <c r="BG300">
        <v>0</v>
      </c>
      <c r="BI300">
        <v>4.4000000000000004</v>
      </c>
      <c r="BJ300">
        <v>46.103999999999999</v>
      </c>
      <c r="BK300">
        <v>0</v>
      </c>
      <c r="BL300">
        <v>12</v>
      </c>
      <c r="BM300">
        <v>8</v>
      </c>
      <c r="BN300">
        <v>562</v>
      </c>
      <c r="BO300">
        <v>731.75</v>
      </c>
      <c r="BP300">
        <f t="shared" si="40"/>
        <v>-169.75</v>
      </c>
      <c r="BQ300" t="s">
        <v>114</v>
      </c>
      <c r="BR300" t="s">
        <v>114</v>
      </c>
      <c r="BS300" t="s">
        <v>114</v>
      </c>
      <c r="BT300" t="s">
        <v>114</v>
      </c>
      <c r="BU300" t="s">
        <v>114</v>
      </c>
      <c r="BV300" t="s">
        <v>114</v>
      </c>
      <c r="BW300" t="s">
        <v>114</v>
      </c>
      <c r="BX300" t="s">
        <v>114</v>
      </c>
      <c r="BY300" t="s">
        <v>114</v>
      </c>
      <c r="BZ300" t="s">
        <v>114</v>
      </c>
      <c r="CA300" t="s">
        <v>114</v>
      </c>
      <c r="CB300" t="s">
        <v>114</v>
      </c>
      <c r="CC300" t="s">
        <v>114</v>
      </c>
      <c r="CD300" t="s">
        <v>114</v>
      </c>
      <c r="CE300" t="s">
        <v>114</v>
      </c>
      <c r="CF300" t="s">
        <v>114</v>
      </c>
      <c r="CG300" t="s">
        <v>114</v>
      </c>
      <c r="CH300" t="s">
        <v>114</v>
      </c>
      <c r="CI300" t="s">
        <v>114</v>
      </c>
      <c r="CJ300" t="s">
        <v>114</v>
      </c>
      <c r="CK300" t="s">
        <v>114</v>
      </c>
      <c r="CL300" t="s">
        <v>114</v>
      </c>
      <c r="CM300" t="s">
        <v>114</v>
      </c>
      <c r="CN300" t="s">
        <v>114</v>
      </c>
      <c r="CO300" t="s">
        <v>114</v>
      </c>
      <c r="CP300" t="s">
        <v>114</v>
      </c>
      <c r="CQ300" t="s">
        <v>114</v>
      </c>
      <c r="CR300" t="s">
        <v>114</v>
      </c>
      <c r="CS300" t="s">
        <v>114</v>
      </c>
      <c r="CT300" t="s">
        <v>114</v>
      </c>
      <c r="CU300" t="s">
        <v>114</v>
      </c>
      <c r="CV300" t="s">
        <v>114</v>
      </c>
      <c r="CW300" t="s">
        <v>114</v>
      </c>
    </row>
    <row r="301" spans="1:101" x14ac:dyDescent="0.25">
      <c r="A301" t="s">
        <v>22</v>
      </c>
      <c r="B301">
        <v>15</v>
      </c>
      <c r="C301" t="s">
        <v>23</v>
      </c>
      <c r="D301" t="s">
        <v>95</v>
      </c>
      <c r="E301" t="s">
        <v>112</v>
      </c>
      <c r="F301" t="s">
        <v>120</v>
      </c>
      <c r="G301" t="s">
        <v>269</v>
      </c>
      <c r="H301" t="str">
        <f t="shared" si="36"/>
        <v>V.rosea.Solo.Shade</v>
      </c>
      <c r="I301" t="s">
        <v>708</v>
      </c>
      <c r="J301" t="s">
        <v>575</v>
      </c>
      <c r="K301">
        <v>0</v>
      </c>
      <c r="L301">
        <v>50</v>
      </c>
      <c r="M301">
        <v>60</v>
      </c>
      <c r="N301">
        <v>60</v>
      </c>
      <c r="O301" t="s">
        <v>114</v>
      </c>
      <c r="P301">
        <v>20</v>
      </c>
      <c r="Q301">
        <v>20</v>
      </c>
      <c r="R301">
        <v>20</v>
      </c>
      <c r="S301">
        <f t="shared" si="37"/>
        <v>20</v>
      </c>
      <c r="T301">
        <f t="shared" si="38"/>
        <v>0.33333333333333331</v>
      </c>
      <c r="V301" t="s">
        <v>114</v>
      </c>
      <c r="W301" t="s">
        <v>114</v>
      </c>
      <c r="X301">
        <v>11</v>
      </c>
      <c r="Y301">
        <v>11</v>
      </c>
      <c r="Z301">
        <v>13.5</v>
      </c>
      <c r="AA301">
        <v>11.83333333</v>
      </c>
      <c r="AB301">
        <v>12.33333333</v>
      </c>
      <c r="AC301">
        <v>13.5</v>
      </c>
      <c r="AD301">
        <v>11.5</v>
      </c>
      <c r="AE301">
        <v>12</v>
      </c>
      <c r="AF301">
        <v>12.33333333</v>
      </c>
      <c r="AG301">
        <v>16.899999999999999</v>
      </c>
      <c r="AH301">
        <v>14.9</v>
      </c>
      <c r="AI301">
        <v>15.9</v>
      </c>
      <c r="AJ301">
        <v>15.9</v>
      </c>
      <c r="AK301">
        <v>14.9</v>
      </c>
      <c r="AL301">
        <v>15.9</v>
      </c>
      <c r="AM301">
        <v>16.899999999999999</v>
      </c>
      <c r="AN301">
        <v>15.9</v>
      </c>
      <c r="AO301">
        <v>15.9</v>
      </c>
      <c r="AP301">
        <v>5.6</v>
      </c>
      <c r="AQ301">
        <v>5.6</v>
      </c>
      <c r="AR301">
        <v>8.1</v>
      </c>
      <c r="AS301">
        <v>6.4333333330000002</v>
      </c>
      <c r="AT301">
        <v>6.1</v>
      </c>
      <c r="AU301">
        <v>7.6</v>
      </c>
      <c r="AV301">
        <v>7.6</v>
      </c>
      <c r="AW301">
        <v>7.1</v>
      </c>
      <c r="AX301">
        <v>7.1</v>
      </c>
      <c r="AY301">
        <v>-5.233333333</v>
      </c>
      <c r="AZ301">
        <v>80</v>
      </c>
      <c r="BA301">
        <v>0</v>
      </c>
      <c r="BB301">
        <v>0</v>
      </c>
      <c r="BC301">
        <v>10</v>
      </c>
      <c r="BD301">
        <v>0</v>
      </c>
      <c r="BE301">
        <v>1</v>
      </c>
      <c r="BF301">
        <v>10</v>
      </c>
      <c r="BG301">
        <v>0</v>
      </c>
      <c r="BI301">
        <v>4.4000000000000004</v>
      </c>
      <c r="BJ301">
        <v>46.103999999999999</v>
      </c>
      <c r="BK301">
        <v>0</v>
      </c>
      <c r="BL301">
        <v>16</v>
      </c>
      <c r="BM301">
        <v>13</v>
      </c>
      <c r="BN301">
        <v>46</v>
      </c>
      <c r="BO301">
        <v>31.75</v>
      </c>
      <c r="BP301">
        <f t="shared" si="40"/>
        <v>14.25</v>
      </c>
      <c r="BQ301" t="s">
        <v>114</v>
      </c>
      <c r="BR301" t="s">
        <v>114</v>
      </c>
      <c r="BS301" t="s">
        <v>114</v>
      </c>
      <c r="BT301" t="s">
        <v>114</v>
      </c>
      <c r="BU301" t="s">
        <v>114</v>
      </c>
      <c r="BV301" t="s">
        <v>114</v>
      </c>
      <c r="BW301" t="s">
        <v>114</v>
      </c>
      <c r="BX301" t="s">
        <v>114</v>
      </c>
      <c r="BY301" t="s">
        <v>114</v>
      </c>
      <c r="BZ301" t="s">
        <v>114</v>
      </c>
      <c r="CA301" t="s">
        <v>114</v>
      </c>
      <c r="CB301" t="s">
        <v>114</v>
      </c>
      <c r="CC301" t="s">
        <v>114</v>
      </c>
      <c r="CD301" t="s">
        <v>114</v>
      </c>
      <c r="CE301" t="s">
        <v>114</v>
      </c>
      <c r="CF301" t="s">
        <v>114</v>
      </c>
      <c r="CG301" t="s">
        <v>114</v>
      </c>
      <c r="CH301" t="s">
        <v>114</v>
      </c>
      <c r="CI301" t="s">
        <v>114</v>
      </c>
      <c r="CJ301" t="s">
        <v>114</v>
      </c>
      <c r="CK301" t="s">
        <v>114</v>
      </c>
      <c r="CL301" t="s">
        <v>114</v>
      </c>
      <c r="CM301" t="s">
        <v>114</v>
      </c>
      <c r="CN301" t="s">
        <v>114</v>
      </c>
      <c r="CO301" t="s">
        <v>114</v>
      </c>
      <c r="CP301" t="s">
        <v>114</v>
      </c>
      <c r="CQ301" t="s">
        <v>114</v>
      </c>
      <c r="CR301" t="s">
        <v>114</v>
      </c>
      <c r="CS301" t="s">
        <v>114</v>
      </c>
      <c r="CT301" t="s">
        <v>114</v>
      </c>
      <c r="CU301" t="s">
        <v>114</v>
      </c>
      <c r="CV301" t="s">
        <v>114</v>
      </c>
      <c r="CW301" t="s">
        <v>114</v>
      </c>
    </row>
    <row r="302" spans="1:101" x14ac:dyDescent="0.25">
      <c r="A302" t="s">
        <v>24</v>
      </c>
      <c r="B302">
        <v>15</v>
      </c>
      <c r="C302" t="s">
        <v>25</v>
      </c>
      <c r="D302" t="s">
        <v>95</v>
      </c>
      <c r="E302" t="s">
        <v>105</v>
      </c>
      <c r="F302" t="s">
        <v>120</v>
      </c>
      <c r="G302" t="s">
        <v>274</v>
      </c>
      <c r="H302" t="str">
        <f t="shared" si="36"/>
        <v>H.glabra.Solo.Shade</v>
      </c>
      <c r="I302" t="s">
        <v>711</v>
      </c>
      <c r="J302" t="s">
        <v>576</v>
      </c>
      <c r="K302">
        <v>0</v>
      </c>
      <c r="L302">
        <v>20</v>
      </c>
      <c r="M302">
        <v>20</v>
      </c>
      <c r="N302">
        <v>20</v>
      </c>
      <c r="O302" t="s">
        <v>114</v>
      </c>
      <c r="P302">
        <v>60</v>
      </c>
      <c r="Q302">
        <v>60</v>
      </c>
      <c r="R302">
        <v>20</v>
      </c>
      <c r="S302">
        <f t="shared" si="37"/>
        <v>40</v>
      </c>
      <c r="T302">
        <f t="shared" si="38"/>
        <v>2</v>
      </c>
      <c r="U302" t="s">
        <v>29</v>
      </c>
      <c r="V302" t="s">
        <v>114</v>
      </c>
      <c r="W302" t="s">
        <v>114</v>
      </c>
      <c r="X302">
        <v>11.5</v>
      </c>
      <c r="Y302">
        <v>13.5</v>
      </c>
      <c r="Z302">
        <v>11</v>
      </c>
      <c r="AA302">
        <v>12</v>
      </c>
      <c r="AB302">
        <v>10.83333333</v>
      </c>
      <c r="AC302">
        <v>11.5</v>
      </c>
      <c r="AD302">
        <v>11.5</v>
      </c>
      <c r="AE302">
        <v>9.5</v>
      </c>
      <c r="AF302">
        <v>10.83333333</v>
      </c>
      <c r="AG302">
        <v>15.4</v>
      </c>
      <c r="AH302">
        <v>15.4</v>
      </c>
      <c r="AI302">
        <v>16.899999999999999</v>
      </c>
      <c r="AJ302">
        <v>15.9</v>
      </c>
      <c r="AK302">
        <v>13.9</v>
      </c>
      <c r="AL302">
        <v>14.9</v>
      </c>
      <c r="AM302">
        <v>14.9</v>
      </c>
      <c r="AN302">
        <v>14.56666667</v>
      </c>
      <c r="AO302">
        <v>14.56666667</v>
      </c>
      <c r="AP302" t="s">
        <v>114</v>
      </c>
      <c r="AQ302" t="s">
        <v>114</v>
      </c>
      <c r="AR302" t="s">
        <v>114</v>
      </c>
      <c r="AS302" t="s">
        <v>114</v>
      </c>
      <c r="AT302" t="s">
        <v>114</v>
      </c>
      <c r="AU302" t="s">
        <v>114</v>
      </c>
      <c r="AV302" t="s">
        <v>114</v>
      </c>
      <c r="AW302" t="s">
        <v>114</v>
      </c>
      <c r="AX302" t="s">
        <v>114</v>
      </c>
      <c r="AY302" t="s">
        <v>114</v>
      </c>
      <c r="AZ302">
        <v>60</v>
      </c>
      <c r="BA302">
        <v>20</v>
      </c>
      <c r="BB302">
        <v>0</v>
      </c>
      <c r="BC302">
        <v>20</v>
      </c>
      <c r="BD302">
        <v>0</v>
      </c>
      <c r="BE302">
        <v>1</v>
      </c>
      <c r="BF302">
        <v>0</v>
      </c>
      <c r="BG302">
        <v>0</v>
      </c>
      <c r="BI302">
        <v>8.4</v>
      </c>
      <c r="BJ302">
        <v>91.049000000000007</v>
      </c>
      <c r="BK302">
        <v>0</v>
      </c>
      <c r="BL302">
        <v>4</v>
      </c>
      <c r="BM302">
        <v>4</v>
      </c>
      <c r="BN302">
        <v>96</v>
      </c>
      <c r="BO302">
        <v>97.333332999999996</v>
      </c>
      <c r="BP302">
        <f t="shared" si="40"/>
        <v>-1.3333329999999961</v>
      </c>
      <c r="BQ302" t="s">
        <v>114</v>
      </c>
      <c r="BR302" t="s">
        <v>114</v>
      </c>
      <c r="BS302" t="s">
        <v>114</v>
      </c>
      <c r="BT302" t="s">
        <v>114</v>
      </c>
      <c r="BU302" t="s">
        <v>114</v>
      </c>
      <c r="BV302" t="s">
        <v>114</v>
      </c>
      <c r="BW302" t="s">
        <v>114</v>
      </c>
      <c r="BX302" t="s">
        <v>114</v>
      </c>
      <c r="BY302" t="s">
        <v>114</v>
      </c>
      <c r="BZ302" t="s">
        <v>114</v>
      </c>
      <c r="CA302" t="s">
        <v>114</v>
      </c>
      <c r="CB302" t="s">
        <v>114</v>
      </c>
      <c r="CC302" t="s">
        <v>114</v>
      </c>
      <c r="CD302" t="s">
        <v>114</v>
      </c>
      <c r="CE302" t="s">
        <v>114</v>
      </c>
      <c r="CF302" t="s">
        <v>114</v>
      </c>
      <c r="CG302" t="s">
        <v>114</v>
      </c>
      <c r="CH302" t="s">
        <v>114</v>
      </c>
      <c r="CI302" t="s">
        <v>114</v>
      </c>
      <c r="CJ302" t="s">
        <v>114</v>
      </c>
      <c r="CK302" t="s">
        <v>114</v>
      </c>
      <c r="CL302" t="s">
        <v>114</v>
      </c>
      <c r="CM302" t="s">
        <v>114</v>
      </c>
      <c r="CN302" t="s">
        <v>114</v>
      </c>
      <c r="CO302" t="s">
        <v>114</v>
      </c>
      <c r="CP302" t="s">
        <v>114</v>
      </c>
      <c r="CQ302" t="s">
        <v>114</v>
      </c>
      <c r="CR302" t="s">
        <v>114</v>
      </c>
      <c r="CS302" t="s">
        <v>114</v>
      </c>
      <c r="CT302" t="s">
        <v>114</v>
      </c>
      <c r="CU302" t="s">
        <v>114</v>
      </c>
      <c r="CV302" t="s">
        <v>114</v>
      </c>
      <c r="CW302" t="s">
        <v>114</v>
      </c>
    </row>
    <row r="303" spans="1:101" x14ac:dyDescent="0.25">
      <c r="A303" t="s">
        <v>24</v>
      </c>
      <c r="B303">
        <v>15</v>
      </c>
      <c r="C303" t="s">
        <v>25</v>
      </c>
      <c r="D303" t="s">
        <v>95</v>
      </c>
      <c r="E303" t="s">
        <v>112</v>
      </c>
      <c r="F303" t="s">
        <v>120</v>
      </c>
      <c r="G303" t="s">
        <v>269</v>
      </c>
      <c r="H303" t="str">
        <f t="shared" si="36"/>
        <v>V.rosea.Solo.Shade</v>
      </c>
      <c r="I303" t="s">
        <v>708</v>
      </c>
      <c r="J303" t="s">
        <v>577</v>
      </c>
      <c r="K303">
        <v>0</v>
      </c>
      <c r="L303">
        <v>80</v>
      </c>
      <c r="M303">
        <v>40</v>
      </c>
      <c r="N303">
        <v>40</v>
      </c>
      <c r="O303" t="s">
        <v>114</v>
      </c>
      <c r="P303">
        <v>38</v>
      </c>
      <c r="Q303">
        <v>50</v>
      </c>
      <c r="R303">
        <v>25</v>
      </c>
      <c r="S303">
        <f t="shared" si="37"/>
        <v>37.5</v>
      </c>
      <c r="T303">
        <f t="shared" si="38"/>
        <v>0.9375</v>
      </c>
      <c r="U303" t="s">
        <v>15</v>
      </c>
      <c r="V303" t="s">
        <v>114</v>
      </c>
      <c r="W303" t="s">
        <v>114</v>
      </c>
      <c r="X303">
        <v>11.5</v>
      </c>
      <c r="Y303">
        <v>13.5</v>
      </c>
      <c r="Z303">
        <v>11</v>
      </c>
      <c r="AA303">
        <v>12</v>
      </c>
      <c r="AB303">
        <v>12.16666667</v>
      </c>
      <c r="AC303">
        <v>12</v>
      </c>
      <c r="AD303">
        <v>12</v>
      </c>
      <c r="AE303">
        <v>12.5</v>
      </c>
      <c r="AF303">
        <v>12.16666667</v>
      </c>
      <c r="AG303">
        <v>15.4</v>
      </c>
      <c r="AH303">
        <v>15.4</v>
      </c>
      <c r="AI303">
        <v>16.899999999999999</v>
      </c>
      <c r="AJ303">
        <v>15.9</v>
      </c>
      <c r="AK303">
        <v>13.5</v>
      </c>
      <c r="AL303">
        <v>15.4</v>
      </c>
      <c r="AM303">
        <v>15.4</v>
      </c>
      <c r="AN303">
        <v>14.766666669999999</v>
      </c>
      <c r="AO303">
        <v>14.766666669999999</v>
      </c>
      <c r="AP303" t="s">
        <v>114</v>
      </c>
      <c r="AQ303" t="s">
        <v>114</v>
      </c>
      <c r="AR303" t="s">
        <v>114</v>
      </c>
      <c r="AS303" t="s">
        <v>114</v>
      </c>
      <c r="AT303" t="s">
        <v>114</v>
      </c>
      <c r="AU303" t="s">
        <v>114</v>
      </c>
      <c r="AV303" t="s">
        <v>114</v>
      </c>
      <c r="AW303" t="s">
        <v>114</v>
      </c>
      <c r="AX303" t="s">
        <v>114</v>
      </c>
      <c r="AY303" t="s">
        <v>114</v>
      </c>
      <c r="AZ303">
        <v>65</v>
      </c>
      <c r="BA303">
        <v>0</v>
      </c>
      <c r="BB303">
        <v>5</v>
      </c>
      <c r="BC303">
        <v>30</v>
      </c>
      <c r="BD303">
        <v>0</v>
      </c>
      <c r="BE303">
        <v>1</v>
      </c>
      <c r="BF303">
        <v>0</v>
      </c>
      <c r="BG303">
        <v>0</v>
      </c>
      <c r="BI303">
        <v>8.4</v>
      </c>
      <c r="BJ303">
        <v>91.049000000000007</v>
      </c>
      <c r="BK303">
        <v>0</v>
      </c>
      <c r="BL303">
        <v>1</v>
      </c>
      <c r="BM303">
        <v>1</v>
      </c>
      <c r="BN303">
        <v>4</v>
      </c>
      <c r="BO303">
        <v>31.75</v>
      </c>
      <c r="BP303">
        <f t="shared" si="40"/>
        <v>-27.75</v>
      </c>
      <c r="BQ303" t="s">
        <v>114</v>
      </c>
      <c r="BR303" t="s">
        <v>114</v>
      </c>
      <c r="BS303" t="s">
        <v>114</v>
      </c>
      <c r="BT303" t="s">
        <v>114</v>
      </c>
      <c r="BU303" t="s">
        <v>114</v>
      </c>
      <c r="BV303" t="s">
        <v>114</v>
      </c>
      <c r="BW303" t="s">
        <v>114</v>
      </c>
      <c r="BX303" t="s">
        <v>114</v>
      </c>
      <c r="BY303" t="s">
        <v>114</v>
      </c>
      <c r="BZ303" t="s">
        <v>114</v>
      </c>
      <c r="CA303" t="s">
        <v>114</v>
      </c>
      <c r="CB303" t="s">
        <v>114</v>
      </c>
      <c r="CC303" t="s">
        <v>114</v>
      </c>
      <c r="CD303" t="s">
        <v>114</v>
      </c>
      <c r="CE303" t="s">
        <v>114</v>
      </c>
      <c r="CF303" t="s">
        <v>114</v>
      </c>
      <c r="CG303" t="s">
        <v>114</v>
      </c>
      <c r="CH303" t="s">
        <v>114</v>
      </c>
      <c r="CI303" t="s">
        <v>114</v>
      </c>
      <c r="CJ303" t="s">
        <v>114</v>
      </c>
      <c r="CK303" t="s">
        <v>114</v>
      </c>
      <c r="CL303" t="s">
        <v>114</v>
      </c>
      <c r="CM303" t="s">
        <v>114</v>
      </c>
      <c r="CN303" t="s">
        <v>114</v>
      </c>
      <c r="CO303" t="s">
        <v>114</v>
      </c>
      <c r="CP303" t="s">
        <v>114</v>
      </c>
      <c r="CQ303" t="s">
        <v>114</v>
      </c>
      <c r="CR303" t="s">
        <v>114</v>
      </c>
      <c r="CS303" t="s">
        <v>114</v>
      </c>
      <c r="CT303" t="s">
        <v>114</v>
      </c>
      <c r="CU303" t="s">
        <v>114</v>
      </c>
      <c r="CV303" t="s">
        <v>114</v>
      </c>
      <c r="CW303" t="s">
        <v>114</v>
      </c>
    </row>
    <row r="304" spans="1:101" x14ac:dyDescent="0.25">
      <c r="A304" t="s">
        <v>26</v>
      </c>
      <c r="B304">
        <v>15</v>
      </c>
      <c r="C304" t="s">
        <v>27</v>
      </c>
      <c r="D304" t="s">
        <v>95</v>
      </c>
      <c r="E304" t="s">
        <v>105</v>
      </c>
      <c r="F304" t="s">
        <v>120</v>
      </c>
      <c r="G304" t="s">
        <v>274</v>
      </c>
      <c r="H304" t="str">
        <f t="shared" si="36"/>
        <v>H.glabra.Solo.Shade</v>
      </c>
      <c r="I304" t="s">
        <v>711</v>
      </c>
      <c r="J304" t="s">
        <v>578</v>
      </c>
      <c r="K304">
        <v>0</v>
      </c>
      <c r="L304">
        <v>60</v>
      </c>
      <c r="M304">
        <v>40</v>
      </c>
      <c r="N304">
        <v>40</v>
      </c>
      <c r="O304" t="s">
        <v>114</v>
      </c>
      <c r="P304">
        <v>55</v>
      </c>
      <c r="Q304">
        <v>55</v>
      </c>
      <c r="R304">
        <v>30</v>
      </c>
      <c r="S304">
        <f t="shared" si="37"/>
        <v>42.5</v>
      </c>
      <c r="T304">
        <f t="shared" si="38"/>
        <v>1.0625</v>
      </c>
      <c r="U304" t="s">
        <v>15</v>
      </c>
      <c r="V304" t="s">
        <v>114</v>
      </c>
      <c r="W304" t="s">
        <v>114</v>
      </c>
      <c r="X304">
        <v>21.8</v>
      </c>
      <c r="Y304">
        <v>19.8</v>
      </c>
      <c r="Z304">
        <v>21.3</v>
      </c>
      <c r="AA304">
        <v>20.966666669999999</v>
      </c>
      <c r="AB304">
        <v>25.533333330000001</v>
      </c>
      <c r="AC304">
        <v>24.7</v>
      </c>
      <c r="AD304">
        <v>26.7</v>
      </c>
      <c r="AE304">
        <v>25.2</v>
      </c>
      <c r="AF304">
        <v>25.533333330000001</v>
      </c>
      <c r="AG304">
        <v>26.2</v>
      </c>
      <c r="AH304">
        <v>28.2</v>
      </c>
      <c r="AI304">
        <v>28.2</v>
      </c>
      <c r="AJ304">
        <v>27.533333330000001</v>
      </c>
      <c r="AK304">
        <v>28.2</v>
      </c>
      <c r="AL304">
        <v>31.1</v>
      </c>
      <c r="AM304">
        <v>31.6</v>
      </c>
      <c r="AN304">
        <v>30.3</v>
      </c>
      <c r="AO304">
        <v>30.3</v>
      </c>
      <c r="AP304">
        <v>18.399999999999999</v>
      </c>
      <c r="AQ304">
        <v>10</v>
      </c>
      <c r="AR304">
        <v>11.5</v>
      </c>
      <c r="AS304">
        <v>13.3</v>
      </c>
      <c r="AT304">
        <v>13.9</v>
      </c>
      <c r="AU304">
        <v>13.9</v>
      </c>
      <c r="AV304">
        <v>14.9</v>
      </c>
      <c r="AW304">
        <v>14.233333330000001</v>
      </c>
      <c r="AX304">
        <v>14.233333330000001</v>
      </c>
      <c r="AY304">
        <v>-11.3</v>
      </c>
      <c r="AZ304">
        <v>50</v>
      </c>
      <c r="BA304">
        <v>30</v>
      </c>
      <c r="BB304">
        <v>20</v>
      </c>
      <c r="BC304">
        <v>0</v>
      </c>
      <c r="BD304">
        <v>0</v>
      </c>
      <c r="BE304">
        <v>1</v>
      </c>
      <c r="BF304">
        <v>0</v>
      </c>
      <c r="BG304">
        <v>0</v>
      </c>
      <c r="BI304">
        <v>13.3</v>
      </c>
      <c r="BJ304">
        <v>46.45</v>
      </c>
      <c r="BK304">
        <v>0</v>
      </c>
      <c r="BL304">
        <v>2</v>
      </c>
      <c r="BM304">
        <v>2</v>
      </c>
      <c r="BN304">
        <v>88</v>
      </c>
      <c r="BO304">
        <v>97.333332999999996</v>
      </c>
      <c r="BP304">
        <f t="shared" si="40"/>
        <v>-9.3333329999999961</v>
      </c>
      <c r="BQ304" t="s">
        <v>114</v>
      </c>
      <c r="BR304" t="s">
        <v>114</v>
      </c>
      <c r="BS304" t="s">
        <v>114</v>
      </c>
      <c r="BT304" t="s">
        <v>114</v>
      </c>
      <c r="BU304" t="s">
        <v>114</v>
      </c>
      <c r="BV304" t="s">
        <v>114</v>
      </c>
      <c r="BW304" t="s">
        <v>114</v>
      </c>
      <c r="BX304" t="s">
        <v>114</v>
      </c>
      <c r="BY304" t="s">
        <v>114</v>
      </c>
      <c r="BZ304" t="s">
        <v>114</v>
      </c>
      <c r="CA304" t="s">
        <v>114</v>
      </c>
      <c r="CB304" t="s">
        <v>114</v>
      </c>
      <c r="CC304" t="s">
        <v>114</v>
      </c>
      <c r="CD304" t="s">
        <v>114</v>
      </c>
      <c r="CE304" t="s">
        <v>114</v>
      </c>
      <c r="CF304" t="s">
        <v>114</v>
      </c>
      <c r="CG304" t="s">
        <v>114</v>
      </c>
      <c r="CH304" t="s">
        <v>114</v>
      </c>
      <c r="CI304" t="s">
        <v>114</v>
      </c>
      <c r="CJ304" t="s">
        <v>114</v>
      </c>
      <c r="CK304" t="s">
        <v>114</v>
      </c>
      <c r="CL304" t="s">
        <v>114</v>
      </c>
      <c r="CM304" t="s">
        <v>114</v>
      </c>
      <c r="CN304" t="s">
        <v>114</v>
      </c>
      <c r="CO304" t="s">
        <v>114</v>
      </c>
      <c r="CP304" t="s">
        <v>114</v>
      </c>
      <c r="CQ304" t="s">
        <v>114</v>
      </c>
      <c r="CR304" t="s">
        <v>114</v>
      </c>
      <c r="CS304" t="s">
        <v>114</v>
      </c>
      <c r="CT304" t="s">
        <v>114</v>
      </c>
      <c r="CU304" t="s">
        <v>114</v>
      </c>
      <c r="CV304" t="s">
        <v>114</v>
      </c>
      <c r="CW304" t="s">
        <v>114</v>
      </c>
    </row>
    <row r="305" spans="1:101" x14ac:dyDescent="0.25">
      <c r="A305" t="s">
        <v>26</v>
      </c>
      <c r="B305">
        <v>15</v>
      </c>
      <c r="C305" t="s">
        <v>27</v>
      </c>
      <c r="D305" t="s">
        <v>95</v>
      </c>
      <c r="E305" t="s">
        <v>110</v>
      </c>
      <c r="F305" t="s">
        <v>120</v>
      </c>
      <c r="G305" t="s">
        <v>270</v>
      </c>
      <c r="H305" t="str">
        <f t="shared" si="36"/>
        <v>M.minima.Solo.Shade</v>
      </c>
      <c r="I305" t="s">
        <v>705</v>
      </c>
      <c r="J305" t="s">
        <v>579</v>
      </c>
      <c r="K305">
        <v>0</v>
      </c>
      <c r="L305">
        <v>100</v>
      </c>
      <c r="M305">
        <v>60</v>
      </c>
      <c r="N305">
        <v>60</v>
      </c>
      <c r="O305" t="s">
        <v>114</v>
      </c>
      <c r="P305">
        <v>10</v>
      </c>
      <c r="Q305">
        <v>15</v>
      </c>
      <c r="R305">
        <v>3</v>
      </c>
      <c r="S305">
        <f t="shared" si="37"/>
        <v>9</v>
      </c>
      <c r="T305">
        <f t="shared" si="38"/>
        <v>0.15</v>
      </c>
      <c r="U305" t="s">
        <v>792</v>
      </c>
      <c r="V305" t="s">
        <v>114</v>
      </c>
      <c r="W305" t="s">
        <v>114</v>
      </c>
      <c r="X305">
        <v>21.8</v>
      </c>
      <c r="Y305">
        <v>19.8</v>
      </c>
      <c r="Z305">
        <v>21.3</v>
      </c>
      <c r="AA305">
        <v>20.966666669999999</v>
      </c>
      <c r="AB305">
        <v>27.766666669999999</v>
      </c>
      <c r="AC305">
        <v>25.2</v>
      </c>
      <c r="AD305">
        <v>29.2</v>
      </c>
      <c r="AE305">
        <v>28.9</v>
      </c>
      <c r="AF305">
        <v>27.766666669999999</v>
      </c>
      <c r="AG305">
        <v>26.2</v>
      </c>
      <c r="AH305">
        <v>28.2</v>
      </c>
      <c r="AI305">
        <v>28.2</v>
      </c>
      <c r="AJ305">
        <v>27.533333330000001</v>
      </c>
      <c r="AK305">
        <v>30.6</v>
      </c>
      <c r="AL305">
        <v>28.2</v>
      </c>
      <c r="AM305">
        <v>30.6</v>
      </c>
      <c r="AN305">
        <v>29.8</v>
      </c>
      <c r="AO305">
        <v>29.8</v>
      </c>
      <c r="AP305">
        <v>18.399999999999999</v>
      </c>
      <c r="AQ305">
        <v>10</v>
      </c>
      <c r="AR305">
        <v>11.5</v>
      </c>
      <c r="AS305">
        <v>13.3</v>
      </c>
      <c r="AT305">
        <v>13</v>
      </c>
      <c r="AU305">
        <v>14.9</v>
      </c>
      <c r="AV305">
        <v>13.9</v>
      </c>
      <c r="AW305">
        <v>13.93333333</v>
      </c>
      <c r="AX305">
        <v>13.93333333</v>
      </c>
      <c r="AY305">
        <v>-13.83333333</v>
      </c>
      <c r="AZ305">
        <v>60</v>
      </c>
      <c r="BA305">
        <v>0</v>
      </c>
      <c r="BB305">
        <v>20</v>
      </c>
      <c r="BC305">
        <v>20</v>
      </c>
      <c r="BD305">
        <v>0</v>
      </c>
      <c r="BE305">
        <v>1</v>
      </c>
      <c r="BF305">
        <v>0</v>
      </c>
      <c r="BG305">
        <v>0</v>
      </c>
      <c r="BI305">
        <v>13.3</v>
      </c>
      <c r="BJ305">
        <v>46.45</v>
      </c>
      <c r="BK305">
        <v>0</v>
      </c>
      <c r="BL305">
        <v>1</v>
      </c>
      <c r="BM305">
        <v>1</v>
      </c>
      <c r="BN305">
        <v>1</v>
      </c>
      <c r="BO305">
        <v>4.6666670000000003</v>
      </c>
      <c r="BP305">
        <f t="shared" si="40"/>
        <v>-3.6666670000000003</v>
      </c>
      <c r="BQ305" t="s">
        <v>114</v>
      </c>
      <c r="BR305" t="s">
        <v>114</v>
      </c>
      <c r="BS305" t="s">
        <v>114</v>
      </c>
      <c r="BT305" t="s">
        <v>114</v>
      </c>
      <c r="BU305" t="s">
        <v>114</v>
      </c>
      <c r="BV305" t="s">
        <v>114</v>
      </c>
      <c r="BW305" t="s">
        <v>114</v>
      </c>
      <c r="BX305" t="s">
        <v>114</v>
      </c>
      <c r="BY305" t="s">
        <v>114</v>
      </c>
      <c r="BZ305" t="s">
        <v>114</v>
      </c>
      <c r="CA305" t="s">
        <v>114</v>
      </c>
      <c r="CB305" t="s">
        <v>114</v>
      </c>
      <c r="CC305" t="s">
        <v>114</v>
      </c>
      <c r="CD305" t="s">
        <v>114</v>
      </c>
      <c r="CE305" t="s">
        <v>114</v>
      </c>
      <c r="CF305" t="s">
        <v>114</v>
      </c>
      <c r="CG305" t="s">
        <v>114</v>
      </c>
      <c r="CH305" t="s">
        <v>114</v>
      </c>
      <c r="CI305" t="s">
        <v>114</v>
      </c>
      <c r="CJ305" t="s">
        <v>114</v>
      </c>
      <c r="CK305" t="s">
        <v>114</v>
      </c>
      <c r="CL305" t="s">
        <v>114</v>
      </c>
      <c r="CM305" t="s">
        <v>114</v>
      </c>
      <c r="CN305" t="s">
        <v>114</v>
      </c>
      <c r="CO305" t="s">
        <v>114</v>
      </c>
      <c r="CP305" t="s">
        <v>114</v>
      </c>
      <c r="CQ305" t="s">
        <v>114</v>
      </c>
      <c r="CR305" t="s">
        <v>114</v>
      </c>
      <c r="CS305" t="s">
        <v>114</v>
      </c>
      <c r="CT305" t="s">
        <v>114</v>
      </c>
      <c r="CU305" t="s">
        <v>114</v>
      </c>
      <c r="CV305" t="s">
        <v>114</v>
      </c>
      <c r="CW305" t="s">
        <v>114</v>
      </c>
    </row>
    <row r="306" spans="1:101" x14ac:dyDescent="0.25">
      <c r="A306" t="s">
        <v>26</v>
      </c>
      <c r="B306">
        <v>15</v>
      </c>
      <c r="C306" t="s">
        <v>27</v>
      </c>
      <c r="D306" t="s">
        <v>95</v>
      </c>
      <c r="E306" t="s">
        <v>111</v>
      </c>
      <c r="F306" t="s">
        <v>120</v>
      </c>
      <c r="G306" t="s">
        <v>271</v>
      </c>
      <c r="H306" t="str">
        <f t="shared" si="36"/>
        <v>P.canescens.Solo.Shade</v>
      </c>
      <c r="I306" t="s">
        <v>706</v>
      </c>
      <c r="J306" t="s">
        <v>580</v>
      </c>
      <c r="K306">
        <v>0</v>
      </c>
      <c r="L306">
        <v>190</v>
      </c>
      <c r="M306">
        <v>180</v>
      </c>
      <c r="N306">
        <v>180</v>
      </c>
      <c r="O306" t="s">
        <v>114</v>
      </c>
      <c r="P306">
        <v>70</v>
      </c>
      <c r="Q306">
        <v>70</v>
      </c>
      <c r="R306">
        <v>50</v>
      </c>
      <c r="S306">
        <f t="shared" si="37"/>
        <v>60</v>
      </c>
      <c r="T306">
        <f t="shared" si="38"/>
        <v>0.33333333333333331</v>
      </c>
      <c r="U306" t="s">
        <v>15</v>
      </c>
      <c r="V306" t="s">
        <v>114</v>
      </c>
      <c r="W306" t="s">
        <v>114</v>
      </c>
      <c r="X306">
        <v>21.8</v>
      </c>
      <c r="Y306">
        <v>19.8</v>
      </c>
      <c r="Z306">
        <v>21.3</v>
      </c>
      <c r="AA306">
        <v>20.966666669999999</v>
      </c>
      <c r="AB306">
        <v>15.233333330000001</v>
      </c>
      <c r="AC306">
        <v>15.4</v>
      </c>
      <c r="AD306">
        <v>14.4</v>
      </c>
      <c r="AE306">
        <v>15.9</v>
      </c>
      <c r="AF306">
        <v>15.233333330000001</v>
      </c>
      <c r="AG306">
        <v>26.2</v>
      </c>
      <c r="AH306">
        <v>28.2</v>
      </c>
      <c r="AI306">
        <v>28.2</v>
      </c>
      <c r="AJ306">
        <v>27.533333330000001</v>
      </c>
      <c r="AK306">
        <v>18.399999999999999</v>
      </c>
      <c r="AL306">
        <v>19.8</v>
      </c>
      <c r="AM306">
        <v>20.8</v>
      </c>
      <c r="AN306">
        <v>19.666666670000001</v>
      </c>
      <c r="AO306">
        <v>19.666666670000001</v>
      </c>
      <c r="AP306">
        <v>18.399999999999999</v>
      </c>
      <c r="AQ306">
        <v>10</v>
      </c>
      <c r="AR306">
        <v>11.5</v>
      </c>
      <c r="AS306">
        <v>13.3</v>
      </c>
      <c r="AT306">
        <v>7.1</v>
      </c>
      <c r="AU306">
        <v>7.1</v>
      </c>
      <c r="AV306">
        <v>6.6</v>
      </c>
      <c r="AW306">
        <v>6.9333333330000002</v>
      </c>
      <c r="AX306">
        <v>6.9333333330000002</v>
      </c>
      <c r="AY306">
        <v>-8.3000000000000007</v>
      </c>
      <c r="AZ306">
        <v>30</v>
      </c>
      <c r="BA306">
        <v>20</v>
      </c>
      <c r="BB306">
        <v>40</v>
      </c>
      <c r="BC306">
        <v>10</v>
      </c>
      <c r="BD306">
        <v>0</v>
      </c>
      <c r="BE306">
        <v>1</v>
      </c>
      <c r="BF306">
        <v>0</v>
      </c>
      <c r="BG306">
        <v>0</v>
      </c>
      <c r="BI306">
        <v>13.3</v>
      </c>
      <c r="BJ306">
        <v>46.45</v>
      </c>
      <c r="BK306">
        <v>0</v>
      </c>
      <c r="BL306">
        <v>10</v>
      </c>
      <c r="BM306">
        <v>8</v>
      </c>
      <c r="BN306">
        <v>608</v>
      </c>
      <c r="BO306">
        <v>731.75</v>
      </c>
      <c r="BP306">
        <f t="shared" si="40"/>
        <v>-123.75</v>
      </c>
      <c r="BQ306" t="s">
        <v>114</v>
      </c>
      <c r="BR306" t="s">
        <v>114</v>
      </c>
      <c r="BS306" t="s">
        <v>114</v>
      </c>
      <c r="BT306" t="s">
        <v>114</v>
      </c>
      <c r="BU306" t="s">
        <v>114</v>
      </c>
      <c r="BV306" t="s">
        <v>114</v>
      </c>
      <c r="BW306" t="s">
        <v>114</v>
      </c>
      <c r="BX306" t="s">
        <v>114</v>
      </c>
      <c r="BY306" t="s">
        <v>114</v>
      </c>
      <c r="BZ306" t="s">
        <v>114</v>
      </c>
      <c r="CA306" t="s">
        <v>114</v>
      </c>
      <c r="CB306" t="s">
        <v>114</v>
      </c>
      <c r="CC306" t="s">
        <v>114</v>
      </c>
      <c r="CD306" t="s">
        <v>114</v>
      </c>
      <c r="CE306" t="s">
        <v>114</v>
      </c>
      <c r="CF306" t="s">
        <v>114</v>
      </c>
      <c r="CG306" t="s">
        <v>114</v>
      </c>
      <c r="CH306" t="s">
        <v>114</v>
      </c>
      <c r="CI306" t="s">
        <v>114</v>
      </c>
      <c r="CJ306" t="s">
        <v>114</v>
      </c>
      <c r="CK306" t="s">
        <v>114</v>
      </c>
      <c r="CL306" t="s">
        <v>114</v>
      </c>
      <c r="CM306" t="s">
        <v>114</v>
      </c>
      <c r="CN306" t="s">
        <v>114</v>
      </c>
      <c r="CO306" t="s">
        <v>114</v>
      </c>
      <c r="CP306" t="s">
        <v>114</v>
      </c>
      <c r="CQ306" t="s">
        <v>114</v>
      </c>
      <c r="CR306" t="s">
        <v>114</v>
      </c>
      <c r="CS306" t="s">
        <v>114</v>
      </c>
      <c r="CT306" t="s">
        <v>114</v>
      </c>
      <c r="CU306" t="s">
        <v>114</v>
      </c>
      <c r="CV306" t="s">
        <v>114</v>
      </c>
      <c r="CW306" t="s">
        <v>114</v>
      </c>
    </row>
    <row r="307" spans="1:101" x14ac:dyDescent="0.25">
      <c r="A307" t="s">
        <v>28</v>
      </c>
      <c r="B307">
        <v>15</v>
      </c>
      <c r="C307" t="s">
        <v>29</v>
      </c>
      <c r="D307" t="s">
        <v>94</v>
      </c>
      <c r="E307" t="s">
        <v>113</v>
      </c>
      <c r="F307" t="s">
        <v>120</v>
      </c>
      <c r="G307" t="s">
        <v>267</v>
      </c>
      <c r="H307" t="str">
        <f t="shared" si="36"/>
        <v>H.glutinosum.Solo.Open</v>
      </c>
      <c r="I307" t="s">
        <v>709</v>
      </c>
      <c r="J307" t="s">
        <v>581</v>
      </c>
      <c r="K307">
        <v>0</v>
      </c>
      <c r="L307">
        <v>60</v>
      </c>
      <c r="M307">
        <v>60</v>
      </c>
      <c r="N307">
        <v>60</v>
      </c>
      <c r="O307" t="s">
        <v>114</v>
      </c>
      <c r="P307">
        <v>10</v>
      </c>
      <c r="Q307">
        <v>10</v>
      </c>
      <c r="R307">
        <v>5</v>
      </c>
      <c r="S307">
        <f t="shared" si="37"/>
        <v>7.5</v>
      </c>
      <c r="T307">
        <f t="shared" si="38"/>
        <v>0.125</v>
      </c>
      <c r="U307" t="s">
        <v>15</v>
      </c>
      <c r="V307" t="s">
        <v>114</v>
      </c>
      <c r="W307" t="s">
        <v>114</v>
      </c>
      <c r="X307">
        <v>12.5</v>
      </c>
      <c r="Y307">
        <v>13</v>
      </c>
      <c r="Z307">
        <v>11.5</v>
      </c>
      <c r="AA307">
        <v>12.33333333</v>
      </c>
      <c r="AB307">
        <v>11.83333333</v>
      </c>
      <c r="AC307">
        <v>11.5</v>
      </c>
      <c r="AD307">
        <v>12</v>
      </c>
      <c r="AE307">
        <v>12</v>
      </c>
      <c r="AF307">
        <v>11.83333333</v>
      </c>
      <c r="AG307">
        <v>15.4</v>
      </c>
      <c r="AH307">
        <v>16.399999999999999</v>
      </c>
      <c r="AI307">
        <v>16.899999999999999</v>
      </c>
      <c r="AJ307">
        <v>16.233333330000001</v>
      </c>
      <c r="AK307">
        <v>13.9</v>
      </c>
      <c r="AL307">
        <v>14.4</v>
      </c>
      <c r="AM307">
        <v>15.9</v>
      </c>
      <c r="AN307">
        <v>14.733333330000001</v>
      </c>
      <c r="AO307">
        <v>14.733333330000001</v>
      </c>
      <c r="AP307">
        <v>4.0999999999999996</v>
      </c>
      <c r="AQ307">
        <v>4.5999999999999996</v>
      </c>
      <c r="AR307">
        <v>4.5999999999999996</v>
      </c>
      <c r="AS307">
        <v>4.4333333330000002</v>
      </c>
      <c r="AT307">
        <v>3.1</v>
      </c>
      <c r="AU307">
        <v>4.5999999999999996</v>
      </c>
      <c r="AV307">
        <v>4.0999999999999996</v>
      </c>
      <c r="AW307">
        <v>3.9333333330000002</v>
      </c>
      <c r="AX307">
        <v>3.9333333330000002</v>
      </c>
      <c r="AY307">
        <v>-7.9</v>
      </c>
      <c r="AZ307">
        <v>40</v>
      </c>
      <c r="BA307">
        <v>0</v>
      </c>
      <c r="BB307">
        <v>60</v>
      </c>
      <c r="BC307">
        <v>0</v>
      </c>
      <c r="BD307">
        <v>0</v>
      </c>
      <c r="BE307">
        <v>0</v>
      </c>
      <c r="BF307">
        <v>0</v>
      </c>
      <c r="BG307">
        <v>0</v>
      </c>
      <c r="BI307">
        <v>11.1</v>
      </c>
      <c r="BJ307">
        <v>7.282</v>
      </c>
      <c r="BK307">
        <v>0</v>
      </c>
      <c r="BL307">
        <v>3</v>
      </c>
      <c r="BM307">
        <v>3</v>
      </c>
      <c r="BN307">
        <v>17</v>
      </c>
      <c r="BO307">
        <v>8.5</v>
      </c>
      <c r="BP307">
        <f t="shared" si="40"/>
        <v>8.5</v>
      </c>
      <c r="BQ307" t="s">
        <v>114</v>
      </c>
      <c r="BR307" t="s">
        <v>114</v>
      </c>
      <c r="BS307" t="s">
        <v>114</v>
      </c>
      <c r="BT307" t="s">
        <v>114</v>
      </c>
      <c r="BU307" t="s">
        <v>114</v>
      </c>
      <c r="BV307" t="s">
        <v>114</v>
      </c>
      <c r="BW307" t="s">
        <v>114</v>
      </c>
      <c r="BX307" t="s">
        <v>114</v>
      </c>
      <c r="BY307" t="s">
        <v>114</v>
      </c>
      <c r="BZ307" t="s">
        <v>114</v>
      </c>
      <c r="CA307" t="s">
        <v>114</v>
      </c>
      <c r="CB307" t="s">
        <v>114</v>
      </c>
      <c r="CC307" t="s">
        <v>114</v>
      </c>
      <c r="CD307" t="s">
        <v>114</v>
      </c>
      <c r="CE307" t="s">
        <v>114</v>
      </c>
      <c r="CF307" t="s">
        <v>114</v>
      </c>
      <c r="CG307" t="s">
        <v>114</v>
      </c>
      <c r="CH307" t="s">
        <v>114</v>
      </c>
      <c r="CI307" t="s">
        <v>114</v>
      </c>
      <c r="CJ307" t="s">
        <v>114</v>
      </c>
      <c r="CK307" t="s">
        <v>114</v>
      </c>
      <c r="CL307" t="s">
        <v>114</v>
      </c>
      <c r="CM307" t="s">
        <v>114</v>
      </c>
      <c r="CN307" t="s">
        <v>114</v>
      </c>
      <c r="CO307" t="s">
        <v>114</v>
      </c>
      <c r="CP307" t="s">
        <v>114</v>
      </c>
      <c r="CQ307" t="s">
        <v>114</v>
      </c>
      <c r="CR307" t="s">
        <v>114</v>
      </c>
      <c r="CS307" t="s">
        <v>114</v>
      </c>
      <c r="CT307" t="s">
        <v>114</v>
      </c>
      <c r="CU307" t="s">
        <v>114</v>
      </c>
      <c r="CV307" t="s">
        <v>114</v>
      </c>
      <c r="CW307" t="s">
        <v>114</v>
      </c>
    </row>
    <row r="308" spans="1:101" x14ac:dyDescent="0.25">
      <c r="A308" t="s">
        <v>28</v>
      </c>
      <c r="B308">
        <v>15</v>
      </c>
      <c r="C308" t="s">
        <v>29</v>
      </c>
      <c r="D308" t="s">
        <v>94</v>
      </c>
      <c r="E308" t="s">
        <v>103</v>
      </c>
      <c r="F308" t="s">
        <v>120</v>
      </c>
      <c r="G308" t="s">
        <v>268</v>
      </c>
      <c r="H308" t="str">
        <f t="shared" si="36"/>
        <v>P.airoides.Solo.Open</v>
      </c>
      <c r="I308" t="s">
        <v>700</v>
      </c>
      <c r="J308" t="s">
        <v>582</v>
      </c>
      <c r="K308">
        <v>0</v>
      </c>
      <c r="L308">
        <v>75</v>
      </c>
      <c r="M308">
        <v>25</v>
      </c>
      <c r="N308">
        <v>25</v>
      </c>
      <c r="O308" t="s">
        <v>114</v>
      </c>
      <c r="P308">
        <v>18</v>
      </c>
      <c r="Q308">
        <v>18</v>
      </c>
      <c r="R308">
        <v>10</v>
      </c>
      <c r="S308">
        <f t="shared" si="37"/>
        <v>14</v>
      </c>
      <c r="T308">
        <f t="shared" si="38"/>
        <v>0.56000000000000005</v>
      </c>
      <c r="U308" t="s">
        <v>29</v>
      </c>
      <c r="V308" t="s">
        <v>114</v>
      </c>
      <c r="W308" t="s">
        <v>114</v>
      </c>
      <c r="X308">
        <v>12.5</v>
      </c>
      <c r="Y308">
        <v>13</v>
      </c>
      <c r="Z308">
        <v>11.5</v>
      </c>
      <c r="AA308">
        <v>12.33333333</v>
      </c>
      <c r="AB308">
        <v>11.33333333</v>
      </c>
      <c r="AC308">
        <v>12.5</v>
      </c>
      <c r="AD308">
        <v>12</v>
      </c>
      <c r="AE308">
        <v>9.5</v>
      </c>
      <c r="AF308">
        <v>11.33333333</v>
      </c>
      <c r="AG308">
        <v>15.4</v>
      </c>
      <c r="AH308">
        <v>16.399999999999999</v>
      </c>
      <c r="AI308">
        <v>16.899999999999999</v>
      </c>
      <c r="AJ308">
        <v>16.233333330000001</v>
      </c>
      <c r="AK308">
        <v>15.4</v>
      </c>
      <c r="AL308">
        <v>13</v>
      </c>
      <c r="AM308">
        <v>14.4</v>
      </c>
      <c r="AN308">
        <v>14.266666669999999</v>
      </c>
      <c r="AO308">
        <v>14.266666669999999</v>
      </c>
      <c r="AP308">
        <v>4.0999999999999996</v>
      </c>
      <c r="AQ308">
        <v>4.5999999999999996</v>
      </c>
      <c r="AR308">
        <v>4.5999999999999996</v>
      </c>
      <c r="AS308">
        <v>4.4333333330000002</v>
      </c>
      <c r="AT308">
        <v>4.5999999999999996</v>
      </c>
      <c r="AU308">
        <v>3.1</v>
      </c>
      <c r="AV308">
        <v>4.0999999999999996</v>
      </c>
      <c r="AW308">
        <v>3.9333333330000002</v>
      </c>
      <c r="AX308">
        <v>3.9333333330000002</v>
      </c>
      <c r="AY308">
        <v>-7.4</v>
      </c>
      <c r="AZ308">
        <v>90</v>
      </c>
      <c r="BA308">
        <v>0</v>
      </c>
      <c r="BB308">
        <v>10</v>
      </c>
      <c r="BC308">
        <v>0</v>
      </c>
      <c r="BD308">
        <v>0</v>
      </c>
      <c r="BE308">
        <v>0</v>
      </c>
      <c r="BF308">
        <v>0</v>
      </c>
      <c r="BG308">
        <v>0</v>
      </c>
      <c r="BI308">
        <v>11.1</v>
      </c>
      <c r="BJ308">
        <v>7.282</v>
      </c>
      <c r="BK308">
        <v>0</v>
      </c>
      <c r="BL308">
        <v>3</v>
      </c>
      <c r="BM308">
        <v>3</v>
      </c>
      <c r="BN308">
        <v>146</v>
      </c>
      <c r="BO308">
        <v>274</v>
      </c>
      <c r="BP308">
        <f t="shared" si="40"/>
        <v>-128</v>
      </c>
      <c r="BQ308" t="s">
        <v>114</v>
      </c>
      <c r="BR308" t="s">
        <v>114</v>
      </c>
      <c r="BS308" t="s">
        <v>114</v>
      </c>
      <c r="BT308" t="s">
        <v>114</v>
      </c>
      <c r="BU308" t="s">
        <v>114</v>
      </c>
      <c r="BV308" t="s">
        <v>114</v>
      </c>
      <c r="BW308" t="s">
        <v>114</v>
      </c>
      <c r="BX308" t="s">
        <v>114</v>
      </c>
      <c r="BY308" t="s">
        <v>114</v>
      </c>
      <c r="BZ308" t="s">
        <v>114</v>
      </c>
      <c r="CA308" t="s">
        <v>114</v>
      </c>
      <c r="CB308" t="s">
        <v>114</v>
      </c>
      <c r="CC308" t="s">
        <v>114</v>
      </c>
      <c r="CD308" t="s">
        <v>114</v>
      </c>
      <c r="CE308" t="s">
        <v>114</v>
      </c>
      <c r="CF308" t="s">
        <v>114</v>
      </c>
      <c r="CG308" t="s">
        <v>114</v>
      </c>
      <c r="CH308" t="s">
        <v>114</v>
      </c>
      <c r="CI308" t="s">
        <v>114</v>
      </c>
      <c r="CJ308" t="s">
        <v>114</v>
      </c>
      <c r="CK308" t="s">
        <v>114</v>
      </c>
      <c r="CL308" t="s">
        <v>114</v>
      </c>
      <c r="CM308" t="s">
        <v>114</v>
      </c>
      <c r="CN308" t="s">
        <v>114</v>
      </c>
      <c r="CO308" t="s">
        <v>114</v>
      </c>
      <c r="CP308" t="s">
        <v>114</v>
      </c>
      <c r="CQ308" t="s">
        <v>114</v>
      </c>
      <c r="CR308" t="s">
        <v>114</v>
      </c>
      <c r="CS308" t="s">
        <v>114</v>
      </c>
      <c r="CT308" t="s">
        <v>114</v>
      </c>
      <c r="CU308" t="s">
        <v>114</v>
      </c>
      <c r="CV308" t="s">
        <v>114</v>
      </c>
      <c r="CW308" t="s">
        <v>114</v>
      </c>
    </row>
    <row r="309" spans="1:101" x14ac:dyDescent="0.25">
      <c r="A309" t="s">
        <v>28</v>
      </c>
      <c r="B309">
        <v>15</v>
      </c>
      <c r="C309" t="s">
        <v>29</v>
      </c>
      <c r="D309" t="s">
        <v>94</v>
      </c>
      <c r="E309" t="s">
        <v>111</v>
      </c>
      <c r="F309" t="s">
        <v>120</v>
      </c>
      <c r="G309" t="s">
        <v>271</v>
      </c>
      <c r="H309" t="str">
        <f t="shared" si="36"/>
        <v>P.canescens.Solo.Open</v>
      </c>
      <c r="I309" t="s">
        <v>703</v>
      </c>
      <c r="J309" t="s">
        <v>583</v>
      </c>
      <c r="K309">
        <v>0</v>
      </c>
      <c r="L309">
        <v>320</v>
      </c>
      <c r="M309">
        <v>200</v>
      </c>
      <c r="N309">
        <v>200</v>
      </c>
      <c r="O309" t="s">
        <v>114</v>
      </c>
      <c r="P309">
        <v>90</v>
      </c>
      <c r="Q309">
        <v>200</v>
      </c>
      <c r="R309">
        <v>110</v>
      </c>
      <c r="S309">
        <f t="shared" si="37"/>
        <v>155</v>
      </c>
      <c r="T309">
        <f t="shared" si="38"/>
        <v>0.77500000000000002</v>
      </c>
      <c r="U309" t="s">
        <v>15</v>
      </c>
      <c r="V309" t="s">
        <v>114</v>
      </c>
      <c r="W309" t="s">
        <v>114</v>
      </c>
      <c r="X309">
        <v>12.5</v>
      </c>
      <c r="Y309">
        <v>13</v>
      </c>
      <c r="Z309">
        <v>11.5</v>
      </c>
      <c r="AA309">
        <v>12.33333333</v>
      </c>
      <c r="AB309">
        <v>11.83333333</v>
      </c>
      <c r="AC309">
        <v>11.5</v>
      </c>
      <c r="AD309">
        <v>11.5</v>
      </c>
      <c r="AE309">
        <v>12.5</v>
      </c>
      <c r="AF309">
        <v>11.83333333</v>
      </c>
      <c r="AG309">
        <v>15.4</v>
      </c>
      <c r="AH309">
        <v>16.399999999999999</v>
      </c>
      <c r="AI309">
        <v>16.899999999999999</v>
      </c>
      <c r="AJ309">
        <v>16.233333330000001</v>
      </c>
      <c r="AK309">
        <v>15.9</v>
      </c>
      <c r="AL309">
        <v>14.4</v>
      </c>
      <c r="AM309">
        <v>16.399999999999999</v>
      </c>
      <c r="AN309">
        <v>15.56666667</v>
      </c>
      <c r="AO309">
        <v>15.56666667</v>
      </c>
      <c r="AP309">
        <v>4.0999999999999996</v>
      </c>
      <c r="AQ309">
        <v>4.5999999999999996</v>
      </c>
      <c r="AR309">
        <v>4.5999999999999996</v>
      </c>
      <c r="AS309">
        <v>4.4333333330000002</v>
      </c>
      <c r="AT309">
        <v>3.6</v>
      </c>
      <c r="AU309">
        <v>4.5999999999999996</v>
      </c>
      <c r="AV309">
        <v>4.0999999999999996</v>
      </c>
      <c r="AW309">
        <v>4.0999999999999996</v>
      </c>
      <c r="AX309">
        <v>4.0999999999999996</v>
      </c>
      <c r="AY309">
        <v>-7.733333333</v>
      </c>
      <c r="AZ309">
        <v>100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I309">
        <v>11.1</v>
      </c>
      <c r="BJ309">
        <v>7.282</v>
      </c>
      <c r="BK309">
        <v>0</v>
      </c>
      <c r="BL309">
        <v>22</v>
      </c>
      <c r="BM309">
        <v>16</v>
      </c>
      <c r="BN309">
        <v>1382</v>
      </c>
      <c r="BO309">
        <v>2240.3332999999998</v>
      </c>
      <c r="BP309">
        <f t="shared" si="40"/>
        <v>-858.33329999999978</v>
      </c>
      <c r="BQ309" t="s">
        <v>114</v>
      </c>
      <c r="BR309" t="s">
        <v>114</v>
      </c>
      <c r="BS309" t="s">
        <v>114</v>
      </c>
      <c r="BT309" t="s">
        <v>114</v>
      </c>
      <c r="BU309" t="s">
        <v>114</v>
      </c>
      <c r="BV309" t="s">
        <v>114</v>
      </c>
      <c r="BW309" t="s">
        <v>114</v>
      </c>
      <c r="BX309" t="s">
        <v>114</v>
      </c>
      <c r="BY309" t="s">
        <v>114</v>
      </c>
      <c r="BZ309" t="s">
        <v>114</v>
      </c>
      <c r="CA309" t="s">
        <v>114</v>
      </c>
      <c r="CB309" t="s">
        <v>114</v>
      </c>
      <c r="CC309" t="s">
        <v>114</v>
      </c>
      <c r="CD309" t="s">
        <v>114</v>
      </c>
      <c r="CE309" t="s">
        <v>114</v>
      </c>
      <c r="CF309" t="s">
        <v>114</v>
      </c>
      <c r="CG309" t="s">
        <v>114</v>
      </c>
      <c r="CH309" t="s">
        <v>114</v>
      </c>
      <c r="CI309" t="s">
        <v>114</v>
      </c>
      <c r="CJ309" t="s">
        <v>114</v>
      </c>
      <c r="CK309" t="s">
        <v>114</v>
      </c>
      <c r="CL309" t="s">
        <v>114</v>
      </c>
      <c r="CM309" t="s">
        <v>114</v>
      </c>
      <c r="CN309" t="s">
        <v>114</v>
      </c>
      <c r="CO309" t="s">
        <v>114</v>
      </c>
      <c r="CP309" t="s">
        <v>114</v>
      </c>
      <c r="CQ309" t="s">
        <v>114</v>
      </c>
      <c r="CR309" t="s">
        <v>114</v>
      </c>
      <c r="CS309" t="s">
        <v>114</v>
      </c>
      <c r="CT309" t="s">
        <v>114</v>
      </c>
      <c r="CU309" t="s">
        <v>114</v>
      </c>
      <c r="CV309" t="s">
        <v>114</v>
      </c>
      <c r="CW309" t="s">
        <v>114</v>
      </c>
    </row>
    <row r="310" spans="1:101" x14ac:dyDescent="0.25">
      <c r="A310" t="s">
        <v>28</v>
      </c>
      <c r="B310">
        <v>15</v>
      </c>
      <c r="C310" t="s">
        <v>29</v>
      </c>
      <c r="D310" t="s">
        <v>94</v>
      </c>
      <c r="E310" t="s">
        <v>112</v>
      </c>
      <c r="F310" t="s">
        <v>120</v>
      </c>
      <c r="G310" t="s">
        <v>269</v>
      </c>
      <c r="H310" t="str">
        <f t="shared" si="36"/>
        <v>V.rosea.Solo.Open</v>
      </c>
      <c r="I310" t="s">
        <v>713</v>
      </c>
      <c r="J310" t="s">
        <v>584</v>
      </c>
      <c r="K310">
        <v>0</v>
      </c>
      <c r="L310">
        <v>110</v>
      </c>
      <c r="M310">
        <v>40</v>
      </c>
      <c r="N310">
        <v>40</v>
      </c>
      <c r="O310" t="s">
        <v>114</v>
      </c>
      <c r="P310">
        <v>40</v>
      </c>
      <c r="Q310">
        <v>40</v>
      </c>
      <c r="R310">
        <v>40</v>
      </c>
      <c r="S310">
        <f t="shared" si="37"/>
        <v>40</v>
      </c>
      <c r="T310">
        <f t="shared" si="38"/>
        <v>1</v>
      </c>
      <c r="U310" t="s">
        <v>792</v>
      </c>
      <c r="V310" t="s">
        <v>114</v>
      </c>
      <c r="W310" t="s">
        <v>114</v>
      </c>
      <c r="X310">
        <v>12.5</v>
      </c>
      <c r="Y310">
        <v>13</v>
      </c>
      <c r="Z310">
        <v>11.5</v>
      </c>
      <c r="AA310">
        <v>12.33333333</v>
      </c>
      <c r="AB310">
        <v>12.33333333</v>
      </c>
      <c r="AC310">
        <v>11.5</v>
      </c>
      <c r="AD310">
        <v>12</v>
      </c>
      <c r="AE310">
        <v>13.5</v>
      </c>
      <c r="AF310">
        <v>12.33333333</v>
      </c>
      <c r="AG310">
        <v>15.4</v>
      </c>
      <c r="AH310">
        <v>16.399999999999999</v>
      </c>
      <c r="AI310">
        <v>16.899999999999999</v>
      </c>
      <c r="AJ310">
        <v>16.233333330000001</v>
      </c>
      <c r="AK310">
        <v>16.899999999999999</v>
      </c>
      <c r="AL310">
        <v>13.5</v>
      </c>
      <c r="AM310">
        <v>17.399999999999999</v>
      </c>
      <c r="AN310">
        <v>15.93333333</v>
      </c>
      <c r="AO310">
        <v>15.93333333</v>
      </c>
      <c r="AP310">
        <v>4.0999999999999996</v>
      </c>
      <c r="AQ310">
        <v>4.5999999999999996</v>
      </c>
      <c r="AR310">
        <v>4.5999999999999996</v>
      </c>
      <c r="AS310">
        <v>4.4333333330000002</v>
      </c>
      <c r="AT310">
        <v>4.5999999999999996</v>
      </c>
      <c r="AU310">
        <v>4.5999999999999996</v>
      </c>
      <c r="AV310">
        <v>5.0999999999999996</v>
      </c>
      <c r="AW310">
        <v>4.766666667</v>
      </c>
      <c r="AX310">
        <v>4.766666667</v>
      </c>
      <c r="AY310">
        <v>-7.5666666669999998</v>
      </c>
      <c r="AZ310">
        <v>40</v>
      </c>
      <c r="BA310">
        <v>0</v>
      </c>
      <c r="BB310">
        <v>60</v>
      </c>
      <c r="BC310">
        <v>0</v>
      </c>
      <c r="BD310">
        <v>0</v>
      </c>
      <c r="BE310">
        <v>0</v>
      </c>
      <c r="BF310">
        <v>0</v>
      </c>
      <c r="BG310">
        <v>0</v>
      </c>
      <c r="BI310">
        <v>11.1</v>
      </c>
      <c r="BJ310">
        <v>7.282</v>
      </c>
      <c r="BK310">
        <v>0</v>
      </c>
      <c r="BL310">
        <v>16</v>
      </c>
      <c r="BM310">
        <v>12</v>
      </c>
      <c r="BN310">
        <v>41</v>
      </c>
      <c r="BO310">
        <v>76</v>
      </c>
      <c r="BP310">
        <f t="shared" si="40"/>
        <v>-35</v>
      </c>
      <c r="BQ310" t="s">
        <v>114</v>
      </c>
      <c r="BR310" t="s">
        <v>114</v>
      </c>
      <c r="BS310" t="s">
        <v>114</v>
      </c>
      <c r="BT310" t="s">
        <v>114</v>
      </c>
      <c r="BU310" t="s">
        <v>114</v>
      </c>
      <c r="BV310" t="s">
        <v>114</v>
      </c>
      <c r="BW310" t="s">
        <v>114</v>
      </c>
      <c r="BX310" t="s">
        <v>114</v>
      </c>
      <c r="BY310" t="s">
        <v>114</v>
      </c>
      <c r="BZ310" t="s">
        <v>114</v>
      </c>
      <c r="CA310" t="s">
        <v>114</v>
      </c>
      <c r="CB310" t="s">
        <v>114</v>
      </c>
      <c r="CC310" t="s">
        <v>114</v>
      </c>
      <c r="CD310" t="s">
        <v>114</v>
      </c>
      <c r="CE310" t="s">
        <v>114</v>
      </c>
      <c r="CF310" t="s">
        <v>114</v>
      </c>
      <c r="CG310" t="s">
        <v>114</v>
      </c>
      <c r="CH310" t="s">
        <v>114</v>
      </c>
      <c r="CI310" t="s">
        <v>114</v>
      </c>
      <c r="CJ310" t="s">
        <v>114</v>
      </c>
      <c r="CK310" t="s">
        <v>114</v>
      </c>
      <c r="CL310" t="s">
        <v>114</v>
      </c>
      <c r="CM310" t="s">
        <v>114</v>
      </c>
      <c r="CN310" t="s">
        <v>114</v>
      </c>
      <c r="CO310" t="s">
        <v>114</v>
      </c>
      <c r="CP310" t="s">
        <v>114</v>
      </c>
      <c r="CQ310" t="s">
        <v>114</v>
      </c>
      <c r="CR310" t="s">
        <v>114</v>
      </c>
      <c r="CS310" t="s">
        <v>114</v>
      </c>
      <c r="CT310" t="s">
        <v>114</v>
      </c>
      <c r="CU310" t="s">
        <v>114</v>
      </c>
      <c r="CV310" t="s">
        <v>114</v>
      </c>
      <c r="CW310" t="s">
        <v>114</v>
      </c>
    </row>
    <row r="311" spans="1:101" x14ac:dyDescent="0.25">
      <c r="A311" t="s">
        <v>30</v>
      </c>
      <c r="B311">
        <v>15</v>
      </c>
      <c r="C311" t="s">
        <v>31</v>
      </c>
      <c r="D311" t="s">
        <v>95</v>
      </c>
      <c r="E311" t="s">
        <v>113</v>
      </c>
      <c r="F311" t="s">
        <v>120</v>
      </c>
      <c r="G311" t="s">
        <v>267</v>
      </c>
      <c r="H311" t="str">
        <f t="shared" si="36"/>
        <v>H.glutinosum.Solo.Shade</v>
      </c>
      <c r="I311" t="s">
        <v>704</v>
      </c>
      <c r="J311" t="s">
        <v>585</v>
      </c>
      <c r="K311">
        <v>0</v>
      </c>
      <c r="L311">
        <v>100</v>
      </c>
      <c r="M311">
        <v>70</v>
      </c>
      <c r="N311">
        <v>70</v>
      </c>
      <c r="O311" t="s">
        <v>114</v>
      </c>
      <c r="P311">
        <v>7</v>
      </c>
      <c r="Q311">
        <v>10</v>
      </c>
      <c r="R311">
        <v>7</v>
      </c>
      <c r="S311">
        <f t="shared" si="37"/>
        <v>8.5</v>
      </c>
      <c r="T311">
        <f t="shared" si="38"/>
        <v>0.12142857142857143</v>
      </c>
      <c r="V311" t="s">
        <v>114</v>
      </c>
      <c r="W311" t="s">
        <v>114</v>
      </c>
      <c r="X311">
        <v>15.4</v>
      </c>
      <c r="Y311">
        <v>14.9</v>
      </c>
      <c r="Z311">
        <v>12</v>
      </c>
      <c r="AA311">
        <v>14.1</v>
      </c>
      <c r="AB311">
        <v>13.46666667</v>
      </c>
      <c r="AC311">
        <v>13.9</v>
      </c>
      <c r="AD311">
        <v>13.5</v>
      </c>
      <c r="AE311">
        <v>13</v>
      </c>
      <c r="AF311">
        <v>13.46666667</v>
      </c>
      <c r="AG311">
        <v>16.899999999999999</v>
      </c>
      <c r="AH311">
        <v>18.399999999999999</v>
      </c>
      <c r="AI311">
        <v>18.399999999999999</v>
      </c>
      <c r="AJ311">
        <v>17.899999999999999</v>
      </c>
      <c r="AK311">
        <v>18.399999999999999</v>
      </c>
      <c r="AL311">
        <v>16.899999999999999</v>
      </c>
      <c r="AM311">
        <v>17.399999999999999</v>
      </c>
      <c r="AN311">
        <v>17.56666667</v>
      </c>
      <c r="AO311">
        <v>17.56666667</v>
      </c>
      <c r="AP311">
        <v>7.6</v>
      </c>
      <c r="AQ311">
        <v>8.1</v>
      </c>
      <c r="AR311">
        <v>8.5</v>
      </c>
      <c r="AS311">
        <v>8.0666666669999998</v>
      </c>
      <c r="AT311">
        <v>6.1</v>
      </c>
      <c r="AU311">
        <v>7.1</v>
      </c>
      <c r="AV311">
        <v>7.6</v>
      </c>
      <c r="AW311">
        <v>6.9333333330000002</v>
      </c>
      <c r="AX311">
        <v>6.9333333330000002</v>
      </c>
      <c r="AY311">
        <v>-6.5333333329999999</v>
      </c>
      <c r="AZ311">
        <v>60</v>
      </c>
      <c r="BA311">
        <v>20</v>
      </c>
      <c r="BB311">
        <v>20</v>
      </c>
      <c r="BC311">
        <v>0</v>
      </c>
      <c r="BD311">
        <v>0</v>
      </c>
      <c r="BE311">
        <v>1</v>
      </c>
      <c r="BF311">
        <v>0</v>
      </c>
      <c r="BG311">
        <v>0</v>
      </c>
      <c r="BI311">
        <v>2.7</v>
      </c>
      <c r="BJ311">
        <v>44.411999999999999</v>
      </c>
      <c r="BK311">
        <v>0</v>
      </c>
      <c r="BL311">
        <v>1</v>
      </c>
      <c r="BM311">
        <v>1</v>
      </c>
      <c r="BN311">
        <v>0</v>
      </c>
      <c r="BO311">
        <v>22</v>
      </c>
      <c r="BP311">
        <f t="shared" si="40"/>
        <v>-22</v>
      </c>
      <c r="BQ311" t="s">
        <v>114</v>
      </c>
      <c r="BR311" t="s">
        <v>114</v>
      </c>
      <c r="BS311" t="s">
        <v>114</v>
      </c>
      <c r="BT311" t="s">
        <v>114</v>
      </c>
      <c r="BU311" t="s">
        <v>114</v>
      </c>
      <c r="BV311" t="s">
        <v>114</v>
      </c>
      <c r="BW311" t="s">
        <v>114</v>
      </c>
      <c r="BX311" t="s">
        <v>114</v>
      </c>
      <c r="BY311" t="s">
        <v>114</v>
      </c>
      <c r="BZ311" t="s">
        <v>114</v>
      </c>
      <c r="CA311" t="s">
        <v>114</v>
      </c>
      <c r="CB311" t="s">
        <v>114</v>
      </c>
      <c r="CC311" t="s">
        <v>114</v>
      </c>
      <c r="CD311" t="s">
        <v>114</v>
      </c>
      <c r="CE311" t="s">
        <v>114</v>
      </c>
      <c r="CF311" t="s">
        <v>114</v>
      </c>
      <c r="CG311" t="s">
        <v>114</v>
      </c>
      <c r="CH311" t="s">
        <v>114</v>
      </c>
      <c r="CI311" t="s">
        <v>114</v>
      </c>
      <c r="CJ311" t="s">
        <v>114</v>
      </c>
      <c r="CK311" t="s">
        <v>114</v>
      </c>
      <c r="CL311" t="s">
        <v>114</v>
      </c>
      <c r="CM311" t="s">
        <v>114</v>
      </c>
      <c r="CN311" t="s">
        <v>114</v>
      </c>
      <c r="CO311" t="s">
        <v>114</v>
      </c>
      <c r="CP311" t="s">
        <v>114</v>
      </c>
      <c r="CQ311" t="s">
        <v>114</v>
      </c>
      <c r="CR311" t="s">
        <v>114</v>
      </c>
      <c r="CS311" t="s">
        <v>114</v>
      </c>
      <c r="CT311" t="s">
        <v>114</v>
      </c>
      <c r="CU311" t="s">
        <v>114</v>
      </c>
      <c r="CV311" t="s">
        <v>114</v>
      </c>
      <c r="CW311" t="s">
        <v>114</v>
      </c>
    </row>
    <row r="312" spans="1:101" x14ac:dyDescent="0.25">
      <c r="A312" t="s">
        <v>30</v>
      </c>
      <c r="B312">
        <v>15</v>
      </c>
      <c r="C312" t="s">
        <v>31</v>
      </c>
      <c r="D312" t="s">
        <v>95</v>
      </c>
      <c r="E312" t="s">
        <v>103</v>
      </c>
      <c r="F312" t="s">
        <v>120</v>
      </c>
      <c r="G312" t="s">
        <v>268</v>
      </c>
      <c r="H312" t="str">
        <f t="shared" si="36"/>
        <v>P.airoides.Solo.Shade</v>
      </c>
      <c r="I312" t="s">
        <v>712</v>
      </c>
      <c r="J312" t="s">
        <v>586</v>
      </c>
      <c r="K312">
        <v>0</v>
      </c>
      <c r="L312">
        <v>90</v>
      </c>
      <c r="M312">
        <v>20</v>
      </c>
      <c r="N312">
        <v>20</v>
      </c>
      <c r="O312" t="s">
        <v>114</v>
      </c>
      <c r="P312">
        <v>15</v>
      </c>
      <c r="Q312">
        <v>15</v>
      </c>
      <c r="R312">
        <v>0</v>
      </c>
      <c r="S312">
        <f t="shared" si="37"/>
        <v>7.5</v>
      </c>
      <c r="T312">
        <f t="shared" si="38"/>
        <v>0.375</v>
      </c>
      <c r="V312" t="s">
        <v>114</v>
      </c>
      <c r="W312" t="s">
        <v>114</v>
      </c>
      <c r="X312">
        <v>15.4</v>
      </c>
      <c r="Y312">
        <v>14.9</v>
      </c>
      <c r="Z312">
        <v>12</v>
      </c>
      <c r="AA312">
        <v>14.1</v>
      </c>
      <c r="AB312">
        <v>12.83333333</v>
      </c>
      <c r="AC312">
        <v>13</v>
      </c>
      <c r="AD312">
        <v>13.5</v>
      </c>
      <c r="AE312">
        <v>12</v>
      </c>
      <c r="AF312">
        <v>12.83333333</v>
      </c>
      <c r="AG312">
        <v>16.899999999999999</v>
      </c>
      <c r="AH312">
        <v>18.399999999999999</v>
      </c>
      <c r="AI312">
        <v>18.399999999999999</v>
      </c>
      <c r="AJ312">
        <v>17.899999999999999</v>
      </c>
      <c r="AK312">
        <v>17.899999999999999</v>
      </c>
      <c r="AL312">
        <v>16.399999999999999</v>
      </c>
      <c r="AM312">
        <v>16.899999999999999</v>
      </c>
      <c r="AN312">
        <v>17.06666667</v>
      </c>
      <c r="AO312">
        <v>17.06666667</v>
      </c>
      <c r="AP312">
        <v>7.6</v>
      </c>
      <c r="AQ312">
        <v>8.1</v>
      </c>
      <c r="AR312">
        <v>8.5</v>
      </c>
      <c r="AS312">
        <v>8.0666666669999998</v>
      </c>
      <c r="AT312">
        <v>7.1</v>
      </c>
      <c r="AU312">
        <v>6.1</v>
      </c>
      <c r="AV312">
        <v>6.1</v>
      </c>
      <c r="AW312">
        <v>6.4333333330000002</v>
      </c>
      <c r="AX312">
        <v>6.4333333330000002</v>
      </c>
      <c r="AY312">
        <v>-6.4</v>
      </c>
      <c r="AZ312">
        <v>40</v>
      </c>
      <c r="BA312">
        <v>40</v>
      </c>
      <c r="BB312">
        <v>20</v>
      </c>
      <c r="BC312">
        <v>0</v>
      </c>
      <c r="BD312">
        <v>0</v>
      </c>
      <c r="BE312">
        <v>1</v>
      </c>
      <c r="BF312">
        <v>0</v>
      </c>
      <c r="BG312">
        <v>0</v>
      </c>
      <c r="BI312">
        <v>2.7</v>
      </c>
      <c r="BJ312">
        <v>44.411999999999999</v>
      </c>
      <c r="BK312">
        <v>0</v>
      </c>
      <c r="BL312">
        <v>2</v>
      </c>
      <c r="BM312">
        <v>2</v>
      </c>
      <c r="BN312">
        <v>45</v>
      </c>
      <c r="BO312">
        <v>216</v>
      </c>
      <c r="BP312">
        <f t="shared" si="40"/>
        <v>-171</v>
      </c>
      <c r="BQ312" t="s">
        <v>114</v>
      </c>
      <c r="BR312" t="s">
        <v>114</v>
      </c>
      <c r="BS312" t="s">
        <v>114</v>
      </c>
      <c r="BT312" t="s">
        <v>114</v>
      </c>
      <c r="BU312" t="s">
        <v>114</v>
      </c>
      <c r="BV312" t="s">
        <v>114</v>
      </c>
      <c r="BW312" t="s">
        <v>114</v>
      </c>
      <c r="BX312" t="s">
        <v>114</v>
      </c>
      <c r="BY312" t="s">
        <v>114</v>
      </c>
      <c r="BZ312" t="s">
        <v>114</v>
      </c>
      <c r="CA312" t="s">
        <v>114</v>
      </c>
      <c r="CB312" t="s">
        <v>114</v>
      </c>
      <c r="CC312" t="s">
        <v>114</v>
      </c>
      <c r="CD312" t="s">
        <v>114</v>
      </c>
      <c r="CE312" t="s">
        <v>114</v>
      </c>
      <c r="CF312" t="s">
        <v>114</v>
      </c>
      <c r="CG312" t="s">
        <v>114</v>
      </c>
      <c r="CH312" t="s">
        <v>114</v>
      </c>
      <c r="CI312" t="s">
        <v>114</v>
      </c>
      <c r="CJ312" t="s">
        <v>114</v>
      </c>
      <c r="CK312" t="s">
        <v>114</v>
      </c>
      <c r="CL312" t="s">
        <v>114</v>
      </c>
      <c r="CM312" t="s">
        <v>114</v>
      </c>
      <c r="CN312" t="s">
        <v>114</v>
      </c>
      <c r="CO312" t="s">
        <v>114</v>
      </c>
      <c r="CP312" t="s">
        <v>114</v>
      </c>
      <c r="CQ312" t="s">
        <v>114</v>
      </c>
      <c r="CR312" t="s">
        <v>114</v>
      </c>
      <c r="CS312" t="s">
        <v>114</v>
      </c>
      <c r="CT312" t="s">
        <v>114</v>
      </c>
      <c r="CU312" t="s">
        <v>114</v>
      </c>
      <c r="CV312" t="s">
        <v>114</v>
      </c>
      <c r="CW312" t="s">
        <v>114</v>
      </c>
    </row>
    <row r="313" spans="1:101" x14ac:dyDescent="0.25">
      <c r="A313" t="s">
        <v>30</v>
      </c>
      <c r="B313">
        <v>15</v>
      </c>
      <c r="C313" t="s">
        <v>31</v>
      </c>
      <c r="D313" t="s">
        <v>95</v>
      </c>
      <c r="E313" t="s">
        <v>112</v>
      </c>
      <c r="F313" t="s">
        <v>120</v>
      </c>
      <c r="G313" t="s">
        <v>269</v>
      </c>
      <c r="H313" t="str">
        <f t="shared" si="36"/>
        <v>V.rosea.Solo.Shade</v>
      </c>
      <c r="I313" t="s">
        <v>708</v>
      </c>
      <c r="J313" t="s">
        <v>587</v>
      </c>
      <c r="K313">
        <v>0</v>
      </c>
      <c r="L313">
        <v>60</v>
      </c>
      <c r="M313">
        <v>100</v>
      </c>
      <c r="N313">
        <v>100</v>
      </c>
      <c r="O313" t="s">
        <v>114</v>
      </c>
      <c r="P313">
        <v>50</v>
      </c>
      <c r="Q313">
        <v>50</v>
      </c>
      <c r="R313">
        <v>35</v>
      </c>
      <c r="S313">
        <f t="shared" si="37"/>
        <v>42.5</v>
      </c>
      <c r="T313">
        <f t="shared" si="38"/>
        <v>0.42499999999999999</v>
      </c>
      <c r="V313" t="s">
        <v>114</v>
      </c>
      <c r="W313" t="s">
        <v>114</v>
      </c>
      <c r="X313">
        <v>15.4</v>
      </c>
      <c r="Y313">
        <v>14.9</v>
      </c>
      <c r="Z313">
        <v>12</v>
      </c>
      <c r="AA313">
        <v>14.1</v>
      </c>
      <c r="AB313">
        <v>12.33333333</v>
      </c>
      <c r="AC313">
        <v>13</v>
      </c>
      <c r="AD313">
        <v>12</v>
      </c>
      <c r="AE313">
        <v>12</v>
      </c>
      <c r="AF313">
        <v>12.33333333</v>
      </c>
      <c r="AG313">
        <v>16.899999999999999</v>
      </c>
      <c r="AH313">
        <v>18.399999999999999</v>
      </c>
      <c r="AI313">
        <v>18.399999999999999</v>
      </c>
      <c r="AJ313">
        <v>17.899999999999999</v>
      </c>
      <c r="AK313">
        <v>14.9</v>
      </c>
      <c r="AL313">
        <v>16.899999999999999</v>
      </c>
      <c r="AM313">
        <v>16.899999999999999</v>
      </c>
      <c r="AN313">
        <v>16.233333330000001</v>
      </c>
      <c r="AO313">
        <v>16.233333330000001</v>
      </c>
      <c r="AP313">
        <v>7.6</v>
      </c>
      <c r="AQ313">
        <v>8.1</v>
      </c>
      <c r="AR313">
        <v>8.5</v>
      </c>
      <c r="AS313">
        <v>8.0666666669999998</v>
      </c>
      <c r="AT313">
        <v>5.6</v>
      </c>
      <c r="AU313">
        <v>6.1</v>
      </c>
      <c r="AV313">
        <v>6.1</v>
      </c>
      <c r="AW313">
        <v>5.9333333330000002</v>
      </c>
      <c r="AX313">
        <v>5.9333333330000002</v>
      </c>
      <c r="AY313">
        <v>-6.4</v>
      </c>
      <c r="AZ313">
        <v>40</v>
      </c>
      <c r="BA313">
        <v>20</v>
      </c>
      <c r="BB313">
        <v>40</v>
      </c>
      <c r="BC313">
        <v>0</v>
      </c>
      <c r="BD313">
        <v>0</v>
      </c>
      <c r="BE313">
        <v>1</v>
      </c>
      <c r="BF313">
        <v>0</v>
      </c>
      <c r="BG313">
        <v>0</v>
      </c>
      <c r="BI313">
        <v>2.7</v>
      </c>
      <c r="BJ313">
        <v>44.411999999999999</v>
      </c>
      <c r="BK313">
        <v>0</v>
      </c>
      <c r="BL313">
        <v>14</v>
      </c>
      <c r="BM313">
        <v>13</v>
      </c>
      <c r="BN313">
        <v>47</v>
      </c>
      <c r="BO313">
        <v>31.75</v>
      </c>
      <c r="BP313">
        <f t="shared" si="40"/>
        <v>15.25</v>
      </c>
      <c r="BQ313" t="s">
        <v>114</v>
      </c>
      <c r="BR313" t="s">
        <v>114</v>
      </c>
      <c r="BS313" t="s">
        <v>114</v>
      </c>
      <c r="BT313" t="s">
        <v>114</v>
      </c>
      <c r="BU313" t="s">
        <v>114</v>
      </c>
      <c r="BV313" t="s">
        <v>114</v>
      </c>
      <c r="BW313" t="s">
        <v>114</v>
      </c>
      <c r="BX313" t="s">
        <v>114</v>
      </c>
      <c r="BY313" t="s">
        <v>114</v>
      </c>
      <c r="BZ313" t="s">
        <v>114</v>
      </c>
      <c r="CA313" t="s">
        <v>114</v>
      </c>
      <c r="CB313" t="s">
        <v>114</v>
      </c>
      <c r="CC313" t="s">
        <v>114</v>
      </c>
      <c r="CD313" t="s">
        <v>114</v>
      </c>
      <c r="CE313" t="s">
        <v>114</v>
      </c>
      <c r="CF313" t="s">
        <v>114</v>
      </c>
      <c r="CG313" t="s">
        <v>114</v>
      </c>
      <c r="CH313" t="s">
        <v>114</v>
      </c>
      <c r="CI313" t="s">
        <v>114</v>
      </c>
      <c r="CJ313" t="s">
        <v>114</v>
      </c>
      <c r="CK313" t="s">
        <v>114</v>
      </c>
      <c r="CL313" t="s">
        <v>114</v>
      </c>
      <c r="CM313" t="s">
        <v>114</v>
      </c>
      <c r="CN313" t="s">
        <v>114</v>
      </c>
      <c r="CO313" t="s">
        <v>114</v>
      </c>
      <c r="CP313" t="s">
        <v>114</v>
      </c>
      <c r="CQ313" t="s">
        <v>114</v>
      </c>
      <c r="CR313" t="s">
        <v>114</v>
      </c>
      <c r="CS313" t="s">
        <v>114</v>
      </c>
      <c r="CT313" t="s">
        <v>114</v>
      </c>
      <c r="CU313" t="s">
        <v>114</v>
      </c>
      <c r="CV313" t="s">
        <v>114</v>
      </c>
      <c r="CW313" t="s">
        <v>114</v>
      </c>
    </row>
    <row r="314" spans="1:101" x14ac:dyDescent="0.25">
      <c r="A314" t="s">
        <v>32</v>
      </c>
      <c r="B314">
        <v>15</v>
      </c>
      <c r="C314" t="s">
        <v>33</v>
      </c>
      <c r="D314" t="s">
        <v>94</v>
      </c>
      <c r="E314" t="s">
        <v>105</v>
      </c>
      <c r="F314" t="s">
        <v>120</v>
      </c>
      <c r="G314" t="s">
        <v>274</v>
      </c>
      <c r="H314" t="str">
        <f t="shared" si="36"/>
        <v>H.glabra.Solo.Open</v>
      </c>
      <c r="I314" t="s">
        <v>699</v>
      </c>
      <c r="J314" t="s">
        <v>588</v>
      </c>
      <c r="K314">
        <v>0</v>
      </c>
      <c r="L314">
        <v>40</v>
      </c>
      <c r="M314">
        <v>30</v>
      </c>
      <c r="N314">
        <v>30</v>
      </c>
      <c r="O314" t="s">
        <v>114</v>
      </c>
      <c r="P314">
        <v>80</v>
      </c>
      <c r="Q314">
        <v>80</v>
      </c>
      <c r="R314">
        <v>60</v>
      </c>
      <c r="S314">
        <f t="shared" si="37"/>
        <v>70</v>
      </c>
      <c r="T314">
        <f t="shared" si="38"/>
        <v>2.3333333333333335</v>
      </c>
      <c r="U314" t="s">
        <v>15</v>
      </c>
      <c r="V314" t="s">
        <v>114</v>
      </c>
      <c r="W314" t="s">
        <v>114</v>
      </c>
      <c r="X314">
        <v>10.5</v>
      </c>
      <c r="Y314">
        <v>11</v>
      </c>
      <c r="Z314">
        <v>11.5</v>
      </c>
      <c r="AA314">
        <v>11</v>
      </c>
      <c r="AB314">
        <v>16.233333330000001</v>
      </c>
      <c r="AC314">
        <v>16.399999999999999</v>
      </c>
      <c r="AD314">
        <v>16.399999999999999</v>
      </c>
      <c r="AE314">
        <v>15.9</v>
      </c>
      <c r="AF314">
        <v>16.233333330000001</v>
      </c>
      <c r="AG314">
        <v>12.5</v>
      </c>
      <c r="AH314">
        <v>13</v>
      </c>
      <c r="AI314">
        <v>15.4</v>
      </c>
      <c r="AJ314">
        <v>13.633333329999999</v>
      </c>
      <c r="AK314">
        <v>20.3</v>
      </c>
      <c r="AL314">
        <v>18.399999999999999</v>
      </c>
      <c r="AM314">
        <v>17.399999999999999</v>
      </c>
      <c r="AN314">
        <v>18.7</v>
      </c>
      <c r="AO314">
        <v>18.7</v>
      </c>
      <c r="AP314">
        <v>5.6</v>
      </c>
      <c r="AQ314">
        <v>5.6</v>
      </c>
      <c r="AR314">
        <v>8.5</v>
      </c>
      <c r="AS314">
        <v>6.5666666669999998</v>
      </c>
      <c r="AT314">
        <v>5.0999999999999996</v>
      </c>
      <c r="AU314">
        <v>5.0999999999999996</v>
      </c>
      <c r="AV314">
        <v>6.6</v>
      </c>
      <c r="AW314">
        <v>5.6</v>
      </c>
      <c r="AX314">
        <v>5.6</v>
      </c>
      <c r="AY314">
        <v>-10.633333329999999</v>
      </c>
      <c r="AZ314">
        <v>60</v>
      </c>
      <c r="BA314">
        <v>0</v>
      </c>
      <c r="BB314">
        <v>0</v>
      </c>
      <c r="BC314">
        <v>10</v>
      </c>
      <c r="BD314">
        <v>0</v>
      </c>
      <c r="BE314">
        <v>0</v>
      </c>
      <c r="BF314">
        <v>30</v>
      </c>
      <c r="BG314">
        <v>0</v>
      </c>
      <c r="BI314">
        <v>14.5</v>
      </c>
      <c r="BJ314">
        <v>28.347999999999999</v>
      </c>
      <c r="BK314">
        <v>0</v>
      </c>
      <c r="BL314">
        <v>13</v>
      </c>
      <c r="BM314">
        <v>13</v>
      </c>
      <c r="BN314">
        <v>614</v>
      </c>
      <c r="BO314">
        <v>582</v>
      </c>
      <c r="BP314">
        <f t="shared" si="40"/>
        <v>32</v>
      </c>
      <c r="BQ314" t="s">
        <v>114</v>
      </c>
      <c r="BR314" t="s">
        <v>114</v>
      </c>
      <c r="BS314" t="s">
        <v>114</v>
      </c>
      <c r="BT314" t="s">
        <v>114</v>
      </c>
      <c r="BU314" t="s">
        <v>114</v>
      </c>
      <c r="BV314" t="s">
        <v>114</v>
      </c>
      <c r="BW314" t="s">
        <v>114</v>
      </c>
      <c r="BX314" t="s">
        <v>114</v>
      </c>
      <c r="BY314" t="s">
        <v>114</v>
      </c>
      <c r="BZ314" t="s">
        <v>114</v>
      </c>
      <c r="CA314" t="s">
        <v>114</v>
      </c>
      <c r="CB314" t="s">
        <v>114</v>
      </c>
      <c r="CC314" t="s">
        <v>114</v>
      </c>
      <c r="CD314" t="s">
        <v>114</v>
      </c>
      <c r="CE314" t="s">
        <v>114</v>
      </c>
      <c r="CF314" t="s">
        <v>114</v>
      </c>
      <c r="CG314" t="s">
        <v>114</v>
      </c>
      <c r="CH314" t="s">
        <v>114</v>
      </c>
      <c r="CI314" t="s">
        <v>114</v>
      </c>
      <c r="CJ314" t="s">
        <v>114</v>
      </c>
      <c r="CK314" t="s">
        <v>114</v>
      </c>
      <c r="CL314" t="s">
        <v>114</v>
      </c>
      <c r="CM314" t="s">
        <v>114</v>
      </c>
      <c r="CN314" t="s">
        <v>114</v>
      </c>
      <c r="CO314" t="s">
        <v>114</v>
      </c>
      <c r="CP314" t="s">
        <v>114</v>
      </c>
      <c r="CQ314" t="s">
        <v>114</v>
      </c>
      <c r="CR314" t="s">
        <v>114</v>
      </c>
      <c r="CS314" t="s">
        <v>114</v>
      </c>
      <c r="CT314" t="s">
        <v>114</v>
      </c>
      <c r="CU314" t="s">
        <v>114</v>
      </c>
      <c r="CV314" t="s">
        <v>114</v>
      </c>
      <c r="CW314" t="s">
        <v>114</v>
      </c>
    </row>
    <row r="315" spans="1:101" x14ac:dyDescent="0.25">
      <c r="A315" t="s">
        <v>34</v>
      </c>
      <c r="B315">
        <v>15</v>
      </c>
      <c r="C315" t="s">
        <v>35</v>
      </c>
      <c r="D315" t="s">
        <v>94</v>
      </c>
      <c r="E315" t="s">
        <v>112</v>
      </c>
      <c r="F315" t="s">
        <v>120</v>
      </c>
      <c r="G315" t="s">
        <v>269</v>
      </c>
      <c r="H315" t="str">
        <f t="shared" si="36"/>
        <v>V.rosea.Solo.Open</v>
      </c>
      <c r="I315" t="s">
        <v>713</v>
      </c>
      <c r="J315" t="s">
        <v>589</v>
      </c>
      <c r="K315">
        <v>0</v>
      </c>
      <c r="L315">
        <v>35</v>
      </c>
      <c r="M315">
        <v>10</v>
      </c>
      <c r="N315">
        <v>10</v>
      </c>
      <c r="O315" t="s">
        <v>114</v>
      </c>
      <c r="P315">
        <v>50</v>
      </c>
      <c r="Q315">
        <v>50</v>
      </c>
      <c r="R315">
        <v>20</v>
      </c>
      <c r="S315">
        <f t="shared" si="37"/>
        <v>35</v>
      </c>
      <c r="T315">
        <f t="shared" si="38"/>
        <v>3.5</v>
      </c>
      <c r="V315" t="s">
        <v>114</v>
      </c>
      <c r="W315" t="s">
        <v>114</v>
      </c>
      <c r="X315">
        <v>8.5</v>
      </c>
      <c r="Y315">
        <v>8.5</v>
      </c>
      <c r="Z315">
        <v>10</v>
      </c>
      <c r="AA315">
        <v>9</v>
      </c>
      <c r="AB315">
        <v>8.6999999999999993</v>
      </c>
      <c r="AC315">
        <v>8.1</v>
      </c>
      <c r="AD315">
        <v>8.5</v>
      </c>
      <c r="AE315">
        <v>9.5</v>
      </c>
      <c r="AF315">
        <v>8.6999999999999993</v>
      </c>
      <c r="AG315">
        <v>12</v>
      </c>
      <c r="AH315">
        <v>10</v>
      </c>
      <c r="AI315">
        <v>10.5</v>
      </c>
      <c r="AJ315">
        <v>10.83333333</v>
      </c>
      <c r="AK315">
        <v>9</v>
      </c>
      <c r="AL315">
        <v>8.5</v>
      </c>
      <c r="AM315">
        <v>10.5</v>
      </c>
      <c r="AN315">
        <v>9.3333333330000006</v>
      </c>
      <c r="AO315">
        <v>9.3333333330000006</v>
      </c>
      <c r="AP315">
        <v>4.0999999999999996</v>
      </c>
      <c r="AQ315">
        <v>4.5999999999999996</v>
      </c>
      <c r="AR315">
        <v>4.0999999999999996</v>
      </c>
      <c r="AS315">
        <v>4.266666667</v>
      </c>
      <c r="AT315">
        <v>2.2000000000000002</v>
      </c>
      <c r="AU315">
        <v>4.0999999999999996</v>
      </c>
      <c r="AV315">
        <v>4.0999999999999996</v>
      </c>
      <c r="AW315">
        <v>3.4666666670000001</v>
      </c>
      <c r="AX315">
        <v>3.4666666670000001</v>
      </c>
      <c r="AY315">
        <v>-5.233333333</v>
      </c>
      <c r="AZ315">
        <v>80</v>
      </c>
      <c r="BA315">
        <v>0</v>
      </c>
      <c r="BB315">
        <v>0</v>
      </c>
      <c r="BC315">
        <v>10</v>
      </c>
      <c r="BD315">
        <v>0</v>
      </c>
      <c r="BE315">
        <v>0</v>
      </c>
      <c r="BF315">
        <v>10</v>
      </c>
      <c r="BG315">
        <v>0</v>
      </c>
      <c r="BI315">
        <v>6.7</v>
      </c>
      <c r="BJ315">
        <v>8.1159999999999997</v>
      </c>
      <c r="BK315">
        <v>0</v>
      </c>
      <c r="BL315">
        <v>46</v>
      </c>
      <c r="BM315">
        <v>31</v>
      </c>
      <c r="BN315">
        <v>111</v>
      </c>
      <c r="BO315">
        <v>76</v>
      </c>
      <c r="BP315">
        <f t="shared" si="40"/>
        <v>35</v>
      </c>
      <c r="BQ315" t="s">
        <v>114</v>
      </c>
      <c r="BR315" t="s">
        <v>114</v>
      </c>
      <c r="BS315" t="s">
        <v>114</v>
      </c>
      <c r="BT315" t="s">
        <v>114</v>
      </c>
      <c r="BU315" t="s">
        <v>114</v>
      </c>
      <c r="BV315" t="s">
        <v>114</v>
      </c>
      <c r="BW315" t="s">
        <v>114</v>
      </c>
      <c r="BX315" t="s">
        <v>114</v>
      </c>
      <c r="BY315" t="s">
        <v>114</v>
      </c>
      <c r="BZ315" t="s">
        <v>114</v>
      </c>
      <c r="CA315" t="s">
        <v>114</v>
      </c>
      <c r="CB315" t="s">
        <v>114</v>
      </c>
      <c r="CC315" t="s">
        <v>114</v>
      </c>
      <c r="CD315" t="s">
        <v>114</v>
      </c>
      <c r="CE315" t="s">
        <v>114</v>
      </c>
      <c r="CF315" t="s">
        <v>114</v>
      </c>
      <c r="CG315" t="s">
        <v>114</v>
      </c>
      <c r="CH315" t="s">
        <v>114</v>
      </c>
      <c r="CI315" t="s">
        <v>114</v>
      </c>
      <c r="CJ315" t="s">
        <v>114</v>
      </c>
      <c r="CK315" t="s">
        <v>114</v>
      </c>
      <c r="CL315" t="s">
        <v>114</v>
      </c>
      <c r="CM315" t="s">
        <v>114</v>
      </c>
      <c r="CN315" t="s">
        <v>114</v>
      </c>
      <c r="CO315" t="s">
        <v>114</v>
      </c>
      <c r="CP315" t="s">
        <v>114</v>
      </c>
      <c r="CQ315" t="s">
        <v>114</v>
      </c>
      <c r="CR315" t="s">
        <v>114</v>
      </c>
      <c r="CS315" t="s">
        <v>114</v>
      </c>
      <c r="CT315" t="s">
        <v>114</v>
      </c>
      <c r="CU315" t="s">
        <v>114</v>
      </c>
      <c r="CV315" t="s">
        <v>114</v>
      </c>
      <c r="CW315" t="s">
        <v>114</v>
      </c>
    </row>
    <row r="316" spans="1:101" x14ac:dyDescent="0.25">
      <c r="A316" t="s">
        <v>36</v>
      </c>
      <c r="B316">
        <v>15</v>
      </c>
      <c r="C316" t="s">
        <v>37</v>
      </c>
      <c r="D316" t="s">
        <v>95</v>
      </c>
      <c r="E316" t="s">
        <v>110</v>
      </c>
      <c r="F316" t="s">
        <v>120</v>
      </c>
      <c r="G316" t="s">
        <v>270</v>
      </c>
      <c r="H316" t="str">
        <f t="shared" si="36"/>
        <v>M.minima.Solo.Shade</v>
      </c>
      <c r="I316" t="s">
        <v>705</v>
      </c>
      <c r="J316" t="s">
        <v>590</v>
      </c>
      <c r="K316">
        <v>0</v>
      </c>
      <c r="L316">
        <v>120</v>
      </c>
      <c r="M316">
        <v>55</v>
      </c>
      <c r="N316">
        <v>55</v>
      </c>
      <c r="O316" t="s">
        <v>114</v>
      </c>
      <c r="P316">
        <v>15</v>
      </c>
      <c r="Q316">
        <v>30</v>
      </c>
      <c r="R316">
        <v>10</v>
      </c>
      <c r="S316">
        <f t="shared" si="37"/>
        <v>20</v>
      </c>
      <c r="T316">
        <f t="shared" si="38"/>
        <v>0.36363636363636365</v>
      </c>
      <c r="U316" t="s">
        <v>795</v>
      </c>
      <c r="V316" t="s">
        <v>114</v>
      </c>
      <c r="W316" t="s">
        <v>114</v>
      </c>
      <c r="X316">
        <v>20.8</v>
      </c>
      <c r="Y316">
        <v>24.7</v>
      </c>
      <c r="Z316">
        <v>17.399999999999999</v>
      </c>
      <c r="AA316">
        <v>20.966666669999999</v>
      </c>
      <c r="AB316">
        <v>19.666666670000001</v>
      </c>
      <c r="AC316">
        <v>19.8</v>
      </c>
      <c r="AD316">
        <v>17.899999999999999</v>
      </c>
      <c r="AE316">
        <v>21.3</v>
      </c>
      <c r="AF316">
        <v>19.666666670000001</v>
      </c>
      <c r="AG316">
        <v>25.7</v>
      </c>
      <c r="AH316">
        <v>26.7</v>
      </c>
      <c r="AI316">
        <v>25.7</v>
      </c>
      <c r="AJ316">
        <v>26.033333330000001</v>
      </c>
      <c r="AK316">
        <v>22.8</v>
      </c>
      <c r="AL316">
        <v>21.3</v>
      </c>
      <c r="AM316">
        <v>21.8</v>
      </c>
      <c r="AN316">
        <v>21.966666669999999</v>
      </c>
      <c r="AO316">
        <v>21.966666669999999</v>
      </c>
      <c r="AP316">
        <v>13</v>
      </c>
      <c r="AQ316">
        <v>9.5</v>
      </c>
      <c r="AR316">
        <v>8.5</v>
      </c>
      <c r="AS316">
        <v>10.33333333</v>
      </c>
      <c r="AT316">
        <v>8.5</v>
      </c>
      <c r="AU316">
        <v>10.5</v>
      </c>
      <c r="AV316">
        <v>11.5</v>
      </c>
      <c r="AW316">
        <v>10.16666667</v>
      </c>
      <c r="AX316">
        <v>10.16666667</v>
      </c>
      <c r="AY316">
        <v>-9.5</v>
      </c>
      <c r="AZ316">
        <v>70</v>
      </c>
      <c r="BA316">
        <v>0</v>
      </c>
      <c r="BB316">
        <v>10</v>
      </c>
      <c r="BC316">
        <v>20</v>
      </c>
      <c r="BD316">
        <v>0</v>
      </c>
      <c r="BE316">
        <v>1</v>
      </c>
      <c r="BF316">
        <v>0</v>
      </c>
      <c r="BG316">
        <v>0</v>
      </c>
      <c r="BI316">
        <v>9</v>
      </c>
      <c r="BJ316">
        <v>45.8</v>
      </c>
      <c r="BK316">
        <v>0</v>
      </c>
      <c r="BL316">
        <v>2</v>
      </c>
      <c r="BM316">
        <v>2</v>
      </c>
      <c r="BN316">
        <v>2</v>
      </c>
      <c r="BO316">
        <v>4.6666670000000003</v>
      </c>
      <c r="BP316">
        <f t="shared" si="40"/>
        <v>-2.6666670000000003</v>
      </c>
      <c r="BQ316" t="s">
        <v>114</v>
      </c>
      <c r="BR316" t="s">
        <v>114</v>
      </c>
      <c r="BS316" t="s">
        <v>114</v>
      </c>
      <c r="BT316" t="s">
        <v>114</v>
      </c>
      <c r="BU316" t="s">
        <v>114</v>
      </c>
      <c r="BV316" t="s">
        <v>114</v>
      </c>
      <c r="BW316" t="s">
        <v>114</v>
      </c>
      <c r="BX316" t="s">
        <v>114</v>
      </c>
      <c r="BY316" t="s">
        <v>114</v>
      </c>
      <c r="BZ316" t="s">
        <v>114</v>
      </c>
      <c r="CA316" t="s">
        <v>114</v>
      </c>
      <c r="CB316" t="s">
        <v>114</v>
      </c>
      <c r="CC316" t="s">
        <v>114</v>
      </c>
      <c r="CD316" t="s">
        <v>114</v>
      </c>
      <c r="CE316" t="s">
        <v>114</v>
      </c>
      <c r="CF316" t="s">
        <v>114</v>
      </c>
      <c r="CG316" t="s">
        <v>114</v>
      </c>
      <c r="CH316" t="s">
        <v>114</v>
      </c>
      <c r="CI316" t="s">
        <v>114</v>
      </c>
      <c r="CJ316" t="s">
        <v>114</v>
      </c>
      <c r="CK316" t="s">
        <v>114</v>
      </c>
      <c r="CL316" t="s">
        <v>114</v>
      </c>
      <c r="CM316" t="s">
        <v>114</v>
      </c>
      <c r="CN316" t="s">
        <v>114</v>
      </c>
      <c r="CO316" t="s">
        <v>114</v>
      </c>
      <c r="CP316" t="s">
        <v>114</v>
      </c>
      <c r="CQ316" t="s">
        <v>114</v>
      </c>
      <c r="CR316" t="s">
        <v>114</v>
      </c>
      <c r="CS316" t="s">
        <v>114</v>
      </c>
      <c r="CT316" t="s">
        <v>114</v>
      </c>
      <c r="CU316" t="s">
        <v>114</v>
      </c>
      <c r="CV316" t="s">
        <v>114</v>
      </c>
      <c r="CW316" t="s">
        <v>114</v>
      </c>
    </row>
    <row r="317" spans="1:101" x14ac:dyDescent="0.25">
      <c r="A317" t="s">
        <v>36</v>
      </c>
      <c r="B317">
        <v>15</v>
      </c>
      <c r="C317" t="s">
        <v>37</v>
      </c>
      <c r="D317" t="s">
        <v>95</v>
      </c>
      <c r="E317" t="s">
        <v>104</v>
      </c>
      <c r="F317" t="s">
        <v>120</v>
      </c>
      <c r="G317" t="s">
        <v>272</v>
      </c>
      <c r="H317" t="str">
        <f t="shared" si="36"/>
        <v>T.cyanopetala.Solo.Shade</v>
      </c>
      <c r="I317" t="s">
        <v>707</v>
      </c>
      <c r="J317" t="s">
        <v>591</v>
      </c>
      <c r="K317">
        <v>0</v>
      </c>
      <c r="L317">
        <v>55</v>
      </c>
      <c r="M317">
        <v>80</v>
      </c>
      <c r="N317">
        <v>80</v>
      </c>
      <c r="O317" t="s">
        <v>114</v>
      </c>
      <c r="P317">
        <v>40</v>
      </c>
      <c r="Q317">
        <v>120</v>
      </c>
      <c r="R317">
        <v>35</v>
      </c>
      <c r="S317">
        <f t="shared" si="37"/>
        <v>77.5</v>
      </c>
      <c r="T317">
        <f t="shared" si="38"/>
        <v>0.96875</v>
      </c>
      <c r="U317" t="s">
        <v>794</v>
      </c>
      <c r="V317" t="s">
        <v>114</v>
      </c>
      <c r="W317" t="s">
        <v>114</v>
      </c>
      <c r="X317">
        <v>20.8</v>
      </c>
      <c r="Y317">
        <v>24.7</v>
      </c>
      <c r="Z317">
        <v>17.399999999999999</v>
      </c>
      <c r="AA317">
        <v>20.966666669999999</v>
      </c>
      <c r="AB317">
        <v>20.333333329999999</v>
      </c>
      <c r="AC317">
        <v>21.3</v>
      </c>
      <c r="AD317">
        <v>21.8</v>
      </c>
      <c r="AE317">
        <v>17.899999999999999</v>
      </c>
      <c r="AF317">
        <v>20.333333329999999</v>
      </c>
      <c r="AG317">
        <v>25.7</v>
      </c>
      <c r="AH317">
        <v>26.7</v>
      </c>
      <c r="AI317">
        <v>25.7</v>
      </c>
      <c r="AJ317">
        <v>26.033333330000001</v>
      </c>
      <c r="AK317">
        <v>24.3</v>
      </c>
      <c r="AL317">
        <v>23.8</v>
      </c>
      <c r="AM317">
        <v>26.7</v>
      </c>
      <c r="AN317">
        <v>24.93333333</v>
      </c>
      <c r="AO317">
        <v>24.93333333</v>
      </c>
      <c r="AP317">
        <v>13</v>
      </c>
      <c r="AQ317">
        <v>9.5</v>
      </c>
      <c r="AR317">
        <v>8.5</v>
      </c>
      <c r="AS317">
        <v>10.33333333</v>
      </c>
      <c r="AT317">
        <v>9</v>
      </c>
      <c r="AU317">
        <v>11</v>
      </c>
      <c r="AV317">
        <v>12</v>
      </c>
      <c r="AW317">
        <v>10.66666667</v>
      </c>
      <c r="AX317">
        <v>10.66666667</v>
      </c>
      <c r="AY317">
        <v>-9.6666666669999994</v>
      </c>
      <c r="AZ317">
        <v>70</v>
      </c>
      <c r="BA317">
        <v>10</v>
      </c>
      <c r="BB317">
        <v>10</v>
      </c>
      <c r="BC317">
        <v>10</v>
      </c>
      <c r="BD317">
        <v>0</v>
      </c>
      <c r="BE317">
        <v>1</v>
      </c>
      <c r="BF317">
        <v>0</v>
      </c>
      <c r="BG317">
        <v>0</v>
      </c>
      <c r="BI317">
        <v>9</v>
      </c>
      <c r="BJ317">
        <v>45.8</v>
      </c>
      <c r="BK317">
        <v>0</v>
      </c>
      <c r="BL317">
        <v>32</v>
      </c>
      <c r="BM317">
        <v>32</v>
      </c>
      <c r="BN317">
        <v>174</v>
      </c>
      <c r="BO317">
        <v>154.66666699999999</v>
      </c>
      <c r="BP317">
        <f t="shared" si="40"/>
        <v>19.33333300000001</v>
      </c>
      <c r="BQ317" t="s">
        <v>114</v>
      </c>
      <c r="BR317" t="s">
        <v>114</v>
      </c>
      <c r="BS317" t="s">
        <v>114</v>
      </c>
      <c r="BT317" t="s">
        <v>114</v>
      </c>
      <c r="BU317" t="s">
        <v>114</v>
      </c>
      <c r="BV317" t="s">
        <v>114</v>
      </c>
      <c r="BW317" t="s">
        <v>114</v>
      </c>
      <c r="BX317" t="s">
        <v>114</v>
      </c>
      <c r="BY317" t="s">
        <v>114</v>
      </c>
      <c r="BZ317" t="s">
        <v>114</v>
      </c>
      <c r="CA317" t="s">
        <v>114</v>
      </c>
      <c r="CB317" t="s">
        <v>114</v>
      </c>
      <c r="CC317" t="s">
        <v>114</v>
      </c>
      <c r="CD317" t="s">
        <v>114</v>
      </c>
      <c r="CE317" t="s">
        <v>114</v>
      </c>
      <c r="CF317" t="s">
        <v>114</v>
      </c>
      <c r="CG317" t="s">
        <v>114</v>
      </c>
      <c r="CH317" t="s">
        <v>114</v>
      </c>
      <c r="CI317" t="s">
        <v>114</v>
      </c>
      <c r="CJ317" t="s">
        <v>114</v>
      </c>
      <c r="CK317" t="s">
        <v>114</v>
      </c>
      <c r="CL317" t="s">
        <v>114</v>
      </c>
      <c r="CM317" t="s">
        <v>114</v>
      </c>
      <c r="CN317" t="s">
        <v>114</v>
      </c>
      <c r="CO317" t="s">
        <v>114</v>
      </c>
      <c r="CP317" t="s">
        <v>114</v>
      </c>
      <c r="CQ317" t="s">
        <v>114</v>
      </c>
      <c r="CR317" t="s">
        <v>114</v>
      </c>
      <c r="CS317" t="s">
        <v>114</v>
      </c>
      <c r="CT317" t="s">
        <v>114</v>
      </c>
      <c r="CU317" t="s">
        <v>114</v>
      </c>
      <c r="CV317" t="s">
        <v>114</v>
      </c>
      <c r="CW317" t="s">
        <v>114</v>
      </c>
    </row>
    <row r="318" spans="1:101" x14ac:dyDescent="0.25">
      <c r="A318" t="s">
        <v>38</v>
      </c>
      <c r="B318">
        <v>2</v>
      </c>
      <c r="C318" t="s">
        <v>11</v>
      </c>
      <c r="D318" t="s">
        <v>95</v>
      </c>
      <c r="E318" t="s">
        <v>113</v>
      </c>
      <c r="F318" t="s">
        <v>120</v>
      </c>
      <c r="G318" t="s">
        <v>267</v>
      </c>
      <c r="H318" t="str">
        <f t="shared" si="36"/>
        <v>H.glutinosum.Solo.Shade</v>
      </c>
      <c r="I318" t="s">
        <v>714</v>
      </c>
      <c r="J318" t="s">
        <v>592</v>
      </c>
      <c r="K318">
        <v>0</v>
      </c>
      <c r="L318">
        <v>50</v>
      </c>
      <c r="M318">
        <v>70</v>
      </c>
      <c r="N318">
        <v>70</v>
      </c>
      <c r="O318" t="s">
        <v>114</v>
      </c>
      <c r="P318">
        <v>8</v>
      </c>
      <c r="Q318">
        <v>18</v>
      </c>
      <c r="R318">
        <v>25</v>
      </c>
      <c r="S318">
        <f t="shared" si="37"/>
        <v>21.5</v>
      </c>
      <c r="T318">
        <f t="shared" si="38"/>
        <v>0.30714285714285716</v>
      </c>
      <c r="U318" t="s">
        <v>23</v>
      </c>
      <c r="V318" t="s">
        <v>114</v>
      </c>
      <c r="W318" t="s">
        <v>114</v>
      </c>
      <c r="X318">
        <v>18.399999999999999</v>
      </c>
      <c r="Y318">
        <v>16.399999999999999</v>
      </c>
      <c r="Z318">
        <v>18.399999999999999</v>
      </c>
      <c r="AA318">
        <v>17.733333330000001</v>
      </c>
      <c r="AB318">
        <v>18.233333330000001</v>
      </c>
      <c r="AC318">
        <v>18.399999999999999</v>
      </c>
      <c r="AD318">
        <v>18.399999999999999</v>
      </c>
      <c r="AE318">
        <v>17.899999999999999</v>
      </c>
      <c r="AF318">
        <v>18.233333330000001</v>
      </c>
      <c r="AG318">
        <v>15.9</v>
      </c>
      <c r="AH318">
        <v>18.399999999999999</v>
      </c>
      <c r="AI318">
        <v>17.399999999999999</v>
      </c>
      <c r="AJ318">
        <v>17.233333330000001</v>
      </c>
      <c r="AK318">
        <v>18.399999999999999</v>
      </c>
      <c r="AL318">
        <v>16.899999999999999</v>
      </c>
      <c r="AM318">
        <v>17.399999999999999</v>
      </c>
      <c r="AN318">
        <v>17.56666667</v>
      </c>
      <c r="AO318">
        <v>17.56666667</v>
      </c>
      <c r="AP318">
        <v>6.1</v>
      </c>
      <c r="AQ318">
        <v>6.1</v>
      </c>
      <c r="AR318" t="s">
        <v>114</v>
      </c>
      <c r="AS318">
        <v>6.1</v>
      </c>
      <c r="AT318">
        <v>4.0999999999999996</v>
      </c>
      <c r="AU318" t="s">
        <v>114</v>
      </c>
      <c r="AV318" t="s">
        <v>114</v>
      </c>
      <c r="AW318">
        <v>4.0999999999999996</v>
      </c>
      <c r="AX318">
        <v>4.0999999999999996</v>
      </c>
      <c r="AY318">
        <v>-14.133333329999999</v>
      </c>
      <c r="AZ318">
        <v>80</v>
      </c>
      <c r="BA318">
        <v>0</v>
      </c>
      <c r="BB318">
        <v>20</v>
      </c>
      <c r="BC318">
        <v>0</v>
      </c>
      <c r="BD318">
        <v>0</v>
      </c>
      <c r="BE318">
        <v>0</v>
      </c>
      <c r="BF318">
        <v>0</v>
      </c>
      <c r="BG318">
        <v>0</v>
      </c>
      <c r="BI318">
        <v>4.7</v>
      </c>
      <c r="BJ318">
        <v>42.4</v>
      </c>
      <c r="BK318">
        <v>0</v>
      </c>
      <c r="BL318">
        <v>4</v>
      </c>
      <c r="BM318">
        <v>4</v>
      </c>
      <c r="BN318" t="s">
        <v>114</v>
      </c>
      <c r="BO318">
        <v>0</v>
      </c>
      <c r="BP318" t="s">
        <v>114</v>
      </c>
      <c r="BQ318" t="s">
        <v>114</v>
      </c>
      <c r="BR318" t="s">
        <v>114</v>
      </c>
      <c r="BS318" t="s">
        <v>114</v>
      </c>
      <c r="BT318" t="s">
        <v>114</v>
      </c>
      <c r="BU318" t="s">
        <v>114</v>
      </c>
      <c r="BV318" t="s">
        <v>114</v>
      </c>
      <c r="BW318" t="s">
        <v>114</v>
      </c>
      <c r="BX318" t="s">
        <v>114</v>
      </c>
      <c r="BY318" t="s">
        <v>114</v>
      </c>
      <c r="BZ318" t="s">
        <v>114</v>
      </c>
      <c r="CA318" t="s">
        <v>114</v>
      </c>
      <c r="CB318" t="s">
        <v>114</v>
      </c>
      <c r="CC318" t="s">
        <v>114</v>
      </c>
      <c r="CD318" t="s">
        <v>114</v>
      </c>
      <c r="CE318" t="s">
        <v>114</v>
      </c>
      <c r="CF318" t="s">
        <v>114</v>
      </c>
      <c r="CG318" t="s">
        <v>114</v>
      </c>
      <c r="CH318" t="s">
        <v>114</v>
      </c>
      <c r="CI318" t="s">
        <v>114</v>
      </c>
      <c r="CJ318" t="s">
        <v>114</v>
      </c>
      <c r="CK318" t="s">
        <v>114</v>
      </c>
      <c r="CL318" t="s">
        <v>114</v>
      </c>
      <c r="CM318" t="s">
        <v>114</v>
      </c>
      <c r="CN318" t="s">
        <v>114</v>
      </c>
      <c r="CO318" t="s">
        <v>114</v>
      </c>
      <c r="CP318" t="s">
        <v>114</v>
      </c>
      <c r="CQ318" t="s">
        <v>114</v>
      </c>
      <c r="CR318" t="s">
        <v>114</v>
      </c>
      <c r="CS318" t="s">
        <v>114</v>
      </c>
      <c r="CT318" t="s">
        <v>114</v>
      </c>
      <c r="CU318" t="s">
        <v>114</v>
      </c>
      <c r="CV318" t="s">
        <v>114</v>
      </c>
      <c r="CW318" t="s">
        <v>114</v>
      </c>
    </row>
    <row r="319" spans="1:101" x14ac:dyDescent="0.25">
      <c r="A319" t="s">
        <v>38</v>
      </c>
      <c r="B319">
        <v>2</v>
      </c>
      <c r="C319" t="s">
        <v>11</v>
      </c>
      <c r="D319" t="s">
        <v>95</v>
      </c>
      <c r="E319" t="s">
        <v>103</v>
      </c>
      <c r="F319" t="s">
        <v>120</v>
      </c>
      <c r="G319" t="s">
        <v>268</v>
      </c>
      <c r="H319" t="str">
        <f t="shared" si="36"/>
        <v>P.airoides.Solo.Shade</v>
      </c>
      <c r="I319" t="s">
        <v>715</v>
      </c>
      <c r="J319" t="s">
        <v>593</v>
      </c>
      <c r="K319">
        <v>0</v>
      </c>
      <c r="L319">
        <v>90</v>
      </c>
      <c r="M319">
        <v>35</v>
      </c>
      <c r="N319">
        <v>35</v>
      </c>
      <c r="O319" t="s">
        <v>114</v>
      </c>
      <c r="P319">
        <v>15</v>
      </c>
      <c r="Q319">
        <v>25</v>
      </c>
      <c r="R319">
        <v>5</v>
      </c>
      <c r="S319">
        <f t="shared" si="37"/>
        <v>15</v>
      </c>
      <c r="T319">
        <f t="shared" si="38"/>
        <v>0.42857142857142855</v>
      </c>
      <c r="U319" t="s">
        <v>15</v>
      </c>
      <c r="V319" t="s">
        <v>114</v>
      </c>
      <c r="W319" t="s">
        <v>114</v>
      </c>
      <c r="X319">
        <v>18.399999999999999</v>
      </c>
      <c r="Y319">
        <v>16.399999999999999</v>
      </c>
      <c r="Z319">
        <v>18.399999999999999</v>
      </c>
      <c r="AA319">
        <v>17.733333330000001</v>
      </c>
      <c r="AB319">
        <v>18.233333330000001</v>
      </c>
      <c r="AC319">
        <v>18.399999999999999</v>
      </c>
      <c r="AD319">
        <v>18.899999999999999</v>
      </c>
      <c r="AE319">
        <v>17.399999999999999</v>
      </c>
      <c r="AF319">
        <v>18.233333330000001</v>
      </c>
      <c r="AG319">
        <v>15.9</v>
      </c>
      <c r="AH319">
        <v>18.399999999999999</v>
      </c>
      <c r="AI319">
        <v>17.399999999999999</v>
      </c>
      <c r="AJ319">
        <v>17.233333330000001</v>
      </c>
      <c r="AK319">
        <v>19.3</v>
      </c>
      <c r="AL319">
        <v>20.8</v>
      </c>
      <c r="AM319">
        <v>19.8</v>
      </c>
      <c r="AN319">
        <v>19.966666669999999</v>
      </c>
      <c r="AO319">
        <v>19.966666669999999</v>
      </c>
      <c r="AP319">
        <v>6.1</v>
      </c>
      <c r="AQ319">
        <v>6.1</v>
      </c>
      <c r="AR319" t="s">
        <v>114</v>
      </c>
      <c r="AS319">
        <v>6.1</v>
      </c>
      <c r="AT319">
        <v>4.0999999999999996</v>
      </c>
      <c r="AU319" t="s">
        <v>114</v>
      </c>
      <c r="AV319" t="s">
        <v>114</v>
      </c>
      <c r="AW319">
        <v>4.0999999999999996</v>
      </c>
      <c r="AX319">
        <v>4.0999999999999996</v>
      </c>
      <c r="AY319">
        <v>-14.133333329999999</v>
      </c>
      <c r="AZ319">
        <v>100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I319">
        <v>4.7</v>
      </c>
      <c r="BJ319">
        <v>42.4</v>
      </c>
      <c r="BK319">
        <v>0</v>
      </c>
      <c r="BL319">
        <v>4</v>
      </c>
      <c r="BM319">
        <v>4</v>
      </c>
      <c r="BN319">
        <v>175</v>
      </c>
      <c r="BO319">
        <v>196.5</v>
      </c>
      <c r="BP319">
        <f>BN319-BO319</f>
        <v>-21.5</v>
      </c>
      <c r="BQ319" t="s">
        <v>114</v>
      </c>
      <c r="BR319" t="s">
        <v>114</v>
      </c>
      <c r="BS319" t="s">
        <v>114</v>
      </c>
      <c r="BT319" t="s">
        <v>114</v>
      </c>
      <c r="BU319" t="s">
        <v>114</v>
      </c>
      <c r="BV319" t="s">
        <v>114</v>
      </c>
      <c r="BW319" t="s">
        <v>114</v>
      </c>
      <c r="BX319" t="s">
        <v>114</v>
      </c>
      <c r="BY319" t="s">
        <v>114</v>
      </c>
      <c r="BZ319" t="s">
        <v>114</v>
      </c>
      <c r="CA319" t="s">
        <v>114</v>
      </c>
      <c r="CB319" t="s">
        <v>114</v>
      </c>
      <c r="CC319" t="s">
        <v>114</v>
      </c>
      <c r="CD319" t="s">
        <v>114</v>
      </c>
      <c r="CE319" t="s">
        <v>114</v>
      </c>
      <c r="CF319" t="s">
        <v>114</v>
      </c>
      <c r="CG319" t="s">
        <v>114</v>
      </c>
      <c r="CH319" t="s">
        <v>114</v>
      </c>
      <c r="CI319" t="s">
        <v>114</v>
      </c>
      <c r="CJ319" t="s">
        <v>114</v>
      </c>
      <c r="CK319" t="s">
        <v>114</v>
      </c>
      <c r="CL319" t="s">
        <v>114</v>
      </c>
      <c r="CM319" t="s">
        <v>114</v>
      </c>
      <c r="CN319" t="s">
        <v>114</v>
      </c>
      <c r="CO319" t="s">
        <v>114</v>
      </c>
      <c r="CP319" t="s">
        <v>114</v>
      </c>
      <c r="CQ319" t="s">
        <v>114</v>
      </c>
      <c r="CR319" t="s">
        <v>114</v>
      </c>
      <c r="CS319" t="s">
        <v>114</v>
      </c>
      <c r="CT319" t="s">
        <v>114</v>
      </c>
      <c r="CU319" t="s">
        <v>114</v>
      </c>
      <c r="CV319" t="s">
        <v>114</v>
      </c>
      <c r="CW319" t="s">
        <v>114</v>
      </c>
    </row>
    <row r="320" spans="1:101" x14ac:dyDescent="0.25">
      <c r="A320" t="s">
        <v>38</v>
      </c>
      <c r="B320">
        <v>2</v>
      </c>
      <c r="C320" t="s">
        <v>11</v>
      </c>
      <c r="D320" t="s">
        <v>95</v>
      </c>
      <c r="E320" t="s">
        <v>111</v>
      </c>
      <c r="F320" t="s">
        <v>120</v>
      </c>
      <c r="G320" t="s">
        <v>271</v>
      </c>
      <c r="H320" t="str">
        <f t="shared" si="36"/>
        <v>P.canescens.Solo.Shade</v>
      </c>
      <c r="I320" t="s">
        <v>716</v>
      </c>
      <c r="J320" t="s">
        <v>594</v>
      </c>
      <c r="K320">
        <v>0</v>
      </c>
      <c r="L320">
        <v>270</v>
      </c>
      <c r="M320">
        <v>230</v>
      </c>
      <c r="N320">
        <v>230</v>
      </c>
      <c r="O320" t="s">
        <v>114</v>
      </c>
      <c r="P320">
        <v>7</v>
      </c>
      <c r="Q320">
        <v>80</v>
      </c>
      <c r="R320">
        <v>35</v>
      </c>
      <c r="S320">
        <f t="shared" si="37"/>
        <v>57.5</v>
      </c>
      <c r="T320">
        <f t="shared" si="38"/>
        <v>0.25</v>
      </c>
      <c r="U320" t="s">
        <v>15</v>
      </c>
      <c r="V320" t="s">
        <v>114</v>
      </c>
      <c r="W320" t="s">
        <v>114</v>
      </c>
      <c r="X320">
        <v>18.399999999999999</v>
      </c>
      <c r="Y320">
        <v>16.399999999999999</v>
      </c>
      <c r="Z320">
        <v>18.399999999999999</v>
      </c>
      <c r="AA320">
        <v>17.733333330000001</v>
      </c>
      <c r="AB320">
        <v>17.899999999999999</v>
      </c>
      <c r="AC320">
        <v>17.399999999999999</v>
      </c>
      <c r="AD320">
        <v>17.899999999999999</v>
      </c>
      <c r="AE320">
        <v>18.399999999999999</v>
      </c>
      <c r="AF320">
        <v>17.899999999999999</v>
      </c>
      <c r="AG320">
        <v>15.9</v>
      </c>
      <c r="AH320">
        <v>18.399999999999999</v>
      </c>
      <c r="AI320">
        <v>17.399999999999999</v>
      </c>
      <c r="AJ320">
        <v>17.233333330000001</v>
      </c>
      <c r="AK320">
        <v>18.399999999999999</v>
      </c>
      <c r="AL320">
        <v>21.3</v>
      </c>
      <c r="AM320">
        <v>20.8</v>
      </c>
      <c r="AN320">
        <v>20.166666670000001</v>
      </c>
      <c r="AO320">
        <v>20.166666670000001</v>
      </c>
      <c r="AP320">
        <v>6.1</v>
      </c>
      <c r="AQ320">
        <v>6.1</v>
      </c>
      <c r="AR320" t="s">
        <v>114</v>
      </c>
      <c r="AS320">
        <v>6.1</v>
      </c>
      <c r="AT320">
        <v>5.0999999999999996</v>
      </c>
      <c r="AU320" t="s">
        <v>114</v>
      </c>
      <c r="AV320" t="s">
        <v>114</v>
      </c>
      <c r="AW320">
        <v>5.0999999999999996</v>
      </c>
      <c r="AX320">
        <v>5.0999999999999996</v>
      </c>
      <c r="AY320">
        <v>-12.8</v>
      </c>
      <c r="AZ320">
        <v>100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I320">
        <v>4.7</v>
      </c>
      <c r="BJ320">
        <v>42.4</v>
      </c>
      <c r="BK320">
        <v>0</v>
      </c>
      <c r="BL320">
        <v>17</v>
      </c>
      <c r="BM320">
        <v>16</v>
      </c>
      <c r="BN320">
        <v>355</v>
      </c>
      <c r="BO320">
        <v>177.5</v>
      </c>
      <c r="BP320">
        <f>BN320-BO320</f>
        <v>177.5</v>
      </c>
      <c r="BQ320" t="s">
        <v>114</v>
      </c>
      <c r="BR320" t="s">
        <v>114</v>
      </c>
      <c r="BS320" t="s">
        <v>114</v>
      </c>
      <c r="BT320" t="s">
        <v>114</v>
      </c>
      <c r="BU320" t="s">
        <v>114</v>
      </c>
      <c r="BV320" t="s">
        <v>114</v>
      </c>
      <c r="BW320" t="s">
        <v>114</v>
      </c>
      <c r="BX320" t="s">
        <v>114</v>
      </c>
      <c r="BY320" t="s">
        <v>114</v>
      </c>
      <c r="BZ320" t="s">
        <v>114</v>
      </c>
      <c r="CA320" t="s">
        <v>114</v>
      </c>
      <c r="CB320" t="s">
        <v>114</v>
      </c>
      <c r="CC320" t="s">
        <v>114</v>
      </c>
      <c r="CD320" t="s">
        <v>114</v>
      </c>
      <c r="CE320" t="s">
        <v>114</v>
      </c>
      <c r="CF320" t="s">
        <v>114</v>
      </c>
      <c r="CG320" t="s">
        <v>114</v>
      </c>
      <c r="CH320" t="s">
        <v>114</v>
      </c>
      <c r="CI320" t="s">
        <v>114</v>
      </c>
      <c r="CJ320" t="s">
        <v>114</v>
      </c>
      <c r="CK320" t="s">
        <v>114</v>
      </c>
      <c r="CL320" t="s">
        <v>114</v>
      </c>
      <c r="CM320" t="s">
        <v>114</v>
      </c>
      <c r="CN320" t="s">
        <v>114</v>
      </c>
      <c r="CO320" t="s">
        <v>114</v>
      </c>
      <c r="CP320" t="s">
        <v>114</v>
      </c>
      <c r="CQ320" t="s">
        <v>114</v>
      </c>
      <c r="CR320" t="s">
        <v>114</v>
      </c>
      <c r="CS320" t="s">
        <v>114</v>
      </c>
      <c r="CT320" t="s">
        <v>114</v>
      </c>
      <c r="CU320" t="s">
        <v>114</v>
      </c>
      <c r="CV320" t="s">
        <v>114</v>
      </c>
      <c r="CW320" t="s">
        <v>114</v>
      </c>
    </row>
    <row r="321" spans="1:101" x14ac:dyDescent="0.25">
      <c r="A321" t="s">
        <v>39</v>
      </c>
      <c r="B321">
        <v>2</v>
      </c>
      <c r="C321" t="s">
        <v>15</v>
      </c>
      <c r="D321" t="s">
        <v>94</v>
      </c>
      <c r="E321" t="s">
        <v>102</v>
      </c>
      <c r="F321" t="s">
        <v>120</v>
      </c>
      <c r="G321" t="s">
        <v>273</v>
      </c>
      <c r="H321" t="str">
        <f t="shared" si="36"/>
        <v>A.calendula.Solo.Open</v>
      </c>
      <c r="I321" t="s">
        <v>717</v>
      </c>
      <c r="J321" t="s">
        <v>595</v>
      </c>
      <c r="K321">
        <v>0</v>
      </c>
      <c r="L321">
        <v>70</v>
      </c>
      <c r="M321">
        <v>90</v>
      </c>
      <c r="N321">
        <v>90</v>
      </c>
      <c r="O321" t="s">
        <v>114</v>
      </c>
      <c r="P321">
        <v>70</v>
      </c>
      <c r="Q321">
        <v>75</v>
      </c>
      <c r="R321">
        <v>45</v>
      </c>
      <c r="S321">
        <f t="shared" si="37"/>
        <v>60</v>
      </c>
      <c r="T321">
        <f t="shared" si="38"/>
        <v>0.66666666666666663</v>
      </c>
      <c r="U321" t="s">
        <v>792</v>
      </c>
      <c r="V321" t="s">
        <v>114</v>
      </c>
      <c r="W321" t="s">
        <v>114</v>
      </c>
      <c r="X321">
        <v>14.4</v>
      </c>
      <c r="Y321">
        <v>12</v>
      </c>
      <c r="Z321">
        <v>13.5</v>
      </c>
      <c r="AA321">
        <v>13.3</v>
      </c>
      <c r="AB321">
        <v>14.43333333</v>
      </c>
      <c r="AC321">
        <v>13</v>
      </c>
      <c r="AD321">
        <v>14.4</v>
      </c>
      <c r="AE321">
        <v>15.9</v>
      </c>
      <c r="AF321">
        <v>14.43333333</v>
      </c>
      <c r="AG321">
        <v>12</v>
      </c>
      <c r="AH321">
        <v>13.9</v>
      </c>
      <c r="AI321">
        <v>13.9</v>
      </c>
      <c r="AJ321">
        <v>13.266666669999999</v>
      </c>
      <c r="AK321">
        <v>13.9</v>
      </c>
      <c r="AL321">
        <v>14.9</v>
      </c>
      <c r="AM321">
        <v>15.9</v>
      </c>
      <c r="AN321">
        <v>14.9</v>
      </c>
      <c r="AO321">
        <v>14.9</v>
      </c>
      <c r="AP321">
        <v>4.0999999999999996</v>
      </c>
      <c r="AQ321">
        <v>4.5999999999999996</v>
      </c>
      <c r="AR321">
        <v>5.0999999999999996</v>
      </c>
      <c r="AS321">
        <v>4.5999999999999996</v>
      </c>
      <c r="AT321">
        <v>4.5999999999999996</v>
      </c>
      <c r="AU321">
        <v>5.6</v>
      </c>
      <c r="AV321">
        <v>5.0999999999999996</v>
      </c>
      <c r="AW321">
        <v>5.0999999999999996</v>
      </c>
      <c r="AX321">
        <v>5.0999999999999996</v>
      </c>
      <c r="AY321">
        <v>-9.3333333330000006</v>
      </c>
      <c r="AZ321">
        <v>70</v>
      </c>
      <c r="BA321">
        <v>0</v>
      </c>
      <c r="BB321">
        <v>0</v>
      </c>
      <c r="BC321">
        <v>0</v>
      </c>
      <c r="BD321">
        <v>30</v>
      </c>
      <c r="BE321">
        <v>0</v>
      </c>
      <c r="BF321">
        <v>0</v>
      </c>
      <c r="BG321">
        <v>0</v>
      </c>
      <c r="BI321">
        <v>7.3</v>
      </c>
      <c r="BJ321">
        <v>0</v>
      </c>
      <c r="BK321">
        <v>0</v>
      </c>
      <c r="BL321">
        <v>7</v>
      </c>
      <c r="BM321">
        <v>7</v>
      </c>
      <c r="BN321">
        <v>182</v>
      </c>
      <c r="BO321">
        <v>161.5</v>
      </c>
      <c r="BP321">
        <f>BN321-BO321</f>
        <v>20.5</v>
      </c>
      <c r="BQ321" t="s">
        <v>114</v>
      </c>
      <c r="BR321" t="s">
        <v>114</v>
      </c>
      <c r="BS321" t="s">
        <v>114</v>
      </c>
      <c r="BT321" t="s">
        <v>114</v>
      </c>
      <c r="BU321" t="s">
        <v>114</v>
      </c>
      <c r="BV321" t="s">
        <v>114</v>
      </c>
      <c r="BW321" t="s">
        <v>114</v>
      </c>
      <c r="BX321" t="s">
        <v>114</v>
      </c>
      <c r="BY321" t="s">
        <v>114</v>
      </c>
      <c r="BZ321" t="s">
        <v>114</v>
      </c>
      <c r="CA321" t="s">
        <v>114</v>
      </c>
      <c r="CB321" t="s">
        <v>114</v>
      </c>
      <c r="CC321" t="s">
        <v>114</v>
      </c>
      <c r="CD321" t="s">
        <v>114</v>
      </c>
      <c r="CE321" t="s">
        <v>114</v>
      </c>
      <c r="CF321" t="s">
        <v>114</v>
      </c>
      <c r="CG321" t="s">
        <v>114</v>
      </c>
      <c r="CH321" t="s">
        <v>114</v>
      </c>
      <c r="CI321" t="s">
        <v>114</v>
      </c>
      <c r="CJ321" t="s">
        <v>114</v>
      </c>
      <c r="CK321" t="s">
        <v>114</v>
      </c>
      <c r="CL321" t="s">
        <v>114</v>
      </c>
      <c r="CM321" t="s">
        <v>114</v>
      </c>
      <c r="CN321" t="s">
        <v>114</v>
      </c>
      <c r="CO321" t="s">
        <v>114</v>
      </c>
      <c r="CP321" t="s">
        <v>114</v>
      </c>
      <c r="CQ321" t="s">
        <v>114</v>
      </c>
      <c r="CR321" t="s">
        <v>114</v>
      </c>
      <c r="CS321" t="s">
        <v>114</v>
      </c>
      <c r="CT321" t="s">
        <v>114</v>
      </c>
      <c r="CU321" t="s">
        <v>114</v>
      </c>
      <c r="CV321" t="s">
        <v>114</v>
      </c>
      <c r="CW321" t="s">
        <v>114</v>
      </c>
    </row>
    <row r="322" spans="1:101" x14ac:dyDescent="0.25">
      <c r="A322" t="s">
        <v>39</v>
      </c>
      <c r="B322">
        <v>2</v>
      </c>
      <c r="C322" t="s">
        <v>15</v>
      </c>
      <c r="D322" t="s">
        <v>94</v>
      </c>
      <c r="E322" t="s">
        <v>113</v>
      </c>
      <c r="F322" t="s">
        <v>120</v>
      </c>
      <c r="G322" t="s">
        <v>267</v>
      </c>
      <c r="H322" t="str">
        <f t="shared" ref="H322:H385" si="41">G322&amp;"."&amp;D322</f>
        <v>H.glutinosum.Solo.Open</v>
      </c>
      <c r="I322" t="s">
        <v>718</v>
      </c>
      <c r="J322" t="s">
        <v>596</v>
      </c>
      <c r="K322">
        <v>0</v>
      </c>
      <c r="L322">
        <v>60</v>
      </c>
      <c r="M322">
        <v>70</v>
      </c>
      <c r="N322">
        <v>70</v>
      </c>
      <c r="O322" t="s">
        <v>114</v>
      </c>
      <c r="P322">
        <v>10</v>
      </c>
      <c r="Q322">
        <v>18</v>
      </c>
      <c r="R322">
        <v>7</v>
      </c>
      <c r="S322">
        <f t="shared" si="37"/>
        <v>12.5</v>
      </c>
      <c r="T322">
        <f t="shared" si="38"/>
        <v>0.17857142857142858</v>
      </c>
      <c r="U322" t="s">
        <v>23</v>
      </c>
      <c r="V322" t="s">
        <v>114</v>
      </c>
      <c r="W322" t="s">
        <v>114</v>
      </c>
      <c r="X322">
        <v>14.4</v>
      </c>
      <c r="Y322">
        <v>12</v>
      </c>
      <c r="Z322">
        <v>13.5</v>
      </c>
      <c r="AA322">
        <v>13.3</v>
      </c>
      <c r="AB322">
        <v>15.56666667</v>
      </c>
      <c r="AC322">
        <v>15.4</v>
      </c>
      <c r="AD322">
        <v>16.399999999999999</v>
      </c>
      <c r="AE322">
        <v>14.9</v>
      </c>
      <c r="AF322">
        <v>15.56666667</v>
      </c>
      <c r="AG322">
        <v>12</v>
      </c>
      <c r="AH322">
        <v>13.9</v>
      </c>
      <c r="AI322">
        <v>13.9</v>
      </c>
      <c r="AJ322">
        <v>13.266666669999999</v>
      </c>
      <c r="AK322">
        <v>14.9</v>
      </c>
      <c r="AL322">
        <v>16.399999999999999</v>
      </c>
      <c r="AM322">
        <v>17.399999999999999</v>
      </c>
      <c r="AN322">
        <v>16.233333330000001</v>
      </c>
      <c r="AO322">
        <v>16.233333330000001</v>
      </c>
      <c r="AP322">
        <v>4.0999999999999996</v>
      </c>
      <c r="AQ322">
        <v>4.5999999999999996</v>
      </c>
      <c r="AR322">
        <v>5.0999999999999996</v>
      </c>
      <c r="AS322">
        <v>4.5999999999999996</v>
      </c>
      <c r="AT322">
        <v>4.5999999999999996</v>
      </c>
      <c r="AU322">
        <v>5.6</v>
      </c>
      <c r="AV322">
        <v>6.1</v>
      </c>
      <c r="AW322">
        <v>5.4333333330000002</v>
      </c>
      <c r="AX322">
        <v>5.4333333330000002</v>
      </c>
      <c r="AY322">
        <v>-10.133333329999999</v>
      </c>
      <c r="AZ322">
        <v>40</v>
      </c>
      <c r="BA322">
        <v>0</v>
      </c>
      <c r="BB322">
        <v>60</v>
      </c>
      <c r="BC322">
        <v>0</v>
      </c>
      <c r="BD322">
        <v>0</v>
      </c>
      <c r="BE322">
        <v>0</v>
      </c>
      <c r="BF322">
        <v>0</v>
      </c>
      <c r="BG322">
        <v>0</v>
      </c>
      <c r="BI322">
        <v>7.3</v>
      </c>
      <c r="BJ322">
        <v>0</v>
      </c>
      <c r="BK322">
        <v>0</v>
      </c>
      <c r="BL322">
        <v>3</v>
      </c>
      <c r="BM322">
        <v>3</v>
      </c>
      <c r="BN322" t="s">
        <v>114</v>
      </c>
      <c r="BO322">
        <v>2</v>
      </c>
      <c r="BP322" t="s">
        <v>114</v>
      </c>
      <c r="BQ322" t="s">
        <v>114</v>
      </c>
      <c r="BR322" t="s">
        <v>114</v>
      </c>
      <c r="BS322" t="s">
        <v>114</v>
      </c>
      <c r="BT322" t="s">
        <v>114</v>
      </c>
      <c r="BU322" t="s">
        <v>114</v>
      </c>
      <c r="BV322" t="s">
        <v>114</v>
      </c>
      <c r="BW322" t="s">
        <v>114</v>
      </c>
      <c r="BX322" t="s">
        <v>114</v>
      </c>
      <c r="BY322" t="s">
        <v>114</v>
      </c>
      <c r="BZ322" t="s">
        <v>114</v>
      </c>
      <c r="CA322" t="s">
        <v>114</v>
      </c>
      <c r="CB322" t="s">
        <v>114</v>
      </c>
      <c r="CC322" t="s">
        <v>114</v>
      </c>
      <c r="CD322" t="s">
        <v>114</v>
      </c>
      <c r="CE322" t="s">
        <v>114</v>
      </c>
      <c r="CF322" t="s">
        <v>114</v>
      </c>
      <c r="CG322" t="s">
        <v>114</v>
      </c>
      <c r="CH322" t="s">
        <v>114</v>
      </c>
      <c r="CI322" t="s">
        <v>114</v>
      </c>
      <c r="CJ322" t="s">
        <v>114</v>
      </c>
      <c r="CK322" t="s">
        <v>114</v>
      </c>
      <c r="CL322" t="s">
        <v>114</v>
      </c>
      <c r="CM322" t="s">
        <v>114</v>
      </c>
      <c r="CN322" t="s">
        <v>114</v>
      </c>
      <c r="CO322" t="s">
        <v>114</v>
      </c>
      <c r="CP322" t="s">
        <v>114</v>
      </c>
      <c r="CQ322" t="s">
        <v>114</v>
      </c>
      <c r="CR322" t="s">
        <v>114</v>
      </c>
      <c r="CS322" t="s">
        <v>114</v>
      </c>
      <c r="CT322" t="s">
        <v>114</v>
      </c>
      <c r="CU322" t="s">
        <v>114</v>
      </c>
      <c r="CV322" t="s">
        <v>114</v>
      </c>
      <c r="CW322" t="s">
        <v>114</v>
      </c>
    </row>
    <row r="323" spans="1:101" x14ac:dyDescent="0.25">
      <c r="A323" t="s">
        <v>39</v>
      </c>
      <c r="B323">
        <v>2</v>
      </c>
      <c r="C323" t="s">
        <v>15</v>
      </c>
      <c r="D323" t="s">
        <v>94</v>
      </c>
      <c r="E323" t="s">
        <v>103</v>
      </c>
      <c r="F323" t="s">
        <v>120</v>
      </c>
      <c r="G323" t="s">
        <v>268</v>
      </c>
      <c r="H323" t="str">
        <f t="shared" si="41"/>
        <v>P.airoides.Solo.Open</v>
      </c>
      <c r="I323" t="s">
        <v>719</v>
      </c>
      <c r="J323" t="s">
        <v>597</v>
      </c>
      <c r="K323">
        <v>0</v>
      </c>
      <c r="L323">
        <v>40</v>
      </c>
      <c r="M323">
        <v>50</v>
      </c>
      <c r="N323">
        <v>50</v>
      </c>
      <c r="O323" t="s">
        <v>114</v>
      </c>
      <c r="P323">
        <v>25</v>
      </c>
      <c r="Q323">
        <v>20</v>
      </c>
      <c r="R323">
        <v>18</v>
      </c>
      <c r="S323">
        <f t="shared" ref="S323:S386" si="42">AVERAGE(Q323:R323)</f>
        <v>19</v>
      </c>
      <c r="T323">
        <f t="shared" ref="T323:T386" si="43">S323/N323</f>
        <v>0.38</v>
      </c>
      <c r="U323" t="s">
        <v>15</v>
      </c>
      <c r="V323" t="s">
        <v>114</v>
      </c>
      <c r="W323" t="s">
        <v>114</v>
      </c>
      <c r="X323">
        <v>14.4</v>
      </c>
      <c r="Y323">
        <v>12</v>
      </c>
      <c r="Z323">
        <v>13.5</v>
      </c>
      <c r="AA323">
        <v>13.3</v>
      </c>
      <c r="AB323">
        <v>15.9</v>
      </c>
      <c r="AC323">
        <v>15.4</v>
      </c>
      <c r="AD323">
        <v>14.4</v>
      </c>
      <c r="AE323">
        <v>17.899999999999999</v>
      </c>
      <c r="AF323">
        <v>15.9</v>
      </c>
      <c r="AG323">
        <v>12</v>
      </c>
      <c r="AH323">
        <v>13.9</v>
      </c>
      <c r="AI323">
        <v>13.9</v>
      </c>
      <c r="AJ323">
        <v>13.266666669999999</v>
      </c>
      <c r="AK323">
        <v>17.399999999999999</v>
      </c>
      <c r="AL323">
        <v>14.4</v>
      </c>
      <c r="AM323">
        <v>14.9</v>
      </c>
      <c r="AN323">
        <v>15.56666667</v>
      </c>
      <c r="AO323">
        <v>15.56666667</v>
      </c>
      <c r="AP323">
        <v>4.0999999999999996</v>
      </c>
      <c r="AQ323">
        <v>4.5999999999999996</v>
      </c>
      <c r="AR323">
        <v>5.0999999999999996</v>
      </c>
      <c r="AS323">
        <v>4.5999999999999996</v>
      </c>
      <c r="AT323">
        <v>5.0999999999999996</v>
      </c>
      <c r="AU323">
        <v>5.0999999999999996</v>
      </c>
      <c r="AV323">
        <v>5.6</v>
      </c>
      <c r="AW323">
        <v>5.266666667</v>
      </c>
      <c r="AX323">
        <v>5.266666667</v>
      </c>
      <c r="AY323">
        <v>-10.633333329999999</v>
      </c>
      <c r="AZ323">
        <v>80</v>
      </c>
      <c r="BA323">
        <v>0</v>
      </c>
      <c r="BB323">
        <v>20</v>
      </c>
      <c r="BC323">
        <v>0</v>
      </c>
      <c r="BD323">
        <v>0</v>
      </c>
      <c r="BE323">
        <v>0</v>
      </c>
      <c r="BF323">
        <v>0</v>
      </c>
      <c r="BG323">
        <v>0</v>
      </c>
      <c r="BI323">
        <v>7.3</v>
      </c>
      <c r="BJ323">
        <v>0</v>
      </c>
      <c r="BK323">
        <v>0</v>
      </c>
      <c r="BL323">
        <v>4</v>
      </c>
      <c r="BM323">
        <v>4</v>
      </c>
      <c r="BN323">
        <v>240</v>
      </c>
      <c r="BO323">
        <v>333</v>
      </c>
      <c r="BP323">
        <f t="shared" ref="BP323:BP354" si="44">BN323-BO323</f>
        <v>-93</v>
      </c>
      <c r="BQ323" t="s">
        <v>114</v>
      </c>
      <c r="BR323" t="s">
        <v>114</v>
      </c>
      <c r="BS323" t="s">
        <v>114</v>
      </c>
      <c r="BT323" t="s">
        <v>114</v>
      </c>
      <c r="BU323" t="s">
        <v>114</v>
      </c>
      <c r="BV323" t="s">
        <v>114</v>
      </c>
      <c r="BW323" t="s">
        <v>114</v>
      </c>
      <c r="BX323" t="s">
        <v>114</v>
      </c>
      <c r="BY323" t="s">
        <v>114</v>
      </c>
      <c r="BZ323" t="s">
        <v>114</v>
      </c>
      <c r="CA323" t="s">
        <v>114</v>
      </c>
      <c r="CB323" t="s">
        <v>114</v>
      </c>
      <c r="CC323" t="s">
        <v>114</v>
      </c>
      <c r="CD323" t="s">
        <v>114</v>
      </c>
      <c r="CE323" t="s">
        <v>114</v>
      </c>
      <c r="CF323" t="s">
        <v>114</v>
      </c>
      <c r="CG323" t="s">
        <v>114</v>
      </c>
      <c r="CH323" t="s">
        <v>114</v>
      </c>
      <c r="CI323" t="s">
        <v>114</v>
      </c>
      <c r="CJ323" t="s">
        <v>114</v>
      </c>
      <c r="CK323" t="s">
        <v>114</v>
      </c>
      <c r="CL323" t="s">
        <v>114</v>
      </c>
      <c r="CM323" t="s">
        <v>114</v>
      </c>
      <c r="CN323" t="s">
        <v>114</v>
      </c>
      <c r="CO323" t="s">
        <v>114</v>
      </c>
      <c r="CP323" t="s">
        <v>114</v>
      </c>
      <c r="CQ323" t="s">
        <v>114</v>
      </c>
      <c r="CR323" t="s">
        <v>114</v>
      </c>
      <c r="CS323" t="s">
        <v>114</v>
      </c>
      <c r="CT323" t="s">
        <v>114</v>
      </c>
      <c r="CU323" t="s">
        <v>114</v>
      </c>
      <c r="CV323" t="s">
        <v>114</v>
      </c>
      <c r="CW323" t="s">
        <v>114</v>
      </c>
    </row>
    <row r="324" spans="1:101" x14ac:dyDescent="0.25">
      <c r="A324" t="s">
        <v>39</v>
      </c>
      <c r="B324">
        <v>2</v>
      </c>
      <c r="C324" t="s">
        <v>15</v>
      </c>
      <c r="D324" t="s">
        <v>94</v>
      </c>
      <c r="E324" t="s">
        <v>111</v>
      </c>
      <c r="F324" t="s">
        <v>120</v>
      </c>
      <c r="G324" t="s">
        <v>271</v>
      </c>
      <c r="H324" t="str">
        <f t="shared" si="41"/>
        <v>P.canescens.Solo.Open</v>
      </c>
      <c r="I324" t="s">
        <v>720</v>
      </c>
      <c r="J324" t="s">
        <v>598</v>
      </c>
      <c r="K324">
        <v>0</v>
      </c>
      <c r="L324">
        <v>400</v>
      </c>
      <c r="M324">
        <v>210</v>
      </c>
      <c r="N324">
        <v>210</v>
      </c>
      <c r="O324" t="s">
        <v>114</v>
      </c>
      <c r="P324">
        <v>55</v>
      </c>
      <c r="Q324">
        <v>120</v>
      </c>
      <c r="R324">
        <v>20</v>
      </c>
      <c r="S324">
        <f t="shared" si="42"/>
        <v>70</v>
      </c>
      <c r="T324">
        <f t="shared" si="43"/>
        <v>0.33333333333333331</v>
      </c>
      <c r="U324" t="s">
        <v>792</v>
      </c>
      <c r="V324" t="s">
        <v>114</v>
      </c>
      <c r="W324" t="s">
        <v>114</v>
      </c>
      <c r="X324">
        <v>14.4</v>
      </c>
      <c r="Y324">
        <v>12</v>
      </c>
      <c r="Z324">
        <v>13.5</v>
      </c>
      <c r="AA324">
        <v>13.3</v>
      </c>
      <c r="AB324">
        <v>16.06666667</v>
      </c>
      <c r="AC324">
        <v>16.899999999999999</v>
      </c>
      <c r="AD324">
        <v>14.4</v>
      </c>
      <c r="AE324">
        <v>16.899999999999999</v>
      </c>
      <c r="AF324">
        <v>16.06666667</v>
      </c>
      <c r="AG324">
        <v>12</v>
      </c>
      <c r="AH324">
        <v>13.9</v>
      </c>
      <c r="AI324">
        <v>13.9</v>
      </c>
      <c r="AJ324">
        <v>13.266666669999999</v>
      </c>
      <c r="AK324">
        <v>14.9</v>
      </c>
      <c r="AL324">
        <v>14.4</v>
      </c>
      <c r="AM324">
        <v>15.4</v>
      </c>
      <c r="AN324">
        <v>14.9</v>
      </c>
      <c r="AO324">
        <v>14.9</v>
      </c>
      <c r="AP324">
        <v>4.0999999999999996</v>
      </c>
      <c r="AQ324">
        <v>4.5999999999999996</v>
      </c>
      <c r="AR324">
        <v>5.0999999999999996</v>
      </c>
      <c r="AS324">
        <v>4.5999999999999996</v>
      </c>
      <c r="AT324">
        <v>5.0999999999999996</v>
      </c>
      <c r="AU324">
        <v>5.0999999999999996</v>
      </c>
      <c r="AV324">
        <v>5.6</v>
      </c>
      <c r="AW324">
        <v>5.266666667</v>
      </c>
      <c r="AX324">
        <v>5.266666667</v>
      </c>
      <c r="AY324">
        <v>-10.8</v>
      </c>
      <c r="AZ324">
        <v>90</v>
      </c>
      <c r="BA324">
        <v>0</v>
      </c>
      <c r="BB324">
        <v>0</v>
      </c>
      <c r="BC324">
        <v>10</v>
      </c>
      <c r="BD324">
        <v>0</v>
      </c>
      <c r="BE324">
        <v>0</v>
      </c>
      <c r="BF324">
        <v>0</v>
      </c>
      <c r="BG324">
        <v>0</v>
      </c>
      <c r="BI324">
        <v>7.3</v>
      </c>
      <c r="BJ324">
        <v>0</v>
      </c>
      <c r="BK324">
        <v>0</v>
      </c>
      <c r="BL324">
        <v>49</v>
      </c>
      <c r="BM324">
        <v>14</v>
      </c>
      <c r="BN324">
        <v>481</v>
      </c>
      <c r="BO324">
        <v>1464.6667</v>
      </c>
      <c r="BP324">
        <f t="shared" si="44"/>
        <v>-983.66669999999999</v>
      </c>
      <c r="BQ324" t="s">
        <v>114</v>
      </c>
      <c r="BR324" t="s">
        <v>114</v>
      </c>
      <c r="BS324" t="s">
        <v>114</v>
      </c>
      <c r="BT324" t="s">
        <v>114</v>
      </c>
      <c r="BU324" t="s">
        <v>114</v>
      </c>
      <c r="BV324" t="s">
        <v>114</v>
      </c>
      <c r="BW324" t="s">
        <v>114</v>
      </c>
      <c r="BX324" t="s">
        <v>114</v>
      </c>
      <c r="BY324" t="s">
        <v>114</v>
      </c>
      <c r="BZ324" t="s">
        <v>114</v>
      </c>
      <c r="CA324" t="s">
        <v>114</v>
      </c>
      <c r="CB324" t="s">
        <v>114</v>
      </c>
      <c r="CC324" t="s">
        <v>114</v>
      </c>
      <c r="CD324" t="s">
        <v>114</v>
      </c>
      <c r="CE324" t="s">
        <v>114</v>
      </c>
      <c r="CF324" t="s">
        <v>114</v>
      </c>
      <c r="CG324" t="s">
        <v>114</v>
      </c>
      <c r="CH324" t="s">
        <v>114</v>
      </c>
      <c r="CI324" t="s">
        <v>114</v>
      </c>
      <c r="CJ324" t="s">
        <v>114</v>
      </c>
      <c r="CK324" t="s">
        <v>114</v>
      </c>
      <c r="CL324" t="s">
        <v>114</v>
      </c>
      <c r="CM324" t="s">
        <v>114</v>
      </c>
      <c r="CN324" t="s">
        <v>114</v>
      </c>
      <c r="CO324" t="s">
        <v>114</v>
      </c>
      <c r="CP324" t="s">
        <v>114</v>
      </c>
      <c r="CQ324" t="s">
        <v>114</v>
      </c>
      <c r="CR324" t="s">
        <v>114</v>
      </c>
      <c r="CS324" t="s">
        <v>114</v>
      </c>
      <c r="CT324" t="s">
        <v>114</v>
      </c>
      <c r="CU324" t="s">
        <v>114</v>
      </c>
      <c r="CV324" t="s">
        <v>114</v>
      </c>
      <c r="CW324" t="s">
        <v>114</v>
      </c>
    </row>
    <row r="325" spans="1:101" x14ac:dyDescent="0.25">
      <c r="A325" t="s">
        <v>39</v>
      </c>
      <c r="B325">
        <v>2</v>
      </c>
      <c r="C325" t="s">
        <v>15</v>
      </c>
      <c r="D325" t="s">
        <v>94</v>
      </c>
      <c r="E325" t="s">
        <v>104</v>
      </c>
      <c r="F325" t="s">
        <v>120</v>
      </c>
      <c r="G325" t="s">
        <v>272</v>
      </c>
      <c r="H325" t="str">
        <f t="shared" si="41"/>
        <v>T.cyanopetala.Solo.Open</v>
      </c>
      <c r="I325" t="s">
        <v>721</v>
      </c>
      <c r="J325" t="s">
        <v>599</v>
      </c>
      <c r="K325">
        <v>0</v>
      </c>
      <c r="L325">
        <v>70</v>
      </c>
      <c r="M325">
        <v>35</v>
      </c>
      <c r="N325">
        <v>35</v>
      </c>
      <c r="O325" t="s">
        <v>114</v>
      </c>
      <c r="P325">
        <v>30</v>
      </c>
      <c r="Q325">
        <v>30</v>
      </c>
      <c r="R325">
        <v>15</v>
      </c>
      <c r="S325">
        <f t="shared" si="42"/>
        <v>22.5</v>
      </c>
      <c r="T325">
        <f t="shared" si="43"/>
        <v>0.6428571428571429</v>
      </c>
      <c r="U325" t="s">
        <v>29</v>
      </c>
      <c r="V325" t="s">
        <v>114</v>
      </c>
      <c r="W325" t="s">
        <v>114</v>
      </c>
      <c r="X325">
        <v>14.4</v>
      </c>
      <c r="Y325">
        <v>12</v>
      </c>
      <c r="Z325">
        <v>13.5</v>
      </c>
      <c r="AA325">
        <v>13.3</v>
      </c>
      <c r="AB325">
        <v>14.6</v>
      </c>
      <c r="AC325">
        <v>15.9</v>
      </c>
      <c r="AD325">
        <v>14.4</v>
      </c>
      <c r="AE325">
        <v>13.5</v>
      </c>
      <c r="AF325">
        <v>14.6</v>
      </c>
      <c r="AG325">
        <v>12</v>
      </c>
      <c r="AH325">
        <v>13.9</v>
      </c>
      <c r="AI325">
        <v>13.9</v>
      </c>
      <c r="AJ325">
        <v>13.266666669999999</v>
      </c>
      <c r="AK325">
        <v>14.9</v>
      </c>
      <c r="AL325">
        <v>15.9</v>
      </c>
      <c r="AM325">
        <v>16.899999999999999</v>
      </c>
      <c r="AN325">
        <v>15.9</v>
      </c>
      <c r="AO325">
        <v>15.9</v>
      </c>
      <c r="AP325">
        <v>4.0999999999999996</v>
      </c>
      <c r="AQ325">
        <v>4.5999999999999996</v>
      </c>
      <c r="AR325">
        <v>5.0999999999999996</v>
      </c>
      <c r="AS325">
        <v>4.5999999999999996</v>
      </c>
      <c r="AT325">
        <v>5.0999999999999996</v>
      </c>
      <c r="AU325">
        <v>5.6</v>
      </c>
      <c r="AV325">
        <v>6.1</v>
      </c>
      <c r="AW325">
        <v>5.6</v>
      </c>
      <c r="AX325">
        <v>5.6</v>
      </c>
      <c r="AY325">
        <v>-9</v>
      </c>
      <c r="AZ325">
        <v>100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I325">
        <v>7.3</v>
      </c>
      <c r="BJ325">
        <v>0</v>
      </c>
      <c r="BK325">
        <v>0</v>
      </c>
      <c r="BL325">
        <v>9</v>
      </c>
      <c r="BM325">
        <v>9</v>
      </c>
      <c r="BN325">
        <v>56</v>
      </c>
      <c r="BO325">
        <v>35</v>
      </c>
      <c r="BP325">
        <f t="shared" si="44"/>
        <v>21</v>
      </c>
      <c r="BQ325" t="s">
        <v>114</v>
      </c>
      <c r="BR325" t="s">
        <v>114</v>
      </c>
      <c r="BS325" t="s">
        <v>114</v>
      </c>
      <c r="BT325" t="s">
        <v>114</v>
      </c>
      <c r="BU325" t="s">
        <v>114</v>
      </c>
      <c r="BV325" t="s">
        <v>114</v>
      </c>
      <c r="BW325" t="s">
        <v>114</v>
      </c>
      <c r="BX325" t="s">
        <v>114</v>
      </c>
      <c r="BY325" t="s">
        <v>114</v>
      </c>
      <c r="BZ325" t="s">
        <v>114</v>
      </c>
      <c r="CA325" t="s">
        <v>114</v>
      </c>
      <c r="CB325" t="s">
        <v>114</v>
      </c>
      <c r="CC325" t="s">
        <v>114</v>
      </c>
      <c r="CD325" t="s">
        <v>114</v>
      </c>
      <c r="CE325" t="s">
        <v>114</v>
      </c>
      <c r="CF325" t="s">
        <v>114</v>
      </c>
      <c r="CG325" t="s">
        <v>114</v>
      </c>
      <c r="CH325" t="s">
        <v>114</v>
      </c>
      <c r="CI325" t="s">
        <v>114</v>
      </c>
      <c r="CJ325" t="s">
        <v>114</v>
      </c>
      <c r="CK325" t="s">
        <v>114</v>
      </c>
      <c r="CL325" t="s">
        <v>114</v>
      </c>
      <c r="CM325" t="s">
        <v>114</v>
      </c>
      <c r="CN325" t="s">
        <v>114</v>
      </c>
      <c r="CO325" t="s">
        <v>114</v>
      </c>
      <c r="CP325" t="s">
        <v>114</v>
      </c>
      <c r="CQ325" t="s">
        <v>114</v>
      </c>
      <c r="CR325" t="s">
        <v>114</v>
      </c>
      <c r="CS325" t="s">
        <v>114</v>
      </c>
      <c r="CT325" t="s">
        <v>114</v>
      </c>
      <c r="CU325" t="s">
        <v>114</v>
      </c>
      <c r="CV325" t="s">
        <v>114</v>
      </c>
      <c r="CW325" t="s">
        <v>114</v>
      </c>
    </row>
    <row r="326" spans="1:101" x14ac:dyDescent="0.25">
      <c r="A326" t="s">
        <v>40</v>
      </c>
      <c r="B326">
        <v>2</v>
      </c>
      <c r="C326" t="s">
        <v>17</v>
      </c>
      <c r="D326" t="s">
        <v>95</v>
      </c>
      <c r="E326" t="s">
        <v>113</v>
      </c>
      <c r="F326" t="s">
        <v>120</v>
      </c>
      <c r="G326" t="s">
        <v>267</v>
      </c>
      <c r="H326" t="str">
        <f t="shared" si="41"/>
        <v>H.glutinosum.Solo.Shade</v>
      </c>
      <c r="I326" t="s">
        <v>714</v>
      </c>
      <c r="J326" t="s">
        <v>600</v>
      </c>
      <c r="K326">
        <v>0</v>
      </c>
      <c r="L326">
        <v>60</v>
      </c>
      <c r="M326">
        <v>70</v>
      </c>
      <c r="N326">
        <v>70</v>
      </c>
      <c r="O326" t="s">
        <v>114</v>
      </c>
      <c r="P326">
        <v>5</v>
      </c>
      <c r="Q326">
        <v>40</v>
      </c>
      <c r="R326">
        <v>5</v>
      </c>
      <c r="S326">
        <f t="shared" si="42"/>
        <v>22.5</v>
      </c>
      <c r="T326">
        <f t="shared" si="43"/>
        <v>0.32142857142857145</v>
      </c>
      <c r="U326" t="s">
        <v>792</v>
      </c>
      <c r="V326" t="s">
        <v>114</v>
      </c>
      <c r="W326" t="s">
        <v>114</v>
      </c>
      <c r="X326">
        <v>14.9</v>
      </c>
      <c r="Y326">
        <v>17.399999999999999</v>
      </c>
      <c r="Z326">
        <v>16.399999999999999</v>
      </c>
      <c r="AA326">
        <v>16.233333330000001</v>
      </c>
      <c r="AB326">
        <v>14.3</v>
      </c>
      <c r="AC326">
        <v>13</v>
      </c>
      <c r="AD326">
        <v>13.5</v>
      </c>
      <c r="AE326">
        <v>16.399999999999999</v>
      </c>
      <c r="AF326">
        <v>14.3</v>
      </c>
      <c r="AG326">
        <v>16.399999999999999</v>
      </c>
      <c r="AH326">
        <v>15.4</v>
      </c>
      <c r="AI326">
        <v>17.899999999999999</v>
      </c>
      <c r="AJ326">
        <v>16.56666667</v>
      </c>
      <c r="AK326">
        <v>13.9</v>
      </c>
      <c r="AL326">
        <v>13.9</v>
      </c>
      <c r="AM326">
        <v>17.399999999999999</v>
      </c>
      <c r="AN326">
        <v>15.06666667</v>
      </c>
      <c r="AO326">
        <v>15.06666667</v>
      </c>
      <c r="AP326">
        <v>8.5</v>
      </c>
      <c r="AQ326">
        <v>9</v>
      </c>
      <c r="AR326">
        <v>8.5</v>
      </c>
      <c r="AS326">
        <v>8.6666666669999994</v>
      </c>
      <c r="AT326">
        <v>6.6</v>
      </c>
      <c r="AU326">
        <v>7.6</v>
      </c>
      <c r="AV326">
        <v>8.1</v>
      </c>
      <c r="AW326">
        <v>7.4333333330000002</v>
      </c>
      <c r="AX326">
        <v>7.4333333330000002</v>
      </c>
      <c r="AY326">
        <v>-6.8666666669999996</v>
      </c>
      <c r="AZ326">
        <v>60</v>
      </c>
      <c r="BA326">
        <v>30</v>
      </c>
      <c r="BB326">
        <v>10</v>
      </c>
      <c r="BC326">
        <v>0</v>
      </c>
      <c r="BD326">
        <v>0</v>
      </c>
      <c r="BE326">
        <v>0</v>
      </c>
      <c r="BF326">
        <v>0</v>
      </c>
      <c r="BG326">
        <v>0</v>
      </c>
      <c r="BI326">
        <v>9.6999999999999993</v>
      </c>
      <c r="BJ326">
        <v>46.179000000000002</v>
      </c>
      <c r="BK326">
        <v>0</v>
      </c>
      <c r="BL326">
        <v>4</v>
      </c>
      <c r="BM326">
        <v>4</v>
      </c>
      <c r="BN326">
        <v>0</v>
      </c>
      <c r="BO326">
        <v>0</v>
      </c>
      <c r="BP326">
        <f t="shared" si="44"/>
        <v>0</v>
      </c>
      <c r="BQ326" t="s">
        <v>114</v>
      </c>
      <c r="BR326" t="s">
        <v>114</v>
      </c>
      <c r="BS326" t="s">
        <v>114</v>
      </c>
      <c r="BT326" t="s">
        <v>114</v>
      </c>
      <c r="BU326" t="s">
        <v>114</v>
      </c>
      <c r="BV326" t="s">
        <v>114</v>
      </c>
      <c r="BW326" t="s">
        <v>114</v>
      </c>
      <c r="BX326" t="s">
        <v>114</v>
      </c>
      <c r="BY326" t="s">
        <v>114</v>
      </c>
      <c r="BZ326" t="s">
        <v>114</v>
      </c>
      <c r="CA326" t="s">
        <v>114</v>
      </c>
      <c r="CB326" t="s">
        <v>114</v>
      </c>
      <c r="CC326" t="s">
        <v>114</v>
      </c>
      <c r="CD326" t="s">
        <v>114</v>
      </c>
      <c r="CE326" t="s">
        <v>114</v>
      </c>
      <c r="CF326" t="s">
        <v>114</v>
      </c>
      <c r="CG326" t="s">
        <v>114</v>
      </c>
      <c r="CH326" t="s">
        <v>114</v>
      </c>
      <c r="CI326" t="s">
        <v>114</v>
      </c>
      <c r="CJ326" t="s">
        <v>114</v>
      </c>
      <c r="CK326" t="s">
        <v>114</v>
      </c>
      <c r="CL326" t="s">
        <v>114</v>
      </c>
      <c r="CM326" t="s">
        <v>114</v>
      </c>
      <c r="CN326" t="s">
        <v>114</v>
      </c>
      <c r="CO326" t="s">
        <v>114</v>
      </c>
      <c r="CP326" t="s">
        <v>114</v>
      </c>
      <c r="CQ326" t="s">
        <v>114</v>
      </c>
      <c r="CR326" t="s">
        <v>114</v>
      </c>
      <c r="CS326" t="s">
        <v>114</v>
      </c>
      <c r="CT326" t="s">
        <v>114</v>
      </c>
      <c r="CU326" t="s">
        <v>114</v>
      </c>
      <c r="CV326" t="s">
        <v>114</v>
      </c>
      <c r="CW326" t="s">
        <v>114</v>
      </c>
    </row>
    <row r="327" spans="1:101" x14ac:dyDescent="0.25">
      <c r="A327" t="s">
        <v>40</v>
      </c>
      <c r="B327">
        <v>2</v>
      </c>
      <c r="C327" t="s">
        <v>17</v>
      </c>
      <c r="D327" t="s">
        <v>95</v>
      </c>
      <c r="E327" t="s">
        <v>103</v>
      </c>
      <c r="F327" t="s">
        <v>120</v>
      </c>
      <c r="G327" t="s">
        <v>268</v>
      </c>
      <c r="H327" t="str">
        <f t="shared" si="41"/>
        <v>P.airoides.Solo.Shade</v>
      </c>
      <c r="I327" t="s">
        <v>715</v>
      </c>
      <c r="J327" t="s">
        <v>601</v>
      </c>
      <c r="K327">
        <v>0</v>
      </c>
      <c r="L327">
        <v>90</v>
      </c>
      <c r="M327">
        <v>40</v>
      </c>
      <c r="N327">
        <v>40</v>
      </c>
      <c r="O327" t="s">
        <v>114</v>
      </c>
      <c r="P327">
        <v>25</v>
      </c>
      <c r="Q327">
        <v>30</v>
      </c>
      <c r="R327">
        <v>7</v>
      </c>
      <c r="S327">
        <f t="shared" si="42"/>
        <v>18.5</v>
      </c>
      <c r="T327">
        <f t="shared" si="43"/>
        <v>0.46250000000000002</v>
      </c>
      <c r="U327" t="s">
        <v>29</v>
      </c>
      <c r="V327" t="s">
        <v>114</v>
      </c>
      <c r="W327" t="s">
        <v>114</v>
      </c>
      <c r="X327">
        <v>14.9</v>
      </c>
      <c r="Y327">
        <v>17.399999999999999</v>
      </c>
      <c r="Z327">
        <v>16.399999999999999</v>
      </c>
      <c r="AA327">
        <v>16.233333330000001</v>
      </c>
      <c r="AB327">
        <v>15.06666667</v>
      </c>
      <c r="AC327">
        <v>14.9</v>
      </c>
      <c r="AD327">
        <v>13.9</v>
      </c>
      <c r="AE327">
        <v>16.399999999999999</v>
      </c>
      <c r="AF327">
        <v>15.06666667</v>
      </c>
      <c r="AG327">
        <v>16.399999999999999</v>
      </c>
      <c r="AH327">
        <v>15.4</v>
      </c>
      <c r="AI327">
        <v>17.899999999999999</v>
      </c>
      <c r="AJ327">
        <v>16.56666667</v>
      </c>
      <c r="AK327">
        <v>18.899999999999999</v>
      </c>
      <c r="AL327">
        <v>16.899999999999999</v>
      </c>
      <c r="AM327">
        <v>17.899999999999999</v>
      </c>
      <c r="AN327">
        <v>17.899999999999999</v>
      </c>
      <c r="AO327">
        <v>17.899999999999999</v>
      </c>
      <c r="AP327">
        <v>8.5</v>
      </c>
      <c r="AQ327">
        <v>9</v>
      </c>
      <c r="AR327">
        <v>8.5</v>
      </c>
      <c r="AS327">
        <v>8.6666666669999994</v>
      </c>
      <c r="AT327">
        <v>7.1</v>
      </c>
      <c r="AU327">
        <v>7.6</v>
      </c>
      <c r="AV327">
        <v>7.6</v>
      </c>
      <c r="AW327">
        <v>7.4333333330000002</v>
      </c>
      <c r="AX327">
        <v>7.4333333330000002</v>
      </c>
      <c r="AY327">
        <v>-7.6333333330000004</v>
      </c>
      <c r="AZ327">
        <v>30</v>
      </c>
      <c r="BA327">
        <v>10</v>
      </c>
      <c r="BB327">
        <v>60</v>
      </c>
      <c r="BC327">
        <v>0</v>
      </c>
      <c r="BD327">
        <v>0</v>
      </c>
      <c r="BE327">
        <v>0</v>
      </c>
      <c r="BF327">
        <v>0</v>
      </c>
      <c r="BG327">
        <v>0</v>
      </c>
      <c r="BI327">
        <v>9.6999999999999993</v>
      </c>
      <c r="BJ327">
        <v>46.179000000000002</v>
      </c>
      <c r="BK327">
        <v>0</v>
      </c>
      <c r="BL327">
        <v>5</v>
      </c>
      <c r="BM327">
        <v>4</v>
      </c>
      <c r="BN327">
        <v>218</v>
      </c>
      <c r="BO327">
        <v>196.5</v>
      </c>
      <c r="BP327">
        <f t="shared" si="44"/>
        <v>21.5</v>
      </c>
      <c r="BQ327" t="s">
        <v>114</v>
      </c>
      <c r="BR327" t="s">
        <v>114</v>
      </c>
      <c r="BS327" t="s">
        <v>114</v>
      </c>
      <c r="BT327" t="s">
        <v>114</v>
      </c>
      <c r="BU327" t="s">
        <v>114</v>
      </c>
      <c r="BV327" t="s">
        <v>114</v>
      </c>
      <c r="BW327" t="s">
        <v>114</v>
      </c>
      <c r="BX327" t="s">
        <v>114</v>
      </c>
      <c r="BY327" t="s">
        <v>114</v>
      </c>
      <c r="BZ327" t="s">
        <v>114</v>
      </c>
      <c r="CA327" t="s">
        <v>114</v>
      </c>
      <c r="CB327" t="s">
        <v>114</v>
      </c>
      <c r="CC327" t="s">
        <v>114</v>
      </c>
      <c r="CD327" t="s">
        <v>114</v>
      </c>
      <c r="CE327" t="s">
        <v>114</v>
      </c>
      <c r="CF327" t="s">
        <v>114</v>
      </c>
      <c r="CG327" t="s">
        <v>114</v>
      </c>
      <c r="CH327" t="s">
        <v>114</v>
      </c>
      <c r="CI327" t="s">
        <v>114</v>
      </c>
      <c r="CJ327" t="s">
        <v>114</v>
      </c>
      <c r="CK327" t="s">
        <v>114</v>
      </c>
      <c r="CL327" t="s">
        <v>114</v>
      </c>
      <c r="CM327" t="s">
        <v>114</v>
      </c>
      <c r="CN327" t="s">
        <v>114</v>
      </c>
      <c r="CO327" t="s">
        <v>114</v>
      </c>
      <c r="CP327" t="s">
        <v>114</v>
      </c>
      <c r="CQ327" t="s">
        <v>114</v>
      </c>
      <c r="CR327" t="s">
        <v>114</v>
      </c>
      <c r="CS327" t="s">
        <v>114</v>
      </c>
      <c r="CT327" t="s">
        <v>114</v>
      </c>
      <c r="CU327" t="s">
        <v>114</v>
      </c>
      <c r="CV327" t="s">
        <v>114</v>
      </c>
      <c r="CW327" t="s">
        <v>114</v>
      </c>
    </row>
    <row r="328" spans="1:101" x14ac:dyDescent="0.25">
      <c r="A328" t="s">
        <v>40</v>
      </c>
      <c r="B328">
        <v>2</v>
      </c>
      <c r="C328" t="s">
        <v>17</v>
      </c>
      <c r="D328" t="s">
        <v>95</v>
      </c>
      <c r="E328" t="s">
        <v>112</v>
      </c>
      <c r="F328" t="s">
        <v>120</v>
      </c>
      <c r="G328" t="s">
        <v>269</v>
      </c>
      <c r="H328" t="str">
        <f t="shared" si="41"/>
        <v>V.rosea.Solo.Shade</v>
      </c>
      <c r="I328" t="s">
        <v>722</v>
      </c>
      <c r="J328" t="s">
        <v>602</v>
      </c>
      <c r="K328">
        <v>0</v>
      </c>
      <c r="L328">
        <v>100</v>
      </c>
      <c r="M328">
        <v>60</v>
      </c>
      <c r="N328">
        <v>60</v>
      </c>
      <c r="O328" t="s">
        <v>114</v>
      </c>
      <c r="P328">
        <v>40</v>
      </c>
      <c r="Q328">
        <v>90</v>
      </c>
      <c r="R328">
        <v>20</v>
      </c>
      <c r="S328">
        <f t="shared" si="42"/>
        <v>55</v>
      </c>
      <c r="T328">
        <f t="shared" si="43"/>
        <v>0.91666666666666663</v>
      </c>
      <c r="U328" t="s">
        <v>792</v>
      </c>
      <c r="V328" t="s">
        <v>114</v>
      </c>
      <c r="W328" t="s">
        <v>114</v>
      </c>
      <c r="X328">
        <v>14.9</v>
      </c>
      <c r="Y328">
        <v>17.399999999999999</v>
      </c>
      <c r="Z328">
        <v>16.399999999999999</v>
      </c>
      <c r="AA328">
        <v>16.233333330000001</v>
      </c>
      <c r="AB328">
        <v>16.56666667</v>
      </c>
      <c r="AC328">
        <v>14.4</v>
      </c>
      <c r="AD328">
        <v>17.899999999999999</v>
      </c>
      <c r="AE328">
        <v>17.399999999999999</v>
      </c>
      <c r="AF328">
        <v>16.56666667</v>
      </c>
      <c r="AG328">
        <v>16.399999999999999</v>
      </c>
      <c r="AH328">
        <v>15.4</v>
      </c>
      <c r="AI328">
        <v>17.899999999999999</v>
      </c>
      <c r="AJ328">
        <v>16.56666667</v>
      </c>
      <c r="AK328">
        <v>18.399999999999999</v>
      </c>
      <c r="AL328">
        <v>19.8</v>
      </c>
      <c r="AM328">
        <v>13</v>
      </c>
      <c r="AN328">
        <v>17.06666667</v>
      </c>
      <c r="AO328">
        <v>17.06666667</v>
      </c>
      <c r="AP328">
        <v>8.5</v>
      </c>
      <c r="AQ328">
        <v>9</v>
      </c>
      <c r="AR328">
        <v>8.5</v>
      </c>
      <c r="AS328">
        <v>8.6666666669999994</v>
      </c>
      <c r="AT328">
        <v>8.5</v>
      </c>
      <c r="AU328">
        <v>10</v>
      </c>
      <c r="AV328">
        <v>10</v>
      </c>
      <c r="AW328">
        <v>9.5</v>
      </c>
      <c r="AX328">
        <v>9.5</v>
      </c>
      <c r="AY328">
        <v>-7.0666666669999998</v>
      </c>
      <c r="AZ328">
        <v>80</v>
      </c>
      <c r="BA328">
        <v>0</v>
      </c>
      <c r="BB328">
        <v>0</v>
      </c>
      <c r="BC328">
        <v>0</v>
      </c>
      <c r="BD328">
        <v>20</v>
      </c>
      <c r="BE328">
        <v>0</v>
      </c>
      <c r="BF328">
        <v>0</v>
      </c>
      <c r="BG328">
        <v>0</v>
      </c>
      <c r="BI328">
        <v>9.6999999999999993</v>
      </c>
      <c r="BJ328">
        <v>46.179000000000002</v>
      </c>
      <c r="BK328">
        <v>0</v>
      </c>
      <c r="BL328">
        <v>15</v>
      </c>
      <c r="BM328">
        <v>14</v>
      </c>
      <c r="BN328">
        <v>57</v>
      </c>
      <c r="BO328">
        <v>116.5</v>
      </c>
      <c r="BP328">
        <f t="shared" si="44"/>
        <v>-59.5</v>
      </c>
      <c r="BQ328" t="s">
        <v>114</v>
      </c>
      <c r="BR328" t="s">
        <v>114</v>
      </c>
      <c r="BS328" t="s">
        <v>114</v>
      </c>
      <c r="BT328" t="s">
        <v>114</v>
      </c>
      <c r="BU328" t="s">
        <v>114</v>
      </c>
      <c r="BV328" t="s">
        <v>114</v>
      </c>
      <c r="BW328" t="s">
        <v>114</v>
      </c>
      <c r="BX328" t="s">
        <v>114</v>
      </c>
      <c r="BY328" t="s">
        <v>114</v>
      </c>
      <c r="BZ328" t="s">
        <v>114</v>
      </c>
      <c r="CA328" t="s">
        <v>114</v>
      </c>
      <c r="CB328" t="s">
        <v>114</v>
      </c>
      <c r="CC328" t="s">
        <v>114</v>
      </c>
      <c r="CD328" t="s">
        <v>114</v>
      </c>
      <c r="CE328" t="s">
        <v>114</v>
      </c>
      <c r="CF328" t="s">
        <v>114</v>
      </c>
      <c r="CG328" t="s">
        <v>114</v>
      </c>
      <c r="CH328" t="s">
        <v>114</v>
      </c>
      <c r="CI328" t="s">
        <v>114</v>
      </c>
      <c r="CJ328" t="s">
        <v>114</v>
      </c>
      <c r="CK328" t="s">
        <v>114</v>
      </c>
      <c r="CL328" t="s">
        <v>114</v>
      </c>
      <c r="CM328" t="s">
        <v>114</v>
      </c>
      <c r="CN328" t="s">
        <v>114</v>
      </c>
      <c r="CO328" t="s">
        <v>114</v>
      </c>
      <c r="CP328" t="s">
        <v>114</v>
      </c>
      <c r="CQ328" t="s">
        <v>114</v>
      </c>
      <c r="CR328" t="s">
        <v>114</v>
      </c>
      <c r="CS328" t="s">
        <v>114</v>
      </c>
      <c r="CT328" t="s">
        <v>114</v>
      </c>
      <c r="CU328" t="s">
        <v>114</v>
      </c>
      <c r="CV328" t="s">
        <v>114</v>
      </c>
      <c r="CW328" t="s">
        <v>114</v>
      </c>
    </row>
    <row r="329" spans="1:101" x14ac:dyDescent="0.25">
      <c r="A329" t="s">
        <v>41</v>
      </c>
      <c r="B329">
        <v>2</v>
      </c>
      <c r="C329" t="s">
        <v>19</v>
      </c>
      <c r="D329" t="s">
        <v>94</v>
      </c>
      <c r="E329" t="s">
        <v>105</v>
      </c>
      <c r="F329" t="s">
        <v>120</v>
      </c>
      <c r="G329" t="s">
        <v>274</v>
      </c>
      <c r="H329" t="str">
        <f t="shared" si="41"/>
        <v>H.glabra.Solo.Open</v>
      </c>
      <c r="I329" t="s">
        <v>723</v>
      </c>
      <c r="J329" t="s">
        <v>603</v>
      </c>
      <c r="K329">
        <v>0</v>
      </c>
      <c r="L329">
        <v>30</v>
      </c>
      <c r="M329">
        <v>25</v>
      </c>
      <c r="N329">
        <v>25</v>
      </c>
      <c r="O329" t="s">
        <v>114</v>
      </c>
      <c r="P329">
        <v>25</v>
      </c>
      <c r="Q329">
        <v>68</v>
      </c>
      <c r="R329">
        <v>60</v>
      </c>
      <c r="S329">
        <f t="shared" si="42"/>
        <v>64</v>
      </c>
      <c r="T329">
        <f t="shared" si="43"/>
        <v>2.56</v>
      </c>
      <c r="V329" t="s">
        <v>114</v>
      </c>
      <c r="W329" t="s">
        <v>114</v>
      </c>
      <c r="X329">
        <v>14.9</v>
      </c>
      <c r="Y329">
        <v>17.899999999999999</v>
      </c>
      <c r="Z329">
        <v>14.9</v>
      </c>
      <c r="AA329">
        <v>15.9</v>
      </c>
      <c r="AB329">
        <v>13.6</v>
      </c>
      <c r="AC329">
        <v>13.9</v>
      </c>
      <c r="AD329">
        <v>11.5</v>
      </c>
      <c r="AE329">
        <v>15.4</v>
      </c>
      <c r="AF329">
        <v>13.6</v>
      </c>
      <c r="AG329">
        <v>14.4</v>
      </c>
      <c r="AH329">
        <v>15.4</v>
      </c>
      <c r="AI329">
        <v>17.899999999999999</v>
      </c>
      <c r="AJ329">
        <v>15.9</v>
      </c>
      <c r="AK329">
        <v>14.9</v>
      </c>
      <c r="AL329">
        <v>15.4</v>
      </c>
      <c r="AM329">
        <v>17.399999999999999</v>
      </c>
      <c r="AN329">
        <v>15.9</v>
      </c>
      <c r="AO329">
        <v>15.9</v>
      </c>
      <c r="AP329">
        <v>6.6</v>
      </c>
      <c r="AQ329">
        <v>7.6</v>
      </c>
      <c r="AR329">
        <v>8.1</v>
      </c>
      <c r="AS329">
        <v>7.4333333330000002</v>
      </c>
      <c r="AT329">
        <v>6.1</v>
      </c>
      <c r="AU329">
        <v>7.1</v>
      </c>
      <c r="AV329">
        <v>7.1</v>
      </c>
      <c r="AW329">
        <v>6.766666667</v>
      </c>
      <c r="AX329">
        <v>6.766666667</v>
      </c>
      <c r="AY329">
        <v>-6.8333333329999997</v>
      </c>
      <c r="AZ329">
        <v>60</v>
      </c>
      <c r="BA329">
        <v>0</v>
      </c>
      <c r="BB329">
        <v>20</v>
      </c>
      <c r="BC329">
        <v>10</v>
      </c>
      <c r="BD329">
        <v>10</v>
      </c>
      <c r="BE329">
        <v>1</v>
      </c>
      <c r="BF329">
        <v>0</v>
      </c>
      <c r="BG329">
        <v>0</v>
      </c>
      <c r="BI329">
        <v>9.9</v>
      </c>
      <c r="BJ329">
        <v>4.4909999999999997</v>
      </c>
      <c r="BK329">
        <v>0</v>
      </c>
      <c r="BL329">
        <v>8</v>
      </c>
      <c r="BM329">
        <v>8</v>
      </c>
      <c r="BN329">
        <v>267</v>
      </c>
      <c r="BO329">
        <v>305.33330000000001</v>
      </c>
      <c r="BP329">
        <f t="shared" si="44"/>
        <v>-38.333300000000008</v>
      </c>
      <c r="BQ329" t="s">
        <v>114</v>
      </c>
      <c r="BR329" t="s">
        <v>114</v>
      </c>
      <c r="BS329" t="s">
        <v>114</v>
      </c>
      <c r="BT329" t="s">
        <v>114</v>
      </c>
      <c r="BU329" t="s">
        <v>114</v>
      </c>
      <c r="BV329" t="s">
        <v>114</v>
      </c>
      <c r="BW329" t="s">
        <v>114</v>
      </c>
      <c r="BX329" t="s">
        <v>114</v>
      </c>
      <c r="BY329" t="s">
        <v>114</v>
      </c>
      <c r="BZ329" t="s">
        <v>114</v>
      </c>
      <c r="CA329" t="s">
        <v>114</v>
      </c>
      <c r="CB329" t="s">
        <v>114</v>
      </c>
      <c r="CC329" t="s">
        <v>114</v>
      </c>
      <c r="CD329" t="s">
        <v>114</v>
      </c>
      <c r="CE329" t="s">
        <v>114</v>
      </c>
      <c r="CF329" t="s">
        <v>114</v>
      </c>
      <c r="CG329" t="s">
        <v>114</v>
      </c>
      <c r="CH329" t="s">
        <v>114</v>
      </c>
      <c r="CI329" t="s">
        <v>114</v>
      </c>
      <c r="CJ329" t="s">
        <v>114</v>
      </c>
      <c r="CK329" t="s">
        <v>114</v>
      </c>
      <c r="CL329" t="s">
        <v>114</v>
      </c>
      <c r="CM329" t="s">
        <v>114</v>
      </c>
      <c r="CN329" t="s">
        <v>114</v>
      </c>
      <c r="CO329" t="s">
        <v>114</v>
      </c>
      <c r="CP329" t="s">
        <v>114</v>
      </c>
      <c r="CQ329" t="s">
        <v>114</v>
      </c>
      <c r="CR329" t="s">
        <v>114</v>
      </c>
      <c r="CS329" t="s">
        <v>114</v>
      </c>
      <c r="CT329" t="s">
        <v>114</v>
      </c>
      <c r="CU329" t="s">
        <v>114</v>
      </c>
      <c r="CV329" t="s">
        <v>114</v>
      </c>
      <c r="CW329" t="s">
        <v>114</v>
      </c>
    </row>
    <row r="330" spans="1:101" x14ac:dyDescent="0.25">
      <c r="A330" t="s">
        <v>41</v>
      </c>
      <c r="B330">
        <v>2</v>
      </c>
      <c r="C330" t="s">
        <v>19</v>
      </c>
      <c r="D330" t="s">
        <v>94</v>
      </c>
      <c r="E330" t="s">
        <v>113</v>
      </c>
      <c r="F330" t="s">
        <v>120</v>
      </c>
      <c r="G330" t="s">
        <v>267</v>
      </c>
      <c r="H330" t="str">
        <f t="shared" si="41"/>
        <v>H.glutinosum.Solo.Open</v>
      </c>
      <c r="I330" t="s">
        <v>718</v>
      </c>
      <c r="J330" t="s">
        <v>604</v>
      </c>
      <c r="K330">
        <v>0</v>
      </c>
      <c r="L330">
        <v>60</v>
      </c>
      <c r="M330">
        <v>55</v>
      </c>
      <c r="N330">
        <v>55</v>
      </c>
      <c r="O330" t="s">
        <v>114</v>
      </c>
      <c r="P330">
        <v>6</v>
      </c>
      <c r="Q330">
        <v>5</v>
      </c>
      <c r="R330">
        <v>2</v>
      </c>
      <c r="S330">
        <f t="shared" si="42"/>
        <v>3.5</v>
      </c>
      <c r="T330">
        <f t="shared" si="43"/>
        <v>6.363636363636363E-2</v>
      </c>
      <c r="V330" t="s">
        <v>114</v>
      </c>
      <c r="W330" t="s">
        <v>114</v>
      </c>
      <c r="X330">
        <v>14.9</v>
      </c>
      <c r="Y330">
        <v>17.899999999999999</v>
      </c>
      <c r="Z330">
        <v>14.9</v>
      </c>
      <c r="AA330">
        <v>15.9</v>
      </c>
      <c r="AB330">
        <v>13.46666667</v>
      </c>
      <c r="AC330">
        <v>14.4</v>
      </c>
      <c r="AD330">
        <v>12.5</v>
      </c>
      <c r="AE330">
        <v>13.5</v>
      </c>
      <c r="AF330">
        <v>13.46666667</v>
      </c>
      <c r="AG330">
        <v>14.4</v>
      </c>
      <c r="AH330">
        <v>15.4</v>
      </c>
      <c r="AI330">
        <v>17.899999999999999</v>
      </c>
      <c r="AJ330">
        <v>15.9</v>
      </c>
      <c r="AK330">
        <v>10</v>
      </c>
      <c r="AL330">
        <v>13.9</v>
      </c>
      <c r="AM330">
        <v>17.399999999999999</v>
      </c>
      <c r="AN330">
        <v>13.766666669999999</v>
      </c>
      <c r="AO330">
        <v>13.766666669999999</v>
      </c>
      <c r="AP330">
        <v>6.6</v>
      </c>
      <c r="AQ330">
        <v>7.6</v>
      </c>
      <c r="AR330">
        <v>8.1</v>
      </c>
      <c r="AS330">
        <v>7.4333333330000002</v>
      </c>
      <c r="AT330">
        <v>6.1</v>
      </c>
      <c r="AU330">
        <v>5.6</v>
      </c>
      <c r="AV330">
        <v>5.6</v>
      </c>
      <c r="AW330">
        <v>5.766666667</v>
      </c>
      <c r="AX330">
        <v>5.766666667</v>
      </c>
      <c r="AY330">
        <v>-7.7</v>
      </c>
      <c r="AZ330">
        <v>70</v>
      </c>
      <c r="BA330">
        <v>0</v>
      </c>
      <c r="BB330">
        <v>20</v>
      </c>
      <c r="BC330">
        <v>0</v>
      </c>
      <c r="BD330">
        <v>10</v>
      </c>
      <c r="BE330">
        <v>1</v>
      </c>
      <c r="BF330">
        <v>0</v>
      </c>
      <c r="BG330">
        <v>0</v>
      </c>
      <c r="BI330">
        <v>9.9</v>
      </c>
      <c r="BJ330">
        <v>4.4909999999999997</v>
      </c>
      <c r="BK330">
        <v>0</v>
      </c>
      <c r="BL330">
        <v>1</v>
      </c>
      <c r="BM330">
        <v>1</v>
      </c>
      <c r="BN330">
        <v>2</v>
      </c>
      <c r="BO330">
        <v>2</v>
      </c>
      <c r="BP330">
        <f t="shared" si="44"/>
        <v>0</v>
      </c>
      <c r="BQ330" t="s">
        <v>114</v>
      </c>
      <c r="BR330" t="s">
        <v>114</v>
      </c>
      <c r="BS330" t="s">
        <v>114</v>
      </c>
      <c r="BT330" t="s">
        <v>114</v>
      </c>
      <c r="BU330" t="s">
        <v>114</v>
      </c>
      <c r="BV330" t="s">
        <v>114</v>
      </c>
      <c r="BW330" t="s">
        <v>114</v>
      </c>
      <c r="BX330" t="s">
        <v>114</v>
      </c>
      <c r="BY330" t="s">
        <v>114</v>
      </c>
      <c r="BZ330" t="s">
        <v>114</v>
      </c>
      <c r="CA330" t="s">
        <v>114</v>
      </c>
      <c r="CB330" t="s">
        <v>114</v>
      </c>
      <c r="CC330" t="s">
        <v>114</v>
      </c>
      <c r="CD330" t="s">
        <v>114</v>
      </c>
      <c r="CE330" t="s">
        <v>114</v>
      </c>
      <c r="CF330" t="s">
        <v>114</v>
      </c>
      <c r="CG330" t="s">
        <v>114</v>
      </c>
      <c r="CH330" t="s">
        <v>114</v>
      </c>
      <c r="CI330" t="s">
        <v>114</v>
      </c>
      <c r="CJ330" t="s">
        <v>114</v>
      </c>
      <c r="CK330" t="s">
        <v>114</v>
      </c>
      <c r="CL330" t="s">
        <v>114</v>
      </c>
      <c r="CM330" t="s">
        <v>114</v>
      </c>
      <c r="CN330" t="s">
        <v>114</v>
      </c>
      <c r="CO330" t="s">
        <v>114</v>
      </c>
      <c r="CP330" t="s">
        <v>114</v>
      </c>
      <c r="CQ330" t="s">
        <v>114</v>
      </c>
      <c r="CR330" t="s">
        <v>114</v>
      </c>
      <c r="CS330" t="s">
        <v>114</v>
      </c>
      <c r="CT330" t="s">
        <v>114</v>
      </c>
      <c r="CU330" t="s">
        <v>114</v>
      </c>
      <c r="CV330" t="s">
        <v>114</v>
      </c>
      <c r="CW330" t="s">
        <v>114</v>
      </c>
    </row>
    <row r="331" spans="1:101" x14ac:dyDescent="0.25">
      <c r="A331" t="s">
        <v>41</v>
      </c>
      <c r="B331">
        <v>2</v>
      </c>
      <c r="C331" t="s">
        <v>19</v>
      </c>
      <c r="D331" t="s">
        <v>94</v>
      </c>
      <c r="E331" t="s">
        <v>103</v>
      </c>
      <c r="F331" t="s">
        <v>120</v>
      </c>
      <c r="G331" t="s">
        <v>268</v>
      </c>
      <c r="H331" t="str">
        <f t="shared" si="41"/>
        <v>P.airoides.Solo.Open</v>
      </c>
      <c r="I331" t="s">
        <v>719</v>
      </c>
      <c r="J331" t="s">
        <v>605</v>
      </c>
      <c r="K331">
        <v>0</v>
      </c>
      <c r="L331">
        <v>50</v>
      </c>
      <c r="M331">
        <v>40</v>
      </c>
      <c r="N331">
        <v>40</v>
      </c>
      <c r="O331" t="s">
        <v>114</v>
      </c>
      <c r="P331">
        <v>20</v>
      </c>
      <c r="Q331">
        <v>22</v>
      </c>
      <c r="R331">
        <v>15</v>
      </c>
      <c r="S331">
        <f t="shared" si="42"/>
        <v>18.5</v>
      </c>
      <c r="T331">
        <f t="shared" si="43"/>
        <v>0.46250000000000002</v>
      </c>
      <c r="V331" t="s">
        <v>114</v>
      </c>
      <c r="W331" t="s">
        <v>114</v>
      </c>
      <c r="X331">
        <v>14.9</v>
      </c>
      <c r="Y331">
        <v>17.899999999999999</v>
      </c>
      <c r="Z331">
        <v>14.9</v>
      </c>
      <c r="AA331">
        <v>15.9</v>
      </c>
      <c r="AB331">
        <v>15.9</v>
      </c>
      <c r="AC331">
        <v>14.4</v>
      </c>
      <c r="AD331">
        <v>14.9</v>
      </c>
      <c r="AE331">
        <v>18.399999999999999</v>
      </c>
      <c r="AF331">
        <v>15.9</v>
      </c>
      <c r="AG331">
        <v>14.4</v>
      </c>
      <c r="AH331">
        <v>15.4</v>
      </c>
      <c r="AI331">
        <v>17.899999999999999</v>
      </c>
      <c r="AJ331">
        <v>15.9</v>
      </c>
      <c r="AK331">
        <v>12.5</v>
      </c>
      <c r="AL331">
        <v>15.9</v>
      </c>
      <c r="AM331">
        <v>18.899999999999999</v>
      </c>
      <c r="AN331">
        <v>15.766666669999999</v>
      </c>
      <c r="AO331">
        <v>15.766666669999999</v>
      </c>
      <c r="AP331">
        <v>6.6</v>
      </c>
      <c r="AQ331">
        <v>7.6</v>
      </c>
      <c r="AR331">
        <v>8.1</v>
      </c>
      <c r="AS331">
        <v>7.4333333330000002</v>
      </c>
      <c r="AT331">
        <v>6.6</v>
      </c>
      <c r="AU331">
        <v>7.1</v>
      </c>
      <c r="AV331">
        <v>8.5</v>
      </c>
      <c r="AW331">
        <v>7.4</v>
      </c>
      <c r="AX331">
        <v>7.4</v>
      </c>
      <c r="AY331">
        <v>-8.5</v>
      </c>
      <c r="AZ331">
        <v>50</v>
      </c>
      <c r="BA331">
        <v>40</v>
      </c>
      <c r="BB331">
        <v>0</v>
      </c>
      <c r="BC331">
        <v>0</v>
      </c>
      <c r="BD331">
        <v>10</v>
      </c>
      <c r="BE331">
        <v>1</v>
      </c>
      <c r="BF331">
        <v>0</v>
      </c>
      <c r="BG331">
        <v>0</v>
      </c>
      <c r="BI331">
        <v>9.9</v>
      </c>
      <c r="BJ331">
        <v>4.4909999999999997</v>
      </c>
      <c r="BK331">
        <v>0</v>
      </c>
      <c r="BL331">
        <v>8</v>
      </c>
      <c r="BM331">
        <v>8</v>
      </c>
      <c r="BN331">
        <v>426</v>
      </c>
      <c r="BO331">
        <v>333</v>
      </c>
      <c r="BP331">
        <f t="shared" si="44"/>
        <v>93</v>
      </c>
      <c r="BQ331" t="s">
        <v>114</v>
      </c>
      <c r="BR331" t="s">
        <v>114</v>
      </c>
      <c r="BS331" t="s">
        <v>114</v>
      </c>
      <c r="BT331" t="s">
        <v>114</v>
      </c>
      <c r="BU331" t="s">
        <v>114</v>
      </c>
      <c r="BV331" t="s">
        <v>114</v>
      </c>
      <c r="BW331" t="s">
        <v>114</v>
      </c>
      <c r="BX331" t="s">
        <v>114</v>
      </c>
      <c r="BY331" t="s">
        <v>114</v>
      </c>
      <c r="BZ331" t="s">
        <v>114</v>
      </c>
      <c r="CA331" t="s">
        <v>114</v>
      </c>
      <c r="CB331" t="s">
        <v>114</v>
      </c>
      <c r="CC331" t="s">
        <v>114</v>
      </c>
      <c r="CD331" t="s">
        <v>114</v>
      </c>
      <c r="CE331" t="s">
        <v>114</v>
      </c>
      <c r="CF331" t="s">
        <v>114</v>
      </c>
      <c r="CG331" t="s">
        <v>114</v>
      </c>
      <c r="CH331" t="s">
        <v>114</v>
      </c>
      <c r="CI331" t="s">
        <v>114</v>
      </c>
      <c r="CJ331" t="s">
        <v>114</v>
      </c>
      <c r="CK331" t="s">
        <v>114</v>
      </c>
      <c r="CL331" t="s">
        <v>114</v>
      </c>
      <c r="CM331" t="s">
        <v>114</v>
      </c>
      <c r="CN331" t="s">
        <v>114</v>
      </c>
      <c r="CO331" t="s">
        <v>114</v>
      </c>
      <c r="CP331" t="s">
        <v>114</v>
      </c>
      <c r="CQ331" t="s">
        <v>114</v>
      </c>
      <c r="CR331" t="s">
        <v>114</v>
      </c>
      <c r="CS331" t="s">
        <v>114</v>
      </c>
      <c r="CT331" t="s">
        <v>114</v>
      </c>
      <c r="CU331" t="s">
        <v>114</v>
      </c>
      <c r="CV331" t="s">
        <v>114</v>
      </c>
      <c r="CW331" t="s">
        <v>114</v>
      </c>
    </row>
    <row r="332" spans="1:101" x14ac:dyDescent="0.25">
      <c r="A332" t="s">
        <v>42</v>
      </c>
      <c r="B332">
        <v>2</v>
      </c>
      <c r="C332" t="s">
        <v>21</v>
      </c>
      <c r="D332" t="s">
        <v>94</v>
      </c>
      <c r="E332" t="s">
        <v>105</v>
      </c>
      <c r="F332" t="s">
        <v>120</v>
      </c>
      <c r="G332" t="s">
        <v>274</v>
      </c>
      <c r="H332" t="str">
        <f t="shared" si="41"/>
        <v>H.glabra.Solo.Open</v>
      </c>
      <c r="I332" t="s">
        <v>723</v>
      </c>
      <c r="J332" t="s">
        <v>606</v>
      </c>
      <c r="K332">
        <v>0</v>
      </c>
      <c r="L332">
        <v>40</v>
      </c>
      <c r="M332">
        <v>30</v>
      </c>
      <c r="N332">
        <v>30</v>
      </c>
      <c r="O332" t="s">
        <v>114</v>
      </c>
      <c r="P332">
        <v>55</v>
      </c>
      <c r="Q332">
        <v>55</v>
      </c>
      <c r="R332">
        <v>45</v>
      </c>
      <c r="S332">
        <f t="shared" si="42"/>
        <v>50</v>
      </c>
      <c r="T332">
        <f t="shared" si="43"/>
        <v>1.6666666666666667</v>
      </c>
      <c r="U332" t="s">
        <v>15</v>
      </c>
      <c r="V332" t="s">
        <v>114</v>
      </c>
      <c r="W332" t="s">
        <v>114</v>
      </c>
      <c r="X332">
        <v>27.7</v>
      </c>
      <c r="Y332">
        <v>20.8</v>
      </c>
      <c r="Z332">
        <v>22.8</v>
      </c>
      <c r="AA332">
        <v>23.766666669999999</v>
      </c>
      <c r="AB332">
        <v>22.966666669999999</v>
      </c>
      <c r="AC332">
        <v>23.3</v>
      </c>
      <c r="AD332">
        <v>22.8</v>
      </c>
      <c r="AE332">
        <v>22.8</v>
      </c>
      <c r="AF332">
        <v>22.966666669999999</v>
      </c>
      <c r="AG332">
        <v>24.7</v>
      </c>
      <c r="AH332">
        <v>16.899999999999999</v>
      </c>
      <c r="AI332">
        <v>19.8</v>
      </c>
      <c r="AJ332">
        <v>20.466666669999999</v>
      </c>
      <c r="AK332">
        <v>19.3</v>
      </c>
      <c r="AL332">
        <v>17.399999999999999</v>
      </c>
      <c r="AM332">
        <v>24.3</v>
      </c>
      <c r="AN332">
        <v>20.333333329999999</v>
      </c>
      <c r="AO332">
        <v>20.333333329999999</v>
      </c>
      <c r="AP332">
        <v>9.5</v>
      </c>
      <c r="AQ332">
        <v>9</v>
      </c>
      <c r="AR332">
        <v>8.5</v>
      </c>
      <c r="AS332">
        <v>9</v>
      </c>
      <c r="AT332">
        <v>8.5</v>
      </c>
      <c r="AU332">
        <v>8.5</v>
      </c>
      <c r="AV332">
        <v>9.5</v>
      </c>
      <c r="AW332">
        <v>8.8333333330000006</v>
      </c>
      <c r="AX332">
        <v>8.8333333330000006</v>
      </c>
      <c r="AY332">
        <v>-14.133333329999999</v>
      </c>
      <c r="AZ332">
        <v>100</v>
      </c>
      <c r="BA332">
        <v>0</v>
      </c>
      <c r="BB332">
        <v>0</v>
      </c>
      <c r="BC332">
        <v>0</v>
      </c>
      <c r="BD332">
        <v>0</v>
      </c>
      <c r="BE332">
        <v>1</v>
      </c>
      <c r="BF332">
        <v>0</v>
      </c>
      <c r="BG332">
        <v>0</v>
      </c>
      <c r="BI332">
        <v>17.2</v>
      </c>
      <c r="BJ332">
        <v>26.582000000000001</v>
      </c>
      <c r="BK332">
        <v>0</v>
      </c>
      <c r="BL332">
        <v>5</v>
      </c>
      <c r="BM332">
        <v>5</v>
      </c>
      <c r="BN332">
        <v>238</v>
      </c>
      <c r="BO332">
        <v>305.33330000000001</v>
      </c>
      <c r="BP332">
        <f t="shared" si="44"/>
        <v>-67.333300000000008</v>
      </c>
      <c r="BQ332" t="s">
        <v>114</v>
      </c>
      <c r="BR332" t="s">
        <v>114</v>
      </c>
      <c r="BS332" t="s">
        <v>114</v>
      </c>
      <c r="BT332" t="s">
        <v>114</v>
      </c>
      <c r="BU332" t="s">
        <v>114</v>
      </c>
      <c r="BV332" t="s">
        <v>114</v>
      </c>
      <c r="BW332" t="s">
        <v>114</v>
      </c>
      <c r="BX332" t="s">
        <v>114</v>
      </c>
      <c r="BY332" t="s">
        <v>114</v>
      </c>
      <c r="BZ332" t="s">
        <v>114</v>
      </c>
      <c r="CA332" t="s">
        <v>114</v>
      </c>
      <c r="CB332" t="s">
        <v>114</v>
      </c>
      <c r="CC332" t="s">
        <v>114</v>
      </c>
      <c r="CD332" t="s">
        <v>114</v>
      </c>
      <c r="CE332" t="s">
        <v>114</v>
      </c>
      <c r="CF332" t="s">
        <v>114</v>
      </c>
      <c r="CG332" t="s">
        <v>114</v>
      </c>
      <c r="CH332" t="s">
        <v>114</v>
      </c>
      <c r="CI332" t="s">
        <v>114</v>
      </c>
      <c r="CJ332" t="s">
        <v>114</v>
      </c>
      <c r="CK332" t="s">
        <v>114</v>
      </c>
      <c r="CL332" t="s">
        <v>114</v>
      </c>
      <c r="CM332" t="s">
        <v>114</v>
      </c>
      <c r="CN332" t="s">
        <v>114</v>
      </c>
      <c r="CO332" t="s">
        <v>114</v>
      </c>
      <c r="CP332" t="s">
        <v>114</v>
      </c>
      <c r="CQ332" t="s">
        <v>114</v>
      </c>
      <c r="CR332" t="s">
        <v>114</v>
      </c>
      <c r="CS332" t="s">
        <v>114</v>
      </c>
      <c r="CT332" t="s">
        <v>114</v>
      </c>
      <c r="CU332" t="s">
        <v>114</v>
      </c>
      <c r="CV332" t="s">
        <v>114</v>
      </c>
      <c r="CW332" t="s">
        <v>114</v>
      </c>
    </row>
    <row r="333" spans="1:101" x14ac:dyDescent="0.25">
      <c r="A333" t="s">
        <v>42</v>
      </c>
      <c r="B333">
        <v>2</v>
      </c>
      <c r="C333" t="s">
        <v>21</v>
      </c>
      <c r="D333" t="s">
        <v>94</v>
      </c>
      <c r="E333" t="s">
        <v>110</v>
      </c>
      <c r="F333" t="s">
        <v>120</v>
      </c>
      <c r="G333" t="s">
        <v>270</v>
      </c>
      <c r="H333" t="str">
        <f t="shared" si="41"/>
        <v>M.minima.Solo.Open</v>
      </c>
      <c r="I333" t="s">
        <v>724</v>
      </c>
      <c r="J333" t="s">
        <v>607</v>
      </c>
      <c r="K333">
        <v>0</v>
      </c>
      <c r="L333">
        <v>70</v>
      </c>
      <c r="M333">
        <v>40</v>
      </c>
      <c r="N333">
        <v>40</v>
      </c>
      <c r="O333" t="s">
        <v>114</v>
      </c>
      <c r="P333">
        <v>20</v>
      </c>
      <c r="Q333">
        <v>60</v>
      </c>
      <c r="R333">
        <v>20</v>
      </c>
      <c r="S333">
        <f t="shared" si="42"/>
        <v>40</v>
      </c>
      <c r="T333">
        <f t="shared" si="43"/>
        <v>1</v>
      </c>
      <c r="U333" t="s">
        <v>792</v>
      </c>
      <c r="V333" t="s">
        <v>114</v>
      </c>
      <c r="W333" t="s">
        <v>114</v>
      </c>
      <c r="X333">
        <v>27.7</v>
      </c>
      <c r="Y333">
        <v>20.8</v>
      </c>
      <c r="Z333">
        <v>22.8</v>
      </c>
      <c r="AA333">
        <v>23.766666669999999</v>
      </c>
      <c r="AB333">
        <v>21.466666669999999</v>
      </c>
      <c r="AC333">
        <v>22.8</v>
      </c>
      <c r="AD333">
        <v>20.8</v>
      </c>
      <c r="AE333">
        <v>20.8</v>
      </c>
      <c r="AF333">
        <v>21.466666669999999</v>
      </c>
      <c r="AG333">
        <v>24.7</v>
      </c>
      <c r="AH333">
        <v>16.899999999999999</v>
      </c>
      <c r="AI333">
        <v>19.8</v>
      </c>
      <c r="AJ333">
        <v>20.466666669999999</v>
      </c>
      <c r="AK333">
        <v>17.899999999999999</v>
      </c>
      <c r="AL333">
        <v>18.399999999999999</v>
      </c>
      <c r="AM333">
        <v>19.8</v>
      </c>
      <c r="AN333">
        <v>18.7</v>
      </c>
      <c r="AO333">
        <v>18.7</v>
      </c>
      <c r="AP333">
        <v>9.5</v>
      </c>
      <c r="AQ333">
        <v>9</v>
      </c>
      <c r="AR333">
        <v>8.5</v>
      </c>
      <c r="AS333">
        <v>9</v>
      </c>
      <c r="AT333">
        <v>8.5</v>
      </c>
      <c r="AU333">
        <v>8</v>
      </c>
      <c r="AV333">
        <v>11</v>
      </c>
      <c r="AW333">
        <v>9.1666666669999994</v>
      </c>
      <c r="AX333">
        <v>9.1666666669999994</v>
      </c>
      <c r="AY333">
        <v>-12.3</v>
      </c>
      <c r="AZ333">
        <v>40</v>
      </c>
      <c r="BA333">
        <v>20</v>
      </c>
      <c r="BB333">
        <v>40</v>
      </c>
      <c r="BC333">
        <v>0</v>
      </c>
      <c r="BD333">
        <v>0</v>
      </c>
      <c r="BE333">
        <v>1</v>
      </c>
      <c r="BF333">
        <v>0</v>
      </c>
      <c r="BG333">
        <v>0</v>
      </c>
      <c r="BI333">
        <v>17.2</v>
      </c>
      <c r="BJ333">
        <v>26.582000000000001</v>
      </c>
      <c r="BK333">
        <v>0</v>
      </c>
      <c r="BL333">
        <v>4</v>
      </c>
      <c r="BM333">
        <v>4</v>
      </c>
      <c r="BN333">
        <v>4</v>
      </c>
      <c r="BO333">
        <v>2.5</v>
      </c>
      <c r="BP333">
        <f t="shared" si="44"/>
        <v>1.5</v>
      </c>
      <c r="BQ333" t="s">
        <v>114</v>
      </c>
      <c r="BR333" t="s">
        <v>114</v>
      </c>
      <c r="BS333" t="s">
        <v>114</v>
      </c>
      <c r="BT333" t="s">
        <v>114</v>
      </c>
      <c r="BU333" t="s">
        <v>114</v>
      </c>
      <c r="BV333" t="s">
        <v>114</v>
      </c>
      <c r="BW333" t="s">
        <v>114</v>
      </c>
      <c r="BX333" t="s">
        <v>114</v>
      </c>
      <c r="BY333" t="s">
        <v>114</v>
      </c>
      <c r="BZ333" t="s">
        <v>114</v>
      </c>
      <c r="CA333" t="s">
        <v>114</v>
      </c>
      <c r="CB333" t="s">
        <v>114</v>
      </c>
      <c r="CC333" t="s">
        <v>114</v>
      </c>
      <c r="CD333" t="s">
        <v>114</v>
      </c>
      <c r="CE333" t="s">
        <v>114</v>
      </c>
      <c r="CF333" t="s">
        <v>114</v>
      </c>
      <c r="CG333" t="s">
        <v>114</v>
      </c>
      <c r="CH333" t="s">
        <v>114</v>
      </c>
      <c r="CI333" t="s">
        <v>114</v>
      </c>
      <c r="CJ333" t="s">
        <v>114</v>
      </c>
      <c r="CK333" t="s">
        <v>114</v>
      </c>
      <c r="CL333" t="s">
        <v>114</v>
      </c>
      <c r="CM333" t="s">
        <v>114</v>
      </c>
      <c r="CN333" t="s">
        <v>114</v>
      </c>
      <c r="CO333" t="s">
        <v>114</v>
      </c>
      <c r="CP333" t="s">
        <v>114</v>
      </c>
      <c r="CQ333" t="s">
        <v>114</v>
      </c>
      <c r="CR333" t="s">
        <v>114</v>
      </c>
      <c r="CS333" t="s">
        <v>114</v>
      </c>
      <c r="CT333" t="s">
        <v>114</v>
      </c>
      <c r="CU333" t="s">
        <v>114</v>
      </c>
      <c r="CV333" t="s">
        <v>114</v>
      </c>
      <c r="CW333" t="s">
        <v>114</v>
      </c>
    </row>
    <row r="334" spans="1:101" x14ac:dyDescent="0.25">
      <c r="A334" t="s">
        <v>42</v>
      </c>
      <c r="B334">
        <v>2</v>
      </c>
      <c r="C334" t="s">
        <v>21</v>
      </c>
      <c r="D334" t="s">
        <v>94</v>
      </c>
      <c r="E334" t="s">
        <v>111</v>
      </c>
      <c r="F334" t="s">
        <v>120</v>
      </c>
      <c r="G334" t="s">
        <v>271</v>
      </c>
      <c r="H334" t="str">
        <f t="shared" si="41"/>
        <v>P.canescens.Solo.Open</v>
      </c>
      <c r="I334" t="s">
        <v>720</v>
      </c>
      <c r="J334" t="s">
        <v>608</v>
      </c>
      <c r="K334">
        <v>0</v>
      </c>
      <c r="L334">
        <v>290</v>
      </c>
      <c r="M334">
        <v>250</v>
      </c>
      <c r="N334">
        <v>250</v>
      </c>
      <c r="O334" t="s">
        <v>114</v>
      </c>
      <c r="P334">
        <v>100</v>
      </c>
      <c r="Q334">
        <v>100</v>
      </c>
      <c r="R334">
        <v>50</v>
      </c>
      <c r="S334">
        <f t="shared" si="42"/>
        <v>75</v>
      </c>
      <c r="T334">
        <f t="shared" si="43"/>
        <v>0.3</v>
      </c>
      <c r="U334" t="s">
        <v>15</v>
      </c>
      <c r="V334" t="s">
        <v>114</v>
      </c>
      <c r="W334" t="s">
        <v>114</v>
      </c>
      <c r="X334">
        <v>27.7</v>
      </c>
      <c r="Y334">
        <v>20.8</v>
      </c>
      <c r="Z334">
        <v>22.8</v>
      </c>
      <c r="AA334">
        <v>23.766666669999999</v>
      </c>
      <c r="AB334">
        <v>24.6</v>
      </c>
      <c r="AC334">
        <v>28.2</v>
      </c>
      <c r="AD334">
        <v>23.8</v>
      </c>
      <c r="AE334">
        <v>21.8</v>
      </c>
      <c r="AF334">
        <v>24.6</v>
      </c>
      <c r="AG334">
        <v>24.7</v>
      </c>
      <c r="AH334">
        <v>16.899999999999999</v>
      </c>
      <c r="AI334">
        <v>19.8</v>
      </c>
      <c r="AJ334">
        <v>20.466666669999999</v>
      </c>
      <c r="AK334">
        <v>23.8</v>
      </c>
      <c r="AL334">
        <v>20.3</v>
      </c>
      <c r="AM334">
        <v>19.8</v>
      </c>
      <c r="AN334">
        <v>21.3</v>
      </c>
      <c r="AO334">
        <v>21.3</v>
      </c>
      <c r="AP334">
        <v>9.5</v>
      </c>
      <c r="AQ334">
        <v>9</v>
      </c>
      <c r="AR334">
        <v>8.5</v>
      </c>
      <c r="AS334">
        <v>9</v>
      </c>
      <c r="AT334">
        <v>10</v>
      </c>
      <c r="AU334">
        <v>8.5</v>
      </c>
      <c r="AV334">
        <v>11</v>
      </c>
      <c r="AW334">
        <v>9.8333333330000006</v>
      </c>
      <c r="AX334">
        <v>9.8333333330000006</v>
      </c>
      <c r="AY334">
        <v>-14.766666669999999</v>
      </c>
      <c r="AZ334">
        <v>90</v>
      </c>
      <c r="BA334">
        <v>0</v>
      </c>
      <c r="BB334">
        <v>0</v>
      </c>
      <c r="BC334">
        <v>0</v>
      </c>
      <c r="BD334">
        <v>0</v>
      </c>
      <c r="BE334">
        <v>1</v>
      </c>
      <c r="BF334">
        <v>10</v>
      </c>
      <c r="BG334">
        <v>0</v>
      </c>
      <c r="BI334">
        <v>17.2</v>
      </c>
      <c r="BJ334">
        <v>26.582000000000001</v>
      </c>
      <c r="BK334">
        <v>0</v>
      </c>
      <c r="BL334">
        <v>36</v>
      </c>
      <c r="BM334">
        <v>16</v>
      </c>
      <c r="BN334">
        <v>1464</v>
      </c>
      <c r="BO334">
        <v>1464.6667</v>
      </c>
      <c r="BP334">
        <f t="shared" si="44"/>
        <v>-0.66669999999999163</v>
      </c>
      <c r="BQ334" t="s">
        <v>114</v>
      </c>
      <c r="BR334" t="s">
        <v>114</v>
      </c>
      <c r="BS334" t="s">
        <v>114</v>
      </c>
      <c r="BT334" t="s">
        <v>114</v>
      </c>
      <c r="BU334" t="s">
        <v>114</v>
      </c>
      <c r="BV334" t="s">
        <v>114</v>
      </c>
      <c r="BW334" t="s">
        <v>114</v>
      </c>
      <c r="BX334" t="s">
        <v>114</v>
      </c>
      <c r="BY334" t="s">
        <v>114</v>
      </c>
      <c r="BZ334" t="s">
        <v>114</v>
      </c>
      <c r="CA334" t="s">
        <v>114</v>
      </c>
      <c r="CB334" t="s">
        <v>114</v>
      </c>
      <c r="CC334" t="s">
        <v>114</v>
      </c>
      <c r="CD334" t="s">
        <v>114</v>
      </c>
      <c r="CE334" t="s">
        <v>114</v>
      </c>
      <c r="CF334" t="s">
        <v>114</v>
      </c>
      <c r="CG334" t="s">
        <v>114</v>
      </c>
      <c r="CH334" t="s">
        <v>114</v>
      </c>
      <c r="CI334" t="s">
        <v>114</v>
      </c>
      <c r="CJ334" t="s">
        <v>114</v>
      </c>
      <c r="CK334" t="s">
        <v>114</v>
      </c>
      <c r="CL334" t="s">
        <v>114</v>
      </c>
      <c r="CM334" t="s">
        <v>114</v>
      </c>
      <c r="CN334" t="s">
        <v>114</v>
      </c>
      <c r="CO334" t="s">
        <v>114</v>
      </c>
      <c r="CP334" t="s">
        <v>114</v>
      </c>
      <c r="CQ334" t="s">
        <v>114</v>
      </c>
      <c r="CR334" t="s">
        <v>114</v>
      </c>
      <c r="CS334" t="s">
        <v>114</v>
      </c>
      <c r="CT334" t="s">
        <v>114</v>
      </c>
      <c r="CU334" t="s">
        <v>114</v>
      </c>
      <c r="CV334" t="s">
        <v>114</v>
      </c>
      <c r="CW334" t="s">
        <v>114</v>
      </c>
    </row>
    <row r="335" spans="1:101" x14ac:dyDescent="0.25">
      <c r="A335" t="s">
        <v>42</v>
      </c>
      <c r="B335">
        <v>2</v>
      </c>
      <c r="C335" t="s">
        <v>21</v>
      </c>
      <c r="D335" t="s">
        <v>94</v>
      </c>
      <c r="E335" t="s">
        <v>104</v>
      </c>
      <c r="F335" t="s">
        <v>120</v>
      </c>
      <c r="G335" t="s">
        <v>272</v>
      </c>
      <c r="H335" t="str">
        <f t="shared" si="41"/>
        <v>T.cyanopetala.Solo.Open</v>
      </c>
      <c r="I335" t="s">
        <v>721</v>
      </c>
      <c r="J335" t="s">
        <v>609</v>
      </c>
      <c r="K335">
        <v>0</v>
      </c>
      <c r="L335">
        <v>70</v>
      </c>
      <c r="M335">
        <v>50</v>
      </c>
      <c r="N335">
        <v>50</v>
      </c>
      <c r="O335" t="s">
        <v>114</v>
      </c>
      <c r="P335">
        <v>25</v>
      </c>
      <c r="Q335">
        <v>20</v>
      </c>
      <c r="R335">
        <v>3</v>
      </c>
      <c r="S335">
        <f t="shared" si="42"/>
        <v>11.5</v>
      </c>
      <c r="T335">
        <f t="shared" si="43"/>
        <v>0.23</v>
      </c>
      <c r="U335" t="s">
        <v>15</v>
      </c>
      <c r="V335" t="s">
        <v>114</v>
      </c>
      <c r="W335" t="s">
        <v>114</v>
      </c>
      <c r="X335">
        <v>27.7</v>
      </c>
      <c r="Y335">
        <v>20.8</v>
      </c>
      <c r="Z335">
        <v>22.8</v>
      </c>
      <c r="AA335">
        <v>23.766666669999999</v>
      </c>
      <c r="AB335">
        <v>18.333333329999999</v>
      </c>
      <c r="AC335">
        <v>15.4</v>
      </c>
      <c r="AD335">
        <v>19.3</v>
      </c>
      <c r="AE335">
        <v>20.3</v>
      </c>
      <c r="AF335">
        <v>18.333333329999999</v>
      </c>
      <c r="AG335">
        <v>24.7</v>
      </c>
      <c r="AH335">
        <v>16.899999999999999</v>
      </c>
      <c r="AI335">
        <v>19.8</v>
      </c>
      <c r="AJ335">
        <v>20.466666669999999</v>
      </c>
      <c r="AK335">
        <v>18.399999999999999</v>
      </c>
      <c r="AL335">
        <v>14.9</v>
      </c>
      <c r="AM335">
        <v>18.899999999999999</v>
      </c>
      <c r="AN335">
        <v>17.399999999999999</v>
      </c>
      <c r="AO335">
        <v>17.399999999999999</v>
      </c>
      <c r="AP335">
        <v>9.5</v>
      </c>
      <c r="AQ335">
        <v>9</v>
      </c>
      <c r="AR335">
        <v>8.5</v>
      </c>
      <c r="AS335">
        <v>9</v>
      </c>
      <c r="AT335">
        <v>8.1</v>
      </c>
      <c r="AU335">
        <v>6.1</v>
      </c>
      <c r="AV335">
        <v>9</v>
      </c>
      <c r="AW335">
        <v>7.733333333</v>
      </c>
      <c r="AX335">
        <v>7.733333333</v>
      </c>
      <c r="AY335">
        <v>-10.6</v>
      </c>
      <c r="AZ335">
        <v>20</v>
      </c>
      <c r="BA335">
        <v>40</v>
      </c>
      <c r="BB335">
        <v>0</v>
      </c>
      <c r="BC335">
        <v>40</v>
      </c>
      <c r="BD335">
        <v>0</v>
      </c>
      <c r="BE335">
        <v>1</v>
      </c>
      <c r="BF335">
        <v>0</v>
      </c>
      <c r="BG335">
        <v>0</v>
      </c>
      <c r="BI335">
        <v>17.2</v>
      </c>
      <c r="BJ335">
        <v>26.582000000000001</v>
      </c>
      <c r="BK335">
        <v>1</v>
      </c>
      <c r="BL335">
        <v>5</v>
      </c>
      <c r="BM335">
        <v>5</v>
      </c>
      <c r="BN335">
        <v>38</v>
      </c>
      <c r="BO335">
        <v>35</v>
      </c>
      <c r="BP335">
        <f t="shared" si="44"/>
        <v>3</v>
      </c>
      <c r="BQ335" t="s">
        <v>114</v>
      </c>
      <c r="BR335" t="s">
        <v>114</v>
      </c>
      <c r="BS335" t="s">
        <v>114</v>
      </c>
      <c r="BT335" t="s">
        <v>114</v>
      </c>
      <c r="BU335" t="s">
        <v>114</v>
      </c>
      <c r="BV335" t="s">
        <v>114</v>
      </c>
      <c r="BW335" t="s">
        <v>114</v>
      </c>
      <c r="BX335" t="s">
        <v>114</v>
      </c>
      <c r="BY335" t="s">
        <v>114</v>
      </c>
      <c r="BZ335" t="s">
        <v>114</v>
      </c>
      <c r="CA335" t="s">
        <v>114</v>
      </c>
      <c r="CB335" t="s">
        <v>114</v>
      </c>
      <c r="CC335" t="s">
        <v>114</v>
      </c>
      <c r="CD335" t="s">
        <v>114</v>
      </c>
      <c r="CE335" t="s">
        <v>114</v>
      </c>
      <c r="CF335" t="s">
        <v>114</v>
      </c>
      <c r="CG335" t="s">
        <v>114</v>
      </c>
      <c r="CH335" t="s">
        <v>114</v>
      </c>
      <c r="CI335" t="s">
        <v>114</v>
      </c>
      <c r="CJ335" t="s">
        <v>114</v>
      </c>
      <c r="CK335" t="s">
        <v>114</v>
      </c>
      <c r="CL335" t="s">
        <v>114</v>
      </c>
      <c r="CM335" t="s">
        <v>114</v>
      </c>
      <c r="CN335" t="s">
        <v>114</v>
      </c>
      <c r="CO335" t="s">
        <v>114</v>
      </c>
      <c r="CP335" t="s">
        <v>114</v>
      </c>
      <c r="CQ335" t="s">
        <v>114</v>
      </c>
      <c r="CR335" t="s">
        <v>114</v>
      </c>
      <c r="CS335" t="s">
        <v>114</v>
      </c>
      <c r="CT335" t="s">
        <v>114</v>
      </c>
      <c r="CU335" t="s">
        <v>114</v>
      </c>
      <c r="CV335" t="s">
        <v>114</v>
      </c>
      <c r="CW335" t="s">
        <v>114</v>
      </c>
    </row>
    <row r="336" spans="1:101" x14ac:dyDescent="0.25">
      <c r="A336" t="s">
        <v>43</v>
      </c>
      <c r="B336">
        <v>2</v>
      </c>
      <c r="C336" t="s">
        <v>23</v>
      </c>
      <c r="D336" t="s">
        <v>94</v>
      </c>
      <c r="E336" t="s">
        <v>105</v>
      </c>
      <c r="F336" t="s">
        <v>120</v>
      </c>
      <c r="G336" t="s">
        <v>274</v>
      </c>
      <c r="H336" t="str">
        <f t="shared" si="41"/>
        <v>H.glabra.Solo.Open</v>
      </c>
      <c r="I336" t="s">
        <v>723</v>
      </c>
      <c r="J336" t="s">
        <v>610</v>
      </c>
      <c r="K336">
        <v>0</v>
      </c>
      <c r="L336">
        <v>40</v>
      </c>
      <c r="M336">
        <v>50</v>
      </c>
      <c r="N336">
        <v>50</v>
      </c>
      <c r="O336" t="s">
        <v>114</v>
      </c>
      <c r="P336">
        <v>110</v>
      </c>
      <c r="Q336">
        <v>110</v>
      </c>
      <c r="R336">
        <v>30</v>
      </c>
      <c r="S336">
        <f t="shared" si="42"/>
        <v>70</v>
      </c>
      <c r="T336">
        <f t="shared" si="43"/>
        <v>1.4</v>
      </c>
      <c r="U336" t="s">
        <v>15</v>
      </c>
      <c r="V336" t="s">
        <v>114</v>
      </c>
      <c r="W336" t="s">
        <v>114</v>
      </c>
      <c r="X336">
        <v>28.2</v>
      </c>
      <c r="Y336">
        <v>23.3</v>
      </c>
      <c r="Z336">
        <v>23.8</v>
      </c>
      <c r="AA336">
        <v>25.1</v>
      </c>
      <c r="AB336">
        <v>19</v>
      </c>
      <c r="AC336">
        <v>14.9</v>
      </c>
      <c r="AD336">
        <v>19.3</v>
      </c>
      <c r="AE336">
        <v>22.8</v>
      </c>
      <c r="AF336">
        <v>19</v>
      </c>
      <c r="AG336">
        <v>23.3</v>
      </c>
      <c r="AH336">
        <v>22.3</v>
      </c>
      <c r="AI336">
        <v>16.399999999999999</v>
      </c>
      <c r="AJ336">
        <v>20.666666670000001</v>
      </c>
      <c r="AK336">
        <v>22.3</v>
      </c>
      <c r="AL336">
        <v>16.399999999999999</v>
      </c>
      <c r="AM336">
        <v>18.899999999999999</v>
      </c>
      <c r="AN336">
        <v>19.2</v>
      </c>
      <c r="AO336">
        <v>19.2</v>
      </c>
      <c r="AP336">
        <v>12</v>
      </c>
      <c r="AQ336">
        <v>10</v>
      </c>
      <c r="AR336">
        <v>11</v>
      </c>
      <c r="AS336">
        <v>11</v>
      </c>
      <c r="AT336">
        <v>8.5</v>
      </c>
      <c r="AU336">
        <v>7.1</v>
      </c>
      <c r="AV336">
        <v>9.5</v>
      </c>
      <c r="AW336">
        <v>8.3666666670000005</v>
      </c>
      <c r="AX336">
        <v>8.3666666670000005</v>
      </c>
      <c r="AY336">
        <v>-10.633333329999999</v>
      </c>
      <c r="AZ336">
        <v>80</v>
      </c>
      <c r="BA336">
        <v>0</v>
      </c>
      <c r="BB336">
        <v>0</v>
      </c>
      <c r="BC336">
        <v>0</v>
      </c>
      <c r="BD336">
        <v>0</v>
      </c>
      <c r="BE336">
        <v>1</v>
      </c>
      <c r="BF336">
        <v>20</v>
      </c>
      <c r="BG336">
        <v>0</v>
      </c>
      <c r="BI336">
        <v>18.7</v>
      </c>
      <c r="BJ336">
        <v>19.202000000000002</v>
      </c>
      <c r="BK336">
        <v>0</v>
      </c>
      <c r="BL336">
        <v>8</v>
      </c>
      <c r="BM336">
        <v>6</v>
      </c>
      <c r="BN336">
        <v>411</v>
      </c>
      <c r="BO336">
        <v>305.33330000000001</v>
      </c>
      <c r="BP336">
        <f t="shared" si="44"/>
        <v>105.66669999999999</v>
      </c>
      <c r="BQ336" t="s">
        <v>114</v>
      </c>
      <c r="BR336" t="s">
        <v>114</v>
      </c>
      <c r="BS336" t="s">
        <v>114</v>
      </c>
      <c r="BT336" t="s">
        <v>114</v>
      </c>
      <c r="BU336" t="s">
        <v>114</v>
      </c>
      <c r="BV336" t="s">
        <v>114</v>
      </c>
      <c r="BW336" t="s">
        <v>114</v>
      </c>
      <c r="BX336" t="s">
        <v>114</v>
      </c>
      <c r="BY336" t="s">
        <v>114</v>
      </c>
      <c r="BZ336" t="s">
        <v>114</v>
      </c>
      <c r="CA336" t="s">
        <v>114</v>
      </c>
      <c r="CB336" t="s">
        <v>114</v>
      </c>
      <c r="CC336" t="s">
        <v>114</v>
      </c>
      <c r="CD336" t="s">
        <v>114</v>
      </c>
      <c r="CE336" t="s">
        <v>114</v>
      </c>
      <c r="CF336" t="s">
        <v>114</v>
      </c>
      <c r="CG336" t="s">
        <v>114</v>
      </c>
      <c r="CH336" t="s">
        <v>114</v>
      </c>
      <c r="CI336" t="s">
        <v>114</v>
      </c>
      <c r="CJ336" t="s">
        <v>114</v>
      </c>
      <c r="CK336" t="s">
        <v>114</v>
      </c>
      <c r="CL336" t="s">
        <v>114</v>
      </c>
      <c r="CM336" t="s">
        <v>114</v>
      </c>
      <c r="CN336" t="s">
        <v>114</v>
      </c>
      <c r="CO336" t="s">
        <v>114</v>
      </c>
      <c r="CP336" t="s">
        <v>114</v>
      </c>
      <c r="CQ336" t="s">
        <v>114</v>
      </c>
      <c r="CR336" t="s">
        <v>114</v>
      </c>
      <c r="CS336" t="s">
        <v>114</v>
      </c>
      <c r="CT336" t="s">
        <v>114</v>
      </c>
      <c r="CU336" t="s">
        <v>114</v>
      </c>
      <c r="CV336" t="s">
        <v>114</v>
      </c>
      <c r="CW336" t="s">
        <v>114</v>
      </c>
    </row>
    <row r="337" spans="1:101" x14ac:dyDescent="0.25">
      <c r="A337" t="s">
        <v>43</v>
      </c>
      <c r="B337">
        <v>2</v>
      </c>
      <c r="C337" t="s">
        <v>23</v>
      </c>
      <c r="D337" t="s">
        <v>94</v>
      </c>
      <c r="E337" t="s">
        <v>110</v>
      </c>
      <c r="F337" t="s">
        <v>120</v>
      </c>
      <c r="G337" t="s">
        <v>270</v>
      </c>
      <c r="H337" t="str">
        <f t="shared" si="41"/>
        <v>M.minima.Solo.Open</v>
      </c>
      <c r="I337" t="s">
        <v>724</v>
      </c>
      <c r="J337" t="s">
        <v>611</v>
      </c>
      <c r="K337">
        <v>0</v>
      </c>
      <c r="L337">
        <v>95</v>
      </c>
      <c r="M337">
        <v>20</v>
      </c>
      <c r="N337">
        <v>20</v>
      </c>
      <c r="O337" t="s">
        <v>114</v>
      </c>
      <c r="P337">
        <v>4</v>
      </c>
      <c r="Q337">
        <v>10</v>
      </c>
      <c r="R337">
        <v>10</v>
      </c>
      <c r="S337">
        <f t="shared" si="42"/>
        <v>10</v>
      </c>
      <c r="T337">
        <f t="shared" si="43"/>
        <v>0.5</v>
      </c>
      <c r="U337" t="s">
        <v>29</v>
      </c>
      <c r="V337" t="s">
        <v>114</v>
      </c>
      <c r="W337" t="s">
        <v>114</v>
      </c>
      <c r="X337">
        <v>28.2</v>
      </c>
      <c r="Y337">
        <v>23.3</v>
      </c>
      <c r="Z337">
        <v>23.8</v>
      </c>
      <c r="AA337">
        <v>25.1</v>
      </c>
      <c r="AB337">
        <v>24.766666669999999</v>
      </c>
      <c r="AC337">
        <v>24.3</v>
      </c>
      <c r="AD337">
        <v>23.3</v>
      </c>
      <c r="AE337">
        <v>26.7</v>
      </c>
      <c r="AF337">
        <v>24.766666669999999</v>
      </c>
      <c r="AG337">
        <v>23.3</v>
      </c>
      <c r="AH337">
        <v>22.3</v>
      </c>
      <c r="AI337">
        <v>16.399999999999999</v>
      </c>
      <c r="AJ337">
        <v>20.666666670000001</v>
      </c>
      <c r="AK337">
        <v>21.8</v>
      </c>
      <c r="AL337">
        <v>22.8</v>
      </c>
      <c r="AM337">
        <v>19.8</v>
      </c>
      <c r="AN337">
        <v>21.466666669999999</v>
      </c>
      <c r="AO337">
        <v>21.466666669999999</v>
      </c>
      <c r="AP337">
        <v>12</v>
      </c>
      <c r="AQ337">
        <v>10</v>
      </c>
      <c r="AR337">
        <v>11</v>
      </c>
      <c r="AS337">
        <v>11</v>
      </c>
      <c r="AT337">
        <v>7.1</v>
      </c>
      <c r="AU337">
        <v>6.6</v>
      </c>
      <c r="AV337">
        <v>8.5</v>
      </c>
      <c r="AW337">
        <v>7.4</v>
      </c>
      <c r="AX337">
        <v>7.4</v>
      </c>
      <c r="AY337">
        <v>-17.366666670000001</v>
      </c>
      <c r="AZ337">
        <v>90</v>
      </c>
      <c r="BA337">
        <v>0</v>
      </c>
      <c r="BB337">
        <v>5</v>
      </c>
      <c r="BC337">
        <v>0</v>
      </c>
      <c r="BD337">
        <v>0</v>
      </c>
      <c r="BE337">
        <v>1</v>
      </c>
      <c r="BF337">
        <v>5</v>
      </c>
      <c r="BG337">
        <v>0</v>
      </c>
      <c r="BI337">
        <v>18.7</v>
      </c>
      <c r="BJ337">
        <v>19.202000000000002</v>
      </c>
      <c r="BK337">
        <v>0</v>
      </c>
      <c r="BL337">
        <v>1</v>
      </c>
      <c r="BM337">
        <v>1</v>
      </c>
      <c r="BN337">
        <v>1</v>
      </c>
      <c r="BO337">
        <v>2.5</v>
      </c>
      <c r="BP337">
        <f t="shared" si="44"/>
        <v>-1.5</v>
      </c>
      <c r="BQ337" t="s">
        <v>114</v>
      </c>
      <c r="BR337" t="s">
        <v>114</v>
      </c>
      <c r="BS337" t="s">
        <v>114</v>
      </c>
      <c r="BT337" t="s">
        <v>114</v>
      </c>
      <c r="BU337" t="s">
        <v>114</v>
      </c>
      <c r="BV337" t="s">
        <v>114</v>
      </c>
      <c r="BW337" t="s">
        <v>114</v>
      </c>
      <c r="BX337" t="s">
        <v>114</v>
      </c>
      <c r="BY337" t="s">
        <v>114</v>
      </c>
      <c r="BZ337" t="s">
        <v>114</v>
      </c>
      <c r="CA337" t="s">
        <v>114</v>
      </c>
      <c r="CB337" t="s">
        <v>114</v>
      </c>
      <c r="CC337" t="s">
        <v>114</v>
      </c>
      <c r="CD337" t="s">
        <v>114</v>
      </c>
      <c r="CE337" t="s">
        <v>114</v>
      </c>
      <c r="CF337" t="s">
        <v>114</v>
      </c>
      <c r="CG337" t="s">
        <v>114</v>
      </c>
      <c r="CH337" t="s">
        <v>114</v>
      </c>
      <c r="CI337" t="s">
        <v>114</v>
      </c>
      <c r="CJ337" t="s">
        <v>114</v>
      </c>
      <c r="CK337" t="s">
        <v>114</v>
      </c>
      <c r="CL337" t="s">
        <v>114</v>
      </c>
      <c r="CM337" t="s">
        <v>114</v>
      </c>
      <c r="CN337" t="s">
        <v>114</v>
      </c>
      <c r="CO337" t="s">
        <v>114</v>
      </c>
      <c r="CP337" t="s">
        <v>114</v>
      </c>
      <c r="CQ337" t="s">
        <v>114</v>
      </c>
      <c r="CR337" t="s">
        <v>114</v>
      </c>
      <c r="CS337" t="s">
        <v>114</v>
      </c>
      <c r="CT337" t="s">
        <v>114</v>
      </c>
      <c r="CU337" t="s">
        <v>114</v>
      </c>
      <c r="CV337" t="s">
        <v>114</v>
      </c>
      <c r="CW337" t="s">
        <v>114</v>
      </c>
    </row>
    <row r="338" spans="1:101" x14ac:dyDescent="0.25">
      <c r="A338" t="s">
        <v>43</v>
      </c>
      <c r="B338">
        <v>2</v>
      </c>
      <c r="C338" t="s">
        <v>23</v>
      </c>
      <c r="D338" t="s">
        <v>94</v>
      </c>
      <c r="E338" t="s">
        <v>111</v>
      </c>
      <c r="F338" t="s">
        <v>120</v>
      </c>
      <c r="G338" t="s">
        <v>271</v>
      </c>
      <c r="H338" t="str">
        <f t="shared" si="41"/>
        <v>P.canescens.Solo.Open</v>
      </c>
      <c r="I338" t="s">
        <v>720</v>
      </c>
      <c r="J338" t="s">
        <v>612</v>
      </c>
      <c r="K338">
        <v>0</v>
      </c>
      <c r="L338">
        <v>280</v>
      </c>
      <c r="M338">
        <v>260</v>
      </c>
      <c r="N338">
        <v>260</v>
      </c>
      <c r="O338" t="s">
        <v>114</v>
      </c>
      <c r="P338">
        <v>95</v>
      </c>
      <c r="Q338">
        <v>160</v>
      </c>
      <c r="R338">
        <v>70</v>
      </c>
      <c r="S338">
        <f t="shared" si="42"/>
        <v>115</v>
      </c>
      <c r="T338">
        <f t="shared" si="43"/>
        <v>0.44230769230769229</v>
      </c>
      <c r="U338" t="s">
        <v>792</v>
      </c>
      <c r="V338" t="s">
        <v>114</v>
      </c>
      <c r="W338" t="s">
        <v>114</v>
      </c>
      <c r="X338">
        <v>28.2</v>
      </c>
      <c r="Y338">
        <v>23.3</v>
      </c>
      <c r="Z338">
        <v>23.8</v>
      </c>
      <c r="AA338">
        <v>25.1</v>
      </c>
      <c r="AB338" t="s">
        <v>114</v>
      </c>
      <c r="AC338" t="s">
        <v>114</v>
      </c>
      <c r="AD338" t="s">
        <v>114</v>
      </c>
      <c r="AE338" t="s">
        <v>114</v>
      </c>
      <c r="AF338" t="s">
        <v>114</v>
      </c>
      <c r="AG338">
        <v>23.3</v>
      </c>
      <c r="AH338">
        <v>22.3</v>
      </c>
      <c r="AI338">
        <v>16.399999999999999</v>
      </c>
      <c r="AJ338">
        <v>20.666666670000001</v>
      </c>
      <c r="AK338">
        <v>25.2</v>
      </c>
      <c r="AL338">
        <v>25.7</v>
      </c>
      <c r="AM338">
        <v>17.899999999999999</v>
      </c>
      <c r="AN338">
        <v>22.93333333</v>
      </c>
      <c r="AO338">
        <v>22.93333333</v>
      </c>
      <c r="AP338">
        <v>12</v>
      </c>
      <c r="AQ338">
        <v>10</v>
      </c>
      <c r="AR338">
        <v>11</v>
      </c>
      <c r="AS338">
        <v>11</v>
      </c>
      <c r="AT338">
        <v>13</v>
      </c>
      <c r="AU338">
        <v>11</v>
      </c>
      <c r="AV338">
        <v>9.5</v>
      </c>
      <c r="AW338">
        <v>11.16666667</v>
      </c>
      <c r="AX338">
        <v>11.16666667</v>
      </c>
      <c r="AY338" t="s">
        <v>114</v>
      </c>
      <c r="AZ338">
        <v>50</v>
      </c>
      <c r="BA338">
        <v>40</v>
      </c>
      <c r="BB338">
        <v>0</v>
      </c>
      <c r="BC338">
        <v>0</v>
      </c>
      <c r="BD338">
        <v>0</v>
      </c>
      <c r="BE338">
        <v>1</v>
      </c>
      <c r="BF338">
        <v>5</v>
      </c>
      <c r="BG338">
        <v>5</v>
      </c>
      <c r="BI338">
        <v>18.7</v>
      </c>
      <c r="BJ338">
        <v>19.202000000000002</v>
      </c>
      <c r="BK338">
        <v>0</v>
      </c>
      <c r="BL338">
        <v>22</v>
      </c>
      <c r="BM338">
        <v>21</v>
      </c>
      <c r="BN338">
        <v>2449</v>
      </c>
      <c r="BO338">
        <v>1464.6667</v>
      </c>
      <c r="BP338">
        <f t="shared" si="44"/>
        <v>984.33330000000001</v>
      </c>
      <c r="BQ338" t="s">
        <v>114</v>
      </c>
      <c r="BR338" t="s">
        <v>114</v>
      </c>
      <c r="BS338" t="s">
        <v>114</v>
      </c>
      <c r="BT338" t="s">
        <v>114</v>
      </c>
      <c r="BU338" t="s">
        <v>114</v>
      </c>
      <c r="BV338" t="s">
        <v>114</v>
      </c>
      <c r="BW338" t="s">
        <v>114</v>
      </c>
      <c r="BX338" t="s">
        <v>114</v>
      </c>
      <c r="BY338" t="s">
        <v>114</v>
      </c>
      <c r="BZ338" t="s">
        <v>114</v>
      </c>
      <c r="CA338" t="s">
        <v>114</v>
      </c>
      <c r="CB338" t="s">
        <v>114</v>
      </c>
      <c r="CC338" t="s">
        <v>114</v>
      </c>
      <c r="CD338" t="s">
        <v>114</v>
      </c>
      <c r="CE338" t="s">
        <v>114</v>
      </c>
      <c r="CF338" t="s">
        <v>114</v>
      </c>
      <c r="CG338" t="s">
        <v>114</v>
      </c>
      <c r="CH338" t="s">
        <v>114</v>
      </c>
      <c r="CI338" t="s">
        <v>114</v>
      </c>
      <c r="CJ338" t="s">
        <v>114</v>
      </c>
      <c r="CK338" t="s">
        <v>114</v>
      </c>
      <c r="CL338" t="s">
        <v>114</v>
      </c>
      <c r="CM338" t="s">
        <v>114</v>
      </c>
      <c r="CN338" t="s">
        <v>114</v>
      </c>
      <c r="CO338" t="s">
        <v>114</v>
      </c>
      <c r="CP338" t="s">
        <v>114</v>
      </c>
      <c r="CQ338" t="s">
        <v>114</v>
      </c>
      <c r="CR338" t="s">
        <v>114</v>
      </c>
      <c r="CS338" t="s">
        <v>114</v>
      </c>
      <c r="CT338" t="s">
        <v>114</v>
      </c>
      <c r="CU338" t="s">
        <v>114</v>
      </c>
      <c r="CV338" t="s">
        <v>114</v>
      </c>
      <c r="CW338" t="s">
        <v>114</v>
      </c>
    </row>
    <row r="339" spans="1:101" x14ac:dyDescent="0.25">
      <c r="A339" t="s">
        <v>43</v>
      </c>
      <c r="B339">
        <v>2</v>
      </c>
      <c r="C339" t="s">
        <v>23</v>
      </c>
      <c r="D339" t="s">
        <v>94</v>
      </c>
      <c r="E339" t="s">
        <v>104</v>
      </c>
      <c r="F339" t="s">
        <v>120</v>
      </c>
      <c r="G339" t="s">
        <v>272</v>
      </c>
      <c r="H339" t="str">
        <f t="shared" si="41"/>
        <v>T.cyanopetala.Solo.Open</v>
      </c>
      <c r="I339" t="s">
        <v>721</v>
      </c>
      <c r="J339" t="s">
        <v>613</v>
      </c>
      <c r="K339">
        <v>0</v>
      </c>
      <c r="L339">
        <v>70</v>
      </c>
      <c r="M339">
        <v>50</v>
      </c>
      <c r="N339">
        <v>50</v>
      </c>
      <c r="O339" t="s">
        <v>114</v>
      </c>
      <c r="P339">
        <v>40</v>
      </c>
      <c r="Q339">
        <v>35</v>
      </c>
      <c r="R339">
        <v>20</v>
      </c>
      <c r="S339">
        <f t="shared" si="42"/>
        <v>27.5</v>
      </c>
      <c r="T339">
        <f t="shared" si="43"/>
        <v>0.55000000000000004</v>
      </c>
      <c r="U339" t="s">
        <v>29</v>
      </c>
      <c r="V339" t="s">
        <v>114</v>
      </c>
      <c r="W339" t="s">
        <v>114</v>
      </c>
      <c r="X339">
        <v>28.2</v>
      </c>
      <c r="Y339">
        <v>23.3</v>
      </c>
      <c r="Z339">
        <v>23.8</v>
      </c>
      <c r="AA339">
        <v>25.1</v>
      </c>
      <c r="AB339">
        <v>25.4</v>
      </c>
      <c r="AC339">
        <v>21.8</v>
      </c>
      <c r="AD339">
        <v>25.7</v>
      </c>
      <c r="AE339">
        <v>28.7</v>
      </c>
      <c r="AF339">
        <v>25.4</v>
      </c>
      <c r="AG339">
        <v>23.3</v>
      </c>
      <c r="AH339">
        <v>22.3</v>
      </c>
      <c r="AI339">
        <v>16.399999999999999</v>
      </c>
      <c r="AJ339">
        <v>20.666666670000001</v>
      </c>
      <c r="AK339">
        <v>28.7</v>
      </c>
      <c r="AL339">
        <v>25.2</v>
      </c>
      <c r="AM339">
        <v>29.2</v>
      </c>
      <c r="AN339">
        <v>27.7</v>
      </c>
      <c r="AO339">
        <v>27.7</v>
      </c>
      <c r="AP339">
        <v>12</v>
      </c>
      <c r="AQ339">
        <v>10</v>
      </c>
      <c r="AR339">
        <v>11</v>
      </c>
      <c r="AS339">
        <v>11</v>
      </c>
      <c r="AT339">
        <v>6.6</v>
      </c>
      <c r="AU339">
        <v>12</v>
      </c>
      <c r="AV339">
        <v>10</v>
      </c>
      <c r="AW339">
        <v>9.5333333329999999</v>
      </c>
      <c r="AX339">
        <v>9.5333333329999999</v>
      </c>
      <c r="AY339">
        <v>-15.866666670000001</v>
      </c>
      <c r="AZ339">
        <v>50</v>
      </c>
      <c r="BA339">
        <v>0</v>
      </c>
      <c r="BB339">
        <v>20</v>
      </c>
      <c r="BC339">
        <v>30</v>
      </c>
      <c r="BD339">
        <v>0</v>
      </c>
      <c r="BE339">
        <v>1</v>
      </c>
      <c r="BF339">
        <v>0</v>
      </c>
      <c r="BG339">
        <v>0</v>
      </c>
      <c r="BI339">
        <v>18.7</v>
      </c>
      <c r="BJ339">
        <v>19.202000000000002</v>
      </c>
      <c r="BK339">
        <v>0</v>
      </c>
      <c r="BL339">
        <v>2</v>
      </c>
      <c r="BM339">
        <v>2</v>
      </c>
      <c r="BN339">
        <v>14</v>
      </c>
      <c r="BO339">
        <v>35</v>
      </c>
      <c r="BP339">
        <f t="shared" si="44"/>
        <v>-21</v>
      </c>
      <c r="BQ339" t="s">
        <v>114</v>
      </c>
      <c r="BR339" t="s">
        <v>114</v>
      </c>
      <c r="BS339" t="s">
        <v>114</v>
      </c>
      <c r="BT339" t="s">
        <v>114</v>
      </c>
      <c r="BU339" t="s">
        <v>114</v>
      </c>
      <c r="BV339" t="s">
        <v>114</v>
      </c>
      <c r="BW339" t="s">
        <v>114</v>
      </c>
      <c r="BX339" t="s">
        <v>114</v>
      </c>
      <c r="BY339" t="s">
        <v>114</v>
      </c>
      <c r="BZ339" t="s">
        <v>114</v>
      </c>
      <c r="CA339" t="s">
        <v>114</v>
      </c>
      <c r="CB339" t="s">
        <v>114</v>
      </c>
      <c r="CC339" t="s">
        <v>114</v>
      </c>
      <c r="CD339" t="s">
        <v>114</v>
      </c>
      <c r="CE339" t="s">
        <v>114</v>
      </c>
      <c r="CF339" t="s">
        <v>114</v>
      </c>
      <c r="CG339" t="s">
        <v>114</v>
      </c>
      <c r="CH339" t="s">
        <v>114</v>
      </c>
      <c r="CI339" t="s">
        <v>114</v>
      </c>
      <c r="CJ339" t="s">
        <v>114</v>
      </c>
      <c r="CK339" t="s">
        <v>114</v>
      </c>
      <c r="CL339" t="s">
        <v>114</v>
      </c>
      <c r="CM339" t="s">
        <v>114</v>
      </c>
      <c r="CN339" t="s">
        <v>114</v>
      </c>
      <c r="CO339" t="s">
        <v>114</v>
      </c>
      <c r="CP339" t="s">
        <v>114</v>
      </c>
      <c r="CQ339" t="s">
        <v>114</v>
      </c>
      <c r="CR339" t="s">
        <v>114</v>
      </c>
      <c r="CS339" t="s">
        <v>114</v>
      </c>
      <c r="CT339" t="s">
        <v>114</v>
      </c>
      <c r="CU339" t="s">
        <v>114</v>
      </c>
      <c r="CV339" t="s">
        <v>114</v>
      </c>
      <c r="CW339" t="s">
        <v>114</v>
      </c>
    </row>
    <row r="340" spans="1:101" x14ac:dyDescent="0.25">
      <c r="A340" t="s">
        <v>44</v>
      </c>
      <c r="B340">
        <v>2</v>
      </c>
      <c r="C340" t="s">
        <v>25</v>
      </c>
      <c r="D340" t="s">
        <v>95</v>
      </c>
      <c r="E340" t="s">
        <v>102</v>
      </c>
      <c r="F340" t="s">
        <v>120</v>
      </c>
      <c r="G340" t="s">
        <v>273</v>
      </c>
      <c r="H340" t="str">
        <f t="shared" si="41"/>
        <v>A.calendula.Solo.Shade</v>
      </c>
      <c r="I340" t="s">
        <v>725</v>
      </c>
      <c r="J340" t="s">
        <v>614</v>
      </c>
      <c r="K340">
        <v>0</v>
      </c>
      <c r="L340">
        <v>170</v>
      </c>
      <c r="M340">
        <v>210</v>
      </c>
      <c r="N340">
        <v>210</v>
      </c>
      <c r="O340" t="s">
        <v>114</v>
      </c>
      <c r="P340">
        <v>180</v>
      </c>
      <c r="Q340">
        <v>180</v>
      </c>
      <c r="R340">
        <v>120</v>
      </c>
      <c r="S340">
        <f t="shared" si="42"/>
        <v>150</v>
      </c>
      <c r="T340">
        <f t="shared" si="43"/>
        <v>0.7142857142857143</v>
      </c>
      <c r="U340" t="s">
        <v>15</v>
      </c>
      <c r="V340" t="s">
        <v>114</v>
      </c>
      <c r="W340" t="s">
        <v>114</v>
      </c>
      <c r="X340">
        <v>17.399999999999999</v>
      </c>
      <c r="Y340">
        <v>15.9</v>
      </c>
      <c r="Z340">
        <v>17.899999999999999</v>
      </c>
      <c r="AA340">
        <v>17.06666667</v>
      </c>
      <c r="AB340">
        <v>14.133333329999999</v>
      </c>
      <c r="AC340">
        <v>15.9</v>
      </c>
      <c r="AD340">
        <v>13</v>
      </c>
      <c r="AE340">
        <v>13.5</v>
      </c>
      <c r="AF340">
        <v>14.133333329999999</v>
      </c>
      <c r="AG340">
        <v>20.8</v>
      </c>
      <c r="AH340">
        <v>17.399999999999999</v>
      </c>
      <c r="AI340">
        <v>20.3</v>
      </c>
      <c r="AJ340">
        <v>19.5</v>
      </c>
      <c r="AK340">
        <v>14.9</v>
      </c>
      <c r="AL340">
        <v>12.5</v>
      </c>
      <c r="AM340">
        <v>13.9</v>
      </c>
      <c r="AN340">
        <v>13.766666669999999</v>
      </c>
      <c r="AO340">
        <v>13.766666669999999</v>
      </c>
      <c r="AP340">
        <v>8.1</v>
      </c>
      <c r="AQ340">
        <v>7.1</v>
      </c>
      <c r="AR340">
        <v>8.5</v>
      </c>
      <c r="AS340">
        <v>7.9</v>
      </c>
      <c r="AT340">
        <v>5.6</v>
      </c>
      <c r="AU340">
        <v>5.6</v>
      </c>
      <c r="AV340">
        <v>6.1</v>
      </c>
      <c r="AW340">
        <v>5.766666667</v>
      </c>
      <c r="AX340">
        <v>5.766666667</v>
      </c>
      <c r="AY340">
        <v>-8.3666666670000005</v>
      </c>
      <c r="AZ340">
        <v>90</v>
      </c>
      <c r="BA340">
        <v>0</v>
      </c>
      <c r="BB340">
        <v>10</v>
      </c>
      <c r="BC340">
        <v>0</v>
      </c>
      <c r="BD340">
        <v>0</v>
      </c>
      <c r="BE340">
        <v>1</v>
      </c>
      <c r="BF340">
        <v>0</v>
      </c>
      <c r="BG340">
        <v>0</v>
      </c>
      <c r="BI340">
        <v>6.4</v>
      </c>
      <c r="BJ340">
        <v>50.609000000000002</v>
      </c>
      <c r="BK340">
        <v>0</v>
      </c>
      <c r="BL340">
        <v>17</v>
      </c>
      <c r="BM340">
        <v>17</v>
      </c>
      <c r="BN340">
        <v>532</v>
      </c>
      <c r="BO340">
        <v>486.66669999999999</v>
      </c>
      <c r="BP340">
        <f t="shared" si="44"/>
        <v>45.333300000000008</v>
      </c>
      <c r="BQ340" t="s">
        <v>114</v>
      </c>
      <c r="BR340" t="s">
        <v>114</v>
      </c>
      <c r="BS340" t="s">
        <v>114</v>
      </c>
      <c r="BT340" t="s">
        <v>114</v>
      </c>
      <c r="BU340" t="s">
        <v>114</v>
      </c>
      <c r="BV340" t="s">
        <v>114</v>
      </c>
      <c r="BW340" t="s">
        <v>114</v>
      </c>
      <c r="BX340" t="s">
        <v>114</v>
      </c>
      <c r="BY340" t="s">
        <v>114</v>
      </c>
      <c r="BZ340" t="s">
        <v>114</v>
      </c>
      <c r="CA340" t="s">
        <v>114</v>
      </c>
      <c r="CB340" t="s">
        <v>114</v>
      </c>
      <c r="CC340" t="s">
        <v>114</v>
      </c>
      <c r="CD340" t="s">
        <v>114</v>
      </c>
      <c r="CE340" t="s">
        <v>114</v>
      </c>
      <c r="CF340" t="s">
        <v>114</v>
      </c>
      <c r="CG340" t="s">
        <v>114</v>
      </c>
      <c r="CH340" t="s">
        <v>114</v>
      </c>
      <c r="CI340" t="s">
        <v>114</v>
      </c>
      <c r="CJ340" t="s">
        <v>114</v>
      </c>
      <c r="CK340" t="s">
        <v>114</v>
      </c>
      <c r="CL340" t="s">
        <v>114</v>
      </c>
      <c r="CM340" t="s">
        <v>114</v>
      </c>
      <c r="CN340" t="s">
        <v>114</v>
      </c>
      <c r="CO340" t="s">
        <v>114</v>
      </c>
      <c r="CP340" t="s">
        <v>114</v>
      </c>
      <c r="CQ340" t="s">
        <v>114</v>
      </c>
      <c r="CR340" t="s">
        <v>114</v>
      </c>
      <c r="CS340" t="s">
        <v>114</v>
      </c>
      <c r="CT340" t="s">
        <v>114</v>
      </c>
      <c r="CU340" t="s">
        <v>114</v>
      </c>
      <c r="CV340" t="s">
        <v>114</v>
      </c>
      <c r="CW340" t="s">
        <v>114</v>
      </c>
    </row>
    <row r="341" spans="1:101" x14ac:dyDescent="0.25">
      <c r="A341" t="s">
        <v>44</v>
      </c>
      <c r="B341">
        <v>2</v>
      </c>
      <c r="C341" t="s">
        <v>25</v>
      </c>
      <c r="D341" t="s">
        <v>95</v>
      </c>
      <c r="E341" t="s">
        <v>110</v>
      </c>
      <c r="F341" t="s">
        <v>120</v>
      </c>
      <c r="G341" t="s">
        <v>270</v>
      </c>
      <c r="H341" t="str">
        <f t="shared" si="41"/>
        <v>M.minima.Solo.Shade</v>
      </c>
      <c r="I341" t="s">
        <v>726</v>
      </c>
      <c r="J341" t="s">
        <v>615</v>
      </c>
      <c r="K341">
        <v>0</v>
      </c>
      <c r="L341">
        <v>60</v>
      </c>
      <c r="M341">
        <v>110</v>
      </c>
      <c r="N341">
        <v>110</v>
      </c>
      <c r="O341" t="s">
        <v>114</v>
      </c>
      <c r="P341">
        <v>22</v>
      </c>
      <c r="Q341">
        <v>50</v>
      </c>
      <c r="R341">
        <v>10</v>
      </c>
      <c r="S341">
        <f t="shared" si="42"/>
        <v>30</v>
      </c>
      <c r="T341">
        <f t="shared" si="43"/>
        <v>0.27272727272727271</v>
      </c>
      <c r="U341" t="s">
        <v>23</v>
      </c>
      <c r="V341" t="s">
        <v>114</v>
      </c>
      <c r="W341" t="s">
        <v>114</v>
      </c>
      <c r="X341">
        <v>17.399999999999999</v>
      </c>
      <c r="Y341">
        <v>15.9</v>
      </c>
      <c r="Z341">
        <v>17.899999999999999</v>
      </c>
      <c r="AA341">
        <v>17.06666667</v>
      </c>
      <c r="AB341">
        <v>14.93333333</v>
      </c>
      <c r="AC341">
        <v>12</v>
      </c>
      <c r="AD341">
        <v>16.899999999999999</v>
      </c>
      <c r="AE341">
        <v>15.9</v>
      </c>
      <c r="AF341">
        <v>14.93333333</v>
      </c>
      <c r="AG341">
        <v>20.8</v>
      </c>
      <c r="AH341">
        <v>17.399999999999999</v>
      </c>
      <c r="AI341">
        <v>20.3</v>
      </c>
      <c r="AJ341">
        <v>19.5</v>
      </c>
      <c r="AK341">
        <v>16.899999999999999</v>
      </c>
      <c r="AL341">
        <v>18.899999999999999</v>
      </c>
      <c r="AM341">
        <v>14.9</v>
      </c>
      <c r="AN341">
        <v>16.899999999999999</v>
      </c>
      <c r="AO341">
        <v>16.899999999999999</v>
      </c>
      <c r="AP341">
        <v>8.1</v>
      </c>
      <c r="AQ341">
        <v>7.1</v>
      </c>
      <c r="AR341">
        <v>8.5</v>
      </c>
      <c r="AS341">
        <v>7.9</v>
      </c>
      <c r="AT341">
        <v>7.6</v>
      </c>
      <c r="AU341">
        <v>9</v>
      </c>
      <c r="AV341">
        <v>8.5</v>
      </c>
      <c r="AW341">
        <v>8.3666666670000005</v>
      </c>
      <c r="AX341">
        <v>8.3666666670000005</v>
      </c>
      <c r="AY341">
        <v>-6.5666666669999998</v>
      </c>
      <c r="AZ341">
        <v>90</v>
      </c>
      <c r="BA341">
        <v>0</v>
      </c>
      <c r="BB341">
        <v>0</v>
      </c>
      <c r="BC341">
        <v>10</v>
      </c>
      <c r="BD341">
        <v>0</v>
      </c>
      <c r="BE341">
        <v>1</v>
      </c>
      <c r="BF341">
        <v>0</v>
      </c>
      <c r="BG341">
        <v>0</v>
      </c>
      <c r="BI341">
        <v>6.4</v>
      </c>
      <c r="BJ341">
        <v>50.609000000000002</v>
      </c>
      <c r="BK341">
        <v>1</v>
      </c>
      <c r="BL341">
        <v>5</v>
      </c>
      <c r="BM341">
        <v>5</v>
      </c>
      <c r="BN341">
        <v>3</v>
      </c>
      <c r="BO341">
        <v>3</v>
      </c>
      <c r="BP341">
        <f t="shared" si="44"/>
        <v>0</v>
      </c>
      <c r="BQ341" t="s">
        <v>114</v>
      </c>
      <c r="BR341" t="s">
        <v>114</v>
      </c>
      <c r="BS341" t="s">
        <v>114</v>
      </c>
      <c r="BT341" t="s">
        <v>114</v>
      </c>
      <c r="BU341" t="s">
        <v>114</v>
      </c>
      <c r="BV341" t="s">
        <v>114</v>
      </c>
      <c r="BW341" t="s">
        <v>114</v>
      </c>
      <c r="BX341" t="s">
        <v>114</v>
      </c>
      <c r="BY341" t="s">
        <v>114</v>
      </c>
      <c r="BZ341" t="s">
        <v>114</v>
      </c>
      <c r="CA341" t="s">
        <v>114</v>
      </c>
      <c r="CB341" t="s">
        <v>114</v>
      </c>
      <c r="CC341" t="s">
        <v>114</v>
      </c>
      <c r="CD341" t="s">
        <v>114</v>
      </c>
      <c r="CE341" t="s">
        <v>114</v>
      </c>
      <c r="CF341" t="s">
        <v>114</v>
      </c>
      <c r="CG341" t="s">
        <v>114</v>
      </c>
      <c r="CH341" t="s">
        <v>114</v>
      </c>
      <c r="CI341" t="s">
        <v>114</v>
      </c>
      <c r="CJ341" t="s">
        <v>114</v>
      </c>
      <c r="CK341" t="s">
        <v>114</v>
      </c>
      <c r="CL341" t="s">
        <v>114</v>
      </c>
      <c r="CM341" t="s">
        <v>114</v>
      </c>
      <c r="CN341" t="s">
        <v>114</v>
      </c>
      <c r="CO341" t="s">
        <v>114</v>
      </c>
      <c r="CP341" t="s">
        <v>114</v>
      </c>
      <c r="CQ341" t="s">
        <v>114</v>
      </c>
      <c r="CR341" t="s">
        <v>114</v>
      </c>
      <c r="CS341" t="s">
        <v>114</v>
      </c>
      <c r="CT341" t="s">
        <v>114</v>
      </c>
      <c r="CU341" t="s">
        <v>114</v>
      </c>
      <c r="CV341" t="s">
        <v>114</v>
      </c>
      <c r="CW341" t="s">
        <v>114</v>
      </c>
    </row>
    <row r="342" spans="1:101" x14ac:dyDescent="0.25">
      <c r="A342" t="s">
        <v>44</v>
      </c>
      <c r="B342">
        <v>2</v>
      </c>
      <c r="C342" t="s">
        <v>25</v>
      </c>
      <c r="D342" t="s">
        <v>95</v>
      </c>
      <c r="E342" t="s">
        <v>104</v>
      </c>
      <c r="F342" t="s">
        <v>120</v>
      </c>
      <c r="G342" t="s">
        <v>272</v>
      </c>
      <c r="H342" t="str">
        <f t="shared" si="41"/>
        <v>T.cyanopetala.Solo.Shade</v>
      </c>
      <c r="I342" t="s">
        <v>727</v>
      </c>
      <c r="J342" t="s">
        <v>616</v>
      </c>
      <c r="K342">
        <v>0</v>
      </c>
      <c r="L342">
        <v>130</v>
      </c>
      <c r="M342">
        <v>140</v>
      </c>
      <c r="N342">
        <v>140</v>
      </c>
      <c r="O342" t="s">
        <v>114</v>
      </c>
      <c r="P342">
        <v>70</v>
      </c>
      <c r="Q342">
        <v>140</v>
      </c>
      <c r="R342">
        <v>50</v>
      </c>
      <c r="S342">
        <f t="shared" si="42"/>
        <v>95</v>
      </c>
      <c r="T342">
        <f t="shared" si="43"/>
        <v>0.6785714285714286</v>
      </c>
      <c r="U342" t="s">
        <v>793</v>
      </c>
      <c r="V342" t="s">
        <v>114</v>
      </c>
      <c r="W342" t="s">
        <v>114</v>
      </c>
      <c r="X342">
        <v>17.399999999999999</v>
      </c>
      <c r="Y342">
        <v>15.9</v>
      </c>
      <c r="Z342">
        <v>17.899999999999999</v>
      </c>
      <c r="AA342">
        <v>17.06666667</v>
      </c>
      <c r="AB342">
        <v>13.8</v>
      </c>
      <c r="AC342">
        <v>13</v>
      </c>
      <c r="AD342">
        <v>13.5</v>
      </c>
      <c r="AE342">
        <v>14.9</v>
      </c>
      <c r="AF342">
        <v>13.8</v>
      </c>
      <c r="AG342">
        <v>20.8</v>
      </c>
      <c r="AH342">
        <v>17.399999999999999</v>
      </c>
      <c r="AI342">
        <v>20.3</v>
      </c>
      <c r="AJ342">
        <v>19.5</v>
      </c>
      <c r="AK342">
        <v>14.9</v>
      </c>
      <c r="AL342">
        <v>16.899999999999999</v>
      </c>
      <c r="AM342">
        <v>15.4</v>
      </c>
      <c r="AN342">
        <v>15.733333330000001</v>
      </c>
      <c r="AO342">
        <v>15.733333330000001</v>
      </c>
      <c r="AP342">
        <v>8.1</v>
      </c>
      <c r="AQ342">
        <v>7.1</v>
      </c>
      <c r="AR342">
        <v>8.5</v>
      </c>
      <c r="AS342">
        <v>7.9</v>
      </c>
      <c r="AT342">
        <v>4.5999999999999996</v>
      </c>
      <c r="AU342">
        <v>5.0999999999999996</v>
      </c>
      <c r="AV342">
        <v>6.6</v>
      </c>
      <c r="AW342">
        <v>5.4333333330000002</v>
      </c>
      <c r="AX342">
        <v>5.4333333330000002</v>
      </c>
      <c r="AY342">
        <v>-8.3666666670000005</v>
      </c>
      <c r="AZ342">
        <v>50</v>
      </c>
      <c r="BA342">
        <v>0</v>
      </c>
      <c r="BB342">
        <v>20</v>
      </c>
      <c r="BC342">
        <v>30</v>
      </c>
      <c r="BD342">
        <v>0</v>
      </c>
      <c r="BE342">
        <v>1</v>
      </c>
      <c r="BF342">
        <v>0</v>
      </c>
      <c r="BG342">
        <v>0</v>
      </c>
      <c r="BI342">
        <v>6.4</v>
      </c>
      <c r="BJ342">
        <v>50.609000000000002</v>
      </c>
      <c r="BK342">
        <v>0</v>
      </c>
      <c r="BL342">
        <v>35</v>
      </c>
      <c r="BM342">
        <v>35</v>
      </c>
      <c r="BN342">
        <v>202</v>
      </c>
      <c r="BO342">
        <v>134</v>
      </c>
      <c r="BP342">
        <f t="shared" si="44"/>
        <v>68</v>
      </c>
      <c r="BQ342" t="s">
        <v>114</v>
      </c>
      <c r="BR342" t="s">
        <v>114</v>
      </c>
      <c r="BS342" t="s">
        <v>114</v>
      </c>
      <c r="BT342" t="s">
        <v>114</v>
      </c>
      <c r="BU342" t="s">
        <v>114</v>
      </c>
      <c r="BV342" t="s">
        <v>114</v>
      </c>
      <c r="BW342" t="s">
        <v>114</v>
      </c>
      <c r="BX342" t="s">
        <v>114</v>
      </c>
      <c r="BY342" t="s">
        <v>114</v>
      </c>
      <c r="BZ342" t="s">
        <v>114</v>
      </c>
      <c r="CA342" t="s">
        <v>114</v>
      </c>
      <c r="CB342" t="s">
        <v>114</v>
      </c>
      <c r="CC342" t="s">
        <v>114</v>
      </c>
      <c r="CD342" t="s">
        <v>114</v>
      </c>
      <c r="CE342" t="s">
        <v>114</v>
      </c>
      <c r="CF342" t="s">
        <v>114</v>
      </c>
      <c r="CG342" t="s">
        <v>114</v>
      </c>
      <c r="CH342" t="s">
        <v>114</v>
      </c>
      <c r="CI342" t="s">
        <v>114</v>
      </c>
      <c r="CJ342" t="s">
        <v>114</v>
      </c>
      <c r="CK342" t="s">
        <v>114</v>
      </c>
      <c r="CL342" t="s">
        <v>114</v>
      </c>
      <c r="CM342" t="s">
        <v>114</v>
      </c>
      <c r="CN342" t="s">
        <v>114</v>
      </c>
      <c r="CO342" t="s">
        <v>114</v>
      </c>
      <c r="CP342" t="s">
        <v>114</v>
      </c>
      <c r="CQ342" t="s">
        <v>114</v>
      </c>
      <c r="CR342" t="s">
        <v>114</v>
      </c>
      <c r="CS342" t="s">
        <v>114</v>
      </c>
      <c r="CT342" t="s">
        <v>114</v>
      </c>
      <c r="CU342" t="s">
        <v>114</v>
      </c>
      <c r="CV342" t="s">
        <v>114</v>
      </c>
      <c r="CW342" t="s">
        <v>114</v>
      </c>
    </row>
    <row r="343" spans="1:101" x14ac:dyDescent="0.25">
      <c r="A343" t="s">
        <v>44</v>
      </c>
      <c r="B343">
        <v>2</v>
      </c>
      <c r="C343" t="s">
        <v>25</v>
      </c>
      <c r="D343" t="s">
        <v>95</v>
      </c>
      <c r="E343" t="s">
        <v>112</v>
      </c>
      <c r="F343" t="s">
        <v>120</v>
      </c>
      <c r="G343" t="s">
        <v>269</v>
      </c>
      <c r="H343" t="str">
        <f t="shared" si="41"/>
        <v>V.rosea.Solo.Shade</v>
      </c>
      <c r="I343" t="s">
        <v>722</v>
      </c>
      <c r="J343" t="s">
        <v>617</v>
      </c>
      <c r="K343">
        <v>0</v>
      </c>
      <c r="L343">
        <v>120</v>
      </c>
      <c r="M343">
        <v>70</v>
      </c>
      <c r="N343">
        <v>70</v>
      </c>
      <c r="O343" t="s">
        <v>114</v>
      </c>
      <c r="P343">
        <v>45</v>
      </c>
      <c r="Q343">
        <v>110</v>
      </c>
      <c r="R343">
        <v>30</v>
      </c>
      <c r="S343">
        <f t="shared" si="42"/>
        <v>70</v>
      </c>
      <c r="T343">
        <f t="shared" si="43"/>
        <v>1</v>
      </c>
      <c r="U343" t="s">
        <v>793</v>
      </c>
      <c r="V343" t="s">
        <v>114</v>
      </c>
      <c r="W343" t="s">
        <v>114</v>
      </c>
      <c r="X343">
        <v>17.399999999999999</v>
      </c>
      <c r="Y343">
        <v>15.9</v>
      </c>
      <c r="Z343">
        <v>17.899999999999999</v>
      </c>
      <c r="AA343">
        <v>17.06666667</v>
      </c>
      <c r="AB343">
        <v>18.233333330000001</v>
      </c>
      <c r="AC343">
        <v>18.399999999999999</v>
      </c>
      <c r="AD343">
        <v>18.399999999999999</v>
      </c>
      <c r="AE343">
        <v>17.899999999999999</v>
      </c>
      <c r="AF343">
        <v>18.233333330000001</v>
      </c>
      <c r="AG343">
        <v>20.8</v>
      </c>
      <c r="AH343">
        <v>17.399999999999999</v>
      </c>
      <c r="AI343">
        <v>20.3</v>
      </c>
      <c r="AJ343">
        <v>19.5</v>
      </c>
      <c r="AK343">
        <v>17.399999999999999</v>
      </c>
      <c r="AL343">
        <v>19.3</v>
      </c>
      <c r="AM343">
        <v>19.8</v>
      </c>
      <c r="AN343">
        <v>18.833333329999999</v>
      </c>
      <c r="AO343">
        <v>18.833333329999999</v>
      </c>
      <c r="AP343">
        <v>8.1</v>
      </c>
      <c r="AQ343">
        <v>7.1</v>
      </c>
      <c r="AR343">
        <v>8.5</v>
      </c>
      <c r="AS343">
        <v>7.9</v>
      </c>
      <c r="AT343">
        <v>7.1</v>
      </c>
      <c r="AU343">
        <v>7.1</v>
      </c>
      <c r="AV343">
        <v>8.5</v>
      </c>
      <c r="AW343">
        <v>7.5666666669999998</v>
      </c>
      <c r="AX343">
        <v>7.5666666669999998</v>
      </c>
      <c r="AY343">
        <v>-10.66666667</v>
      </c>
      <c r="AZ343">
        <v>90</v>
      </c>
      <c r="BA343">
        <v>0</v>
      </c>
      <c r="BB343">
        <v>10</v>
      </c>
      <c r="BC343">
        <v>0</v>
      </c>
      <c r="BD343">
        <v>0</v>
      </c>
      <c r="BE343">
        <v>1</v>
      </c>
      <c r="BF343">
        <v>0</v>
      </c>
      <c r="BG343">
        <v>0</v>
      </c>
      <c r="BI343">
        <v>6.4</v>
      </c>
      <c r="BJ343">
        <v>50.609000000000002</v>
      </c>
      <c r="BK343">
        <v>0</v>
      </c>
      <c r="BL343">
        <v>42</v>
      </c>
      <c r="BM343">
        <v>33</v>
      </c>
      <c r="BN343">
        <v>83</v>
      </c>
      <c r="BO343">
        <v>116.5</v>
      </c>
      <c r="BP343">
        <f t="shared" si="44"/>
        <v>-33.5</v>
      </c>
      <c r="BQ343" t="s">
        <v>114</v>
      </c>
      <c r="BR343" t="s">
        <v>114</v>
      </c>
      <c r="BS343" t="s">
        <v>114</v>
      </c>
      <c r="BT343" t="s">
        <v>114</v>
      </c>
      <c r="BU343" t="s">
        <v>114</v>
      </c>
      <c r="BV343" t="s">
        <v>114</v>
      </c>
      <c r="BW343" t="s">
        <v>114</v>
      </c>
      <c r="BX343" t="s">
        <v>114</v>
      </c>
      <c r="BY343" t="s">
        <v>114</v>
      </c>
      <c r="BZ343" t="s">
        <v>114</v>
      </c>
      <c r="CA343" t="s">
        <v>114</v>
      </c>
      <c r="CB343" t="s">
        <v>114</v>
      </c>
      <c r="CC343" t="s">
        <v>114</v>
      </c>
      <c r="CD343" t="s">
        <v>114</v>
      </c>
      <c r="CE343" t="s">
        <v>114</v>
      </c>
      <c r="CF343" t="s">
        <v>114</v>
      </c>
      <c r="CG343" t="s">
        <v>114</v>
      </c>
      <c r="CH343" t="s">
        <v>114</v>
      </c>
      <c r="CI343" t="s">
        <v>114</v>
      </c>
      <c r="CJ343" t="s">
        <v>114</v>
      </c>
      <c r="CK343" t="s">
        <v>114</v>
      </c>
      <c r="CL343" t="s">
        <v>114</v>
      </c>
      <c r="CM343" t="s">
        <v>114</v>
      </c>
      <c r="CN343" t="s">
        <v>114</v>
      </c>
      <c r="CO343" t="s">
        <v>114</v>
      </c>
      <c r="CP343" t="s">
        <v>114</v>
      </c>
      <c r="CQ343" t="s">
        <v>114</v>
      </c>
      <c r="CR343" t="s">
        <v>114</v>
      </c>
      <c r="CS343" t="s">
        <v>114</v>
      </c>
      <c r="CT343" t="s">
        <v>114</v>
      </c>
      <c r="CU343" t="s">
        <v>114</v>
      </c>
      <c r="CV343" t="s">
        <v>114</v>
      </c>
      <c r="CW343" t="s">
        <v>114</v>
      </c>
    </row>
    <row r="344" spans="1:101" x14ac:dyDescent="0.25">
      <c r="A344" t="s">
        <v>45</v>
      </c>
      <c r="B344">
        <v>2</v>
      </c>
      <c r="C344" t="s">
        <v>27</v>
      </c>
      <c r="D344" t="s">
        <v>95</v>
      </c>
      <c r="E344" t="s">
        <v>102</v>
      </c>
      <c r="F344" t="s">
        <v>120</v>
      </c>
      <c r="G344" t="s">
        <v>273</v>
      </c>
      <c r="H344" t="str">
        <f t="shared" si="41"/>
        <v>A.calendula.Solo.Shade</v>
      </c>
      <c r="I344" t="s">
        <v>725</v>
      </c>
      <c r="J344" t="s">
        <v>618</v>
      </c>
      <c r="K344">
        <v>0</v>
      </c>
      <c r="L344">
        <v>170</v>
      </c>
      <c r="M344">
        <v>145</v>
      </c>
      <c r="N344">
        <v>145</v>
      </c>
      <c r="O344" t="s">
        <v>114</v>
      </c>
      <c r="P344">
        <v>140</v>
      </c>
      <c r="Q344">
        <v>160</v>
      </c>
      <c r="R344">
        <v>50</v>
      </c>
      <c r="S344">
        <f t="shared" si="42"/>
        <v>105</v>
      </c>
      <c r="T344">
        <f t="shared" si="43"/>
        <v>0.72413793103448276</v>
      </c>
      <c r="U344" t="s">
        <v>792</v>
      </c>
      <c r="V344" t="s">
        <v>114</v>
      </c>
      <c r="W344" t="s">
        <v>114</v>
      </c>
      <c r="X344">
        <v>12.5</v>
      </c>
      <c r="Y344">
        <v>14.9</v>
      </c>
      <c r="Z344">
        <v>17.899999999999999</v>
      </c>
      <c r="AA344">
        <v>15.1</v>
      </c>
      <c r="AB344">
        <v>13.6</v>
      </c>
      <c r="AC344">
        <v>12.5</v>
      </c>
      <c r="AD344">
        <v>13.9</v>
      </c>
      <c r="AE344">
        <v>14.4</v>
      </c>
      <c r="AF344">
        <v>13.6</v>
      </c>
      <c r="AG344">
        <v>15.4</v>
      </c>
      <c r="AH344">
        <v>15.9</v>
      </c>
      <c r="AI344">
        <v>17.399999999999999</v>
      </c>
      <c r="AJ344">
        <v>16.233333330000001</v>
      </c>
      <c r="AK344">
        <v>13.9</v>
      </c>
      <c r="AL344">
        <v>13</v>
      </c>
      <c r="AM344">
        <v>14.4</v>
      </c>
      <c r="AN344">
        <v>13.766666669999999</v>
      </c>
      <c r="AO344">
        <v>13.766666669999999</v>
      </c>
      <c r="AP344">
        <v>7.6</v>
      </c>
      <c r="AQ344">
        <v>7.1</v>
      </c>
      <c r="AR344">
        <v>8.5</v>
      </c>
      <c r="AS344">
        <v>7.733333333</v>
      </c>
      <c r="AT344">
        <v>5.0999999999999996</v>
      </c>
      <c r="AU344">
        <v>5.0999999999999996</v>
      </c>
      <c r="AV344">
        <v>5.6</v>
      </c>
      <c r="AW344">
        <v>5.266666667</v>
      </c>
      <c r="AX344">
        <v>5.266666667</v>
      </c>
      <c r="AY344">
        <v>-8.3333333330000006</v>
      </c>
      <c r="AZ344">
        <v>30</v>
      </c>
      <c r="BA344">
        <v>0</v>
      </c>
      <c r="BB344">
        <v>60</v>
      </c>
      <c r="BC344">
        <v>0</v>
      </c>
      <c r="BD344">
        <v>10</v>
      </c>
      <c r="BE344">
        <v>0</v>
      </c>
      <c r="BF344">
        <v>0</v>
      </c>
      <c r="BG344">
        <v>0</v>
      </c>
      <c r="BI344">
        <v>11</v>
      </c>
      <c r="BJ344">
        <v>42.4</v>
      </c>
      <c r="BK344">
        <v>0</v>
      </c>
      <c r="BL344">
        <v>18</v>
      </c>
      <c r="BM344">
        <v>18</v>
      </c>
      <c r="BN344">
        <v>774</v>
      </c>
      <c r="BO344">
        <v>486.66669999999999</v>
      </c>
      <c r="BP344">
        <f t="shared" si="44"/>
        <v>287.33330000000001</v>
      </c>
      <c r="BQ344" t="s">
        <v>114</v>
      </c>
      <c r="BR344" t="s">
        <v>114</v>
      </c>
      <c r="BS344" t="s">
        <v>114</v>
      </c>
      <c r="BT344" t="s">
        <v>114</v>
      </c>
      <c r="BU344" t="s">
        <v>114</v>
      </c>
      <c r="BV344" t="s">
        <v>114</v>
      </c>
      <c r="BW344" t="s">
        <v>114</v>
      </c>
      <c r="BX344" t="s">
        <v>114</v>
      </c>
      <c r="BY344" t="s">
        <v>114</v>
      </c>
      <c r="BZ344" t="s">
        <v>114</v>
      </c>
      <c r="CA344" t="s">
        <v>114</v>
      </c>
      <c r="CB344" t="s">
        <v>114</v>
      </c>
      <c r="CC344" t="s">
        <v>114</v>
      </c>
      <c r="CD344" t="s">
        <v>114</v>
      </c>
      <c r="CE344" t="s">
        <v>114</v>
      </c>
      <c r="CF344" t="s">
        <v>114</v>
      </c>
      <c r="CG344" t="s">
        <v>114</v>
      </c>
      <c r="CH344" t="s">
        <v>114</v>
      </c>
      <c r="CI344" t="s">
        <v>114</v>
      </c>
      <c r="CJ344" t="s">
        <v>114</v>
      </c>
      <c r="CK344" t="s">
        <v>114</v>
      </c>
      <c r="CL344" t="s">
        <v>114</v>
      </c>
      <c r="CM344" t="s">
        <v>114</v>
      </c>
      <c r="CN344" t="s">
        <v>114</v>
      </c>
      <c r="CO344" t="s">
        <v>114</v>
      </c>
      <c r="CP344" t="s">
        <v>114</v>
      </c>
      <c r="CQ344" t="s">
        <v>114</v>
      </c>
      <c r="CR344" t="s">
        <v>114</v>
      </c>
      <c r="CS344" t="s">
        <v>114</v>
      </c>
      <c r="CT344" t="s">
        <v>114</v>
      </c>
      <c r="CU344" t="s">
        <v>114</v>
      </c>
      <c r="CV344" t="s">
        <v>114</v>
      </c>
      <c r="CW344" t="s">
        <v>114</v>
      </c>
    </row>
    <row r="345" spans="1:101" x14ac:dyDescent="0.25">
      <c r="A345" t="s">
        <v>45</v>
      </c>
      <c r="B345">
        <v>2</v>
      </c>
      <c r="C345" t="s">
        <v>27</v>
      </c>
      <c r="D345" t="s">
        <v>95</v>
      </c>
      <c r="E345" t="s">
        <v>105</v>
      </c>
      <c r="F345" t="s">
        <v>120</v>
      </c>
      <c r="G345" t="s">
        <v>274</v>
      </c>
      <c r="H345" t="str">
        <f t="shared" si="41"/>
        <v>H.glabra.Solo.Shade</v>
      </c>
      <c r="I345" t="s">
        <v>728</v>
      </c>
      <c r="J345" t="s">
        <v>619</v>
      </c>
      <c r="K345">
        <v>0</v>
      </c>
      <c r="L345">
        <v>20</v>
      </c>
      <c r="M345">
        <v>80</v>
      </c>
      <c r="N345">
        <v>80</v>
      </c>
      <c r="O345" t="s">
        <v>114</v>
      </c>
      <c r="P345">
        <v>140</v>
      </c>
      <c r="Q345">
        <v>140</v>
      </c>
      <c r="R345">
        <v>135</v>
      </c>
      <c r="S345">
        <f t="shared" si="42"/>
        <v>137.5</v>
      </c>
      <c r="T345">
        <f t="shared" si="43"/>
        <v>1.71875</v>
      </c>
      <c r="U345" t="s">
        <v>15</v>
      </c>
      <c r="V345" t="s">
        <v>114</v>
      </c>
      <c r="W345" t="s">
        <v>114</v>
      </c>
      <c r="X345">
        <v>12.5</v>
      </c>
      <c r="Y345">
        <v>14.9</v>
      </c>
      <c r="Z345">
        <v>17.899999999999999</v>
      </c>
      <c r="AA345">
        <v>15.1</v>
      </c>
      <c r="AB345">
        <v>15.9</v>
      </c>
      <c r="AC345">
        <v>14.9</v>
      </c>
      <c r="AD345">
        <v>16.399999999999999</v>
      </c>
      <c r="AE345">
        <v>16.399999999999999</v>
      </c>
      <c r="AF345">
        <v>15.9</v>
      </c>
      <c r="AG345">
        <v>15.4</v>
      </c>
      <c r="AH345">
        <v>15.9</v>
      </c>
      <c r="AI345">
        <v>17.399999999999999</v>
      </c>
      <c r="AJ345">
        <v>16.233333330000001</v>
      </c>
      <c r="AK345">
        <v>14.9</v>
      </c>
      <c r="AL345">
        <v>16.399999999999999</v>
      </c>
      <c r="AM345">
        <v>14.4</v>
      </c>
      <c r="AN345">
        <v>15.233333330000001</v>
      </c>
      <c r="AO345">
        <v>15.233333330000001</v>
      </c>
      <c r="AP345">
        <v>7.6</v>
      </c>
      <c r="AQ345">
        <v>7.1</v>
      </c>
      <c r="AR345">
        <v>8.5</v>
      </c>
      <c r="AS345">
        <v>7.733333333</v>
      </c>
      <c r="AT345">
        <v>8.5</v>
      </c>
      <c r="AU345">
        <v>8.5</v>
      </c>
      <c r="AV345">
        <v>8.1</v>
      </c>
      <c r="AW345">
        <v>8.3666666670000005</v>
      </c>
      <c r="AX345">
        <v>8.3666666670000005</v>
      </c>
      <c r="AY345">
        <v>-7.5333333329999999</v>
      </c>
      <c r="AZ345">
        <v>90</v>
      </c>
      <c r="BA345">
        <v>0</v>
      </c>
      <c r="BB345">
        <v>0</v>
      </c>
      <c r="BC345">
        <v>10</v>
      </c>
      <c r="BD345">
        <v>0</v>
      </c>
      <c r="BE345">
        <v>0</v>
      </c>
      <c r="BF345">
        <v>0</v>
      </c>
      <c r="BG345">
        <v>0</v>
      </c>
      <c r="BI345">
        <v>11</v>
      </c>
      <c r="BJ345">
        <v>42.4</v>
      </c>
      <c r="BK345">
        <v>0</v>
      </c>
      <c r="BL345">
        <v>9</v>
      </c>
      <c r="BM345">
        <v>7</v>
      </c>
      <c r="BN345">
        <v>499</v>
      </c>
      <c r="BO345">
        <v>320</v>
      </c>
      <c r="BP345">
        <f t="shared" si="44"/>
        <v>179</v>
      </c>
      <c r="BQ345" t="s">
        <v>114</v>
      </c>
      <c r="BR345" t="s">
        <v>114</v>
      </c>
      <c r="BS345" t="s">
        <v>114</v>
      </c>
      <c r="BT345" t="s">
        <v>114</v>
      </c>
      <c r="BU345" t="s">
        <v>114</v>
      </c>
      <c r="BV345" t="s">
        <v>114</v>
      </c>
      <c r="BW345" t="s">
        <v>114</v>
      </c>
      <c r="BX345" t="s">
        <v>114</v>
      </c>
      <c r="BY345" t="s">
        <v>114</v>
      </c>
      <c r="BZ345" t="s">
        <v>114</v>
      </c>
      <c r="CA345" t="s">
        <v>114</v>
      </c>
      <c r="CB345" t="s">
        <v>114</v>
      </c>
      <c r="CC345" t="s">
        <v>114</v>
      </c>
      <c r="CD345" t="s">
        <v>114</v>
      </c>
      <c r="CE345" t="s">
        <v>114</v>
      </c>
      <c r="CF345" t="s">
        <v>114</v>
      </c>
      <c r="CG345" t="s">
        <v>114</v>
      </c>
      <c r="CH345" t="s">
        <v>114</v>
      </c>
      <c r="CI345" t="s">
        <v>114</v>
      </c>
      <c r="CJ345" t="s">
        <v>114</v>
      </c>
      <c r="CK345" t="s">
        <v>114</v>
      </c>
      <c r="CL345" t="s">
        <v>114</v>
      </c>
      <c r="CM345" t="s">
        <v>114</v>
      </c>
      <c r="CN345" t="s">
        <v>114</v>
      </c>
      <c r="CO345" t="s">
        <v>114</v>
      </c>
      <c r="CP345" t="s">
        <v>114</v>
      </c>
      <c r="CQ345" t="s">
        <v>114</v>
      </c>
      <c r="CR345" t="s">
        <v>114</v>
      </c>
      <c r="CS345" t="s">
        <v>114</v>
      </c>
      <c r="CT345" t="s">
        <v>114</v>
      </c>
      <c r="CU345" t="s">
        <v>114</v>
      </c>
      <c r="CV345" t="s">
        <v>114</v>
      </c>
      <c r="CW345" t="s">
        <v>114</v>
      </c>
    </row>
    <row r="346" spans="1:101" x14ac:dyDescent="0.25">
      <c r="A346" t="s">
        <v>45</v>
      </c>
      <c r="B346">
        <v>2</v>
      </c>
      <c r="C346" t="s">
        <v>27</v>
      </c>
      <c r="D346" t="s">
        <v>95</v>
      </c>
      <c r="E346" t="s">
        <v>112</v>
      </c>
      <c r="F346" t="s">
        <v>120</v>
      </c>
      <c r="G346" t="s">
        <v>269</v>
      </c>
      <c r="H346" t="str">
        <f t="shared" si="41"/>
        <v>V.rosea.Solo.Shade</v>
      </c>
      <c r="I346" t="s">
        <v>722</v>
      </c>
      <c r="J346" t="s">
        <v>620</v>
      </c>
      <c r="K346">
        <v>0</v>
      </c>
      <c r="L346">
        <v>90</v>
      </c>
      <c r="M346">
        <v>30</v>
      </c>
      <c r="N346">
        <v>30</v>
      </c>
      <c r="O346" t="s">
        <v>114</v>
      </c>
      <c r="P346">
        <v>45</v>
      </c>
      <c r="Q346">
        <v>45</v>
      </c>
      <c r="R346">
        <v>40</v>
      </c>
      <c r="S346">
        <f t="shared" si="42"/>
        <v>42.5</v>
      </c>
      <c r="T346">
        <f t="shared" si="43"/>
        <v>1.4166666666666667</v>
      </c>
      <c r="U346" t="s">
        <v>792</v>
      </c>
      <c r="V346" t="s">
        <v>114</v>
      </c>
      <c r="W346" t="s">
        <v>114</v>
      </c>
      <c r="X346">
        <v>12.5</v>
      </c>
      <c r="Y346">
        <v>14.9</v>
      </c>
      <c r="Z346">
        <v>17.899999999999999</v>
      </c>
      <c r="AA346">
        <v>15.1</v>
      </c>
      <c r="AB346">
        <v>13.9</v>
      </c>
      <c r="AC346">
        <v>13.9</v>
      </c>
      <c r="AD346">
        <v>13.9</v>
      </c>
      <c r="AE346">
        <v>13.9</v>
      </c>
      <c r="AF346">
        <v>13.9</v>
      </c>
      <c r="AG346">
        <v>15.4</v>
      </c>
      <c r="AH346">
        <v>15.9</v>
      </c>
      <c r="AI346">
        <v>17.399999999999999</v>
      </c>
      <c r="AJ346">
        <v>16.233333330000001</v>
      </c>
      <c r="AK346">
        <v>12.5</v>
      </c>
      <c r="AL346">
        <v>14.4</v>
      </c>
      <c r="AM346">
        <v>14.9</v>
      </c>
      <c r="AN346">
        <v>13.93333333</v>
      </c>
      <c r="AO346">
        <v>13.93333333</v>
      </c>
      <c r="AP346">
        <v>7.6</v>
      </c>
      <c r="AQ346">
        <v>7.1</v>
      </c>
      <c r="AR346">
        <v>8.5</v>
      </c>
      <c r="AS346">
        <v>7.733333333</v>
      </c>
      <c r="AT346">
        <v>6.1</v>
      </c>
      <c r="AU346">
        <v>6.6</v>
      </c>
      <c r="AV346">
        <v>8.1</v>
      </c>
      <c r="AW346">
        <v>6.9333333330000002</v>
      </c>
      <c r="AX346">
        <v>6.9333333330000002</v>
      </c>
      <c r="AY346">
        <v>-6.9666666670000001</v>
      </c>
      <c r="AZ346">
        <v>80</v>
      </c>
      <c r="BA346">
        <v>0</v>
      </c>
      <c r="BB346">
        <v>10</v>
      </c>
      <c r="BC346">
        <v>0</v>
      </c>
      <c r="BD346">
        <v>10</v>
      </c>
      <c r="BE346">
        <v>0</v>
      </c>
      <c r="BF346">
        <v>0</v>
      </c>
      <c r="BG346">
        <v>0</v>
      </c>
      <c r="BI346">
        <v>11</v>
      </c>
      <c r="BJ346">
        <v>42.4</v>
      </c>
      <c r="BK346">
        <v>0</v>
      </c>
      <c r="BL346">
        <v>57</v>
      </c>
      <c r="BM346">
        <v>39</v>
      </c>
      <c r="BN346">
        <v>153</v>
      </c>
      <c r="BO346">
        <v>116.5</v>
      </c>
      <c r="BP346">
        <f t="shared" si="44"/>
        <v>36.5</v>
      </c>
      <c r="BQ346" t="s">
        <v>114</v>
      </c>
      <c r="BR346" t="s">
        <v>114</v>
      </c>
      <c r="BS346" t="s">
        <v>114</v>
      </c>
      <c r="BT346" t="s">
        <v>114</v>
      </c>
      <c r="BU346" t="s">
        <v>114</v>
      </c>
      <c r="BV346" t="s">
        <v>114</v>
      </c>
      <c r="BW346" t="s">
        <v>114</v>
      </c>
      <c r="BX346" t="s">
        <v>114</v>
      </c>
      <c r="BY346" t="s">
        <v>114</v>
      </c>
      <c r="BZ346" t="s">
        <v>114</v>
      </c>
      <c r="CA346" t="s">
        <v>114</v>
      </c>
      <c r="CB346" t="s">
        <v>114</v>
      </c>
      <c r="CC346" t="s">
        <v>114</v>
      </c>
      <c r="CD346" t="s">
        <v>114</v>
      </c>
      <c r="CE346" t="s">
        <v>114</v>
      </c>
      <c r="CF346" t="s">
        <v>114</v>
      </c>
      <c r="CG346" t="s">
        <v>114</v>
      </c>
      <c r="CH346" t="s">
        <v>114</v>
      </c>
      <c r="CI346" t="s">
        <v>114</v>
      </c>
      <c r="CJ346" t="s">
        <v>114</v>
      </c>
      <c r="CK346" t="s">
        <v>114</v>
      </c>
      <c r="CL346" t="s">
        <v>114</v>
      </c>
      <c r="CM346" t="s">
        <v>114</v>
      </c>
      <c r="CN346" t="s">
        <v>114</v>
      </c>
      <c r="CO346" t="s">
        <v>114</v>
      </c>
      <c r="CP346" t="s">
        <v>114</v>
      </c>
      <c r="CQ346" t="s">
        <v>114</v>
      </c>
      <c r="CR346" t="s">
        <v>114</v>
      </c>
      <c r="CS346" t="s">
        <v>114</v>
      </c>
      <c r="CT346" t="s">
        <v>114</v>
      </c>
      <c r="CU346" t="s">
        <v>114</v>
      </c>
      <c r="CV346" t="s">
        <v>114</v>
      </c>
      <c r="CW346" t="s">
        <v>114</v>
      </c>
    </row>
    <row r="347" spans="1:101" x14ac:dyDescent="0.25">
      <c r="A347" t="s">
        <v>46</v>
      </c>
      <c r="B347">
        <v>2</v>
      </c>
      <c r="C347" t="s">
        <v>29</v>
      </c>
      <c r="D347" t="s">
        <v>95</v>
      </c>
      <c r="E347" t="s">
        <v>102</v>
      </c>
      <c r="F347" t="s">
        <v>120</v>
      </c>
      <c r="G347" t="s">
        <v>273</v>
      </c>
      <c r="H347" t="str">
        <f t="shared" si="41"/>
        <v>A.calendula.Solo.Shade</v>
      </c>
      <c r="I347" t="s">
        <v>725</v>
      </c>
      <c r="J347" t="s">
        <v>621</v>
      </c>
      <c r="K347">
        <v>0</v>
      </c>
      <c r="L347">
        <v>100</v>
      </c>
      <c r="M347">
        <v>110</v>
      </c>
      <c r="N347">
        <v>110</v>
      </c>
      <c r="O347" t="s">
        <v>114</v>
      </c>
      <c r="P347">
        <v>70</v>
      </c>
      <c r="Q347">
        <v>70</v>
      </c>
      <c r="R347">
        <v>30</v>
      </c>
      <c r="S347">
        <f t="shared" si="42"/>
        <v>50</v>
      </c>
      <c r="T347">
        <f t="shared" si="43"/>
        <v>0.45454545454545453</v>
      </c>
      <c r="U347" t="s">
        <v>15</v>
      </c>
      <c r="V347" t="s">
        <v>114</v>
      </c>
      <c r="W347" t="s">
        <v>114</v>
      </c>
      <c r="X347">
        <v>13</v>
      </c>
      <c r="Y347">
        <v>22</v>
      </c>
      <c r="Z347">
        <v>14.9</v>
      </c>
      <c r="AA347">
        <v>16.633333329999999</v>
      </c>
      <c r="AB347">
        <v>14.266666669999999</v>
      </c>
      <c r="AC347">
        <v>13.5</v>
      </c>
      <c r="AD347">
        <v>14.9</v>
      </c>
      <c r="AE347">
        <v>14.4</v>
      </c>
      <c r="AF347">
        <v>14.266666669999999</v>
      </c>
      <c r="AG347">
        <v>24.3</v>
      </c>
      <c r="AH347">
        <v>15.4</v>
      </c>
      <c r="AI347">
        <v>14.9</v>
      </c>
      <c r="AJ347">
        <v>18.2</v>
      </c>
      <c r="AK347">
        <v>14.4</v>
      </c>
      <c r="AL347">
        <v>17.399999999999999</v>
      </c>
      <c r="AM347">
        <v>18.399999999999999</v>
      </c>
      <c r="AN347">
        <v>16.733333330000001</v>
      </c>
      <c r="AO347">
        <v>16.733333330000001</v>
      </c>
      <c r="AP347">
        <v>6.1</v>
      </c>
      <c r="AQ347">
        <v>8.5</v>
      </c>
      <c r="AR347">
        <v>10.5</v>
      </c>
      <c r="AS347">
        <v>8.3666666670000005</v>
      </c>
      <c r="AT347">
        <v>5.6</v>
      </c>
      <c r="AU347">
        <v>6.6</v>
      </c>
      <c r="AV347">
        <v>6.6</v>
      </c>
      <c r="AW347">
        <v>6.266666667</v>
      </c>
      <c r="AX347">
        <v>6.266666667</v>
      </c>
      <c r="AY347">
        <v>-8</v>
      </c>
      <c r="AZ347">
        <v>100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I347">
        <v>13.8</v>
      </c>
      <c r="BJ347">
        <v>42.4</v>
      </c>
      <c r="BK347">
        <v>0</v>
      </c>
      <c r="BL347">
        <v>6</v>
      </c>
      <c r="BM347">
        <v>5</v>
      </c>
      <c r="BN347">
        <v>154</v>
      </c>
      <c r="BO347">
        <v>486.66669999999999</v>
      </c>
      <c r="BP347">
        <f t="shared" si="44"/>
        <v>-332.66669999999999</v>
      </c>
      <c r="BQ347" t="s">
        <v>114</v>
      </c>
      <c r="BR347" t="s">
        <v>114</v>
      </c>
      <c r="BS347" t="s">
        <v>114</v>
      </c>
      <c r="BT347" t="s">
        <v>114</v>
      </c>
      <c r="BU347" t="s">
        <v>114</v>
      </c>
      <c r="BV347" t="s">
        <v>114</v>
      </c>
      <c r="BW347" t="s">
        <v>114</v>
      </c>
      <c r="BX347" t="s">
        <v>114</v>
      </c>
      <c r="BY347" t="s">
        <v>114</v>
      </c>
      <c r="BZ347" t="s">
        <v>114</v>
      </c>
      <c r="CA347" t="s">
        <v>114</v>
      </c>
      <c r="CB347" t="s">
        <v>114</v>
      </c>
      <c r="CC347" t="s">
        <v>114</v>
      </c>
      <c r="CD347" t="s">
        <v>114</v>
      </c>
      <c r="CE347" t="s">
        <v>114</v>
      </c>
      <c r="CF347" t="s">
        <v>114</v>
      </c>
      <c r="CG347" t="s">
        <v>114</v>
      </c>
      <c r="CH347" t="s">
        <v>114</v>
      </c>
      <c r="CI347" t="s">
        <v>114</v>
      </c>
      <c r="CJ347" t="s">
        <v>114</v>
      </c>
      <c r="CK347" t="s">
        <v>114</v>
      </c>
      <c r="CL347" t="s">
        <v>114</v>
      </c>
      <c r="CM347" t="s">
        <v>114</v>
      </c>
      <c r="CN347" t="s">
        <v>114</v>
      </c>
      <c r="CO347" t="s">
        <v>114</v>
      </c>
      <c r="CP347" t="s">
        <v>114</v>
      </c>
      <c r="CQ347" t="s">
        <v>114</v>
      </c>
      <c r="CR347" t="s">
        <v>114</v>
      </c>
      <c r="CS347" t="s">
        <v>114</v>
      </c>
      <c r="CT347" t="s">
        <v>114</v>
      </c>
      <c r="CU347" t="s">
        <v>114</v>
      </c>
      <c r="CV347" t="s">
        <v>114</v>
      </c>
      <c r="CW347" t="s">
        <v>114</v>
      </c>
    </row>
    <row r="348" spans="1:101" x14ac:dyDescent="0.25">
      <c r="A348" t="s">
        <v>46</v>
      </c>
      <c r="B348">
        <v>2</v>
      </c>
      <c r="C348" t="s">
        <v>29</v>
      </c>
      <c r="D348" t="s">
        <v>95</v>
      </c>
      <c r="E348" t="s">
        <v>110</v>
      </c>
      <c r="F348" t="s">
        <v>120</v>
      </c>
      <c r="G348" t="s">
        <v>270</v>
      </c>
      <c r="H348" t="str">
        <f t="shared" si="41"/>
        <v>M.minima.Solo.Shade</v>
      </c>
      <c r="I348" t="s">
        <v>726</v>
      </c>
      <c r="J348" t="s">
        <v>622</v>
      </c>
      <c r="K348">
        <v>0</v>
      </c>
      <c r="L348">
        <v>50</v>
      </c>
      <c r="M348">
        <v>65</v>
      </c>
      <c r="N348">
        <v>65</v>
      </c>
      <c r="O348" t="s">
        <v>114</v>
      </c>
      <c r="P348">
        <v>15</v>
      </c>
      <c r="Q348">
        <v>25</v>
      </c>
      <c r="R348">
        <v>10</v>
      </c>
      <c r="S348">
        <f t="shared" si="42"/>
        <v>17.5</v>
      </c>
      <c r="T348">
        <f t="shared" si="43"/>
        <v>0.26923076923076922</v>
      </c>
      <c r="U348" t="s">
        <v>794</v>
      </c>
      <c r="V348" t="s">
        <v>114</v>
      </c>
      <c r="W348" t="s">
        <v>114</v>
      </c>
      <c r="X348">
        <v>13</v>
      </c>
      <c r="Y348">
        <v>22</v>
      </c>
      <c r="Z348">
        <v>14.9</v>
      </c>
      <c r="AA348">
        <v>16.633333329999999</v>
      </c>
      <c r="AB348">
        <v>15.233333330000001</v>
      </c>
      <c r="AC348">
        <v>14.4</v>
      </c>
      <c r="AD348">
        <v>15.4</v>
      </c>
      <c r="AE348">
        <v>15.9</v>
      </c>
      <c r="AF348">
        <v>15.233333330000001</v>
      </c>
      <c r="AG348">
        <v>24.3</v>
      </c>
      <c r="AH348">
        <v>15.4</v>
      </c>
      <c r="AI348">
        <v>14.9</v>
      </c>
      <c r="AJ348">
        <v>18.2</v>
      </c>
      <c r="AK348">
        <v>16.399999999999999</v>
      </c>
      <c r="AL348">
        <v>16.399999999999999</v>
      </c>
      <c r="AM348">
        <v>18.399999999999999</v>
      </c>
      <c r="AN348">
        <v>17.06666667</v>
      </c>
      <c r="AO348">
        <v>17.06666667</v>
      </c>
      <c r="AP348">
        <v>6.1</v>
      </c>
      <c r="AQ348">
        <v>8.5</v>
      </c>
      <c r="AR348">
        <v>10.5</v>
      </c>
      <c r="AS348">
        <v>8.3666666670000005</v>
      </c>
      <c r="AT348">
        <v>5.6</v>
      </c>
      <c r="AU348">
        <v>7.6</v>
      </c>
      <c r="AV348">
        <v>6.1</v>
      </c>
      <c r="AW348">
        <v>6.4333333330000002</v>
      </c>
      <c r="AX348">
        <v>6.4333333330000002</v>
      </c>
      <c r="AY348">
        <v>-8.8000000000000007</v>
      </c>
      <c r="AZ348">
        <v>100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I348">
        <v>13.8</v>
      </c>
      <c r="BJ348">
        <v>42.4</v>
      </c>
      <c r="BK348">
        <v>0</v>
      </c>
      <c r="BL348">
        <v>5</v>
      </c>
      <c r="BM348">
        <v>3</v>
      </c>
      <c r="BN348">
        <v>3</v>
      </c>
      <c r="BO348">
        <v>3</v>
      </c>
      <c r="BP348">
        <f t="shared" si="44"/>
        <v>0</v>
      </c>
      <c r="BQ348" t="s">
        <v>114</v>
      </c>
      <c r="BR348" t="s">
        <v>114</v>
      </c>
      <c r="BS348" t="s">
        <v>114</v>
      </c>
      <c r="BT348" t="s">
        <v>114</v>
      </c>
      <c r="BU348" t="s">
        <v>114</v>
      </c>
      <c r="BV348" t="s">
        <v>114</v>
      </c>
      <c r="BW348" t="s">
        <v>114</v>
      </c>
      <c r="BX348" t="s">
        <v>114</v>
      </c>
      <c r="BY348" t="s">
        <v>114</v>
      </c>
      <c r="BZ348" t="s">
        <v>114</v>
      </c>
      <c r="CA348" t="s">
        <v>114</v>
      </c>
      <c r="CB348" t="s">
        <v>114</v>
      </c>
      <c r="CC348" t="s">
        <v>114</v>
      </c>
      <c r="CD348" t="s">
        <v>114</v>
      </c>
      <c r="CE348" t="s">
        <v>114</v>
      </c>
      <c r="CF348" t="s">
        <v>114</v>
      </c>
      <c r="CG348" t="s">
        <v>114</v>
      </c>
      <c r="CH348" t="s">
        <v>114</v>
      </c>
      <c r="CI348" t="s">
        <v>114</v>
      </c>
      <c r="CJ348" t="s">
        <v>114</v>
      </c>
      <c r="CK348" t="s">
        <v>114</v>
      </c>
      <c r="CL348" t="s">
        <v>114</v>
      </c>
      <c r="CM348" t="s">
        <v>114</v>
      </c>
      <c r="CN348" t="s">
        <v>114</v>
      </c>
      <c r="CO348" t="s">
        <v>114</v>
      </c>
      <c r="CP348" t="s">
        <v>114</v>
      </c>
      <c r="CQ348" t="s">
        <v>114</v>
      </c>
      <c r="CR348" t="s">
        <v>114</v>
      </c>
      <c r="CS348" t="s">
        <v>114</v>
      </c>
      <c r="CT348" t="s">
        <v>114</v>
      </c>
      <c r="CU348" t="s">
        <v>114</v>
      </c>
      <c r="CV348" t="s">
        <v>114</v>
      </c>
      <c r="CW348" t="s">
        <v>114</v>
      </c>
    </row>
    <row r="349" spans="1:101" x14ac:dyDescent="0.25">
      <c r="A349" t="s">
        <v>46</v>
      </c>
      <c r="B349">
        <v>2</v>
      </c>
      <c r="C349" t="s">
        <v>29</v>
      </c>
      <c r="D349" t="s">
        <v>95</v>
      </c>
      <c r="E349" t="s">
        <v>112</v>
      </c>
      <c r="F349" t="s">
        <v>120</v>
      </c>
      <c r="G349" t="s">
        <v>269</v>
      </c>
      <c r="H349" t="str">
        <f t="shared" si="41"/>
        <v>V.rosea.Solo.Shade</v>
      </c>
      <c r="I349" t="s">
        <v>722</v>
      </c>
      <c r="J349" t="s">
        <v>623</v>
      </c>
      <c r="K349">
        <v>0</v>
      </c>
      <c r="L349">
        <v>60</v>
      </c>
      <c r="M349">
        <v>45</v>
      </c>
      <c r="N349">
        <v>45</v>
      </c>
      <c r="O349" t="s">
        <v>114</v>
      </c>
      <c r="P349">
        <v>55</v>
      </c>
      <c r="Q349">
        <v>110</v>
      </c>
      <c r="R349">
        <v>20</v>
      </c>
      <c r="S349">
        <f t="shared" si="42"/>
        <v>65</v>
      </c>
      <c r="T349">
        <f t="shared" si="43"/>
        <v>1.4444444444444444</v>
      </c>
      <c r="U349" t="s">
        <v>792</v>
      </c>
      <c r="V349" t="s">
        <v>114</v>
      </c>
      <c r="W349" t="s">
        <v>114</v>
      </c>
      <c r="X349">
        <v>13</v>
      </c>
      <c r="Y349">
        <v>22</v>
      </c>
      <c r="Z349">
        <v>14.9</v>
      </c>
      <c r="AA349">
        <v>16.633333329999999</v>
      </c>
      <c r="AB349">
        <v>16.06666667</v>
      </c>
      <c r="AC349">
        <v>20.8</v>
      </c>
      <c r="AD349">
        <v>14.9</v>
      </c>
      <c r="AE349">
        <v>12.5</v>
      </c>
      <c r="AF349">
        <v>16.06666667</v>
      </c>
      <c r="AG349">
        <v>24.3</v>
      </c>
      <c r="AH349">
        <v>15.4</v>
      </c>
      <c r="AI349">
        <v>14.9</v>
      </c>
      <c r="AJ349">
        <v>18.2</v>
      </c>
      <c r="AK349">
        <v>16.899999999999999</v>
      </c>
      <c r="AL349">
        <v>17.899999999999999</v>
      </c>
      <c r="AM349">
        <v>14.4</v>
      </c>
      <c r="AN349">
        <v>16.399999999999999</v>
      </c>
      <c r="AO349">
        <v>16.399999999999999</v>
      </c>
      <c r="AP349">
        <v>6.1</v>
      </c>
      <c r="AQ349">
        <v>8.5</v>
      </c>
      <c r="AR349">
        <v>10.5</v>
      </c>
      <c r="AS349">
        <v>8.3666666670000005</v>
      </c>
      <c r="AT349">
        <v>5.6</v>
      </c>
      <c r="AU349">
        <v>6.6</v>
      </c>
      <c r="AV349">
        <v>8.5</v>
      </c>
      <c r="AW349">
        <v>6.9</v>
      </c>
      <c r="AX349">
        <v>6.9</v>
      </c>
      <c r="AY349">
        <v>-9.1666666669999994</v>
      </c>
      <c r="AZ349">
        <v>80</v>
      </c>
      <c r="BA349">
        <v>10</v>
      </c>
      <c r="BB349">
        <v>10</v>
      </c>
      <c r="BC349">
        <v>0</v>
      </c>
      <c r="BD349">
        <v>0</v>
      </c>
      <c r="BE349">
        <v>0</v>
      </c>
      <c r="BF349">
        <v>0</v>
      </c>
      <c r="BG349">
        <v>0</v>
      </c>
      <c r="BI349">
        <v>13.8</v>
      </c>
      <c r="BJ349">
        <v>42.4</v>
      </c>
      <c r="BK349">
        <v>0</v>
      </c>
      <c r="BL349">
        <v>56</v>
      </c>
      <c r="BM349">
        <v>53</v>
      </c>
      <c r="BN349">
        <v>173</v>
      </c>
      <c r="BO349">
        <v>116.5</v>
      </c>
      <c r="BP349">
        <f t="shared" si="44"/>
        <v>56.5</v>
      </c>
      <c r="BQ349" t="s">
        <v>114</v>
      </c>
      <c r="BR349" t="s">
        <v>114</v>
      </c>
      <c r="BS349" t="s">
        <v>114</v>
      </c>
      <c r="BT349" t="s">
        <v>114</v>
      </c>
      <c r="BU349" t="s">
        <v>114</v>
      </c>
      <c r="BV349" t="s">
        <v>114</v>
      </c>
      <c r="BW349" t="s">
        <v>114</v>
      </c>
      <c r="BX349" t="s">
        <v>114</v>
      </c>
      <c r="BY349" t="s">
        <v>114</v>
      </c>
      <c r="BZ349" t="s">
        <v>114</v>
      </c>
      <c r="CA349" t="s">
        <v>114</v>
      </c>
      <c r="CB349" t="s">
        <v>114</v>
      </c>
      <c r="CC349" t="s">
        <v>114</v>
      </c>
      <c r="CD349" t="s">
        <v>114</v>
      </c>
      <c r="CE349" t="s">
        <v>114</v>
      </c>
      <c r="CF349" t="s">
        <v>114</v>
      </c>
      <c r="CG349" t="s">
        <v>114</v>
      </c>
      <c r="CH349" t="s">
        <v>114</v>
      </c>
      <c r="CI349" t="s">
        <v>114</v>
      </c>
      <c r="CJ349" t="s">
        <v>114</v>
      </c>
      <c r="CK349" t="s">
        <v>114</v>
      </c>
      <c r="CL349" t="s">
        <v>114</v>
      </c>
      <c r="CM349" t="s">
        <v>114</v>
      </c>
      <c r="CN349" t="s">
        <v>114</v>
      </c>
      <c r="CO349" t="s">
        <v>114</v>
      </c>
      <c r="CP349" t="s">
        <v>114</v>
      </c>
      <c r="CQ349" t="s">
        <v>114</v>
      </c>
      <c r="CR349" t="s">
        <v>114</v>
      </c>
      <c r="CS349" t="s">
        <v>114</v>
      </c>
      <c r="CT349" t="s">
        <v>114</v>
      </c>
      <c r="CU349" t="s">
        <v>114</v>
      </c>
      <c r="CV349" t="s">
        <v>114</v>
      </c>
      <c r="CW349" t="s">
        <v>114</v>
      </c>
    </row>
    <row r="350" spans="1:101" x14ac:dyDescent="0.25">
      <c r="A350" t="s">
        <v>47</v>
      </c>
      <c r="B350">
        <v>2</v>
      </c>
      <c r="C350" t="s">
        <v>31</v>
      </c>
      <c r="D350" t="s">
        <v>94</v>
      </c>
      <c r="E350" t="s">
        <v>112</v>
      </c>
      <c r="F350" t="s">
        <v>120</v>
      </c>
      <c r="G350" t="s">
        <v>269</v>
      </c>
      <c r="H350" t="str">
        <f t="shared" si="41"/>
        <v>V.rosea.Solo.Open</v>
      </c>
      <c r="I350" t="s">
        <v>729</v>
      </c>
      <c r="J350" t="s">
        <v>624</v>
      </c>
      <c r="K350">
        <v>0</v>
      </c>
      <c r="L350">
        <v>65</v>
      </c>
      <c r="M350">
        <v>40</v>
      </c>
      <c r="N350">
        <v>40</v>
      </c>
      <c r="O350" t="s">
        <v>114</v>
      </c>
      <c r="P350">
        <v>45</v>
      </c>
      <c r="Q350">
        <v>170</v>
      </c>
      <c r="R350">
        <v>130</v>
      </c>
      <c r="S350">
        <f t="shared" si="42"/>
        <v>150</v>
      </c>
      <c r="T350">
        <f t="shared" si="43"/>
        <v>3.75</v>
      </c>
      <c r="U350" t="s">
        <v>793</v>
      </c>
      <c r="V350" t="s">
        <v>114</v>
      </c>
      <c r="W350" t="s">
        <v>114</v>
      </c>
      <c r="X350">
        <v>14.4</v>
      </c>
      <c r="Y350">
        <v>12</v>
      </c>
      <c r="Z350">
        <v>14.4</v>
      </c>
      <c r="AA350">
        <v>13.6</v>
      </c>
      <c r="AB350" t="s">
        <v>114</v>
      </c>
      <c r="AC350" t="s">
        <v>114</v>
      </c>
      <c r="AD350" t="s">
        <v>114</v>
      </c>
      <c r="AE350" t="s">
        <v>114</v>
      </c>
      <c r="AF350" t="s">
        <v>114</v>
      </c>
      <c r="AG350">
        <v>16.899999999999999</v>
      </c>
      <c r="AH350">
        <v>15.9</v>
      </c>
      <c r="AI350">
        <v>17.899999999999999</v>
      </c>
      <c r="AJ350">
        <v>16.899999999999999</v>
      </c>
      <c r="AK350" t="s">
        <v>114</v>
      </c>
      <c r="AL350" t="s">
        <v>114</v>
      </c>
      <c r="AM350" t="s">
        <v>114</v>
      </c>
      <c r="AN350" t="s">
        <v>114</v>
      </c>
      <c r="AO350" t="s">
        <v>114</v>
      </c>
      <c r="AP350">
        <v>4.5999999999999996</v>
      </c>
      <c r="AQ350">
        <v>5.6</v>
      </c>
      <c r="AR350">
        <v>6.1</v>
      </c>
      <c r="AS350">
        <v>5.4333333330000002</v>
      </c>
      <c r="AT350">
        <v>4.0999999999999996</v>
      </c>
      <c r="AU350">
        <v>5.0999999999999996</v>
      </c>
      <c r="AV350">
        <v>6.1</v>
      </c>
      <c r="AW350">
        <v>5.0999999999999996</v>
      </c>
      <c r="AX350">
        <v>5.0999999999999996</v>
      </c>
      <c r="AY350" t="s">
        <v>114</v>
      </c>
      <c r="AZ350">
        <v>10</v>
      </c>
      <c r="BA350">
        <v>0</v>
      </c>
      <c r="BB350">
        <v>80</v>
      </c>
      <c r="BC350">
        <v>0</v>
      </c>
      <c r="BD350">
        <v>0</v>
      </c>
      <c r="BE350">
        <v>0</v>
      </c>
      <c r="BF350">
        <v>0</v>
      </c>
      <c r="BG350">
        <v>0</v>
      </c>
      <c r="BI350">
        <v>11.5</v>
      </c>
      <c r="BJ350">
        <v>0</v>
      </c>
      <c r="BK350">
        <v>0</v>
      </c>
      <c r="BL350">
        <v>20</v>
      </c>
      <c r="BM350">
        <v>20</v>
      </c>
      <c r="BN350">
        <v>80</v>
      </c>
      <c r="BO350">
        <v>193</v>
      </c>
      <c r="BP350">
        <f t="shared" si="44"/>
        <v>-113</v>
      </c>
      <c r="BQ350" t="s">
        <v>114</v>
      </c>
      <c r="BR350" t="s">
        <v>114</v>
      </c>
      <c r="BS350" t="s">
        <v>114</v>
      </c>
      <c r="BT350" t="s">
        <v>114</v>
      </c>
      <c r="BU350" t="s">
        <v>114</v>
      </c>
      <c r="BV350" t="s">
        <v>114</v>
      </c>
      <c r="BW350" t="s">
        <v>114</v>
      </c>
      <c r="BX350" t="s">
        <v>114</v>
      </c>
      <c r="BY350" t="s">
        <v>114</v>
      </c>
      <c r="BZ350" t="s">
        <v>114</v>
      </c>
      <c r="CA350" t="s">
        <v>114</v>
      </c>
      <c r="CB350" t="s">
        <v>114</v>
      </c>
      <c r="CC350" t="s">
        <v>114</v>
      </c>
      <c r="CD350" t="s">
        <v>114</v>
      </c>
      <c r="CE350" t="s">
        <v>114</v>
      </c>
      <c r="CF350" t="s">
        <v>114</v>
      </c>
      <c r="CG350" t="s">
        <v>114</v>
      </c>
      <c r="CH350" t="s">
        <v>114</v>
      </c>
      <c r="CI350" t="s">
        <v>114</v>
      </c>
      <c r="CJ350" t="s">
        <v>114</v>
      </c>
      <c r="CK350" t="s">
        <v>114</v>
      </c>
      <c r="CL350" t="s">
        <v>114</v>
      </c>
      <c r="CM350" t="s">
        <v>114</v>
      </c>
      <c r="CN350" t="s">
        <v>114</v>
      </c>
      <c r="CO350" t="s">
        <v>114</v>
      </c>
      <c r="CP350" t="s">
        <v>114</v>
      </c>
      <c r="CQ350" t="s">
        <v>114</v>
      </c>
      <c r="CR350" t="s">
        <v>114</v>
      </c>
      <c r="CS350" t="s">
        <v>114</v>
      </c>
      <c r="CT350" t="s">
        <v>114</v>
      </c>
      <c r="CU350" t="s">
        <v>114</v>
      </c>
      <c r="CV350" t="s">
        <v>114</v>
      </c>
      <c r="CW350" t="s">
        <v>114</v>
      </c>
    </row>
    <row r="351" spans="1:101" x14ac:dyDescent="0.25">
      <c r="A351" t="s">
        <v>48</v>
      </c>
      <c r="B351">
        <v>2</v>
      </c>
      <c r="C351" t="s">
        <v>33</v>
      </c>
      <c r="D351" t="s">
        <v>95</v>
      </c>
      <c r="E351" t="s">
        <v>105</v>
      </c>
      <c r="F351" t="s">
        <v>120</v>
      </c>
      <c r="G351" t="s">
        <v>274</v>
      </c>
      <c r="H351" t="str">
        <f t="shared" si="41"/>
        <v>H.glabra.Solo.Shade</v>
      </c>
      <c r="I351" t="s">
        <v>728</v>
      </c>
      <c r="J351" t="s">
        <v>625</v>
      </c>
      <c r="K351">
        <v>0</v>
      </c>
      <c r="L351">
        <v>30</v>
      </c>
      <c r="M351">
        <v>45</v>
      </c>
      <c r="N351">
        <v>45</v>
      </c>
      <c r="O351" t="s">
        <v>114</v>
      </c>
      <c r="P351">
        <v>80</v>
      </c>
      <c r="Q351">
        <v>80</v>
      </c>
      <c r="R351">
        <v>70</v>
      </c>
      <c r="S351">
        <f t="shared" si="42"/>
        <v>75</v>
      </c>
      <c r="T351">
        <f t="shared" si="43"/>
        <v>1.6666666666666667</v>
      </c>
      <c r="U351" t="s">
        <v>29</v>
      </c>
      <c r="V351" t="s">
        <v>114</v>
      </c>
      <c r="W351" t="s">
        <v>114</v>
      </c>
      <c r="X351">
        <v>13.9</v>
      </c>
      <c r="Y351">
        <v>13</v>
      </c>
      <c r="Z351">
        <v>13.1</v>
      </c>
      <c r="AA351">
        <v>13.33333333</v>
      </c>
      <c r="AB351">
        <v>13.33333333</v>
      </c>
      <c r="AC351">
        <v>13</v>
      </c>
      <c r="AD351">
        <v>13.5</v>
      </c>
      <c r="AE351">
        <v>13.5</v>
      </c>
      <c r="AF351">
        <v>13.33333333</v>
      </c>
      <c r="AG351">
        <v>15.9</v>
      </c>
      <c r="AH351">
        <v>23.3</v>
      </c>
      <c r="AI351">
        <v>15.4</v>
      </c>
      <c r="AJ351">
        <v>18.2</v>
      </c>
      <c r="AK351">
        <v>13.5</v>
      </c>
      <c r="AL351">
        <v>12.5</v>
      </c>
      <c r="AM351">
        <v>13.9</v>
      </c>
      <c r="AN351">
        <v>13.3</v>
      </c>
      <c r="AO351">
        <v>13.3</v>
      </c>
      <c r="AP351">
        <v>4.0999999999999996</v>
      </c>
      <c r="AQ351">
        <v>5.6</v>
      </c>
      <c r="AR351">
        <v>7.1</v>
      </c>
      <c r="AS351">
        <v>5.6</v>
      </c>
      <c r="AT351">
        <v>6.1</v>
      </c>
      <c r="AU351">
        <v>6.1</v>
      </c>
      <c r="AV351">
        <v>8.5</v>
      </c>
      <c r="AW351">
        <v>6.9</v>
      </c>
      <c r="AX351">
        <v>6.9</v>
      </c>
      <c r="AY351">
        <v>-6.4333333330000002</v>
      </c>
      <c r="AZ351">
        <v>95</v>
      </c>
      <c r="BA351">
        <v>0</v>
      </c>
      <c r="BB351">
        <v>0</v>
      </c>
      <c r="BC351">
        <v>5</v>
      </c>
      <c r="BD351">
        <v>0</v>
      </c>
      <c r="BE351">
        <v>0</v>
      </c>
      <c r="BF351">
        <v>0</v>
      </c>
      <c r="BG351">
        <v>0</v>
      </c>
      <c r="BI351">
        <v>10.7</v>
      </c>
      <c r="BJ351">
        <v>55.920999999999999</v>
      </c>
      <c r="BK351">
        <v>0</v>
      </c>
      <c r="BL351">
        <v>5</v>
      </c>
      <c r="BM351">
        <v>3</v>
      </c>
      <c r="BN351">
        <v>141</v>
      </c>
      <c r="BO351">
        <v>320</v>
      </c>
      <c r="BP351">
        <f t="shared" si="44"/>
        <v>-179</v>
      </c>
      <c r="BQ351" t="s">
        <v>114</v>
      </c>
      <c r="BR351" t="s">
        <v>114</v>
      </c>
      <c r="BS351" t="s">
        <v>114</v>
      </c>
      <c r="BT351" t="s">
        <v>114</v>
      </c>
      <c r="BU351" t="s">
        <v>114</v>
      </c>
      <c r="BV351" t="s">
        <v>114</v>
      </c>
      <c r="BW351" t="s">
        <v>114</v>
      </c>
      <c r="BX351" t="s">
        <v>114</v>
      </c>
      <c r="BY351" t="s">
        <v>114</v>
      </c>
      <c r="BZ351" t="s">
        <v>114</v>
      </c>
      <c r="CA351" t="s">
        <v>114</v>
      </c>
      <c r="CB351" t="s">
        <v>114</v>
      </c>
      <c r="CC351" t="s">
        <v>114</v>
      </c>
      <c r="CD351" t="s">
        <v>114</v>
      </c>
      <c r="CE351" t="s">
        <v>114</v>
      </c>
      <c r="CF351" t="s">
        <v>114</v>
      </c>
      <c r="CG351" t="s">
        <v>114</v>
      </c>
      <c r="CH351" t="s">
        <v>114</v>
      </c>
      <c r="CI351" t="s">
        <v>114</v>
      </c>
      <c r="CJ351" t="s">
        <v>114</v>
      </c>
      <c r="CK351" t="s">
        <v>114</v>
      </c>
      <c r="CL351" t="s">
        <v>114</v>
      </c>
      <c r="CM351" t="s">
        <v>114</v>
      </c>
      <c r="CN351" t="s">
        <v>114</v>
      </c>
      <c r="CO351" t="s">
        <v>114</v>
      </c>
      <c r="CP351" t="s">
        <v>114</v>
      </c>
      <c r="CQ351" t="s">
        <v>114</v>
      </c>
      <c r="CR351" t="s">
        <v>114</v>
      </c>
      <c r="CS351" t="s">
        <v>114</v>
      </c>
      <c r="CT351" t="s">
        <v>114</v>
      </c>
      <c r="CU351" t="s">
        <v>114</v>
      </c>
      <c r="CV351" t="s">
        <v>114</v>
      </c>
      <c r="CW351" t="s">
        <v>114</v>
      </c>
    </row>
    <row r="352" spans="1:101" x14ac:dyDescent="0.25">
      <c r="A352" t="s">
        <v>48</v>
      </c>
      <c r="B352">
        <v>2</v>
      </c>
      <c r="C352" t="s">
        <v>33</v>
      </c>
      <c r="D352" t="s">
        <v>95</v>
      </c>
      <c r="E352" t="s">
        <v>111</v>
      </c>
      <c r="F352" t="s">
        <v>120</v>
      </c>
      <c r="G352" t="s">
        <v>271</v>
      </c>
      <c r="H352" t="str">
        <f t="shared" si="41"/>
        <v>P.canescens.Solo.Shade</v>
      </c>
      <c r="I352" t="s">
        <v>716</v>
      </c>
      <c r="J352" t="s">
        <v>626</v>
      </c>
      <c r="K352">
        <v>0</v>
      </c>
      <c r="L352">
        <v>270</v>
      </c>
      <c r="M352">
        <v>78</v>
      </c>
      <c r="N352">
        <v>78</v>
      </c>
      <c r="O352" t="s">
        <v>114</v>
      </c>
      <c r="P352">
        <v>65</v>
      </c>
      <c r="Q352">
        <v>35</v>
      </c>
      <c r="R352">
        <v>13</v>
      </c>
      <c r="S352">
        <f t="shared" si="42"/>
        <v>24</v>
      </c>
      <c r="T352">
        <f t="shared" si="43"/>
        <v>0.30769230769230771</v>
      </c>
      <c r="U352" t="s">
        <v>29</v>
      </c>
      <c r="V352" t="s">
        <v>114</v>
      </c>
      <c r="W352" t="s">
        <v>114</v>
      </c>
      <c r="X352">
        <v>13.9</v>
      </c>
      <c r="Y352">
        <v>13</v>
      </c>
      <c r="Z352">
        <v>13.1</v>
      </c>
      <c r="AA352">
        <v>13.33333333</v>
      </c>
      <c r="AB352">
        <v>14.1</v>
      </c>
      <c r="AC352">
        <v>13</v>
      </c>
      <c r="AD352">
        <v>14.4</v>
      </c>
      <c r="AE352">
        <v>14.9</v>
      </c>
      <c r="AF352">
        <v>14.1</v>
      </c>
      <c r="AG352">
        <v>15.9</v>
      </c>
      <c r="AH352">
        <v>23.3</v>
      </c>
      <c r="AI352">
        <v>15.4</v>
      </c>
      <c r="AJ352">
        <v>18.2</v>
      </c>
      <c r="AK352">
        <v>12</v>
      </c>
      <c r="AL352">
        <v>12.5</v>
      </c>
      <c r="AM352">
        <v>13.5</v>
      </c>
      <c r="AN352">
        <v>12.66666667</v>
      </c>
      <c r="AO352">
        <v>12.66666667</v>
      </c>
      <c r="AP352">
        <v>4.0999999999999996</v>
      </c>
      <c r="AQ352">
        <v>5.6</v>
      </c>
      <c r="AR352">
        <v>7.1</v>
      </c>
      <c r="AS352">
        <v>5.6</v>
      </c>
      <c r="AT352">
        <v>5.6</v>
      </c>
      <c r="AU352">
        <v>6.1</v>
      </c>
      <c r="AV352">
        <v>5.0999999999999996</v>
      </c>
      <c r="AW352">
        <v>5.6</v>
      </c>
      <c r="AX352">
        <v>5.6</v>
      </c>
      <c r="AY352">
        <v>-8.5</v>
      </c>
      <c r="AZ352">
        <v>40</v>
      </c>
      <c r="BA352">
        <v>10</v>
      </c>
      <c r="BB352">
        <v>40</v>
      </c>
      <c r="BC352">
        <v>0</v>
      </c>
      <c r="BD352">
        <v>10</v>
      </c>
      <c r="BE352">
        <v>0</v>
      </c>
      <c r="BF352">
        <v>0</v>
      </c>
      <c r="BG352">
        <v>0</v>
      </c>
      <c r="BI352">
        <v>10.7</v>
      </c>
      <c r="BJ352">
        <v>55.920999999999999</v>
      </c>
      <c r="BK352">
        <v>0</v>
      </c>
      <c r="BL352">
        <v>8</v>
      </c>
      <c r="BM352">
        <v>6</v>
      </c>
      <c r="BN352">
        <v>0</v>
      </c>
      <c r="BO352">
        <v>177.5</v>
      </c>
      <c r="BP352">
        <f t="shared" si="44"/>
        <v>-177.5</v>
      </c>
      <c r="BQ352" t="s">
        <v>114</v>
      </c>
      <c r="BR352" t="s">
        <v>114</v>
      </c>
      <c r="BS352" t="s">
        <v>114</v>
      </c>
      <c r="BT352" t="s">
        <v>114</v>
      </c>
      <c r="BU352" t="s">
        <v>114</v>
      </c>
      <c r="BV352" t="s">
        <v>114</v>
      </c>
      <c r="BW352" t="s">
        <v>114</v>
      </c>
      <c r="BX352" t="s">
        <v>114</v>
      </c>
      <c r="BY352" t="s">
        <v>114</v>
      </c>
      <c r="BZ352" t="s">
        <v>114</v>
      </c>
      <c r="CA352" t="s">
        <v>114</v>
      </c>
      <c r="CB352" t="s">
        <v>114</v>
      </c>
      <c r="CC352" t="s">
        <v>114</v>
      </c>
      <c r="CD352" t="s">
        <v>114</v>
      </c>
      <c r="CE352" t="s">
        <v>114</v>
      </c>
      <c r="CF352" t="s">
        <v>114</v>
      </c>
      <c r="CG352" t="s">
        <v>114</v>
      </c>
      <c r="CH352" t="s">
        <v>114</v>
      </c>
      <c r="CI352" t="s">
        <v>114</v>
      </c>
      <c r="CJ352" t="s">
        <v>114</v>
      </c>
      <c r="CK352" t="s">
        <v>114</v>
      </c>
      <c r="CL352" t="s">
        <v>114</v>
      </c>
      <c r="CM352" t="s">
        <v>114</v>
      </c>
      <c r="CN352" t="s">
        <v>114</v>
      </c>
      <c r="CO352" t="s">
        <v>114</v>
      </c>
      <c r="CP352" t="s">
        <v>114</v>
      </c>
      <c r="CQ352" t="s">
        <v>114</v>
      </c>
      <c r="CR352" t="s">
        <v>114</v>
      </c>
      <c r="CS352" t="s">
        <v>114</v>
      </c>
      <c r="CT352" t="s">
        <v>114</v>
      </c>
      <c r="CU352" t="s">
        <v>114</v>
      </c>
      <c r="CV352" t="s">
        <v>114</v>
      </c>
      <c r="CW352" t="s">
        <v>114</v>
      </c>
    </row>
    <row r="353" spans="1:101" x14ac:dyDescent="0.25">
      <c r="A353" t="s">
        <v>48</v>
      </c>
      <c r="B353">
        <v>2</v>
      </c>
      <c r="C353" t="s">
        <v>33</v>
      </c>
      <c r="D353" t="s">
        <v>95</v>
      </c>
      <c r="E353" t="s">
        <v>104</v>
      </c>
      <c r="F353" t="s">
        <v>120</v>
      </c>
      <c r="G353" t="s">
        <v>272</v>
      </c>
      <c r="H353" t="str">
        <f t="shared" si="41"/>
        <v>T.cyanopetala.Solo.Shade</v>
      </c>
      <c r="I353" t="s">
        <v>727</v>
      </c>
      <c r="J353" t="s">
        <v>627</v>
      </c>
      <c r="K353">
        <v>0</v>
      </c>
      <c r="L353">
        <v>45</v>
      </c>
      <c r="M353">
        <v>90</v>
      </c>
      <c r="N353">
        <v>90</v>
      </c>
      <c r="O353" t="s">
        <v>114</v>
      </c>
      <c r="P353">
        <v>38</v>
      </c>
      <c r="Q353">
        <v>48</v>
      </c>
      <c r="R353">
        <v>10</v>
      </c>
      <c r="S353">
        <f t="shared" si="42"/>
        <v>29</v>
      </c>
      <c r="T353">
        <f t="shared" si="43"/>
        <v>0.32222222222222224</v>
      </c>
      <c r="U353" t="s">
        <v>15</v>
      </c>
      <c r="V353" t="s">
        <v>114</v>
      </c>
      <c r="W353" t="s">
        <v>114</v>
      </c>
      <c r="X353">
        <v>13.9</v>
      </c>
      <c r="Y353">
        <v>13</v>
      </c>
      <c r="Z353">
        <v>13.1</v>
      </c>
      <c r="AA353">
        <v>13.33333333</v>
      </c>
      <c r="AB353">
        <v>15.06666667</v>
      </c>
      <c r="AC353">
        <v>14.4</v>
      </c>
      <c r="AD353">
        <v>15.4</v>
      </c>
      <c r="AE353">
        <v>15.4</v>
      </c>
      <c r="AF353">
        <v>15.06666667</v>
      </c>
      <c r="AG353">
        <v>15.9</v>
      </c>
      <c r="AH353">
        <v>23.3</v>
      </c>
      <c r="AI353">
        <v>15.4</v>
      </c>
      <c r="AJ353">
        <v>18.2</v>
      </c>
      <c r="AK353">
        <v>14.4</v>
      </c>
      <c r="AL353">
        <v>14.9</v>
      </c>
      <c r="AM353">
        <v>15.4</v>
      </c>
      <c r="AN353">
        <v>14.9</v>
      </c>
      <c r="AO353">
        <v>14.9</v>
      </c>
      <c r="AP353">
        <v>4.0999999999999996</v>
      </c>
      <c r="AQ353">
        <v>5.6</v>
      </c>
      <c r="AR353">
        <v>7.1</v>
      </c>
      <c r="AS353">
        <v>5.6</v>
      </c>
      <c r="AT353">
        <v>6.6</v>
      </c>
      <c r="AU353">
        <v>6.6</v>
      </c>
      <c r="AV353">
        <v>5.6</v>
      </c>
      <c r="AW353">
        <v>6.266666667</v>
      </c>
      <c r="AX353">
        <v>6.266666667</v>
      </c>
      <c r="AY353">
        <v>-8.8000000000000007</v>
      </c>
      <c r="AZ353">
        <v>20</v>
      </c>
      <c r="BA353">
        <v>40</v>
      </c>
      <c r="BB353">
        <v>40</v>
      </c>
      <c r="BC353">
        <v>0</v>
      </c>
      <c r="BD353">
        <v>0</v>
      </c>
      <c r="BE353">
        <v>0</v>
      </c>
      <c r="BF353">
        <v>0</v>
      </c>
      <c r="BG353">
        <v>0</v>
      </c>
      <c r="BI353">
        <v>10.7</v>
      </c>
      <c r="BJ353">
        <v>55.920999999999999</v>
      </c>
      <c r="BK353">
        <v>0</v>
      </c>
      <c r="BL353">
        <v>11</v>
      </c>
      <c r="BM353">
        <v>11</v>
      </c>
      <c r="BN353">
        <v>66</v>
      </c>
      <c r="BO353">
        <v>134</v>
      </c>
      <c r="BP353">
        <f t="shared" si="44"/>
        <v>-68</v>
      </c>
      <c r="BQ353" t="s">
        <v>114</v>
      </c>
      <c r="BR353" t="s">
        <v>114</v>
      </c>
      <c r="BS353" t="s">
        <v>114</v>
      </c>
      <c r="BT353" t="s">
        <v>114</v>
      </c>
      <c r="BU353" t="s">
        <v>114</v>
      </c>
      <c r="BV353" t="s">
        <v>114</v>
      </c>
      <c r="BW353" t="s">
        <v>114</v>
      </c>
      <c r="BX353" t="s">
        <v>114</v>
      </c>
      <c r="BY353" t="s">
        <v>114</v>
      </c>
      <c r="BZ353" t="s">
        <v>114</v>
      </c>
      <c r="CA353" t="s">
        <v>114</v>
      </c>
      <c r="CB353" t="s">
        <v>114</v>
      </c>
      <c r="CC353" t="s">
        <v>114</v>
      </c>
      <c r="CD353" t="s">
        <v>114</v>
      </c>
      <c r="CE353" t="s">
        <v>114</v>
      </c>
      <c r="CF353" t="s">
        <v>114</v>
      </c>
      <c r="CG353" t="s">
        <v>114</v>
      </c>
      <c r="CH353" t="s">
        <v>114</v>
      </c>
      <c r="CI353" t="s">
        <v>114</v>
      </c>
      <c r="CJ353" t="s">
        <v>114</v>
      </c>
      <c r="CK353" t="s">
        <v>114</v>
      </c>
      <c r="CL353" t="s">
        <v>114</v>
      </c>
      <c r="CM353" t="s">
        <v>114</v>
      </c>
      <c r="CN353" t="s">
        <v>114</v>
      </c>
      <c r="CO353" t="s">
        <v>114</v>
      </c>
      <c r="CP353" t="s">
        <v>114</v>
      </c>
      <c r="CQ353" t="s">
        <v>114</v>
      </c>
      <c r="CR353" t="s">
        <v>114</v>
      </c>
      <c r="CS353" t="s">
        <v>114</v>
      </c>
      <c r="CT353" t="s">
        <v>114</v>
      </c>
      <c r="CU353" t="s">
        <v>114</v>
      </c>
      <c r="CV353" t="s">
        <v>114</v>
      </c>
      <c r="CW353" t="s">
        <v>114</v>
      </c>
    </row>
    <row r="354" spans="1:101" x14ac:dyDescent="0.25">
      <c r="A354" t="s">
        <v>49</v>
      </c>
      <c r="B354">
        <v>2</v>
      </c>
      <c r="C354" t="s">
        <v>35</v>
      </c>
      <c r="D354" t="s">
        <v>94</v>
      </c>
      <c r="E354" t="s">
        <v>102</v>
      </c>
      <c r="F354" t="s">
        <v>120</v>
      </c>
      <c r="G354" t="s">
        <v>273</v>
      </c>
      <c r="H354" t="str">
        <f t="shared" si="41"/>
        <v>A.calendula.Solo.Open</v>
      </c>
      <c r="I354" t="s">
        <v>717</v>
      </c>
      <c r="J354" t="s">
        <v>628</v>
      </c>
      <c r="K354">
        <v>0</v>
      </c>
      <c r="L354">
        <v>90</v>
      </c>
      <c r="M354">
        <v>60</v>
      </c>
      <c r="N354">
        <v>60</v>
      </c>
      <c r="O354" t="s">
        <v>114</v>
      </c>
      <c r="P354">
        <v>60</v>
      </c>
      <c r="Q354">
        <v>60</v>
      </c>
      <c r="R354">
        <v>20</v>
      </c>
      <c r="S354">
        <f t="shared" si="42"/>
        <v>40</v>
      </c>
      <c r="T354">
        <f t="shared" si="43"/>
        <v>0.66666666666666663</v>
      </c>
      <c r="U354" t="s">
        <v>15</v>
      </c>
      <c r="V354" t="s">
        <v>114</v>
      </c>
      <c r="W354" t="s">
        <v>114</v>
      </c>
      <c r="X354">
        <v>10.5</v>
      </c>
      <c r="Y354">
        <v>10.5</v>
      </c>
      <c r="Z354">
        <v>12.5</v>
      </c>
      <c r="AA354">
        <v>11.16666667</v>
      </c>
      <c r="AB354">
        <v>11.66666667</v>
      </c>
      <c r="AC354">
        <v>10.5</v>
      </c>
      <c r="AD354">
        <v>11</v>
      </c>
      <c r="AE354">
        <v>13.5</v>
      </c>
      <c r="AF354">
        <v>11.66666667</v>
      </c>
      <c r="AG354">
        <v>13.9</v>
      </c>
      <c r="AH354">
        <v>13</v>
      </c>
      <c r="AI354">
        <v>15.9</v>
      </c>
      <c r="AJ354">
        <v>14.266666669999999</v>
      </c>
      <c r="AK354">
        <v>13.9</v>
      </c>
      <c r="AL354">
        <v>13</v>
      </c>
      <c r="AM354">
        <v>14.9</v>
      </c>
      <c r="AN354">
        <v>13.93333333</v>
      </c>
      <c r="AO354">
        <v>13.93333333</v>
      </c>
      <c r="AP354">
        <v>4.5999999999999996</v>
      </c>
      <c r="AQ354">
        <v>4.0999999999999996</v>
      </c>
      <c r="AR354">
        <v>5.0999999999999996</v>
      </c>
      <c r="AS354">
        <v>4.5999999999999996</v>
      </c>
      <c r="AT354">
        <v>4.0999999999999996</v>
      </c>
      <c r="AU354">
        <v>5.0999999999999996</v>
      </c>
      <c r="AV354">
        <v>5.6</v>
      </c>
      <c r="AW354">
        <v>4.9333333330000002</v>
      </c>
      <c r="AX354">
        <v>4.9333333330000002</v>
      </c>
      <c r="AY354">
        <v>-6.733333333</v>
      </c>
      <c r="AZ354">
        <v>40</v>
      </c>
      <c r="BA354">
        <v>0</v>
      </c>
      <c r="BB354">
        <v>60</v>
      </c>
      <c r="BC354">
        <v>0</v>
      </c>
      <c r="BD354">
        <v>0</v>
      </c>
      <c r="BE354">
        <v>0</v>
      </c>
      <c r="BF354">
        <v>0</v>
      </c>
      <c r="BG354">
        <v>0</v>
      </c>
      <c r="BI354">
        <v>7.5</v>
      </c>
      <c r="BJ354">
        <v>0</v>
      </c>
      <c r="BK354">
        <v>0</v>
      </c>
      <c r="BL354">
        <v>8</v>
      </c>
      <c r="BM354">
        <v>8</v>
      </c>
      <c r="BN354">
        <v>141</v>
      </c>
      <c r="BO354">
        <v>161.5</v>
      </c>
      <c r="BP354">
        <f t="shared" si="44"/>
        <v>-20.5</v>
      </c>
      <c r="BQ354" t="s">
        <v>114</v>
      </c>
      <c r="BR354" t="s">
        <v>114</v>
      </c>
      <c r="BS354" t="s">
        <v>114</v>
      </c>
      <c r="BT354" t="s">
        <v>114</v>
      </c>
      <c r="BU354" t="s">
        <v>114</v>
      </c>
      <c r="BV354" t="s">
        <v>114</v>
      </c>
      <c r="BW354" t="s">
        <v>114</v>
      </c>
      <c r="BX354" t="s">
        <v>114</v>
      </c>
      <c r="BY354" t="s">
        <v>114</v>
      </c>
      <c r="BZ354" t="s">
        <v>114</v>
      </c>
      <c r="CA354" t="s">
        <v>114</v>
      </c>
      <c r="CB354" t="s">
        <v>114</v>
      </c>
      <c r="CC354" t="s">
        <v>114</v>
      </c>
      <c r="CD354" t="s">
        <v>114</v>
      </c>
      <c r="CE354" t="s">
        <v>114</v>
      </c>
      <c r="CF354" t="s">
        <v>114</v>
      </c>
      <c r="CG354" t="s">
        <v>114</v>
      </c>
      <c r="CH354" t="s">
        <v>114</v>
      </c>
      <c r="CI354" t="s">
        <v>114</v>
      </c>
      <c r="CJ354" t="s">
        <v>114</v>
      </c>
      <c r="CK354" t="s">
        <v>114</v>
      </c>
      <c r="CL354" t="s">
        <v>114</v>
      </c>
      <c r="CM354" t="s">
        <v>114</v>
      </c>
      <c r="CN354" t="s">
        <v>114</v>
      </c>
      <c r="CO354" t="s">
        <v>114</v>
      </c>
      <c r="CP354" t="s">
        <v>114</v>
      </c>
      <c r="CQ354" t="s">
        <v>114</v>
      </c>
      <c r="CR354" t="s">
        <v>114</v>
      </c>
      <c r="CS354" t="s">
        <v>114</v>
      </c>
      <c r="CT354" t="s">
        <v>114</v>
      </c>
      <c r="CU354" t="s">
        <v>114</v>
      </c>
      <c r="CV354" t="s">
        <v>114</v>
      </c>
      <c r="CW354" t="s">
        <v>114</v>
      </c>
    </row>
    <row r="355" spans="1:101" x14ac:dyDescent="0.25">
      <c r="A355" t="s">
        <v>49</v>
      </c>
      <c r="B355">
        <v>2</v>
      </c>
      <c r="C355" t="s">
        <v>35</v>
      </c>
      <c r="D355" t="s">
        <v>94</v>
      </c>
      <c r="E355" t="s">
        <v>112</v>
      </c>
      <c r="F355" t="s">
        <v>120</v>
      </c>
      <c r="G355" t="s">
        <v>269</v>
      </c>
      <c r="H355" t="str">
        <f t="shared" si="41"/>
        <v>V.rosea.Solo.Open</v>
      </c>
      <c r="I355" t="s">
        <v>729</v>
      </c>
      <c r="J355" t="s">
        <v>629</v>
      </c>
      <c r="K355">
        <v>0</v>
      </c>
      <c r="L355">
        <v>80</v>
      </c>
      <c r="M355">
        <v>45</v>
      </c>
      <c r="N355">
        <v>45</v>
      </c>
      <c r="O355" t="s">
        <v>114</v>
      </c>
      <c r="P355">
        <v>60</v>
      </c>
      <c r="Q355">
        <v>250</v>
      </c>
      <c r="R355">
        <v>230</v>
      </c>
      <c r="S355">
        <f t="shared" si="42"/>
        <v>240</v>
      </c>
      <c r="T355">
        <f t="shared" si="43"/>
        <v>5.333333333333333</v>
      </c>
      <c r="U355" t="s">
        <v>793</v>
      </c>
      <c r="V355" t="s">
        <v>114</v>
      </c>
      <c r="W355" t="s">
        <v>114</v>
      </c>
      <c r="X355">
        <v>10.5</v>
      </c>
      <c r="Y355">
        <v>10.5</v>
      </c>
      <c r="Z355">
        <v>12.5</v>
      </c>
      <c r="AA355">
        <v>11.16666667</v>
      </c>
      <c r="AB355">
        <v>10.66666667</v>
      </c>
      <c r="AC355">
        <v>12</v>
      </c>
      <c r="AD355">
        <v>10</v>
      </c>
      <c r="AE355">
        <v>10</v>
      </c>
      <c r="AF355">
        <v>10.66666667</v>
      </c>
      <c r="AG355">
        <v>13.9</v>
      </c>
      <c r="AH355">
        <v>13</v>
      </c>
      <c r="AI355">
        <v>15.9</v>
      </c>
      <c r="AJ355">
        <v>14.266666669999999</v>
      </c>
      <c r="AK355">
        <v>13</v>
      </c>
      <c r="AL355">
        <v>11.5</v>
      </c>
      <c r="AM355">
        <v>13.9</v>
      </c>
      <c r="AN355">
        <v>12.8</v>
      </c>
      <c r="AO355">
        <v>12.8</v>
      </c>
      <c r="AP355">
        <v>4.5999999999999996</v>
      </c>
      <c r="AQ355">
        <v>4.0999999999999996</v>
      </c>
      <c r="AR355">
        <v>5.0999999999999996</v>
      </c>
      <c r="AS355">
        <v>4.5999999999999996</v>
      </c>
      <c r="AT355">
        <v>5.0999999999999996</v>
      </c>
      <c r="AU355">
        <v>4.0999999999999996</v>
      </c>
      <c r="AV355">
        <v>4.5999999999999996</v>
      </c>
      <c r="AW355">
        <v>4.5999999999999996</v>
      </c>
      <c r="AX355">
        <v>4.5999999999999996</v>
      </c>
      <c r="AY355">
        <v>-6.0666666669999998</v>
      </c>
      <c r="AZ355">
        <v>60</v>
      </c>
      <c r="BA355">
        <v>0</v>
      </c>
      <c r="BB355">
        <v>30</v>
      </c>
      <c r="BC355">
        <v>0</v>
      </c>
      <c r="BD355">
        <v>10</v>
      </c>
      <c r="BE355">
        <v>0</v>
      </c>
      <c r="BF355">
        <v>0</v>
      </c>
      <c r="BG355">
        <v>0</v>
      </c>
      <c r="BI355">
        <v>7.5</v>
      </c>
      <c r="BJ355">
        <v>0</v>
      </c>
      <c r="BK355">
        <v>0</v>
      </c>
      <c r="BL355">
        <v>84</v>
      </c>
      <c r="BM355">
        <v>84</v>
      </c>
      <c r="BN355">
        <v>306</v>
      </c>
      <c r="BO355">
        <v>193</v>
      </c>
      <c r="BP355">
        <f t="shared" ref="BP355:BP386" si="45">BN355-BO355</f>
        <v>113</v>
      </c>
      <c r="BQ355" t="s">
        <v>114</v>
      </c>
      <c r="BR355" t="s">
        <v>114</v>
      </c>
      <c r="BS355" t="s">
        <v>114</v>
      </c>
      <c r="BT355" t="s">
        <v>114</v>
      </c>
      <c r="BU355" t="s">
        <v>114</v>
      </c>
      <c r="BV355" t="s">
        <v>114</v>
      </c>
      <c r="BW355" t="s">
        <v>114</v>
      </c>
      <c r="BX355" t="s">
        <v>114</v>
      </c>
      <c r="BY355" t="s">
        <v>114</v>
      </c>
      <c r="BZ355" t="s">
        <v>114</v>
      </c>
      <c r="CA355" t="s">
        <v>114</v>
      </c>
      <c r="CB355" t="s">
        <v>114</v>
      </c>
      <c r="CC355" t="s">
        <v>114</v>
      </c>
      <c r="CD355" t="s">
        <v>114</v>
      </c>
      <c r="CE355" t="s">
        <v>114</v>
      </c>
      <c r="CF355" t="s">
        <v>114</v>
      </c>
      <c r="CG355" t="s">
        <v>114</v>
      </c>
      <c r="CH355" t="s">
        <v>114</v>
      </c>
      <c r="CI355" t="s">
        <v>114</v>
      </c>
      <c r="CJ355" t="s">
        <v>114</v>
      </c>
      <c r="CK355" t="s">
        <v>114</v>
      </c>
      <c r="CL355" t="s">
        <v>114</v>
      </c>
      <c r="CM355" t="s">
        <v>114</v>
      </c>
      <c r="CN355" t="s">
        <v>114</v>
      </c>
      <c r="CO355" t="s">
        <v>114</v>
      </c>
      <c r="CP355" t="s">
        <v>114</v>
      </c>
      <c r="CQ355" t="s">
        <v>114</v>
      </c>
      <c r="CR355" t="s">
        <v>114</v>
      </c>
      <c r="CS355" t="s">
        <v>114</v>
      </c>
      <c r="CT355" t="s">
        <v>114</v>
      </c>
      <c r="CU355" t="s">
        <v>114</v>
      </c>
      <c r="CV355" t="s">
        <v>114</v>
      </c>
      <c r="CW355" t="s">
        <v>114</v>
      </c>
    </row>
    <row r="356" spans="1:101" x14ac:dyDescent="0.25">
      <c r="A356" t="s">
        <v>79</v>
      </c>
      <c r="B356">
        <v>6</v>
      </c>
      <c r="C356" t="s">
        <v>11</v>
      </c>
      <c r="D356" t="s">
        <v>95</v>
      </c>
      <c r="E356" t="s">
        <v>113</v>
      </c>
      <c r="F356" t="s">
        <v>120</v>
      </c>
      <c r="G356" t="s">
        <v>267</v>
      </c>
      <c r="H356" t="str">
        <f t="shared" si="41"/>
        <v>H.glutinosum.Solo.Shade</v>
      </c>
      <c r="I356" t="s">
        <v>730</v>
      </c>
      <c r="J356" t="s">
        <v>630</v>
      </c>
      <c r="K356">
        <v>0</v>
      </c>
      <c r="L356">
        <v>50</v>
      </c>
      <c r="M356">
        <v>30</v>
      </c>
      <c r="N356">
        <v>30</v>
      </c>
      <c r="O356" t="s">
        <v>114</v>
      </c>
      <c r="P356">
        <v>4</v>
      </c>
      <c r="Q356">
        <v>5</v>
      </c>
      <c r="R356">
        <v>5</v>
      </c>
      <c r="S356">
        <f t="shared" si="42"/>
        <v>5</v>
      </c>
      <c r="T356">
        <f t="shared" si="43"/>
        <v>0.16666666666666666</v>
      </c>
      <c r="U356" t="s">
        <v>15</v>
      </c>
      <c r="V356" t="s">
        <v>114</v>
      </c>
      <c r="W356" t="s">
        <v>114</v>
      </c>
      <c r="X356">
        <v>16.899999999999999</v>
      </c>
      <c r="Y356">
        <v>18.899999999999999</v>
      </c>
      <c r="Z356">
        <v>18.399999999999999</v>
      </c>
      <c r="AA356">
        <v>18.06666667</v>
      </c>
      <c r="AB356">
        <v>16.399999999999999</v>
      </c>
      <c r="AC356">
        <v>17.399999999999999</v>
      </c>
      <c r="AD356">
        <v>14.9</v>
      </c>
      <c r="AE356">
        <v>16.899999999999999</v>
      </c>
      <c r="AF356">
        <v>16.399999999999999</v>
      </c>
      <c r="AG356">
        <v>16.899999999999999</v>
      </c>
      <c r="AH356">
        <v>17.399999999999999</v>
      </c>
      <c r="AI356">
        <v>18.399999999999999</v>
      </c>
      <c r="AJ356">
        <v>17.56666667</v>
      </c>
      <c r="AK356">
        <v>13.5</v>
      </c>
      <c r="AL356">
        <v>14.4</v>
      </c>
      <c r="AM356">
        <v>16.899999999999999</v>
      </c>
      <c r="AN356">
        <v>14.93333333</v>
      </c>
      <c r="AO356">
        <v>14.93333333</v>
      </c>
      <c r="AP356">
        <v>7.6</v>
      </c>
      <c r="AQ356">
        <v>8.1</v>
      </c>
      <c r="AR356">
        <v>6.1</v>
      </c>
      <c r="AS356">
        <v>7.266666667</v>
      </c>
      <c r="AT356">
        <v>6.6</v>
      </c>
      <c r="AU356">
        <v>7.6</v>
      </c>
      <c r="AV356">
        <v>8.5</v>
      </c>
      <c r="AW356">
        <v>7.5666666669999998</v>
      </c>
      <c r="AX356">
        <v>7.5666666669999998</v>
      </c>
      <c r="AY356">
        <v>-8.8333333330000006</v>
      </c>
      <c r="AZ356">
        <v>10</v>
      </c>
      <c r="BA356">
        <v>50</v>
      </c>
      <c r="BB356">
        <v>40</v>
      </c>
      <c r="BC356">
        <v>0</v>
      </c>
      <c r="BD356">
        <v>0</v>
      </c>
      <c r="BE356">
        <v>0</v>
      </c>
      <c r="BF356">
        <v>0</v>
      </c>
      <c r="BG356">
        <v>0</v>
      </c>
      <c r="BI356">
        <v>9.9</v>
      </c>
      <c r="BJ356">
        <v>42.4</v>
      </c>
      <c r="BK356">
        <v>0</v>
      </c>
      <c r="BL356">
        <v>3</v>
      </c>
      <c r="BM356">
        <v>3</v>
      </c>
      <c r="BN356">
        <v>0</v>
      </c>
      <c r="BO356">
        <v>0</v>
      </c>
      <c r="BP356">
        <f t="shared" si="45"/>
        <v>0</v>
      </c>
      <c r="BQ356" t="s">
        <v>114</v>
      </c>
      <c r="BR356" t="s">
        <v>114</v>
      </c>
      <c r="BS356" t="s">
        <v>114</v>
      </c>
      <c r="BT356" t="s">
        <v>114</v>
      </c>
      <c r="BU356" t="s">
        <v>114</v>
      </c>
      <c r="BV356" t="s">
        <v>114</v>
      </c>
      <c r="BW356" t="s">
        <v>114</v>
      </c>
      <c r="BX356" t="s">
        <v>114</v>
      </c>
      <c r="BY356" t="s">
        <v>114</v>
      </c>
      <c r="BZ356" t="s">
        <v>114</v>
      </c>
      <c r="CA356" t="s">
        <v>114</v>
      </c>
      <c r="CB356" t="s">
        <v>114</v>
      </c>
      <c r="CC356" t="s">
        <v>114</v>
      </c>
      <c r="CD356" t="s">
        <v>114</v>
      </c>
      <c r="CE356" t="s">
        <v>114</v>
      </c>
      <c r="CF356" t="s">
        <v>114</v>
      </c>
      <c r="CG356" t="s">
        <v>114</v>
      </c>
      <c r="CH356" t="s">
        <v>114</v>
      </c>
      <c r="CI356" t="s">
        <v>114</v>
      </c>
      <c r="CJ356" t="s">
        <v>114</v>
      </c>
      <c r="CK356" t="s">
        <v>114</v>
      </c>
      <c r="CL356" t="s">
        <v>114</v>
      </c>
      <c r="CM356" t="s">
        <v>114</v>
      </c>
      <c r="CN356" t="s">
        <v>114</v>
      </c>
      <c r="CO356" t="s">
        <v>114</v>
      </c>
      <c r="CP356" t="s">
        <v>114</v>
      </c>
      <c r="CQ356" t="s">
        <v>114</v>
      </c>
      <c r="CR356" t="s">
        <v>114</v>
      </c>
      <c r="CS356" t="s">
        <v>114</v>
      </c>
      <c r="CT356" t="s">
        <v>114</v>
      </c>
      <c r="CU356" t="s">
        <v>114</v>
      </c>
      <c r="CV356" t="s">
        <v>114</v>
      </c>
      <c r="CW356" t="s">
        <v>114</v>
      </c>
    </row>
    <row r="357" spans="1:101" x14ac:dyDescent="0.25">
      <c r="A357" t="s">
        <v>79</v>
      </c>
      <c r="B357">
        <v>6</v>
      </c>
      <c r="C357" t="s">
        <v>11</v>
      </c>
      <c r="D357" t="s">
        <v>95</v>
      </c>
      <c r="E357" t="s">
        <v>103</v>
      </c>
      <c r="F357" t="s">
        <v>120</v>
      </c>
      <c r="G357" t="s">
        <v>268</v>
      </c>
      <c r="H357" t="str">
        <f t="shared" si="41"/>
        <v>P.airoides.Solo.Shade</v>
      </c>
      <c r="I357" t="s">
        <v>731</v>
      </c>
      <c r="J357" t="s">
        <v>631</v>
      </c>
      <c r="K357">
        <v>0</v>
      </c>
      <c r="L357">
        <v>55</v>
      </c>
      <c r="M357">
        <v>70</v>
      </c>
      <c r="N357">
        <v>70</v>
      </c>
      <c r="O357" t="s">
        <v>114</v>
      </c>
      <c r="P357">
        <v>40</v>
      </c>
      <c r="Q357">
        <v>45</v>
      </c>
      <c r="R357">
        <v>30</v>
      </c>
      <c r="S357">
        <f t="shared" si="42"/>
        <v>37.5</v>
      </c>
      <c r="T357">
        <f t="shared" si="43"/>
        <v>0.5357142857142857</v>
      </c>
      <c r="U357" t="s">
        <v>15</v>
      </c>
      <c r="V357" t="s">
        <v>114</v>
      </c>
      <c r="W357" t="s">
        <v>114</v>
      </c>
      <c r="X357">
        <v>16.899999999999999</v>
      </c>
      <c r="Y357">
        <v>18.899999999999999</v>
      </c>
      <c r="Z357">
        <v>18.399999999999999</v>
      </c>
      <c r="AA357">
        <v>18.06666667</v>
      </c>
      <c r="AB357">
        <v>14.766666669999999</v>
      </c>
      <c r="AC357">
        <v>14.5</v>
      </c>
      <c r="AD357">
        <v>14.9</v>
      </c>
      <c r="AE357">
        <v>14.9</v>
      </c>
      <c r="AF357">
        <v>14.766666669999999</v>
      </c>
      <c r="AG357">
        <v>16.899999999999999</v>
      </c>
      <c r="AH357">
        <v>17.399999999999999</v>
      </c>
      <c r="AI357">
        <v>18.399999999999999</v>
      </c>
      <c r="AJ357">
        <v>17.56666667</v>
      </c>
      <c r="AK357">
        <v>15.9</v>
      </c>
      <c r="AL357">
        <v>14.4</v>
      </c>
      <c r="AM357">
        <v>14.4</v>
      </c>
      <c r="AN357">
        <v>14.9</v>
      </c>
      <c r="AO357">
        <v>14.9</v>
      </c>
      <c r="AP357">
        <v>7.6</v>
      </c>
      <c r="AQ357">
        <v>8.1</v>
      </c>
      <c r="AR357">
        <v>6.1</v>
      </c>
      <c r="AS357">
        <v>7.266666667</v>
      </c>
      <c r="AT357">
        <v>6.6</v>
      </c>
      <c r="AU357">
        <v>6.1</v>
      </c>
      <c r="AV357">
        <v>5.6</v>
      </c>
      <c r="AW357">
        <v>6.1</v>
      </c>
      <c r="AX357">
        <v>6.1</v>
      </c>
      <c r="AY357">
        <v>-8.6666666669999994</v>
      </c>
      <c r="AZ357">
        <v>50</v>
      </c>
      <c r="BA357">
        <v>10</v>
      </c>
      <c r="BB357">
        <v>40</v>
      </c>
      <c r="BC357">
        <v>0</v>
      </c>
      <c r="BD357">
        <v>0</v>
      </c>
      <c r="BE357">
        <v>0</v>
      </c>
      <c r="BF357">
        <v>0</v>
      </c>
      <c r="BG357">
        <v>0</v>
      </c>
      <c r="BI357">
        <v>9.9</v>
      </c>
      <c r="BJ357">
        <v>42.4</v>
      </c>
      <c r="BK357">
        <v>0</v>
      </c>
      <c r="BL357">
        <v>4</v>
      </c>
      <c r="BM357">
        <v>4</v>
      </c>
      <c r="BN357">
        <v>356</v>
      </c>
      <c r="BO357">
        <v>406</v>
      </c>
      <c r="BP357">
        <f t="shared" si="45"/>
        <v>-50</v>
      </c>
      <c r="BQ357" t="s">
        <v>114</v>
      </c>
      <c r="BR357" t="s">
        <v>114</v>
      </c>
      <c r="BS357" t="s">
        <v>114</v>
      </c>
      <c r="BT357" t="s">
        <v>114</v>
      </c>
      <c r="BU357" t="s">
        <v>114</v>
      </c>
      <c r="BV357" t="s">
        <v>114</v>
      </c>
      <c r="BW357" t="s">
        <v>114</v>
      </c>
      <c r="BX357" t="s">
        <v>114</v>
      </c>
      <c r="BY357" t="s">
        <v>114</v>
      </c>
      <c r="BZ357" t="s">
        <v>114</v>
      </c>
      <c r="CA357" t="s">
        <v>114</v>
      </c>
      <c r="CB357" t="s">
        <v>114</v>
      </c>
      <c r="CC357" t="s">
        <v>114</v>
      </c>
      <c r="CD357" t="s">
        <v>114</v>
      </c>
      <c r="CE357" t="s">
        <v>114</v>
      </c>
      <c r="CF357" t="s">
        <v>114</v>
      </c>
      <c r="CG357" t="s">
        <v>114</v>
      </c>
      <c r="CH357" t="s">
        <v>114</v>
      </c>
      <c r="CI357" t="s">
        <v>114</v>
      </c>
      <c r="CJ357" t="s">
        <v>114</v>
      </c>
      <c r="CK357" t="s">
        <v>114</v>
      </c>
      <c r="CL357" t="s">
        <v>114</v>
      </c>
      <c r="CM357" t="s">
        <v>114</v>
      </c>
      <c r="CN357" t="s">
        <v>114</v>
      </c>
      <c r="CO357" t="s">
        <v>114</v>
      </c>
      <c r="CP357" t="s">
        <v>114</v>
      </c>
      <c r="CQ357" t="s">
        <v>114</v>
      </c>
      <c r="CR357" t="s">
        <v>114</v>
      </c>
      <c r="CS357" t="s">
        <v>114</v>
      </c>
      <c r="CT357" t="s">
        <v>114</v>
      </c>
      <c r="CU357" t="s">
        <v>114</v>
      </c>
      <c r="CV357" t="s">
        <v>114</v>
      </c>
      <c r="CW357" t="s">
        <v>114</v>
      </c>
    </row>
    <row r="358" spans="1:101" x14ac:dyDescent="0.25">
      <c r="A358" t="s">
        <v>79</v>
      </c>
      <c r="B358">
        <v>6</v>
      </c>
      <c r="C358" t="s">
        <v>11</v>
      </c>
      <c r="D358" t="s">
        <v>95</v>
      </c>
      <c r="E358" t="s">
        <v>111</v>
      </c>
      <c r="F358" t="s">
        <v>120</v>
      </c>
      <c r="G358" t="s">
        <v>271</v>
      </c>
      <c r="H358" t="str">
        <f t="shared" si="41"/>
        <v>P.canescens.Solo.Shade</v>
      </c>
      <c r="I358" t="s">
        <v>732</v>
      </c>
      <c r="J358" t="s">
        <v>632</v>
      </c>
      <c r="K358">
        <v>0</v>
      </c>
      <c r="L358">
        <v>380</v>
      </c>
      <c r="M358">
        <v>280</v>
      </c>
      <c r="N358">
        <v>280</v>
      </c>
      <c r="O358" t="s">
        <v>114</v>
      </c>
      <c r="P358">
        <v>110</v>
      </c>
      <c r="Q358">
        <v>210</v>
      </c>
      <c r="R358">
        <v>170</v>
      </c>
      <c r="S358">
        <f t="shared" si="42"/>
        <v>190</v>
      </c>
      <c r="T358">
        <f t="shared" si="43"/>
        <v>0.6785714285714286</v>
      </c>
      <c r="U358" t="s">
        <v>15</v>
      </c>
      <c r="V358" t="s">
        <v>114</v>
      </c>
      <c r="W358" t="s">
        <v>114</v>
      </c>
      <c r="X358">
        <v>16.899999999999999</v>
      </c>
      <c r="Y358">
        <v>18.899999999999999</v>
      </c>
      <c r="Z358">
        <v>18.399999999999999</v>
      </c>
      <c r="AA358">
        <v>18.06666667</v>
      </c>
      <c r="AB358">
        <v>16.899999999999999</v>
      </c>
      <c r="AC358">
        <v>15.9</v>
      </c>
      <c r="AD358">
        <v>15.9</v>
      </c>
      <c r="AE358">
        <v>18.899999999999999</v>
      </c>
      <c r="AF358">
        <v>16.899999999999999</v>
      </c>
      <c r="AG358">
        <v>16.899999999999999</v>
      </c>
      <c r="AH358">
        <v>17.399999999999999</v>
      </c>
      <c r="AI358">
        <v>18.399999999999999</v>
      </c>
      <c r="AJ358">
        <v>17.56666667</v>
      </c>
      <c r="AK358">
        <v>19.3</v>
      </c>
      <c r="AL358">
        <v>15.9</v>
      </c>
      <c r="AM358">
        <v>18.399999999999999</v>
      </c>
      <c r="AN358">
        <v>17.866666670000001</v>
      </c>
      <c r="AO358">
        <v>17.866666670000001</v>
      </c>
      <c r="AP358">
        <v>7.6</v>
      </c>
      <c r="AQ358">
        <v>8.1</v>
      </c>
      <c r="AR358">
        <v>6.1</v>
      </c>
      <c r="AS358">
        <v>7.266666667</v>
      </c>
      <c r="AT358">
        <v>6.6</v>
      </c>
      <c r="AU358">
        <v>8.1</v>
      </c>
      <c r="AV358">
        <v>8.1</v>
      </c>
      <c r="AW358">
        <v>7.6</v>
      </c>
      <c r="AX358">
        <v>7.6</v>
      </c>
      <c r="AY358">
        <v>-9.3000000000000007</v>
      </c>
      <c r="AZ358">
        <v>100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I358">
        <v>9.9</v>
      </c>
      <c r="BJ358">
        <v>42.4</v>
      </c>
      <c r="BK358">
        <v>0</v>
      </c>
      <c r="BL358">
        <v>76</v>
      </c>
      <c r="BM358">
        <v>61</v>
      </c>
      <c r="BN358">
        <v>3443</v>
      </c>
      <c r="BO358">
        <v>2858</v>
      </c>
      <c r="BP358">
        <f t="shared" si="45"/>
        <v>585</v>
      </c>
      <c r="BQ358" t="s">
        <v>114</v>
      </c>
      <c r="BR358" t="s">
        <v>114</v>
      </c>
      <c r="BS358" t="s">
        <v>114</v>
      </c>
      <c r="BT358" t="s">
        <v>114</v>
      </c>
      <c r="BU358" t="s">
        <v>114</v>
      </c>
      <c r="BV358" t="s">
        <v>114</v>
      </c>
      <c r="BW358" t="s">
        <v>114</v>
      </c>
      <c r="BX358" t="s">
        <v>114</v>
      </c>
      <c r="BY358" t="s">
        <v>114</v>
      </c>
      <c r="BZ358" t="s">
        <v>114</v>
      </c>
      <c r="CA358" t="s">
        <v>114</v>
      </c>
      <c r="CB358" t="s">
        <v>114</v>
      </c>
      <c r="CC358" t="s">
        <v>114</v>
      </c>
      <c r="CD358" t="s">
        <v>114</v>
      </c>
      <c r="CE358" t="s">
        <v>114</v>
      </c>
      <c r="CF358" t="s">
        <v>114</v>
      </c>
      <c r="CG358" t="s">
        <v>114</v>
      </c>
      <c r="CH358" t="s">
        <v>114</v>
      </c>
      <c r="CI358" t="s">
        <v>114</v>
      </c>
      <c r="CJ358" t="s">
        <v>114</v>
      </c>
      <c r="CK358" t="s">
        <v>114</v>
      </c>
      <c r="CL358" t="s">
        <v>114</v>
      </c>
      <c r="CM358" t="s">
        <v>114</v>
      </c>
      <c r="CN358" t="s">
        <v>114</v>
      </c>
      <c r="CO358" t="s">
        <v>114</v>
      </c>
      <c r="CP358" t="s">
        <v>114</v>
      </c>
      <c r="CQ358" t="s">
        <v>114</v>
      </c>
      <c r="CR358" t="s">
        <v>114</v>
      </c>
      <c r="CS358" t="s">
        <v>114</v>
      </c>
      <c r="CT358" t="s">
        <v>114</v>
      </c>
      <c r="CU358" t="s">
        <v>114</v>
      </c>
      <c r="CV358" t="s">
        <v>114</v>
      </c>
      <c r="CW358" t="s">
        <v>114</v>
      </c>
    </row>
    <row r="359" spans="1:101" x14ac:dyDescent="0.25">
      <c r="A359" t="s">
        <v>80</v>
      </c>
      <c r="B359">
        <v>6</v>
      </c>
      <c r="C359" t="s">
        <v>15</v>
      </c>
      <c r="D359" t="s">
        <v>95</v>
      </c>
      <c r="E359" t="s">
        <v>105</v>
      </c>
      <c r="F359" t="s">
        <v>120</v>
      </c>
      <c r="G359" t="s">
        <v>274</v>
      </c>
      <c r="H359" t="str">
        <f t="shared" si="41"/>
        <v>H.glabra.Solo.Shade</v>
      </c>
      <c r="I359" t="s">
        <v>733</v>
      </c>
      <c r="J359" t="s">
        <v>633</v>
      </c>
      <c r="K359">
        <v>0</v>
      </c>
      <c r="L359">
        <v>60</v>
      </c>
      <c r="M359">
        <v>45</v>
      </c>
      <c r="N359">
        <v>45</v>
      </c>
      <c r="O359" t="s">
        <v>114</v>
      </c>
      <c r="P359">
        <v>30</v>
      </c>
      <c r="Q359">
        <v>30</v>
      </c>
      <c r="R359">
        <v>23</v>
      </c>
      <c r="S359">
        <f t="shared" si="42"/>
        <v>26.5</v>
      </c>
      <c r="T359">
        <f t="shared" si="43"/>
        <v>0.58888888888888891</v>
      </c>
      <c r="U359" t="s">
        <v>15</v>
      </c>
      <c r="V359" t="s">
        <v>114</v>
      </c>
      <c r="W359" t="s">
        <v>114</v>
      </c>
      <c r="X359">
        <v>15.9</v>
      </c>
      <c r="Y359">
        <v>14.9</v>
      </c>
      <c r="Z359">
        <v>17.899999999999999</v>
      </c>
      <c r="AA359">
        <v>16.233333330000001</v>
      </c>
      <c r="AB359">
        <v>16.233333330000001</v>
      </c>
      <c r="AC359">
        <v>15.4</v>
      </c>
      <c r="AD359">
        <v>16.399999999999999</v>
      </c>
      <c r="AE359">
        <v>16.899999999999999</v>
      </c>
      <c r="AF359">
        <v>16.233333330000001</v>
      </c>
      <c r="AG359">
        <v>12</v>
      </c>
      <c r="AH359">
        <v>15.9</v>
      </c>
      <c r="AI359">
        <v>14.9</v>
      </c>
      <c r="AJ359">
        <v>14.266666669999999</v>
      </c>
      <c r="AK359">
        <v>14.4</v>
      </c>
      <c r="AL359">
        <v>13.5</v>
      </c>
      <c r="AM359">
        <v>15.9</v>
      </c>
      <c r="AN359">
        <v>14.6</v>
      </c>
      <c r="AO359">
        <v>14.6</v>
      </c>
      <c r="AP359">
        <v>11</v>
      </c>
      <c r="AQ359">
        <v>8.1</v>
      </c>
      <c r="AR359">
        <v>8.5</v>
      </c>
      <c r="AS359">
        <v>9.1999999999999993</v>
      </c>
      <c r="AT359">
        <v>9.5</v>
      </c>
      <c r="AU359">
        <v>9</v>
      </c>
      <c r="AV359">
        <v>10.5</v>
      </c>
      <c r="AW359">
        <v>9.6666666669999994</v>
      </c>
      <c r="AX359">
        <v>9.6666666669999994</v>
      </c>
      <c r="AY359">
        <v>-6.5666666669999998</v>
      </c>
      <c r="AZ359">
        <v>0</v>
      </c>
      <c r="BA359">
        <v>80</v>
      </c>
      <c r="BB359">
        <v>20</v>
      </c>
      <c r="BC359">
        <v>0</v>
      </c>
      <c r="BD359">
        <v>0</v>
      </c>
      <c r="BE359">
        <v>1</v>
      </c>
      <c r="BF359">
        <v>0</v>
      </c>
      <c r="BG359">
        <v>0</v>
      </c>
      <c r="BI359">
        <v>12.2</v>
      </c>
      <c r="BJ359">
        <v>42.4</v>
      </c>
      <c r="BK359">
        <v>0</v>
      </c>
      <c r="BL359">
        <v>5</v>
      </c>
      <c r="BM359">
        <v>5</v>
      </c>
      <c r="BN359">
        <v>80</v>
      </c>
      <c r="BO359">
        <v>315.5</v>
      </c>
      <c r="BP359">
        <f t="shared" si="45"/>
        <v>-235.5</v>
      </c>
      <c r="BQ359" t="s">
        <v>114</v>
      </c>
      <c r="BR359" t="s">
        <v>114</v>
      </c>
      <c r="BS359" t="s">
        <v>114</v>
      </c>
      <c r="BT359" t="s">
        <v>114</v>
      </c>
      <c r="BU359" t="s">
        <v>114</v>
      </c>
      <c r="BV359" t="s">
        <v>114</v>
      </c>
      <c r="BW359" t="s">
        <v>114</v>
      </c>
      <c r="BX359" t="s">
        <v>114</v>
      </c>
      <c r="BY359" t="s">
        <v>114</v>
      </c>
      <c r="BZ359" t="s">
        <v>114</v>
      </c>
      <c r="CA359" t="s">
        <v>114</v>
      </c>
      <c r="CB359" t="s">
        <v>114</v>
      </c>
      <c r="CC359" t="s">
        <v>114</v>
      </c>
      <c r="CD359" t="s">
        <v>114</v>
      </c>
      <c r="CE359" t="s">
        <v>114</v>
      </c>
      <c r="CF359" t="s">
        <v>114</v>
      </c>
      <c r="CG359" t="s">
        <v>114</v>
      </c>
      <c r="CH359" t="s">
        <v>114</v>
      </c>
      <c r="CI359" t="s">
        <v>114</v>
      </c>
      <c r="CJ359" t="s">
        <v>114</v>
      </c>
      <c r="CK359" t="s">
        <v>114</v>
      </c>
      <c r="CL359" t="s">
        <v>114</v>
      </c>
      <c r="CM359" t="s">
        <v>114</v>
      </c>
      <c r="CN359" t="s">
        <v>114</v>
      </c>
      <c r="CO359" t="s">
        <v>114</v>
      </c>
      <c r="CP359" t="s">
        <v>114</v>
      </c>
      <c r="CQ359" t="s">
        <v>114</v>
      </c>
      <c r="CR359" t="s">
        <v>114</v>
      </c>
      <c r="CS359" t="s">
        <v>114</v>
      </c>
      <c r="CT359" t="s">
        <v>114</v>
      </c>
      <c r="CU359" t="s">
        <v>114</v>
      </c>
      <c r="CV359" t="s">
        <v>114</v>
      </c>
      <c r="CW359" t="s">
        <v>114</v>
      </c>
    </row>
    <row r="360" spans="1:101" x14ac:dyDescent="0.25">
      <c r="A360" t="s">
        <v>80</v>
      </c>
      <c r="B360">
        <v>6</v>
      </c>
      <c r="C360" t="s">
        <v>15</v>
      </c>
      <c r="D360" t="s">
        <v>95</v>
      </c>
      <c r="E360" t="s">
        <v>113</v>
      </c>
      <c r="F360" t="s">
        <v>120</v>
      </c>
      <c r="G360" t="s">
        <v>267</v>
      </c>
      <c r="H360" t="str">
        <f t="shared" si="41"/>
        <v>H.glutinosum.Solo.Shade</v>
      </c>
      <c r="I360" t="s">
        <v>730</v>
      </c>
      <c r="J360" t="s">
        <v>634</v>
      </c>
      <c r="K360">
        <v>0</v>
      </c>
      <c r="L360">
        <v>60</v>
      </c>
      <c r="M360">
        <v>30</v>
      </c>
      <c r="N360">
        <v>30</v>
      </c>
      <c r="O360" t="s">
        <v>114</v>
      </c>
      <c r="P360">
        <v>4</v>
      </c>
      <c r="Q360">
        <v>5</v>
      </c>
      <c r="R360">
        <v>1</v>
      </c>
      <c r="S360">
        <f t="shared" si="42"/>
        <v>3</v>
      </c>
      <c r="T360">
        <f t="shared" si="43"/>
        <v>0.1</v>
      </c>
      <c r="U360" t="s">
        <v>792</v>
      </c>
      <c r="V360" t="s">
        <v>114</v>
      </c>
      <c r="W360" t="s">
        <v>114</v>
      </c>
      <c r="X360">
        <v>15.9</v>
      </c>
      <c r="Y360">
        <v>14.9</v>
      </c>
      <c r="Z360">
        <v>17.899999999999999</v>
      </c>
      <c r="AA360">
        <v>16.233333330000001</v>
      </c>
      <c r="AB360">
        <v>14.4</v>
      </c>
      <c r="AC360">
        <v>13.9</v>
      </c>
      <c r="AD360">
        <v>13.9</v>
      </c>
      <c r="AE360">
        <v>15.4</v>
      </c>
      <c r="AF360">
        <v>14.4</v>
      </c>
      <c r="AG360">
        <v>12</v>
      </c>
      <c r="AH360">
        <v>15.9</v>
      </c>
      <c r="AI360">
        <v>14.9</v>
      </c>
      <c r="AJ360">
        <v>14.266666669999999</v>
      </c>
      <c r="AK360">
        <v>11.5</v>
      </c>
      <c r="AL360">
        <v>13.5</v>
      </c>
      <c r="AM360">
        <v>15.4</v>
      </c>
      <c r="AN360">
        <v>13.46666667</v>
      </c>
      <c r="AO360">
        <v>13.46666667</v>
      </c>
      <c r="AP360">
        <v>11</v>
      </c>
      <c r="AQ360">
        <v>8.1</v>
      </c>
      <c r="AR360">
        <v>8.5</v>
      </c>
      <c r="AS360">
        <v>9.1999999999999993</v>
      </c>
      <c r="AT360">
        <v>8.5</v>
      </c>
      <c r="AU360">
        <v>7.1</v>
      </c>
      <c r="AV360">
        <v>9</v>
      </c>
      <c r="AW360">
        <v>8.1999999999999993</v>
      </c>
      <c r="AX360">
        <v>8.1999999999999993</v>
      </c>
      <c r="AY360">
        <v>-6.2</v>
      </c>
      <c r="AZ360">
        <v>100</v>
      </c>
      <c r="BA360">
        <v>0</v>
      </c>
      <c r="BB360">
        <v>0</v>
      </c>
      <c r="BC360">
        <v>0</v>
      </c>
      <c r="BD360">
        <v>0</v>
      </c>
      <c r="BE360">
        <v>1</v>
      </c>
      <c r="BF360">
        <v>0</v>
      </c>
      <c r="BG360">
        <v>0</v>
      </c>
      <c r="BI360">
        <v>12.2</v>
      </c>
      <c r="BJ360">
        <v>42.4</v>
      </c>
      <c r="BK360">
        <v>0</v>
      </c>
      <c r="BL360">
        <v>1</v>
      </c>
      <c r="BM360">
        <v>1</v>
      </c>
      <c r="BN360">
        <v>0</v>
      </c>
      <c r="BO360">
        <v>0</v>
      </c>
      <c r="BP360">
        <f t="shared" si="45"/>
        <v>0</v>
      </c>
      <c r="BQ360" t="s">
        <v>114</v>
      </c>
      <c r="BR360" t="s">
        <v>114</v>
      </c>
      <c r="BS360" t="s">
        <v>114</v>
      </c>
      <c r="BT360" t="s">
        <v>114</v>
      </c>
      <c r="BU360" t="s">
        <v>114</v>
      </c>
      <c r="BV360" t="s">
        <v>114</v>
      </c>
      <c r="BW360" t="s">
        <v>114</v>
      </c>
      <c r="BX360" t="s">
        <v>114</v>
      </c>
      <c r="BY360" t="s">
        <v>114</v>
      </c>
      <c r="BZ360" t="s">
        <v>114</v>
      </c>
      <c r="CA360" t="s">
        <v>114</v>
      </c>
      <c r="CB360" t="s">
        <v>114</v>
      </c>
      <c r="CC360" t="s">
        <v>114</v>
      </c>
      <c r="CD360" t="s">
        <v>114</v>
      </c>
      <c r="CE360" t="s">
        <v>114</v>
      </c>
      <c r="CF360" t="s">
        <v>114</v>
      </c>
      <c r="CG360" t="s">
        <v>114</v>
      </c>
      <c r="CH360" t="s">
        <v>114</v>
      </c>
      <c r="CI360" t="s">
        <v>114</v>
      </c>
      <c r="CJ360" t="s">
        <v>114</v>
      </c>
      <c r="CK360" t="s">
        <v>114</v>
      </c>
      <c r="CL360" t="s">
        <v>114</v>
      </c>
      <c r="CM360" t="s">
        <v>114</v>
      </c>
      <c r="CN360" t="s">
        <v>114</v>
      </c>
      <c r="CO360" t="s">
        <v>114</v>
      </c>
      <c r="CP360" t="s">
        <v>114</v>
      </c>
      <c r="CQ360" t="s">
        <v>114</v>
      </c>
      <c r="CR360" t="s">
        <v>114</v>
      </c>
      <c r="CS360" t="s">
        <v>114</v>
      </c>
      <c r="CT360" t="s">
        <v>114</v>
      </c>
      <c r="CU360" t="s">
        <v>114</v>
      </c>
      <c r="CV360" t="s">
        <v>114</v>
      </c>
      <c r="CW360" t="s">
        <v>114</v>
      </c>
    </row>
    <row r="361" spans="1:101" x14ac:dyDescent="0.25">
      <c r="A361" t="s">
        <v>80</v>
      </c>
      <c r="B361">
        <v>6</v>
      </c>
      <c r="C361" t="s">
        <v>15</v>
      </c>
      <c r="D361" t="s">
        <v>95</v>
      </c>
      <c r="E361" t="s">
        <v>103</v>
      </c>
      <c r="F361" t="s">
        <v>120</v>
      </c>
      <c r="G361" t="s">
        <v>268</v>
      </c>
      <c r="H361" t="str">
        <f t="shared" si="41"/>
        <v>P.airoides.Solo.Shade</v>
      </c>
      <c r="I361" t="s">
        <v>731</v>
      </c>
      <c r="J361" t="s">
        <v>635</v>
      </c>
      <c r="K361">
        <v>0</v>
      </c>
      <c r="L361">
        <v>40</v>
      </c>
      <c r="M361">
        <v>70</v>
      </c>
      <c r="N361">
        <v>70</v>
      </c>
      <c r="O361" t="s">
        <v>114</v>
      </c>
      <c r="P361">
        <v>35</v>
      </c>
      <c r="Q361">
        <v>30</v>
      </c>
      <c r="R361">
        <v>20</v>
      </c>
      <c r="S361">
        <f t="shared" si="42"/>
        <v>25</v>
      </c>
      <c r="T361">
        <f t="shared" si="43"/>
        <v>0.35714285714285715</v>
      </c>
      <c r="U361" t="s">
        <v>29</v>
      </c>
      <c r="V361" t="s">
        <v>114</v>
      </c>
      <c r="W361" t="s">
        <v>114</v>
      </c>
      <c r="X361">
        <v>15.9</v>
      </c>
      <c r="Y361">
        <v>14.9</v>
      </c>
      <c r="Z361">
        <v>17.899999999999999</v>
      </c>
      <c r="AA361">
        <v>16.233333330000001</v>
      </c>
      <c r="AB361">
        <v>15.06666667</v>
      </c>
      <c r="AC361">
        <v>14.9</v>
      </c>
      <c r="AD361">
        <v>14.4</v>
      </c>
      <c r="AE361">
        <v>15.9</v>
      </c>
      <c r="AF361">
        <v>15.06666667</v>
      </c>
      <c r="AG361">
        <v>12</v>
      </c>
      <c r="AH361">
        <v>15.9</v>
      </c>
      <c r="AI361">
        <v>14.9</v>
      </c>
      <c r="AJ361">
        <v>14.266666669999999</v>
      </c>
      <c r="AK361">
        <v>13</v>
      </c>
      <c r="AL361">
        <v>13.9</v>
      </c>
      <c r="AM361">
        <v>14.4</v>
      </c>
      <c r="AN361">
        <v>13.766666669999999</v>
      </c>
      <c r="AO361">
        <v>13.766666669999999</v>
      </c>
      <c r="AP361">
        <v>11</v>
      </c>
      <c r="AQ361">
        <v>8.1</v>
      </c>
      <c r="AR361">
        <v>8.5</v>
      </c>
      <c r="AS361">
        <v>9.1999999999999993</v>
      </c>
      <c r="AT361">
        <v>8.1</v>
      </c>
      <c r="AU361">
        <v>8.5</v>
      </c>
      <c r="AV361">
        <v>11.5</v>
      </c>
      <c r="AW361">
        <v>9.3666666670000005</v>
      </c>
      <c r="AX361">
        <v>9.3666666670000005</v>
      </c>
      <c r="AY361">
        <v>-5.7</v>
      </c>
      <c r="AZ361">
        <v>0</v>
      </c>
      <c r="BA361">
        <v>80</v>
      </c>
      <c r="BB361">
        <v>20</v>
      </c>
      <c r="BC361">
        <v>0</v>
      </c>
      <c r="BD361">
        <v>0</v>
      </c>
      <c r="BE361">
        <v>1</v>
      </c>
      <c r="BF361">
        <v>0</v>
      </c>
      <c r="BG361">
        <v>0</v>
      </c>
      <c r="BI361">
        <v>12.2</v>
      </c>
      <c r="BJ361">
        <v>42.4</v>
      </c>
      <c r="BK361">
        <v>0</v>
      </c>
      <c r="BL361">
        <v>6</v>
      </c>
      <c r="BM361">
        <v>6</v>
      </c>
      <c r="BN361">
        <v>456</v>
      </c>
      <c r="BO361">
        <v>406</v>
      </c>
      <c r="BP361">
        <f t="shared" si="45"/>
        <v>50</v>
      </c>
      <c r="BQ361" t="s">
        <v>114</v>
      </c>
      <c r="BR361" t="s">
        <v>114</v>
      </c>
      <c r="BS361" t="s">
        <v>114</v>
      </c>
      <c r="BT361" t="s">
        <v>114</v>
      </c>
      <c r="BU361" t="s">
        <v>114</v>
      </c>
      <c r="BV361" t="s">
        <v>114</v>
      </c>
      <c r="BW361" t="s">
        <v>114</v>
      </c>
      <c r="BX361" t="s">
        <v>114</v>
      </c>
      <c r="BY361" t="s">
        <v>114</v>
      </c>
      <c r="BZ361" t="s">
        <v>114</v>
      </c>
      <c r="CA361" t="s">
        <v>114</v>
      </c>
      <c r="CB361" t="s">
        <v>114</v>
      </c>
      <c r="CC361" t="s">
        <v>114</v>
      </c>
      <c r="CD361" t="s">
        <v>114</v>
      </c>
      <c r="CE361" t="s">
        <v>114</v>
      </c>
      <c r="CF361" t="s">
        <v>114</v>
      </c>
      <c r="CG361" t="s">
        <v>114</v>
      </c>
      <c r="CH361" t="s">
        <v>114</v>
      </c>
      <c r="CI361" t="s">
        <v>114</v>
      </c>
      <c r="CJ361" t="s">
        <v>114</v>
      </c>
      <c r="CK361" t="s">
        <v>114</v>
      </c>
      <c r="CL361" t="s">
        <v>114</v>
      </c>
      <c r="CM361" t="s">
        <v>114</v>
      </c>
      <c r="CN361" t="s">
        <v>114</v>
      </c>
      <c r="CO361" t="s">
        <v>114</v>
      </c>
      <c r="CP361" t="s">
        <v>114</v>
      </c>
      <c r="CQ361" t="s">
        <v>114</v>
      </c>
      <c r="CR361" t="s">
        <v>114</v>
      </c>
      <c r="CS361" t="s">
        <v>114</v>
      </c>
      <c r="CT361" t="s">
        <v>114</v>
      </c>
      <c r="CU361" t="s">
        <v>114</v>
      </c>
      <c r="CV361" t="s">
        <v>114</v>
      </c>
      <c r="CW361" t="s">
        <v>114</v>
      </c>
    </row>
    <row r="362" spans="1:101" x14ac:dyDescent="0.25">
      <c r="A362" t="s">
        <v>81</v>
      </c>
      <c r="B362">
        <v>6</v>
      </c>
      <c r="C362" t="s">
        <v>17</v>
      </c>
      <c r="D362" t="s">
        <v>94</v>
      </c>
      <c r="E362" t="s">
        <v>105</v>
      </c>
      <c r="F362" t="s">
        <v>120</v>
      </c>
      <c r="G362" t="s">
        <v>274</v>
      </c>
      <c r="H362" t="str">
        <f t="shared" si="41"/>
        <v>H.glabra.Solo.Open</v>
      </c>
      <c r="I362" t="s">
        <v>734</v>
      </c>
      <c r="J362" t="s">
        <v>636</v>
      </c>
      <c r="K362">
        <v>0</v>
      </c>
      <c r="L362">
        <v>30</v>
      </c>
      <c r="M362">
        <v>40</v>
      </c>
      <c r="N362">
        <v>40</v>
      </c>
      <c r="O362" t="s">
        <v>114</v>
      </c>
      <c r="P362">
        <v>80</v>
      </c>
      <c r="Q362">
        <v>80</v>
      </c>
      <c r="R362">
        <v>50</v>
      </c>
      <c r="S362">
        <f t="shared" si="42"/>
        <v>65</v>
      </c>
      <c r="T362">
        <f t="shared" si="43"/>
        <v>1.625</v>
      </c>
      <c r="U362" t="s">
        <v>793</v>
      </c>
      <c r="V362" t="s">
        <v>114</v>
      </c>
      <c r="W362" t="s">
        <v>114</v>
      </c>
      <c r="X362">
        <v>13.9</v>
      </c>
      <c r="Y362">
        <v>14.4</v>
      </c>
      <c r="Z362">
        <v>14.9</v>
      </c>
      <c r="AA362">
        <v>14.4</v>
      </c>
      <c r="AB362">
        <v>11.5</v>
      </c>
      <c r="AC362">
        <v>11</v>
      </c>
      <c r="AD362">
        <v>11.5</v>
      </c>
      <c r="AE362">
        <v>12</v>
      </c>
      <c r="AF362">
        <v>11.5</v>
      </c>
      <c r="AG362">
        <v>13.9</v>
      </c>
      <c r="AH362">
        <v>13.9</v>
      </c>
      <c r="AI362">
        <v>14.9</v>
      </c>
      <c r="AJ362">
        <v>14.233333330000001</v>
      </c>
      <c r="AK362">
        <v>10</v>
      </c>
      <c r="AL362">
        <v>12</v>
      </c>
      <c r="AM362">
        <v>9.5</v>
      </c>
      <c r="AN362">
        <v>10.5</v>
      </c>
      <c r="AO362">
        <v>10.5</v>
      </c>
      <c r="AP362">
        <v>8.5</v>
      </c>
      <c r="AQ362">
        <v>6.6</v>
      </c>
      <c r="AR362">
        <v>8.1</v>
      </c>
      <c r="AS362">
        <v>7.733333333</v>
      </c>
      <c r="AT362">
        <v>6.6</v>
      </c>
      <c r="AU362">
        <v>6.1</v>
      </c>
      <c r="AV362">
        <v>7.1</v>
      </c>
      <c r="AW362">
        <v>6.6</v>
      </c>
      <c r="AX362">
        <v>6.6</v>
      </c>
      <c r="AY362">
        <v>-4.9000000000000004</v>
      </c>
      <c r="AZ362">
        <v>30</v>
      </c>
      <c r="BA362">
        <v>70</v>
      </c>
      <c r="BB362">
        <v>0</v>
      </c>
      <c r="BC362">
        <v>0</v>
      </c>
      <c r="BD362">
        <v>0</v>
      </c>
      <c r="BE362">
        <v>1</v>
      </c>
      <c r="BF362">
        <v>0</v>
      </c>
      <c r="BG362">
        <v>0</v>
      </c>
      <c r="BI362">
        <v>10.6</v>
      </c>
      <c r="BJ362">
        <v>1.0569999999999999</v>
      </c>
      <c r="BK362">
        <v>0</v>
      </c>
      <c r="BL362">
        <v>12</v>
      </c>
      <c r="BM362">
        <v>10</v>
      </c>
      <c r="BN362">
        <v>333</v>
      </c>
      <c r="BO362">
        <v>199.5</v>
      </c>
      <c r="BP362">
        <f t="shared" si="45"/>
        <v>133.5</v>
      </c>
      <c r="BQ362" t="s">
        <v>114</v>
      </c>
      <c r="BR362" t="s">
        <v>114</v>
      </c>
      <c r="BS362" t="s">
        <v>114</v>
      </c>
      <c r="BT362" t="s">
        <v>114</v>
      </c>
      <c r="BU362" t="s">
        <v>114</v>
      </c>
      <c r="BV362" t="s">
        <v>114</v>
      </c>
      <c r="BW362" t="s">
        <v>114</v>
      </c>
      <c r="BX362" t="s">
        <v>114</v>
      </c>
      <c r="BY362" t="s">
        <v>114</v>
      </c>
      <c r="BZ362" t="s">
        <v>114</v>
      </c>
      <c r="CA362" t="s">
        <v>114</v>
      </c>
      <c r="CB362" t="s">
        <v>114</v>
      </c>
      <c r="CC362" t="s">
        <v>114</v>
      </c>
      <c r="CD362" t="s">
        <v>114</v>
      </c>
      <c r="CE362" t="s">
        <v>114</v>
      </c>
      <c r="CF362" t="s">
        <v>114</v>
      </c>
      <c r="CG362" t="s">
        <v>114</v>
      </c>
      <c r="CH362" t="s">
        <v>114</v>
      </c>
      <c r="CI362" t="s">
        <v>114</v>
      </c>
      <c r="CJ362" t="s">
        <v>114</v>
      </c>
      <c r="CK362" t="s">
        <v>114</v>
      </c>
      <c r="CL362" t="s">
        <v>114</v>
      </c>
      <c r="CM362" t="s">
        <v>114</v>
      </c>
      <c r="CN362" t="s">
        <v>114</v>
      </c>
      <c r="CO362" t="s">
        <v>114</v>
      </c>
      <c r="CP362" t="s">
        <v>114</v>
      </c>
      <c r="CQ362" t="s">
        <v>114</v>
      </c>
      <c r="CR362" t="s">
        <v>114</v>
      </c>
      <c r="CS362" t="s">
        <v>114</v>
      </c>
      <c r="CT362" t="s">
        <v>114</v>
      </c>
      <c r="CU362" t="s">
        <v>114</v>
      </c>
      <c r="CV362" t="s">
        <v>114</v>
      </c>
      <c r="CW362" t="s">
        <v>114</v>
      </c>
    </row>
    <row r="363" spans="1:101" x14ac:dyDescent="0.25">
      <c r="A363" t="s">
        <v>81</v>
      </c>
      <c r="B363">
        <v>6</v>
      </c>
      <c r="C363" t="s">
        <v>17</v>
      </c>
      <c r="D363" t="s">
        <v>94</v>
      </c>
      <c r="E363" t="s">
        <v>113</v>
      </c>
      <c r="F363" t="s">
        <v>120</v>
      </c>
      <c r="G363" t="s">
        <v>267</v>
      </c>
      <c r="H363" t="str">
        <f t="shared" si="41"/>
        <v>H.glutinosum.Solo.Open</v>
      </c>
      <c r="I363" t="s">
        <v>735</v>
      </c>
      <c r="J363" t="s">
        <v>637</v>
      </c>
      <c r="K363">
        <v>0</v>
      </c>
      <c r="L363">
        <v>70</v>
      </c>
      <c r="M363">
        <v>110</v>
      </c>
      <c r="N363">
        <v>110</v>
      </c>
      <c r="O363" t="s">
        <v>114</v>
      </c>
      <c r="P363">
        <v>10</v>
      </c>
      <c r="Q363">
        <v>35</v>
      </c>
      <c r="R363">
        <v>10</v>
      </c>
      <c r="S363">
        <f t="shared" si="42"/>
        <v>22.5</v>
      </c>
      <c r="T363">
        <f t="shared" si="43"/>
        <v>0.20454545454545456</v>
      </c>
      <c r="U363" t="s">
        <v>23</v>
      </c>
      <c r="V363" t="s">
        <v>114</v>
      </c>
      <c r="W363" t="s">
        <v>114</v>
      </c>
      <c r="X363">
        <v>13.9</v>
      </c>
      <c r="Y363">
        <v>14.4</v>
      </c>
      <c r="Z363">
        <v>14.9</v>
      </c>
      <c r="AA363">
        <v>14.4</v>
      </c>
      <c r="AB363">
        <v>13.93333333</v>
      </c>
      <c r="AC363">
        <v>14.4</v>
      </c>
      <c r="AD363">
        <v>14.9</v>
      </c>
      <c r="AE363">
        <v>12.5</v>
      </c>
      <c r="AF363">
        <v>13.93333333</v>
      </c>
      <c r="AG363">
        <v>13.9</v>
      </c>
      <c r="AH363">
        <v>13.9</v>
      </c>
      <c r="AI363">
        <v>14.9</v>
      </c>
      <c r="AJ363">
        <v>14.233333330000001</v>
      </c>
      <c r="AK363">
        <v>11.5</v>
      </c>
      <c r="AL363">
        <v>13.9</v>
      </c>
      <c r="AM363">
        <v>13.9</v>
      </c>
      <c r="AN363">
        <v>13.1</v>
      </c>
      <c r="AO363">
        <v>13.1</v>
      </c>
      <c r="AP363">
        <v>8.5</v>
      </c>
      <c r="AQ363">
        <v>6.6</v>
      </c>
      <c r="AR363">
        <v>8.1</v>
      </c>
      <c r="AS363">
        <v>7.733333333</v>
      </c>
      <c r="AT363">
        <v>7.6</v>
      </c>
      <c r="AU363">
        <v>7.6</v>
      </c>
      <c r="AV363">
        <v>8.5</v>
      </c>
      <c r="AW363">
        <v>7.9</v>
      </c>
      <c r="AX363">
        <v>7.9</v>
      </c>
      <c r="AY363">
        <v>-6.0333333329999999</v>
      </c>
      <c r="AZ363">
        <v>50</v>
      </c>
      <c r="BA363">
        <v>40</v>
      </c>
      <c r="BB363">
        <v>10</v>
      </c>
      <c r="BC363">
        <v>0</v>
      </c>
      <c r="BD363">
        <v>0</v>
      </c>
      <c r="BE363">
        <v>1</v>
      </c>
      <c r="BF363">
        <v>0</v>
      </c>
      <c r="BG363">
        <v>0</v>
      </c>
      <c r="BI363">
        <v>10.6</v>
      </c>
      <c r="BJ363">
        <v>1.0569999999999999</v>
      </c>
      <c r="BK363">
        <v>0</v>
      </c>
      <c r="BL363">
        <v>4</v>
      </c>
      <c r="BM363">
        <v>4</v>
      </c>
      <c r="BN363">
        <v>1</v>
      </c>
      <c r="BO363">
        <v>2</v>
      </c>
      <c r="BP363">
        <f t="shared" si="45"/>
        <v>-1</v>
      </c>
      <c r="BQ363" t="s">
        <v>114</v>
      </c>
      <c r="BR363" t="s">
        <v>114</v>
      </c>
      <c r="BS363" t="s">
        <v>114</v>
      </c>
      <c r="BT363" t="s">
        <v>114</v>
      </c>
      <c r="BU363" t="s">
        <v>114</v>
      </c>
      <c r="BV363" t="s">
        <v>114</v>
      </c>
      <c r="BW363" t="s">
        <v>114</v>
      </c>
      <c r="BX363" t="s">
        <v>114</v>
      </c>
      <c r="BY363" t="s">
        <v>114</v>
      </c>
      <c r="BZ363" t="s">
        <v>114</v>
      </c>
      <c r="CA363" t="s">
        <v>114</v>
      </c>
      <c r="CB363" t="s">
        <v>114</v>
      </c>
      <c r="CC363" t="s">
        <v>114</v>
      </c>
      <c r="CD363" t="s">
        <v>114</v>
      </c>
      <c r="CE363" t="s">
        <v>114</v>
      </c>
      <c r="CF363" t="s">
        <v>114</v>
      </c>
      <c r="CG363" t="s">
        <v>114</v>
      </c>
      <c r="CH363" t="s">
        <v>114</v>
      </c>
      <c r="CI363" t="s">
        <v>114</v>
      </c>
      <c r="CJ363" t="s">
        <v>114</v>
      </c>
      <c r="CK363" t="s">
        <v>114</v>
      </c>
      <c r="CL363" t="s">
        <v>114</v>
      </c>
      <c r="CM363" t="s">
        <v>114</v>
      </c>
      <c r="CN363" t="s">
        <v>114</v>
      </c>
      <c r="CO363" t="s">
        <v>114</v>
      </c>
      <c r="CP363" t="s">
        <v>114</v>
      </c>
      <c r="CQ363" t="s">
        <v>114</v>
      </c>
      <c r="CR363" t="s">
        <v>114</v>
      </c>
      <c r="CS363" t="s">
        <v>114</v>
      </c>
      <c r="CT363" t="s">
        <v>114</v>
      </c>
      <c r="CU363" t="s">
        <v>114</v>
      </c>
      <c r="CV363" t="s">
        <v>114</v>
      </c>
      <c r="CW363" t="s">
        <v>114</v>
      </c>
    </row>
    <row r="364" spans="1:101" x14ac:dyDescent="0.25">
      <c r="A364" t="s">
        <v>81</v>
      </c>
      <c r="B364">
        <v>6</v>
      </c>
      <c r="C364" t="s">
        <v>17</v>
      </c>
      <c r="D364" t="s">
        <v>94</v>
      </c>
      <c r="E364" t="s">
        <v>103</v>
      </c>
      <c r="F364" t="s">
        <v>120</v>
      </c>
      <c r="G364" t="s">
        <v>268</v>
      </c>
      <c r="H364" t="str">
        <f t="shared" si="41"/>
        <v>P.airoides.Solo.Open</v>
      </c>
      <c r="I364" t="s">
        <v>736</v>
      </c>
      <c r="J364" t="s">
        <v>638</v>
      </c>
      <c r="K364">
        <v>0</v>
      </c>
      <c r="L364">
        <v>100</v>
      </c>
      <c r="M364">
        <v>50</v>
      </c>
      <c r="N364">
        <v>50</v>
      </c>
      <c r="O364" t="s">
        <v>114</v>
      </c>
      <c r="P364">
        <v>15</v>
      </c>
      <c r="Q364">
        <v>20</v>
      </c>
      <c r="R364">
        <v>8</v>
      </c>
      <c r="S364">
        <f t="shared" si="42"/>
        <v>14</v>
      </c>
      <c r="T364">
        <f t="shared" si="43"/>
        <v>0.28000000000000003</v>
      </c>
      <c r="U364" t="s">
        <v>29</v>
      </c>
      <c r="V364" t="s">
        <v>114</v>
      </c>
      <c r="W364" t="s">
        <v>114</v>
      </c>
      <c r="X364">
        <v>13.9</v>
      </c>
      <c r="Y364">
        <v>14.4</v>
      </c>
      <c r="Z364">
        <v>14.9</v>
      </c>
      <c r="AA364">
        <v>14.4</v>
      </c>
      <c r="AB364">
        <v>14.733333330000001</v>
      </c>
      <c r="AC364">
        <v>14.4</v>
      </c>
      <c r="AD364">
        <v>14.9</v>
      </c>
      <c r="AE364">
        <v>14.9</v>
      </c>
      <c r="AF364">
        <v>14.733333330000001</v>
      </c>
      <c r="AG364">
        <v>13.9</v>
      </c>
      <c r="AH364">
        <v>13.9</v>
      </c>
      <c r="AI364">
        <v>14.9</v>
      </c>
      <c r="AJ364">
        <v>14.233333330000001</v>
      </c>
      <c r="AK364">
        <v>13.5</v>
      </c>
      <c r="AL364">
        <v>13.5</v>
      </c>
      <c r="AM364">
        <v>13.9</v>
      </c>
      <c r="AN364">
        <v>13.633333329999999</v>
      </c>
      <c r="AO364">
        <v>13.633333329999999</v>
      </c>
      <c r="AP364">
        <v>8.5</v>
      </c>
      <c r="AQ364">
        <v>6.6</v>
      </c>
      <c r="AR364">
        <v>8.1</v>
      </c>
      <c r="AS364">
        <v>7.733333333</v>
      </c>
      <c r="AT364">
        <v>7.6</v>
      </c>
      <c r="AU364">
        <v>7.6</v>
      </c>
      <c r="AV364">
        <v>8.1</v>
      </c>
      <c r="AW364">
        <v>7.766666667</v>
      </c>
      <c r="AX364">
        <v>7.766666667</v>
      </c>
      <c r="AY364">
        <v>-6.9666666670000001</v>
      </c>
      <c r="AZ364">
        <v>30</v>
      </c>
      <c r="BA364">
        <v>70</v>
      </c>
      <c r="BB364">
        <v>0</v>
      </c>
      <c r="BC364">
        <v>0</v>
      </c>
      <c r="BD364">
        <v>0</v>
      </c>
      <c r="BE364">
        <v>1</v>
      </c>
      <c r="BF364">
        <v>0</v>
      </c>
      <c r="BG364">
        <v>0</v>
      </c>
      <c r="BI364">
        <v>10.6</v>
      </c>
      <c r="BJ364">
        <v>1.0569999999999999</v>
      </c>
      <c r="BK364">
        <v>0</v>
      </c>
      <c r="BL364">
        <v>6</v>
      </c>
      <c r="BM364">
        <v>6</v>
      </c>
      <c r="BN364">
        <v>273</v>
      </c>
      <c r="BO364">
        <v>828</v>
      </c>
      <c r="BP364">
        <f t="shared" si="45"/>
        <v>-555</v>
      </c>
      <c r="BQ364" t="s">
        <v>114</v>
      </c>
      <c r="BR364" t="s">
        <v>114</v>
      </c>
      <c r="BS364" t="s">
        <v>114</v>
      </c>
      <c r="BT364" t="s">
        <v>114</v>
      </c>
      <c r="BU364" t="s">
        <v>114</v>
      </c>
      <c r="BV364" t="s">
        <v>114</v>
      </c>
      <c r="BW364" t="s">
        <v>114</v>
      </c>
      <c r="BX364" t="s">
        <v>114</v>
      </c>
      <c r="BY364" t="s">
        <v>114</v>
      </c>
      <c r="BZ364" t="s">
        <v>114</v>
      </c>
      <c r="CA364" t="s">
        <v>114</v>
      </c>
      <c r="CB364" t="s">
        <v>114</v>
      </c>
      <c r="CC364" t="s">
        <v>114</v>
      </c>
      <c r="CD364" t="s">
        <v>114</v>
      </c>
      <c r="CE364" t="s">
        <v>114</v>
      </c>
      <c r="CF364" t="s">
        <v>114</v>
      </c>
      <c r="CG364" t="s">
        <v>114</v>
      </c>
      <c r="CH364" t="s">
        <v>114</v>
      </c>
      <c r="CI364" t="s">
        <v>114</v>
      </c>
      <c r="CJ364" t="s">
        <v>114</v>
      </c>
      <c r="CK364" t="s">
        <v>114</v>
      </c>
      <c r="CL364" t="s">
        <v>114</v>
      </c>
      <c r="CM364" t="s">
        <v>114</v>
      </c>
      <c r="CN364" t="s">
        <v>114</v>
      </c>
      <c r="CO364" t="s">
        <v>114</v>
      </c>
      <c r="CP364" t="s">
        <v>114</v>
      </c>
      <c r="CQ364" t="s">
        <v>114</v>
      </c>
      <c r="CR364" t="s">
        <v>114</v>
      </c>
      <c r="CS364" t="s">
        <v>114</v>
      </c>
      <c r="CT364" t="s">
        <v>114</v>
      </c>
      <c r="CU364" t="s">
        <v>114</v>
      </c>
      <c r="CV364" t="s">
        <v>114</v>
      </c>
      <c r="CW364" t="s">
        <v>114</v>
      </c>
    </row>
    <row r="365" spans="1:101" x14ac:dyDescent="0.25">
      <c r="A365" t="s">
        <v>82</v>
      </c>
      <c r="B365">
        <v>6</v>
      </c>
      <c r="C365" t="s">
        <v>19</v>
      </c>
      <c r="D365" t="s">
        <v>94</v>
      </c>
      <c r="E365" t="s">
        <v>102</v>
      </c>
      <c r="F365" t="s">
        <v>120</v>
      </c>
      <c r="G365" t="s">
        <v>273</v>
      </c>
      <c r="H365" t="str">
        <f t="shared" si="41"/>
        <v>A.calendula.Solo.Open</v>
      </c>
      <c r="I365" t="s">
        <v>737</v>
      </c>
      <c r="J365" t="s">
        <v>639</v>
      </c>
      <c r="K365">
        <v>0</v>
      </c>
      <c r="L365">
        <v>90</v>
      </c>
      <c r="M365">
        <v>70</v>
      </c>
      <c r="N365">
        <v>70</v>
      </c>
      <c r="O365" t="s">
        <v>114</v>
      </c>
      <c r="P365">
        <v>85</v>
      </c>
      <c r="Q365">
        <v>100</v>
      </c>
      <c r="R365">
        <v>60</v>
      </c>
      <c r="S365">
        <f t="shared" si="42"/>
        <v>80</v>
      </c>
      <c r="T365">
        <f t="shared" si="43"/>
        <v>1.1428571428571428</v>
      </c>
      <c r="U365" t="s">
        <v>15</v>
      </c>
      <c r="V365" t="s">
        <v>114</v>
      </c>
      <c r="W365" t="s">
        <v>114</v>
      </c>
      <c r="X365">
        <v>13</v>
      </c>
      <c r="Y365">
        <v>13.5</v>
      </c>
      <c r="Z365">
        <v>13.9</v>
      </c>
      <c r="AA365">
        <v>13.46666667</v>
      </c>
      <c r="AB365">
        <v>14.56666667</v>
      </c>
      <c r="AC365">
        <v>16.899999999999999</v>
      </c>
      <c r="AD365">
        <v>11.9</v>
      </c>
      <c r="AE365">
        <v>14.9</v>
      </c>
      <c r="AF365">
        <v>14.56666667</v>
      </c>
      <c r="AG365">
        <v>13</v>
      </c>
      <c r="AH365">
        <v>13.5</v>
      </c>
      <c r="AI365">
        <v>14.4</v>
      </c>
      <c r="AJ365">
        <v>13.633333329999999</v>
      </c>
      <c r="AK365">
        <v>13.9</v>
      </c>
      <c r="AL365">
        <v>16.899999999999999</v>
      </c>
      <c r="AM365">
        <v>11.5</v>
      </c>
      <c r="AN365">
        <v>14.1</v>
      </c>
      <c r="AO365">
        <v>14.1</v>
      </c>
      <c r="AP365">
        <v>8.5</v>
      </c>
      <c r="AQ365">
        <v>8.1</v>
      </c>
      <c r="AR365">
        <v>6.6</v>
      </c>
      <c r="AS365">
        <v>7.733333333</v>
      </c>
      <c r="AT365">
        <v>6.6</v>
      </c>
      <c r="AU365">
        <v>7.1</v>
      </c>
      <c r="AV365">
        <v>7.1</v>
      </c>
      <c r="AW365">
        <v>6.9333333330000002</v>
      </c>
      <c r="AX365">
        <v>6.9333333330000002</v>
      </c>
      <c r="AY365">
        <v>-7.6333333330000004</v>
      </c>
      <c r="AZ365">
        <v>100</v>
      </c>
      <c r="BA365">
        <v>0</v>
      </c>
      <c r="BB365">
        <v>0</v>
      </c>
      <c r="BC365">
        <v>0</v>
      </c>
      <c r="BD365">
        <v>0</v>
      </c>
      <c r="BE365">
        <v>1</v>
      </c>
      <c r="BF365">
        <v>0</v>
      </c>
      <c r="BG365">
        <v>0</v>
      </c>
      <c r="BI365">
        <v>9.3000000000000007</v>
      </c>
      <c r="BJ365">
        <v>0</v>
      </c>
      <c r="BK365">
        <v>0</v>
      </c>
      <c r="BL365">
        <v>15</v>
      </c>
      <c r="BM365">
        <v>13</v>
      </c>
      <c r="BN365">
        <v>618</v>
      </c>
      <c r="BO365">
        <v>824</v>
      </c>
      <c r="BP365">
        <f t="shared" si="45"/>
        <v>-206</v>
      </c>
      <c r="BQ365" t="s">
        <v>114</v>
      </c>
      <c r="BR365" t="s">
        <v>114</v>
      </c>
      <c r="BS365" t="s">
        <v>114</v>
      </c>
      <c r="BT365" t="s">
        <v>114</v>
      </c>
      <c r="BU365" t="s">
        <v>114</v>
      </c>
      <c r="BV365" t="s">
        <v>114</v>
      </c>
      <c r="BW365" t="s">
        <v>114</v>
      </c>
      <c r="BX365" t="s">
        <v>114</v>
      </c>
      <c r="BY365" t="s">
        <v>114</v>
      </c>
      <c r="BZ365" t="s">
        <v>114</v>
      </c>
      <c r="CA365" t="s">
        <v>114</v>
      </c>
      <c r="CB365" t="s">
        <v>114</v>
      </c>
      <c r="CC365" t="s">
        <v>114</v>
      </c>
      <c r="CD365" t="s">
        <v>114</v>
      </c>
      <c r="CE365" t="s">
        <v>114</v>
      </c>
      <c r="CF365" t="s">
        <v>114</v>
      </c>
      <c r="CG365" t="s">
        <v>114</v>
      </c>
      <c r="CH365" t="s">
        <v>114</v>
      </c>
      <c r="CI365" t="s">
        <v>114</v>
      </c>
      <c r="CJ365" t="s">
        <v>114</v>
      </c>
      <c r="CK365" t="s">
        <v>114</v>
      </c>
      <c r="CL365" t="s">
        <v>114</v>
      </c>
      <c r="CM365" t="s">
        <v>114</v>
      </c>
      <c r="CN365" t="s">
        <v>114</v>
      </c>
      <c r="CO365" t="s">
        <v>114</v>
      </c>
      <c r="CP365" t="s">
        <v>114</v>
      </c>
      <c r="CQ365" t="s">
        <v>114</v>
      </c>
      <c r="CR365" t="s">
        <v>114</v>
      </c>
      <c r="CS365" t="s">
        <v>114</v>
      </c>
      <c r="CT365" t="s">
        <v>114</v>
      </c>
      <c r="CU365" t="s">
        <v>114</v>
      </c>
      <c r="CV365" t="s">
        <v>114</v>
      </c>
      <c r="CW365" t="s">
        <v>114</v>
      </c>
    </row>
    <row r="366" spans="1:101" x14ac:dyDescent="0.25">
      <c r="A366" t="s">
        <v>82</v>
      </c>
      <c r="B366">
        <v>6</v>
      </c>
      <c r="C366" t="s">
        <v>19</v>
      </c>
      <c r="D366" t="s">
        <v>94</v>
      </c>
      <c r="E366" t="s">
        <v>113</v>
      </c>
      <c r="F366" t="s">
        <v>120</v>
      </c>
      <c r="G366" t="s">
        <v>267</v>
      </c>
      <c r="H366" t="str">
        <f t="shared" si="41"/>
        <v>H.glutinosum.Solo.Open</v>
      </c>
      <c r="I366" t="s">
        <v>735</v>
      </c>
      <c r="J366" t="s">
        <v>640</v>
      </c>
      <c r="K366">
        <v>0</v>
      </c>
      <c r="L366">
        <v>90</v>
      </c>
      <c r="M366">
        <v>40</v>
      </c>
      <c r="N366">
        <v>40</v>
      </c>
      <c r="O366" t="s">
        <v>114</v>
      </c>
      <c r="P366">
        <v>5</v>
      </c>
      <c r="Q366">
        <v>15</v>
      </c>
      <c r="R366">
        <v>5</v>
      </c>
      <c r="S366">
        <f t="shared" si="42"/>
        <v>10</v>
      </c>
      <c r="T366">
        <f t="shared" si="43"/>
        <v>0.25</v>
      </c>
      <c r="U366" t="s">
        <v>15</v>
      </c>
      <c r="V366" t="s">
        <v>114</v>
      </c>
      <c r="W366" t="s">
        <v>114</v>
      </c>
      <c r="X366">
        <v>13</v>
      </c>
      <c r="Y366">
        <v>13.5</v>
      </c>
      <c r="Z366">
        <v>13.9</v>
      </c>
      <c r="AA366">
        <v>13.46666667</v>
      </c>
      <c r="AB366">
        <v>13.93333333</v>
      </c>
      <c r="AC366">
        <v>11.5</v>
      </c>
      <c r="AD366">
        <v>15.4</v>
      </c>
      <c r="AE366">
        <v>14.9</v>
      </c>
      <c r="AF366">
        <v>13.93333333</v>
      </c>
      <c r="AG366">
        <v>13</v>
      </c>
      <c r="AH366">
        <v>13.5</v>
      </c>
      <c r="AI366">
        <v>14.4</v>
      </c>
      <c r="AJ366">
        <v>13.633333329999999</v>
      </c>
      <c r="AK366">
        <v>11.5</v>
      </c>
      <c r="AL366">
        <v>12</v>
      </c>
      <c r="AM366">
        <v>13</v>
      </c>
      <c r="AN366">
        <v>12.16666667</v>
      </c>
      <c r="AO366">
        <v>12.16666667</v>
      </c>
      <c r="AP366">
        <v>8.5</v>
      </c>
      <c r="AQ366">
        <v>8.1</v>
      </c>
      <c r="AR366">
        <v>6.6</v>
      </c>
      <c r="AS366">
        <v>7.733333333</v>
      </c>
      <c r="AT366">
        <v>4.5999999999999996</v>
      </c>
      <c r="AU366">
        <v>5.0999999999999996</v>
      </c>
      <c r="AV366">
        <v>6.6</v>
      </c>
      <c r="AW366">
        <v>5.4333333330000002</v>
      </c>
      <c r="AX366">
        <v>5.4333333330000002</v>
      </c>
      <c r="AY366">
        <v>-8.5</v>
      </c>
      <c r="AZ366">
        <v>40</v>
      </c>
      <c r="BA366">
        <v>30</v>
      </c>
      <c r="BB366">
        <v>30</v>
      </c>
      <c r="BC366">
        <v>0</v>
      </c>
      <c r="BD366">
        <v>0</v>
      </c>
      <c r="BE366">
        <v>1</v>
      </c>
      <c r="BF366">
        <v>0</v>
      </c>
      <c r="BG366">
        <v>0</v>
      </c>
      <c r="BI366">
        <v>9.3000000000000007</v>
      </c>
      <c r="BJ366">
        <v>0</v>
      </c>
      <c r="BK366">
        <v>0</v>
      </c>
      <c r="BL366">
        <v>2</v>
      </c>
      <c r="BM366">
        <v>2</v>
      </c>
      <c r="BN366">
        <v>3</v>
      </c>
      <c r="BO366">
        <v>2</v>
      </c>
      <c r="BP366">
        <f t="shared" si="45"/>
        <v>1</v>
      </c>
      <c r="BQ366" t="s">
        <v>114</v>
      </c>
      <c r="BR366" t="s">
        <v>114</v>
      </c>
      <c r="BS366" t="s">
        <v>114</v>
      </c>
      <c r="BT366" t="s">
        <v>114</v>
      </c>
      <c r="BU366" t="s">
        <v>114</v>
      </c>
      <c r="BV366" t="s">
        <v>114</v>
      </c>
      <c r="BW366" t="s">
        <v>114</v>
      </c>
      <c r="BX366" t="s">
        <v>114</v>
      </c>
      <c r="BY366" t="s">
        <v>114</v>
      </c>
      <c r="BZ366" t="s">
        <v>114</v>
      </c>
      <c r="CA366" t="s">
        <v>114</v>
      </c>
      <c r="CB366" t="s">
        <v>114</v>
      </c>
      <c r="CC366" t="s">
        <v>114</v>
      </c>
      <c r="CD366" t="s">
        <v>114</v>
      </c>
      <c r="CE366" t="s">
        <v>114</v>
      </c>
      <c r="CF366" t="s">
        <v>114</v>
      </c>
      <c r="CG366" t="s">
        <v>114</v>
      </c>
      <c r="CH366" t="s">
        <v>114</v>
      </c>
      <c r="CI366" t="s">
        <v>114</v>
      </c>
      <c r="CJ366" t="s">
        <v>114</v>
      </c>
      <c r="CK366" t="s">
        <v>114</v>
      </c>
      <c r="CL366" t="s">
        <v>114</v>
      </c>
      <c r="CM366" t="s">
        <v>114</v>
      </c>
      <c r="CN366" t="s">
        <v>114</v>
      </c>
      <c r="CO366" t="s">
        <v>114</v>
      </c>
      <c r="CP366" t="s">
        <v>114</v>
      </c>
      <c r="CQ366" t="s">
        <v>114</v>
      </c>
      <c r="CR366" t="s">
        <v>114</v>
      </c>
      <c r="CS366" t="s">
        <v>114</v>
      </c>
      <c r="CT366" t="s">
        <v>114</v>
      </c>
      <c r="CU366" t="s">
        <v>114</v>
      </c>
      <c r="CV366" t="s">
        <v>114</v>
      </c>
      <c r="CW366" t="s">
        <v>114</v>
      </c>
    </row>
    <row r="367" spans="1:101" x14ac:dyDescent="0.25">
      <c r="A367" t="s">
        <v>82</v>
      </c>
      <c r="B367">
        <v>6</v>
      </c>
      <c r="C367" t="s">
        <v>19</v>
      </c>
      <c r="D367" t="s">
        <v>94</v>
      </c>
      <c r="E367" t="s">
        <v>104</v>
      </c>
      <c r="F367" t="s">
        <v>120</v>
      </c>
      <c r="G367" t="s">
        <v>272</v>
      </c>
      <c r="H367" t="str">
        <f t="shared" si="41"/>
        <v>T.cyanopetala.Solo.Open</v>
      </c>
      <c r="I367" t="s">
        <v>738</v>
      </c>
      <c r="J367" t="s">
        <v>641</v>
      </c>
      <c r="K367">
        <v>0</v>
      </c>
      <c r="L367">
        <v>50</v>
      </c>
      <c r="M367">
        <v>80</v>
      </c>
      <c r="N367">
        <v>80</v>
      </c>
      <c r="O367" t="s">
        <v>114</v>
      </c>
      <c r="P367">
        <v>30</v>
      </c>
      <c r="Q367">
        <v>35</v>
      </c>
      <c r="R367">
        <v>12</v>
      </c>
      <c r="S367">
        <f t="shared" si="42"/>
        <v>23.5</v>
      </c>
      <c r="T367">
        <f t="shared" si="43"/>
        <v>0.29375000000000001</v>
      </c>
      <c r="U367" t="s">
        <v>15</v>
      </c>
      <c r="V367" t="s">
        <v>114</v>
      </c>
      <c r="W367" t="s">
        <v>114</v>
      </c>
      <c r="X367">
        <v>13</v>
      </c>
      <c r="Y367">
        <v>13.5</v>
      </c>
      <c r="Z367">
        <v>13.9</v>
      </c>
      <c r="AA367">
        <v>13.46666667</v>
      </c>
      <c r="AB367">
        <v>11.66666667</v>
      </c>
      <c r="AC367">
        <v>10</v>
      </c>
      <c r="AD367">
        <v>11.5</v>
      </c>
      <c r="AE367">
        <v>13.5</v>
      </c>
      <c r="AF367">
        <v>11.66666667</v>
      </c>
      <c r="AG367">
        <v>13</v>
      </c>
      <c r="AH367">
        <v>13.5</v>
      </c>
      <c r="AI367">
        <v>14.4</v>
      </c>
      <c r="AJ367">
        <v>13.633333329999999</v>
      </c>
      <c r="AK367">
        <v>13</v>
      </c>
      <c r="AL367">
        <v>9</v>
      </c>
      <c r="AM367">
        <v>13</v>
      </c>
      <c r="AN367">
        <v>11.66666667</v>
      </c>
      <c r="AO367">
        <v>11.66666667</v>
      </c>
      <c r="AP367">
        <v>8.5</v>
      </c>
      <c r="AQ367">
        <v>8.1</v>
      </c>
      <c r="AR367">
        <v>6.6</v>
      </c>
      <c r="AS367">
        <v>7.733333333</v>
      </c>
      <c r="AT367">
        <v>3.1</v>
      </c>
      <c r="AU367">
        <v>5.0999999999999996</v>
      </c>
      <c r="AV367">
        <v>6.1</v>
      </c>
      <c r="AW367">
        <v>4.766666667</v>
      </c>
      <c r="AX367">
        <v>4.766666667</v>
      </c>
      <c r="AY367">
        <v>-6.9</v>
      </c>
      <c r="AZ367">
        <v>20</v>
      </c>
      <c r="BA367">
        <v>80</v>
      </c>
      <c r="BB367">
        <v>0</v>
      </c>
      <c r="BC367">
        <v>0</v>
      </c>
      <c r="BD367">
        <v>0</v>
      </c>
      <c r="BE367">
        <v>1</v>
      </c>
      <c r="BF367">
        <v>0</v>
      </c>
      <c r="BG367">
        <v>0</v>
      </c>
      <c r="BI367">
        <v>9.3000000000000007</v>
      </c>
      <c r="BJ367">
        <v>0</v>
      </c>
      <c r="BK367">
        <v>0</v>
      </c>
      <c r="BL367">
        <v>7</v>
      </c>
      <c r="BM367">
        <v>7</v>
      </c>
      <c r="BN367">
        <v>48</v>
      </c>
      <c r="BO367">
        <v>48</v>
      </c>
      <c r="BP367">
        <f t="shared" si="45"/>
        <v>0</v>
      </c>
      <c r="BQ367" t="s">
        <v>114</v>
      </c>
      <c r="BR367" t="s">
        <v>114</v>
      </c>
      <c r="BS367" t="s">
        <v>114</v>
      </c>
      <c r="BT367" t="s">
        <v>114</v>
      </c>
      <c r="BU367" t="s">
        <v>114</v>
      </c>
      <c r="BV367" t="s">
        <v>114</v>
      </c>
      <c r="BW367" t="s">
        <v>114</v>
      </c>
      <c r="BX367" t="s">
        <v>114</v>
      </c>
      <c r="BY367" t="s">
        <v>114</v>
      </c>
      <c r="BZ367" t="s">
        <v>114</v>
      </c>
      <c r="CA367" t="s">
        <v>114</v>
      </c>
      <c r="CB367" t="s">
        <v>114</v>
      </c>
      <c r="CC367" t="s">
        <v>114</v>
      </c>
      <c r="CD367" t="s">
        <v>114</v>
      </c>
      <c r="CE367" t="s">
        <v>114</v>
      </c>
      <c r="CF367" t="s">
        <v>114</v>
      </c>
      <c r="CG367" t="s">
        <v>114</v>
      </c>
      <c r="CH367" t="s">
        <v>114</v>
      </c>
      <c r="CI367" t="s">
        <v>114</v>
      </c>
      <c r="CJ367" t="s">
        <v>114</v>
      </c>
      <c r="CK367" t="s">
        <v>114</v>
      </c>
      <c r="CL367" t="s">
        <v>114</v>
      </c>
      <c r="CM367" t="s">
        <v>114</v>
      </c>
      <c r="CN367" t="s">
        <v>114</v>
      </c>
      <c r="CO367" t="s">
        <v>114</v>
      </c>
      <c r="CP367" t="s">
        <v>114</v>
      </c>
      <c r="CQ367" t="s">
        <v>114</v>
      </c>
      <c r="CR367" t="s">
        <v>114</v>
      </c>
      <c r="CS367" t="s">
        <v>114</v>
      </c>
      <c r="CT367" t="s">
        <v>114</v>
      </c>
      <c r="CU367" t="s">
        <v>114</v>
      </c>
      <c r="CV367" t="s">
        <v>114</v>
      </c>
      <c r="CW367" t="s">
        <v>114</v>
      </c>
    </row>
    <row r="368" spans="1:101" x14ac:dyDescent="0.25">
      <c r="A368" t="s">
        <v>83</v>
      </c>
      <c r="B368">
        <v>6</v>
      </c>
      <c r="C368" t="s">
        <v>21</v>
      </c>
      <c r="D368" t="s">
        <v>94</v>
      </c>
      <c r="E368" t="s">
        <v>102</v>
      </c>
      <c r="F368" t="s">
        <v>120</v>
      </c>
      <c r="G368" t="s">
        <v>273</v>
      </c>
      <c r="H368" t="str">
        <f t="shared" si="41"/>
        <v>A.calendula.Solo.Open</v>
      </c>
      <c r="I368" t="s">
        <v>737</v>
      </c>
      <c r="J368" t="s">
        <v>642</v>
      </c>
      <c r="K368">
        <v>0</v>
      </c>
      <c r="L368">
        <v>180</v>
      </c>
      <c r="M368">
        <v>150</v>
      </c>
      <c r="N368">
        <v>150</v>
      </c>
      <c r="O368" t="s">
        <v>114</v>
      </c>
      <c r="P368">
        <v>180</v>
      </c>
      <c r="Q368">
        <v>230</v>
      </c>
      <c r="R368">
        <v>180</v>
      </c>
      <c r="S368">
        <f t="shared" si="42"/>
        <v>205</v>
      </c>
      <c r="T368">
        <f t="shared" si="43"/>
        <v>1.3666666666666667</v>
      </c>
      <c r="U368" t="s">
        <v>792</v>
      </c>
      <c r="V368" t="s">
        <v>114</v>
      </c>
      <c r="W368" t="s">
        <v>114</v>
      </c>
      <c r="X368">
        <v>9</v>
      </c>
      <c r="Y368">
        <v>9.5</v>
      </c>
      <c r="Z368">
        <v>13.5</v>
      </c>
      <c r="AA368">
        <v>10.66666667</v>
      </c>
      <c r="AB368">
        <v>12.66666667</v>
      </c>
      <c r="AC368">
        <v>12.5</v>
      </c>
      <c r="AD368">
        <v>12.5</v>
      </c>
      <c r="AE368">
        <v>13</v>
      </c>
      <c r="AF368">
        <v>12.66666667</v>
      </c>
      <c r="AG368">
        <v>11</v>
      </c>
      <c r="AH368">
        <v>11.5</v>
      </c>
      <c r="AI368">
        <v>11.5</v>
      </c>
      <c r="AJ368">
        <v>11.33333333</v>
      </c>
      <c r="AK368">
        <v>10.5</v>
      </c>
      <c r="AL368">
        <v>13.5</v>
      </c>
      <c r="AM368">
        <v>13.5</v>
      </c>
      <c r="AN368">
        <v>12.5</v>
      </c>
      <c r="AO368">
        <v>12.5</v>
      </c>
      <c r="AP368">
        <v>5.6</v>
      </c>
      <c r="AQ368">
        <v>5.0999999999999996</v>
      </c>
      <c r="AR368">
        <v>4.5999999999999996</v>
      </c>
      <c r="AS368">
        <v>5.0999999999999996</v>
      </c>
      <c r="AT368">
        <v>6.6</v>
      </c>
      <c r="AU368">
        <v>6.1</v>
      </c>
      <c r="AV368">
        <v>6.6</v>
      </c>
      <c r="AW368">
        <v>6.4333333330000002</v>
      </c>
      <c r="AX368">
        <v>6.4333333330000002</v>
      </c>
      <c r="AY368">
        <v>-6.233333333</v>
      </c>
      <c r="AZ368">
        <v>30</v>
      </c>
      <c r="BA368">
        <v>0</v>
      </c>
      <c r="BB368">
        <v>70</v>
      </c>
      <c r="BC368">
        <v>0</v>
      </c>
      <c r="BD368">
        <v>0</v>
      </c>
      <c r="BE368">
        <v>0</v>
      </c>
      <c r="BF368">
        <v>0</v>
      </c>
      <c r="BG368">
        <v>0</v>
      </c>
      <c r="BI368">
        <v>13.3</v>
      </c>
      <c r="BJ368">
        <v>8.8239999999999998</v>
      </c>
      <c r="BK368">
        <v>0</v>
      </c>
      <c r="BL368">
        <v>30</v>
      </c>
      <c r="BM368">
        <v>30</v>
      </c>
      <c r="BN368">
        <v>1030</v>
      </c>
      <c r="BO368">
        <v>824</v>
      </c>
      <c r="BP368">
        <f t="shared" si="45"/>
        <v>206</v>
      </c>
      <c r="BQ368" t="s">
        <v>114</v>
      </c>
      <c r="BR368" t="s">
        <v>114</v>
      </c>
      <c r="BS368" t="s">
        <v>114</v>
      </c>
      <c r="BT368" t="s">
        <v>114</v>
      </c>
      <c r="BU368" t="s">
        <v>114</v>
      </c>
      <c r="BV368" t="s">
        <v>114</v>
      </c>
      <c r="BW368" t="s">
        <v>114</v>
      </c>
      <c r="BX368" t="s">
        <v>114</v>
      </c>
      <c r="BY368" t="s">
        <v>114</v>
      </c>
      <c r="BZ368" t="s">
        <v>114</v>
      </c>
      <c r="CA368" t="s">
        <v>114</v>
      </c>
      <c r="CB368" t="s">
        <v>114</v>
      </c>
      <c r="CC368" t="s">
        <v>114</v>
      </c>
      <c r="CD368" t="s">
        <v>114</v>
      </c>
      <c r="CE368" t="s">
        <v>114</v>
      </c>
      <c r="CF368" t="s">
        <v>114</v>
      </c>
      <c r="CG368" t="s">
        <v>114</v>
      </c>
      <c r="CH368" t="s">
        <v>114</v>
      </c>
      <c r="CI368" t="s">
        <v>114</v>
      </c>
      <c r="CJ368" t="s">
        <v>114</v>
      </c>
      <c r="CK368" t="s">
        <v>114</v>
      </c>
      <c r="CL368" t="s">
        <v>114</v>
      </c>
      <c r="CM368" t="s">
        <v>114</v>
      </c>
      <c r="CN368" t="s">
        <v>114</v>
      </c>
      <c r="CO368" t="s">
        <v>114</v>
      </c>
      <c r="CP368" t="s">
        <v>114</v>
      </c>
      <c r="CQ368" t="s">
        <v>114</v>
      </c>
      <c r="CR368" t="s">
        <v>114</v>
      </c>
      <c r="CS368" t="s">
        <v>114</v>
      </c>
      <c r="CT368" t="s">
        <v>114</v>
      </c>
      <c r="CU368" t="s">
        <v>114</v>
      </c>
      <c r="CV368" t="s">
        <v>114</v>
      </c>
      <c r="CW368" t="s">
        <v>114</v>
      </c>
    </row>
    <row r="369" spans="1:101" x14ac:dyDescent="0.25">
      <c r="A369" t="s">
        <v>83</v>
      </c>
      <c r="B369">
        <v>6</v>
      </c>
      <c r="C369" t="s">
        <v>21</v>
      </c>
      <c r="D369" t="s">
        <v>94</v>
      </c>
      <c r="E369" t="s">
        <v>103</v>
      </c>
      <c r="F369" t="s">
        <v>120</v>
      </c>
      <c r="G369" t="s">
        <v>268</v>
      </c>
      <c r="H369" t="str">
        <f t="shared" si="41"/>
        <v>P.airoides.Solo.Open</v>
      </c>
      <c r="I369" t="s">
        <v>736</v>
      </c>
      <c r="J369" t="s">
        <v>643</v>
      </c>
      <c r="K369">
        <v>0</v>
      </c>
      <c r="L369">
        <v>60</v>
      </c>
      <c r="M369">
        <v>40</v>
      </c>
      <c r="N369">
        <v>40</v>
      </c>
      <c r="O369" t="s">
        <v>114</v>
      </c>
      <c r="P369">
        <v>25</v>
      </c>
      <c r="Q369">
        <v>70</v>
      </c>
      <c r="R369">
        <v>50</v>
      </c>
      <c r="S369">
        <f t="shared" si="42"/>
        <v>60</v>
      </c>
      <c r="T369">
        <f t="shared" si="43"/>
        <v>1.5</v>
      </c>
      <c r="U369" t="s">
        <v>794</v>
      </c>
      <c r="V369" t="s">
        <v>114</v>
      </c>
      <c r="W369" t="s">
        <v>114</v>
      </c>
      <c r="X369">
        <v>9</v>
      </c>
      <c r="Y369">
        <v>9.5</v>
      </c>
      <c r="Z369">
        <v>13.5</v>
      </c>
      <c r="AA369">
        <v>10.66666667</v>
      </c>
      <c r="AB369">
        <v>9.3333333330000006</v>
      </c>
      <c r="AC369">
        <v>10</v>
      </c>
      <c r="AD369">
        <v>8.5</v>
      </c>
      <c r="AE369">
        <v>9.5</v>
      </c>
      <c r="AF369">
        <v>9.3333333330000006</v>
      </c>
      <c r="AG369">
        <v>11</v>
      </c>
      <c r="AH369">
        <v>11.5</v>
      </c>
      <c r="AI369">
        <v>11.5</v>
      </c>
      <c r="AJ369">
        <v>11.33333333</v>
      </c>
      <c r="AK369">
        <v>8.5</v>
      </c>
      <c r="AL369">
        <v>8.5</v>
      </c>
      <c r="AM369">
        <v>10.5</v>
      </c>
      <c r="AN369">
        <v>9.1666666669999994</v>
      </c>
      <c r="AO369">
        <v>9.1666666669999994</v>
      </c>
      <c r="AP369">
        <v>5.6</v>
      </c>
      <c r="AQ369">
        <v>5.0999999999999996</v>
      </c>
      <c r="AR369">
        <v>4.5999999999999996</v>
      </c>
      <c r="AS369">
        <v>5.0999999999999996</v>
      </c>
      <c r="AT369">
        <v>4.5999999999999996</v>
      </c>
      <c r="AU369">
        <v>4.0999999999999996</v>
      </c>
      <c r="AV369">
        <v>5.6</v>
      </c>
      <c r="AW369">
        <v>4.766666667</v>
      </c>
      <c r="AX369">
        <v>4.766666667</v>
      </c>
      <c r="AY369">
        <v>-4.5666666669999998</v>
      </c>
      <c r="AZ369">
        <v>90</v>
      </c>
      <c r="BA369">
        <v>0</v>
      </c>
      <c r="BB369">
        <v>10</v>
      </c>
      <c r="BC369">
        <v>0</v>
      </c>
      <c r="BD369">
        <v>0</v>
      </c>
      <c r="BE369">
        <v>0</v>
      </c>
      <c r="BF369">
        <v>0</v>
      </c>
      <c r="BG369">
        <v>0</v>
      </c>
      <c r="BI369">
        <v>13.3</v>
      </c>
      <c r="BJ369">
        <v>8.8239999999999998</v>
      </c>
      <c r="BK369">
        <v>0</v>
      </c>
      <c r="BL369">
        <v>27</v>
      </c>
      <c r="BM369">
        <v>27</v>
      </c>
      <c r="BN369">
        <v>1383</v>
      </c>
      <c r="BO369">
        <v>828</v>
      </c>
      <c r="BP369">
        <f t="shared" si="45"/>
        <v>555</v>
      </c>
      <c r="BQ369" t="s">
        <v>114</v>
      </c>
      <c r="BR369" t="s">
        <v>114</v>
      </c>
      <c r="BS369" t="s">
        <v>114</v>
      </c>
      <c r="BT369" t="s">
        <v>114</v>
      </c>
      <c r="BU369" t="s">
        <v>114</v>
      </c>
      <c r="BV369" t="s">
        <v>114</v>
      </c>
      <c r="BW369" t="s">
        <v>114</v>
      </c>
      <c r="BX369" t="s">
        <v>114</v>
      </c>
      <c r="BY369" t="s">
        <v>114</v>
      </c>
      <c r="BZ369" t="s">
        <v>114</v>
      </c>
      <c r="CA369" t="s">
        <v>114</v>
      </c>
      <c r="CB369" t="s">
        <v>114</v>
      </c>
      <c r="CC369" t="s">
        <v>114</v>
      </c>
      <c r="CD369" t="s">
        <v>114</v>
      </c>
      <c r="CE369" t="s">
        <v>114</v>
      </c>
      <c r="CF369" t="s">
        <v>114</v>
      </c>
      <c r="CG369" t="s">
        <v>114</v>
      </c>
      <c r="CH369" t="s">
        <v>114</v>
      </c>
      <c r="CI369" t="s">
        <v>114</v>
      </c>
      <c r="CJ369" t="s">
        <v>114</v>
      </c>
      <c r="CK369" t="s">
        <v>114</v>
      </c>
      <c r="CL369" t="s">
        <v>114</v>
      </c>
      <c r="CM369" t="s">
        <v>114</v>
      </c>
      <c r="CN369" t="s">
        <v>114</v>
      </c>
      <c r="CO369" t="s">
        <v>114</v>
      </c>
      <c r="CP369" t="s">
        <v>114</v>
      </c>
      <c r="CQ369" t="s">
        <v>114</v>
      </c>
      <c r="CR369" t="s">
        <v>114</v>
      </c>
      <c r="CS369" t="s">
        <v>114</v>
      </c>
      <c r="CT369" t="s">
        <v>114</v>
      </c>
      <c r="CU369" t="s">
        <v>114</v>
      </c>
      <c r="CV369" t="s">
        <v>114</v>
      </c>
      <c r="CW369" t="s">
        <v>114</v>
      </c>
    </row>
    <row r="370" spans="1:101" x14ac:dyDescent="0.25">
      <c r="A370" t="s">
        <v>83</v>
      </c>
      <c r="B370">
        <v>6</v>
      </c>
      <c r="C370" t="s">
        <v>21</v>
      </c>
      <c r="D370" t="s">
        <v>94</v>
      </c>
      <c r="E370" t="s">
        <v>111</v>
      </c>
      <c r="F370" t="s">
        <v>120</v>
      </c>
      <c r="G370" t="s">
        <v>271</v>
      </c>
      <c r="H370" t="str">
        <f t="shared" si="41"/>
        <v>P.canescens.Solo.Open</v>
      </c>
      <c r="I370" t="s">
        <v>739</v>
      </c>
      <c r="J370" t="s">
        <v>644</v>
      </c>
      <c r="K370">
        <v>0</v>
      </c>
      <c r="L370">
        <v>150</v>
      </c>
      <c r="M370">
        <v>220</v>
      </c>
      <c r="N370">
        <v>220</v>
      </c>
      <c r="O370" t="s">
        <v>114</v>
      </c>
      <c r="P370">
        <v>75</v>
      </c>
      <c r="Q370">
        <v>110</v>
      </c>
      <c r="R370">
        <v>70</v>
      </c>
      <c r="S370">
        <f t="shared" si="42"/>
        <v>90</v>
      </c>
      <c r="T370">
        <f t="shared" si="43"/>
        <v>0.40909090909090912</v>
      </c>
      <c r="U370" t="s">
        <v>792</v>
      </c>
      <c r="V370" t="s">
        <v>114</v>
      </c>
      <c r="W370" t="s">
        <v>114</v>
      </c>
      <c r="X370">
        <v>9</v>
      </c>
      <c r="Y370">
        <v>9.5</v>
      </c>
      <c r="Z370">
        <v>13.5</v>
      </c>
      <c r="AA370">
        <v>10.66666667</v>
      </c>
      <c r="AB370">
        <v>10.33333333</v>
      </c>
      <c r="AC370">
        <v>9.5</v>
      </c>
      <c r="AD370">
        <v>10.5</v>
      </c>
      <c r="AE370">
        <v>11</v>
      </c>
      <c r="AF370">
        <v>10.33333333</v>
      </c>
      <c r="AG370">
        <v>11</v>
      </c>
      <c r="AH370">
        <v>11.5</v>
      </c>
      <c r="AI370">
        <v>11.5</v>
      </c>
      <c r="AJ370">
        <v>11.33333333</v>
      </c>
      <c r="AK370">
        <v>8.5</v>
      </c>
      <c r="AL370">
        <v>8.5</v>
      </c>
      <c r="AM370">
        <v>11.5</v>
      </c>
      <c r="AN370">
        <v>9.5</v>
      </c>
      <c r="AO370">
        <v>9.5</v>
      </c>
      <c r="AP370">
        <v>5.6</v>
      </c>
      <c r="AQ370">
        <v>5.0999999999999996</v>
      </c>
      <c r="AR370">
        <v>4.5999999999999996</v>
      </c>
      <c r="AS370">
        <v>5.0999999999999996</v>
      </c>
      <c r="AT370">
        <v>5.0999999999999996</v>
      </c>
      <c r="AU370">
        <v>5.0999999999999996</v>
      </c>
      <c r="AV370">
        <v>5.0999999999999996</v>
      </c>
      <c r="AW370">
        <v>5.0999999999999996</v>
      </c>
      <c r="AX370">
        <v>5.0999999999999996</v>
      </c>
      <c r="AY370">
        <v>-5.233333333</v>
      </c>
      <c r="AZ370">
        <v>70</v>
      </c>
      <c r="BA370">
        <v>0</v>
      </c>
      <c r="BB370">
        <v>30</v>
      </c>
      <c r="BC370">
        <v>0</v>
      </c>
      <c r="BD370">
        <v>0</v>
      </c>
      <c r="BE370">
        <v>0</v>
      </c>
      <c r="BF370">
        <v>0</v>
      </c>
      <c r="BG370">
        <v>0</v>
      </c>
      <c r="BI370">
        <v>13.3</v>
      </c>
      <c r="BJ370">
        <v>8.8239999999999998</v>
      </c>
      <c r="BK370">
        <v>0</v>
      </c>
      <c r="BL370">
        <v>48</v>
      </c>
      <c r="BM370">
        <v>39</v>
      </c>
      <c r="BN370">
        <v>4758</v>
      </c>
      <c r="BO370">
        <v>4600</v>
      </c>
      <c r="BP370">
        <f t="shared" si="45"/>
        <v>158</v>
      </c>
      <c r="BQ370" t="s">
        <v>114</v>
      </c>
      <c r="BR370" t="s">
        <v>114</v>
      </c>
      <c r="BS370" t="s">
        <v>114</v>
      </c>
      <c r="BT370" t="s">
        <v>114</v>
      </c>
      <c r="BU370" t="s">
        <v>114</v>
      </c>
      <c r="BV370" t="s">
        <v>114</v>
      </c>
      <c r="BW370" t="s">
        <v>114</v>
      </c>
      <c r="BX370" t="s">
        <v>114</v>
      </c>
      <c r="BY370" t="s">
        <v>114</v>
      </c>
      <c r="BZ370" t="s">
        <v>114</v>
      </c>
      <c r="CA370" t="s">
        <v>114</v>
      </c>
      <c r="CB370" t="s">
        <v>114</v>
      </c>
      <c r="CC370" t="s">
        <v>114</v>
      </c>
      <c r="CD370" t="s">
        <v>114</v>
      </c>
      <c r="CE370" t="s">
        <v>114</v>
      </c>
      <c r="CF370" t="s">
        <v>114</v>
      </c>
      <c r="CG370" t="s">
        <v>114</v>
      </c>
      <c r="CH370" t="s">
        <v>114</v>
      </c>
      <c r="CI370" t="s">
        <v>114</v>
      </c>
      <c r="CJ370" t="s">
        <v>114</v>
      </c>
      <c r="CK370" t="s">
        <v>114</v>
      </c>
      <c r="CL370" t="s">
        <v>114</v>
      </c>
      <c r="CM370" t="s">
        <v>114</v>
      </c>
      <c r="CN370" t="s">
        <v>114</v>
      </c>
      <c r="CO370" t="s">
        <v>114</v>
      </c>
      <c r="CP370" t="s">
        <v>114</v>
      </c>
      <c r="CQ370" t="s">
        <v>114</v>
      </c>
      <c r="CR370" t="s">
        <v>114</v>
      </c>
      <c r="CS370" t="s">
        <v>114</v>
      </c>
      <c r="CT370" t="s">
        <v>114</v>
      </c>
      <c r="CU370" t="s">
        <v>114</v>
      </c>
      <c r="CV370" t="s">
        <v>114</v>
      </c>
      <c r="CW370" t="s">
        <v>114</v>
      </c>
    </row>
    <row r="371" spans="1:101" x14ac:dyDescent="0.25">
      <c r="A371" t="s">
        <v>84</v>
      </c>
      <c r="B371">
        <v>6</v>
      </c>
      <c r="C371" t="s">
        <v>23</v>
      </c>
      <c r="D371" t="s">
        <v>95</v>
      </c>
      <c r="E371" t="s">
        <v>102</v>
      </c>
      <c r="F371" t="s">
        <v>120</v>
      </c>
      <c r="G371" t="s">
        <v>273</v>
      </c>
      <c r="H371" t="str">
        <f t="shared" si="41"/>
        <v>A.calendula.Solo.Shade</v>
      </c>
      <c r="I371" t="s">
        <v>740</v>
      </c>
      <c r="J371" t="s">
        <v>645</v>
      </c>
      <c r="K371">
        <v>0</v>
      </c>
      <c r="L371">
        <v>120</v>
      </c>
      <c r="M371">
        <v>200</v>
      </c>
      <c r="N371">
        <v>200</v>
      </c>
      <c r="O371" t="s">
        <v>114</v>
      </c>
      <c r="P371">
        <v>215</v>
      </c>
      <c r="Q371">
        <v>215</v>
      </c>
      <c r="R371">
        <v>120</v>
      </c>
      <c r="S371">
        <f t="shared" si="42"/>
        <v>167.5</v>
      </c>
      <c r="T371">
        <f t="shared" si="43"/>
        <v>0.83750000000000002</v>
      </c>
      <c r="U371" t="s">
        <v>792</v>
      </c>
      <c r="V371" t="s">
        <v>114</v>
      </c>
      <c r="W371" t="s">
        <v>114</v>
      </c>
      <c r="X371">
        <v>15.4</v>
      </c>
      <c r="Y371">
        <v>15.9</v>
      </c>
      <c r="Z371">
        <v>13</v>
      </c>
      <c r="AA371">
        <v>14.766666669999999</v>
      </c>
      <c r="AB371">
        <v>12.133333329999999</v>
      </c>
      <c r="AC371">
        <v>11</v>
      </c>
      <c r="AD371">
        <v>11.5</v>
      </c>
      <c r="AE371">
        <v>13.9</v>
      </c>
      <c r="AF371">
        <v>12.133333329999999</v>
      </c>
      <c r="AG371">
        <v>11.5</v>
      </c>
      <c r="AH371">
        <v>13</v>
      </c>
      <c r="AI371">
        <v>11.5</v>
      </c>
      <c r="AJ371">
        <v>12</v>
      </c>
      <c r="AK371">
        <v>10.5</v>
      </c>
      <c r="AL371">
        <v>13</v>
      </c>
      <c r="AM371">
        <v>13.9</v>
      </c>
      <c r="AN371">
        <v>12.46666667</v>
      </c>
      <c r="AO371">
        <v>12.46666667</v>
      </c>
      <c r="AP371">
        <v>5.6</v>
      </c>
      <c r="AQ371">
        <v>5.6</v>
      </c>
      <c r="AR371">
        <v>8.5</v>
      </c>
      <c r="AS371">
        <v>6.5666666669999998</v>
      </c>
      <c r="AT371">
        <v>5.6</v>
      </c>
      <c r="AU371">
        <v>4.0999999999999996</v>
      </c>
      <c r="AV371">
        <v>6.1</v>
      </c>
      <c r="AW371">
        <v>5.266666667</v>
      </c>
      <c r="AX371">
        <v>5.266666667</v>
      </c>
      <c r="AY371">
        <v>-6.8666666669999996</v>
      </c>
      <c r="AZ371">
        <v>20</v>
      </c>
      <c r="BA371">
        <v>40</v>
      </c>
      <c r="BB371">
        <v>40</v>
      </c>
      <c r="BC371">
        <v>0</v>
      </c>
      <c r="BD371">
        <v>0</v>
      </c>
      <c r="BE371">
        <v>1</v>
      </c>
      <c r="BF371">
        <v>0</v>
      </c>
      <c r="BG371">
        <v>0</v>
      </c>
      <c r="BI371">
        <v>14.2</v>
      </c>
      <c r="BJ371">
        <v>58.783000000000001</v>
      </c>
      <c r="BK371">
        <v>0</v>
      </c>
      <c r="BL371">
        <v>17</v>
      </c>
      <c r="BM371">
        <v>16</v>
      </c>
      <c r="BN371">
        <v>772</v>
      </c>
      <c r="BO371">
        <v>567</v>
      </c>
      <c r="BP371">
        <f t="shared" si="45"/>
        <v>205</v>
      </c>
      <c r="BQ371" t="s">
        <v>114</v>
      </c>
      <c r="BR371" t="s">
        <v>114</v>
      </c>
      <c r="BS371" t="s">
        <v>114</v>
      </c>
      <c r="BT371" t="s">
        <v>114</v>
      </c>
      <c r="BU371" t="s">
        <v>114</v>
      </c>
      <c r="BV371" t="s">
        <v>114</v>
      </c>
      <c r="BW371" t="s">
        <v>114</v>
      </c>
      <c r="BX371" t="s">
        <v>114</v>
      </c>
      <c r="BY371" t="s">
        <v>114</v>
      </c>
      <c r="BZ371" t="s">
        <v>114</v>
      </c>
      <c r="CA371" t="s">
        <v>114</v>
      </c>
      <c r="CB371" t="s">
        <v>114</v>
      </c>
      <c r="CC371" t="s">
        <v>114</v>
      </c>
      <c r="CD371" t="s">
        <v>114</v>
      </c>
      <c r="CE371" t="s">
        <v>114</v>
      </c>
      <c r="CF371" t="s">
        <v>114</v>
      </c>
      <c r="CG371" t="s">
        <v>114</v>
      </c>
      <c r="CH371" t="s">
        <v>114</v>
      </c>
      <c r="CI371" t="s">
        <v>114</v>
      </c>
      <c r="CJ371" t="s">
        <v>114</v>
      </c>
      <c r="CK371" t="s">
        <v>114</v>
      </c>
      <c r="CL371" t="s">
        <v>114</v>
      </c>
      <c r="CM371" t="s">
        <v>114</v>
      </c>
      <c r="CN371" t="s">
        <v>114</v>
      </c>
      <c r="CO371" t="s">
        <v>114</v>
      </c>
      <c r="CP371" t="s">
        <v>114</v>
      </c>
      <c r="CQ371" t="s">
        <v>114</v>
      </c>
      <c r="CR371" t="s">
        <v>114</v>
      </c>
      <c r="CS371" t="s">
        <v>114</v>
      </c>
      <c r="CT371" t="s">
        <v>114</v>
      </c>
      <c r="CU371" t="s">
        <v>114</v>
      </c>
      <c r="CV371" t="s">
        <v>114</v>
      </c>
      <c r="CW371" t="s">
        <v>114</v>
      </c>
    </row>
    <row r="372" spans="1:101" x14ac:dyDescent="0.25">
      <c r="A372" t="s">
        <v>84</v>
      </c>
      <c r="B372">
        <v>6</v>
      </c>
      <c r="C372" t="s">
        <v>23</v>
      </c>
      <c r="D372" t="s">
        <v>95</v>
      </c>
      <c r="E372" t="s">
        <v>105</v>
      </c>
      <c r="F372" t="s">
        <v>120</v>
      </c>
      <c r="G372" t="s">
        <v>274</v>
      </c>
      <c r="H372" t="str">
        <f t="shared" si="41"/>
        <v>H.glabra.Solo.Shade</v>
      </c>
      <c r="I372" t="s">
        <v>733</v>
      </c>
      <c r="J372" t="s">
        <v>646</v>
      </c>
      <c r="K372">
        <v>0</v>
      </c>
      <c r="L372">
        <v>30</v>
      </c>
      <c r="M372">
        <v>60</v>
      </c>
      <c r="N372">
        <v>60</v>
      </c>
      <c r="O372" t="s">
        <v>114</v>
      </c>
      <c r="P372">
        <v>130</v>
      </c>
      <c r="Q372">
        <v>130</v>
      </c>
      <c r="R372">
        <v>130</v>
      </c>
      <c r="S372">
        <f t="shared" si="42"/>
        <v>130</v>
      </c>
      <c r="T372">
        <f t="shared" si="43"/>
        <v>2.1666666666666665</v>
      </c>
      <c r="U372" t="s">
        <v>793</v>
      </c>
      <c r="V372" t="s">
        <v>114</v>
      </c>
      <c r="W372" t="s">
        <v>114</v>
      </c>
      <c r="X372">
        <v>15.4</v>
      </c>
      <c r="Y372">
        <v>15.9</v>
      </c>
      <c r="Z372">
        <v>13</v>
      </c>
      <c r="AA372">
        <v>14.766666669999999</v>
      </c>
      <c r="AB372">
        <v>11.16666667</v>
      </c>
      <c r="AC372">
        <v>11</v>
      </c>
      <c r="AD372">
        <v>10</v>
      </c>
      <c r="AE372">
        <v>12.5</v>
      </c>
      <c r="AF372">
        <v>11.16666667</v>
      </c>
      <c r="AG372">
        <v>11.5</v>
      </c>
      <c r="AH372">
        <v>13</v>
      </c>
      <c r="AI372">
        <v>11.5</v>
      </c>
      <c r="AJ372">
        <v>12</v>
      </c>
      <c r="AK372">
        <v>7.6</v>
      </c>
      <c r="AL372">
        <v>8.5</v>
      </c>
      <c r="AM372">
        <v>11.5</v>
      </c>
      <c r="AN372">
        <v>9.1999999999999993</v>
      </c>
      <c r="AO372">
        <v>9.1999999999999993</v>
      </c>
      <c r="AP372">
        <v>5.6</v>
      </c>
      <c r="AQ372">
        <v>5.6</v>
      </c>
      <c r="AR372">
        <v>8.5</v>
      </c>
      <c r="AS372">
        <v>6.5666666669999998</v>
      </c>
      <c r="AT372">
        <v>4.0999999999999996</v>
      </c>
      <c r="AU372">
        <v>4.5999999999999996</v>
      </c>
      <c r="AV372">
        <v>3.6</v>
      </c>
      <c r="AW372">
        <v>4.0999999999999996</v>
      </c>
      <c r="AX372">
        <v>4.0999999999999996</v>
      </c>
      <c r="AY372">
        <v>-7.0666666669999998</v>
      </c>
      <c r="AZ372">
        <v>20</v>
      </c>
      <c r="BA372">
        <v>0</v>
      </c>
      <c r="BB372">
        <v>80</v>
      </c>
      <c r="BC372">
        <v>0</v>
      </c>
      <c r="BD372">
        <v>0</v>
      </c>
      <c r="BE372">
        <v>1</v>
      </c>
      <c r="BF372">
        <v>0</v>
      </c>
      <c r="BG372">
        <v>0</v>
      </c>
      <c r="BI372">
        <v>14.2</v>
      </c>
      <c r="BJ372">
        <v>58.783000000000001</v>
      </c>
      <c r="BK372">
        <v>0</v>
      </c>
      <c r="BL372">
        <v>11</v>
      </c>
      <c r="BM372">
        <v>10</v>
      </c>
      <c r="BN372">
        <v>551</v>
      </c>
      <c r="BO372">
        <v>315.5</v>
      </c>
      <c r="BP372">
        <f t="shared" si="45"/>
        <v>235.5</v>
      </c>
      <c r="BQ372" t="s">
        <v>114</v>
      </c>
      <c r="BR372" t="s">
        <v>114</v>
      </c>
      <c r="BS372" t="s">
        <v>114</v>
      </c>
      <c r="BT372" t="s">
        <v>114</v>
      </c>
      <c r="BU372" t="s">
        <v>114</v>
      </c>
      <c r="BV372" t="s">
        <v>114</v>
      </c>
      <c r="BW372" t="s">
        <v>114</v>
      </c>
      <c r="BX372" t="s">
        <v>114</v>
      </c>
      <c r="BY372" t="s">
        <v>114</v>
      </c>
      <c r="BZ372" t="s">
        <v>114</v>
      </c>
      <c r="CA372" t="s">
        <v>114</v>
      </c>
      <c r="CB372" t="s">
        <v>114</v>
      </c>
      <c r="CC372" t="s">
        <v>114</v>
      </c>
      <c r="CD372" t="s">
        <v>114</v>
      </c>
      <c r="CE372" t="s">
        <v>114</v>
      </c>
      <c r="CF372" t="s">
        <v>114</v>
      </c>
      <c r="CG372" t="s">
        <v>114</v>
      </c>
      <c r="CH372" t="s">
        <v>114</v>
      </c>
      <c r="CI372" t="s">
        <v>114</v>
      </c>
      <c r="CJ372" t="s">
        <v>114</v>
      </c>
      <c r="CK372" t="s">
        <v>114</v>
      </c>
      <c r="CL372" t="s">
        <v>114</v>
      </c>
      <c r="CM372" t="s">
        <v>114</v>
      </c>
      <c r="CN372" t="s">
        <v>114</v>
      </c>
      <c r="CO372" t="s">
        <v>114</v>
      </c>
      <c r="CP372" t="s">
        <v>114</v>
      </c>
      <c r="CQ372" t="s">
        <v>114</v>
      </c>
      <c r="CR372" t="s">
        <v>114</v>
      </c>
      <c r="CS372" t="s">
        <v>114</v>
      </c>
      <c r="CT372" t="s">
        <v>114</v>
      </c>
      <c r="CU372" t="s">
        <v>114</v>
      </c>
      <c r="CV372" t="s">
        <v>114</v>
      </c>
      <c r="CW372" t="s">
        <v>114</v>
      </c>
    </row>
    <row r="373" spans="1:101" x14ac:dyDescent="0.25">
      <c r="A373" t="s">
        <v>84</v>
      </c>
      <c r="B373">
        <v>6</v>
      </c>
      <c r="C373" t="s">
        <v>23</v>
      </c>
      <c r="D373" t="s">
        <v>95</v>
      </c>
      <c r="E373" t="s">
        <v>111</v>
      </c>
      <c r="F373" t="s">
        <v>120</v>
      </c>
      <c r="G373" t="s">
        <v>271</v>
      </c>
      <c r="H373" t="str">
        <f t="shared" si="41"/>
        <v>P.canescens.Solo.Shade</v>
      </c>
      <c r="I373" t="s">
        <v>732</v>
      </c>
      <c r="J373" t="s">
        <v>647</v>
      </c>
      <c r="K373">
        <v>0</v>
      </c>
      <c r="L373">
        <v>350</v>
      </c>
      <c r="M373">
        <v>340</v>
      </c>
      <c r="N373">
        <v>340</v>
      </c>
      <c r="O373" t="s">
        <v>114</v>
      </c>
      <c r="P373">
        <v>85</v>
      </c>
      <c r="Q373">
        <v>240</v>
      </c>
      <c r="R373">
        <v>70</v>
      </c>
      <c r="S373">
        <f t="shared" si="42"/>
        <v>155</v>
      </c>
      <c r="T373">
        <f t="shared" si="43"/>
        <v>0.45588235294117646</v>
      </c>
      <c r="U373" t="s">
        <v>792</v>
      </c>
      <c r="V373" t="s">
        <v>114</v>
      </c>
      <c r="W373" t="s">
        <v>114</v>
      </c>
      <c r="X373">
        <v>15.4</v>
      </c>
      <c r="Y373">
        <v>15.9</v>
      </c>
      <c r="Z373">
        <v>13</v>
      </c>
      <c r="AA373">
        <v>14.766666669999999</v>
      </c>
      <c r="AB373">
        <v>13.46666667</v>
      </c>
      <c r="AC373">
        <v>13</v>
      </c>
      <c r="AD373">
        <v>13.5</v>
      </c>
      <c r="AE373">
        <v>13.9</v>
      </c>
      <c r="AF373">
        <v>13.46666667</v>
      </c>
      <c r="AG373">
        <v>11.5</v>
      </c>
      <c r="AH373">
        <v>13</v>
      </c>
      <c r="AI373">
        <v>11.5</v>
      </c>
      <c r="AJ373">
        <v>12</v>
      </c>
      <c r="AK373">
        <v>13</v>
      </c>
      <c r="AL373">
        <v>13.5</v>
      </c>
      <c r="AM373">
        <v>12.5</v>
      </c>
      <c r="AN373">
        <v>13</v>
      </c>
      <c r="AO373">
        <v>13</v>
      </c>
      <c r="AP373">
        <v>5.6</v>
      </c>
      <c r="AQ373">
        <v>5.6</v>
      </c>
      <c r="AR373">
        <v>8.5</v>
      </c>
      <c r="AS373">
        <v>6.5666666669999998</v>
      </c>
      <c r="AT373">
        <v>6.1</v>
      </c>
      <c r="AU373">
        <v>6.6</v>
      </c>
      <c r="AV373">
        <v>6.6</v>
      </c>
      <c r="AW373">
        <v>6.4333333330000002</v>
      </c>
      <c r="AX373">
        <v>6.4333333330000002</v>
      </c>
      <c r="AY373">
        <v>-7.0333333329999999</v>
      </c>
      <c r="AZ373">
        <v>80</v>
      </c>
      <c r="BA373">
        <v>10</v>
      </c>
      <c r="BB373">
        <v>10</v>
      </c>
      <c r="BC373">
        <v>0</v>
      </c>
      <c r="BD373">
        <v>0</v>
      </c>
      <c r="BE373">
        <v>1</v>
      </c>
      <c r="BF373">
        <v>0</v>
      </c>
      <c r="BG373">
        <v>0</v>
      </c>
      <c r="BI373">
        <v>14.2</v>
      </c>
      <c r="BJ373">
        <v>58.783000000000001</v>
      </c>
      <c r="BK373">
        <v>0</v>
      </c>
      <c r="BL373">
        <v>41</v>
      </c>
      <c r="BM373">
        <v>36</v>
      </c>
      <c r="BN373">
        <v>2273</v>
      </c>
      <c r="BO373">
        <v>2858</v>
      </c>
      <c r="BP373">
        <f t="shared" si="45"/>
        <v>-585</v>
      </c>
      <c r="BQ373" t="s">
        <v>114</v>
      </c>
      <c r="BR373" t="s">
        <v>114</v>
      </c>
      <c r="BS373" t="s">
        <v>114</v>
      </c>
      <c r="BT373" t="s">
        <v>114</v>
      </c>
      <c r="BU373" t="s">
        <v>114</v>
      </c>
      <c r="BV373" t="s">
        <v>114</v>
      </c>
      <c r="BW373" t="s">
        <v>114</v>
      </c>
      <c r="BX373" t="s">
        <v>114</v>
      </c>
      <c r="BY373" t="s">
        <v>114</v>
      </c>
      <c r="BZ373" t="s">
        <v>114</v>
      </c>
      <c r="CA373" t="s">
        <v>114</v>
      </c>
      <c r="CB373" t="s">
        <v>114</v>
      </c>
      <c r="CC373" t="s">
        <v>114</v>
      </c>
      <c r="CD373" t="s">
        <v>114</v>
      </c>
      <c r="CE373" t="s">
        <v>114</v>
      </c>
      <c r="CF373" t="s">
        <v>114</v>
      </c>
      <c r="CG373" t="s">
        <v>114</v>
      </c>
      <c r="CH373" t="s">
        <v>114</v>
      </c>
      <c r="CI373" t="s">
        <v>114</v>
      </c>
      <c r="CJ373" t="s">
        <v>114</v>
      </c>
      <c r="CK373" t="s">
        <v>114</v>
      </c>
      <c r="CL373" t="s">
        <v>114</v>
      </c>
      <c r="CM373" t="s">
        <v>114</v>
      </c>
      <c r="CN373" t="s">
        <v>114</v>
      </c>
      <c r="CO373" t="s">
        <v>114</v>
      </c>
      <c r="CP373" t="s">
        <v>114</v>
      </c>
      <c r="CQ373" t="s">
        <v>114</v>
      </c>
      <c r="CR373" t="s">
        <v>114</v>
      </c>
      <c r="CS373" t="s">
        <v>114</v>
      </c>
      <c r="CT373" t="s">
        <v>114</v>
      </c>
      <c r="CU373" t="s">
        <v>114</v>
      </c>
      <c r="CV373" t="s">
        <v>114</v>
      </c>
      <c r="CW373" t="s">
        <v>114</v>
      </c>
    </row>
    <row r="374" spans="1:101" x14ac:dyDescent="0.25">
      <c r="A374" t="s">
        <v>84</v>
      </c>
      <c r="B374">
        <v>6</v>
      </c>
      <c r="C374" t="s">
        <v>23</v>
      </c>
      <c r="D374" t="s">
        <v>95</v>
      </c>
      <c r="E374" t="s">
        <v>112</v>
      </c>
      <c r="F374" t="s">
        <v>120</v>
      </c>
      <c r="G374" t="s">
        <v>269</v>
      </c>
      <c r="H374" t="str">
        <f t="shared" si="41"/>
        <v>V.rosea.Solo.Shade</v>
      </c>
      <c r="I374" t="s">
        <v>741</v>
      </c>
      <c r="J374" t="s">
        <v>648</v>
      </c>
      <c r="K374">
        <v>0</v>
      </c>
      <c r="L374">
        <v>60</v>
      </c>
      <c r="M374">
        <v>60</v>
      </c>
      <c r="N374">
        <v>60</v>
      </c>
      <c r="O374" t="s">
        <v>114</v>
      </c>
      <c r="P374">
        <v>40</v>
      </c>
      <c r="Q374">
        <v>95</v>
      </c>
      <c r="R374">
        <v>30</v>
      </c>
      <c r="S374">
        <f t="shared" si="42"/>
        <v>62.5</v>
      </c>
      <c r="T374">
        <f t="shared" si="43"/>
        <v>1.0416666666666667</v>
      </c>
      <c r="U374" t="s">
        <v>792</v>
      </c>
      <c r="V374" t="s">
        <v>114</v>
      </c>
      <c r="W374" t="s">
        <v>114</v>
      </c>
      <c r="X374">
        <v>15.4</v>
      </c>
      <c r="Y374">
        <v>15.9</v>
      </c>
      <c r="Z374">
        <v>13</v>
      </c>
      <c r="AA374">
        <v>14.766666669999999</v>
      </c>
      <c r="AB374">
        <v>15.06666667</v>
      </c>
      <c r="AC374">
        <v>14.9</v>
      </c>
      <c r="AD374">
        <v>14.9</v>
      </c>
      <c r="AE374">
        <v>15.4</v>
      </c>
      <c r="AF374">
        <v>15.06666667</v>
      </c>
      <c r="AG374">
        <v>11.5</v>
      </c>
      <c r="AH374">
        <v>13</v>
      </c>
      <c r="AI374">
        <v>11.5</v>
      </c>
      <c r="AJ374">
        <v>12</v>
      </c>
      <c r="AK374">
        <v>16.899999999999999</v>
      </c>
      <c r="AL374">
        <v>16.899999999999999</v>
      </c>
      <c r="AM374">
        <v>16.899999999999999</v>
      </c>
      <c r="AN374">
        <v>16.899999999999999</v>
      </c>
      <c r="AO374">
        <v>16.899999999999999</v>
      </c>
      <c r="AP374">
        <v>5.6</v>
      </c>
      <c r="AQ374">
        <v>5.6</v>
      </c>
      <c r="AR374">
        <v>8.5</v>
      </c>
      <c r="AS374">
        <v>6.5666666669999998</v>
      </c>
      <c r="AT374">
        <v>6.6</v>
      </c>
      <c r="AU374">
        <v>8.1</v>
      </c>
      <c r="AV374">
        <v>7.1</v>
      </c>
      <c r="AW374">
        <v>7.266666667</v>
      </c>
      <c r="AX374">
        <v>7.266666667</v>
      </c>
      <c r="AY374">
        <v>-7.8</v>
      </c>
      <c r="AZ374">
        <v>20</v>
      </c>
      <c r="BA374">
        <v>30</v>
      </c>
      <c r="BB374">
        <v>50</v>
      </c>
      <c r="BC374">
        <v>0</v>
      </c>
      <c r="BD374">
        <v>0</v>
      </c>
      <c r="BE374">
        <v>1</v>
      </c>
      <c r="BF374">
        <v>0</v>
      </c>
      <c r="BG374">
        <v>0</v>
      </c>
      <c r="BI374">
        <v>14.2</v>
      </c>
      <c r="BJ374">
        <v>58.783000000000001</v>
      </c>
      <c r="BK374">
        <v>0</v>
      </c>
      <c r="BL374">
        <v>16</v>
      </c>
      <c r="BM374">
        <v>12</v>
      </c>
      <c r="BN374">
        <v>24</v>
      </c>
      <c r="BO374">
        <v>50</v>
      </c>
      <c r="BP374">
        <f t="shared" si="45"/>
        <v>-26</v>
      </c>
      <c r="BQ374" t="s">
        <v>114</v>
      </c>
      <c r="BR374" t="s">
        <v>114</v>
      </c>
      <c r="BS374" t="s">
        <v>114</v>
      </c>
      <c r="BT374" t="s">
        <v>114</v>
      </c>
      <c r="BU374" t="s">
        <v>114</v>
      </c>
      <c r="BV374" t="s">
        <v>114</v>
      </c>
      <c r="BW374" t="s">
        <v>114</v>
      </c>
      <c r="BX374" t="s">
        <v>114</v>
      </c>
      <c r="BY374" t="s">
        <v>114</v>
      </c>
      <c r="BZ374" t="s">
        <v>114</v>
      </c>
      <c r="CA374" t="s">
        <v>114</v>
      </c>
      <c r="CB374" t="s">
        <v>114</v>
      </c>
      <c r="CC374" t="s">
        <v>114</v>
      </c>
      <c r="CD374" t="s">
        <v>114</v>
      </c>
      <c r="CE374" t="s">
        <v>114</v>
      </c>
      <c r="CF374" t="s">
        <v>114</v>
      </c>
      <c r="CG374" t="s">
        <v>114</v>
      </c>
      <c r="CH374" t="s">
        <v>114</v>
      </c>
      <c r="CI374" t="s">
        <v>114</v>
      </c>
      <c r="CJ374" t="s">
        <v>114</v>
      </c>
      <c r="CK374" t="s">
        <v>114</v>
      </c>
      <c r="CL374" t="s">
        <v>114</v>
      </c>
      <c r="CM374" t="s">
        <v>114</v>
      </c>
      <c r="CN374" t="s">
        <v>114</v>
      </c>
      <c r="CO374" t="s">
        <v>114</v>
      </c>
      <c r="CP374" t="s">
        <v>114</v>
      </c>
      <c r="CQ374" t="s">
        <v>114</v>
      </c>
      <c r="CR374" t="s">
        <v>114</v>
      </c>
      <c r="CS374" t="s">
        <v>114</v>
      </c>
      <c r="CT374" t="s">
        <v>114</v>
      </c>
      <c r="CU374" t="s">
        <v>114</v>
      </c>
      <c r="CV374" t="s">
        <v>114</v>
      </c>
      <c r="CW374" t="s">
        <v>114</v>
      </c>
    </row>
    <row r="375" spans="1:101" x14ac:dyDescent="0.25">
      <c r="A375" t="s">
        <v>85</v>
      </c>
      <c r="B375">
        <v>6</v>
      </c>
      <c r="C375" t="s">
        <v>25</v>
      </c>
      <c r="D375" t="s">
        <v>94</v>
      </c>
      <c r="E375" t="s">
        <v>105</v>
      </c>
      <c r="F375" t="s">
        <v>120</v>
      </c>
      <c r="G375" t="s">
        <v>274</v>
      </c>
      <c r="H375" t="str">
        <f t="shared" si="41"/>
        <v>H.glabra.Solo.Open</v>
      </c>
      <c r="I375" t="s">
        <v>734</v>
      </c>
      <c r="J375" t="s">
        <v>649</v>
      </c>
      <c r="K375">
        <v>0</v>
      </c>
      <c r="L375">
        <v>45</v>
      </c>
      <c r="M375">
        <v>15</v>
      </c>
      <c r="N375">
        <v>15</v>
      </c>
      <c r="O375" t="s">
        <v>114</v>
      </c>
      <c r="P375">
        <v>45</v>
      </c>
      <c r="Q375">
        <v>45</v>
      </c>
      <c r="R375">
        <v>23</v>
      </c>
      <c r="S375">
        <f t="shared" si="42"/>
        <v>34</v>
      </c>
      <c r="T375">
        <f t="shared" si="43"/>
        <v>2.2666666666666666</v>
      </c>
      <c r="U375" t="s">
        <v>792</v>
      </c>
      <c r="V375" t="s">
        <v>114</v>
      </c>
      <c r="W375" t="s">
        <v>114</v>
      </c>
      <c r="X375">
        <v>9.5</v>
      </c>
      <c r="Y375">
        <v>10</v>
      </c>
      <c r="Z375">
        <v>11.5</v>
      </c>
      <c r="AA375">
        <v>10.33333333</v>
      </c>
      <c r="AB375">
        <v>12.3</v>
      </c>
      <c r="AC375">
        <v>12.5</v>
      </c>
      <c r="AD375">
        <v>10.5</v>
      </c>
      <c r="AE375">
        <v>13.9</v>
      </c>
      <c r="AF375">
        <v>12.3</v>
      </c>
      <c r="AG375">
        <v>11.5</v>
      </c>
      <c r="AH375">
        <v>12</v>
      </c>
      <c r="AI375">
        <v>11</v>
      </c>
      <c r="AJ375">
        <v>11.5</v>
      </c>
      <c r="AK375">
        <v>9</v>
      </c>
      <c r="AL375">
        <v>12.5</v>
      </c>
      <c r="AM375">
        <v>12.5</v>
      </c>
      <c r="AN375">
        <v>11.33333333</v>
      </c>
      <c r="AO375">
        <v>11.33333333</v>
      </c>
      <c r="AP375">
        <v>6.1</v>
      </c>
      <c r="AQ375">
        <v>5.0999999999999996</v>
      </c>
      <c r="AR375">
        <v>6.6</v>
      </c>
      <c r="AS375">
        <v>5.9333333330000002</v>
      </c>
      <c r="AT375">
        <v>6.6</v>
      </c>
      <c r="AU375">
        <v>5.6</v>
      </c>
      <c r="AV375">
        <v>5.6</v>
      </c>
      <c r="AW375">
        <v>5.9333333330000002</v>
      </c>
      <c r="AX375">
        <v>5.9333333330000002</v>
      </c>
      <c r="AY375">
        <v>-6.3666666669999996</v>
      </c>
      <c r="AZ375">
        <v>75</v>
      </c>
      <c r="BA375">
        <v>0</v>
      </c>
      <c r="BB375">
        <v>25</v>
      </c>
      <c r="BC375">
        <v>0</v>
      </c>
      <c r="BD375">
        <v>0</v>
      </c>
      <c r="BE375">
        <v>0</v>
      </c>
      <c r="BF375">
        <v>0</v>
      </c>
      <c r="BG375">
        <v>0</v>
      </c>
      <c r="BI375">
        <v>10.6</v>
      </c>
      <c r="BJ375">
        <v>4.2060000000000004</v>
      </c>
      <c r="BK375">
        <v>0</v>
      </c>
      <c r="BL375">
        <v>4</v>
      </c>
      <c r="BM375">
        <v>4</v>
      </c>
      <c r="BN375">
        <v>66</v>
      </c>
      <c r="BO375">
        <v>199.5</v>
      </c>
      <c r="BP375">
        <f t="shared" si="45"/>
        <v>-133.5</v>
      </c>
      <c r="BQ375" t="s">
        <v>114</v>
      </c>
      <c r="BR375" t="s">
        <v>114</v>
      </c>
      <c r="BS375" t="s">
        <v>114</v>
      </c>
      <c r="BT375" t="s">
        <v>114</v>
      </c>
      <c r="BU375" t="s">
        <v>114</v>
      </c>
      <c r="BV375" t="s">
        <v>114</v>
      </c>
      <c r="BW375" t="s">
        <v>114</v>
      </c>
      <c r="BX375" t="s">
        <v>114</v>
      </c>
      <c r="BY375" t="s">
        <v>114</v>
      </c>
      <c r="BZ375" t="s">
        <v>114</v>
      </c>
      <c r="CA375" t="s">
        <v>114</v>
      </c>
      <c r="CB375" t="s">
        <v>114</v>
      </c>
      <c r="CC375" t="s">
        <v>114</v>
      </c>
      <c r="CD375" t="s">
        <v>114</v>
      </c>
      <c r="CE375" t="s">
        <v>114</v>
      </c>
      <c r="CF375" t="s">
        <v>114</v>
      </c>
      <c r="CG375" t="s">
        <v>114</v>
      </c>
      <c r="CH375" t="s">
        <v>114</v>
      </c>
      <c r="CI375" t="s">
        <v>114</v>
      </c>
      <c r="CJ375" t="s">
        <v>114</v>
      </c>
      <c r="CK375" t="s">
        <v>114</v>
      </c>
      <c r="CL375" t="s">
        <v>114</v>
      </c>
      <c r="CM375" t="s">
        <v>114</v>
      </c>
      <c r="CN375" t="s">
        <v>114</v>
      </c>
      <c r="CO375" t="s">
        <v>114</v>
      </c>
      <c r="CP375" t="s">
        <v>114</v>
      </c>
      <c r="CQ375" t="s">
        <v>114</v>
      </c>
      <c r="CR375" t="s">
        <v>114</v>
      </c>
      <c r="CS375" t="s">
        <v>114</v>
      </c>
      <c r="CT375" t="s">
        <v>114</v>
      </c>
      <c r="CU375" t="s">
        <v>114</v>
      </c>
      <c r="CV375" t="s">
        <v>114</v>
      </c>
      <c r="CW375" t="s">
        <v>114</v>
      </c>
    </row>
    <row r="376" spans="1:101" x14ac:dyDescent="0.25">
      <c r="A376" t="s">
        <v>85</v>
      </c>
      <c r="B376">
        <v>6</v>
      </c>
      <c r="C376" t="s">
        <v>25</v>
      </c>
      <c r="D376" t="s">
        <v>94</v>
      </c>
      <c r="E376" t="s">
        <v>110</v>
      </c>
      <c r="F376" t="s">
        <v>120</v>
      </c>
      <c r="G376" t="s">
        <v>270</v>
      </c>
      <c r="H376" t="str">
        <f t="shared" si="41"/>
        <v>M.minima.Solo.Open</v>
      </c>
      <c r="I376" t="s">
        <v>742</v>
      </c>
      <c r="J376" t="s">
        <v>650</v>
      </c>
      <c r="K376">
        <v>0</v>
      </c>
      <c r="L376">
        <v>90</v>
      </c>
      <c r="M376">
        <v>50</v>
      </c>
      <c r="N376">
        <v>50</v>
      </c>
      <c r="O376" t="s">
        <v>114</v>
      </c>
      <c r="P376">
        <v>12</v>
      </c>
      <c r="Q376">
        <v>100</v>
      </c>
      <c r="R376">
        <v>100</v>
      </c>
      <c r="S376">
        <f t="shared" si="42"/>
        <v>100</v>
      </c>
      <c r="T376">
        <f t="shared" si="43"/>
        <v>2</v>
      </c>
      <c r="U376" t="s">
        <v>795</v>
      </c>
      <c r="V376" t="s">
        <v>114</v>
      </c>
      <c r="W376" t="s">
        <v>114</v>
      </c>
      <c r="X376">
        <v>9.5</v>
      </c>
      <c r="Y376">
        <v>10</v>
      </c>
      <c r="Z376">
        <v>11.5</v>
      </c>
      <c r="AA376">
        <v>10.33333333</v>
      </c>
      <c r="AB376">
        <v>10.5</v>
      </c>
      <c r="AC376">
        <v>9.5</v>
      </c>
      <c r="AD376">
        <v>10</v>
      </c>
      <c r="AE376">
        <v>12</v>
      </c>
      <c r="AF376">
        <v>10.5</v>
      </c>
      <c r="AG376">
        <v>11.5</v>
      </c>
      <c r="AH376">
        <v>12</v>
      </c>
      <c r="AI376">
        <v>11</v>
      </c>
      <c r="AJ376">
        <v>11.5</v>
      </c>
      <c r="AK376">
        <v>8.5</v>
      </c>
      <c r="AL376">
        <v>11</v>
      </c>
      <c r="AM376">
        <v>11</v>
      </c>
      <c r="AN376">
        <v>10.16666667</v>
      </c>
      <c r="AO376">
        <v>10.16666667</v>
      </c>
      <c r="AP376">
        <v>6.1</v>
      </c>
      <c r="AQ376">
        <v>5.0999999999999996</v>
      </c>
      <c r="AR376">
        <v>6.6</v>
      </c>
      <c r="AS376">
        <v>5.9333333330000002</v>
      </c>
      <c r="AT376">
        <v>6.6</v>
      </c>
      <c r="AU376">
        <v>5.6</v>
      </c>
      <c r="AV376">
        <v>6.1</v>
      </c>
      <c r="AW376">
        <v>6.1</v>
      </c>
      <c r="AX376">
        <v>6.1</v>
      </c>
      <c r="AY376">
        <v>-4.4000000000000004</v>
      </c>
      <c r="AZ376">
        <v>100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I376">
        <v>10.6</v>
      </c>
      <c r="BJ376">
        <v>4.2060000000000004</v>
      </c>
      <c r="BK376">
        <v>0</v>
      </c>
      <c r="BL376">
        <v>20</v>
      </c>
      <c r="BM376">
        <v>20</v>
      </c>
      <c r="BN376">
        <v>20</v>
      </c>
      <c r="BO376">
        <v>10</v>
      </c>
      <c r="BP376">
        <f t="shared" si="45"/>
        <v>10</v>
      </c>
      <c r="BQ376" t="s">
        <v>114</v>
      </c>
      <c r="BR376" t="s">
        <v>114</v>
      </c>
      <c r="BS376" t="s">
        <v>114</v>
      </c>
      <c r="BT376" t="s">
        <v>114</v>
      </c>
      <c r="BU376" t="s">
        <v>114</v>
      </c>
      <c r="BV376" t="s">
        <v>114</v>
      </c>
      <c r="BW376" t="s">
        <v>114</v>
      </c>
      <c r="BX376" t="s">
        <v>114</v>
      </c>
      <c r="BY376" t="s">
        <v>114</v>
      </c>
      <c r="BZ376" t="s">
        <v>114</v>
      </c>
      <c r="CA376" t="s">
        <v>114</v>
      </c>
      <c r="CB376" t="s">
        <v>114</v>
      </c>
      <c r="CC376" t="s">
        <v>114</v>
      </c>
      <c r="CD376" t="s">
        <v>114</v>
      </c>
      <c r="CE376" t="s">
        <v>114</v>
      </c>
      <c r="CF376" t="s">
        <v>114</v>
      </c>
      <c r="CG376" t="s">
        <v>114</v>
      </c>
      <c r="CH376" t="s">
        <v>114</v>
      </c>
      <c r="CI376" t="s">
        <v>114</v>
      </c>
      <c r="CJ376" t="s">
        <v>114</v>
      </c>
      <c r="CK376" t="s">
        <v>114</v>
      </c>
      <c r="CL376" t="s">
        <v>114</v>
      </c>
      <c r="CM376" t="s">
        <v>114</v>
      </c>
      <c r="CN376" t="s">
        <v>114</v>
      </c>
      <c r="CO376" t="s">
        <v>114</v>
      </c>
      <c r="CP376" t="s">
        <v>114</v>
      </c>
      <c r="CQ376" t="s">
        <v>114</v>
      </c>
      <c r="CR376" t="s">
        <v>114</v>
      </c>
      <c r="CS376" t="s">
        <v>114</v>
      </c>
      <c r="CT376" t="s">
        <v>114</v>
      </c>
      <c r="CU376" t="s">
        <v>114</v>
      </c>
      <c r="CV376" t="s">
        <v>114</v>
      </c>
      <c r="CW376" t="s">
        <v>114</v>
      </c>
    </row>
    <row r="377" spans="1:101" x14ac:dyDescent="0.25">
      <c r="A377" t="s">
        <v>86</v>
      </c>
      <c r="B377">
        <v>6</v>
      </c>
      <c r="C377" t="s">
        <v>27</v>
      </c>
      <c r="D377" t="s">
        <v>94</v>
      </c>
      <c r="E377" t="s">
        <v>110</v>
      </c>
      <c r="F377" t="s">
        <v>120</v>
      </c>
      <c r="G377" t="s">
        <v>270</v>
      </c>
      <c r="H377" t="str">
        <f t="shared" si="41"/>
        <v>M.minima.Solo.Open</v>
      </c>
      <c r="I377" t="s">
        <v>742</v>
      </c>
      <c r="J377" t="s">
        <v>651</v>
      </c>
      <c r="K377">
        <v>0</v>
      </c>
      <c r="L377">
        <v>30</v>
      </c>
      <c r="M377">
        <v>70</v>
      </c>
      <c r="N377">
        <v>70</v>
      </c>
      <c r="O377" t="s">
        <v>114</v>
      </c>
      <c r="P377">
        <v>75</v>
      </c>
      <c r="Q377">
        <v>170</v>
      </c>
      <c r="R377">
        <v>50</v>
      </c>
      <c r="S377">
        <f t="shared" si="42"/>
        <v>110</v>
      </c>
      <c r="T377">
        <f t="shared" si="43"/>
        <v>1.5714285714285714</v>
      </c>
      <c r="U377" t="s">
        <v>793</v>
      </c>
      <c r="V377" t="s">
        <v>114</v>
      </c>
      <c r="W377" t="s">
        <v>114</v>
      </c>
      <c r="X377">
        <v>8.5</v>
      </c>
      <c r="Y377">
        <v>9</v>
      </c>
      <c r="Z377">
        <v>10</v>
      </c>
      <c r="AA377">
        <v>9.1666666669999994</v>
      </c>
      <c r="AB377">
        <v>8.5333333329999999</v>
      </c>
      <c r="AC377">
        <v>8.1</v>
      </c>
      <c r="AD377">
        <v>8.5</v>
      </c>
      <c r="AE377">
        <v>9</v>
      </c>
      <c r="AF377">
        <v>8.5333333329999999</v>
      </c>
      <c r="AG377">
        <v>8.5</v>
      </c>
      <c r="AH377">
        <v>8.5</v>
      </c>
      <c r="AI377">
        <v>8.5</v>
      </c>
      <c r="AJ377">
        <v>8.5</v>
      </c>
      <c r="AK377">
        <v>9.5</v>
      </c>
      <c r="AL377">
        <v>7.6</v>
      </c>
      <c r="AM377">
        <v>8.1</v>
      </c>
      <c r="AN377">
        <v>8.4</v>
      </c>
      <c r="AO377">
        <v>8.4</v>
      </c>
      <c r="AP377">
        <v>5.0999999999999996</v>
      </c>
      <c r="AQ377">
        <v>4.5999999999999996</v>
      </c>
      <c r="AR377">
        <v>3.6</v>
      </c>
      <c r="AS377">
        <v>4.4333333330000002</v>
      </c>
      <c r="AT377">
        <v>4.0999999999999996</v>
      </c>
      <c r="AU377">
        <v>4.0999999999999996</v>
      </c>
      <c r="AV377">
        <v>3.1</v>
      </c>
      <c r="AW377">
        <v>3.766666667</v>
      </c>
      <c r="AX377">
        <v>3.766666667</v>
      </c>
      <c r="AY377">
        <v>-4.766666667</v>
      </c>
      <c r="AZ377">
        <v>90</v>
      </c>
      <c r="BA377">
        <v>0</v>
      </c>
      <c r="BB377">
        <v>10</v>
      </c>
      <c r="BC377">
        <v>0</v>
      </c>
      <c r="BD377">
        <v>0</v>
      </c>
      <c r="BE377">
        <v>0</v>
      </c>
      <c r="BF377">
        <v>0</v>
      </c>
      <c r="BG377">
        <v>0</v>
      </c>
      <c r="BI377">
        <v>17</v>
      </c>
      <c r="BJ377">
        <v>20.623000000000001</v>
      </c>
      <c r="BK377">
        <v>0</v>
      </c>
      <c r="BL377">
        <v>0</v>
      </c>
      <c r="BM377">
        <v>0</v>
      </c>
      <c r="BN377">
        <v>0</v>
      </c>
      <c r="BO377">
        <v>10</v>
      </c>
      <c r="BP377">
        <f t="shared" si="45"/>
        <v>-10</v>
      </c>
      <c r="BQ377" t="s">
        <v>114</v>
      </c>
      <c r="BR377" t="s">
        <v>114</v>
      </c>
      <c r="BS377" t="s">
        <v>114</v>
      </c>
      <c r="BT377" t="s">
        <v>114</v>
      </c>
      <c r="BU377" t="s">
        <v>114</v>
      </c>
      <c r="BV377" t="s">
        <v>114</v>
      </c>
      <c r="BW377" t="s">
        <v>114</v>
      </c>
      <c r="BX377" t="s">
        <v>114</v>
      </c>
      <c r="BY377" t="s">
        <v>114</v>
      </c>
      <c r="BZ377" t="s">
        <v>114</v>
      </c>
      <c r="CA377" t="s">
        <v>114</v>
      </c>
      <c r="CB377" t="s">
        <v>114</v>
      </c>
      <c r="CC377" t="s">
        <v>114</v>
      </c>
      <c r="CD377" t="s">
        <v>114</v>
      </c>
      <c r="CE377" t="s">
        <v>114</v>
      </c>
      <c r="CF377" t="s">
        <v>114</v>
      </c>
      <c r="CG377" t="s">
        <v>114</v>
      </c>
      <c r="CH377" t="s">
        <v>114</v>
      </c>
      <c r="CI377" t="s">
        <v>114</v>
      </c>
      <c r="CJ377" t="s">
        <v>114</v>
      </c>
      <c r="CK377" t="s">
        <v>114</v>
      </c>
      <c r="CL377" t="s">
        <v>114</v>
      </c>
      <c r="CM377" t="s">
        <v>114</v>
      </c>
      <c r="CN377" t="s">
        <v>114</v>
      </c>
      <c r="CO377" t="s">
        <v>114</v>
      </c>
      <c r="CP377" t="s">
        <v>114</v>
      </c>
      <c r="CQ377" t="s">
        <v>114</v>
      </c>
      <c r="CR377" t="s">
        <v>114</v>
      </c>
      <c r="CS377" t="s">
        <v>114</v>
      </c>
      <c r="CT377" t="s">
        <v>114</v>
      </c>
      <c r="CU377" t="s">
        <v>114</v>
      </c>
      <c r="CV377" t="s">
        <v>114</v>
      </c>
      <c r="CW377" t="s">
        <v>114</v>
      </c>
    </row>
    <row r="378" spans="1:101" x14ac:dyDescent="0.25">
      <c r="A378" t="s">
        <v>86</v>
      </c>
      <c r="B378">
        <v>6</v>
      </c>
      <c r="C378" t="s">
        <v>27</v>
      </c>
      <c r="D378" t="s">
        <v>94</v>
      </c>
      <c r="E378" t="s">
        <v>112</v>
      </c>
      <c r="F378" t="s">
        <v>120</v>
      </c>
      <c r="G378" t="s">
        <v>269</v>
      </c>
      <c r="H378" t="str">
        <f t="shared" si="41"/>
        <v>V.rosea.Solo.Open</v>
      </c>
      <c r="I378" t="s">
        <v>743</v>
      </c>
      <c r="J378" t="s">
        <v>652</v>
      </c>
      <c r="K378">
        <v>0</v>
      </c>
      <c r="L378">
        <v>80</v>
      </c>
      <c r="M378">
        <v>50</v>
      </c>
      <c r="N378">
        <v>50</v>
      </c>
      <c r="O378" t="s">
        <v>114</v>
      </c>
      <c r="P378">
        <v>17</v>
      </c>
      <c r="Q378">
        <v>40</v>
      </c>
      <c r="R378">
        <v>13</v>
      </c>
      <c r="S378">
        <f t="shared" si="42"/>
        <v>26.5</v>
      </c>
      <c r="T378">
        <f t="shared" si="43"/>
        <v>0.53</v>
      </c>
      <c r="U378" t="s">
        <v>794</v>
      </c>
      <c r="V378" t="s">
        <v>114</v>
      </c>
      <c r="W378" t="s">
        <v>114</v>
      </c>
      <c r="X378">
        <v>8.5</v>
      </c>
      <c r="Y378">
        <v>9</v>
      </c>
      <c r="Z378">
        <v>10</v>
      </c>
      <c r="AA378">
        <v>9.1666666669999994</v>
      </c>
      <c r="AB378">
        <v>8.5</v>
      </c>
      <c r="AC378">
        <v>8.5</v>
      </c>
      <c r="AD378">
        <v>8.5</v>
      </c>
      <c r="AE378">
        <v>8.5</v>
      </c>
      <c r="AF378">
        <v>8.5</v>
      </c>
      <c r="AG378">
        <v>8.5</v>
      </c>
      <c r="AH378">
        <v>8.5</v>
      </c>
      <c r="AI378">
        <v>8.5</v>
      </c>
      <c r="AJ378">
        <v>8.5</v>
      </c>
      <c r="AK378">
        <v>7.6</v>
      </c>
      <c r="AL378">
        <v>7.6</v>
      </c>
      <c r="AM378">
        <v>8.5</v>
      </c>
      <c r="AN378">
        <v>7.9</v>
      </c>
      <c r="AO378">
        <v>7.9</v>
      </c>
      <c r="AP378">
        <v>5.0999999999999996</v>
      </c>
      <c r="AQ378">
        <v>4.5999999999999996</v>
      </c>
      <c r="AR378">
        <v>3.6</v>
      </c>
      <c r="AS378">
        <v>4.4333333330000002</v>
      </c>
      <c r="AT378">
        <v>5.6</v>
      </c>
      <c r="AU378">
        <v>4.5999999999999996</v>
      </c>
      <c r="AV378">
        <v>4.0999999999999996</v>
      </c>
      <c r="AW378">
        <v>4.766666667</v>
      </c>
      <c r="AX378">
        <v>4.766666667</v>
      </c>
      <c r="AY378">
        <v>-3.733333333</v>
      </c>
      <c r="AZ378">
        <v>80</v>
      </c>
      <c r="BA378">
        <v>10</v>
      </c>
      <c r="BB378">
        <v>10</v>
      </c>
      <c r="BC378">
        <v>0</v>
      </c>
      <c r="BD378">
        <v>0</v>
      </c>
      <c r="BE378">
        <v>0</v>
      </c>
      <c r="BF378">
        <v>0</v>
      </c>
      <c r="BG378">
        <v>0</v>
      </c>
      <c r="BI378">
        <v>17</v>
      </c>
      <c r="BJ378">
        <v>20.623000000000001</v>
      </c>
      <c r="BK378">
        <v>0</v>
      </c>
      <c r="BL378">
        <v>34</v>
      </c>
      <c r="BM378">
        <v>31</v>
      </c>
      <c r="BN378">
        <v>132</v>
      </c>
      <c r="BO378">
        <v>152</v>
      </c>
      <c r="BP378">
        <f t="shared" si="45"/>
        <v>-20</v>
      </c>
      <c r="BQ378" t="s">
        <v>114</v>
      </c>
      <c r="BR378" t="s">
        <v>114</v>
      </c>
      <c r="BS378" t="s">
        <v>114</v>
      </c>
      <c r="BT378" t="s">
        <v>114</v>
      </c>
      <c r="BU378" t="s">
        <v>114</v>
      </c>
      <c r="BV378" t="s">
        <v>114</v>
      </c>
      <c r="BW378" t="s">
        <v>114</v>
      </c>
      <c r="BX378" t="s">
        <v>114</v>
      </c>
      <c r="BY378" t="s">
        <v>114</v>
      </c>
      <c r="BZ378" t="s">
        <v>114</v>
      </c>
      <c r="CA378" t="s">
        <v>114</v>
      </c>
      <c r="CB378" t="s">
        <v>114</v>
      </c>
      <c r="CC378" t="s">
        <v>114</v>
      </c>
      <c r="CD378" t="s">
        <v>114</v>
      </c>
      <c r="CE378" t="s">
        <v>114</v>
      </c>
      <c r="CF378" t="s">
        <v>114</v>
      </c>
      <c r="CG378" t="s">
        <v>114</v>
      </c>
      <c r="CH378" t="s">
        <v>114</v>
      </c>
      <c r="CI378" t="s">
        <v>114</v>
      </c>
      <c r="CJ378" t="s">
        <v>114</v>
      </c>
      <c r="CK378" t="s">
        <v>114</v>
      </c>
      <c r="CL378" t="s">
        <v>114</v>
      </c>
      <c r="CM378" t="s">
        <v>114</v>
      </c>
      <c r="CN378" t="s">
        <v>114</v>
      </c>
      <c r="CO378" t="s">
        <v>114</v>
      </c>
      <c r="CP378" t="s">
        <v>114</v>
      </c>
      <c r="CQ378" t="s">
        <v>114</v>
      </c>
      <c r="CR378" t="s">
        <v>114</v>
      </c>
      <c r="CS378" t="s">
        <v>114</v>
      </c>
      <c r="CT378" t="s">
        <v>114</v>
      </c>
      <c r="CU378" t="s">
        <v>114</v>
      </c>
      <c r="CV378" t="s">
        <v>114</v>
      </c>
      <c r="CW378" t="s">
        <v>114</v>
      </c>
    </row>
    <row r="379" spans="1:101" x14ac:dyDescent="0.25">
      <c r="A379" t="s">
        <v>87</v>
      </c>
      <c r="B379">
        <v>6</v>
      </c>
      <c r="C379" t="s">
        <v>29</v>
      </c>
      <c r="D379" t="s">
        <v>95</v>
      </c>
      <c r="E379" t="s">
        <v>102</v>
      </c>
      <c r="F379" t="s">
        <v>120</v>
      </c>
      <c r="G379" t="s">
        <v>273</v>
      </c>
      <c r="H379" t="str">
        <f t="shared" si="41"/>
        <v>A.calendula.Solo.Shade</v>
      </c>
      <c r="I379" t="s">
        <v>740</v>
      </c>
      <c r="J379" t="s">
        <v>653</v>
      </c>
      <c r="K379">
        <v>0</v>
      </c>
      <c r="L379">
        <v>140</v>
      </c>
      <c r="M379">
        <v>140</v>
      </c>
      <c r="N379">
        <v>140</v>
      </c>
      <c r="O379" t="s">
        <v>114</v>
      </c>
      <c r="P379">
        <v>185</v>
      </c>
      <c r="Q379">
        <v>190</v>
      </c>
      <c r="R379">
        <v>100</v>
      </c>
      <c r="S379">
        <f t="shared" si="42"/>
        <v>145</v>
      </c>
      <c r="T379">
        <f t="shared" si="43"/>
        <v>1.0357142857142858</v>
      </c>
      <c r="U379" t="s">
        <v>15</v>
      </c>
      <c r="V379" t="s">
        <v>114</v>
      </c>
      <c r="W379" t="s">
        <v>114</v>
      </c>
      <c r="X379">
        <v>9</v>
      </c>
      <c r="Y379">
        <v>7.6</v>
      </c>
      <c r="Z379">
        <v>11.5</v>
      </c>
      <c r="AA379">
        <v>9.3666666670000005</v>
      </c>
      <c r="AB379">
        <v>13.133333329999999</v>
      </c>
      <c r="AC379">
        <v>14.4</v>
      </c>
      <c r="AD379">
        <v>12.5</v>
      </c>
      <c r="AE379">
        <v>12.5</v>
      </c>
      <c r="AF379">
        <v>13.133333329999999</v>
      </c>
      <c r="AG379">
        <v>8.5</v>
      </c>
      <c r="AH379">
        <v>8.5</v>
      </c>
      <c r="AI379">
        <v>9.5</v>
      </c>
      <c r="AJ379">
        <v>8.8333333330000006</v>
      </c>
      <c r="AK379">
        <v>11</v>
      </c>
      <c r="AL379">
        <v>12</v>
      </c>
      <c r="AM379">
        <v>13</v>
      </c>
      <c r="AN379">
        <v>12</v>
      </c>
      <c r="AO379">
        <v>12</v>
      </c>
      <c r="AP379">
        <v>6.1</v>
      </c>
      <c r="AQ379">
        <v>6.1</v>
      </c>
      <c r="AR379">
        <v>6.1</v>
      </c>
      <c r="AS379">
        <v>6.1</v>
      </c>
      <c r="AT379">
        <v>5.0999999999999996</v>
      </c>
      <c r="AU379">
        <v>6.1</v>
      </c>
      <c r="AV379">
        <v>4.5999999999999996</v>
      </c>
      <c r="AW379">
        <v>5.266666667</v>
      </c>
      <c r="AX379">
        <v>5.266666667</v>
      </c>
      <c r="AY379">
        <v>-7.8666666669999996</v>
      </c>
      <c r="AZ379">
        <v>60</v>
      </c>
      <c r="BA379">
        <v>0</v>
      </c>
      <c r="BB379">
        <v>30</v>
      </c>
      <c r="BC379">
        <v>10</v>
      </c>
      <c r="BD379">
        <v>0</v>
      </c>
      <c r="BE379">
        <v>1</v>
      </c>
      <c r="BF379">
        <v>0</v>
      </c>
      <c r="BG379">
        <v>0</v>
      </c>
      <c r="BI379">
        <v>15</v>
      </c>
      <c r="BJ379">
        <v>54.951000000000001</v>
      </c>
      <c r="BK379">
        <v>0</v>
      </c>
      <c r="BL379">
        <v>8</v>
      </c>
      <c r="BM379">
        <v>8</v>
      </c>
      <c r="BN379">
        <v>362</v>
      </c>
      <c r="BO379">
        <v>567</v>
      </c>
      <c r="BP379">
        <f t="shared" si="45"/>
        <v>-205</v>
      </c>
      <c r="BQ379" t="s">
        <v>114</v>
      </c>
      <c r="BR379" t="s">
        <v>114</v>
      </c>
      <c r="BS379" t="s">
        <v>114</v>
      </c>
      <c r="BT379" t="s">
        <v>114</v>
      </c>
      <c r="BU379" t="s">
        <v>114</v>
      </c>
      <c r="BV379" t="s">
        <v>114</v>
      </c>
      <c r="BW379" t="s">
        <v>114</v>
      </c>
      <c r="BX379" t="s">
        <v>114</v>
      </c>
      <c r="BY379" t="s">
        <v>114</v>
      </c>
      <c r="BZ379" t="s">
        <v>114</v>
      </c>
      <c r="CA379" t="s">
        <v>114</v>
      </c>
      <c r="CB379" t="s">
        <v>114</v>
      </c>
      <c r="CC379" t="s">
        <v>114</v>
      </c>
      <c r="CD379" t="s">
        <v>114</v>
      </c>
      <c r="CE379" t="s">
        <v>114</v>
      </c>
      <c r="CF379" t="s">
        <v>114</v>
      </c>
      <c r="CG379" t="s">
        <v>114</v>
      </c>
      <c r="CH379" t="s">
        <v>114</v>
      </c>
      <c r="CI379" t="s">
        <v>114</v>
      </c>
      <c r="CJ379" t="s">
        <v>114</v>
      </c>
      <c r="CK379" t="s">
        <v>114</v>
      </c>
      <c r="CL379" t="s">
        <v>114</v>
      </c>
      <c r="CM379" t="s">
        <v>114</v>
      </c>
      <c r="CN379" t="s">
        <v>114</v>
      </c>
      <c r="CO379" t="s">
        <v>114</v>
      </c>
      <c r="CP379" t="s">
        <v>114</v>
      </c>
      <c r="CQ379" t="s">
        <v>114</v>
      </c>
      <c r="CR379" t="s">
        <v>114</v>
      </c>
      <c r="CS379" t="s">
        <v>114</v>
      </c>
      <c r="CT379" t="s">
        <v>114</v>
      </c>
      <c r="CU379" t="s">
        <v>114</v>
      </c>
      <c r="CV379" t="s">
        <v>114</v>
      </c>
      <c r="CW379" t="s">
        <v>114</v>
      </c>
    </row>
    <row r="380" spans="1:101" x14ac:dyDescent="0.25">
      <c r="A380" t="s">
        <v>87</v>
      </c>
      <c r="B380">
        <v>6</v>
      </c>
      <c r="C380" t="s">
        <v>29</v>
      </c>
      <c r="D380" t="s">
        <v>95</v>
      </c>
      <c r="E380" t="s">
        <v>110</v>
      </c>
      <c r="F380" t="s">
        <v>120</v>
      </c>
      <c r="G380" t="s">
        <v>270</v>
      </c>
      <c r="H380" t="str">
        <f t="shared" si="41"/>
        <v>M.minima.Solo.Shade</v>
      </c>
      <c r="I380" t="s">
        <v>744</v>
      </c>
      <c r="J380" t="s">
        <v>654</v>
      </c>
      <c r="K380">
        <v>0</v>
      </c>
      <c r="L380">
        <v>10</v>
      </c>
      <c r="M380">
        <v>50</v>
      </c>
      <c r="N380">
        <v>50</v>
      </c>
      <c r="O380" t="s">
        <v>114</v>
      </c>
      <c r="P380">
        <v>15</v>
      </c>
      <c r="Q380">
        <v>40</v>
      </c>
      <c r="R380">
        <v>20</v>
      </c>
      <c r="S380">
        <f t="shared" si="42"/>
        <v>30</v>
      </c>
      <c r="T380">
        <f t="shared" si="43"/>
        <v>0.6</v>
      </c>
      <c r="U380" t="s">
        <v>29</v>
      </c>
      <c r="V380" t="s">
        <v>114</v>
      </c>
      <c r="W380" t="s">
        <v>114</v>
      </c>
      <c r="X380">
        <v>9</v>
      </c>
      <c r="Y380">
        <v>7.6</v>
      </c>
      <c r="Z380">
        <v>11.5</v>
      </c>
      <c r="AA380">
        <v>9.3666666670000005</v>
      </c>
      <c r="AB380">
        <v>9.5</v>
      </c>
      <c r="AC380">
        <v>10.5</v>
      </c>
      <c r="AD380">
        <v>8.5</v>
      </c>
      <c r="AE380">
        <v>9.5</v>
      </c>
      <c r="AF380">
        <v>9.5</v>
      </c>
      <c r="AG380">
        <v>8.5</v>
      </c>
      <c r="AH380">
        <v>8.5</v>
      </c>
      <c r="AI380">
        <v>9.5</v>
      </c>
      <c r="AJ380">
        <v>8.8333333330000006</v>
      </c>
      <c r="AK380">
        <v>8.5</v>
      </c>
      <c r="AL380">
        <v>9</v>
      </c>
      <c r="AM380">
        <v>12</v>
      </c>
      <c r="AN380">
        <v>9.8333333330000006</v>
      </c>
      <c r="AO380">
        <v>9.8333333330000006</v>
      </c>
      <c r="AP380">
        <v>6.1</v>
      </c>
      <c r="AQ380">
        <v>6.1</v>
      </c>
      <c r="AR380">
        <v>6.1</v>
      </c>
      <c r="AS380">
        <v>6.1</v>
      </c>
      <c r="AT380">
        <v>5.6</v>
      </c>
      <c r="AU380">
        <v>6.1</v>
      </c>
      <c r="AV380">
        <v>5.0999999999999996</v>
      </c>
      <c r="AW380">
        <v>5.6</v>
      </c>
      <c r="AX380">
        <v>5.6</v>
      </c>
      <c r="AY380">
        <v>-3.9</v>
      </c>
      <c r="AZ380">
        <v>60</v>
      </c>
      <c r="BA380">
        <v>0</v>
      </c>
      <c r="BB380">
        <v>30</v>
      </c>
      <c r="BC380">
        <v>10</v>
      </c>
      <c r="BD380">
        <v>0</v>
      </c>
      <c r="BE380">
        <v>1</v>
      </c>
      <c r="BF380">
        <v>0</v>
      </c>
      <c r="BG380">
        <v>0</v>
      </c>
      <c r="BI380">
        <v>15</v>
      </c>
      <c r="BJ380">
        <v>54.951000000000001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f t="shared" si="45"/>
        <v>0</v>
      </c>
      <c r="BQ380" t="s">
        <v>114</v>
      </c>
      <c r="BR380" t="s">
        <v>114</v>
      </c>
      <c r="BS380" t="s">
        <v>114</v>
      </c>
      <c r="BT380" t="s">
        <v>114</v>
      </c>
      <c r="BU380" t="s">
        <v>114</v>
      </c>
      <c r="BV380" t="s">
        <v>114</v>
      </c>
      <c r="BW380" t="s">
        <v>114</v>
      </c>
      <c r="BX380" t="s">
        <v>114</v>
      </c>
      <c r="BY380" t="s">
        <v>114</v>
      </c>
      <c r="BZ380" t="s">
        <v>114</v>
      </c>
      <c r="CA380" t="s">
        <v>114</v>
      </c>
      <c r="CB380" t="s">
        <v>114</v>
      </c>
      <c r="CC380" t="s">
        <v>114</v>
      </c>
      <c r="CD380" t="s">
        <v>114</v>
      </c>
      <c r="CE380" t="s">
        <v>114</v>
      </c>
      <c r="CF380" t="s">
        <v>114</v>
      </c>
      <c r="CG380" t="s">
        <v>114</v>
      </c>
      <c r="CH380" t="s">
        <v>114</v>
      </c>
      <c r="CI380" t="s">
        <v>114</v>
      </c>
      <c r="CJ380" t="s">
        <v>114</v>
      </c>
      <c r="CK380" t="s">
        <v>114</v>
      </c>
      <c r="CL380" t="s">
        <v>114</v>
      </c>
      <c r="CM380" t="s">
        <v>114</v>
      </c>
      <c r="CN380" t="s">
        <v>114</v>
      </c>
      <c r="CO380" t="s">
        <v>114</v>
      </c>
      <c r="CP380" t="s">
        <v>114</v>
      </c>
      <c r="CQ380" t="s">
        <v>114</v>
      </c>
      <c r="CR380" t="s">
        <v>114</v>
      </c>
      <c r="CS380" t="s">
        <v>114</v>
      </c>
      <c r="CT380" t="s">
        <v>114</v>
      </c>
      <c r="CU380" t="s">
        <v>114</v>
      </c>
      <c r="CV380" t="s">
        <v>114</v>
      </c>
      <c r="CW380" t="s">
        <v>114</v>
      </c>
    </row>
    <row r="381" spans="1:101" x14ac:dyDescent="0.25">
      <c r="A381" t="s">
        <v>88</v>
      </c>
      <c r="B381">
        <v>6</v>
      </c>
      <c r="C381" t="s">
        <v>31</v>
      </c>
      <c r="D381" t="s">
        <v>95</v>
      </c>
      <c r="E381" t="s">
        <v>110</v>
      </c>
      <c r="F381" t="s">
        <v>120</v>
      </c>
      <c r="G381" t="s">
        <v>270</v>
      </c>
      <c r="H381" t="str">
        <f t="shared" si="41"/>
        <v>M.minima.Solo.Shade</v>
      </c>
      <c r="I381" t="s">
        <v>744</v>
      </c>
      <c r="J381" t="s">
        <v>655</v>
      </c>
      <c r="K381">
        <v>0</v>
      </c>
      <c r="L381">
        <v>180</v>
      </c>
      <c r="M381">
        <v>30</v>
      </c>
      <c r="N381">
        <v>30</v>
      </c>
      <c r="O381" t="s">
        <v>114</v>
      </c>
      <c r="P381">
        <v>12</v>
      </c>
      <c r="Q381">
        <v>15</v>
      </c>
      <c r="R381">
        <v>15</v>
      </c>
      <c r="S381">
        <f t="shared" si="42"/>
        <v>15</v>
      </c>
      <c r="T381">
        <f t="shared" si="43"/>
        <v>0.5</v>
      </c>
      <c r="U381" t="s">
        <v>29</v>
      </c>
      <c r="V381" t="s">
        <v>114</v>
      </c>
      <c r="W381" t="s">
        <v>114</v>
      </c>
      <c r="X381">
        <v>15.9</v>
      </c>
      <c r="Y381">
        <v>11.5</v>
      </c>
      <c r="Z381">
        <v>18.399999999999999</v>
      </c>
      <c r="AA381">
        <v>15.266666669999999</v>
      </c>
      <c r="AB381">
        <v>12.5</v>
      </c>
      <c r="AC381">
        <v>12</v>
      </c>
      <c r="AD381">
        <v>12.5</v>
      </c>
      <c r="AE381">
        <v>13</v>
      </c>
      <c r="AF381">
        <v>12.5</v>
      </c>
      <c r="AG381">
        <v>12</v>
      </c>
      <c r="AH381">
        <v>15.4</v>
      </c>
      <c r="AI381">
        <v>15.9</v>
      </c>
      <c r="AJ381">
        <v>14.43333333</v>
      </c>
      <c r="AK381">
        <v>10.5</v>
      </c>
      <c r="AL381">
        <v>10</v>
      </c>
      <c r="AM381">
        <v>12.5</v>
      </c>
      <c r="AN381">
        <v>11</v>
      </c>
      <c r="AO381">
        <v>11</v>
      </c>
      <c r="AP381">
        <v>8.5</v>
      </c>
      <c r="AQ381">
        <v>4.5999999999999996</v>
      </c>
      <c r="AR381">
        <v>5.6</v>
      </c>
      <c r="AS381">
        <v>6.233333333</v>
      </c>
      <c r="AT381">
        <v>4.5999999999999996</v>
      </c>
      <c r="AU381">
        <v>5.6</v>
      </c>
      <c r="AV381">
        <v>5.0999999999999996</v>
      </c>
      <c r="AW381">
        <v>5.0999999999999996</v>
      </c>
      <c r="AX381">
        <v>5.0999999999999996</v>
      </c>
      <c r="AY381">
        <v>-7.4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1</v>
      </c>
      <c r="BF381">
        <v>0</v>
      </c>
      <c r="BG381">
        <v>0</v>
      </c>
      <c r="BI381">
        <v>15.5</v>
      </c>
      <c r="BJ381">
        <v>42.4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f t="shared" si="45"/>
        <v>0</v>
      </c>
      <c r="BQ381" t="s">
        <v>114</v>
      </c>
      <c r="BR381" t="s">
        <v>114</v>
      </c>
      <c r="BS381" t="s">
        <v>114</v>
      </c>
      <c r="BT381" t="s">
        <v>114</v>
      </c>
      <c r="BU381" t="s">
        <v>114</v>
      </c>
      <c r="BV381" t="s">
        <v>114</v>
      </c>
      <c r="BW381" t="s">
        <v>114</v>
      </c>
      <c r="BX381" t="s">
        <v>114</v>
      </c>
      <c r="BY381" t="s">
        <v>114</v>
      </c>
      <c r="BZ381" t="s">
        <v>114</v>
      </c>
      <c r="CA381" t="s">
        <v>114</v>
      </c>
      <c r="CB381" t="s">
        <v>114</v>
      </c>
      <c r="CC381" t="s">
        <v>114</v>
      </c>
      <c r="CD381" t="s">
        <v>114</v>
      </c>
      <c r="CE381" t="s">
        <v>114</v>
      </c>
      <c r="CF381" t="s">
        <v>114</v>
      </c>
      <c r="CG381" t="s">
        <v>114</v>
      </c>
      <c r="CH381" t="s">
        <v>114</v>
      </c>
      <c r="CI381" t="s">
        <v>114</v>
      </c>
      <c r="CJ381" t="s">
        <v>114</v>
      </c>
      <c r="CK381" t="s">
        <v>114</v>
      </c>
      <c r="CL381" t="s">
        <v>114</v>
      </c>
      <c r="CM381" t="s">
        <v>114</v>
      </c>
      <c r="CN381" t="s">
        <v>114</v>
      </c>
      <c r="CO381" t="s">
        <v>114</v>
      </c>
      <c r="CP381" t="s">
        <v>114</v>
      </c>
      <c r="CQ381" t="s">
        <v>114</v>
      </c>
      <c r="CR381" t="s">
        <v>114</v>
      </c>
      <c r="CS381" t="s">
        <v>114</v>
      </c>
      <c r="CT381" t="s">
        <v>114</v>
      </c>
      <c r="CU381" t="s">
        <v>114</v>
      </c>
      <c r="CV381" t="s">
        <v>114</v>
      </c>
      <c r="CW381" t="s">
        <v>114</v>
      </c>
    </row>
    <row r="382" spans="1:101" x14ac:dyDescent="0.25">
      <c r="A382" t="s">
        <v>88</v>
      </c>
      <c r="B382">
        <v>6</v>
      </c>
      <c r="C382" t="s">
        <v>31</v>
      </c>
      <c r="D382" t="s">
        <v>95</v>
      </c>
      <c r="E382" t="s">
        <v>112</v>
      </c>
      <c r="F382" t="s">
        <v>120</v>
      </c>
      <c r="G382" t="s">
        <v>269</v>
      </c>
      <c r="H382" t="str">
        <f t="shared" si="41"/>
        <v>V.rosea.Solo.Shade</v>
      </c>
      <c r="I382" t="s">
        <v>741</v>
      </c>
      <c r="J382" t="s">
        <v>656</v>
      </c>
      <c r="K382">
        <v>0</v>
      </c>
      <c r="L382">
        <v>100</v>
      </c>
      <c r="M382">
        <v>70</v>
      </c>
      <c r="N382">
        <v>70</v>
      </c>
      <c r="O382" t="s">
        <v>114</v>
      </c>
      <c r="P382">
        <v>40</v>
      </c>
      <c r="Q382">
        <v>150</v>
      </c>
      <c r="R382">
        <v>120</v>
      </c>
      <c r="S382">
        <f t="shared" si="42"/>
        <v>135</v>
      </c>
      <c r="T382">
        <f t="shared" si="43"/>
        <v>1.9285714285714286</v>
      </c>
      <c r="U382" t="s">
        <v>793</v>
      </c>
      <c r="V382" t="s">
        <v>114</v>
      </c>
      <c r="W382" t="s">
        <v>114</v>
      </c>
      <c r="X382">
        <v>15.9</v>
      </c>
      <c r="Y382">
        <v>11.5</v>
      </c>
      <c r="Z382">
        <v>18.399999999999999</v>
      </c>
      <c r="AA382">
        <v>15.266666669999999</v>
      </c>
      <c r="AB382">
        <v>11</v>
      </c>
      <c r="AC382">
        <v>11.5</v>
      </c>
      <c r="AD382">
        <v>10</v>
      </c>
      <c r="AE382">
        <v>11.5</v>
      </c>
      <c r="AF382">
        <v>11</v>
      </c>
      <c r="AG382">
        <v>12</v>
      </c>
      <c r="AH382">
        <v>15.4</v>
      </c>
      <c r="AI382">
        <v>15.9</v>
      </c>
      <c r="AJ382">
        <v>14.43333333</v>
      </c>
      <c r="AK382">
        <v>12</v>
      </c>
      <c r="AL382">
        <v>11</v>
      </c>
      <c r="AM382">
        <v>11.5</v>
      </c>
      <c r="AN382">
        <v>11.5</v>
      </c>
      <c r="AO382">
        <v>11.5</v>
      </c>
      <c r="AP382">
        <v>8.5</v>
      </c>
      <c r="AQ382">
        <v>4.5999999999999996</v>
      </c>
      <c r="AR382">
        <v>5.6</v>
      </c>
      <c r="AS382">
        <v>6.233333333</v>
      </c>
      <c r="AT382">
        <v>5.0999999999999996</v>
      </c>
      <c r="AU382">
        <v>4.5999999999999996</v>
      </c>
      <c r="AV382">
        <v>4.5999999999999996</v>
      </c>
      <c r="AW382">
        <v>4.766666667</v>
      </c>
      <c r="AX382">
        <v>4.766666667</v>
      </c>
      <c r="AY382">
        <v>-6.233333333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1</v>
      </c>
      <c r="BF382">
        <v>0</v>
      </c>
      <c r="BG382">
        <v>0</v>
      </c>
      <c r="BI382">
        <v>15.5</v>
      </c>
      <c r="BJ382">
        <v>42.4</v>
      </c>
      <c r="BK382">
        <v>0</v>
      </c>
      <c r="BL382">
        <v>13</v>
      </c>
      <c r="BM382">
        <v>11</v>
      </c>
      <c r="BN382">
        <v>48</v>
      </c>
      <c r="BO382">
        <v>50</v>
      </c>
      <c r="BP382">
        <f t="shared" si="45"/>
        <v>-2</v>
      </c>
      <c r="BQ382" t="s">
        <v>114</v>
      </c>
      <c r="BR382" t="s">
        <v>114</v>
      </c>
      <c r="BS382" t="s">
        <v>114</v>
      </c>
      <c r="BT382" t="s">
        <v>114</v>
      </c>
      <c r="BU382" t="s">
        <v>114</v>
      </c>
      <c r="BV382" t="s">
        <v>114</v>
      </c>
      <c r="BW382" t="s">
        <v>114</v>
      </c>
      <c r="BX382" t="s">
        <v>114</v>
      </c>
      <c r="BY382" t="s">
        <v>114</v>
      </c>
      <c r="BZ382" t="s">
        <v>114</v>
      </c>
      <c r="CA382" t="s">
        <v>114</v>
      </c>
      <c r="CB382" t="s">
        <v>114</v>
      </c>
      <c r="CC382" t="s">
        <v>114</v>
      </c>
      <c r="CD382" t="s">
        <v>114</v>
      </c>
      <c r="CE382" t="s">
        <v>114</v>
      </c>
      <c r="CF382" t="s">
        <v>114</v>
      </c>
      <c r="CG382" t="s">
        <v>114</v>
      </c>
      <c r="CH382" t="s">
        <v>114</v>
      </c>
      <c r="CI382" t="s">
        <v>114</v>
      </c>
      <c r="CJ382" t="s">
        <v>114</v>
      </c>
      <c r="CK382" t="s">
        <v>114</v>
      </c>
      <c r="CL382" t="s">
        <v>114</v>
      </c>
      <c r="CM382" t="s">
        <v>114</v>
      </c>
      <c r="CN382" t="s">
        <v>114</v>
      </c>
      <c r="CO382" t="s">
        <v>114</v>
      </c>
      <c r="CP382" t="s">
        <v>114</v>
      </c>
      <c r="CQ382" t="s">
        <v>114</v>
      </c>
      <c r="CR382" t="s">
        <v>114</v>
      </c>
      <c r="CS382" t="s">
        <v>114</v>
      </c>
      <c r="CT382" t="s">
        <v>114</v>
      </c>
      <c r="CU382" t="s">
        <v>114</v>
      </c>
      <c r="CV382" t="s">
        <v>114</v>
      </c>
      <c r="CW382" t="s">
        <v>114</v>
      </c>
    </row>
    <row r="383" spans="1:101" x14ac:dyDescent="0.25">
      <c r="A383" t="s">
        <v>89</v>
      </c>
      <c r="B383">
        <v>6</v>
      </c>
      <c r="C383" t="s">
        <v>33</v>
      </c>
      <c r="D383" t="s">
        <v>95</v>
      </c>
      <c r="E383" t="s">
        <v>104</v>
      </c>
      <c r="F383" t="s">
        <v>120</v>
      </c>
      <c r="G383" t="s">
        <v>272</v>
      </c>
      <c r="H383" t="str">
        <f t="shared" si="41"/>
        <v>T.cyanopetala.Solo.Shade</v>
      </c>
      <c r="I383" t="s">
        <v>745</v>
      </c>
      <c r="J383" t="s">
        <v>657</v>
      </c>
      <c r="K383">
        <v>0</v>
      </c>
      <c r="L383">
        <v>45</v>
      </c>
      <c r="M383">
        <v>150</v>
      </c>
      <c r="N383">
        <v>150</v>
      </c>
      <c r="O383" t="s">
        <v>114</v>
      </c>
      <c r="P383">
        <v>40</v>
      </c>
      <c r="Q383">
        <v>50</v>
      </c>
      <c r="R383">
        <v>25</v>
      </c>
      <c r="S383">
        <f t="shared" si="42"/>
        <v>37.5</v>
      </c>
      <c r="T383">
        <f t="shared" si="43"/>
        <v>0.25</v>
      </c>
      <c r="U383" t="s">
        <v>794</v>
      </c>
      <c r="V383" t="s">
        <v>114</v>
      </c>
      <c r="W383" t="s">
        <v>114</v>
      </c>
      <c r="X383">
        <v>13</v>
      </c>
      <c r="Y383">
        <v>13.9</v>
      </c>
      <c r="Z383">
        <v>16.899999999999999</v>
      </c>
      <c r="AA383">
        <v>14.6</v>
      </c>
      <c r="AB383">
        <v>13.43333333</v>
      </c>
      <c r="AC383">
        <v>16.399999999999999</v>
      </c>
      <c r="AD383">
        <v>10</v>
      </c>
      <c r="AE383">
        <v>13.9</v>
      </c>
      <c r="AF383">
        <v>13.43333333</v>
      </c>
      <c r="AG383">
        <v>13.9</v>
      </c>
      <c r="AH383">
        <v>16.399999999999999</v>
      </c>
      <c r="AI383">
        <v>14.4</v>
      </c>
      <c r="AJ383">
        <v>14.9</v>
      </c>
      <c r="AK383">
        <v>12</v>
      </c>
      <c r="AL383">
        <v>13.5</v>
      </c>
      <c r="AM383">
        <v>14.9</v>
      </c>
      <c r="AN383">
        <v>13.46666667</v>
      </c>
      <c r="AO383">
        <v>13.46666667</v>
      </c>
      <c r="AP383">
        <v>6.6</v>
      </c>
      <c r="AQ383">
        <v>6.6</v>
      </c>
      <c r="AR383" t="s">
        <v>114</v>
      </c>
      <c r="AS383">
        <v>6.6</v>
      </c>
      <c r="AT383">
        <v>6.1</v>
      </c>
      <c r="AU383">
        <v>5.0999999999999996</v>
      </c>
      <c r="AV383">
        <v>6.6</v>
      </c>
      <c r="AW383">
        <v>5.9333333330000002</v>
      </c>
      <c r="AX383">
        <v>5.9333333330000002</v>
      </c>
      <c r="AY383">
        <v>-7.5</v>
      </c>
      <c r="AZ383">
        <v>70</v>
      </c>
      <c r="BA383">
        <v>0</v>
      </c>
      <c r="BB383">
        <v>0</v>
      </c>
      <c r="BC383">
        <v>30</v>
      </c>
      <c r="BD383">
        <v>0</v>
      </c>
      <c r="BE383">
        <v>1</v>
      </c>
      <c r="BF383">
        <v>0</v>
      </c>
      <c r="BG383">
        <v>0</v>
      </c>
      <c r="BI383">
        <v>8.8000000000000007</v>
      </c>
      <c r="BJ383">
        <v>42.4</v>
      </c>
      <c r="BK383">
        <v>0</v>
      </c>
      <c r="BL383">
        <v>11</v>
      </c>
      <c r="BM383">
        <v>9</v>
      </c>
      <c r="BN383">
        <v>44</v>
      </c>
      <c r="BO383">
        <v>44</v>
      </c>
      <c r="BP383">
        <f t="shared" si="45"/>
        <v>0</v>
      </c>
      <c r="BQ383" t="s">
        <v>114</v>
      </c>
      <c r="BR383" t="s">
        <v>114</v>
      </c>
      <c r="BS383" t="s">
        <v>114</v>
      </c>
      <c r="BT383" t="s">
        <v>114</v>
      </c>
      <c r="BU383" t="s">
        <v>114</v>
      </c>
      <c r="BV383" t="s">
        <v>114</v>
      </c>
      <c r="BW383" t="s">
        <v>114</v>
      </c>
      <c r="BX383" t="s">
        <v>114</v>
      </c>
      <c r="BY383" t="s">
        <v>114</v>
      </c>
      <c r="BZ383" t="s">
        <v>114</v>
      </c>
      <c r="CA383" t="s">
        <v>114</v>
      </c>
      <c r="CB383" t="s">
        <v>114</v>
      </c>
      <c r="CC383" t="s">
        <v>114</v>
      </c>
      <c r="CD383" t="s">
        <v>114</v>
      </c>
      <c r="CE383" t="s">
        <v>114</v>
      </c>
      <c r="CF383" t="s">
        <v>114</v>
      </c>
      <c r="CG383" t="s">
        <v>114</v>
      </c>
      <c r="CH383" t="s">
        <v>114</v>
      </c>
      <c r="CI383" t="s">
        <v>114</v>
      </c>
      <c r="CJ383" t="s">
        <v>114</v>
      </c>
      <c r="CK383" t="s">
        <v>114</v>
      </c>
      <c r="CL383" t="s">
        <v>114</v>
      </c>
      <c r="CM383" t="s">
        <v>114</v>
      </c>
      <c r="CN383" t="s">
        <v>114</v>
      </c>
      <c r="CO383" t="s">
        <v>114</v>
      </c>
      <c r="CP383" t="s">
        <v>114</v>
      </c>
      <c r="CQ383" t="s">
        <v>114</v>
      </c>
      <c r="CR383" t="s">
        <v>114</v>
      </c>
      <c r="CS383" t="s">
        <v>114</v>
      </c>
      <c r="CT383" t="s">
        <v>114</v>
      </c>
      <c r="CU383" t="s">
        <v>114</v>
      </c>
      <c r="CV383" t="s">
        <v>114</v>
      </c>
      <c r="CW383" t="s">
        <v>114</v>
      </c>
    </row>
    <row r="384" spans="1:101" x14ac:dyDescent="0.25">
      <c r="A384" t="s">
        <v>89</v>
      </c>
      <c r="B384">
        <v>6</v>
      </c>
      <c r="C384" t="s">
        <v>33</v>
      </c>
      <c r="D384" t="s">
        <v>95</v>
      </c>
      <c r="E384" t="s">
        <v>112</v>
      </c>
      <c r="F384" t="s">
        <v>120</v>
      </c>
      <c r="G384" t="s">
        <v>269</v>
      </c>
      <c r="H384" t="str">
        <f t="shared" si="41"/>
        <v>V.rosea.Solo.Shade</v>
      </c>
      <c r="I384" t="s">
        <v>741</v>
      </c>
      <c r="J384" t="s">
        <v>658</v>
      </c>
      <c r="K384">
        <v>0</v>
      </c>
      <c r="L384">
        <v>45</v>
      </c>
      <c r="M384">
        <v>120</v>
      </c>
      <c r="N384">
        <v>120</v>
      </c>
      <c r="O384" t="s">
        <v>114</v>
      </c>
      <c r="P384">
        <v>50</v>
      </c>
      <c r="Q384">
        <v>150</v>
      </c>
      <c r="R384">
        <v>15</v>
      </c>
      <c r="S384">
        <f t="shared" si="42"/>
        <v>82.5</v>
      </c>
      <c r="T384">
        <f t="shared" si="43"/>
        <v>0.6875</v>
      </c>
      <c r="U384" t="s">
        <v>794</v>
      </c>
      <c r="V384" t="s">
        <v>114</v>
      </c>
      <c r="W384" t="s">
        <v>114</v>
      </c>
      <c r="X384">
        <v>13</v>
      </c>
      <c r="Y384">
        <v>13.9</v>
      </c>
      <c r="Z384">
        <v>16.899999999999999</v>
      </c>
      <c r="AA384">
        <v>14.6</v>
      </c>
      <c r="AB384">
        <v>18.233333330000001</v>
      </c>
      <c r="AC384">
        <v>18.899999999999999</v>
      </c>
      <c r="AD384">
        <v>18.399999999999999</v>
      </c>
      <c r="AE384">
        <v>17.399999999999999</v>
      </c>
      <c r="AF384">
        <v>18.233333330000001</v>
      </c>
      <c r="AG384">
        <v>13.9</v>
      </c>
      <c r="AH384">
        <v>16.399999999999999</v>
      </c>
      <c r="AI384">
        <v>14.4</v>
      </c>
      <c r="AJ384">
        <v>14.9</v>
      </c>
      <c r="AK384">
        <v>18.899999999999999</v>
      </c>
      <c r="AL384">
        <v>14.9</v>
      </c>
      <c r="AM384">
        <v>15.4</v>
      </c>
      <c r="AN384">
        <v>16.399999999999999</v>
      </c>
      <c r="AO384">
        <v>16.399999999999999</v>
      </c>
      <c r="AP384">
        <v>6.6</v>
      </c>
      <c r="AQ384">
        <v>6.6</v>
      </c>
      <c r="AR384" t="s">
        <v>114</v>
      </c>
      <c r="AS384">
        <v>6.6</v>
      </c>
      <c r="AT384">
        <v>6.1</v>
      </c>
      <c r="AU384">
        <v>6.6</v>
      </c>
      <c r="AV384">
        <v>6.1</v>
      </c>
      <c r="AW384">
        <v>6.266666667</v>
      </c>
      <c r="AX384">
        <v>6.266666667</v>
      </c>
      <c r="AY384">
        <v>-11.96666667</v>
      </c>
      <c r="AZ384">
        <v>50</v>
      </c>
      <c r="BA384">
        <v>40</v>
      </c>
      <c r="BB384">
        <v>10</v>
      </c>
      <c r="BC384">
        <v>0</v>
      </c>
      <c r="BD384">
        <v>0</v>
      </c>
      <c r="BE384">
        <v>1</v>
      </c>
      <c r="BF384">
        <v>0</v>
      </c>
      <c r="BG384">
        <v>0</v>
      </c>
      <c r="BI384">
        <v>8.8000000000000007</v>
      </c>
      <c r="BJ384">
        <v>42.4</v>
      </c>
      <c r="BK384">
        <v>0</v>
      </c>
      <c r="BL384">
        <v>39</v>
      </c>
      <c r="BM384">
        <v>23</v>
      </c>
      <c r="BN384">
        <v>78</v>
      </c>
      <c r="BO384">
        <v>50</v>
      </c>
      <c r="BP384">
        <f t="shared" si="45"/>
        <v>28</v>
      </c>
      <c r="BQ384" t="s">
        <v>114</v>
      </c>
      <c r="BR384" t="s">
        <v>114</v>
      </c>
      <c r="BS384" t="s">
        <v>114</v>
      </c>
      <c r="BT384" t="s">
        <v>114</v>
      </c>
      <c r="BU384" t="s">
        <v>114</v>
      </c>
      <c r="BV384" t="s">
        <v>114</v>
      </c>
      <c r="BW384" t="s">
        <v>114</v>
      </c>
      <c r="BX384" t="s">
        <v>114</v>
      </c>
      <c r="BY384" t="s">
        <v>114</v>
      </c>
      <c r="BZ384" t="s">
        <v>114</v>
      </c>
      <c r="CA384" t="s">
        <v>114</v>
      </c>
      <c r="CB384" t="s">
        <v>114</v>
      </c>
      <c r="CC384" t="s">
        <v>114</v>
      </c>
      <c r="CD384" t="s">
        <v>114</v>
      </c>
      <c r="CE384" t="s">
        <v>114</v>
      </c>
      <c r="CF384" t="s">
        <v>114</v>
      </c>
      <c r="CG384" t="s">
        <v>114</v>
      </c>
      <c r="CH384" t="s">
        <v>114</v>
      </c>
      <c r="CI384" t="s">
        <v>114</v>
      </c>
      <c r="CJ384" t="s">
        <v>114</v>
      </c>
      <c r="CK384" t="s">
        <v>114</v>
      </c>
      <c r="CL384" t="s">
        <v>114</v>
      </c>
      <c r="CM384" t="s">
        <v>114</v>
      </c>
      <c r="CN384" t="s">
        <v>114</v>
      </c>
      <c r="CO384" t="s">
        <v>114</v>
      </c>
      <c r="CP384" t="s">
        <v>114</v>
      </c>
      <c r="CQ384" t="s">
        <v>114</v>
      </c>
      <c r="CR384" t="s">
        <v>114</v>
      </c>
      <c r="CS384" t="s">
        <v>114</v>
      </c>
      <c r="CT384" t="s">
        <v>114</v>
      </c>
      <c r="CU384" t="s">
        <v>114</v>
      </c>
      <c r="CV384" t="s">
        <v>114</v>
      </c>
      <c r="CW384" t="s">
        <v>114</v>
      </c>
    </row>
    <row r="385" spans="1:101" x14ac:dyDescent="0.25">
      <c r="A385" t="s">
        <v>90</v>
      </c>
      <c r="B385">
        <v>6</v>
      </c>
      <c r="C385" t="s">
        <v>35</v>
      </c>
      <c r="D385" t="s">
        <v>94</v>
      </c>
      <c r="E385" t="s">
        <v>111</v>
      </c>
      <c r="F385" t="s">
        <v>120</v>
      </c>
      <c r="G385" t="s">
        <v>271</v>
      </c>
      <c r="H385" t="str">
        <f t="shared" si="41"/>
        <v>P.canescens.Solo.Open</v>
      </c>
      <c r="I385" t="s">
        <v>739</v>
      </c>
      <c r="J385" t="s">
        <v>659</v>
      </c>
      <c r="K385">
        <v>0</v>
      </c>
      <c r="L385">
        <v>310</v>
      </c>
      <c r="M385">
        <v>490</v>
      </c>
      <c r="N385">
        <v>490</v>
      </c>
      <c r="O385" t="s">
        <v>114</v>
      </c>
      <c r="P385">
        <v>115</v>
      </c>
      <c r="Q385">
        <v>120</v>
      </c>
      <c r="R385">
        <v>90</v>
      </c>
      <c r="S385">
        <f t="shared" si="42"/>
        <v>105</v>
      </c>
      <c r="T385">
        <f t="shared" si="43"/>
        <v>0.21428571428571427</v>
      </c>
      <c r="U385" t="s">
        <v>15</v>
      </c>
      <c r="V385" t="s">
        <v>114</v>
      </c>
      <c r="W385" t="s">
        <v>114</v>
      </c>
      <c r="X385">
        <v>10</v>
      </c>
      <c r="Y385">
        <v>10</v>
      </c>
      <c r="Z385">
        <v>10.5</v>
      </c>
      <c r="AA385">
        <v>10.16666667</v>
      </c>
      <c r="AB385">
        <v>10.83333333</v>
      </c>
      <c r="AC385">
        <v>10</v>
      </c>
      <c r="AD385">
        <v>10.5</v>
      </c>
      <c r="AE385">
        <v>12</v>
      </c>
      <c r="AF385">
        <v>10.83333333</v>
      </c>
      <c r="AG385">
        <v>9</v>
      </c>
      <c r="AH385">
        <v>10</v>
      </c>
      <c r="AI385">
        <v>11</v>
      </c>
      <c r="AJ385">
        <v>10</v>
      </c>
      <c r="AK385">
        <v>9.5</v>
      </c>
      <c r="AL385">
        <v>9.5</v>
      </c>
      <c r="AM385">
        <v>9.5</v>
      </c>
      <c r="AN385">
        <v>9.5</v>
      </c>
      <c r="AO385">
        <v>9.5</v>
      </c>
      <c r="AP385">
        <v>4.0999999999999996</v>
      </c>
      <c r="AQ385">
        <v>4.0999999999999996</v>
      </c>
      <c r="AR385">
        <v>4.5999999999999996</v>
      </c>
      <c r="AS385">
        <v>4.266666667</v>
      </c>
      <c r="AT385">
        <v>5.0999999999999996</v>
      </c>
      <c r="AU385">
        <v>3.6</v>
      </c>
      <c r="AV385">
        <v>5.6</v>
      </c>
      <c r="AW385">
        <v>4.766666667</v>
      </c>
      <c r="AX385">
        <v>4.766666667</v>
      </c>
      <c r="AY385">
        <v>-6.0666666669999998</v>
      </c>
      <c r="AZ385">
        <v>40</v>
      </c>
      <c r="BA385">
        <v>30</v>
      </c>
      <c r="BB385">
        <v>30</v>
      </c>
      <c r="BC385">
        <v>0</v>
      </c>
      <c r="BD385">
        <v>0</v>
      </c>
      <c r="BE385">
        <v>1</v>
      </c>
      <c r="BF385">
        <v>0</v>
      </c>
      <c r="BG385">
        <v>0</v>
      </c>
      <c r="BI385">
        <v>15.3</v>
      </c>
      <c r="BJ385">
        <v>4.1269999999999998</v>
      </c>
      <c r="BK385">
        <v>0</v>
      </c>
      <c r="BL385">
        <v>66</v>
      </c>
      <c r="BM385">
        <v>50</v>
      </c>
      <c r="BN385">
        <v>4442</v>
      </c>
      <c r="BO385">
        <v>4600</v>
      </c>
      <c r="BP385">
        <f t="shared" si="45"/>
        <v>-158</v>
      </c>
      <c r="BQ385" t="s">
        <v>114</v>
      </c>
      <c r="BR385" t="s">
        <v>114</v>
      </c>
      <c r="BS385" t="s">
        <v>114</v>
      </c>
      <c r="BT385" t="s">
        <v>114</v>
      </c>
      <c r="BU385" t="s">
        <v>114</v>
      </c>
      <c r="BV385" t="s">
        <v>114</v>
      </c>
      <c r="BW385" t="s">
        <v>114</v>
      </c>
      <c r="BX385" t="s">
        <v>114</v>
      </c>
      <c r="BY385" t="s">
        <v>114</v>
      </c>
      <c r="BZ385" t="s">
        <v>114</v>
      </c>
      <c r="CA385" t="s">
        <v>114</v>
      </c>
      <c r="CB385" t="s">
        <v>114</v>
      </c>
      <c r="CC385" t="s">
        <v>114</v>
      </c>
      <c r="CD385" t="s">
        <v>114</v>
      </c>
      <c r="CE385" t="s">
        <v>114</v>
      </c>
      <c r="CF385" t="s">
        <v>114</v>
      </c>
      <c r="CG385" t="s">
        <v>114</v>
      </c>
      <c r="CH385" t="s">
        <v>114</v>
      </c>
      <c r="CI385" t="s">
        <v>114</v>
      </c>
      <c r="CJ385" t="s">
        <v>114</v>
      </c>
      <c r="CK385" t="s">
        <v>114</v>
      </c>
      <c r="CL385" t="s">
        <v>114</v>
      </c>
      <c r="CM385" t="s">
        <v>114</v>
      </c>
      <c r="CN385" t="s">
        <v>114</v>
      </c>
      <c r="CO385" t="s">
        <v>114</v>
      </c>
      <c r="CP385" t="s">
        <v>114</v>
      </c>
      <c r="CQ385" t="s">
        <v>114</v>
      </c>
      <c r="CR385" t="s">
        <v>114</v>
      </c>
      <c r="CS385" t="s">
        <v>114</v>
      </c>
      <c r="CT385" t="s">
        <v>114</v>
      </c>
      <c r="CU385" t="s">
        <v>114</v>
      </c>
      <c r="CV385" t="s">
        <v>114</v>
      </c>
      <c r="CW385" t="s">
        <v>114</v>
      </c>
    </row>
    <row r="386" spans="1:101" x14ac:dyDescent="0.25">
      <c r="A386" t="s">
        <v>90</v>
      </c>
      <c r="B386">
        <v>6</v>
      </c>
      <c r="C386" t="s">
        <v>35</v>
      </c>
      <c r="D386" t="s">
        <v>94</v>
      </c>
      <c r="E386" t="s">
        <v>104</v>
      </c>
      <c r="F386" t="s">
        <v>120</v>
      </c>
      <c r="G386" t="s">
        <v>272</v>
      </c>
      <c r="H386" t="str">
        <f t="shared" ref="H386:H389" si="46">G386&amp;"."&amp;D386</f>
        <v>T.cyanopetala.Solo.Open</v>
      </c>
      <c r="I386" t="s">
        <v>738</v>
      </c>
      <c r="J386" t="s">
        <v>660</v>
      </c>
      <c r="K386">
        <v>0</v>
      </c>
      <c r="L386">
        <v>120</v>
      </c>
      <c r="M386">
        <v>95</v>
      </c>
      <c r="N386">
        <v>95</v>
      </c>
      <c r="O386" t="s">
        <v>114</v>
      </c>
      <c r="P386">
        <v>40</v>
      </c>
      <c r="Q386">
        <v>40</v>
      </c>
      <c r="R386">
        <v>25</v>
      </c>
      <c r="S386">
        <f t="shared" si="42"/>
        <v>32.5</v>
      </c>
      <c r="T386">
        <f t="shared" si="43"/>
        <v>0.34210526315789475</v>
      </c>
      <c r="U386" t="s">
        <v>15</v>
      </c>
      <c r="V386" t="s">
        <v>114</v>
      </c>
      <c r="W386" t="s">
        <v>114</v>
      </c>
      <c r="X386">
        <v>10</v>
      </c>
      <c r="Y386">
        <v>10</v>
      </c>
      <c r="Z386">
        <v>10.5</v>
      </c>
      <c r="AA386">
        <v>10.16666667</v>
      </c>
      <c r="AB386">
        <v>11</v>
      </c>
      <c r="AC386">
        <v>10</v>
      </c>
      <c r="AD386">
        <v>11</v>
      </c>
      <c r="AE386">
        <v>12</v>
      </c>
      <c r="AF386">
        <v>11</v>
      </c>
      <c r="AG386">
        <v>9</v>
      </c>
      <c r="AH386">
        <v>10</v>
      </c>
      <c r="AI386">
        <v>11</v>
      </c>
      <c r="AJ386">
        <v>10</v>
      </c>
      <c r="AK386">
        <v>11</v>
      </c>
      <c r="AL386">
        <v>11.5</v>
      </c>
      <c r="AM386">
        <v>11.5</v>
      </c>
      <c r="AN386">
        <v>11.33333333</v>
      </c>
      <c r="AO386">
        <v>11.33333333</v>
      </c>
      <c r="AP386">
        <v>4.0999999999999996</v>
      </c>
      <c r="AQ386">
        <v>4.0999999999999996</v>
      </c>
      <c r="AR386">
        <v>4.5999999999999996</v>
      </c>
      <c r="AS386">
        <v>4.266666667</v>
      </c>
      <c r="AT386">
        <v>5.6</v>
      </c>
      <c r="AU386">
        <v>5.6</v>
      </c>
      <c r="AV386">
        <v>5.0999999999999996</v>
      </c>
      <c r="AW386">
        <v>5.4333333330000002</v>
      </c>
      <c r="AX386">
        <v>5.4333333330000002</v>
      </c>
      <c r="AY386">
        <v>-5.5666666669999998</v>
      </c>
      <c r="AZ386">
        <v>50</v>
      </c>
      <c r="BA386">
        <v>40</v>
      </c>
      <c r="BB386">
        <v>10</v>
      </c>
      <c r="BC386">
        <v>0</v>
      </c>
      <c r="BD386">
        <v>0</v>
      </c>
      <c r="BE386">
        <v>1</v>
      </c>
      <c r="BF386">
        <v>0</v>
      </c>
      <c r="BG386">
        <v>0</v>
      </c>
      <c r="BI386">
        <v>15.3</v>
      </c>
      <c r="BJ386">
        <v>4.1269999999999998</v>
      </c>
      <c r="BK386">
        <v>1</v>
      </c>
      <c r="BL386">
        <v>8</v>
      </c>
      <c r="BM386">
        <v>8</v>
      </c>
      <c r="BN386">
        <v>78</v>
      </c>
      <c r="BO386">
        <v>48</v>
      </c>
      <c r="BP386">
        <f t="shared" si="45"/>
        <v>30</v>
      </c>
      <c r="BQ386" t="s">
        <v>114</v>
      </c>
      <c r="BR386" t="s">
        <v>114</v>
      </c>
      <c r="BS386" t="s">
        <v>114</v>
      </c>
      <c r="BT386" t="s">
        <v>114</v>
      </c>
      <c r="BU386" t="s">
        <v>114</v>
      </c>
      <c r="BV386" t="s">
        <v>114</v>
      </c>
      <c r="BW386" t="s">
        <v>114</v>
      </c>
      <c r="BX386" t="s">
        <v>114</v>
      </c>
      <c r="BY386" t="s">
        <v>114</v>
      </c>
      <c r="BZ386" t="s">
        <v>114</v>
      </c>
      <c r="CA386" t="s">
        <v>114</v>
      </c>
      <c r="CB386" t="s">
        <v>114</v>
      </c>
      <c r="CC386" t="s">
        <v>114</v>
      </c>
      <c r="CD386" t="s">
        <v>114</v>
      </c>
      <c r="CE386" t="s">
        <v>114</v>
      </c>
      <c r="CF386" t="s">
        <v>114</v>
      </c>
      <c r="CG386" t="s">
        <v>114</v>
      </c>
      <c r="CH386" t="s">
        <v>114</v>
      </c>
      <c r="CI386" t="s">
        <v>114</v>
      </c>
      <c r="CJ386" t="s">
        <v>114</v>
      </c>
      <c r="CK386" t="s">
        <v>114</v>
      </c>
      <c r="CL386" t="s">
        <v>114</v>
      </c>
      <c r="CM386" t="s">
        <v>114</v>
      </c>
      <c r="CN386" t="s">
        <v>114</v>
      </c>
      <c r="CO386" t="s">
        <v>114</v>
      </c>
      <c r="CP386" t="s">
        <v>114</v>
      </c>
      <c r="CQ386" t="s">
        <v>114</v>
      </c>
      <c r="CR386" t="s">
        <v>114</v>
      </c>
      <c r="CS386" t="s">
        <v>114</v>
      </c>
      <c r="CT386" t="s">
        <v>114</v>
      </c>
      <c r="CU386" t="s">
        <v>114</v>
      </c>
      <c r="CV386" t="s">
        <v>114</v>
      </c>
      <c r="CW386" t="s">
        <v>114</v>
      </c>
    </row>
    <row r="387" spans="1:101" x14ac:dyDescent="0.25">
      <c r="A387" t="s">
        <v>91</v>
      </c>
      <c r="B387">
        <v>6</v>
      </c>
      <c r="C387" t="s">
        <v>37</v>
      </c>
      <c r="D387" t="s">
        <v>94</v>
      </c>
      <c r="E387" t="s">
        <v>112</v>
      </c>
      <c r="F387" t="s">
        <v>120</v>
      </c>
      <c r="G387" t="s">
        <v>269</v>
      </c>
      <c r="H387" t="str">
        <f t="shared" si="46"/>
        <v>V.rosea.Solo.Open</v>
      </c>
      <c r="I387" t="s">
        <v>743</v>
      </c>
      <c r="J387" t="s">
        <v>661</v>
      </c>
      <c r="K387">
        <v>0</v>
      </c>
      <c r="L387">
        <v>60</v>
      </c>
      <c r="M387">
        <v>50</v>
      </c>
      <c r="N387">
        <v>50</v>
      </c>
      <c r="O387" t="s">
        <v>114</v>
      </c>
      <c r="P387">
        <v>72</v>
      </c>
      <c r="Q387">
        <v>210</v>
      </c>
      <c r="R387">
        <v>170</v>
      </c>
      <c r="S387">
        <f t="shared" ref="S387:S389" si="47">AVERAGE(Q387:R387)</f>
        <v>190</v>
      </c>
      <c r="T387">
        <f t="shared" ref="T387:T389" si="48">S387/N387</f>
        <v>3.8</v>
      </c>
      <c r="U387" t="s">
        <v>793</v>
      </c>
      <c r="V387" t="s">
        <v>114</v>
      </c>
      <c r="W387" t="s">
        <v>114</v>
      </c>
      <c r="X387">
        <v>9</v>
      </c>
      <c r="Y387">
        <v>8.1</v>
      </c>
      <c r="Z387">
        <v>13</v>
      </c>
      <c r="AA387">
        <v>10.03333333</v>
      </c>
      <c r="AB387">
        <v>10.66666667</v>
      </c>
      <c r="AC387">
        <v>10</v>
      </c>
      <c r="AD387">
        <v>11</v>
      </c>
      <c r="AE387">
        <v>11</v>
      </c>
      <c r="AF387">
        <v>10.66666667</v>
      </c>
      <c r="AG387">
        <v>7.1</v>
      </c>
      <c r="AH387">
        <v>8.5</v>
      </c>
      <c r="AI387">
        <v>12</v>
      </c>
      <c r="AJ387">
        <v>9.1999999999999993</v>
      </c>
      <c r="AK387">
        <v>9</v>
      </c>
      <c r="AL387">
        <v>9</v>
      </c>
      <c r="AM387">
        <v>10.5</v>
      </c>
      <c r="AN387">
        <v>9.5</v>
      </c>
      <c r="AO387">
        <v>9.5</v>
      </c>
      <c r="AP387">
        <v>4.0999999999999996</v>
      </c>
      <c r="AQ387">
        <v>4.0999999999999996</v>
      </c>
      <c r="AR387">
        <v>3.6</v>
      </c>
      <c r="AS387">
        <v>3.9333333330000002</v>
      </c>
      <c r="AT387">
        <v>5.0999999999999996</v>
      </c>
      <c r="AU387">
        <v>4.0999999999999996</v>
      </c>
      <c r="AV387">
        <v>4.5999999999999996</v>
      </c>
      <c r="AW387">
        <v>4.5999999999999996</v>
      </c>
      <c r="AX387">
        <v>4.5999999999999996</v>
      </c>
      <c r="AY387">
        <v>-6.0666666669999998</v>
      </c>
      <c r="AZ387">
        <v>75</v>
      </c>
      <c r="BA387">
        <v>0</v>
      </c>
      <c r="BB387">
        <v>25</v>
      </c>
      <c r="BC387">
        <v>0</v>
      </c>
      <c r="BD387">
        <v>0</v>
      </c>
      <c r="BE387">
        <v>0</v>
      </c>
      <c r="BF387">
        <v>0</v>
      </c>
      <c r="BG387">
        <v>0</v>
      </c>
      <c r="BI387">
        <v>15.9</v>
      </c>
      <c r="BJ387">
        <v>0.74299999999999999</v>
      </c>
      <c r="BK387">
        <v>0</v>
      </c>
      <c r="BL387">
        <v>52</v>
      </c>
      <c r="BM387">
        <v>52</v>
      </c>
      <c r="BN387">
        <v>251</v>
      </c>
      <c r="BO387">
        <v>152</v>
      </c>
      <c r="BP387">
        <f t="shared" ref="BP387:BP389" si="49">BN387-BO387</f>
        <v>99</v>
      </c>
      <c r="BQ387" t="s">
        <v>114</v>
      </c>
      <c r="BR387" t="s">
        <v>114</v>
      </c>
      <c r="BS387" t="s">
        <v>114</v>
      </c>
      <c r="BT387" t="s">
        <v>114</v>
      </c>
      <c r="BU387" t="s">
        <v>114</v>
      </c>
      <c r="BV387" t="s">
        <v>114</v>
      </c>
      <c r="BW387" t="s">
        <v>114</v>
      </c>
      <c r="BX387" t="s">
        <v>114</v>
      </c>
      <c r="BY387" t="s">
        <v>114</v>
      </c>
      <c r="BZ387" t="s">
        <v>114</v>
      </c>
      <c r="CA387" t="s">
        <v>114</v>
      </c>
      <c r="CB387" t="s">
        <v>114</v>
      </c>
      <c r="CC387" t="s">
        <v>114</v>
      </c>
      <c r="CD387" t="s">
        <v>114</v>
      </c>
      <c r="CE387" t="s">
        <v>114</v>
      </c>
      <c r="CF387" t="s">
        <v>114</v>
      </c>
      <c r="CG387" t="s">
        <v>114</v>
      </c>
      <c r="CH387" t="s">
        <v>114</v>
      </c>
      <c r="CI387" t="s">
        <v>114</v>
      </c>
      <c r="CJ387" t="s">
        <v>114</v>
      </c>
      <c r="CK387" t="s">
        <v>114</v>
      </c>
      <c r="CL387" t="s">
        <v>114</v>
      </c>
      <c r="CM387" t="s">
        <v>114</v>
      </c>
      <c r="CN387" t="s">
        <v>114</v>
      </c>
      <c r="CO387" t="s">
        <v>114</v>
      </c>
      <c r="CP387" t="s">
        <v>114</v>
      </c>
      <c r="CQ387" t="s">
        <v>114</v>
      </c>
      <c r="CR387" t="s">
        <v>114</v>
      </c>
      <c r="CS387" t="s">
        <v>114</v>
      </c>
      <c r="CT387" t="s">
        <v>114</v>
      </c>
      <c r="CU387" t="s">
        <v>114</v>
      </c>
      <c r="CV387" t="s">
        <v>114</v>
      </c>
      <c r="CW387" t="s">
        <v>114</v>
      </c>
    </row>
    <row r="388" spans="1:101" x14ac:dyDescent="0.25">
      <c r="A388" t="s">
        <v>92</v>
      </c>
      <c r="B388">
        <v>6</v>
      </c>
      <c r="C388" t="s">
        <v>64</v>
      </c>
      <c r="D388" t="s">
        <v>94</v>
      </c>
      <c r="E388" t="s">
        <v>112</v>
      </c>
      <c r="F388" t="s">
        <v>120</v>
      </c>
      <c r="G388" t="s">
        <v>269</v>
      </c>
      <c r="H388" t="str">
        <f t="shared" si="46"/>
        <v>V.rosea.Solo.Open</v>
      </c>
      <c r="I388" t="s">
        <v>743</v>
      </c>
      <c r="J388" t="s">
        <v>662</v>
      </c>
      <c r="K388">
        <v>0</v>
      </c>
      <c r="L388">
        <v>70</v>
      </c>
      <c r="M388">
        <v>60</v>
      </c>
      <c r="N388">
        <v>60</v>
      </c>
      <c r="O388" t="s">
        <v>114</v>
      </c>
      <c r="P388">
        <v>60</v>
      </c>
      <c r="Q388">
        <v>200</v>
      </c>
      <c r="R388">
        <v>50</v>
      </c>
      <c r="S388">
        <f t="shared" si="47"/>
        <v>125</v>
      </c>
      <c r="T388">
        <f t="shared" si="48"/>
        <v>2.0833333333333335</v>
      </c>
      <c r="U388" t="s">
        <v>793</v>
      </c>
      <c r="V388" t="s">
        <v>114</v>
      </c>
      <c r="W388" t="s">
        <v>114</v>
      </c>
      <c r="X388">
        <v>10</v>
      </c>
      <c r="Y388">
        <v>11</v>
      </c>
      <c r="Z388">
        <v>13</v>
      </c>
      <c r="AA388">
        <v>11.33333333</v>
      </c>
      <c r="AB388">
        <v>10.16666667</v>
      </c>
      <c r="AC388">
        <v>9</v>
      </c>
      <c r="AD388">
        <v>10</v>
      </c>
      <c r="AE388">
        <v>11.5</v>
      </c>
      <c r="AF388">
        <v>10.16666667</v>
      </c>
      <c r="AG388">
        <v>11</v>
      </c>
      <c r="AH388">
        <v>10.5</v>
      </c>
      <c r="AI388">
        <v>9</v>
      </c>
      <c r="AJ388">
        <v>10.16666667</v>
      </c>
      <c r="AK388">
        <v>12</v>
      </c>
      <c r="AL388">
        <v>11</v>
      </c>
      <c r="AM388">
        <v>9</v>
      </c>
      <c r="AN388">
        <v>10.66666667</v>
      </c>
      <c r="AO388">
        <v>10.66666667</v>
      </c>
      <c r="AP388">
        <v>4.0999999999999996</v>
      </c>
      <c r="AQ388">
        <v>6.6</v>
      </c>
      <c r="AR388">
        <v>6.1</v>
      </c>
      <c r="AS388">
        <v>5.6</v>
      </c>
      <c r="AT388">
        <v>5.6</v>
      </c>
      <c r="AU388">
        <v>5.0999999999999996</v>
      </c>
      <c r="AV388">
        <v>6.6</v>
      </c>
      <c r="AW388">
        <v>5.766666667</v>
      </c>
      <c r="AX388">
        <v>5.766666667</v>
      </c>
      <c r="AY388">
        <v>-4.4000000000000004</v>
      </c>
      <c r="AZ388">
        <v>70</v>
      </c>
      <c r="BA388">
        <v>0</v>
      </c>
      <c r="BB388">
        <v>30</v>
      </c>
      <c r="BC388">
        <v>0</v>
      </c>
      <c r="BD388">
        <v>0</v>
      </c>
      <c r="BE388">
        <v>0</v>
      </c>
      <c r="BF388">
        <v>0</v>
      </c>
      <c r="BG388">
        <v>0</v>
      </c>
      <c r="BI388">
        <v>7</v>
      </c>
      <c r="BJ388">
        <v>2.6829999999999998</v>
      </c>
      <c r="BK388">
        <v>0</v>
      </c>
      <c r="BL388">
        <v>31</v>
      </c>
      <c r="BM388">
        <v>19</v>
      </c>
      <c r="BN388">
        <v>73</v>
      </c>
      <c r="BO388">
        <v>152</v>
      </c>
      <c r="BP388">
        <f t="shared" si="49"/>
        <v>-79</v>
      </c>
      <c r="BQ388" t="s">
        <v>114</v>
      </c>
      <c r="BR388" t="s">
        <v>114</v>
      </c>
      <c r="BS388" t="s">
        <v>114</v>
      </c>
      <c r="BT388" t="s">
        <v>114</v>
      </c>
      <c r="BU388" t="s">
        <v>114</v>
      </c>
      <c r="BV388" t="s">
        <v>114</v>
      </c>
      <c r="BW388" t="s">
        <v>114</v>
      </c>
      <c r="BX388" t="s">
        <v>114</v>
      </c>
      <c r="BY388" t="s">
        <v>114</v>
      </c>
      <c r="BZ388" t="s">
        <v>114</v>
      </c>
      <c r="CA388" t="s">
        <v>114</v>
      </c>
      <c r="CB388" t="s">
        <v>114</v>
      </c>
      <c r="CC388" t="s">
        <v>114</v>
      </c>
      <c r="CD388" t="s">
        <v>114</v>
      </c>
      <c r="CE388" t="s">
        <v>114</v>
      </c>
      <c r="CF388" t="s">
        <v>114</v>
      </c>
      <c r="CG388" t="s">
        <v>114</v>
      </c>
      <c r="CH388" t="s">
        <v>114</v>
      </c>
      <c r="CI388" t="s">
        <v>114</v>
      </c>
      <c r="CJ388" t="s">
        <v>114</v>
      </c>
      <c r="CK388" t="s">
        <v>114</v>
      </c>
      <c r="CL388" t="s">
        <v>114</v>
      </c>
      <c r="CM388" t="s">
        <v>114</v>
      </c>
      <c r="CN388" t="s">
        <v>114</v>
      </c>
      <c r="CO388" t="s">
        <v>114</v>
      </c>
      <c r="CP388" t="s">
        <v>114</v>
      </c>
      <c r="CQ388" t="s">
        <v>114</v>
      </c>
      <c r="CR388" t="s">
        <v>114</v>
      </c>
      <c r="CS388" t="s">
        <v>114</v>
      </c>
      <c r="CT388" t="s">
        <v>114</v>
      </c>
      <c r="CU388" t="s">
        <v>114</v>
      </c>
      <c r="CV388" t="s">
        <v>114</v>
      </c>
      <c r="CW388" t="s">
        <v>114</v>
      </c>
    </row>
    <row r="389" spans="1:101" x14ac:dyDescent="0.25">
      <c r="A389" t="s">
        <v>93</v>
      </c>
      <c r="B389">
        <v>6</v>
      </c>
      <c r="C389" t="s">
        <v>66</v>
      </c>
      <c r="D389" t="s">
        <v>95</v>
      </c>
      <c r="E389" t="s">
        <v>104</v>
      </c>
      <c r="F389" t="s">
        <v>120</v>
      </c>
      <c r="G389" t="s">
        <v>272</v>
      </c>
      <c r="H389" t="str">
        <f t="shared" si="46"/>
        <v>T.cyanopetala.Solo.Shade</v>
      </c>
      <c r="I389" t="s">
        <v>745</v>
      </c>
      <c r="J389" t="s">
        <v>663</v>
      </c>
      <c r="K389">
        <v>0</v>
      </c>
      <c r="L389">
        <v>45</v>
      </c>
      <c r="M389">
        <v>30</v>
      </c>
      <c r="N389">
        <v>30</v>
      </c>
      <c r="O389" t="s">
        <v>114</v>
      </c>
      <c r="P389">
        <v>22</v>
      </c>
      <c r="Q389">
        <v>20</v>
      </c>
      <c r="R389">
        <v>0</v>
      </c>
      <c r="S389">
        <f t="shared" si="47"/>
        <v>10</v>
      </c>
      <c r="T389">
        <f t="shared" si="48"/>
        <v>0.33333333333333331</v>
      </c>
      <c r="U389" t="s">
        <v>15</v>
      </c>
      <c r="V389" t="s">
        <v>114</v>
      </c>
      <c r="W389" t="s">
        <v>114</v>
      </c>
      <c r="X389">
        <v>12</v>
      </c>
      <c r="Y389">
        <v>11</v>
      </c>
      <c r="Z389">
        <v>11.5</v>
      </c>
      <c r="AA389">
        <v>11.5</v>
      </c>
      <c r="AB389">
        <v>12.16666667</v>
      </c>
      <c r="AC389">
        <v>12</v>
      </c>
      <c r="AD389">
        <v>13</v>
      </c>
      <c r="AE389">
        <v>11.5</v>
      </c>
      <c r="AF389">
        <v>12.16666667</v>
      </c>
      <c r="AG389">
        <v>9.5</v>
      </c>
      <c r="AH389">
        <v>8.5</v>
      </c>
      <c r="AI389">
        <v>9.5</v>
      </c>
      <c r="AJ389">
        <v>9.1666666669999994</v>
      </c>
      <c r="AK389">
        <v>11</v>
      </c>
      <c r="AL389">
        <v>11</v>
      </c>
      <c r="AM389">
        <v>11</v>
      </c>
      <c r="AN389">
        <v>11</v>
      </c>
      <c r="AO389">
        <v>11</v>
      </c>
      <c r="AP389">
        <v>4.5999999999999996</v>
      </c>
      <c r="AQ389">
        <v>5.0999999999999996</v>
      </c>
      <c r="AR389">
        <v>4.5999999999999996</v>
      </c>
      <c r="AS389">
        <v>4.766666667</v>
      </c>
      <c r="AT389">
        <v>3.6</v>
      </c>
      <c r="AU389">
        <v>6.1</v>
      </c>
      <c r="AV389">
        <v>4.5999999999999996</v>
      </c>
      <c r="AW389">
        <v>4.766666667</v>
      </c>
      <c r="AX389">
        <v>4.766666667</v>
      </c>
      <c r="AY389">
        <v>-7.4</v>
      </c>
      <c r="AZ389">
        <v>70</v>
      </c>
      <c r="BA389">
        <v>10</v>
      </c>
      <c r="BB389">
        <v>0</v>
      </c>
      <c r="BC389">
        <v>20</v>
      </c>
      <c r="BD389">
        <v>0</v>
      </c>
      <c r="BE389">
        <v>1</v>
      </c>
      <c r="BF389">
        <v>0</v>
      </c>
      <c r="BG389">
        <v>0</v>
      </c>
      <c r="BI389">
        <v>10.7</v>
      </c>
      <c r="BJ389">
        <v>49.594000000000001</v>
      </c>
      <c r="BK389">
        <v>1</v>
      </c>
      <c r="BL389">
        <v>3</v>
      </c>
      <c r="BM389">
        <v>3</v>
      </c>
      <c r="BN389">
        <v>18</v>
      </c>
      <c r="BO389">
        <v>44</v>
      </c>
      <c r="BP389">
        <f t="shared" si="49"/>
        <v>-26</v>
      </c>
      <c r="BQ389" t="s">
        <v>114</v>
      </c>
      <c r="BR389" t="s">
        <v>114</v>
      </c>
      <c r="BS389" t="s">
        <v>114</v>
      </c>
      <c r="BT389" t="s">
        <v>114</v>
      </c>
      <c r="BU389" t="s">
        <v>114</v>
      </c>
      <c r="BV389" t="s">
        <v>114</v>
      </c>
      <c r="BW389" t="s">
        <v>114</v>
      </c>
      <c r="BX389" t="s">
        <v>114</v>
      </c>
      <c r="BY389" t="s">
        <v>114</v>
      </c>
      <c r="BZ389" t="s">
        <v>114</v>
      </c>
      <c r="CA389" t="s">
        <v>114</v>
      </c>
      <c r="CB389" t="s">
        <v>114</v>
      </c>
      <c r="CC389" t="s">
        <v>114</v>
      </c>
      <c r="CD389" t="s">
        <v>114</v>
      </c>
      <c r="CE389" t="s">
        <v>114</v>
      </c>
      <c r="CF389" t="s">
        <v>114</v>
      </c>
      <c r="CG389" t="s">
        <v>114</v>
      </c>
      <c r="CH389" t="s">
        <v>114</v>
      </c>
      <c r="CI389" t="s">
        <v>114</v>
      </c>
      <c r="CJ389" t="s">
        <v>114</v>
      </c>
      <c r="CK389" t="s">
        <v>114</v>
      </c>
      <c r="CL389" t="s">
        <v>114</v>
      </c>
      <c r="CM389" t="s">
        <v>114</v>
      </c>
      <c r="CN389" t="s">
        <v>114</v>
      </c>
      <c r="CO389" t="s">
        <v>114</v>
      </c>
      <c r="CP389" t="s">
        <v>114</v>
      </c>
      <c r="CQ389" t="s">
        <v>114</v>
      </c>
      <c r="CR389" t="s">
        <v>114</v>
      </c>
      <c r="CS389" t="s">
        <v>114</v>
      </c>
      <c r="CT389" t="s">
        <v>114</v>
      </c>
      <c r="CU389" t="s">
        <v>114</v>
      </c>
      <c r="CV389" t="s">
        <v>114</v>
      </c>
      <c r="CW389" t="s">
        <v>114</v>
      </c>
    </row>
  </sheetData>
  <sortState ref="A2:BO389">
    <sortCondition ref="F2:F389"/>
    <sortCondition ref="J2:J389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51"/>
  <sheetViews>
    <sheetView workbookViewId="0">
      <pane ySplit="1" topLeftCell="A2" activePane="bottomLeft" state="frozen"/>
      <selection pane="bottomLeft" activeCell="Q1" sqref="Q1"/>
    </sheetView>
  </sheetViews>
  <sheetFormatPr defaultRowHeight="15" x14ac:dyDescent="0.25"/>
  <cols>
    <col min="3" max="3" width="10.42578125" customWidth="1"/>
  </cols>
  <sheetData>
    <row r="1" spans="1:18" x14ac:dyDescent="0.25">
      <c r="A1" t="s">
        <v>146</v>
      </c>
      <c r="B1" t="s">
        <v>2</v>
      </c>
      <c r="C1" t="s">
        <v>147</v>
      </c>
      <c r="D1" t="s">
        <v>148</v>
      </c>
      <c r="E1" t="s">
        <v>122</v>
      </c>
      <c r="F1" t="s">
        <v>160</v>
      </c>
      <c r="G1" t="s">
        <v>149</v>
      </c>
      <c r="H1" t="s">
        <v>150</v>
      </c>
      <c r="I1" t="s">
        <v>151</v>
      </c>
      <c r="J1" t="s">
        <v>152</v>
      </c>
      <c r="K1" t="s">
        <v>153</v>
      </c>
      <c r="L1" t="s">
        <v>154</v>
      </c>
      <c r="M1" t="s">
        <v>155</v>
      </c>
      <c r="N1" t="s">
        <v>159</v>
      </c>
      <c r="O1" t="s">
        <v>156</v>
      </c>
      <c r="P1" t="s">
        <v>157</v>
      </c>
      <c r="Q1" t="s">
        <v>789</v>
      </c>
      <c r="R1" t="s">
        <v>158</v>
      </c>
    </row>
    <row r="2" spans="1:18" x14ac:dyDescent="0.25">
      <c r="A2">
        <v>10</v>
      </c>
      <c r="B2" t="s">
        <v>94</v>
      </c>
      <c r="C2" t="s">
        <v>111</v>
      </c>
      <c r="D2">
        <v>1</v>
      </c>
      <c r="E2">
        <v>270</v>
      </c>
      <c r="F2" t="s">
        <v>114</v>
      </c>
      <c r="G2">
        <v>90</v>
      </c>
      <c r="H2">
        <v>25</v>
      </c>
      <c r="I2">
        <v>60</v>
      </c>
      <c r="J2">
        <v>60</v>
      </c>
      <c r="K2">
        <v>60</v>
      </c>
      <c r="L2">
        <v>8</v>
      </c>
      <c r="M2">
        <v>3</v>
      </c>
      <c r="N2" t="s">
        <v>114</v>
      </c>
      <c r="Q2">
        <v>50</v>
      </c>
      <c r="R2" t="s">
        <v>67</v>
      </c>
    </row>
    <row r="3" spans="1:18" x14ac:dyDescent="0.25">
      <c r="A3">
        <v>10</v>
      </c>
      <c r="B3" t="s">
        <v>94</v>
      </c>
      <c r="C3" t="s">
        <v>111</v>
      </c>
      <c r="D3">
        <v>2</v>
      </c>
      <c r="E3">
        <v>220</v>
      </c>
      <c r="F3" t="s">
        <v>114</v>
      </c>
      <c r="G3">
        <v>70</v>
      </c>
      <c r="H3">
        <v>45</v>
      </c>
      <c r="I3">
        <v>60</v>
      </c>
      <c r="J3">
        <v>64</v>
      </c>
      <c r="K3">
        <v>55</v>
      </c>
      <c r="L3">
        <v>11</v>
      </c>
      <c r="M3">
        <v>6</v>
      </c>
      <c r="N3" t="s">
        <v>114</v>
      </c>
      <c r="Q3">
        <v>57</v>
      </c>
      <c r="R3" t="s">
        <v>67</v>
      </c>
    </row>
    <row r="4" spans="1:18" x14ac:dyDescent="0.25">
      <c r="A4">
        <v>10</v>
      </c>
      <c r="B4" t="s">
        <v>94</v>
      </c>
      <c r="C4" t="s">
        <v>111</v>
      </c>
      <c r="D4">
        <v>3</v>
      </c>
      <c r="E4">
        <v>150</v>
      </c>
      <c r="F4" t="s">
        <v>114</v>
      </c>
      <c r="G4">
        <v>200</v>
      </c>
      <c r="H4">
        <v>20</v>
      </c>
      <c r="I4">
        <v>80</v>
      </c>
      <c r="J4">
        <v>65</v>
      </c>
      <c r="K4">
        <v>55</v>
      </c>
      <c r="L4">
        <v>24</v>
      </c>
      <c r="M4">
        <v>14</v>
      </c>
      <c r="N4" t="s">
        <v>114</v>
      </c>
      <c r="Q4">
        <v>75</v>
      </c>
      <c r="R4" t="s">
        <v>70</v>
      </c>
    </row>
    <row r="5" spans="1:18" x14ac:dyDescent="0.25">
      <c r="A5">
        <v>10</v>
      </c>
      <c r="B5" t="s">
        <v>94</v>
      </c>
      <c r="C5" t="s">
        <v>111</v>
      </c>
      <c r="D5">
        <v>4</v>
      </c>
      <c r="E5">
        <v>450</v>
      </c>
      <c r="F5" t="s">
        <v>114</v>
      </c>
      <c r="G5">
        <v>250</v>
      </c>
      <c r="H5">
        <v>120</v>
      </c>
      <c r="I5">
        <v>75</v>
      </c>
      <c r="J5">
        <v>65</v>
      </c>
      <c r="K5">
        <v>90</v>
      </c>
      <c r="L5">
        <v>51</v>
      </c>
      <c r="M5">
        <v>51</v>
      </c>
      <c r="N5" t="s">
        <v>114</v>
      </c>
      <c r="Q5">
        <v>51</v>
      </c>
      <c r="R5" t="s">
        <v>73</v>
      </c>
    </row>
    <row r="6" spans="1:18" x14ac:dyDescent="0.25">
      <c r="A6">
        <v>10</v>
      </c>
      <c r="B6" t="s">
        <v>94</v>
      </c>
      <c r="C6" t="s">
        <v>111</v>
      </c>
      <c r="D6">
        <v>5</v>
      </c>
      <c r="E6">
        <v>310</v>
      </c>
      <c r="F6" t="s">
        <v>114</v>
      </c>
      <c r="G6">
        <v>100</v>
      </c>
      <c r="H6">
        <v>60</v>
      </c>
      <c r="I6">
        <v>72</v>
      </c>
      <c r="J6">
        <v>65</v>
      </c>
      <c r="K6">
        <v>54</v>
      </c>
      <c r="L6">
        <v>24</v>
      </c>
      <c r="M6">
        <v>18</v>
      </c>
      <c r="N6" t="s">
        <v>114</v>
      </c>
      <c r="Q6" t="s">
        <v>114</v>
      </c>
      <c r="R6" t="s">
        <v>77</v>
      </c>
    </row>
    <row r="7" spans="1:18" x14ac:dyDescent="0.25">
      <c r="A7">
        <v>10</v>
      </c>
      <c r="B7" t="s">
        <v>95</v>
      </c>
      <c r="C7" t="s">
        <v>111</v>
      </c>
      <c r="D7">
        <v>1</v>
      </c>
      <c r="E7">
        <v>220</v>
      </c>
      <c r="F7" t="s">
        <v>114</v>
      </c>
      <c r="G7">
        <v>45</v>
      </c>
      <c r="H7">
        <v>30</v>
      </c>
      <c r="I7">
        <v>57</v>
      </c>
      <c r="J7">
        <v>55</v>
      </c>
      <c r="K7">
        <v>52</v>
      </c>
      <c r="L7">
        <v>11</v>
      </c>
      <c r="M7">
        <v>6</v>
      </c>
      <c r="N7" t="s">
        <v>114</v>
      </c>
      <c r="Q7">
        <v>45</v>
      </c>
      <c r="R7" t="s">
        <v>70</v>
      </c>
    </row>
    <row r="8" spans="1:18" x14ac:dyDescent="0.25">
      <c r="A8">
        <v>10</v>
      </c>
      <c r="B8" t="s">
        <v>95</v>
      </c>
      <c r="C8" t="s">
        <v>111</v>
      </c>
      <c r="D8">
        <v>2</v>
      </c>
      <c r="E8">
        <v>230</v>
      </c>
      <c r="F8" t="s">
        <v>114</v>
      </c>
      <c r="G8">
        <v>140</v>
      </c>
      <c r="H8">
        <v>60</v>
      </c>
      <c r="I8">
        <v>90</v>
      </c>
      <c r="J8">
        <v>75</v>
      </c>
      <c r="K8">
        <v>60</v>
      </c>
      <c r="L8">
        <v>27</v>
      </c>
      <c r="M8">
        <v>18</v>
      </c>
      <c r="N8" t="s">
        <v>114</v>
      </c>
      <c r="Q8">
        <v>55</v>
      </c>
      <c r="R8" t="s">
        <v>75</v>
      </c>
    </row>
    <row r="9" spans="1:18" x14ac:dyDescent="0.25">
      <c r="A9">
        <v>10</v>
      </c>
      <c r="B9" t="s">
        <v>95</v>
      </c>
      <c r="C9" t="s">
        <v>111</v>
      </c>
      <c r="D9">
        <v>3</v>
      </c>
      <c r="E9">
        <v>270</v>
      </c>
      <c r="F9" t="s">
        <v>114</v>
      </c>
      <c r="G9">
        <v>130</v>
      </c>
      <c r="H9">
        <v>70</v>
      </c>
      <c r="I9">
        <v>70</v>
      </c>
      <c r="J9">
        <v>80</v>
      </c>
      <c r="K9">
        <v>78</v>
      </c>
      <c r="L9">
        <v>11</v>
      </c>
      <c r="M9">
        <v>8</v>
      </c>
      <c r="N9" t="s">
        <v>114</v>
      </c>
      <c r="Q9">
        <v>65</v>
      </c>
      <c r="R9" t="s">
        <v>75</v>
      </c>
    </row>
    <row r="10" spans="1:18" x14ac:dyDescent="0.25">
      <c r="A10">
        <v>10</v>
      </c>
      <c r="B10" t="s">
        <v>95</v>
      </c>
      <c r="C10" t="s">
        <v>111</v>
      </c>
      <c r="D10">
        <v>4</v>
      </c>
      <c r="E10">
        <v>220</v>
      </c>
      <c r="F10" t="s">
        <v>114</v>
      </c>
      <c r="G10">
        <v>120</v>
      </c>
      <c r="H10">
        <v>40</v>
      </c>
      <c r="I10">
        <v>70</v>
      </c>
      <c r="J10">
        <v>70</v>
      </c>
      <c r="K10">
        <v>75</v>
      </c>
      <c r="L10">
        <v>11</v>
      </c>
      <c r="M10">
        <v>8</v>
      </c>
      <c r="N10" t="s">
        <v>114</v>
      </c>
      <c r="Q10" t="s">
        <v>114</v>
      </c>
      <c r="R10" t="s">
        <v>69</v>
      </c>
    </row>
    <row r="11" spans="1:18" x14ac:dyDescent="0.25">
      <c r="A11">
        <v>10</v>
      </c>
      <c r="B11" t="s">
        <v>95</v>
      </c>
      <c r="C11" t="s">
        <v>111</v>
      </c>
      <c r="D11">
        <v>5</v>
      </c>
      <c r="E11">
        <v>350</v>
      </c>
      <c r="F11" t="s">
        <v>114</v>
      </c>
      <c r="G11">
        <v>210</v>
      </c>
      <c r="H11">
        <v>120</v>
      </c>
      <c r="I11">
        <v>70</v>
      </c>
      <c r="J11">
        <v>60</v>
      </c>
      <c r="K11">
        <v>60</v>
      </c>
      <c r="L11">
        <v>18</v>
      </c>
      <c r="M11">
        <v>16</v>
      </c>
      <c r="N11" t="s">
        <v>114</v>
      </c>
      <c r="Q11" t="s">
        <v>114</v>
      </c>
      <c r="R11" t="s">
        <v>69</v>
      </c>
    </row>
    <row r="12" spans="1:18" x14ac:dyDescent="0.25">
      <c r="A12">
        <v>10</v>
      </c>
      <c r="B12" t="s">
        <v>94</v>
      </c>
      <c r="C12" t="s">
        <v>110</v>
      </c>
      <c r="D12">
        <v>1</v>
      </c>
      <c r="E12">
        <v>40</v>
      </c>
      <c r="F12" t="s">
        <v>114</v>
      </c>
      <c r="G12">
        <v>45</v>
      </c>
      <c r="H12">
        <v>15</v>
      </c>
      <c r="I12">
        <v>14</v>
      </c>
      <c r="J12">
        <v>12</v>
      </c>
      <c r="K12">
        <v>12</v>
      </c>
      <c r="L12">
        <v>5</v>
      </c>
      <c r="M12">
        <v>2</v>
      </c>
      <c r="N12">
        <v>2</v>
      </c>
      <c r="Q12">
        <v>110</v>
      </c>
      <c r="R12" t="s">
        <v>70</v>
      </c>
    </row>
    <row r="13" spans="1:18" x14ac:dyDescent="0.25">
      <c r="A13">
        <v>10</v>
      </c>
      <c r="B13" t="s">
        <v>94</v>
      </c>
      <c r="C13" t="s">
        <v>110</v>
      </c>
      <c r="D13">
        <v>2</v>
      </c>
      <c r="E13">
        <v>70</v>
      </c>
      <c r="F13" t="s">
        <v>114</v>
      </c>
      <c r="G13">
        <v>120</v>
      </c>
      <c r="H13">
        <v>0</v>
      </c>
      <c r="I13">
        <v>12</v>
      </c>
      <c r="J13">
        <v>9</v>
      </c>
      <c r="K13">
        <v>7</v>
      </c>
      <c r="L13">
        <v>12</v>
      </c>
      <c r="M13">
        <v>1</v>
      </c>
      <c r="N13">
        <v>3</v>
      </c>
      <c r="Q13">
        <v>75</v>
      </c>
      <c r="R13" t="s">
        <v>68</v>
      </c>
    </row>
    <row r="14" spans="1:18" x14ac:dyDescent="0.25">
      <c r="A14">
        <v>10</v>
      </c>
      <c r="B14" t="s">
        <v>94</v>
      </c>
      <c r="C14" t="s">
        <v>110</v>
      </c>
      <c r="D14">
        <v>3</v>
      </c>
      <c r="E14">
        <v>40</v>
      </c>
      <c r="F14" t="s">
        <v>114</v>
      </c>
      <c r="G14">
        <v>90</v>
      </c>
      <c r="H14">
        <v>35</v>
      </c>
      <c r="I14">
        <v>12</v>
      </c>
      <c r="J14">
        <v>12</v>
      </c>
      <c r="K14">
        <v>9</v>
      </c>
      <c r="L14">
        <v>10</v>
      </c>
      <c r="M14">
        <v>4</v>
      </c>
      <c r="N14">
        <v>4</v>
      </c>
      <c r="Q14">
        <v>100</v>
      </c>
      <c r="R14" t="s">
        <v>70</v>
      </c>
    </row>
    <row r="15" spans="1:18" x14ac:dyDescent="0.25">
      <c r="A15">
        <v>10</v>
      </c>
      <c r="B15" t="s">
        <v>94</v>
      </c>
      <c r="C15" t="s">
        <v>110</v>
      </c>
      <c r="D15">
        <v>4</v>
      </c>
      <c r="E15">
        <v>70</v>
      </c>
      <c r="F15" t="s">
        <v>114</v>
      </c>
      <c r="G15">
        <v>140</v>
      </c>
      <c r="H15">
        <v>0</v>
      </c>
      <c r="I15">
        <v>12</v>
      </c>
      <c r="J15">
        <v>12</v>
      </c>
      <c r="K15">
        <v>5</v>
      </c>
      <c r="L15">
        <v>17</v>
      </c>
      <c r="M15">
        <v>1</v>
      </c>
      <c r="N15">
        <v>4</v>
      </c>
      <c r="Q15" t="s">
        <v>114</v>
      </c>
      <c r="R15" t="s">
        <v>70</v>
      </c>
    </row>
    <row r="16" spans="1:18" x14ac:dyDescent="0.25">
      <c r="A16">
        <v>10</v>
      </c>
      <c r="B16" t="s">
        <v>95</v>
      </c>
      <c r="C16" t="s">
        <v>110</v>
      </c>
      <c r="D16">
        <v>1</v>
      </c>
      <c r="E16">
        <v>180</v>
      </c>
      <c r="F16" t="s">
        <v>114</v>
      </c>
      <c r="G16">
        <v>40</v>
      </c>
      <c r="H16">
        <v>24</v>
      </c>
      <c r="I16">
        <v>15</v>
      </c>
      <c r="J16">
        <v>15</v>
      </c>
      <c r="K16">
        <v>13</v>
      </c>
      <c r="L16">
        <v>19</v>
      </c>
      <c r="M16">
        <v>1</v>
      </c>
      <c r="N16">
        <v>5</v>
      </c>
      <c r="Q16">
        <v>125</v>
      </c>
      <c r="R16" t="s">
        <v>70</v>
      </c>
    </row>
    <row r="17" spans="1:18" x14ac:dyDescent="0.25">
      <c r="A17">
        <v>10</v>
      </c>
      <c r="B17" t="s">
        <v>95</v>
      </c>
      <c r="C17" t="s">
        <v>110</v>
      </c>
      <c r="D17">
        <v>2</v>
      </c>
      <c r="E17">
        <v>35</v>
      </c>
      <c r="F17" t="s">
        <v>114</v>
      </c>
      <c r="G17">
        <v>50</v>
      </c>
      <c r="H17">
        <v>5</v>
      </c>
      <c r="I17">
        <v>15</v>
      </c>
      <c r="J17">
        <v>15</v>
      </c>
      <c r="K17">
        <v>12</v>
      </c>
      <c r="L17">
        <v>5</v>
      </c>
      <c r="M17">
        <v>2</v>
      </c>
      <c r="N17">
        <v>2</v>
      </c>
      <c r="Q17">
        <v>67</v>
      </c>
      <c r="R17" t="s">
        <v>70</v>
      </c>
    </row>
    <row r="18" spans="1:18" x14ac:dyDescent="0.25">
      <c r="A18">
        <v>10</v>
      </c>
      <c r="B18" t="s">
        <v>95</v>
      </c>
      <c r="C18" t="s">
        <v>110</v>
      </c>
      <c r="D18">
        <v>3</v>
      </c>
      <c r="E18">
        <v>210</v>
      </c>
      <c r="F18" t="s">
        <v>114</v>
      </c>
      <c r="G18">
        <v>50</v>
      </c>
      <c r="H18">
        <v>0</v>
      </c>
      <c r="I18">
        <v>12</v>
      </c>
      <c r="J18">
        <v>15</v>
      </c>
      <c r="K18">
        <v>15</v>
      </c>
      <c r="L18">
        <v>15</v>
      </c>
      <c r="M18">
        <v>1</v>
      </c>
      <c r="N18">
        <v>3</v>
      </c>
      <c r="Q18">
        <v>90</v>
      </c>
      <c r="R18" t="s">
        <v>70</v>
      </c>
    </row>
    <row r="19" spans="1:18" x14ac:dyDescent="0.25">
      <c r="A19">
        <v>10</v>
      </c>
      <c r="B19" t="s">
        <v>95</v>
      </c>
      <c r="C19" t="s">
        <v>110</v>
      </c>
      <c r="D19">
        <v>4</v>
      </c>
      <c r="E19">
        <v>190</v>
      </c>
      <c r="F19" t="s">
        <v>114</v>
      </c>
      <c r="G19">
        <v>80</v>
      </c>
      <c r="H19">
        <v>0</v>
      </c>
      <c r="I19">
        <v>14</v>
      </c>
      <c r="J19">
        <v>12</v>
      </c>
      <c r="K19">
        <v>10</v>
      </c>
      <c r="L19">
        <v>17</v>
      </c>
      <c r="M19">
        <v>1</v>
      </c>
      <c r="N19">
        <v>3</v>
      </c>
      <c r="Q19" t="s">
        <v>114</v>
      </c>
      <c r="R19" t="s">
        <v>70</v>
      </c>
    </row>
    <row r="20" spans="1:18" x14ac:dyDescent="0.25">
      <c r="A20">
        <v>10</v>
      </c>
      <c r="B20" t="s">
        <v>95</v>
      </c>
      <c r="C20" t="s">
        <v>110</v>
      </c>
      <c r="D20">
        <v>5</v>
      </c>
      <c r="E20">
        <v>130</v>
      </c>
      <c r="F20" t="s">
        <v>114</v>
      </c>
      <c r="G20">
        <v>15</v>
      </c>
      <c r="H20">
        <v>15</v>
      </c>
      <c r="I20">
        <v>12</v>
      </c>
      <c r="J20">
        <v>17</v>
      </c>
      <c r="K20">
        <v>17</v>
      </c>
      <c r="L20">
        <v>6</v>
      </c>
      <c r="M20">
        <v>0</v>
      </c>
      <c r="N20">
        <v>1</v>
      </c>
      <c r="Q20" t="s">
        <v>114</v>
      </c>
      <c r="R20" t="s">
        <v>70</v>
      </c>
    </row>
    <row r="21" spans="1:18" x14ac:dyDescent="0.25">
      <c r="A21">
        <v>10</v>
      </c>
      <c r="B21" t="s">
        <v>94</v>
      </c>
      <c r="C21" t="s">
        <v>105</v>
      </c>
      <c r="D21">
        <v>1</v>
      </c>
      <c r="E21">
        <v>35</v>
      </c>
      <c r="F21">
        <v>355</v>
      </c>
      <c r="G21">
        <v>90</v>
      </c>
      <c r="H21">
        <v>57</v>
      </c>
      <c r="I21">
        <v>90</v>
      </c>
      <c r="J21">
        <v>57</v>
      </c>
      <c r="K21" t="s">
        <v>114</v>
      </c>
      <c r="L21">
        <v>3</v>
      </c>
      <c r="M21">
        <v>2</v>
      </c>
      <c r="N21" t="s">
        <v>114</v>
      </c>
      <c r="Q21">
        <v>85</v>
      </c>
      <c r="R21" t="s">
        <v>70</v>
      </c>
    </row>
    <row r="22" spans="1:18" x14ac:dyDescent="0.25">
      <c r="A22">
        <v>10</v>
      </c>
      <c r="B22" t="s">
        <v>94</v>
      </c>
      <c r="C22" t="s">
        <v>105</v>
      </c>
      <c r="D22">
        <v>2</v>
      </c>
      <c r="E22">
        <v>25</v>
      </c>
      <c r="F22">
        <v>175</v>
      </c>
      <c r="G22">
        <v>75</v>
      </c>
      <c r="H22">
        <v>65</v>
      </c>
      <c r="I22">
        <v>75</v>
      </c>
      <c r="J22">
        <v>65</v>
      </c>
      <c r="K22" t="s">
        <v>114</v>
      </c>
      <c r="L22">
        <v>1</v>
      </c>
      <c r="M22">
        <v>1</v>
      </c>
      <c r="N22" t="s">
        <v>114</v>
      </c>
      <c r="Q22">
        <v>100</v>
      </c>
      <c r="R22" t="s">
        <v>70</v>
      </c>
    </row>
    <row r="23" spans="1:18" x14ac:dyDescent="0.25">
      <c r="A23">
        <v>10</v>
      </c>
      <c r="B23" t="s">
        <v>94</v>
      </c>
      <c r="C23" t="s">
        <v>105</v>
      </c>
      <c r="D23">
        <v>3</v>
      </c>
      <c r="E23">
        <v>25</v>
      </c>
      <c r="F23">
        <v>100</v>
      </c>
      <c r="G23">
        <v>30</v>
      </c>
      <c r="H23">
        <v>18</v>
      </c>
      <c r="I23">
        <v>30</v>
      </c>
      <c r="J23">
        <v>18</v>
      </c>
      <c r="K23" t="s">
        <v>114</v>
      </c>
      <c r="L23">
        <v>1</v>
      </c>
      <c r="M23">
        <v>1</v>
      </c>
      <c r="N23" t="s">
        <v>114</v>
      </c>
      <c r="Q23">
        <v>60</v>
      </c>
      <c r="R23" t="s">
        <v>70</v>
      </c>
    </row>
    <row r="24" spans="1:18" x14ac:dyDescent="0.25">
      <c r="A24">
        <v>10</v>
      </c>
      <c r="B24" t="s">
        <v>95</v>
      </c>
      <c r="C24" t="s">
        <v>105</v>
      </c>
      <c r="D24">
        <v>1</v>
      </c>
      <c r="E24">
        <v>70</v>
      </c>
      <c r="F24">
        <v>510</v>
      </c>
      <c r="G24">
        <v>125</v>
      </c>
      <c r="H24">
        <v>120</v>
      </c>
      <c r="I24">
        <v>125</v>
      </c>
      <c r="J24">
        <v>120</v>
      </c>
      <c r="K24" t="s">
        <v>114</v>
      </c>
      <c r="L24">
        <v>9</v>
      </c>
      <c r="M24">
        <v>4</v>
      </c>
      <c r="N24" t="s">
        <v>114</v>
      </c>
      <c r="Q24">
        <v>130</v>
      </c>
      <c r="R24" t="s">
        <v>114</v>
      </c>
    </row>
    <row r="25" spans="1:18" x14ac:dyDescent="0.25">
      <c r="A25">
        <v>10</v>
      </c>
      <c r="B25" t="s">
        <v>95</v>
      </c>
      <c r="C25" t="s">
        <v>105</v>
      </c>
      <c r="D25">
        <v>2</v>
      </c>
      <c r="E25">
        <v>30</v>
      </c>
      <c r="F25">
        <v>170</v>
      </c>
      <c r="G25">
        <v>90</v>
      </c>
      <c r="H25">
        <v>87</v>
      </c>
      <c r="I25">
        <v>90</v>
      </c>
      <c r="J25">
        <v>87</v>
      </c>
      <c r="K25" t="s">
        <v>114</v>
      </c>
      <c r="L25">
        <v>3</v>
      </c>
      <c r="M25">
        <v>1</v>
      </c>
      <c r="N25" t="s">
        <v>114</v>
      </c>
      <c r="Q25">
        <v>65</v>
      </c>
      <c r="R25" t="s">
        <v>114</v>
      </c>
    </row>
    <row r="26" spans="1:18" x14ac:dyDescent="0.25">
      <c r="A26">
        <v>10</v>
      </c>
      <c r="B26" t="s">
        <v>95</v>
      </c>
      <c r="C26" t="s">
        <v>105</v>
      </c>
      <c r="D26">
        <v>3</v>
      </c>
      <c r="E26">
        <v>100</v>
      </c>
      <c r="F26">
        <v>360</v>
      </c>
      <c r="G26">
        <v>100</v>
      </c>
      <c r="H26">
        <v>85</v>
      </c>
      <c r="I26">
        <v>100</v>
      </c>
      <c r="J26">
        <v>85</v>
      </c>
      <c r="K26" t="s">
        <v>114</v>
      </c>
      <c r="L26">
        <v>5</v>
      </c>
      <c r="M26">
        <v>1</v>
      </c>
      <c r="N26" t="s">
        <v>114</v>
      </c>
      <c r="Q26">
        <v>45</v>
      </c>
      <c r="R26" t="s">
        <v>114</v>
      </c>
    </row>
    <row r="27" spans="1:18" x14ac:dyDescent="0.25">
      <c r="A27">
        <v>10</v>
      </c>
      <c r="B27" t="s">
        <v>94</v>
      </c>
      <c r="C27" t="s">
        <v>104</v>
      </c>
      <c r="D27">
        <v>1</v>
      </c>
      <c r="E27">
        <v>60</v>
      </c>
      <c r="F27" t="s">
        <v>114</v>
      </c>
      <c r="G27">
        <v>10</v>
      </c>
      <c r="H27">
        <v>0</v>
      </c>
      <c r="I27">
        <v>16</v>
      </c>
      <c r="J27">
        <v>15</v>
      </c>
      <c r="K27">
        <v>15</v>
      </c>
      <c r="L27">
        <v>3</v>
      </c>
      <c r="M27">
        <v>2</v>
      </c>
      <c r="N27" t="s">
        <v>114</v>
      </c>
      <c r="Q27">
        <v>27</v>
      </c>
      <c r="R27" t="s">
        <v>72</v>
      </c>
    </row>
    <row r="28" spans="1:18" x14ac:dyDescent="0.25">
      <c r="A28">
        <v>10</v>
      </c>
      <c r="B28" t="s">
        <v>94</v>
      </c>
      <c r="C28" t="s">
        <v>104</v>
      </c>
      <c r="D28">
        <v>2</v>
      </c>
      <c r="E28">
        <v>85</v>
      </c>
      <c r="F28" t="s">
        <v>114</v>
      </c>
      <c r="G28">
        <v>75</v>
      </c>
      <c r="H28">
        <v>30</v>
      </c>
      <c r="I28">
        <v>35</v>
      </c>
      <c r="J28">
        <v>20</v>
      </c>
      <c r="K28">
        <v>21</v>
      </c>
      <c r="L28">
        <v>8</v>
      </c>
      <c r="M28">
        <v>5</v>
      </c>
      <c r="N28" t="s">
        <v>114</v>
      </c>
      <c r="Q28">
        <v>40</v>
      </c>
      <c r="R28" t="s">
        <v>72</v>
      </c>
    </row>
    <row r="29" spans="1:18" x14ac:dyDescent="0.25">
      <c r="A29">
        <v>10</v>
      </c>
      <c r="B29" t="s">
        <v>94</v>
      </c>
      <c r="C29" t="s">
        <v>104</v>
      </c>
      <c r="D29">
        <v>3</v>
      </c>
      <c r="E29">
        <v>65</v>
      </c>
      <c r="F29" t="s">
        <v>114</v>
      </c>
      <c r="G29">
        <v>35</v>
      </c>
      <c r="H29">
        <v>5</v>
      </c>
      <c r="I29">
        <v>20</v>
      </c>
      <c r="J29">
        <v>22</v>
      </c>
      <c r="K29">
        <v>25</v>
      </c>
      <c r="L29">
        <v>5</v>
      </c>
      <c r="M29">
        <v>4</v>
      </c>
      <c r="N29" t="s">
        <v>114</v>
      </c>
      <c r="Q29">
        <v>45</v>
      </c>
      <c r="R29" t="s">
        <v>72</v>
      </c>
    </row>
    <row r="30" spans="1:18" x14ac:dyDescent="0.25">
      <c r="A30">
        <v>10</v>
      </c>
      <c r="B30" t="s">
        <v>95</v>
      </c>
      <c r="C30" t="s">
        <v>104</v>
      </c>
      <c r="D30">
        <v>1</v>
      </c>
      <c r="E30">
        <v>75</v>
      </c>
      <c r="F30" t="s">
        <v>114</v>
      </c>
      <c r="G30">
        <v>25</v>
      </c>
      <c r="H30">
        <v>10</v>
      </c>
      <c r="I30">
        <v>39</v>
      </c>
      <c r="J30">
        <v>28</v>
      </c>
      <c r="K30">
        <v>35</v>
      </c>
      <c r="L30">
        <v>3</v>
      </c>
      <c r="M30">
        <v>2</v>
      </c>
      <c r="N30" t="s">
        <v>114</v>
      </c>
      <c r="Q30">
        <v>22</v>
      </c>
      <c r="R30" t="s">
        <v>75</v>
      </c>
    </row>
    <row r="31" spans="1:18" x14ac:dyDescent="0.25">
      <c r="A31">
        <v>10</v>
      </c>
      <c r="B31" t="s">
        <v>95</v>
      </c>
      <c r="C31" t="s">
        <v>104</v>
      </c>
      <c r="D31">
        <v>2</v>
      </c>
      <c r="E31">
        <v>85</v>
      </c>
      <c r="F31" t="s">
        <v>114</v>
      </c>
      <c r="G31">
        <v>20</v>
      </c>
      <c r="H31">
        <v>7</v>
      </c>
      <c r="I31">
        <v>20</v>
      </c>
      <c r="J31">
        <v>18</v>
      </c>
      <c r="K31">
        <v>18</v>
      </c>
      <c r="L31">
        <v>2</v>
      </c>
      <c r="M31">
        <v>2</v>
      </c>
      <c r="N31" t="s">
        <v>114</v>
      </c>
      <c r="Q31" t="s">
        <v>114</v>
      </c>
      <c r="R31" t="s">
        <v>75</v>
      </c>
    </row>
    <row r="32" spans="1:18" x14ac:dyDescent="0.25">
      <c r="A32">
        <v>10</v>
      </c>
      <c r="B32" t="s">
        <v>95</v>
      </c>
      <c r="C32" t="s">
        <v>104</v>
      </c>
      <c r="D32">
        <v>3</v>
      </c>
      <c r="E32">
        <v>85</v>
      </c>
      <c r="F32" t="s">
        <v>114</v>
      </c>
      <c r="G32">
        <v>10</v>
      </c>
      <c r="H32">
        <v>10</v>
      </c>
      <c r="I32">
        <v>18</v>
      </c>
      <c r="J32">
        <v>16</v>
      </c>
      <c r="K32">
        <v>15</v>
      </c>
      <c r="L32">
        <v>1</v>
      </c>
      <c r="M32">
        <v>2</v>
      </c>
      <c r="N32" t="s">
        <v>114</v>
      </c>
      <c r="Q32">
        <v>18</v>
      </c>
      <c r="R32" t="s">
        <v>75</v>
      </c>
    </row>
    <row r="33" spans="1:18" x14ac:dyDescent="0.25">
      <c r="A33">
        <v>10</v>
      </c>
      <c r="B33" t="s">
        <v>95</v>
      </c>
      <c r="C33" t="s">
        <v>104</v>
      </c>
      <c r="D33">
        <v>4</v>
      </c>
      <c r="E33">
        <v>90</v>
      </c>
      <c r="F33" t="s">
        <v>114</v>
      </c>
      <c r="G33">
        <v>20</v>
      </c>
      <c r="H33">
        <v>10</v>
      </c>
      <c r="I33">
        <v>33</v>
      </c>
      <c r="J33">
        <v>22</v>
      </c>
      <c r="K33">
        <v>31</v>
      </c>
      <c r="L33">
        <v>3</v>
      </c>
      <c r="M33">
        <v>3</v>
      </c>
      <c r="N33" t="s">
        <v>114</v>
      </c>
      <c r="Q33">
        <v>28</v>
      </c>
      <c r="R33" t="s">
        <v>75</v>
      </c>
    </row>
    <row r="34" spans="1:18" x14ac:dyDescent="0.25">
      <c r="A34">
        <v>10</v>
      </c>
      <c r="B34" t="s">
        <v>95</v>
      </c>
      <c r="C34" t="s">
        <v>104</v>
      </c>
      <c r="D34">
        <v>5</v>
      </c>
      <c r="E34">
        <v>55</v>
      </c>
      <c r="F34" t="s">
        <v>114</v>
      </c>
      <c r="G34">
        <v>10</v>
      </c>
      <c r="H34">
        <v>5</v>
      </c>
      <c r="I34">
        <v>20</v>
      </c>
      <c r="J34">
        <v>15</v>
      </c>
      <c r="K34">
        <v>14</v>
      </c>
      <c r="L34">
        <v>1</v>
      </c>
      <c r="M34">
        <v>2</v>
      </c>
      <c r="N34" t="s">
        <v>114</v>
      </c>
      <c r="Q34">
        <v>42</v>
      </c>
      <c r="R34" t="s">
        <v>75</v>
      </c>
    </row>
    <row r="35" spans="1:18" x14ac:dyDescent="0.25">
      <c r="A35">
        <v>12</v>
      </c>
      <c r="B35" t="s">
        <v>94</v>
      </c>
      <c r="C35" t="s">
        <v>111</v>
      </c>
      <c r="D35">
        <v>1</v>
      </c>
      <c r="E35">
        <v>340</v>
      </c>
      <c r="F35" t="s">
        <v>114</v>
      </c>
      <c r="G35">
        <v>70</v>
      </c>
      <c r="H35">
        <v>30</v>
      </c>
      <c r="I35">
        <v>80</v>
      </c>
      <c r="J35">
        <v>55</v>
      </c>
      <c r="K35">
        <v>50</v>
      </c>
      <c r="L35">
        <v>14</v>
      </c>
      <c r="M35">
        <v>7</v>
      </c>
      <c r="N35" t="s">
        <v>114</v>
      </c>
      <c r="Q35" t="s">
        <v>114</v>
      </c>
      <c r="R35" t="s">
        <v>50</v>
      </c>
    </row>
    <row r="36" spans="1:18" x14ac:dyDescent="0.25">
      <c r="A36">
        <v>12</v>
      </c>
      <c r="B36" t="s">
        <v>94</v>
      </c>
      <c r="C36" t="s">
        <v>111</v>
      </c>
      <c r="D36">
        <v>2</v>
      </c>
      <c r="E36">
        <v>280</v>
      </c>
      <c r="F36" t="s">
        <v>114</v>
      </c>
      <c r="G36">
        <v>210</v>
      </c>
      <c r="H36">
        <v>120</v>
      </c>
      <c r="I36">
        <v>75</v>
      </c>
      <c r="J36">
        <v>55</v>
      </c>
      <c r="K36">
        <v>55</v>
      </c>
      <c r="L36">
        <v>20</v>
      </c>
      <c r="M36">
        <v>17</v>
      </c>
      <c r="N36" t="s">
        <v>114</v>
      </c>
      <c r="Q36">
        <v>80</v>
      </c>
      <c r="R36" t="s">
        <v>61</v>
      </c>
    </row>
    <row r="37" spans="1:18" x14ac:dyDescent="0.25">
      <c r="A37">
        <v>12</v>
      </c>
      <c r="B37" t="s">
        <v>94</v>
      </c>
      <c r="C37" t="s">
        <v>111</v>
      </c>
      <c r="D37">
        <v>3</v>
      </c>
      <c r="E37">
        <v>290</v>
      </c>
      <c r="F37" t="s">
        <v>114</v>
      </c>
      <c r="G37">
        <v>210</v>
      </c>
      <c r="H37">
        <v>120</v>
      </c>
      <c r="I37">
        <v>95</v>
      </c>
      <c r="J37">
        <v>65</v>
      </c>
      <c r="K37">
        <v>60</v>
      </c>
      <c r="L37">
        <v>33</v>
      </c>
      <c r="M37">
        <v>22</v>
      </c>
      <c r="N37" t="s">
        <v>114</v>
      </c>
      <c r="Q37">
        <v>115</v>
      </c>
      <c r="R37" t="s">
        <v>61</v>
      </c>
    </row>
    <row r="38" spans="1:18" x14ac:dyDescent="0.25">
      <c r="A38">
        <v>12</v>
      </c>
      <c r="B38" t="s">
        <v>94</v>
      </c>
      <c r="C38" t="s">
        <v>111</v>
      </c>
      <c r="D38">
        <v>4</v>
      </c>
      <c r="E38">
        <v>200</v>
      </c>
      <c r="F38" t="s">
        <v>114</v>
      </c>
      <c r="G38">
        <v>100</v>
      </c>
      <c r="H38">
        <v>30</v>
      </c>
      <c r="I38">
        <v>50</v>
      </c>
      <c r="J38">
        <v>45</v>
      </c>
      <c r="K38">
        <v>47</v>
      </c>
      <c r="L38">
        <v>7</v>
      </c>
      <c r="M38">
        <v>4</v>
      </c>
      <c r="N38" t="s">
        <v>114</v>
      </c>
      <c r="Q38">
        <v>65</v>
      </c>
      <c r="R38" t="s">
        <v>61</v>
      </c>
    </row>
    <row r="39" spans="1:18" x14ac:dyDescent="0.25">
      <c r="A39">
        <v>12</v>
      </c>
      <c r="B39" t="s">
        <v>95</v>
      </c>
      <c r="C39" t="s">
        <v>111</v>
      </c>
      <c r="D39">
        <v>1</v>
      </c>
      <c r="E39">
        <v>120</v>
      </c>
      <c r="F39" t="s">
        <v>114</v>
      </c>
      <c r="G39">
        <v>80</v>
      </c>
      <c r="H39">
        <v>20</v>
      </c>
      <c r="I39">
        <v>42</v>
      </c>
      <c r="J39">
        <v>42</v>
      </c>
      <c r="K39">
        <v>29</v>
      </c>
      <c r="L39">
        <v>3</v>
      </c>
      <c r="M39">
        <v>2</v>
      </c>
      <c r="N39" t="s">
        <v>114</v>
      </c>
      <c r="Q39">
        <v>30</v>
      </c>
      <c r="R39" t="s">
        <v>62</v>
      </c>
    </row>
    <row r="40" spans="1:18" x14ac:dyDescent="0.25">
      <c r="A40">
        <v>12</v>
      </c>
      <c r="B40" t="s">
        <v>95</v>
      </c>
      <c r="C40" t="s">
        <v>111</v>
      </c>
      <c r="D40">
        <v>2</v>
      </c>
      <c r="E40">
        <v>200</v>
      </c>
      <c r="F40" t="s">
        <v>114</v>
      </c>
      <c r="G40">
        <v>30</v>
      </c>
      <c r="H40">
        <v>5</v>
      </c>
      <c r="I40">
        <v>42</v>
      </c>
      <c r="J40">
        <v>41</v>
      </c>
      <c r="K40">
        <v>40</v>
      </c>
      <c r="L40">
        <v>6</v>
      </c>
      <c r="M40">
        <v>3</v>
      </c>
      <c r="N40" t="s">
        <v>114</v>
      </c>
      <c r="Q40">
        <v>36</v>
      </c>
      <c r="R40" t="s">
        <v>62</v>
      </c>
    </row>
    <row r="41" spans="1:18" x14ac:dyDescent="0.25">
      <c r="A41">
        <v>12</v>
      </c>
      <c r="B41" t="s">
        <v>95</v>
      </c>
      <c r="C41" t="s">
        <v>111</v>
      </c>
      <c r="D41">
        <v>3</v>
      </c>
      <c r="E41">
        <v>320</v>
      </c>
      <c r="F41" t="s">
        <v>114</v>
      </c>
      <c r="G41">
        <v>230</v>
      </c>
      <c r="H41">
        <v>70</v>
      </c>
      <c r="I41">
        <v>72</v>
      </c>
      <c r="J41">
        <v>70</v>
      </c>
      <c r="K41">
        <v>56</v>
      </c>
      <c r="L41">
        <v>26</v>
      </c>
      <c r="M41">
        <v>15</v>
      </c>
      <c r="N41" t="s">
        <v>114</v>
      </c>
      <c r="Q41">
        <v>110</v>
      </c>
      <c r="R41" t="s">
        <v>62</v>
      </c>
    </row>
    <row r="42" spans="1:18" x14ac:dyDescent="0.25">
      <c r="A42">
        <v>12</v>
      </c>
      <c r="B42" t="s">
        <v>94</v>
      </c>
      <c r="C42" t="s">
        <v>104</v>
      </c>
      <c r="D42">
        <v>1</v>
      </c>
      <c r="E42">
        <v>60</v>
      </c>
      <c r="F42" t="s">
        <v>114</v>
      </c>
      <c r="G42">
        <v>60</v>
      </c>
      <c r="H42">
        <v>45</v>
      </c>
      <c r="I42">
        <v>45</v>
      </c>
      <c r="J42">
        <v>38</v>
      </c>
      <c r="K42">
        <v>30</v>
      </c>
      <c r="L42">
        <v>11</v>
      </c>
      <c r="M42">
        <v>3</v>
      </c>
      <c r="N42" t="s">
        <v>114</v>
      </c>
      <c r="Q42">
        <v>52</v>
      </c>
      <c r="R42" t="s">
        <v>50</v>
      </c>
    </row>
    <row r="43" spans="1:18" x14ac:dyDescent="0.25">
      <c r="A43">
        <v>12</v>
      </c>
      <c r="B43" t="s">
        <v>94</v>
      </c>
      <c r="C43" t="s">
        <v>104</v>
      </c>
      <c r="D43">
        <v>2</v>
      </c>
      <c r="E43">
        <v>45</v>
      </c>
      <c r="F43" t="s">
        <v>114</v>
      </c>
      <c r="G43">
        <v>45</v>
      </c>
      <c r="H43">
        <v>5</v>
      </c>
      <c r="I43">
        <v>26</v>
      </c>
      <c r="J43">
        <v>19</v>
      </c>
      <c r="K43">
        <v>17</v>
      </c>
      <c r="L43">
        <v>6</v>
      </c>
      <c r="M43">
        <v>4</v>
      </c>
      <c r="N43" t="s">
        <v>114</v>
      </c>
      <c r="Q43">
        <v>70</v>
      </c>
      <c r="R43" t="s">
        <v>55</v>
      </c>
    </row>
    <row r="44" spans="1:18" x14ac:dyDescent="0.25">
      <c r="A44">
        <v>12</v>
      </c>
      <c r="B44" t="s">
        <v>94</v>
      </c>
      <c r="C44" t="s">
        <v>104</v>
      </c>
      <c r="D44">
        <v>3</v>
      </c>
      <c r="E44">
        <v>35</v>
      </c>
      <c r="F44" t="s">
        <v>114</v>
      </c>
      <c r="G44">
        <v>45</v>
      </c>
      <c r="H44">
        <v>18</v>
      </c>
      <c r="I44">
        <v>25</v>
      </c>
      <c r="J44">
        <v>23</v>
      </c>
      <c r="K44">
        <v>22</v>
      </c>
      <c r="L44">
        <v>9</v>
      </c>
      <c r="M44">
        <v>3</v>
      </c>
      <c r="N44" t="s">
        <v>114</v>
      </c>
      <c r="Q44">
        <v>45</v>
      </c>
      <c r="R44" t="s">
        <v>55</v>
      </c>
    </row>
    <row r="45" spans="1:18" x14ac:dyDescent="0.25">
      <c r="A45">
        <v>12</v>
      </c>
      <c r="B45" t="s">
        <v>94</v>
      </c>
      <c r="C45" t="s">
        <v>161</v>
      </c>
      <c r="D45">
        <v>1</v>
      </c>
      <c r="E45">
        <v>115</v>
      </c>
      <c r="F45" t="s">
        <v>114</v>
      </c>
      <c r="G45">
        <v>70</v>
      </c>
      <c r="H45">
        <v>30</v>
      </c>
      <c r="I45">
        <v>45</v>
      </c>
      <c r="J45">
        <v>35</v>
      </c>
      <c r="K45">
        <v>30</v>
      </c>
      <c r="L45">
        <v>10</v>
      </c>
      <c r="M45">
        <v>5</v>
      </c>
      <c r="N45" t="s">
        <v>114</v>
      </c>
      <c r="Q45" t="s">
        <v>114</v>
      </c>
      <c r="R45" t="s">
        <v>50</v>
      </c>
    </row>
    <row r="46" spans="1:18" x14ac:dyDescent="0.25">
      <c r="A46">
        <v>12</v>
      </c>
      <c r="B46" t="s">
        <v>95</v>
      </c>
      <c r="C46" t="s">
        <v>161</v>
      </c>
      <c r="D46">
        <v>2</v>
      </c>
      <c r="E46">
        <v>165</v>
      </c>
      <c r="F46" t="s">
        <v>114</v>
      </c>
      <c r="G46">
        <v>40</v>
      </c>
      <c r="H46">
        <v>6</v>
      </c>
      <c r="I46">
        <v>75</v>
      </c>
      <c r="J46">
        <v>60</v>
      </c>
      <c r="K46">
        <v>53</v>
      </c>
      <c r="L46">
        <v>4</v>
      </c>
      <c r="M46">
        <v>2</v>
      </c>
      <c r="N46" t="s">
        <v>114</v>
      </c>
      <c r="Q46">
        <v>35</v>
      </c>
      <c r="R46" t="s">
        <v>50</v>
      </c>
    </row>
    <row r="47" spans="1:18" x14ac:dyDescent="0.25">
      <c r="A47">
        <v>12</v>
      </c>
      <c r="B47" t="s">
        <v>95</v>
      </c>
      <c r="C47" t="s">
        <v>104</v>
      </c>
      <c r="D47">
        <v>1</v>
      </c>
      <c r="E47">
        <v>170</v>
      </c>
      <c r="F47" t="s">
        <v>114</v>
      </c>
      <c r="G47">
        <v>30</v>
      </c>
      <c r="H47">
        <v>15</v>
      </c>
      <c r="I47">
        <v>35</v>
      </c>
      <c r="J47">
        <v>30</v>
      </c>
      <c r="K47">
        <v>25</v>
      </c>
      <c r="L47">
        <v>5</v>
      </c>
      <c r="M47">
        <v>4</v>
      </c>
      <c r="N47" t="s">
        <v>114</v>
      </c>
      <c r="Q47" t="s">
        <v>114</v>
      </c>
      <c r="R47" t="s">
        <v>50</v>
      </c>
    </row>
    <row r="48" spans="1:18" x14ac:dyDescent="0.25">
      <c r="A48">
        <v>12</v>
      </c>
      <c r="B48" t="s">
        <v>95</v>
      </c>
      <c r="C48" t="s">
        <v>104</v>
      </c>
      <c r="D48">
        <v>2</v>
      </c>
      <c r="E48">
        <v>70</v>
      </c>
      <c r="F48" t="s">
        <v>114</v>
      </c>
      <c r="G48">
        <v>30</v>
      </c>
      <c r="H48">
        <v>10</v>
      </c>
      <c r="I48">
        <v>31</v>
      </c>
      <c r="J48">
        <v>25</v>
      </c>
      <c r="K48">
        <v>21</v>
      </c>
      <c r="L48">
        <v>3</v>
      </c>
      <c r="M48">
        <v>2</v>
      </c>
      <c r="N48" t="s">
        <v>114</v>
      </c>
      <c r="Q48" t="s">
        <v>114</v>
      </c>
      <c r="R48" t="s">
        <v>51</v>
      </c>
    </row>
    <row r="49" spans="1:18" x14ac:dyDescent="0.25">
      <c r="A49">
        <v>12</v>
      </c>
      <c r="B49" t="s">
        <v>95</v>
      </c>
      <c r="C49" t="s">
        <v>104</v>
      </c>
      <c r="D49">
        <v>3</v>
      </c>
      <c r="E49">
        <v>80</v>
      </c>
      <c r="F49" t="s">
        <v>114</v>
      </c>
      <c r="G49">
        <v>10</v>
      </c>
      <c r="H49">
        <v>7</v>
      </c>
      <c r="I49">
        <v>13</v>
      </c>
      <c r="J49">
        <v>12</v>
      </c>
      <c r="K49">
        <v>9</v>
      </c>
      <c r="L49">
        <v>2</v>
      </c>
      <c r="M49">
        <v>2</v>
      </c>
      <c r="N49" t="s">
        <v>114</v>
      </c>
      <c r="Q49">
        <v>40</v>
      </c>
      <c r="R49" t="s">
        <v>51</v>
      </c>
    </row>
    <row r="50" spans="1:18" x14ac:dyDescent="0.25">
      <c r="A50">
        <v>12</v>
      </c>
      <c r="B50" t="s">
        <v>95</v>
      </c>
      <c r="C50" t="s">
        <v>104</v>
      </c>
      <c r="D50">
        <v>4</v>
      </c>
      <c r="E50">
        <v>90</v>
      </c>
      <c r="F50" t="s">
        <v>114</v>
      </c>
      <c r="G50">
        <v>25</v>
      </c>
      <c r="H50">
        <v>8</v>
      </c>
      <c r="I50">
        <v>45</v>
      </c>
      <c r="J50">
        <v>35</v>
      </c>
      <c r="K50">
        <v>26</v>
      </c>
      <c r="L50">
        <v>5</v>
      </c>
      <c r="M50">
        <v>3</v>
      </c>
      <c r="N50" t="s">
        <v>114</v>
      </c>
      <c r="Q50">
        <v>29</v>
      </c>
      <c r="R50" t="s">
        <v>51</v>
      </c>
    </row>
    <row r="51" spans="1:18" x14ac:dyDescent="0.25">
      <c r="A51">
        <v>12</v>
      </c>
      <c r="B51" t="s">
        <v>95</v>
      </c>
      <c r="C51" t="s">
        <v>104</v>
      </c>
      <c r="D51">
        <v>5</v>
      </c>
      <c r="E51">
        <v>105</v>
      </c>
      <c r="F51" t="s">
        <v>114</v>
      </c>
      <c r="G51">
        <v>25</v>
      </c>
      <c r="H51">
        <v>15</v>
      </c>
      <c r="I51">
        <v>50</v>
      </c>
      <c r="J51">
        <v>45</v>
      </c>
      <c r="K51">
        <v>45</v>
      </c>
      <c r="L51">
        <v>11</v>
      </c>
      <c r="M51">
        <v>4</v>
      </c>
      <c r="N51" t="s">
        <v>114</v>
      </c>
      <c r="Q51">
        <v>36</v>
      </c>
      <c r="R51" t="s">
        <v>50</v>
      </c>
    </row>
    <row r="52" spans="1:18" x14ac:dyDescent="0.25">
      <c r="A52">
        <v>12</v>
      </c>
      <c r="B52" t="s">
        <v>94</v>
      </c>
      <c r="C52" t="s">
        <v>110</v>
      </c>
      <c r="D52">
        <v>1</v>
      </c>
      <c r="E52">
        <v>40</v>
      </c>
      <c r="F52" t="s">
        <v>114</v>
      </c>
      <c r="G52">
        <v>30</v>
      </c>
      <c r="H52">
        <v>25</v>
      </c>
      <c r="I52">
        <v>9</v>
      </c>
      <c r="J52">
        <v>9</v>
      </c>
      <c r="K52">
        <v>8</v>
      </c>
      <c r="L52">
        <v>3</v>
      </c>
      <c r="M52">
        <v>1</v>
      </c>
      <c r="N52">
        <v>3</v>
      </c>
      <c r="Q52">
        <v>92</v>
      </c>
      <c r="R52" t="s">
        <v>58</v>
      </c>
    </row>
    <row r="53" spans="1:18" x14ac:dyDescent="0.25">
      <c r="A53">
        <v>12</v>
      </c>
      <c r="B53" t="s">
        <v>94</v>
      </c>
      <c r="C53" t="s">
        <v>110</v>
      </c>
      <c r="D53">
        <v>2</v>
      </c>
      <c r="E53">
        <v>45</v>
      </c>
      <c r="F53" t="s">
        <v>114</v>
      </c>
      <c r="G53">
        <v>50</v>
      </c>
      <c r="H53">
        <v>0</v>
      </c>
      <c r="I53">
        <v>6</v>
      </c>
      <c r="J53">
        <v>6</v>
      </c>
      <c r="K53">
        <v>5</v>
      </c>
      <c r="L53">
        <v>7</v>
      </c>
      <c r="M53">
        <v>1</v>
      </c>
      <c r="N53">
        <v>4</v>
      </c>
      <c r="Q53">
        <v>90</v>
      </c>
      <c r="R53" t="s">
        <v>58</v>
      </c>
    </row>
    <row r="54" spans="1:18" x14ac:dyDescent="0.25">
      <c r="A54">
        <v>12</v>
      </c>
      <c r="B54" t="s">
        <v>94</v>
      </c>
      <c r="C54" t="s">
        <v>110</v>
      </c>
      <c r="D54">
        <v>3</v>
      </c>
      <c r="E54">
        <v>70</v>
      </c>
      <c r="F54" t="s">
        <v>114</v>
      </c>
      <c r="G54">
        <v>75</v>
      </c>
      <c r="H54">
        <v>0</v>
      </c>
      <c r="I54">
        <v>13</v>
      </c>
      <c r="J54">
        <v>11</v>
      </c>
      <c r="K54">
        <v>11</v>
      </c>
      <c r="L54">
        <v>3</v>
      </c>
      <c r="M54">
        <v>1</v>
      </c>
      <c r="N54">
        <v>2</v>
      </c>
      <c r="Q54">
        <v>125</v>
      </c>
      <c r="R54" t="s">
        <v>65</v>
      </c>
    </row>
    <row r="55" spans="1:18" x14ac:dyDescent="0.25">
      <c r="A55">
        <v>12</v>
      </c>
      <c r="B55" t="s">
        <v>94</v>
      </c>
      <c r="C55" t="s">
        <v>162</v>
      </c>
      <c r="D55">
        <v>1</v>
      </c>
      <c r="E55">
        <v>70</v>
      </c>
      <c r="F55" t="s">
        <v>114</v>
      </c>
      <c r="G55">
        <v>150</v>
      </c>
      <c r="H55">
        <v>85</v>
      </c>
      <c r="I55">
        <v>15</v>
      </c>
      <c r="J55">
        <v>15</v>
      </c>
      <c r="K55">
        <v>18</v>
      </c>
      <c r="L55">
        <v>12</v>
      </c>
      <c r="M55">
        <v>1</v>
      </c>
      <c r="N55">
        <v>4</v>
      </c>
      <c r="Q55">
        <v>110</v>
      </c>
      <c r="R55" t="s">
        <v>61</v>
      </c>
    </row>
    <row r="56" spans="1:18" x14ac:dyDescent="0.25">
      <c r="A56">
        <v>12</v>
      </c>
      <c r="B56" t="s">
        <v>95</v>
      </c>
      <c r="C56" t="s">
        <v>110</v>
      </c>
      <c r="D56">
        <v>1</v>
      </c>
      <c r="E56">
        <v>95</v>
      </c>
      <c r="F56" t="s">
        <v>114</v>
      </c>
      <c r="G56">
        <v>13</v>
      </c>
      <c r="H56">
        <v>0</v>
      </c>
      <c r="I56">
        <v>15</v>
      </c>
      <c r="J56">
        <v>14</v>
      </c>
      <c r="K56">
        <v>14</v>
      </c>
      <c r="L56">
        <v>2</v>
      </c>
      <c r="M56">
        <v>1</v>
      </c>
      <c r="N56">
        <v>1</v>
      </c>
      <c r="Q56">
        <v>70</v>
      </c>
      <c r="R56" t="s">
        <v>65</v>
      </c>
    </row>
    <row r="57" spans="1:18" x14ac:dyDescent="0.25">
      <c r="A57">
        <v>12</v>
      </c>
      <c r="B57" t="s">
        <v>95</v>
      </c>
      <c r="C57" t="s">
        <v>110</v>
      </c>
      <c r="D57">
        <v>2</v>
      </c>
      <c r="E57">
        <v>95</v>
      </c>
      <c r="F57" t="s">
        <v>114</v>
      </c>
      <c r="G57">
        <v>100</v>
      </c>
      <c r="H57">
        <v>25</v>
      </c>
      <c r="I57">
        <v>12</v>
      </c>
      <c r="J57">
        <v>13</v>
      </c>
      <c r="K57">
        <v>11</v>
      </c>
      <c r="L57">
        <v>7</v>
      </c>
      <c r="M57">
        <v>1</v>
      </c>
      <c r="N57">
        <v>4</v>
      </c>
      <c r="Q57">
        <v>50</v>
      </c>
      <c r="R57" t="s">
        <v>65</v>
      </c>
    </row>
    <row r="58" spans="1:18" x14ac:dyDescent="0.25">
      <c r="A58">
        <v>12</v>
      </c>
      <c r="B58" t="s">
        <v>95</v>
      </c>
      <c r="C58" t="s">
        <v>110</v>
      </c>
      <c r="D58">
        <v>3</v>
      </c>
      <c r="E58">
        <v>140</v>
      </c>
      <c r="F58" t="s">
        <v>114</v>
      </c>
      <c r="G58">
        <v>40</v>
      </c>
      <c r="H58">
        <v>5</v>
      </c>
      <c r="I58">
        <v>12</v>
      </c>
      <c r="J58">
        <v>10</v>
      </c>
      <c r="K58">
        <v>9</v>
      </c>
      <c r="L58">
        <v>15</v>
      </c>
      <c r="M58">
        <v>1</v>
      </c>
      <c r="N58">
        <v>2</v>
      </c>
      <c r="Q58">
        <v>90</v>
      </c>
      <c r="R58" t="s">
        <v>114</v>
      </c>
    </row>
    <row r="59" spans="1:18" x14ac:dyDescent="0.25">
      <c r="A59">
        <v>12</v>
      </c>
      <c r="B59" t="s">
        <v>95</v>
      </c>
      <c r="C59" t="s">
        <v>162</v>
      </c>
      <c r="D59">
        <v>1</v>
      </c>
      <c r="E59">
        <v>150</v>
      </c>
      <c r="F59" t="s">
        <v>114</v>
      </c>
      <c r="G59">
        <v>50</v>
      </c>
      <c r="H59">
        <v>20</v>
      </c>
      <c r="I59">
        <v>20</v>
      </c>
      <c r="J59">
        <v>15</v>
      </c>
      <c r="K59">
        <v>15</v>
      </c>
      <c r="L59">
        <v>9</v>
      </c>
      <c r="M59">
        <v>2</v>
      </c>
      <c r="N59">
        <v>4</v>
      </c>
      <c r="Q59">
        <v>77</v>
      </c>
      <c r="R59" t="s">
        <v>58</v>
      </c>
    </row>
    <row r="60" spans="1:18" x14ac:dyDescent="0.25">
      <c r="A60">
        <v>12</v>
      </c>
      <c r="B60" t="s">
        <v>94</v>
      </c>
      <c r="C60" t="s">
        <v>105</v>
      </c>
      <c r="D60">
        <v>1</v>
      </c>
      <c r="E60">
        <v>25</v>
      </c>
      <c r="F60">
        <v>150</v>
      </c>
      <c r="G60">
        <v>40</v>
      </c>
      <c r="H60">
        <v>25</v>
      </c>
      <c r="I60">
        <v>40</v>
      </c>
      <c r="J60">
        <v>25</v>
      </c>
      <c r="K60" t="s">
        <v>114</v>
      </c>
      <c r="L60">
        <v>1</v>
      </c>
      <c r="M60">
        <v>1</v>
      </c>
      <c r="N60" t="s">
        <v>114</v>
      </c>
      <c r="Q60">
        <v>46</v>
      </c>
      <c r="R60" t="s">
        <v>55</v>
      </c>
    </row>
    <row r="61" spans="1:18" x14ac:dyDescent="0.25">
      <c r="A61">
        <v>12</v>
      </c>
      <c r="B61" t="s">
        <v>94</v>
      </c>
      <c r="C61" t="s">
        <v>105</v>
      </c>
      <c r="D61">
        <v>2</v>
      </c>
      <c r="E61">
        <v>15</v>
      </c>
      <c r="F61">
        <v>110</v>
      </c>
      <c r="G61">
        <v>45</v>
      </c>
      <c r="H61">
        <v>43</v>
      </c>
      <c r="I61">
        <v>45</v>
      </c>
      <c r="J61">
        <v>43</v>
      </c>
      <c r="K61" t="s">
        <v>114</v>
      </c>
      <c r="L61">
        <v>2</v>
      </c>
      <c r="M61">
        <v>1</v>
      </c>
      <c r="N61" t="s">
        <v>114</v>
      </c>
      <c r="Q61">
        <v>55</v>
      </c>
      <c r="R61" t="s">
        <v>51</v>
      </c>
    </row>
    <row r="62" spans="1:18" x14ac:dyDescent="0.25">
      <c r="A62">
        <v>12</v>
      </c>
      <c r="B62" t="s">
        <v>94</v>
      </c>
      <c r="C62" t="s">
        <v>105</v>
      </c>
      <c r="D62">
        <v>3</v>
      </c>
      <c r="E62">
        <v>20</v>
      </c>
      <c r="F62">
        <v>295</v>
      </c>
      <c r="G62">
        <v>130</v>
      </c>
      <c r="H62">
        <v>55</v>
      </c>
      <c r="I62">
        <v>130</v>
      </c>
      <c r="J62">
        <v>55</v>
      </c>
      <c r="K62" t="s">
        <v>114</v>
      </c>
      <c r="L62">
        <v>6</v>
      </c>
      <c r="M62">
        <v>2</v>
      </c>
      <c r="N62" t="s">
        <v>114</v>
      </c>
      <c r="Q62">
        <v>110</v>
      </c>
      <c r="R62" t="s">
        <v>55</v>
      </c>
    </row>
    <row r="63" spans="1:18" x14ac:dyDescent="0.25">
      <c r="A63">
        <v>12</v>
      </c>
      <c r="B63" t="s">
        <v>95</v>
      </c>
      <c r="C63" t="s">
        <v>105</v>
      </c>
      <c r="D63">
        <v>1</v>
      </c>
      <c r="E63">
        <v>80</v>
      </c>
      <c r="F63">
        <v>440</v>
      </c>
      <c r="G63">
        <v>120</v>
      </c>
      <c r="H63">
        <v>95</v>
      </c>
      <c r="I63">
        <v>120</v>
      </c>
      <c r="J63">
        <v>95</v>
      </c>
      <c r="K63" t="s">
        <v>114</v>
      </c>
      <c r="L63">
        <v>18</v>
      </c>
      <c r="M63">
        <v>5</v>
      </c>
      <c r="N63" t="s">
        <v>114</v>
      </c>
      <c r="Q63">
        <v>75</v>
      </c>
      <c r="R63" t="s">
        <v>65</v>
      </c>
    </row>
    <row r="64" spans="1:18" x14ac:dyDescent="0.25">
      <c r="A64">
        <v>12</v>
      </c>
      <c r="B64" t="s">
        <v>95</v>
      </c>
      <c r="C64" t="s">
        <v>105</v>
      </c>
      <c r="D64">
        <v>2</v>
      </c>
      <c r="E64">
        <v>45</v>
      </c>
      <c r="F64">
        <v>310</v>
      </c>
      <c r="G64">
        <v>80</v>
      </c>
      <c r="H64">
        <v>75</v>
      </c>
      <c r="I64">
        <v>80</v>
      </c>
      <c r="J64">
        <v>75</v>
      </c>
      <c r="K64" t="s">
        <v>114</v>
      </c>
      <c r="L64">
        <v>7</v>
      </c>
      <c r="M64">
        <v>2</v>
      </c>
      <c r="N64" t="s">
        <v>114</v>
      </c>
      <c r="Q64">
        <v>56</v>
      </c>
      <c r="R64" t="s">
        <v>56</v>
      </c>
    </row>
    <row r="65" spans="1:18" x14ac:dyDescent="0.25">
      <c r="A65">
        <v>12</v>
      </c>
      <c r="B65" t="s">
        <v>95</v>
      </c>
      <c r="C65" t="s">
        <v>105</v>
      </c>
      <c r="D65">
        <v>3</v>
      </c>
      <c r="E65">
        <v>45</v>
      </c>
      <c r="F65">
        <v>195</v>
      </c>
      <c r="G65">
        <v>50</v>
      </c>
      <c r="H65">
        <v>25</v>
      </c>
      <c r="I65">
        <v>50</v>
      </c>
      <c r="J65">
        <v>25</v>
      </c>
      <c r="K65" t="s">
        <v>114</v>
      </c>
      <c r="L65">
        <v>2</v>
      </c>
      <c r="M65">
        <v>1</v>
      </c>
      <c r="N65" t="s">
        <v>114</v>
      </c>
      <c r="Q65">
        <v>49</v>
      </c>
      <c r="R65" t="s">
        <v>56</v>
      </c>
    </row>
    <row r="66" spans="1:18" x14ac:dyDescent="0.25">
      <c r="A66">
        <v>15</v>
      </c>
      <c r="B66" t="s">
        <v>94</v>
      </c>
      <c r="C66" t="s">
        <v>104</v>
      </c>
      <c r="D66">
        <v>1</v>
      </c>
      <c r="E66">
        <v>90</v>
      </c>
      <c r="F66" t="s">
        <v>114</v>
      </c>
      <c r="G66">
        <v>140</v>
      </c>
      <c r="H66">
        <v>25</v>
      </c>
      <c r="I66">
        <v>40</v>
      </c>
      <c r="J66">
        <v>30</v>
      </c>
      <c r="K66">
        <v>28</v>
      </c>
      <c r="L66">
        <v>11</v>
      </c>
      <c r="M66">
        <v>4</v>
      </c>
      <c r="N66" t="s">
        <v>114</v>
      </c>
      <c r="Q66">
        <v>60</v>
      </c>
      <c r="R66" t="s">
        <v>18</v>
      </c>
    </row>
    <row r="67" spans="1:18" x14ac:dyDescent="0.25">
      <c r="A67">
        <v>15</v>
      </c>
      <c r="B67" t="s">
        <v>94</v>
      </c>
      <c r="C67" t="s">
        <v>104</v>
      </c>
      <c r="D67">
        <v>2</v>
      </c>
      <c r="E67">
        <v>80</v>
      </c>
      <c r="F67" t="s">
        <v>114</v>
      </c>
      <c r="G67">
        <v>35</v>
      </c>
      <c r="H67">
        <v>13</v>
      </c>
      <c r="I67">
        <v>35</v>
      </c>
      <c r="J67">
        <v>32</v>
      </c>
      <c r="K67">
        <v>15</v>
      </c>
      <c r="L67">
        <v>3</v>
      </c>
      <c r="M67">
        <v>2</v>
      </c>
      <c r="N67" t="s">
        <v>114</v>
      </c>
      <c r="Q67">
        <v>25</v>
      </c>
      <c r="R67" t="s">
        <v>18</v>
      </c>
    </row>
    <row r="68" spans="1:18" x14ac:dyDescent="0.25">
      <c r="A68">
        <v>15</v>
      </c>
      <c r="B68" t="s">
        <v>94</v>
      </c>
      <c r="C68" t="s">
        <v>104</v>
      </c>
      <c r="D68">
        <v>3</v>
      </c>
      <c r="E68">
        <v>45</v>
      </c>
      <c r="F68" t="s">
        <v>114</v>
      </c>
      <c r="G68">
        <v>18</v>
      </c>
      <c r="H68">
        <v>5</v>
      </c>
      <c r="I68">
        <v>35</v>
      </c>
      <c r="J68">
        <v>32</v>
      </c>
      <c r="K68">
        <v>23</v>
      </c>
      <c r="L68">
        <v>1</v>
      </c>
      <c r="M68">
        <v>1</v>
      </c>
      <c r="N68" t="s">
        <v>114</v>
      </c>
      <c r="Q68">
        <v>45</v>
      </c>
      <c r="R68" t="s">
        <v>18</v>
      </c>
    </row>
    <row r="69" spans="1:18" x14ac:dyDescent="0.25">
      <c r="A69">
        <v>15</v>
      </c>
      <c r="B69" t="s">
        <v>94</v>
      </c>
      <c r="C69" t="s">
        <v>104</v>
      </c>
      <c r="D69">
        <v>4</v>
      </c>
      <c r="E69">
        <v>75</v>
      </c>
      <c r="F69" t="s">
        <v>114</v>
      </c>
      <c r="G69">
        <v>45</v>
      </c>
      <c r="H69">
        <v>30</v>
      </c>
      <c r="I69">
        <v>45</v>
      </c>
      <c r="J69">
        <v>25</v>
      </c>
      <c r="K69">
        <v>25</v>
      </c>
      <c r="L69">
        <v>10</v>
      </c>
      <c r="M69">
        <v>6</v>
      </c>
      <c r="N69" t="s">
        <v>114</v>
      </c>
      <c r="Q69">
        <v>70</v>
      </c>
      <c r="R69" t="s">
        <v>163</v>
      </c>
    </row>
    <row r="70" spans="1:18" x14ac:dyDescent="0.25">
      <c r="A70">
        <v>15</v>
      </c>
      <c r="B70" t="s">
        <v>95</v>
      </c>
      <c r="C70" t="s">
        <v>104</v>
      </c>
      <c r="D70">
        <v>1</v>
      </c>
      <c r="E70">
        <v>110</v>
      </c>
      <c r="F70" t="s">
        <v>114</v>
      </c>
      <c r="G70">
        <v>60</v>
      </c>
      <c r="H70">
        <v>10</v>
      </c>
      <c r="I70">
        <v>35</v>
      </c>
      <c r="J70">
        <v>60</v>
      </c>
      <c r="K70">
        <v>50</v>
      </c>
      <c r="L70">
        <v>7</v>
      </c>
      <c r="M70">
        <v>6</v>
      </c>
      <c r="N70" t="s">
        <v>114</v>
      </c>
      <c r="Q70">
        <v>50</v>
      </c>
      <c r="R70" t="s">
        <v>164</v>
      </c>
    </row>
    <row r="71" spans="1:18" x14ac:dyDescent="0.25">
      <c r="A71">
        <v>15</v>
      </c>
      <c r="B71" t="s">
        <v>95</v>
      </c>
      <c r="C71" t="s">
        <v>104</v>
      </c>
      <c r="D71">
        <v>2</v>
      </c>
      <c r="E71">
        <v>100</v>
      </c>
      <c r="F71" t="s">
        <v>114</v>
      </c>
      <c r="G71">
        <v>40</v>
      </c>
      <c r="H71">
        <v>15</v>
      </c>
      <c r="I71">
        <v>33</v>
      </c>
      <c r="J71">
        <v>32</v>
      </c>
      <c r="K71">
        <v>25</v>
      </c>
      <c r="L71">
        <v>9</v>
      </c>
      <c r="M71">
        <v>6</v>
      </c>
      <c r="N71" t="s">
        <v>114</v>
      </c>
      <c r="Q71">
        <v>34</v>
      </c>
      <c r="R71" t="s">
        <v>164</v>
      </c>
    </row>
    <row r="72" spans="1:18" x14ac:dyDescent="0.25">
      <c r="A72">
        <v>15</v>
      </c>
      <c r="B72" t="s">
        <v>95</v>
      </c>
      <c r="C72" t="s">
        <v>104</v>
      </c>
      <c r="D72">
        <v>3</v>
      </c>
      <c r="E72">
        <v>155</v>
      </c>
      <c r="F72" t="s">
        <v>114</v>
      </c>
      <c r="G72">
        <v>55</v>
      </c>
      <c r="H72">
        <v>20</v>
      </c>
      <c r="I72">
        <v>40</v>
      </c>
      <c r="J72">
        <v>40</v>
      </c>
      <c r="K72">
        <v>35</v>
      </c>
      <c r="L72">
        <v>7</v>
      </c>
      <c r="M72">
        <v>5</v>
      </c>
      <c r="N72" t="s">
        <v>114</v>
      </c>
      <c r="Q72" t="s">
        <v>114</v>
      </c>
      <c r="R72" t="s">
        <v>18</v>
      </c>
    </row>
    <row r="73" spans="1:18" x14ac:dyDescent="0.25">
      <c r="A73">
        <v>15</v>
      </c>
      <c r="B73" t="s">
        <v>95</v>
      </c>
      <c r="C73" t="s">
        <v>104</v>
      </c>
      <c r="D73">
        <v>4</v>
      </c>
      <c r="E73">
        <v>125</v>
      </c>
      <c r="F73" t="s">
        <v>114</v>
      </c>
      <c r="G73">
        <v>40</v>
      </c>
      <c r="H73">
        <v>20</v>
      </c>
      <c r="I73">
        <v>75</v>
      </c>
      <c r="J73">
        <v>70</v>
      </c>
      <c r="K73">
        <v>40</v>
      </c>
      <c r="L73">
        <v>6</v>
      </c>
      <c r="M73">
        <v>5</v>
      </c>
      <c r="N73" t="s">
        <v>114</v>
      </c>
      <c r="Q73">
        <v>28</v>
      </c>
      <c r="R73" t="s">
        <v>18</v>
      </c>
    </row>
    <row r="74" spans="1:18" x14ac:dyDescent="0.25">
      <c r="A74">
        <v>15</v>
      </c>
      <c r="B74" t="s">
        <v>95</v>
      </c>
      <c r="C74" t="s">
        <v>104</v>
      </c>
      <c r="D74">
        <v>5</v>
      </c>
      <c r="E74">
        <v>120</v>
      </c>
      <c r="F74" t="s">
        <v>114</v>
      </c>
      <c r="G74">
        <v>45</v>
      </c>
      <c r="H74">
        <v>25</v>
      </c>
      <c r="I74">
        <v>50</v>
      </c>
      <c r="J74">
        <v>35</v>
      </c>
      <c r="K74">
        <v>30</v>
      </c>
      <c r="L74">
        <v>6</v>
      </c>
      <c r="M74">
        <v>4</v>
      </c>
      <c r="N74" t="s">
        <v>114</v>
      </c>
      <c r="Q74" t="s">
        <v>114</v>
      </c>
      <c r="R74" t="s">
        <v>18</v>
      </c>
    </row>
    <row r="75" spans="1:18" x14ac:dyDescent="0.25">
      <c r="A75">
        <v>15</v>
      </c>
      <c r="B75" t="s">
        <v>94</v>
      </c>
      <c r="C75" t="s">
        <v>111</v>
      </c>
      <c r="D75">
        <v>1</v>
      </c>
      <c r="E75">
        <v>220</v>
      </c>
      <c r="F75" t="s">
        <v>114</v>
      </c>
      <c r="G75">
        <v>110</v>
      </c>
      <c r="H75">
        <v>25</v>
      </c>
      <c r="I75">
        <v>45</v>
      </c>
      <c r="J75">
        <v>43</v>
      </c>
      <c r="K75">
        <v>25</v>
      </c>
      <c r="L75">
        <v>14</v>
      </c>
      <c r="M75">
        <v>3</v>
      </c>
      <c r="N75" t="s">
        <v>114</v>
      </c>
      <c r="Q75">
        <v>50</v>
      </c>
      <c r="R75" t="s">
        <v>28</v>
      </c>
    </row>
    <row r="76" spans="1:18" x14ac:dyDescent="0.25">
      <c r="A76">
        <v>15</v>
      </c>
      <c r="B76" t="s">
        <v>94</v>
      </c>
      <c r="C76" t="s">
        <v>111</v>
      </c>
      <c r="D76">
        <v>2</v>
      </c>
      <c r="E76">
        <v>215</v>
      </c>
      <c r="F76" t="s">
        <v>114</v>
      </c>
      <c r="G76">
        <v>60</v>
      </c>
      <c r="H76">
        <v>10</v>
      </c>
      <c r="I76">
        <v>60</v>
      </c>
      <c r="J76">
        <v>60</v>
      </c>
      <c r="K76">
        <v>58</v>
      </c>
      <c r="L76">
        <v>8</v>
      </c>
      <c r="M76">
        <v>5</v>
      </c>
      <c r="N76" t="s">
        <v>114</v>
      </c>
      <c r="Q76">
        <v>52</v>
      </c>
      <c r="R76" t="s">
        <v>22</v>
      </c>
    </row>
    <row r="77" spans="1:18" x14ac:dyDescent="0.25">
      <c r="A77">
        <v>15</v>
      </c>
      <c r="B77" t="s">
        <v>94</v>
      </c>
      <c r="C77" t="s">
        <v>111</v>
      </c>
      <c r="D77">
        <v>3</v>
      </c>
      <c r="E77">
        <v>370</v>
      </c>
      <c r="F77" t="s">
        <v>114</v>
      </c>
      <c r="G77">
        <v>110</v>
      </c>
      <c r="H77">
        <v>90</v>
      </c>
      <c r="I77">
        <v>95</v>
      </c>
      <c r="J77">
        <v>90</v>
      </c>
      <c r="K77">
        <v>85</v>
      </c>
      <c r="L77">
        <v>28</v>
      </c>
      <c r="M77">
        <v>16</v>
      </c>
      <c r="N77" t="s">
        <v>114</v>
      </c>
      <c r="Q77">
        <v>65</v>
      </c>
      <c r="R77" t="s">
        <v>30</v>
      </c>
    </row>
    <row r="78" spans="1:18" x14ac:dyDescent="0.25">
      <c r="A78">
        <v>15</v>
      </c>
      <c r="B78" t="s">
        <v>95</v>
      </c>
      <c r="C78" t="s">
        <v>111</v>
      </c>
      <c r="D78">
        <v>1</v>
      </c>
      <c r="E78">
        <v>350</v>
      </c>
      <c r="F78" t="s">
        <v>114</v>
      </c>
      <c r="G78">
        <v>120</v>
      </c>
      <c r="H78">
        <v>100</v>
      </c>
      <c r="I78">
        <v>90</v>
      </c>
      <c r="J78">
        <v>90</v>
      </c>
      <c r="K78">
        <v>80</v>
      </c>
      <c r="L78">
        <v>56</v>
      </c>
      <c r="M78">
        <v>39</v>
      </c>
      <c r="N78" t="s">
        <v>114</v>
      </c>
      <c r="Q78">
        <v>65</v>
      </c>
      <c r="R78" t="s">
        <v>30</v>
      </c>
    </row>
    <row r="79" spans="1:18" x14ac:dyDescent="0.25">
      <c r="A79">
        <v>15</v>
      </c>
      <c r="B79" t="s">
        <v>95</v>
      </c>
      <c r="C79" t="s">
        <v>111</v>
      </c>
      <c r="D79">
        <v>2</v>
      </c>
      <c r="E79">
        <v>310</v>
      </c>
      <c r="F79" t="s">
        <v>114</v>
      </c>
      <c r="G79">
        <v>110</v>
      </c>
      <c r="H79">
        <v>110</v>
      </c>
      <c r="I79">
        <v>70</v>
      </c>
      <c r="J79">
        <v>65</v>
      </c>
      <c r="K79">
        <v>65</v>
      </c>
      <c r="L79">
        <v>26</v>
      </c>
      <c r="M79">
        <v>13</v>
      </c>
      <c r="N79" t="s">
        <v>114</v>
      </c>
      <c r="Q79">
        <v>63</v>
      </c>
      <c r="R79" t="s">
        <v>165</v>
      </c>
    </row>
    <row r="80" spans="1:18" x14ac:dyDescent="0.25">
      <c r="A80">
        <v>15</v>
      </c>
      <c r="B80" t="s">
        <v>95</v>
      </c>
      <c r="C80" t="s">
        <v>111</v>
      </c>
      <c r="D80">
        <v>3</v>
      </c>
      <c r="E80">
        <v>320</v>
      </c>
      <c r="F80" t="s">
        <v>114</v>
      </c>
      <c r="G80">
        <v>70</v>
      </c>
      <c r="H80">
        <v>70</v>
      </c>
      <c r="I80">
        <v>90</v>
      </c>
      <c r="J80">
        <v>80</v>
      </c>
      <c r="K80">
        <v>65</v>
      </c>
      <c r="L80">
        <v>36</v>
      </c>
      <c r="M80">
        <v>25</v>
      </c>
      <c r="N80" t="s">
        <v>114</v>
      </c>
      <c r="Q80">
        <v>50</v>
      </c>
      <c r="R80" t="s">
        <v>166</v>
      </c>
    </row>
    <row r="81" spans="1:18" x14ac:dyDescent="0.25">
      <c r="A81">
        <v>15</v>
      </c>
      <c r="B81" t="s">
        <v>94</v>
      </c>
      <c r="C81" t="s">
        <v>162</v>
      </c>
      <c r="D81">
        <v>1</v>
      </c>
      <c r="E81">
        <v>90</v>
      </c>
      <c r="F81" t="s">
        <v>114</v>
      </c>
      <c r="G81">
        <v>140</v>
      </c>
      <c r="H81">
        <v>100</v>
      </c>
      <c r="I81">
        <v>20</v>
      </c>
      <c r="J81">
        <v>18</v>
      </c>
      <c r="K81">
        <v>15</v>
      </c>
      <c r="L81">
        <v>14</v>
      </c>
      <c r="M81">
        <v>1</v>
      </c>
      <c r="N81">
        <v>5</v>
      </c>
      <c r="Q81">
        <v>120</v>
      </c>
      <c r="R81" t="s">
        <v>22</v>
      </c>
    </row>
    <row r="82" spans="1:18" x14ac:dyDescent="0.25">
      <c r="A82">
        <v>15</v>
      </c>
      <c r="B82" t="s">
        <v>94</v>
      </c>
      <c r="C82" t="s">
        <v>110</v>
      </c>
      <c r="D82">
        <v>1</v>
      </c>
      <c r="E82">
        <v>40</v>
      </c>
      <c r="F82" t="s">
        <v>114</v>
      </c>
      <c r="G82">
        <v>45</v>
      </c>
      <c r="H82">
        <v>0</v>
      </c>
      <c r="I82">
        <v>10</v>
      </c>
      <c r="J82">
        <v>10</v>
      </c>
      <c r="K82">
        <v>8</v>
      </c>
      <c r="L82">
        <v>4</v>
      </c>
      <c r="M82">
        <v>1</v>
      </c>
      <c r="N82">
        <v>3</v>
      </c>
      <c r="Q82">
        <v>50</v>
      </c>
      <c r="R82" t="s">
        <v>14</v>
      </c>
    </row>
    <row r="83" spans="1:18" x14ac:dyDescent="0.25">
      <c r="A83">
        <v>15</v>
      </c>
      <c r="B83" t="s">
        <v>94</v>
      </c>
      <c r="C83" t="s">
        <v>110</v>
      </c>
      <c r="D83">
        <v>2</v>
      </c>
      <c r="E83">
        <v>30</v>
      </c>
      <c r="F83" t="s">
        <v>114</v>
      </c>
      <c r="G83">
        <v>90</v>
      </c>
      <c r="H83">
        <v>30</v>
      </c>
      <c r="I83">
        <v>11</v>
      </c>
      <c r="J83">
        <v>10</v>
      </c>
      <c r="K83">
        <v>9</v>
      </c>
      <c r="L83">
        <v>5</v>
      </c>
      <c r="M83">
        <v>1</v>
      </c>
      <c r="N83">
        <v>3</v>
      </c>
      <c r="Q83">
        <v>110</v>
      </c>
      <c r="R83" t="s">
        <v>20</v>
      </c>
    </row>
    <row r="84" spans="1:18" x14ac:dyDescent="0.25">
      <c r="A84">
        <v>15</v>
      </c>
      <c r="B84" t="s">
        <v>94</v>
      </c>
      <c r="C84" t="s">
        <v>110</v>
      </c>
      <c r="D84">
        <v>3</v>
      </c>
      <c r="E84">
        <v>40</v>
      </c>
      <c r="F84" t="s">
        <v>114</v>
      </c>
      <c r="G84">
        <v>60</v>
      </c>
      <c r="H84">
        <v>60</v>
      </c>
      <c r="I84">
        <v>12</v>
      </c>
      <c r="J84">
        <v>10</v>
      </c>
      <c r="K84">
        <v>10</v>
      </c>
      <c r="L84">
        <v>7</v>
      </c>
      <c r="M84">
        <v>1</v>
      </c>
      <c r="N84">
        <v>4</v>
      </c>
      <c r="Q84">
        <v>100</v>
      </c>
      <c r="R84" t="s">
        <v>167</v>
      </c>
    </row>
    <row r="85" spans="1:18" x14ac:dyDescent="0.25">
      <c r="A85">
        <v>15</v>
      </c>
      <c r="B85" t="s">
        <v>95</v>
      </c>
      <c r="C85" t="s">
        <v>110</v>
      </c>
      <c r="D85">
        <v>1</v>
      </c>
      <c r="E85">
        <v>120</v>
      </c>
      <c r="F85" t="s">
        <v>114</v>
      </c>
      <c r="G85">
        <v>20</v>
      </c>
      <c r="H85">
        <v>0</v>
      </c>
      <c r="I85">
        <v>15</v>
      </c>
      <c r="J85">
        <v>13</v>
      </c>
      <c r="K85">
        <v>10</v>
      </c>
      <c r="L85">
        <v>4</v>
      </c>
      <c r="M85">
        <v>1</v>
      </c>
      <c r="N85">
        <v>1</v>
      </c>
      <c r="Q85">
        <v>40</v>
      </c>
      <c r="R85" t="s">
        <v>36</v>
      </c>
    </row>
    <row r="86" spans="1:18" x14ac:dyDescent="0.25">
      <c r="A86">
        <v>15</v>
      </c>
      <c r="B86" t="s">
        <v>95</v>
      </c>
      <c r="C86" t="s">
        <v>110</v>
      </c>
      <c r="D86">
        <v>2</v>
      </c>
      <c r="E86">
        <v>190</v>
      </c>
      <c r="F86" t="s">
        <v>114</v>
      </c>
      <c r="G86">
        <v>100</v>
      </c>
      <c r="H86">
        <v>20</v>
      </c>
      <c r="I86">
        <v>17</v>
      </c>
      <c r="J86">
        <v>15</v>
      </c>
      <c r="K86">
        <v>15</v>
      </c>
      <c r="L86">
        <v>19</v>
      </c>
      <c r="M86">
        <v>1</v>
      </c>
      <c r="N86">
        <v>4</v>
      </c>
      <c r="Q86">
        <v>50</v>
      </c>
      <c r="R86" t="s">
        <v>36</v>
      </c>
    </row>
    <row r="87" spans="1:18" x14ac:dyDescent="0.25">
      <c r="A87">
        <v>15</v>
      </c>
      <c r="B87" t="s">
        <v>95</v>
      </c>
      <c r="C87" t="s">
        <v>110</v>
      </c>
      <c r="D87">
        <v>3</v>
      </c>
      <c r="E87">
        <v>200</v>
      </c>
      <c r="F87" t="s">
        <v>114</v>
      </c>
      <c r="G87">
        <v>190</v>
      </c>
      <c r="H87">
        <v>10</v>
      </c>
      <c r="I87">
        <v>13</v>
      </c>
      <c r="J87">
        <v>12</v>
      </c>
      <c r="K87">
        <v>12</v>
      </c>
      <c r="L87">
        <v>18</v>
      </c>
      <c r="M87">
        <v>1</v>
      </c>
      <c r="N87">
        <v>4</v>
      </c>
      <c r="Q87">
        <v>110</v>
      </c>
      <c r="R87" t="s">
        <v>36</v>
      </c>
    </row>
    <row r="88" spans="1:18" x14ac:dyDescent="0.25">
      <c r="A88">
        <v>15</v>
      </c>
      <c r="B88" t="s">
        <v>95</v>
      </c>
      <c r="C88" t="s">
        <v>162</v>
      </c>
      <c r="D88">
        <v>1</v>
      </c>
      <c r="E88">
        <v>130</v>
      </c>
      <c r="F88" t="s">
        <v>114</v>
      </c>
      <c r="G88">
        <v>20</v>
      </c>
      <c r="H88">
        <v>10</v>
      </c>
      <c r="I88">
        <v>30</v>
      </c>
      <c r="J88">
        <v>23</v>
      </c>
      <c r="K88">
        <v>20</v>
      </c>
      <c r="L88">
        <v>3</v>
      </c>
      <c r="M88">
        <v>1</v>
      </c>
      <c r="N88">
        <v>1</v>
      </c>
      <c r="Q88">
        <v>40</v>
      </c>
      <c r="R88" t="s">
        <v>36</v>
      </c>
    </row>
    <row r="89" spans="1:18" x14ac:dyDescent="0.25">
      <c r="A89">
        <v>15</v>
      </c>
      <c r="B89" t="s">
        <v>94</v>
      </c>
      <c r="C89" t="s">
        <v>105</v>
      </c>
      <c r="D89">
        <v>1</v>
      </c>
      <c r="E89">
        <v>20</v>
      </c>
      <c r="F89">
        <v>150</v>
      </c>
      <c r="G89">
        <v>85</v>
      </c>
      <c r="H89">
        <v>75</v>
      </c>
      <c r="I89">
        <v>85</v>
      </c>
      <c r="J89">
        <v>75</v>
      </c>
      <c r="K89" t="s">
        <v>114</v>
      </c>
      <c r="L89">
        <v>2</v>
      </c>
      <c r="M89">
        <v>2</v>
      </c>
      <c r="N89" t="s">
        <v>114</v>
      </c>
      <c r="Q89">
        <v>80</v>
      </c>
      <c r="R89" t="s">
        <v>24</v>
      </c>
    </row>
    <row r="90" spans="1:18" x14ac:dyDescent="0.25">
      <c r="A90">
        <v>15</v>
      </c>
      <c r="B90" t="s">
        <v>94</v>
      </c>
      <c r="C90" t="s">
        <v>105</v>
      </c>
      <c r="D90">
        <v>2</v>
      </c>
      <c r="E90">
        <v>20</v>
      </c>
      <c r="F90">
        <v>155</v>
      </c>
      <c r="G90">
        <v>60</v>
      </c>
      <c r="H90">
        <v>55</v>
      </c>
      <c r="I90">
        <v>60</v>
      </c>
      <c r="J90">
        <v>55</v>
      </c>
      <c r="K90" t="s">
        <v>114</v>
      </c>
      <c r="L90">
        <v>2</v>
      </c>
      <c r="M90">
        <v>1</v>
      </c>
      <c r="N90" t="s">
        <v>114</v>
      </c>
      <c r="Q90">
        <v>80</v>
      </c>
      <c r="R90" t="s">
        <v>168</v>
      </c>
    </row>
    <row r="91" spans="1:18" x14ac:dyDescent="0.25">
      <c r="A91">
        <v>15</v>
      </c>
      <c r="B91" t="s">
        <v>94</v>
      </c>
      <c r="C91" t="s">
        <v>105</v>
      </c>
      <c r="D91">
        <v>3</v>
      </c>
      <c r="E91">
        <v>10</v>
      </c>
      <c r="F91">
        <v>160</v>
      </c>
      <c r="G91">
        <v>70</v>
      </c>
      <c r="H91">
        <v>53</v>
      </c>
      <c r="I91">
        <v>70</v>
      </c>
      <c r="J91">
        <v>53</v>
      </c>
      <c r="K91" t="s">
        <v>114</v>
      </c>
      <c r="L91">
        <v>2</v>
      </c>
      <c r="M91">
        <v>1</v>
      </c>
      <c r="N91" t="s">
        <v>114</v>
      </c>
      <c r="Q91">
        <v>70</v>
      </c>
      <c r="R91" t="s">
        <v>10</v>
      </c>
    </row>
    <row r="92" spans="1:18" x14ac:dyDescent="0.25">
      <c r="A92">
        <v>15</v>
      </c>
      <c r="B92" t="s">
        <v>95</v>
      </c>
      <c r="C92" t="s">
        <v>105</v>
      </c>
      <c r="D92">
        <v>1</v>
      </c>
      <c r="E92">
        <v>70</v>
      </c>
      <c r="F92">
        <v>450</v>
      </c>
      <c r="G92">
        <v>100</v>
      </c>
      <c r="H92">
        <v>95</v>
      </c>
      <c r="I92">
        <v>100</v>
      </c>
      <c r="J92">
        <v>95</v>
      </c>
      <c r="K92" t="s">
        <v>114</v>
      </c>
      <c r="L92">
        <v>17</v>
      </c>
      <c r="M92">
        <v>7</v>
      </c>
      <c r="N92" t="s">
        <v>114</v>
      </c>
      <c r="Q92">
        <v>70</v>
      </c>
      <c r="R92" t="s">
        <v>168</v>
      </c>
    </row>
    <row r="93" spans="1:18" x14ac:dyDescent="0.25">
      <c r="A93">
        <v>15</v>
      </c>
      <c r="B93" t="s">
        <v>95</v>
      </c>
      <c r="C93" t="s">
        <v>105</v>
      </c>
      <c r="D93">
        <v>2</v>
      </c>
      <c r="E93">
        <v>40</v>
      </c>
      <c r="F93">
        <v>420</v>
      </c>
      <c r="G93">
        <v>90</v>
      </c>
      <c r="H93">
        <v>80</v>
      </c>
      <c r="I93">
        <v>90</v>
      </c>
      <c r="J93">
        <v>80</v>
      </c>
      <c r="K93" t="s">
        <v>114</v>
      </c>
      <c r="L93">
        <v>5</v>
      </c>
      <c r="M93">
        <v>2</v>
      </c>
      <c r="N93" t="s">
        <v>114</v>
      </c>
      <c r="Q93">
        <v>60</v>
      </c>
      <c r="R93" t="s">
        <v>24</v>
      </c>
    </row>
    <row r="94" spans="1:18" x14ac:dyDescent="0.25">
      <c r="A94">
        <v>15</v>
      </c>
      <c r="B94" t="s">
        <v>95</v>
      </c>
      <c r="C94" t="s">
        <v>105</v>
      </c>
      <c r="D94">
        <v>3</v>
      </c>
      <c r="E94">
        <v>10</v>
      </c>
      <c r="F94">
        <v>180</v>
      </c>
      <c r="G94">
        <v>60</v>
      </c>
      <c r="H94">
        <v>55</v>
      </c>
      <c r="I94">
        <v>60</v>
      </c>
      <c r="J94">
        <v>55</v>
      </c>
      <c r="K94" t="s">
        <v>114</v>
      </c>
      <c r="L94">
        <v>2</v>
      </c>
      <c r="M94">
        <v>1</v>
      </c>
      <c r="N94" t="s">
        <v>114</v>
      </c>
      <c r="Q94">
        <v>45</v>
      </c>
      <c r="R94" t="s">
        <v>24</v>
      </c>
    </row>
    <row r="95" spans="1:18" x14ac:dyDescent="0.25">
      <c r="A95">
        <v>2</v>
      </c>
      <c r="B95" t="s">
        <v>94</v>
      </c>
      <c r="C95" t="s">
        <v>104</v>
      </c>
      <c r="D95">
        <v>1</v>
      </c>
      <c r="E95">
        <v>115</v>
      </c>
      <c r="F95" t="s">
        <v>114</v>
      </c>
      <c r="G95">
        <v>110</v>
      </c>
      <c r="H95">
        <v>40</v>
      </c>
      <c r="I95">
        <v>45</v>
      </c>
      <c r="J95">
        <v>35</v>
      </c>
      <c r="K95">
        <v>42</v>
      </c>
      <c r="L95">
        <v>13</v>
      </c>
      <c r="M95">
        <v>8</v>
      </c>
      <c r="N95" t="s">
        <v>114</v>
      </c>
      <c r="Q95">
        <v>50</v>
      </c>
      <c r="R95" t="s">
        <v>40</v>
      </c>
    </row>
    <row r="96" spans="1:18" x14ac:dyDescent="0.25">
      <c r="A96">
        <v>2</v>
      </c>
      <c r="B96" t="s">
        <v>94</v>
      </c>
      <c r="C96" t="s">
        <v>104</v>
      </c>
      <c r="D96">
        <v>2</v>
      </c>
      <c r="E96">
        <v>90</v>
      </c>
      <c r="F96" t="s">
        <v>114</v>
      </c>
      <c r="G96">
        <v>60</v>
      </c>
      <c r="H96">
        <v>25</v>
      </c>
      <c r="I96">
        <v>47</v>
      </c>
      <c r="J96">
        <v>27</v>
      </c>
      <c r="K96">
        <v>27</v>
      </c>
      <c r="L96">
        <v>8</v>
      </c>
      <c r="M96">
        <v>6</v>
      </c>
      <c r="N96" t="s">
        <v>114</v>
      </c>
      <c r="Q96">
        <v>42</v>
      </c>
      <c r="R96" t="s">
        <v>40</v>
      </c>
    </row>
    <row r="97" spans="1:18" x14ac:dyDescent="0.25">
      <c r="A97">
        <v>2</v>
      </c>
      <c r="B97" t="s">
        <v>94</v>
      </c>
      <c r="C97" t="s">
        <v>104</v>
      </c>
      <c r="D97">
        <v>3</v>
      </c>
      <c r="E97">
        <v>110</v>
      </c>
      <c r="F97" t="s">
        <v>114</v>
      </c>
      <c r="G97">
        <v>110</v>
      </c>
      <c r="H97">
        <v>40</v>
      </c>
      <c r="I97">
        <v>45</v>
      </c>
      <c r="J97">
        <v>50</v>
      </c>
      <c r="K97">
        <v>37</v>
      </c>
      <c r="L97">
        <v>20</v>
      </c>
      <c r="M97">
        <v>13</v>
      </c>
      <c r="N97" t="s">
        <v>114</v>
      </c>
      <c r="Q97">
        <v>50</v>
      </c>
      <c r="R97" t="s">
        <v>40</v>
      </c>
    </row>
    <row r="98" spans="1:18" x14ac:dyDescent="0.25">
      <c r="A98">
        <v>2</v>
      </c>
      <c r="B98" t="s">
        <v>95</v>
      </c>
      <c r="C98" t="s">
        <v>104</v>
      </c>
      <c r="D98">
        <v>1</v>
      </c>
      <c r="E98">
        <v>90</v>
      </c>
      <c r="F98" t="s">
        <v>114</v>
      </c>
      <c r="G98">
        <v>15</v>
      </c>
      <c r="H98">
        <v>10</v>
      </c>
      <c r="I98">
        <v>20</v>
      </c>
      <c r="J98">
        <v>17</v>
      </c>
      <c r="K98">
        <v>16</v>
      </c>
      <c r="L98">
        <v>3</v>
      </c>
      <c r="M98">
        <v>2</v>
      </c>
      <c r="N98" t="s">
        <v>114</v>
      </c>
      <c r="Q98">
        <v>36</v>
      </c>
      <c r="R98" t="s">
        <v>40</v>
      </c>
    </row>
    <row r="99" spans="1:18" x14ac:dyDescent="0.25">
      <c r="A99">
        <v>2</v>
      </c>
      <c r="B99" t="s">
        <v>95</v>
      </c>
      <c r="C99" t="s">
        <v>104</v>
      </c>
      <c r="D99">
        <v>2</v>
      </c>
      <c r="E99">
        <v>70</v>
      </c>
      <c r="F99" t="s">
        <v>114</v>
      </c>
      <c r="G99">
        <v>10</v>
      </c>
      <c r="H99">
        <v>10</v>
      </c>
      <c r="I99">
        <v>25</v>
      </c>
      <c r="J99">
        <v>22</v>
      </c>
      <c r="K99">
        <v>22</v>
      </c>
      <c r="L99">
        <v>2</v>
      </c>
      <c r="M99">
        <v>1</v>
      </c>
      <c r="N99" t="s">
        <v>114</v>
      </c>
      <c r="Q99">
        <v>30</v>
      </c>
      <c r="R99" t="s">
        <v>40</v>
      </c>
    </row>
    <row r="100" spans="1:18" x14ac:dyDescent="0.25">
      <c r="A100">
        <v>2</v>
      </c>
      <c r="B100" t="s">
        <v>95</v>
      </c>
      <c r="C100" t="s">
        <v>104</v>
      </c>
      <c r="D100">
        <v>3</v>
      </c>
      <c r="E100">
        <v>120</v>
      </c>
      <c r="F100" t="s">
        <v>114</v>
      </c>
      <c r="G100">
        <v>30</v>
      </c>
      <c r="H100">
        <v>20</v>
      </c>
      <c r="I100">
        <v>30</v>
      </c>
      <c r="J100">
        <v>30</v>
      </c>
      <c r="K100">
        <v>30</v>
      </c>
      <c r="L100">
        <v>10</v>
      </c>
      <c r="M100">
        <v>7</v>
      </c>
      <c r="N100" t="s">
        <v>114</v>
      </c>
      <c r="Q100">
        <v>35</v>
      </c>
      <c r="R100" t="s">
        <v>40</v>
      </c>
    </row>
    <row r="101" spans="1:18" x14ac:dyDescent="0.25">
      <c r="A101">
        <v>2</v>
      </c>
      <c r="B101" t="s">
        <v>95</v>
      </c>
      <c r="C101" t="s">
        <v>111</v>
      </c>
      <c r="D101">
        <v>1</v>
      </c>
      <c r="E101">
        <v>250</v>
      </c>
      <c r="F101" t="s">
        <v>114</v>
      </c>
      <c r="G101">
        <v>40</v>
      </c>
      <c r="H101">
        <v>0</v>
      </c>
      <c r="I101">
        <v>80</v>
      </c>
      <c r="J101">
        <v>75</v>
      </c>
      <c r="K101">
        <v>70</v>
      </c>
      <c r="L101">
        <v>5</v>
      </c>
      <c r="M101">
        <v>4</v>
      </c>
      <c r="N101" t="s">
        <v>114</v>
      </c>
      <c r="Q101">
        <v>45</v>
      </c>
      <c r="R101" t="s">
        <v>169</v>
      </c>
    </row>
    <row r="102" spans="1:18" x14ac:dyDescent="0.25">
      <c r="A102">
        <v>2</v>
      </c>
      <c r="B102" t="s">
        <v>95</v>
      </c>
      <c r="C102" t="s">
        <v>111</v>
      </c>
      <c r="D102">
        <v>2</v>
      </c>
      <c r="E102">
        <v>400</v>
      </c>
      <c r="F102" t="s">
        <v>114</v>
      </c>
      <c r="G102">
        <v>140</v>
      </c>
      <c r="H102">
        <v>90</v>
      </c>
      <c r="I102">
        <v>90</v>
      </c>
      <c r="J102">
        <v>85</v>
      </c>
      <c r="K102">
        <v>85</v>
      </c>
      <c r="L102">
        <v>68</v>
      </c>
      <c r="M102">
        <v>32</v>
      </c>
      <c r="N102" t="s">
        <v>114</v>
      </c>
      <c r="Q102">
        <v>60</v>
      </c>
      <c r="R102" t="s">
        <v>170</v>
      </c>
    </row>
    <row r="103" spans="1:18" x14ac:dyDescent="0.25">
      <c r="A103">
        <v>2</v>
      </c>
      <c r="B103" t="s">
        <v>95</v>
      </c>
      <c r="C103" t="s">
        <v>111</v>
      </c>
      <c r="D103">
        <v>3</v>
      </c>
      <c r="E103">
        <v>400</v>
      </c>
      <c r="F103" t="s">
        <v>114</v>
      </c>
      <c r="G103">
        <v>200</v>
      </c>
      <c r="H103">
        <v>80</v>
      </c>
      <c r="I103">
        <v>85</v>
      </c>
      <c r="J103">
        <v>70</v>
      </c>
      <c r="K103">
        <v>60</v>
      </c>
      <c r="L103">
        <v>21</v>
      </c>
      <c r="M103">
        <v>13</v>
      </c>
      <c r="N103" t="s">
        <v>114</v>
      </c>
      <c r="Q103">
        <v>55</v>
      </c>
      <c r="R103" t="s">
        <v>171</v>
      </c>
    </row>
    <row r="104" spans="1:18" x14ac:dyDescent="0.25">
      <c r="A104">
        <v>2</v>
      </c>
      <c r="B104" t="s">
        <v>94</v>
      </c>
      <c r="C104" t="s">
        <v>111</v>
      </c>
      <c r="D104">
        <v>1</v>
      </c>
      <c r="E104">
        <v>270</v>
      </c>
      <c r="F104" t="s">
        <v>114</v>
      </c>
      <c r="G104">
        <v>60</v>
      </c>
      <c r="H104">
        <v>10</v>
      </c>
      <c r="I104">
        <v>75</v>
      </c>
      <c r="J104">
        <v>60</v>
      </c>
      <c r="K104">
        <v>55</v>
      </c>
      <c r="L104">
        <v>7</v>
      </c>
      <c r="M104">
        <v>5</v>
      </c>
      <c r="N104" t="s">
        <v>114</v>
      </c>
      <c r="Q104" t="s">
        <v>114</v>
      </c>
      <c r="R104" t="s">
        <v>40</v>
      </c>
    </row>
    <row r="105" spans="1:18" x14ac:dyDescent="0.25">
      <c r="A105">
        <v>2</v>
      </c>
      <c r="B105" t="s">
        <v>94</v>
      </c>
      <c r="C105" t="s">
        <v>111</v>
      </c>
      <c r="D105">
        <v>2</v>
      </c>
      <c r="E105">
        <v>150</v>
      </c>
      <c r="F105" t="s">
        <v>114</v>
      </c>
      <c r="G105">
        <v>40</v>
      </c>
      <c r="H105">
        <v>10</v>
      </c>
      <c r="I105">
        <v>40</v>
      </c>
      <c r="J105">
        <v>45</v>
      </c>
      <c r="K105">
        <v>45</v>
      </c>
      <c r="L105">
        <v>5</v>
      </c>
      <c r="M105">
        <v>3</v>
      </c>
      <c r="N105" t="s">
        <v>114</v>
      </c>
      <c r="Q105">
        <v>35</v>
      </c>
      <c r="R105" t="s">
        <v>172</v>
      </c>
    </row>
    <row r="106" spans="1:18" x14ac:dyDescent="0.25">
      <c r="A106">
        <v>2</v>
      </c>
      <c r="B106" t="s">
        <v>94</v>
      </c>
      <c r="C106" t="s">
        <v>111</v>
      </c>
      <c r="D106">
        <v>3</v>
      </c>
      <c r="E106">
        <v>225</v>
      </c>
      <c r="F106" t="s">
        <v>114</v>
      </c>
      <c r="G106">
        <v>100</v>
      </c>
      <c r="H106">
        <v>50</v>
      </c>
      <c r="I106">
        <v>50</v>
      </c>
      <c r="J106">
        <v>45</v>
      </c>
      <c r="K106">
        <v>40</v>
      </c>
      <c r="L106">
        <v>29</v>
      </c>
      <c r="M106">
        <v>13</v>
      </c>
      <c r="N106" t="s">
        <v>114</v>
      </c>
      <c r="Q106">
        <v>60</v>
      </c>
      <c r="R106" t="s">
        <v>172</v>
      </c>
    </row>
    <row r="107" spans="1:18" x14ac:dyDescent="0.25">
      <c r="A107">
        <v>2</v>
      </c>
      <c r="B107" t="s">
        <v>94</v>
      </c>
      <c r="C107" t="s">
        <v>111</v>
      </c>
      <c r="D107">
        <v>4</v>
      </c>
      <c r="E107">
        <v>220</v>
      </c>
      <c r="F107" t="s">
        <v>114</v>
      </c>
      <c r="G107">
        <v>90</v>
      </c>
      <c r="H107">
        <v>40</v>
      </c>
      <c r="I107">
        <v>55</v>
      </c>
      <c r="J107">
        <v>45</v>
      </c>
      <c r="K107">
        <v>45</v>
      </c>
      <c r="L107">
        <v>38</v>
      </c>
      <c r="M107">
        <v>26</v>
      </c>
      <c r="N107" t="s">
        <v>114</v>
      </c>
      <c r="Q107" t="s">
        <v>114</v>
      </c>
      <c r="R107" t="s">
        <v>172</v>
      </c>
    </row>
    <row r="108" spans="1:18" x14ac:dyDescent="0.25">
      <c r="A108">
        <v>2</v>
      </c>
      <c r="B108" t="s">
        <v>94</v>
      </c>
      <c r="C108" t="s">
        <v>110</v>
      </c>
      <c r="D108">
        <v>1</v>
      </c>
      <c r="E108">
        <v>80</v>
      </c>
      <c r="F108" t="s">
        <v>114</v>
      </c>
      <c r="G108">
        <v>65</v>
      </c>
      <c r="H108">
        <v>50</v>
      </c>
      <c r="I108">
        <v>15</v>
      </c>
      <c r="J108">
        <v>14</v>
      </c>
      <c r="K108">
        <v>12</v>
      </c>
      <c r="L108">
        <v>9</v>
      </c>
      <c r="M108">
        <v>1</v>
      </c>
      <c r="N108">
        <v>3</v>
      </c>
      <c r="Q108" t="s">
        <v>114</v>
      </c>
      <c r="R108" t="s">
        <v>47</v>
      </c>
    </row>
    <row r="109" spans="1:18" x14ac:dyDescent="0.25">
      <c r="A109">
        <v>2</v>
      </c>
      <c r="B109" t="s">
        <v>94</v>
      </c>
      <c r="C109" t="s">
        <v>110</v>
      </c>
      <c r="D109">
        <v>2</v>
      </c>
      <c r="E109">
        <v>90</v>
      </c>
      <c r="F109" t="s">
        <v>114</v>
      </c>
      <c r="G109">
        <v>110</v>
      </c>
      <c r="H109">
        <v>10</v>
      </c>
      <c r="I109">
        <v>13</v>
      </c>
      <c r="J109">
        <v>10</v>
      </c>
      <c r="K109">
        <v>8</v>
      </c>
      <c r="L109">
        <v>6</v>
      </c>
      <c r="M109">
        <v>1</v>
      </c>
      <c r="N109">
        <v>3</v>
      </c>
      <c r="Q109">
        <v>135</v>
      </c>
      <c r="R109" t="s">
        <v>47</v>
      </c>
    </row>
    <row r="110" spans="1:18" x14ac:dyDescent="0.25">
      <c r="A110">
        <v>2</v>
      </c>
      <c r="B110" t="s">
        <v>94</v>
      </c>
      <c r="C110" t="s">
        <v>110</v>
      </c>
      <c r="D110">
        <v>3</v>
      </c>
      <c r="E110">
        <v>50</v>
      </c>
      <c r="F110" t="s">
        <v>114</v>
      </c>
      <c r="G110">
        <v>50</v>
      </c>
      <c r="H110">
        <v>20</v>
      </c>
      <c r="I110">
        <v>12</v>
      </c>
      <c r="J110">
        <v>8</v>
      </c>
      <c r="K110">
        <v>8</v>
      </c>
      <c r="L110">
        <v>4</v>
      </c>
      <c r="M110">
        <v>1</v>
      </c>
      <c r="N110">
        <v>3</v>
      </c>
      <c r="Q110" t="s">
        <v>114</v>
      </c>
      <c r="R110" t="s">
        <v>47</v>
      </c>
    </row>
    <row r="111" spans="1:18" x14ac:dyDescent="0.25">
      <c r="A111">
        <v>2</v>
      </c>
      <c r="B111" t="s">
        <v>94</v>
      </c>
      <c r="C111" t="s">
        <v>110</v>
      </c>
      <c r="D111">
        <v>4</v>
      </c>
      <c r="E111">
        <v>60</v>
      </c>
      <c r="F111" t="s">
        <v>114</v>
      </c>
      <c r="G111">
        <v>50</v>
      </c>
      <c r="H111">
        <v>35</v>
      </c>
      <c r="I111">
        <v>11</v>
      </c>
      <c r="J111">
        <v>10</v>
      </c>
      <c r="K111">
        <v>9</v>
      </c>
      <c r="L111">
        <v>5</v>
      </c>
      <c r="M111">
        <v>1</v>
      </c>
      <c r="N111">
        <v>5</v>
      </c>
      <c r="Q111">
        <v>150</v>
      </c>
      <c r="R111" t="s">
        <v>47</v>
      </c>
    </row>
    <row r="112" spans="1:18" x14ac:dyDescent="0.25">
      <c r="A112">
        <v>2</v>
      </c>
      <c r="B112" t="s">
        <v>95</v>
      </c>
      <c r="C112" t="s">
        <v>110</v>
      </c>
      <c r="D112">
        <v>1</v>
      </c>
      <c r="E112">
        <v>190</v>
      </c>
      <c r="F112" t="s">
        <v>114</v>
      </c>
      <c r="G112">
        <v>30</v>
      </c>
      <c r="H112">
        <v>15</v>
      </c>
      <c r="I112">
        <v>15</v>
      </c>
      <c r="J112">
        <v>13</v>
      </c>
      <c r="K112">
        <v>12</v>
      </c>
      <c r="L112">
        <v>19</v>
      </c>
      <c r="M112">
        <v>1</v>
      </c>
      <c r="N112">
        <v>3</v>
      </c>
      <c r="Q112" t="s">
        <v>114</v>
      </c>
      <c r="R112" t="s">
        <v>48</v>
      </c>
    </row>
    <row r="113" spans="1:18" x14ac:dyDescent="0.25">
      <c r="A113">
        <v>2</v>
      </c>
      <c r="B113" t="s">
        <v>95</v>
      </c>
      <c r="C113" t="s">
        <v>110</v>
      </c>
      <c r="D113">
        <v>2</v>
      </c>
      <c r="E113">
        <v>90</v>
      </c>
      <c r="F113" t="s">
        <v>114</v>
      </c>
      <c r="G113">
        <v>15</v>
      </c>
      <c r="H113">
        <v>12</v>
      </c>
      <c r="I113">
        <v>11</v>
      </c>
      <c r="J113">
        <v>10</v>
      </c>
      <c r="K113">
        <v>9</v>
      </c>
      <c r="L113">
        <v>8</v>
      </c>
      <c r="M113">
        <v>1</v>
      </c>
      <c r="N113">
        <v>3</v>
      </c>
      <c r="Q113" t="s">
        <v>114</v>
      </c>
      <c r="R113" t="s">
        <v>48</v>
      </c>
    </row>
    <row r="114" spans="1:18" x14ac:dyDescent="0.25">
      <c r="A114">
        <v>2</v>
      </c>
      <c r="B114" t="s">
        <v>95</v>
      </c>
      <c r="C114" t="s">
        <v>110</v>
      </c>
      <c r="D114">
        <v>3</v>
      </c>
      <c r="E114">
        <v>100</v>
      </c>
      <c r="F114" t="s">
        <v>114</v>
      </c>
      <c r="G114">
        <v>10</v>
      </c>
      <c r="H114">
        <v>10</v>
      </c>
      <c r="I114">
        <v>13</v>
      </c>
      <c r="J114">
        <v>12</v>
      </c>
      <c r="K114">
        <v>12</v>
      </c>
      <c r="L114">
        <v>8</v>
      </c>
      <c r="M114">
        <v>1</v>
      </c>
      <c r="N114">
        <v>1</v>
      </c>
      <c r="Q114" t="s">
        <v>114</v>
      </c>
      <c r="R114" t="s">
        <v>48</v>
      </c>
    </row>
    <row r="115" spans="1:18" x14ac:dyDescent="0.25">
      <c r="A115">
        <v>2</v>
      </c>
      <c r="B115" t="s">
        <v>95</v>
      </c>
      <c r="C115" t="s">
        <v>110</v>
      </c>
      <c r="D115">
        <v>4</v>
      </c>
      <c r="E115">
        <v>60</v>
      </c>
      <c r="F115" t="s">
        <v>114</v>
      </c>
      <c r="G115">
        <v>20</v>
      </c>
      <c r="H115">
        <v>10</v>
      </c>
      <c r="I115">
        <v>11</v>
      </c>
      <c r="J115">
        <v>10</v>
      </c>
      <c r="K115">
        <v>10</v>
      </c>
      <c r="L115">
        <v>4</v>
      </c>
      <c r="M115">
        <v>1</v>
      </c>
      <c r="N115">
        <v>3</v>
      </c>
      <c r="Q115" t="s">
        <v>114</v>
      </c>
      <c r="R115" t="s">
        <v>48</v>
      </c>
    </row>
    <row r="116" spans="1:18" x14ac:dyDescent="0.25">
      <c r="A116">
        <v>2</v>
      </c>
      <c r="B116" t="s">
        <v>95</v>
      </c>
      <c r="C116" t="s">
        <v>110</v>
      </c>
      <c r="D116">
        <v>5</v>
      </c>
      <c r="E116">
        <v>160</v>
      </c>
      <c r="F116" t="s">
        <v>114</v>
      </c>
      <c r="G116">
        <v>15</v>
      </c>
      <c r="H116">
        <v>5</v>
      </c>
      <c r="I116">
        <v>12</v>
      </c>
      <c r="J116">
        <v>10</v>
      </c>
      <c r="K116">
        <v>10</v>
      </c>
      <c r="L116">
        <v>12</v>
      </c>
      <c r="M116">
        <v>1</v>
      </c>
      <c r="N116">
        <v>3</v>
      </c>
      <c r="Q116" t="s">
        <v>114</v>
      </c>
      <c r="R116" t="s">
        <v>48</v>
      </c>
    </row>
    <row r="117" spans="1:18" x14ac:dyDescent="0.25">
      <c r="A117">
        <v>2</v>
      </c>
      <c r="B117" t="s">
        <v>94</v>
      </c>
      <c r="C117" t="s">
        <v>105</v>
      </c>
      <c r="D117">
        <v>1</v>
      </c>
      <c r="E117">
        <v>10</v>
      </c>
      <c r="F117">
        <v>150</v>
      </c>
      <c r="G117">
        <v>70</v>
      </c>
      <c r="H117">
        <v>60</v>
      </c>
      <c r="I117">
        <v>70</v>
      </c>
      <c r="J117">
        <v>60</v>
      </c>
      <c r="K117" t="s">
        <v>114</v>
      </c>
      <c r="L117">
        <v>6</v>
      </c>
      <c r="M117">
        <v>3</v>
      </c>
      <c r="N117" t="s">
        <v>114</v>
      </c>
      <c r="Q117">
        <v>85</v>
      </c>
      <c r="R117" t="s">
        <v>40</v>
      </c>
    </row>
    <row r="118" spans="1:18" x14ac:dyDescent="0.25">
      <c r="A118">
        <v>2</v>
      </c>
      <c r="B118" t="s">
        <v>94</v>
      </c>
      <c r="C118" t="s">
        <v>105</v>
      </c>
      <c r="D118">
        <v>2</v>
      </c>
      <c r="E118">
        <v>20</v>
      </c>
      <c r="F118">
        <v>290</v>
      </c>
      <c r="G118">
        <v>105</v>
      </c>
      <c r="H118">
        <v>80</v>
      </c>
      <c r="I118">
        <v>105</v>
      </c>
      <c r="J118">
        <v>80</v>
      </c>
      <c r="K118" t="s">
        <v>114</v>
      </c>
      <c r="L118">
        <v>8</v>
      </c>
      <c r="M118">
        <v>3</v>
      </c>
      <c r="N118" t="s">
        <v>114</v>
      </c>
      <c r="Q118">
        <v>105</v>
      </c>
      <c r="R118" t="s">
        <v>40</v>
      </c>
    </row>
    <row r="119" spans="1:18" x14ac:dyDescent="0.25">
      <c r="A119">
        <v>2</v>
      </c>
      <c r="B119" t="s">
        <v>94</v>
      </c>
      <c r="C119" t="s">
        <v>105</v>
      </c>
      <c r="D119">
        <v>3</v>
      </c>
      <c r="E119">
        <v>20</v>
      </c>
      <c r="F119">
        <v>315</v>
      </c>
      <c r="G119">
        <v>100</v>
      </c>
      <c r="H119">
        <v>90</v>
      </c>
      <c r="I119">
        <v>100</v>
      </c>
      <c r="J119">
        <v>90</v>
      </c>
      <c r="K119" t="s">
        <v>114</v>
      </c>
      <c r="L119">
        <v>11</v>
      </c>
      <c r="M119">
        <v>5</v>
      </c>
      <c r="N119" t="s">
        <v>114</v>
      </c>
      <c r="Q119">
        <v>80</v>
      </c>
      <c r="R119" t="s">
        <v>40</v>
      </c>
    </row>
    <row r="120" spans="1:18" x14ac:dyDescent="0.25">
      <c r="A120">
        <v>2</v>
      </c>
      <c r="B120" t="s">
        <v>94</v>
      </c>
      <c r="C120" t="s">
        <v>105</v>
      </c>
      <c r="D120">
        <v>4</v>
      </c>
      <c r="E120">
        <v>10</v>
      </c>
      <c r="F120" t="s">
        <v>114</v>
      </c>
      <c r="G120">
        <v>40</v>
      </c>
      <c r="H120">
        <v>35</v>
      </c>
      <c r="I120">
        <v>40</v>
      </c>
      <c r="J120">
        <v>35</v>
      </c>
      <c r="K120" t="s">
        <v>114</v>
      </c>
      <c r="L120">
        <v>2</v>
      </c>
      <c r="M120">
        <v>1</v>
      </c>
      <c r="N120" t="s">
        <v>114</v>
      </c>
      <c r="Q120">
        <v>50</v>
      </c>
      <c r="R120" t="s">
        <v>40</v>
      </c>
    </row>
    <row r="121" spans="1:18" x14ac:dyDescent="0.25">
      <c r="A121">
        <v>2</v>
      </c>
      <c r="B121" t="s">
        <v>95</v>
      </c>
      <c r="C121" t="s">
        <v>105</v>
      </c>
      <c r="D121">
        <v>1</v>
      </c>
      <c r="E121">
        <v>60</v>
      </c>
      <c r="F121">
        <v>410</v>
      </c>
      <c r="G121">
        <v>170</v>
      </c>
      <c r="H121">
        <v>135</v>
      </c>
      <c r="I121">
        <v>170</v>
      </c>
      <c r="J121">
        <v>135</v>
      </c>
      <c r="K121" t="s">
        <v>114</v>
      </c>
      <c r="L121">
        <v>8</v>
      </c>
      <c r="M121">
        <v>8</v>
      </c>
      <c r="N121" t="s">
        <v>114</v>
      </c>
      <c r="Q121">
        <v>60</v>
      </c>
      <c r="R121" t="s">
        <v>173</v>
      </c>
    </row>
    <row r="122" spans="1:18" x14ac:dyDescent="0.25">
      <c r="A122">
        <v>2</v>
      </c>
      <c r="B122" t="s">
        <v>95</v>
      </c>
      <c r="C122" t="s">
        <v>105</v>
      </c>
      <c r="D122">
        <v>2</v>
      </c>
      <c r="E122">
        <v>55</v>
      </c>
      <c r="F122">
        <v>420</v>
      </c>
      <c r="G122">
        <v>135</v>
      </c>
      <c r="H122">
        <v>120</v>
      </c>
      <c r="I122">
        <v>135</v>
      </c>
      <c r="J122">
        <v>120</v>
      </c>
      <c r="K122" t="s">
        <v>114</v>
      </c>
      <c r="L122">
        <v>12</v>
      </c>
      <c r="M122">
        <v>12</v>
      </c>
      <c r="N122" t="s">
        <v>114</v>
      </c>
      <c r="Q122">
        <v>85</v>
      </c>
      <c r="R122" t="s">
        <v>169</v>
      </c>
    </row>
    <row r="123" spans="1:18" x14ac:dyDescent="0.25">
      <c r="A123">
        <v>2</v>
      </c>
      <c r="B123" t="s">
        <v>95</v>
      </c>
      <c r="C123" t="s">
        <v>105</v>
      </c>
      <c r="D123">
        <v>3</v>
      </c>
      <c r="E123">
        <v>40</v>
      </c>
      <c r="F123">
        <v>280</v>
      </c>
      <c r="G123">
        <v>85</v>
      </c>
      <c r="H123">
        <v>72</v>
      </c>
      <c r="I123">
        <v>85</v>
      </c>
      <c r="J123">
        <v>72</v>
      </c>
      <c r="K123" t="s">
        <v>114</v>
      </c>
      <c r="L123">
        <v>5</v>
      </c>
      <c r="M123">
        <v>5</v>
      </c>
      <c r="N123" t="s">
        <v>114</v>
      </c>
      <c r="Q123">
        <v>65</v>
      </c>
      <c r="R123" t="s">
        <v>169</v>
      </c>
    </row>
    <row r="124" spans="1:18" x14ac:dyDescent="0.25">
      <c r="A124">
        <v>6</v>
      </c>
      <c r="B124" t="s">
        <v>95</v>
      </c>
      <c r="C124" t="s">
        <v>104</v>
      </c>
      <c r="D124">
        <v>1</v>
      </c>
      <c r="E124">
        <v>80</v>
      </c>
      <c r="F124" t="s">
        <v>114</v>
      </c>
      <c r="G124">
        <v>55</v>
      </c>
      <c r="H124">
        <v>25</v>
      </c>
      <c r="I124">
        <v>35</v>
      </c>
      <c r="J124">
        <v>35</v>
      </c>
      <c r="K124">
        <v>20</v>
      </c>
      <c r="L124">
        <v>17</v>
      </c>
      <c r="M124">
        <v>6</v>
      </c>
      <c r="N124" t="s">
        <v>114</v>
      </c>
      <c r="Q124">
        <v>35</v>
      </c>
      <c r="R124" t="s">
        <v>89</v>
      </c>
    </row>
    <row r="125" spans="1:18" x14ac:dyDescent="0.25">
      <c r="A125">
        <v>6</v>
      </c>
      <c r="B125" t="s">
        <v>95</v>
      </c>
      <c r="C125" t="s">
        <v>104</v>
      </c>
      <c r="D125">
        <v>2</v>
      </c>
      <c r="E125">
        <v>70</v>
      </c>
      <c r="F125" t="s">
        <v>114</v>
      </c>
      <c r="G125">
        <v>25</v>
      </c>
      <c r="H125">
        <v>15</v>
      </c>
      <c r="I125">
        <v>35</v>
      </c>
      <c r="J125">
        <v>35</v>
      </c>
      <c r="K125">
        <v>26</v>
      </c>
      <c r="L125">
        <v>7</v>
      </c>
      <c r="M125">
        <v>4</v>
      </c>
      <c r="N125" t="s">
        <v>114</v>
      </c>
      <c r="Q125">
        <v>45</v>
      </c>
      <c r="R125" t="s">
        <v>89</v>
      </c>
    </row>
    <row r="126" spans="1:18" x14ac:dyDescent="0.25">
      <c r="A126">
        <v>6</v>
      </c>
      <c r="B126" t="s">
        <v>95</v>
      </c>
      <c r="C126" t="s">
        <v>104</v>
      </c>
      <c r="D126">
        <v>3</v>
      </c>
      <c r="E126">
        <v>70</v>
      </c>
      <c r="F126" t="s">
        <v>114</v>
      </c>
      <c r="G126">
        <v>50</v>
      </c>
      <c r="H126">
        <v>20</v>
      </c>
      <c r="I126">
        <v>35</v>
      </c>
      <c r="J126">
        <v>30</v>
      </c>
      <c r="K126">
        <v>30</v>
      </c>
      <c r="L126">
        <v>10</v>
      </c>
      <c r="M126">
        <v>4</v>
      </c>
      <c r="N126" t="s">
        <v>114</v>
      </c>
      <c r="Q126" t="s">
        <v>114</v>
      </c>
      <c r="R126" t="s">
        <v>93</v>
      </c>
    </row>
    <row r="127" spans="1:18" x14ac:dyDescent="0.25">
      <c r="A127">
        <v>6</v>
      </c>
      <c r="B127" t="s">
        <v>95</v>
      </c>
      <c r="C127" t="s">
        <v>161</v>
      </c>
      <c r="D127">
        <v>4</v>
      </c>
      <c r="E127">
        <v>220</v>
      </c>
      <c r="F127" t="s">
        <v>114</v>
      </c>
      <c r="G127">
        <v>75</v>
      </c>
      <c r="H127">
        <v>40</v>
      </c>
      <c r="I127">
        <v>60</v>
      </c>
      <c r="J127">
        <v>60</v>
      </c>
      <c r="K127">
        <v>50</v>
      </c>
      <c r="L127">
        <v>8</v>
      </c>
      <c r="M127">
        <v>7</v>
      </c>
      <c r="N127" t="s">
        <v>114</v>
      </c>
      <c r="Q127" t="s">
        <v>114</v>
      </c>
      <c r="R127" t="s">
        <v>82</v>
      </c>
    </row>
    <row r="128" spans="1:18" x14ac:dyDescent="0.25">
      <c r="A128">
        <v>6</v>
      </c>
      <c r="B128" t="s">
        <v>94</v>
      </c>
      <c r="C128" t="s">
        <v>104</v>
      </c>
      <c r="D128">
        <v>1</v>
      </c>
      <c r="E128">
        <v>50</v>
      </c>
      <c r="F128" t="s">
        <v>114</v>
      </c>
      <c r="G128">
        <v>40</v>
      </c>
      <c r="H128">
        <v>20</v>
      </c>
      <c r="I128">
        <v>40</v>
      </c>
      <c r="J128">
        <v>35</v>
      </c>
      <c r="K128">
        <v>25</v>
      </c>
      <c r="L128">
        <v>6</v>
      </c>
      <c r="M128">
        <v>4</v>
      </c>
      <c r="N128" t="s">
        <v>114</v>
      </c>
      <c r="Q128">
        <v>40</v>
      </c>
      <c r="R128" t="s">
        <v>174</v>
      </c>
    </row>
    <row r="129" spans="1:18" x14ac:dyDescent="0.25">
      <c r="A129">
        <v>6</v>
      </c>
      <c r="B129" t="s">
        <v>94</v>
      </c>
      <c r="C129" t="s">
        <v>104</v>
      </c>
      <c r="D129">
        <v>2</v>
      </c>
      <c r="E129">
        <v>45</v>
      </c>
      <c r="F129" t="s">
        <v>114</v>
      </c>
      <c r="G129">
        <v>30</v>
      </c>
      <c r="H129">
        <v>15</v>
      </c>
      <c r="I129">
        <v>40</v>
      </c>
      <c r="J129">
        <v>40</v>
      </c>
      <c r="K129">
        <v>30</v>
      </c>
      <c r="L129">
        <v>4</v>
      </c>
      <c r="M129">
        <v>4</v>
      </c>
      <c r="N129" t="s">
        <v>114</v>
      </c>
      <c r="Q129" t="s">
        <v>114</v>
      </c>
      <c r="R129" t="s">
        <v>174</v>
      </c>
    </row>
    <row r="130" spans="1:18" x14ac:dyDescent="0.25">
      <c r="A130">
        <v>6</v>
      </c>
      <c r="B130" t="s">
        <v>94</v>
      </c>
      <c r="C130" t="s">
        <v>104</v>
      </c>
      <c r="D130">
        <v>3</v>
      </c>
      <c r="E130">
        <v>55</v>
      </c>
      <c r="F130" t="s">
        <v>114</v>
      </c>
      <c r="G130">
        <v>25</v>
      </c>
      <c r="H130">
        <v>15</v>
      </c>
      <c r="I130">
        <v>35</v>
      </c>
      <c r="J130">
        <v>35</v>
      </c>
      <c r="K130">
        <v>35</v>
      </c>
      <c r="L130">
        <v>5</v>
      </c>
      <c r="M130">
        <v>3</v>
      </c>
      <c r="N130" t="s">
        <v>114</v>
      </c>
      <c r="Q130" t="s">
        <v>114</v>
      </c>
      <c r="R130" t="s">
        <v>93</v>
      </c>
    </row>
    <row r="131" spans="1:18" x14ac:dyDescent="0.25">
      <c r="A131">
        <v>6</v>
      </c>
      <c r="B131" t="s">
        <v>94</v>
      </c>
      <c r="C131" t="s">
        <v>104</v>
      </c>
      <c r="D131">
        <v>4</v>
      </c>
      <c r="E131">
        <v>135</v>
      </c>
      <c r="F131" t="s">
        <v>114</v>
      </c>
      <c r="G131">
        <v>70</v>
      </c>
      <c r="H131">
        <v>20</v>
      </c>
      <c r="I131">
        <v>30</v>
      </c>
      <c r="J131">
        <v>25</v>
      </c>
      <c r="K131">
        <v>30</v>
      </c>
      <c r="L131">
        <v>9</v>
      </c>
      <c r="M131">
        <v>6</v>
      </c>
      <c r="N131" t="s">
        <v>114</v>
      </c>
      <c r="Q131" t="s">
        <v>114</v>
      </c>
      <c r="R131" t="s">
        <v>83</v>
      </c>
    </row>
    <row r="132" spans="1:18" x14ac:dyDescent="0.25">
      <c r="A132">
        <v>6</v>
      </c>
      <c r="B132" t="s">
        <v>94</v>
      </c>
      <c r="C132" t="s">
        <v>111</v>
      </c>
      <c r="D132">
        <v>1</v>
      </c>
      <c r="E132">
        <v>330</v>
      </c>
      <c r="F132" t="s">
        <v>114</v>
      </c>
      <c r="G132">
        <v>300</v>
      </c>
      <c r="H132">
        <v>100</v>
      </c>
      <c r="I132">
        <v>85</v>
      </c>
      <c r="J132">
        <v>75</v>
      </c>
      <c r="K132">
        <v>50</v>
      </c>
      <c r="L132">
        <v>70</v>
      </c>
      <c r="M132">
        <v>59</v>
      </c>
      <c r="N132" t="s">
        <v>114</v>
      </c>
      <c r="Q132">
        <v>100</v>
      </c>
      <c r="R132" t="s">
        <v>83</v>
      </c>
    </row>
    <row r="133" spans="1:18" x14ac:dyDescent="0.25">
      <c r="A133">
        <v>6</v>
      </c>
      <c r="B133" t="s">
        <v>94</v>
      </c>
      <c r="C133" t="s">
        <v>111</v>
      </c>
      <c r="D133">
        <v>2</v>
      </c>
      <c r="E133">
        <v>360</v>
      </c>
      <c r="F133" t="s">
        <v>114</v>
      </c>
      <c r="G133">
        <v>100</v>
      </c>
      <c r="H133">
        <v>40</v>
      </c>
      <c r="I133">
        <v>100</v>
      </c>
      <c r="J133">
        <v>90</v>
      </c>
      <c r="K133">
        <v>85</v>
      </c>
      <c r="L133">
        <v>17</v>
      </c>
      <c r="M133">
        <v>11</v>
      </c>
      <c r="N133" t="s">
        <v>114</v>
      </c>
      <c r="Q133">
        <v>60</v>
      </c>
      <c r="R133" t="s">
        <v>83</v>
      </c>
    </row>
    <row r="134" spans="1:18" x14ac:dyDescent="0.25">
      <c r="A134">
        <v>6</v>
      </c>
      <c r="B134" t="s">
        <v>94</v>
      </c>
      <c r="C134" t="s">
        <v>111</v>
      </c>
      <c r="D134">
        <v>3</v>
      </c>
      <c r="E134">
        <v>280</v>
      </c>
      <c r="F134" t="s">
        <v>114</v>
      </c>
      <c r="G134">
        <v>160</v>
      </c>
      <c r="H134">
        <v>90</v>
      </c>
      <c r="I134">
        <v>60</v>
      </c>
      <c r="J134">
        <v>58</v>
      </c>
      <c r="K134">
        <v>55</v>
      </c>
      <c r="L134">
        <v>19</v>
      </c>
      <c r="M134">
        <v>13</v>
      </c>
      <c r="N134" t="s">
        <v>114</v>
      </c>
      <c r="Q134" t="s">
        <v>114</v>
      </c>
      <c r="R134" t="s">
        <v>85</v>
      </c>
    </row>
    <row r="135" spans="1:18" x14ac:dyDescent="0.25">
      <c r="A135">
        <v>6</v>
      </c>
      <c r="B135" t="s">
        <v>95</v>
      </c>
      <c r="C135" t="s">
        <v>111</v>
      </c>
      <c r="D135">
        <v>1</v>
      </c>
      <c r="E135">
        <v>280</v>
      </c>
      <c r="F135" t="s">
        <v>114</v>
      </c>
      <c r="G135">
        <v>120</v>
      </c>
      <c r="H135">
        <v>0</v>
      </c>
      <c r="I135">
        <v>55</v>
      </c>
      <c r="J135">
        <v>50</v>
      </c>
      <c r="K135">
        <v>45</v>
      </c>
      <c r="L135">
        <v>29</v>
      </c>
      <c r="M135">
        <v>20</v>
      </c>
      <c r="N135" t="s">
        <v>114</v>
      </c>
      <c r="Q135">
        <v>65</v>
      </c>
      <c r="R135" t="s">
        <v>84</v>
      </c>
    </row>
    <row r="136" spans="1:18" x14ac:dyDescent="0.25">
      <c r="A136">
        <v>6</v>
      </c>
      <c r="B136" t="s">
        <v>95</v>
      </c>
      <c r="C136" t="s">
        <v>111</v>
      </c>
      <c r="D136">
        <v>2</v>
      </c>
      <c r="E136">
        <v>240</v>
      </c>
      <c r="F136" t="s">
        <v>114</v>
      </c>
      <c r="G136">
        <v>60</v>
      </c>
      <c r="H136">
        <v>60</v>
      </c>
      <c r="I136">
        <v>70</v>
      </c>
      <c r="J136">
        <v>55</v>
      </c>
      <c r="K136">
        <v>50</v>
      </c>
      <c r="L136">
        <v>28</v>
      </c>
      <c r="M136">
        <v>13</v>
      </c>
      <c r="N136" t="s">
        <v>114</v>
      </c>
      <c r="Q136">
        <v>55</v>
      </c>
      <c r="R136" t="s">
        <v>84</v>
      </c>
    </row>
    <row r="137" spans="1:18" x14ac:dyDescent="0.25">
      <c r="A137">
        <v>6</v>
      </c>
      <c r="B137" t="s">
        <v>95</v>
      </c>
      <c r="C137" t="s">
        <v>111</v>
      </c>
      <c r="D137">
        <v>3</v>
      </c>
      <c r="E137">
        <v>280</v>
      </c>
      <c r="F137" t="s">
        <v>114</v>
      </c>
      <c r="G137">
        <v>150</v>
      </c>
      <c r="H137">
        <v>20</v>
      </c>
      <c r="I137">
        <v>68</v>
      </c>
      <c r="J137">
        <v>55</v>
      </c>
      <c r="K137">
        <v>55</v>
      </c>
      <c r="L137">
        <v>59</v>
      </c>
      <c r="M137">
        <v>51</v>
      </c>
      <c r="N137" t="s">
        <v>114</v>
      </c>
      <c r="Q137">
        <v>77</v>
      </c>
      <c r="R137" t="s">
        <v>175</v>
      </c>
    </row>
    <row r="138" spans="1:18" x14ac:dyDescent="0.25">
      <c r="A138">
        <v>6</v>
      </c>
      <c r="B138" t="s">
        <v>94</v>
      </c>
      <c r="C138" t="s">
        <v>105</v>
      </c>
      <c r="D138">
        <v>1</v>
      </c>
      <c r="E138">
        <v>15</v>
      </c>
      <c r="F138">
        <v>170</v>
      </c>
      <c r="G138">
        <v>30</v>
      </c>
      <c r="H138">
        <v>23</v>
      </c>
      <c r="I138">
        <v>30</v>
      </c>
      <c r="J138">
        <v>23</v>
      </c>
      <c r="K138" t="s">
        <v>114</v>
      </c>
      <c r="L138">
        <v>5</v>
      </c>
      <c r="M138">
        <v>1</v>
      </c>
      <c r="N138" t="s">
        <v>114</v>
      </c>
      <c r="Q138">
        <v>30</v>
      </c>
      <c r="R138" t="s">
        <v>81</v>
      </c>
    </row>
    <row r="139" spans="1:18" x14ac:dyDescent="0.25">
      <c r="A139">
        <v>6</v>
      </c>
      <c r="B139" t="s">
        <v>94</v>
      </c>
      <c r="C139" t="s">
        <v>105</v>
      </c>
      <c r="D139">
        <v>2</v>
      </c>
      <c r="E139">
        <v>20</v>
      </c>
      <c r="F139">
        <v>300</v>
      </c>
      <c r="G139">
        <v>50</v>
      </c>
      <c r="H139">
        <v>30</v>
      </c>
      <c r="I139">
        <v>50</v>
      </c>
      <c r="J139">
        <v>30</v>
      </c>
      <c r="K139" t="s">
        <v>114</v>
      </c>
      <c r="L139">
        <v>6</v>
      </c>
      <c r="M139">
        <v>1</v>
      </c>
      <c r="N139" t="s">
        <v>114</v>
      </c>
      <c r="Q139">
        <v>70</v>
      </c>
      <c r="R139" t="s">
        <v>81</v>
      </c>
    </row>
    <row r="140" spans="1:18" x14ac:dyDescent="0.25">
      <c r="A140">
        <v>6</v>
      </c>
      <c r="B140" t="s">
        <v>94</v>
      </c>
      <c r="C140" t="s">
        <v>105</v>
      </c>
      <c r="D140">
        <v>3</v>
      </c>
      <c r="E140">
        <v>50</v>
      </c>
      <c r="F140">
        <v>390</v>
      </c>
      <c r="G140">
        <v>70</v>
      </c>
      <c r="H140">
        <v>55</v>
      </c>
      <c r="I140">
        <v>70</v>
      </c>
      <c r="J140">
        <v>55</v>
      </c>
      <c r="K140" t="s">
        <v>114</v>
      </c>
      <c r="L140">
        <v>11</v>
      </c>
      <c r="M140">
        <v>3</v>
      </c>
      <c r="N140" t="s">
        <v>114</v>
      </c>
      <c r="Q140">
        <v>50</v>
      </c>
      <c r="R140" t="s">
        <v>81</v>
      </c>
    </row>
    <row r="141" spans="1:18" x14ac:dyDescent="0.25">
      <c r="A141">
        <v>6</v>
      </c>
      <c r="B141" t="s">
        <v>95</v>
      </c>
      <c r="C141" t="s">
        <v>105</v>
      </c>
      <c r="D141">
        <v>1</v>
      </c>
      <c r="E141">
        <v>20</v>
      </c>
      <c r="F141">
        <v>500</v>
      </c>
      <c r="G141">
        <v>110</v>
      </c>
      <c r="H141">
        <v>95</v>
      </c>
      <c r="I141">
        <v>110</v>
      </c>
      <c r="J141">
        <v>95</v>
      </c>
      <c r="K141" t="s">
        <v>114</v>
      </c>
      <c r="L141">
        <v>8</v>
      </c>
      <c r="M141">
        <v>2</v>
      </c>
      <c r="N141" t="s">
        <v>114</v>
      </c>
      <c r="Q141">
        <v>90</v>
      </c>
      <c r="R141" t="s">
        <v>89</v>
      </c>
    </row>
    <row r="142" spans="1:18" x14ac:dyDescent="0.25">
      <c r="A142">
        <v>6</v>
      </c>
      <c r="B142" t="s">
        <v>95</v>
      </c>
      <c r="C142" t="s">
        <v>105</v>
      </c>
      <c r="D142">
        <v>2</v>
      </c>
      <c r="E142">
        <v>40</v>
      </c>
      <c r="F142">
        <v>290</v>
      </c>
      <c r="G142">
        <v>55</v>
      </c>
      <c r="H142">
        <v>35</v>
      </c>
      <c r="I142">
        <v>55</v>
      </c>
      <c r="J142">
        <v>35</v>
      </c>
      <c r="K142" t="s">
        <v>114</v>
      </c>
      <c r="L142">
        <v>10</v>
      </c>
      <c r="M142">
        <v>4</v>
      </c>
      <c r="N142" t="s">
        <v>114</v>
      </c>
      <c r="Q142">
        <v>60</v>
      </c>
      <c r="R142" t="s">
        <v>89</v>
      </c>
    </row>
    <row r="143" spans="1:18" x14ac:dyDescent="0.25">
      <c r="A143">
        <v>6</v>
      </c>
      <c r="B143" t="s">
        <v>95</v>
      </c>
      <c r="C143" t="s">
        <v>105</v>
      </c>
      <c r="D143">
        <v>3</v>
      </c>
      <c r="E143">
        <v>55</v>
      </c>
      <c r="F143">
        <v>320</v>
      </c>
      <c r="G143">
        <v>90</v>
      </c>
      <c r="H143">
        <v>85</v>
      </c>
      <c r="I143">
        <v>90</v>
      </c>
      <c r="J143">
        <v>85</v>
      </c>
      <c r="K143" t="s">
        <v>114</v>
      </c>
      <c r="L143">
        <v>2</v>
      </c>
      <c r="M143">
        <v>1</v>
      </c>
      <c r="N143" t="s">
        <v>114</v>
      </c>
      <c r="Q143">
        <v>65</v>
      </c>
      <c r="R143" t="s">
        <v>89</v>
      </c>
    </row>
    <row r="144" spans="1:18" x14ac:dyDescent="0.25">
      <c r="A144">
        <v>6</v>
      </c>
      <c r="B144" t="s">
        <v>94</v>
      </c>
      <c r="C144" t="s">
        <v>110</v>
      </c>
      <c r="D144">
        <v>1</v>
      </c>
      <c r="E144">
        <v>40</v>
      </c>
      <c r="F144" t="s">
        <v>114</v>
      </c>
      <c r="G144">
        <v>150</v>
      </c>
      <c r="H144">
        <v>50</v>
      </c>
      <c r="I144">
        <v>12</v>
      </c>
      <c r="J144">
        <v>10</v>
      </c>
      <c r="K144">
        <v>8</v>
      </c>
      <c r="L144">
        <v>35</v>
      </c>
      <c r="M144">
        <v>1</v>
      </c>
      <c r="N144">
        <v>6</v>
      </c>
      <c r="Q144">
        <v>130</v>
      </c>
      <c r="R144" t="s">
        <v>81</v>
      </c>
    </row>
    <row r="145" spans="1:18" x14ac:dyDescent="0.25">
      <c r="A145">
        <v>6</v>
      </c>
      <c r="B145" t="s">
        <v>94</v>
      </c>
      <c r="C145" t="s">
        <v>110</v>
      </c>
      <c r="D145">
        <v>2</v>
      </c>
      <c r="E145">
        <v>30</v>
      </c>
      <c r="F145" t="s">
        <v>114</v>
      </c>
      <c r="G145">
        <v>150</v>
      </c>
      <c r="H145">
        <v>50</v>
      </c>
      <c r="I145">
        <v>10</v>
      </c>
      <c r="J145">
        <v>8</v>
      </c>
      <c r="K145">
        <v>8</v>
      </c>
      <c r="L145">
        <v>22</v>
      </c>
      <c r="M145">
        <v>1</v>
      </c>
      <c r="N145">
        <v>6</v>
      </c>
      <c r="Q145">
        <v>100</v>
      </c>
      <c r="R145" t="s">
        <v>81</v>
      </c>
    </row>
    <row r="146" spans="1:18" x14ac:dyDescent="0.25">
      <c r="A146">
        <v>6</v>
      </c>
      <c r="B146" t="s">
        <v>94</v>
      </c>
      <c r="C146" t="s">
        <v>110</v>
      </c>
      <c r="D146">
        <v>3</v>
      </c>
      <c r="E146">
        <v>80</v>
      </c>
      <c r="F146" t="s">
        <v>114</v>
      </c>
      <c r="G146">
        <v>40</v>
      </c>
      <c r="H146">
        <v>5</v>
      </c>
      <c r="I146">
        <v>12</v>
      </c>
      <c r="J146">
        <v>8</v>
      </c>
      <c r="K146">
        <v>8</v>
      </c>
      <c r="L146">
        <v>8</v>
      </c>
      <c r="M146">
        <v>1</v>
      </c>
      <c r="N146">
        <v>3</v>
      </c>
      <c r="Q146">
        <v>80</v>
      </c>
      <c r="R146" t="s">
        <v>81</v>
      </c>
    </row>
    <row r="147" spans="1:18" x14ac:dyDescent="0.25">
      <c r="A147">
        <v>6</v>
      </c>
      <c r="B147" t="s">
        <v>94</v>
      </c>
      <c r="C147" t="s">
        <v>110</v>
      </c>
      <c r="D147">
        <v>4</v>
      </c>
      <c r="E147">
        <v>50</v>
      </c>
      <c r="F147" t="s">
        <v>114</v>
      </c>
      <c r="G147">
        <v>190</v>
      </c>
      <c r="H147">
        <v>0</v>
      </c>
      <c r="I147">
        <v>12</v>
      </c>
      <c r="J147">
        <v>10</v>
      </c>
      <c r="K147">
        <v>10</v>
      </c>
      <c r="L147">
        <v>25</v>
      </c>
      <c r="M147">
        <v>1</v>
      </c>
      <c r="N147">
        <v>5</v>
      </c>
      <c r="Q147" t="s">
        <v>114</v>
      </c>
      <c r="R147" t="s">
        <v>81</v>
      </c>
    </row>
    <row r="148" spans="1:18" x14ac:dyDescent="0.25">
      <c r="A148">
        <v>6</v>
      </c>
      <c r="B148" t="s">
        <v>95</v>
      </c>
      <c r="C148" t="s">
        <v>110</v>
      </c>
      <c r="D148">
        <v>1</v>
      </c>
      <c r="E148">
        <v>50</v>
      </c>
      <c r="F148" t="s">
        <v>114</v>
      </c>
      <c r="G148">
        <v>30</v>
      </c>
      <c r="H148">
        <v>10</v>
      </c>
      <c r="I148">
        <v>13</v>
      </c>
      <c r="J148">
        <v>12</v>
      </c>
      <c r="K148">
        <v>11</v>
      </c>
      <c r="L148">
        <v>5</v>
      </c>
      <c r="M148">
        <v>1</v>
      </c>
      <c r="N148">
        <v>2</v>
      </c>
      <c r="Q148">
        <v>70</v>
      </c>
      <c r="R148" t="s">
        <v>87</v>
      </c>
    </row>
    <row r="149" spans="1:18" x14ac:dyDescent="0.25">
      <c r="A149">
        <v>6</v>
      </c>
      <c r="B149" t="s">
        <v>95</v>
      </c>
      <c r="C149" t="s">
        <v>110</v>
      </c>
      <c r="D149">
        <v>2</v>
      </c>
      <c r="E149">
        <v>55</v>
      </c>
      <c r="F149" t="s">
        <v>114</v>
      </c>
      <c r="G149">
        <v>50</v>
      </c>
      <c r="H149">
        <v>10</v>
      </c>
      <c r="I149">
        <v>15</v>
      </c>
      <c r="J149">
        <v>13</v>
      </c>
      <c r="K149">
        <v>10</v>
      </c>
      <c r="L149">
        <v>8</v>
      </c>
      <c r="M149">
        <v>1</v>
      </c>
      <c r="N149">
        <v>2</v>
      </c>
      <c r="Q149">
        <v>50</v>
      </c>
      <c r="R149" t="s">
        <v>81</v>
      </c>
    </row>
    <row r="150" spans="1:18" x14ac:dyDescent="0.25">
      <c r="A150">
        <v>6</v>
      </c>
      <c r="B150" t="s">
        <v>95</v>
      </c>
      <c r="C150" t="s">
        <v>110</v>
      </c>
      <c r="D150">
        <v>3</v>
      </c>
      <c r="E150">
        <v>50</v>
      </c>
      <c r="F150" t="s">
        <v>114</v>
      </c>
      <c r="G150">
        <v>30</v>
      </c>
      <c r="H150">
        <v>10</v>
      </c>
      <c r="I150">
        <v>15</v>
      </c>
      <c r="J150">
        <v>8</v>
      </c>
      <c r="K150">
        <v>8</v>
      </c>
      <c r="L150">
        <v>6</v>
      </c>
      <c r="M150">
        <v>1</v>
      </c>
      <c r="N150">
        <v>2</v>
      </c>
      <c r="Q150" t="s">
        <v>114</v>
      </c>
      <c r="R150" t="s">
        <v>87</v>
      </c>
    </row>
    <row r="151" spans="1:18" x14ac:dyDescent="0.25">
      <c r="A151">
        <v>6</v>
      </c>
      <c r="B151" t="s">
        <v>95</v>
      </c>
      <c r="C151" t="s">
        <v>110</v>
      </c>
      <c r="D151">
        <v>4</v>
      </c>
      <c r="E151">
        <v>110</v>
      </c>
      <c r="F151" t="s">
        <v>114</v>
      </c>
      <c r="G151">
        <v>50</v>
      </c>
      <c r="H151">
        <v>10</v>
      </c>
      <c r="I151">
        <v>13</v>
      </c>
      <c r="J151">
        <v>12</v>
      </c>
      <c r="K151">
        <v>10</v>
      </c>
      <c r="L151">
        <v>10</v>
      </c>
      <c r="M151">
        <v>2</v>
      </c>
      <c r="N151">
        <v>4</v>
      </c>
      <c r="Q151" t="s">
        <v>114</v>
      </c>
      <c r="R151" t="s">
        <v>87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J32" sqref="J32"/>
    </sheetView>
  </sheetViews>
  <sheetFormatPr defaultRowHeight="15" x14ac:dyDescent="0.25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8"/>
  <sheetViews>
    <sheetView workbookViewId="0">
      <selection activeCell="H16" sqref="H16"/>
    </sheetView>
  </sheetViews>
  <sheetFormatPr defaultRowHeight="15" x14ac:dyDescent="0.25"/>
  <cols>
    <col min="2" max="2" width="23.42578125" customWidth="1"/>
  </cols>
  <sheetData>
    <row r="1" spans="1:4" x14ac:dyDescent="0.25">
      <c r="A1" t="s">
        <v>96</v>
      </c>
      <c r="B1" t="s">
        <v>256</v>
      </c>
      <c r="C1" t="s">
        <v>257</v>
      </c>
      <c r="D1" t="s">
        <v>258</v>
      </c>
    </row>
    <row r="2" spans="1:4" x14ac:dyDescent="0.25">
      <c r="A2" t="s">
        <v>67</v>
      </c>
      <c r="B2">
        <v>71</v>
      </c>
      <c r="C2">
        <v>0.95099999999999996</v>
      </c>
      <c r="D2" s="3">
        <v>7.7476340694006316</v>
      </c>
    </row>
    <row r="3" spans="1:4" x14ac:dyDescent="0.25">
      <c r="A3" t="s">
        <v>68</v>
      </c>
      <c r="B3">
        <v>72</v>
      </c>
      <c r="C3">
        <v>0.84009999999999996</v>
      </c>
      <c r="D3" s="3">
        <v>7.5276752767527686</v>
      </c>
    </row>
    <row r="4" spans="1:4" x14ac:dyDescent="0.25">
      <c r="A4" t="s">
        <v>69</v>
      </c>
      <c r="B4">
        <v>73</v>
      </c>
      <c r="C4">
        <v>0.8478</v>
      </c>
      <c r="D4" s="3">
        <v>11.526303373437132</v>
      </c>
    </row>
    <row r="5" spans="1:4" x14ac:dyDescent="0.25">
      <c r="A5" t="s">
        <v>70</v>
      </c>
      <c r="B5">
        <v>74</v>
      </c>
      <c r="C5">
        <v>0.78779999999999994</v>
      </c>
      <c r="D5" s="3">
        <v>11.15003808073115</v>
      </c>
    </row>
    <row r="6" spans="1:4" x14ac:dyDescent="0.25">
      <c r="A6" t="s">
        <v>71</v>
      </c>
      <c r="B6">
        <v>75</v>
      </c>
      <c r="C6">
        <v>0.97909999999999997</v>
      </c>
      <c r="D6" s="3">
        <v>6.9369829435195589</v>
      </c>
    </row>
    <row r="7" spans="1:4" x14ac:dyDescent="0.25">
      <c r="A7" t="s">
        <v>72</v>
      </c>
      <c r="B7">
        <v>76</v>
      </c>
      <c r="C7">
        <v>0.95420000000000005</v>
      </c>
      <c r="D7" s="3">
        <v>7.906099350241039</v>
      </c>
    </row>
    <row r="8" spans="1:4" x14ac:dyDescent="0.25">
      <c r="A8" t="s">
        <v>73</v>
      </c>
      <c r="B8">
        <v>77</v>
      </c>
      <c r="C8">
        <v>0.93530000000000002</v>
      </c>
      <c r="D8" s="3">
        <v>9.6910082326526243</v>
      </c>
    </row>
    <row r="9" spans="1:4" x14ac:dyDescent="0.25">
      <c r="A9" t="s">
        <v>74</v>
      </c>
      <c r="B9">
        <v>78</v>
      </c>
      <c r="C9">
        <v>0.91369999999999996</v>
      </c>
      <c r="D9" s="3">
        <v>4.7148954799168221</v>
      </c>
    </row>
    <row r="10" spans="1:4" x14ac:dyDescent="0.25">
      <c r="A10" t="s">
        <v>75</v>
      </c>
      <c r="B10">
        <v>79</v>
      </c>
      <c r="C10">
        <v>0.71440000000000003</v>
      </c>
      <c r="D10" s="3">
        <v>15.442329227323627</v>
      </c>
    </row>
    <row r="11" spans="1:4" x14ac:dyDescent="0.25">
      <c r="A11" t="s">
        <v>76</v>
      </c>
      <c r="B11">
        <v>80</v>
      </c>
      <c r="C11">
        <v>0.89739999999999998</v>
      </c>
      <c r="D11" s="3">
        <v>9.7392467127256523</v>
      </c>
    </row>
    <row r="12" spans="1:4" x14ac:dyDescent="0.25">
      <c r="A12" t="s">
        <v>77</v>
      </c>
      <c r="B12">
        <v>81</v>
      </c>
      <c r="C12">
        <v>0.95289999999999997</v>
      </c>
      <c r="D12" s="3">
        <v>4.5755063490397738</v>
      </c>
    </row>
    <row r="13" spans="1:4" x14ac:dyDescent="0.25">
      <c r="A13" t="s">
        <v>78</v>
      </c>
      <c r="B13">
        <v>82</v>
      </c>
      <c r="C13">
        <v>0.83940000000000003</v>
      </c>
      <c r="D13" s="3">
        <v>13.619251846557065</v>
      </c>
    </row>
    <row r="14" spans="1:4" x14ac:dyDescent="0.25">
      <c r="A14" t="s">
        <v>50</v>
      </c>
      <c r="B14">
        <v>56</v>
      </c>
      <c r="C14">
        <v>0.9617</v>
      </c>
      <c r="D14" s="3">
        <v>9.0880732037017786</v>
      </c>
    </row>
    <row r="15" spans="1:4" x14ac:dyDescent="0.25">
      <c r="A15" t="s">
        <v>51</v>
      </c>
      <c r="B15">
        <v>57</v>
      </c>
      <c r="C15">
        <v>0.9375</v>
      </c>
      <c r="D15" s="3">
        <v>13.273599999999998</v>
      </c>
    </row>
    <row r="16" spans="1:4" x14ac:dyDescent="0.25">
      <c r="A16" t="s">
        <v>52</v>
      </c>
      <c r="B16">
        <v>58</v>
      </c>
      <c r="C16">
        <v>0.8306</v>
      </c>
      <c r="D16" s="3">
        <v>6.3712978569708643</v>
      </c>
    </row>
    <row r="17" spans="1:4" x14ac:dyDescent="0.25">
      <c r="A17" t="s">
        <v>53</v>
      </c>
      <c r="B17">
        <v>59</v>
      </c>
      <c r="C17">
        <v>0.89329999999999998</v>
      </c>
      <c r="D17" s="3">
        <v>11.163103100861973</v>
      </c>
    </row>
    <row r="18" spans="1:4" x14ac:dyDescent="0.25">
      <c r="A18" t="s">
        <v>54</v>
      </c>
      <c r="B18">
        <v>60</v>
      </c>
      <c r="C18">
        <v>0.73270000000000002</v>
      </c>
      <c r="D18" s="3">
        <v>13.025795004776853</v>
      </c>
    </row>
    <row r="19" spans="1:4" x14ac:dyDescent="0.25">
      <c r="A19" t="s">
        <v>55</v>
      </c>
      <c r="B19">
        <v>61</v>
      </c>
      <c r="C19">
        <v>0.99107999999999996</v>
      </c>
      <c r="D19" s="3">
        <v>11.34519917665577</v>
      </c>
    </row>
    <row r="20" spans="1:4" x14ac:dyDescent="0.25">
      <c r="A20" t="s">
        <v>56</v>
      </c>
      <c r="B20">
        <v>62</v>
      </c>
      <c r="C20">
        <v>0.80659999999999998</v>
      </c>
      <c r="D20" s="3">
        <v>12.739895859161914</v>
      </c>
    </row>
    <row r="21" spans="1:4" x14ac:dyDescent="0.25">
      <c r="A21" t="s">
        <v>57</v>
      </c>
      <c r="B21">
        <v>63</v>
      </c>
      <c r="C21">
        <v>0.89470000000000005</v>
      </c>
      <c r="D21" s="3">
        <v>20.918743712976418</v>
      </c>
    </row>
    <row r="22" spans="1:4" x14ac:dyDescent="0.25">
      <c r="A22" t="s">
        <v>58</v>
      </c>
      <c r="B22">
        <v>64</v>
      </c>
      <c r="C22">
        <v>0.92400000000000004</v>
      </c>
      <c r="D22" s="3">
        <v>14.935064935064933</v>
      </c>
    </row>
    <row r="23" spans="1:4" x14ac:dyDescent="0.25">
      <c r="A23" t="s">
        <v>59</v>
      </c>
      <c r="B23">
        <v>65</v>
      </c>
      <c r="C23">
        <v>0.85429999999999995</v>
      </c>
      <c r="D23" s="3">
        <v>16.490694135549571</v>
      </c>
    </row>
    <row r="24" spans="1:4" x14ac:dyDescent="0.25">
      <c r="A24" t="s">
        <v>60</v>
      </c>
      <c r="B24">
        <v>66</v>
      </c>
      <c r="C24">
        <v>0.94379999999999997</v>
      </c>
      <c r="D24" s="3">
        <v>13.994490358126724</v>
      </c>
    </row>
    <row r="25" spans="1:4" x14ac:dyDescent="0.25">
      <c r="A25" t="s">
        <v>61</v>
      </c>
      <c r="B25">
        <v>67</v>
      </c>
      <c r="C25">
        <v>0.91639999999999999</v>
      </c>
      <c r="D25" s="3">
        <v>11.549541684853775</v>
      </c>
    </row>
    <row r="26" spans="1:4" x14ac:dyDescent="0.25">
      <c r="A26" t="s">
        <v>62</v>
      </c>
      <c r="B26">
        <v>68</v>
      </c>
      <c r="C26">
        <v>0.9597</v>
      </c>
      <c r="D26" s="3">
        <v>11.670313639679067</v>
      </c>
    </row>
    <row r="27" spans="1:4" x14ac:dyDescent="0.25">
      <c r="A27" t="s">
        <v>63</v>
      </c>
      <c r="B27">
        <v>69</v>
      </c>
      <c r="C27">
        <v>0.81699999999999995</v>
      </c>
      <c r="D27" s="3">
        <v>10.03671970624235</v>
      </c>
    </row>
    <row r="28" spans="1:4" x14ac:dyDescent="0.25">
      <c r="A28" t="s">
        <v>65</v>
      </c>
      <c r="B28">
        <v>70</v>
      </c>
      <c r="C28">
        <v>0.7349</v>
      </c>
      <c r="D28" s="3">
        <v>15.321812491495439</v>
      </c>
    </row>
    <row r="29" spans="1:4" x14ac:dyDescent="0.25">
      <c r="A29" t="s">
        <v>10</v>
      </c>
      <c r="B29">
        <v>31</v>
      </c>
      <c r="C29">
        <v>0.84599999999999997</v>
      </c>
      <c r="D29" s="3">
        <v>18.302600472813239</v>
      </c>
    </row>
    <row r="30" spans="1:4" x14ac:dyDescent="0.25">
      <c r="A30" t="s">
        <v>14</v>
      </c>
      <c r="B30">
        <v>32</v>
      </c>
      <c r="C30">
        <v>0.97189999999999999</v>
      </c>
      <c r="D30" s="3">
        <v>13.581644202078403</v>
      </c>
    </row>
    <row r="31" spans="1:4" x14ac:dyDescent="0.25">
      <c r="A31" t="s">
        <v>16</v>
      </c>
      <c r="B31">
        <v>33</v>
      </c>
      <c r="C31">
        <v>0.87070000000000003</v>
      </c>
      <c r="D31" s="3">
        <v>6.6061789364878818</v>
      </c>
    </row>
    <row r="32" spans="1:4" x14ac:dyDescent="0.25">
      <c r="A32" t="s">
        <v>18</v>
      </c>
      <c r="B32">
        <v>34</v>
      </c>
      <c r="C32">
        <v>0.94279999999999997</v>
      </c>
      <c r="D32" s="3">
        <v>9.1472210436996164</v>
      </c>
    </row>
    <row r="33" spans="1:4" x14ac:dyDescent="0.25">
      <c r="A33" t="s">
        <v>20</v>
      </c>
      <c r="B33">
        <v>35</v>
      </c>
      <c r="C33">
        <v>0.9073</v>
      </c>
      <c r="D33" s="3">
        <v>10.651383224953157</v>
      </c>
    </row>
    <row r="34" spans="1:4" x14ac:dyDescent="0.25">
      <c r="A34" t="s">
        <v>22</v>
      </c>
      <c r="B34">
        <v>36</v>
      </c>
      <c r="C34">
        <v>0.97299999999999998</v>
      </c>
      <c r="D34" s="3">
        <v>4.3741007194244608</v>
      </c>
    </row>
    <row r="35" spans="1:4" x14ac:dyDescent="0.25">
      <c r="A35" t="s">
        <v>24</v>
      </c>
      <c r="B35">
        <v>37</v>
      </c>
      <c r="C35">
        <v>0.96309999999999996</v>
      </c>
      <c r="D35" s="3">
        <v>8.4352611359152743</v>
      </c>
    </row>
    <row r="36" spans="1:4" x14ac:dyDescent="0.25">
      <c r="A36" t="s">
        <v>26</v>
      </c>
      <c r="B36">
        <v>38</v>
      </c>
      <c r="C36">
        <v>0.86129999999999995</v>
      </c>
      <c r="D36" s="3">
        <v>13.337977475908511</v>
      </c>
    </row>
    <row r="37" spans="1:4" x14ac:dyDescent="0.25">
      <c r="A37" t="s">
        <v>28</v>
      </c>
      <c r="B37">
        <v>39</v>
      </c>
      <c r="C37">
        <v>0.85289999999999999</v>
      </c>
      <c r="D37" s="3">
        <v>11.1243991089225</v>
      </c>
    </row>
    <row r="38" spans="1:4" x14ac:dyDescent="0.25">
      <c r="A38" t="s">
        <v>30</v>
      </c>
      <c r="B38">
        <v>40</v>
      </c>
      <c r="C38">
        <v>0.81740000000000002</v>
      </c>
      <c r="D38" s="3">
        <v>2.6914607291411796</v>
      </c>
    </row>
    <row r="39" spans="1:4" x14ac:dyDescent="0.25">
      <c r="A39" t="s">
        <v>32</v>
      </c>
      <c r="B39">
        <v>41</v>
      </c>
      <c r="C39">
        <v>0.84119999999999995</v>
      </c>
      <c r="D39" s="3">
        <v>14.484070375653827</v>
      </c>
    </row>
    <row r="40" spans="1:4" x14ac:dyDescent="0.25">
      <c r="A40" t="s">
        <v>34</v>
      </c>
      <c r="B40">
        <v>42</v>
      </c>
      <c r="C40">
        <v>0.86680000000000001</v>
      </c>
      <c r="D40" s="3">
        <v>6.6774342408860177</v>
      </c>
    </row>
    <row r="41" spans="1:4" x14ac:dyDescent="0.25">
      <c r="A41" t="s">
        <v>36</v>
      </c>
      <c r="B41">
        <v>43</v>
      </c>
      <c r="C41">
        <v>0.82240000000000002</v>
      </c>
      <c r="D41" s="3">
        <v>9.0029182879377423</v>
      </c>
    </row>
    <row r="42" spans="1:4" x14ac:dyDescent="0.25">
      <c r="A42" t="s">
        <v>38</v>
      </c>
      <c r="B42">
        <v>44</v>
      </c>
      <c r="C42">
        <v>0.73170000000000002</v>
      </c>
      <c r="D42" s="3">
        <v>4.7287139538062046</v>
      </c>
    </row>
    <row r="43" spans="1:4" x14ac:dyDescent="0.25">
      <c r="A43" t="s">
        <v>39</v>
      </c>
      <c r="B43">
        <v>45</v>
      </c>
      <c r="C43">
        <v>0.88</v>
      </c>
      <c r="D43" s="3">
        <v>7.327272727272728</v>
      </c>
    </row>
    <row r="44" spans="1:4" x14ac:dyDescent="0.25">
      <c r="A44" t="s">
        <v>40</v>
      </c>
      <c r="B44">
        <v>46</v>
      </c>
      <c r="C44">
        <v>0.72150000000000003</v>
      </c>
      <c r="D44" s="3">
        <v>9.6576576576576567</v>
      </c>
    </row>
    <row r="45" spans="1:4" x14ac:dyDescent="0.25">
      <c r="A45" t="s">
        <v>41</v>
      </c>
      <c r="B45">
        <v>47</v>
      </c>
      <c r="C45">
        <v>0.72160000000000002</v>
      </c>
      <c r="D45" s="3">
        <v>9.8669623059866947</v>
      </c>
    </row>
    <row r="46" spans="1:4" x14ac:dyDescent="0.25">
      <c r="A46" t="s">
        <v>42</v>
      </c>
      <c r="B46">
        <v>48</v>
      </c>
      <c r="C46">
        <v>0.8276</v>
      </c>
      <c r="D46" s="3">
        <v>17.230546157564042</v>
      </c>
    </row>
    <row r="47" spans="1:4" x14ac:dyDescent="0.25">
      <c r="A47" t="s">
        <v>43</v>
      </c>
      <c r="B47">
        <v>49</v>
      </c>
      <c r="C47">
        <v>0.74729999999999996</v>
      </c>
      <c r="D47" s="3">
        <v>18.67523083099157</v>
      </c>
    </row>
    <row r="48" spans="1:4" x14ac:dyDescent="0.25">
      <c r="A48" t="s">
        <v>44</v>
      </c>
      <c r="B48">
        <v>50</v>
      </c>
      <c r="C48">
        <v>0.79369999999999996</v>
      </c>
      <c r="D48" s="3">
        <v>6.36008567468817</v>
      </c>
    </row>
    <row r="49" spans="1:4" x14ac:dyDescent="0.25">
      <c r="A49" t="s">
        <v>45</v>
      </c>
      <c r="B49">
        <v>51</v>
      </c>
      <c r="C49">
        <v>0.77439999999999998</v>
      </c>
      <c r="D49" s="3">
        <v>11.027892561983471</v>
      </c>
    </row>
    <row r="50" spans="1:4" x14ac:dyDescent="0.25">
      <c r="A50" t="s">
        <v>46</v>
      </c>
      <c r="B50">
        <v>52</v>
      </c>
      <c r="C50">
        <v>0.76649999999999996</v>
      </c>
      <c r="D50" s="3">
        <v>13.84996738421396</v>
      </c>
    </row>
    <row r="51" spans="1:4" x14ac:dyDescent="0.25">
      <c r="A51" t="s">
        <v>47</v>
      </c>
      <c r="B51">
        <v>53</v>
      </c>
      <c r="C51">
        <v>0.77800000000000002</v>
      </c>
      <c r="D51" s="3">
        <v>11.547557840616966</v>
      </c>
    </row>
    <row r="52" spans="1:4" x14ac:dyDescent="0.25">
      <c r="A52" t="s">
        <v>48</v>
      </c>
      <c r="B52">
        <v>54</v>
      </c>
      <c r="C52">
        <v>0.80089999999999995</v>
      </c>
      <c r="D52" s="3">
        <v>10.672992883006618</v>
      </c>
    </row>
    <row r="53" spans="1:4" x14ac:dyDescent="0.25">
      <c r="A53" t="s">
        <v>49</v>
      </c>
      <c r="B53">
        <v>55</v>
      </c>
      <c r="C53">
        <v>0.80230000000000001</v>
      </c>
      <c r="D53" s="3">
        <v>7.5183846441480746</v>
      </c>
    </row>
    <row r="54" spans="1:4" x14ac:dyDescent="0.25">
      <c r="A54" t="s">
        <v>79</v>
      </c>
      <c r="B54">
        <v>83</v>
      </c>
      <c r="C54">
        <v>0.97089999999999999</v>
      </c>
      <c r="D54" s="3">
        <v>9.8794932536821491</v>
      </c>
    </row>
    <row r="55" spans="1:4" x14ac:dyDescent="0.25">
      <c r="A55" t="s">
        <v>80</v>
      </c>
      <c r="B55">
        <v>84</v>
      </c>
      <c r="C55">
        <v>0.80459999999999998</v>
      </c>
      <c r="D55" s="3">
        <v>12.17499378573204</v>
      </c>
    </row>
    <row r="56" spans="1:4" x14ac:dyDescent="0.25">
      <c r="A56" t="s">
        <v>81</v>
      </c>
      <c r="B56">
        <v>85</v>
      </c>
      <c r="C56">
        <v>0.85409999999999997</v>
      </c>
      <c r="D56" s="3">
        <v>10.588924013581549</v>
      </c>
    </row>
    <row r="57" spans="1:4" x14ac:dyDescent="0.25">
      <c r="A57" t="s">
        <v>82</v>
      </c>
      <c r="B57">
        <v>86</v>
      </c>
      <c r="C57">
        <v>0.62229999999999996</v>
      </c>
      <c r="D57" s="3">
        <v>9.3459746103165671</v>
      </c>
    </row>
    <row r="58" spans="1:4" x14ac:dyDescent="0.25">
      <c r="A58" t="s">
        <v>83</v>
      </c>
      <c r="B58">
        <v>87</v>
      </c>
      <c r="C58">
        <v>0.85560000000000003</v>
      </c>
      <c r="D58" s="3">
        <v>13.30528284244974</v>
      </c>
    </row>
    <row r="59" spans="1:4" x14ac:dyDescent="0.25">
      <c r="A59" t="s">
        <v>84</v>
      </c>
      <c r="B59">
        <v>88</v>
      </c>
      <c r="C59">
        <v>0.75019999999999998</v>
      </c>
      <c r="D59" s="3">
        <v>14.177552652625968</v>
      </c>
    </row>
    <row r="60" spans="1:4" x14ac:dyDescent="0.25">
      <c r="A60" t="s">
        <v>85</v>
      </c>
      <c r="B60">
        <v>89</v>
      </c>
      <c r="C60">
        <v>0.9758</v>
      </c>
      <c r="D60" s="3">
        <v>10.629227300676368</v>
      </c>
    </row>
    <row r="61" spans="1:4" x14ac:dyDescent="0.25">
      <c r="A61" t="s">
        <v>86</v>
      </c>
      <c r="B61">
        <v>90</v>
      </c>
      <c r="C61">
        <v>0.8206</v>
      </c>
      <c r="D61" s="3">
        <v>16.992444552766269</v>
      </c>
    </row>
    <row r="62" spans="1:4" x14ac:dyDescent="0.25">
      <c r="A62" t="s">
        <v>87</v>
      </c>
      <c r="B62">
        <v>91</v>
      </c>
      <c r="C62">
        <v>0.86599999999999999</v>
      </c>
      <c r="D62" s="3">
        <v>15.00692840646651</v>
      </c>
    </row>
    <row r="63" spans="1:4" x14ac:dyDescent="0.25">
      <c r="A63" t="s">
        <v>88</v>
      </c>
      <c r="B63">
        <v>92</v>
      </c>
      <c r="C63">
        <v>0.92010000000000003</v>
      </c>
      <c r="D63" s="3">
        <v>15.485273339854361</v>
      </c>
    </row>
    <row r="64" spans="1:4" x14ac:dyDescent="0.25">
      <c r="A64" t="s">
        <v>89</v>
      </c>
      <c r="B64">
        <v>93</v>
      </c>
      <c r="C64">
        <v>0.80500000000000005</v>
      </c>
      <c r="D64" s="3">
        <v>8.8149068322981368</v>
      </c>
    </row>
    <row r="65" spans="1:4" x14ac:dyDescent="0.25">
      <c r="A65" t="s">
        <v>90</v>
      </c>
      <c r="B65">
        <v>94</v>
      </c>
      <c r="C65">
        <v>0.7157</v>
      </c>
      <c r="D65" s="3">
        <v>15.319267849657678</v>
      </c>
    </row>
    <row r="66" spans="1:4" x14ac:dyDescent="0.25">
      <c r="A66" t="s">
        <v>91</v>
      </c>
      <c r="B66">
        <v>95</v>
      </c>
      <c r="C66">
        <v>0.84709999999999996</v>
      </c>
      <c r="D66" s="3">
        <v>15.870617400543029</v>
      </c>
    </row>
    <row r="67" spans="1:4" x14ac:dyDescent="0.25">
      <c r="A67" t="s">
        <v>92</v>
      </c>
      <c r="B67">
        <v>96</v>
      </c>
      <c r="C67">
        <v>0.76529999999999998</v>
      </c>
      <c r="D67" s="3">
        <v>7.029922906049916</v>
      </c>
    </row>
    <row r="68" spans="1:4" x14ac:dyDescent="0.25">
      <c r="A68" t="s">
        <v>93</v>
      </c>
      <c r="B68">
        <v>97</v>
      </c>
      <c r="C68">
        <v>0.91800000000000004</v>
      </c>
      <c r="D68" s="3">
        <v>10.727668845315904</v>
      </c>
    </row>
  </sheetData>
  <sortState ref="A2:D68">
    <sortCondition ref="A2:A68"/>
  </sortState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389"/>
  <sheetViews>
    <sheetView topLeftCell="C1" zoomScale="75" zoomScaleNormal="75" workbookViewId="0">
      <pane ySplit="1" topLeftCell="A324" activePane="bottomLeft" state="frozen"/>
      <selection pane="bottomLeft" activeCell="L350" sqref="L350"/>
    </sheetView>
  </sheetViews>
  <sheetFormatPr defaultRowHeight="15" x14ac:dyDescent="0.25"/>
  <cols>
    <col min="4" max="4" width="11.42578125" customWidth="1"/>
    <col min="5" max="8" width="16.28515625" customWidth="1"/>
    <col min="9" max="10" width="27.140625" customWidth="1"/>
    <col min="11" max="11" width="21.5703125" customWidth="1"/>
    <col min="12" max="12" width="20.140625" customWidth="1"/>
    <col min="13" max="13" width="26.5703125" customWidth="1"/>
    <col min="14" max="14" width="16.85546875" customWidth="1"/>
    <col min="15" max="15" width="17.140625" customWidth="1"/>
    <col min="16" max="16" width="17" customWidth="1"/>
    <col min="19" max="19" width="12.140625" customWidth="1"/>
    <col min="20" max="20" width="19.140625" customWidth="1"/>
    <col min="24" max="24" width="17.42578125" customWidth="1"/>
  </cols>
  <sheetData>
    <row r="1" spans="1:24" x14ac:dyDescent="0.25">
      <c r="A1" s="1" t="s">
        <v>96</v>
      </c>
      <c r="B1" s="1" t="s">
        <v>0</v>
      </c>
      <c r="C1" s="1" t="s">
        <v>1</v>
      </c>
      <c r="D1" s="1" t="s">
        <v>2</v>
      </c>
      <c r="E1" s="1" t="s">
        <v>97</v>
      </c>
      <c r="F1" s="1" t="s">
        <v>220</v>
      </c>
      <c r="G1" s="1" t="s">
        <v>144</v>
      </c>
      <c r="H1" s="1" t="s">
        <v>219</v>
      </c>
      <c r="I1" s="1" t="s">
        <v>143</v>
      </c>
      <c r="J1" s="1" t="s">
        <v>275</v>
      </c>
      <c r="K1" s="1" t="s">
        <v>177</v>
      </c>
      <c r="L1" s="1" t="s">
        <v>178</v>
      </c>
      <c r="M1" s="1" t="s">
        <v>179</v>
      </c>
      <c r="N1" s="1" t="s">
        <v>176</v>
      </c>
      <c r="O1" s="1" t="s">
        <v>180</v>
      </c>
      <c r="P1" s="1" t="s">
        <v>181</v>
      </c>
      <c r="Q1" s="1" t="s">
        <v>182</v>
      </c>
      <c r="R1" s="1" t="s">
        <v>183</v>
      </c>
      <c r="S1" s="1" t="s">
        <v>184</v>
      </c>
      <c r="T1" s="1" t="s">
        <v>185</v>
      </c>
      <c r="U1" s="1" t="s">
        <v>186</v>
      </c>
      <c r="V1" s="1" t="s">
        <v>218</v>
      </c>
      <c r="W1" s="1" t="s">
        <v>230</v>
      </c>
      <c r="X1" s="1" t="s">
        <v>8</v>
      </c>
    </row>
    <row r="2" spans="1:24" x14ac:dyDescent="0.25">
      <c r="A2" t="s">
        <v>67</v>
      </c>
      <c r="B2">
        <v>10</v>
      </c>
      <c r="C2" t="s">
        <v>11</v>
      </c>
      <c r="D2" t="s">
        <v>94</v>
      </c>
      <c r="E2" t="s">
        <v>113</v>
      </c>
      <c r="F2" t="s">
        <v>222</v>
      </c>
      <c r="G2" t="s">
        <v>145</v>
      </c>
      <c r="H2" t="str">
        <f t="shared" ref="H2:H65" si="0">D2&amp;"."&amp;G2</f>
        <v>Open.Highcomp</v>
      </c>
      <c r="I2" t="str">
        <f t="shared" ref="I2:I65" si="1">E2&amp;"."&amp;G2</f>
        <v>H.glutinosum.Highcomp</v>
      </c>
      <c r="J2" t="str">
        <f>A2&amp;"."&amp;E2&amp;"."&amp;G2</f>
        <v>10A.H.glutinosum.Highcomp</v>
      </c>
      <c r="K2">
        <v>1</v>
      </c>
      <c r="L2">
        <v>9</v>
      </c>
      <c r="M2">
        <v>1</v>
      </c>
      <c r="N2">
        <v>9</v>
      </c>
      <c r="O2">
        <v>0</v>
      </c>
      <c r="P2">
        <v>0</v>
      </c>
      <c r="Q2">
        <v>0</v>
      </c>
      <c r="R2">
        <v>0</v>
      </c>
      <c r="S2">
        <v>1</v>
      </c>
      <c r="T2">
        <v>1</v>
      </c>
      <c r="U2">
        <v>9</v>
      </c>
      <c r="V2">
        <v>9</v>
      </c>
      <c r="W2">
        <v>0</v>
      </c>
    </row>
    <row r="3" spans="1:24" x14ac:dyDescent="0.25">
      <c r="A3" t="s">
        <v>67</v>
      </c>
      <c r="B3">
        <v>10</v>
      </c>
      <c r="C3" t="s">
        <v>11</v>
      </c>
      <c r="D3" t="s">
        <v>94</v>
      </c>
      <c r="E3" t="s">
        <v>113</v>
      </c>
      <c r="F3" t="s">
        <v>222</v>
      </c>
      <c r="G3" t="s">
        <v>120</v>
      </c>
      <c r="H3" t="str">
        <f t="shared" si="0"/>
        <v>Open.Solo</v>
      </c>
      <c r="I3" t="str">
        <f t="shared" si="1"/>
        <v>H.glutinosum.Solo</v>
      </c>
      <c r="J3" t="str">
        <f t="shared" ref="J3:J66" si="2">A3&amp;"."&amp;E3&amp;"."&amp;G3</f>
        <v>10A.H.glutinosum.Solo</v>
      </c>
      <c r="K3">
        <v>1</v>
      </c>
      <c r="L3">
        <v>0</v>
      </c>
      <c r="M3">
        <v>1</v>
      </c>
      <c r="N3">
        <v>0</v>
      </c>
      <c r="O3">
        <v>0</v>
      </c>
      <c r="P3">
        <v>0</v>
      </c>
      <c r="Q3">
        <v>0</v>
      </c>
      <c r="R3">
        <v>0</v>
      </c>
      <c r="S3">
        <v>1</v>
      </c>
      <c r="T3">
        <v>1</v>
      </c>
      <c r="U3">
        <v>0</v>
      </c>
      <c r="V3">
        <v>0</v>
      </c>
      <c r="W3">
        <v>0</v>
      </c>
    </row>
    <row r="4" spans="1:24" x14ac:dyDescent="0.25">
      <c r="A4" t="s">
        <v>67</v>
      </c>
      <c r="B4">
        <v>10</v>
      </c>
      <c r="C4" t="s">
        <v>11</v>
      </c>
      <c r="D4" t="s">
        <v>94</v>
      </c>
      <c r="E4" t="s">
        <v>103</v>
      </c>
      <c r="F4" t="s">
        <v>221</v>
      </c>
      <c r="G4" t="s">
        <v>145</v>
      </c>
      <c r="H4" t="str">
        <f t="shared" si="0"/>
        <v>Open.Highcomp</v>
      </c>
      <c r="I4" t="str">
        <f t="shared" si="1"/>
        <v>P.airoides.Highcomp</v>
      </c>
      <c r="J4" t="str">
        <f t="shared" si="2"/>
        <v>10A.P.airoides.Highcomp</v>
      </c>
      <c r="K4">
        <v>4</v>
      </c>
      <c r="L4">
        <f>31+27+52+57</f>
        <v>167</v>
      </c>
      <c r="M4">
        <v>4</v>
      </c>
      <c r="N4">
        <f>167/4</f>
        <v>41.75</v>
      </c>
      <c r="O4">
        <v>0</v>
      </c>
      <c r="P4">
        <v>0</v>
      </c>
      <c r="Q4">
        <v>0</v>
      </c>
      <c r="R4">
        <v>0</v>
      </c>
      <c r="S4">
        <v>4</v>
      </c>
      <c r="T4">
        <v>4</v>
      </c>
      <c r="U4">
        <v>167</v>
      </c>
      <c r="V4">
        <v>167</v>
      </c>
      <c r="W4">
        <v>0</v>
      </c>
    </row>
    <row r="5" spans="1:24" x14ac:dyDescent="0.25">
      <c r="A5" t="s">
        <v>67</v>
      </c>
      <c r="B5">
        <v>10</v>
      </c>
      <c r="C5" t="s">
        <v>11</v>
      </c>
      <c r="D5" t="s">
        <v>94</v>
      </c>
      <c r="E5" t="s">
        <v>103</v>
      </c>
      <c r="F5" t="s">
        <v>221</v>
      </c>
      <c r="G5" t="s">
        <v>120</v>
      </c>
      <c r="H5" t="str">
        <f t="shared" si="0"/>
        <v>Open.Solo</v>
      </c>
      <c r="I5" t="str">
        <f t="shared" si="1"/>
        <v>P.airoides.Solo</v>
      </c>
      <c r="J5" t="str">
        <f t="shared" si="2"/>
        <v>10A.P.airoides.Solo</v>
      </c>
      <c r="K5">
        <v>5</v>
      </c>
      <c r="L5">
        <f>21+24+48+58+53</f>
        <v>204</v>
      </c>
      <c r="M5">
        <v>5</v>
      </c>
      <c r="N5">
        <f>204/5</f>
        <v>40.799999999999997</v>
      </c>
      <c r="O5">
        <v>0</v>
      </c>
      <c r="P5">
        <v>0</v>
      </c>
      <c r="Q5">
        <v>0</v>
      </c>
      <c r="R5">
        <v>0</v>
      </c>
      <c r="S5">
        <v>5</v>
      </c>
      <c r="T5">
        <v>5</v>
      </c>
      <c r="U5">
        <v>204</v>
      </c>
      <c r="V5">
        <v>204</v>
      </c>
      <c r="W5">
        <v>0</v>
      </c>
    </row>
    <row r="6" spans="1:24" x14ac:dyDescent="0.25">
      <c r="A6" t="s">
        <v>67</v>
      </c>
      <c r="B6">
        <v>10</v>
      </c>
      <c r="C6" t="s">
        <v>11</v>
      </c>
      <c r="D6" t="s">
        <v>94</v>
      </c>
      <c r="E6" t="s">
        <v>112</v>
      </c>
      <c r="F6" t="s">
        <v>222</v>
      </c>
      <c r="G6" t="s">
        <v>145</v>
      </c>
      <c r="H6" t="str">
        <f t="shared" si="0"/>
        <v>Open.Highcomp</v>
      </c>
      <c r="I6" t="str">
        <f t="shared" si="1"/>
        <v>V.rosea.Highcomp</v>
      </c>
      <c r="J6" t="str">
        <f t="shared" si="2"/>
        <v>10A.V.rosea.Highcomp</v>
      </c>
      <c r="K6">
        <v>96</v>
      </c>
      <c r="L6">
        <f>68+2+5</f>
        <v>75</v>
      </c>
      <c r="M6">
        <v>19</v>
      </c>
      <c r="N6">
        <f>75/19</f>
        <v>3.9473684210526314</v>
      </c>
      <c r="O6">
        <v>0</v>
      </c>
      <c r="P6">
        <v>0</v>
      </c>
      <c r="Q6">
        <v>0</v>
      </c>
      <c r="R6">
        <v>0</v>
      </c>
      <c r="S6">
        <v>96</v>
      </c>
      <c r="T6">
        <v>96</v>
      </c>
      <c r="U6">
        <f>75+(N6*77)</f>
        <v>378.9473684210526</v>
      </c>
      <c r="V6">
        <v>379</v>
      </c>
      <c r="W6">
        <v>0</v>
      </c>
    </row>
    <row r="7" spans="1:24" x14ac:dyDescent="0.25">
      <c r="A7" t="s">
        <v>67</v>
      </c>
      <c r="B7">
        <v>10</v>
      </c>
      <c r="C7" t="s">
        <v>11</v>
      </c>
      <c r="D7" t="s">
        <v>94</v>
      </c>
      <c r="E7" t="s">
        <v>112</v>
      </c>
      <c r="F7" t="s">
        <v>222</v>
      </c>
      <c r="G7" t="s">
        <v>120</v>
      </c>
      <c r="H7" t="str">
        <f t="shared" si="0"/>
        <v>Open.Solo</v>
      </c>
      <c r="I7" t="str">
        <f t="shared" si="1"/>
        <v>V.rosea.Solo</v>
      </c>
      <c r="J7" t="str">
        <f t="shared" si="2"/>
        <v>10A.V.rosea.Solo</v>
      </c>
      <c r="K7">
        <v>14</v>
      </c>
      <c r="L7">
        <f>3+2+4+4+4+3+3+2</f>
        <v>25</v>
      </c>
      <c r="M7">
        <v>8</v>
      </c>
      <c r="N7">
        <f>25/8</f>
        <v>3.125</v>
      </c>
      <c r="O7">
        <v>0</v>
      </c>
      <c r="P7">
        <v>0</v>
      </c>
      <c r="Q7">
        <v>0</v>
      </c>
      <c r="R7">
        <v>0</v>
      </c>
      <c r="S7">
        <v>14</v>
      </c>
      <c r="T7">
        <v>14</v>
      </c>
      <c r="U7">
        <f>25+(N7*6)</f>
        <v>43.75</v>
      </c>
      <c r="V7">
        <v>44</v>
      </c>
      <c r="W7">
        <v>0</v>
      </c>
    </row>
    <row r="8" spans="1:24" x14ac:dyDescent="0.25">
      <c r="A8" t="s">
        <v>68</v>
      </c>
      <c r="B8">
        <v>10</v>
      </c>
      <c r="C8" t="s">
        <v>15</v>
      </c>
      <c r="D8" t="s">
        <v>95</v>
      </c>
      <c r="E8" t="s">
        <v>113</v>
      </c>
      <c r="F8" t="s">
        <v>222</v>
      </c>
      <c r="G8" t="s">
        <v>145</v>
      </c>
      <c r="H8" t="str">
        <f t="shared" si="0"/>
        <v>Shade.Highcomp</v>
      </c>
      <c r="I8" t="str">
        <f t="shared" si="1"/>
        <v>H.glutinosum.Highcomp</v>
      </c>
      <c r="J8" t="str">
        <f t="shared" si="2"/>
        <v>10B.H.glutinosum.Highcomp</v>
      </c>
      <c r="K8">
        <v>1</v>
      </c>
      <c r="L8">
        <v>0</v>
      </c>
      <c r="M8">
        <v>1</v>
      </c>
      <c r="N8">
        <v>0</v>
      </c>
      <c r="O8">
        <v>0</v>
      </c>
      <c r="P8">
        <v>0</v>
      </c>
      <c r="Q8">
        <v>0</v>
      </c>
      <c r="R8">
        <v>0</v>
      </c>
      <c r="S8">
        <v>1</v>
      </c>
      <c r="T8">
        <v>1</v>
      </c>
      <c r="U8">
        <v>0</v>
      </c>
      <c r="V8">
        <v>0</v>
      </c>
      <c r="W8">
        <v>0</v>
      </c>
    </row>
    <row r="9" spans="1:24" x14ac:dyDescent="0.25">
      <c r="A9" t="s">
        <v>68</v>
      </c>
      <c r="B9">
        <v>10</v>
      </c>
      <c r="C9" t="s">
        <v>15</v>
      </c>
      <c r="D9" t="s">
        <v>95</v>
      </c>
      <c r="E9" t="s">
        <v>113</v>
      </c>
      <c r="F9" t="s">
        <v>222</v>
      </c>
      <c r="G9" t="s">
        <v>120</v>
      </c>
      <c r="H9" t="str">
        <f t="shared" si="0"/>
        <v>Shade.Solo</v>
      </c>
      <c r="I9" t="str">
        <f t="shared" si="1"/>
        <v>H.glutinosum.Solo</v>
      </c>
      <c r="J9" t="str">
        <f t="shared" si="2"/>
        <v>10B.H.glutinosum.Solo</v>
      </c>
      <c r="K9">
        <v>1</v>
      </c>
      <c r="L9">
        <v>0</v>
      </c>
      <c r="M9">
        <v>1</v>
      </c>
      <c r="N9">
        <v>0</v>
      </c>
      <c r="O9">
        <v>0</v>
      </c>
      <c r="P9">
        <v>0</v>
      </c>
      <c r="Q9">
        <v>0</v>
      </c>
      <c r="R9">
        <v>0</v>
      </c>
      <c r="S9">
        <v>1</v>
      </c>
      <c r="T9">
        <v>1</v>
      </c>
      <c r="U9">
        <v>0</v>
      </c>
      <c r="V9">
        <v>0</v>
      </c>
      <c r="W9">
        <v>0</v>
      </c>
    </row>
    <row r="10" spans="1:24" x14ac:dyDescent="0.25">
      <c r="A10" t="s">
        <v>68</v>
      </c>
      <c r="B10">
        <v>10</v>
      </c>
      <c r="C10" t="s">
        <v>15</v>
      </c>
      <c r="D10" t="s">
        <v>95</v>
      </c>
      <c r="E10" t="s">
        <v>110</v>
      </c>
      <c r="F10" t="s">
        <v>221</v>
      </c>
      <c r="G10" t="s">
        <v>145</v>
      </c>
      <c r="H10" t="str">
        <f t="shared" si="0"/>
        <v>Shade.Highcomp</v>
      </c>
      <c r="I10" t="str">
        <f t="shared" si="1"/>
        <v>M.minima.Highcomp</v>
      </c>
      <c r="J10" t="str">
        <f t="shared" si="2"/>
        <v>10B.M.minima.Highcomp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 t="s">
        <v>188</v>
      </c>
    </row>
    <row r="11" spans="1:24" x14ac:dyDescent="0.25">
      <c r="A11" t="s">
        <v>68</v>
      </c>
      <c r="B11">
        <v>10</v>
      </c>
      <c r="C11" t="s">
        <v>15</v>
      </c>
      <c r="D11" t="s">
        <v>95</v>
      </c>
      <c r="E11" t="s">
        <v>110</v>
      </c>
      <c r="F11" t="s">
        <v>221</v>
      </c>
      <c r="G11" t="s">
        <v>120</v>
      </c>
      <c r="H11" t="str">
        <f t="shared" si="0"/>
        <v>Shade.Solo</v>
      </c>
      <c r="I11" t="str">
        <f t="shared" si="1"/>
        <v>M.minima.Solo</v>
      </c>
      <c r="J11" t="str">
        <f t="shared" si="2"/>
        <v>10B.M.minima.Solo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 t="s">
        <v>188</v>
      </c>
    </row>
    <row r="12" spans="1:24" x14ac:dyDescent="0.25">
      <c r="A12" t="s">
        <v>68</v>
      </c>
      <c r="B12">
        <v>10</v>
      </c>
      <c r="C12" t="s">
        <v>15</v>
      </c>
      <c r="D12" t="s">
        <v>95</v>
      </c>
      <c r="E12" t="s">
        <v>111</v>
      </c>
      <c r="F12" t="s">
        <v>222</v>
      </c>
      <c r="G12" t="s">
        <v>145</v>
      </c>
      <c r="H12" t="str">
        <f t="shared" si="0"/>
        <v>Shade.Highcomp</v>
      </c>
      <c r="I12" t="str">
        <f t="shared" si="1"/>
        <v>P.canescens.Highcomp</v>
      </c>
      <c r="J12" t="str">
        <f t="shared" si="2"/>
        <v>10B.P.canescens.Highcomp</v>
      </c>
      <c r="K12">
        <v>2</v>
      </c>
      <c r="L12">
        <f>93+15</f>
        <v>108</v>
      </c>
      <c r="M12">
        <v>2</v>
      </c>
      <c r="N12">
        <f>108/2</f>
        <v>54</v>
      </c>
      <c r="O12">
        <v>0</v>
      </c>
      <c r="P12">
        <v>28</v>
      </c>
      <c r="Q12">
        <v>21</v>
      </c>
      <c r="R12">
        <v>0</v>
      </c>
      <c r="S12">
        <v>51</v>
      </c>
      <c r="T12">
        <v>30</v>
      </c>
      <c r="U12">
        <f>108+(N12*28)</f>
        <v>1620</v>
      </c>
      <c r="V12">
        <v>1620</v>
      </c>
      <c r="W12">
        <v>0</v>
      </c>
    </row>
    <row r="13" spans="1:24" x14ac:dyDescent="0.25">
      <c r="A13" t="s">
        <v>68</v>
      </c>
      <c r="B13">
        <v>10</v>
      </c>
      <c r="C13" t="s">
        <v>15</v>
      </c>
      <c r="D13" t="s">
        <v>95</v>
      </c>
      <c r="E13" t="s">
        <v>111</v>
      </c>
      <c r="F13" t="s">
        <v>222</v>
      </c>
      <c r="G13" t="s">
        <v>120</v>
      </c>
      <c r="H13" t="str">
        <f t="shared" si="0"/>
        <v>Shade.Solo</v>
      </c>
      <c r="I13" t="str">
        <f t="shared" si="1"/>
        <v>P.canescens.Solo</v>
      </c>
      <c r="J13" t="str">
        <f t="shared" si="2"/>
        <v>10B.P.canescens.Solo</v>
      </c>
      <c r="K13">
        <v>5</v>
      </c>
      <c r="L13">
        <f>62+84</f>
        <v>146</v>
      </c>
      <c r="M13">
        <v>5</v>
      </c>
      <c r="N13">
        <f>146/5</f>
        <v>29.2</v>
      </c>
      <c r="O13">
        <v>1</v>
      </c>
      <c r="P13">
        <v>15</v>
      </c>
      <c r="Q13">
        <v>14</v>
      </c>
      <c r="R13">
        <v>1</v>
      </c>
      <c r="S13">
        <v>35</v>
      </c>
      <c r="T13">
        <v>21</v>
      </c>
      <c r="U13">
        <f>146+(N13*16)</f>
        <v>613.20000000000005</v>
      </c>
      <c r="V13">
        <v>613</v>
      </c>
      <c r="W13">
        <v>0</v>
      </c>
    </row>
    <row r="14" spans="1:24" x14ac:dyDescent="0.25">
      <c r="A14" t="s">
        <v>68</v>
      </c>
      <c r="B14">
        <v>10</v>
      </c>
      <c r="C14" t="s">
        <v>15</v>
      </c>
      <c r="D14" t="s">
        <v>95</v>
      </c>
      <c r="E14" t="s">
        <v>104</v>
      </c>
      <c r="F14" t="s">
        <v>222</v>
      </c>
      <c r="G14" t="s">
        <v>145</v>
      </c>
      <c r="H14" t="str">
        <f t="shared" si="0"/>
        <v>Shade.Highcomp</v>
      </c>
      <c r="I14" t="str">
        <f t="shared" si="1"/>
        <v>T.cyanopetala.Highcomp</v>
      </c>
      <c r="J14" t="str">
        <f t="shared" si="2"/>
        <v>10B.T.cyanopetala.Highcomp</v>
      </c>
      <c r="K14">
        <v>7</v>
      </c>
      <c r="L14">
        <f>8+8+12+4+4+8+10</f>
        <v>54</v>
      </c>
      <c r="M14">
        <v>7</v>
      </c>
      <c r="N14">
        <f>54/7</f>
        <v>7.7142857142857144</v>
      </c>
      <c r="O14">
        <v>1</v>
      </c>
      <c r="P14">
        <v>0</v>
      </c>
      <c r="Q14">
        <v>0</v>
      </c>
      <c r="R14">
        <v>0</v>
      </c>
      <c r="S14">
        <v>8</v>
      </c>
      <c r="T14">
        <v>7</v>
      </c>
      <c r="U14">
        <f>54+(N14)</f>
        <v>61.714285714285715</v>
      </c>
      <c r="V14">
        <v>62</v>
      </c>
      <c r="W14">
        <v>0</v>
      </c>
    </row>
    <row r="15" spans="1:24" x14ac:dyDescent="0.25">
      <c r="A15" t="s">
        <v>68</v>
      </c>
      <c r="B15">
        <v>10</v>
      </c>
      <c r="C15" t="s">
        <v>15</v>
      </c>
      <c r="D15" t="s">
        <v>95</v>
      </c>
      <c r="E15" t="s">
        <v>104</v>
      </c>
      <c r="F15" t="s">
        <v>222</v>
      </c>
      <c r="G15" t="s">
        <v>120</v>
      </c>
      <c r="H15" t="str">
        <f t="shared" si="0"/>
        <v>Shade.Solo</v>
      </c>
      <c r="I15" t="str">
        <f t="shared" si="1"/>
        <v>T.cyanopetala.Solo</v>
      </c>
      <c r="J15" t="str">
        <f t="shared" si="2"/>
        <v>10B.T.cyanopetala.Solo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 t="s">
        <v>188</v>
      </c>
    </row>
    <row r="16" spans="1:24" x14ac:dyDescent="0.25">
      <c r="A16" t="s">
        <v>69</v>
      </c>
      <c r="B16">
        <v>10</v>
      </c>
      <c r="C16" t="s">
        <v>17</v>
      </c>
      <c r="D16" t="s">
        <v>95</v>
      </c>
      <c r="E16" t="s">
        <v>102</v>
      </c>
      <c r="F16" t="s">
        <v>221</v>
      </c>
      <c r="G16" t="s">
        <v>145</v>
      </c>
      <c r="H16" t="str">
        <f t="shared" si="0"/>
        <v>Shade.Highcomp</v>
      </c>
      <c r="I16" t="str">
        <f t="shared" si="1"/>
        <v>A.calendula.Highcomp</v>
      </c>
      <c r="J16" t="str">
        <f t="shared" si="2"/>
        <v>10C.A.calendula.Highcomp</v>
      </c>
      <c r="K16">
        <v>4</v>
      </c>
      <c r="L16">
        <f>35+32+20+19</f>
        <v>106</v>
      </c>
      <c r="M16">
        <v>4</v>
      </c>
      <c r="N16">
        <f>106/4</f>
        <v>26.5</v>
      </c>
      <c r="O16">
        <v>11</v>
      </c>
      <c r="P16">
        <v>0</v>
      </c>
      <c r="Q16">
        <v>1</v>
      </c>
      <c r="R16">
        <v>0</v>
      </c>
      <c r="S16">
        <v>16</v>
      </c>
      <c r="T16">
        <v>15</v>
      </c>
      <c r="U16">
        <f>106+(N16*11)</f>
        <v>397.5</v>
      </c>
      <c r="V16">
        <v>398</v>
      </c>
      <c r="W16">
        <v>0</v>
      </c>
    </row>
    <row r="17" spans="1:24" x14ac:dyDescent="0.25">
      <c r="A17" t="s">
        <v>69</v>
      </c>
      <c r="B17">
        <v>10</v>
      </c>
      <c r="C17" t="s">
        <v>17</v>
      </c>
      <c r="D17" t="s">
        <v>95</v>
      </c>
      <c r="E17" t="s">
        <v>102</v>
      </c>
      <c r="F17" t="s">
        <v>221</v>
      </c>
      <c r="G17" t="s">
        <v>120</v>
      </c>
      <c r="H17" t="str">
        <f t="shared" si="0"/>
        <v>Shade.Solo</v>
      </c>
      <c r="I17" t="str">
        <f t="shared" si="1"/>
        <v>A.calendula.Solo</v>
      </c>
      <c r="J17" t="str">
        <f t="shared" si="2"/>
        <v>10C.A.calendula.Solo</v>
      </c>
      <c r="K17">
        <v>2</v>
      </c>
      <c r="L17">
        <f>44+32</f>
        <v>76</v>
      </c>
      <c r="M17">
        <v>2</v>
      </c>
      <c r="N17">
        <f>76/2</f>
        <v>38</v>
      </c>
      <c r="O17">
        <v>3</v>
      </c>
      <c r="P17">
        <v>0</v>
      </c>
      <c r="Q17">
        <v>0</v>
      </c>
      <c r="R17">
        <v>0</v>
      </c>
      <c r="S17">
        <v>5</v>
      </c>
      <c r="T17">
        <v>5</v>
      </c>
      <c r="U17">
        <f>76+(3*N17)</f>
        <v>190</v>
      </c>
      <c r="V17">
        <v>190</v>
      </c>
      <c r="W17">
        <v>0</v>
      </c>
    </row>
    <row r="18" spans="1:24" x14ac:dyDescent="0.25">
      <c r="A18" t="s">
        <v>69</v>
      </c>
      <c r="B18">
        <v>10</v>
      </c>
      <c r="C18" t="s">
        <v>17</v>
      </c>
      <c r="D18" t="s">
        <v>95</v>
      </c>
      <c r="E18" t="s">
        <v>113</v>
      </c>
      <c r="F18" t="s">
        <v>222</v>
      </c>
      <c r="G18" t="s">
        <v>145</v>
      </c>
      <c r="H18" t="str">
        <f t="shared" si="0"/>
        <v>Shade.Highcomp</v>
      </c>
      <c r="I18" t="str">
        <f t="shared" si="1"/>
        <v>H.glutinosum.Highcomp</v>
      </c>
      <c r="J18" t="str">
        <f t="shared" si="2"/>
        <v>10C.H.glutinosum.Highcomp</v>
      </c>
      <c r="K18">
        <v>3</v>
      </c>
      <c r="L18">
        <v>5</v>
      </c>
      <c r="M18">
        <v>3</v>
      </c>
      <c r="N18">
        <f>5/3</f>
        <v>1.6666666666666667</v>
      </c>
      <c r="O18">
        <v>0</v>
      </c>
      <c r="P18">
        <v>0</v>
      </c>
      <c r="Q18">
        <v>0</v>
      </c>
      <c r="R18">
        <v>0</v>
      </c>
      <c r="S18">
        <v>3</v>
      </c>
      <c r="T18">
        <v>3</v>
      </c>
      <c r="U18">
        <v>5</v>
      </c>
      <c r="V18">
        <v>5</v>
      </c>
      <c r="W18">
        <v>0</v>
      </c>
    </row>
    <row r="19" spans="1:24" x14ac:dyDescent="0.25">
      <c r="A19" t="s">
        <v>69</v>
      </c>
      <c r="B19">
        <v>10</v>
      </c>
      <c r="C19" t="s">
        <v>17</v>
      </c>
      <c r="D19" t="s">
        <v>95</v>
      </c>
      <c r="E19" t="s">
        <v>113</v>
      </c>
      <c r="F19" t="s">
        <v>222</v>
      </c>
      <c r="G19" t="s">
        <v>120</v>
      </c>
      <c r="H19" t="str">
        <f t="shared" si="0"/>
        <v>Shade.Solo</v>
      </c>
      <c r="I19" t="str">
        <f t="shared" si="1"/>
        <v>H.glutinosum.Solo</v>
      </c>
      <c r="J19" t="str">
        <f t="shared" si="2"/>
        <v>10C.H.glutinosum.Solo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 t="s">
        <v>188</v>
      </c>
    </row>
    <row r="20" spans="1:24" x14ac:dyDescent="0.25">
      <c r="A20" t="s">
        <v>69</v>
      </c>
      <c r="B20">
        <v>10</v>
      </c>
      <c r="C20" t="s">
        <v>17</v>
      </c>
      <c r="D20" t="s">
        <v>95</v>
      </c>
      <c r="E20" t="s">
        <v>103</v>
      </c>
      <c r="F20" t="s">
        <v>221</v>
      </c>
      <c r="G20" t="s">
        <v>145</v>
      </c>
      <c r="H20" t="str">
        <f t="shared" si="0"/>
        <v>Shade.Highcomp</v>
      </c>
      <c r="I20" t="str">
        <f t="shared" si="1"/>
        <v>P.airoides.Highcomp</v>
      </c>
      <c r="J20" t="str">
        <f t="shared" si="2"/>
        <v>10C.P.airoides.Highcomp</v>
      </c>
      <c r="K20">
        <v>6</v>
      </c>
      <c r="L20">
        <f>34+73+67+86+90+87</f>
        <v>437</v>
      </c>
      <c r="M20">
        <v>6</v>
      </c>
      <c r="N20">
        <f>437/6</f>
        <v>72.833333333333329</v>
      </c>
      <c r="O20">
        <v>0</v>
      </c>
      <c r="P20">
        <v>0</v>
      </c>
      <c r="Q20">
        <v>0</v>
      </c>
      <c r="R20">
        <v>0</v>
      </c>
      <c r="S20">
        <v>6</v>
      </c>
      <c r="T20">
        <v>6</v>
      </c>
      <c r="U20">
        <v>437</v>
      </c>
      <c r="V20">
        <v>437</v>
      </c>
      <c r="W20">
        <v>0</v>
      </c>
    </row>
    <row r="21" spans="1:24" x14ac:dyDescent="0.25">
      <c r="A21" t="s">
        <v>69</v>
      </c>
      <c r="B21">
        <v>10</v>
      </c>
      <c r="C21" t="s">
        <v>17</v>
      </c>
      <c r="D21" t="s">
        <v>95</v>
      </c>
      <c r="E21" t="s">
        <v>103</v>
      </c>
      <c r="F21" t="s">
        <v>221</v>
      </c>
      <c r="G21" t="s">
        <v>120</v>
      </c>
      <c r="H21" t="str">
        <f t="shared" si="0"/>
        <v>Shade.Solo</v>
      </c>
      <c r="I21" t="str">
        <f t="shared" si="1"/>
        <v>P.airoides.Solo</v>
      </c>
      <c r="J21" t="str">
        <f t="shared" si="2"/>
        <v>10C.P.airoides.Solo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 t="s">
        <v>188</v>
      </c>
    </row>
    <row r="22" spans="1:24" x14ac:dyDescent="0.25">
      <c r="A22" t="s">
        <v>69</v>
      </c>
      <c r="B22">
        <v>10</v>
      </c>
      <c r="C22" t="s">
        <v>17</v>
      </c>
      <c r="D22" t="s">
        <v>95</v>
      </c>
      <c r="E22" t="s">
        <v>111</v>
      </c>
      <c r="F22" t="s">
        <v>222</v>
      </c>
      <c r="G22" t="s">
        <v>145</v>
      </c>
      <c r="H22" t="str">
        <f t="shared" si="0"/>
        <v>Shade.Highcomp</v>
      </c>
      <c r="I22" t="str">
        <f t="shared" si="1"/>
        <v>P.canescens.Highcomp</v>
      </c>
      <c r="J22" t="str">
        <f t="shared" si="2"/>
        <v>10C.P.canescens.Highcomp</v>
      </c>
      <c r="K22">
        <v>3</v>
      </c>
      <c r="L22">
        <f>73+50</f>
        <v>123</v>
      </c>
      <c r="M22">
        <v>3</v>
      </c>
      <c r="N22">
        <f>123/3</f>
        <v>41</v>
      </c>
      <c r="O22">
        <v>0</v>
      </c>
      <c r="P22">
        <v>0</v>
      </c>
      <c r="Q22">
        <v>3</v>
      </c>
      <c r="R22">
        <v>1</v>
      </c>
      <c r="S22">
        <v>6</v>
      </c>
      <c r="T22">
        <v>3</v>
      </c>
      <c r="U22">
        <v>123</v>
      </c>
      <c r="V22">
        <v>123</v>
      </c>
      <c r="W22">
        <v>0</v>
      </c>
    </row>
    <row r="23" spans="1:24" x14ac:dyDescent="0.25">
      <c r="A23" t="s">
        <v>69</v>
      </c>
      <c r="B23">
        <v>10</v>
      </c>
      <c r="C23" t="s">
        <v>17</v>
      </c>
      <c r="D23" t="s">
        <v>95</v>
      </c>
      <c r="E23" t="s">
        <v>111</v>
      </c>
      <c r="F23" t="s">
        <v>222</v>
      </c>
      <c r="G23" t="s">
        <v>120</v>
      </c>
      <c r="H23" t="str">
        <f t="shared" si="0"/>
        <v>Shade.Solo</v>
      </c>
      <c r="I23" t="str">
        <f t="shared" si="1"/>
        <v>P.canescens.Solo</v>
      </c>
      <c r="J23" t="str">
        <f t="shared" si="2"/>
        <v>10C.P.canescens.Solo</v>
      </c>
      <c r="K23">
        <v>7</v>
      </c>
      <c r="L23">
        <f>46+13+10+74</f>
        <v>143</v>
      </c>
      <c r="M23">
        <v>7</v>
      </c>
      <c r="N23">
        <f>143/7</f>
        <v>20.428571428571427</v>
      </c>
      <c r="O23">
        <v>0</v>
      </c>
      <c r="P23">
        <v>5</v>
      </c>
      <c r="Q23">
        <v>7</v>
      </c>
      <c r="R23">
        <v>1</v>
      </c>
      <c r="S23">
        <v>19</v>
      </c>
      <c r="T23">
        <v>12</v>
      </c>
      <c r="U23">
        <f>143+(5*N23)</f>
        <v>245.14285714285714</v>
      </c>
      <c r="V23">
        <v>245</v>
      </c>
      <c r="W23">
        <v>0</v>
      </c>
    </row>
    <row r="24" spans="1:24" x14ac:dyDescent="0.25">
      <c r="A24" t="s">
        <v>69</v>
      </c>
      <c r="B24">
        <v>10</v>
      </c>
      <c r="C24" t="s">
        <v>17</v>
      </c>
      <c r="D24" t="s">
        <v>95</v>
      </c>
      <c r="E24" t="s">
        <v>112</v>
      </c>
      <c r="F24" t="s">
        <v>222</v>
      </c>
      <c r="G24" t="s">
        <v>145</v>
      </c>
      <c r="H24" t="str">
        <f t="shared" si="0"/>
        <v>Shade.Highcomp</v>
      </c>
      <c r="I24" t="str">
        <f t="shared" si="1"/>
        <v>V.rosea.Highcomp</v>
      </c>
      <c r="J24" t="str">
        <f t="shared" si="2"/>
        <v>10C.V.rosea.Highcomp</v>
      </c>
      <c r="K24">
        <v>8</v>
      </c>
      <c r="L24">
        <f>6+4+6+4+5+4+5+7</f>
        <v>41</v>
      </c>
      <c r="M24">
        <v>8</v>
      </c>
      <c r="N24">
        <f>41/8</f>
        <v>5.125</v>
      </c>
      <c r="O24">
        <v>7</v>
      </c>
      <c r="P24">
        <v>0</v>
      </c>
      <c r="Q24">
        <v>0</v>
      </c>
      <c r="R24">
        <v>0</v>
      </c>
      <c r="S24">
        <v>15</v>
      </c>
      <c r="T24">
        <v>15</v>
      </c>
      <c r="U24">
        <f>41+(N24*7)</f>
        <v>76.875</v>
      </c>
      <c r="V24">
        <v>77</v>
      </c>
      <c r="W24">
        <v>1</v>
      </c>
      <c r="X24" t="s">
        <v>191</v>
      </c>
    </row>
    <row r="25" spans="1:24" x14ac:dyDescent="0.25">
      <c r="A25" t="s">
        <v>69</v>
      </c>
      <c r="B25">
        <v>10</v>
      </c>
      <c r="C25" t="s">
        <v>17</v>
      </c>
      <c r="D25" t="s">
        <v>95</v>
      </c>
      <c r="E25" t="s">
        <v>112</v>
      </c>
      <c r="F25" t="s">
        <v>222</v>
      </c>
      <c r="G25" t="s">
        <v>120</v>
      </c>
      <c r="H25" t="str">
        <f t="shared" si="0"/>
        <v>Shade.Solo</v>
      </c>
      <c r="I25" t="str">
        <f t="shared" si="1"/>
        <v>V.rosea.Solo</v>
      </c>
      <c r="J25" t="str">
        <f t="shared" si="2"/>
        <v>10C.V.rosea.Solo</v>
      </c>
      <c r="K25">
        <v>7</v>
      </c>
      <c r="L25">
        <f>4+6+6+6+5+4+6</f>
        <v>37</v>
      </c>
      <c r="M25">
        <v>7</v>
      </c>
      <c r="N25">
        <f>37/7</f>
        <v>5.2857142857142856</v>
      </c>
      <c r="O25">
        <v>0</v>
      </c>
      <c r="P25">
        <v>0</v>
      </c>
      <c r="Q25">
        <v>0</v>
      </c>
      <c r="R25">
        <v>0</v>
      </c>
      <c r="S25">
        <v>7</v>
      </c>
      <c r="T25">
        <v>7</v>
      </c>
      <c r="U25">
        <v>37</v>
      </c>
      <c r="V25">
        <v>37</v>
      </c>
      <c r="W25">
        <v>1</v>
      </c>
      <c r="X25" t="s">
        <v>191</v>
      </c>
    </row>
    <row r="26" spans="1:24" x14ac:dyDescent="0.25">
      <c r="A26" t="s">
        <v>70</v>
      </c>
      <c r="B26">
        <v>10</v>
      </c>
      <c r="C26" t="s">
        <v>19</v>
      </c>
      <c r="D26" t="s">
        <v>95</v>
      </c>
      <c r="E26" t="s">
        <v>102</v>
      </c>
      <c r="F26" t="s">
        <v>221</v>
      </c>
      <c r="G26" t="s">
        <v>145</v>
      </c>
      <c r="H26" t="str">
        <f t="shared" si="0"/>
        <v>Shade.Highcomp</v>
      </c>
      <c r="I26" t="str">
        <f t="shared" si="1"/>
        <v>A.calendula.Highcomp</v>
      </c>
      <c r="J26" t="str">
        <f t="shared" si="2"/>
        <v>10D.A.calendula.Highcomp</v>
      </c>
      <c r="K26">
        <v>4</v>
      </c>
      <c r="L26">
        <f>41+38+41+16</f>
        <v>136</v>
      </c>
      <c r="M26">
        <v>4</v>
      </c>
      <c r="N26">
        <f>136/4</f>
        <v>34</v>
      </c>
      <c r="O26">
        <v>5</v>
      </c>
      <c r="P26">
        <v>0</v>
      </c>
      <c r="Q26">
        <v>0</v>
      </c>
      <c r="R26">
        <v>0</v>
      </c>
      <c r="S26">
        <v>9</v>
      </c>
      <c r="T26">
        <v>9</v>
      </c>
      <c r="U26">
        <f>136+(5*34)</f>
        <v>306</v>
      </c>
      <c r="V26">
        <v>306</v>
      </c>
      <c r="W26">
        <v>0</v>
      </c>
    </row>
    <row r="27" spans="1:24" x14ac:dyDescent="0.25">
      <c r="A27" t="s">
        <v>70</v>
      </c>
      <c r="B27">
        <v>10</v>
      </c>
      <c r="C27" t="s">
        <v>19</v>
      </c>
      <c r="D27" t="s">
        <v>95</v>
      </c>
      <c r="E27" t="s">
        <v>102</v>
      </c>
      <c r="F27" t="s">
        <v>221</v>
      </c>
      <c r="G27" t="s">
        <v>120</v>
      </c>
      <c r="H27" t="str">
        <f t="shared" si="0"/>
        <v>Shade.Solo</v>
      </c>
      <c r="I27" t="str">
        <f t="shared" si="1"/>
        <v>A.calendula.Solo</v>
      </c>
      <c r="J27" t="str">
        <f t="shared" si="2"/>
        <v>10D.A.calendula.Solo</v>
      </c>
      <c r="K27">
        <v>2</v>
      </c>
      <c r="L27">
        <v>62</v>
      </c>
      <c r="M27">
        <v>2</v>
      </c>
      <c r="N27">
        <v>31</v>
      </c>
      <c r="O27">
        <v>2</v>
      </c>
      <c r="P27">
        <v>0</v>
      </c>
      <c r="Q27">
        <v>1</v>
      </c>
      <c r="R27">
        <v>0</v>
      </c>
      <c r="S27">
        <v>5</v>
      </c>
      <c r="T27">
        <v>4</v>
      </c>
      <c r="U27">
        <f>62+(2*N27)</f>
        <v>124</v>
      </c>
      <c r="V27">
        <v>124</v>
      </c>
      <c r="W27">
        <v>0</v>
      </c>
    </row>
    <row r="28" spans="1:24" x14ac:dyDescent="0.25">
      <c r="A28" t="s">
        <v>70</v>
      </c>
      <c r="B28">
        <v>10</v>
      </c>
      <c r="C28" t="s">
        <v>19</v>
      </c>
      <c r="D28" t="s">
        <v>95</v>
      </c>
      <c r="E28" t="s">
        <v>105</v>
      </c>
      <c r="F28" t="s">
        <v>221</v>
      </c>
      <c r="G28" t="s">
        <v>145</v>
      </c>
      <c r="H28" t="str">
        <f t="shared" si="0"/>
        <v>Shade.Highcomp</v>
      </c>
      <c r="I28" t="str">
        <f t="shared" si="1"/>
        <v>H.glabra.Highcomp</v>
      </c>
      <c r="J28" t="str">
        <f t="shared" si="2"/>
        <v>10D.H.glabra.Highcomp</v>
      </c>
      <c r="K28">
        <v>0</v>
      </c>
      <c r="L28">
        <v>0</v>
      </c>
      <c r="M28">
        <v>0</v>
      </c>
      <c r="N28" t="s">
        <v>114</v>
      </c>
      <c r="O28">
        <v>1</v>
      </c>
      <c r="P28">
        <v>0</v>
      </c>
      <c r="Q28">
        <v>0</v>
      </c>
      <c r="R28">
        <v>0</v>
      </c>
      <c r="S28">
        <v>1</v>
      </c>
      <c r="T28">
        <v>1</v>
      </c>
      <c r="U28" t="s">
        <v>114</v>
      </c>
      <c r="V28" t="s">
        <v>114</v>
      </c>
      <c r="W28">
        <v>0</v>
      </c>
    </row>
    <row r="29" spans="1:24" x14ac:dyDescent="0.25">
      <c r="A29" t="s">
        <v>70</v>
      </c>
      <c r="B29">
        <v>10</v>
      </c>
      <c r="C29" t="s">
        <v>19</v>
      </c>
      <c r="D29" t="s">
        <v>95</v>
      </c>
      <c r="E29" t="s">
        <v>105</v>
      </c>
      <c r="F29" t="s">
        <v>221</v>
      </c>
      <c r="G29" t="s">
        <v>120</v>
      </c>
      <c r="H29" t="str">
        <f t="shared" si="0"/>
        <v>Shade.Solo</v>
      </c>
      <c r="I29" t="str">
        <f t="shared" si="1"/>
        <v>H.glabra.Solo</v>
      </c>
      <c r="J29" t="str">
        <f t="shared" si="2"/>
        <v>10D.H.glabra.Solo</v>
      </c>
      <c r="K29">
        <v>2</v>
      </c>
      <c r="L29">
        <f>96+67</f>
        <v>163</v>
      </c>
      <c r="M29">
        <v>2</v>
      </c>
      <c r="N29">
        <v>81.5</v>
      </c>
      <c r="O29">
        <v>2</v>
      </c>
      <c r="P29">
        <v>1</v>
      </c>
      <c r="Q29">
        <v>0</v>
      </c>
      <c r="R29">
        <v>0</v>
      </c>
      <c r="S29">
        <v>5</v>
      </c>
      <c r="T29">
        <v>4</v>
      </c>
      <c r="U29">
        <f>163+(2*N29)</f>
        <v>326</v>
      </c>
      <c r="V29">
        <v>326</v>
      </c>
      <c r="W29">
        <v>0</v>
      </c>
    </row>
    <row r="30" spans="1:24" x14ac:dyDescent="0.25">
      <c r="A30" t="s">
        <v>70</v>
      </c>
      <c r="B30">
        <v>10</v>
      </c>
      <c r="C30" t="s">
        <v>19</v>
      </c>
      <c r="D30" t="s">
        <v>95</v>
      </c>
      <c r="E30" t="s">
        <v>111</v>
      </c>
      <c r="F30" t="s">
        <v>222</v>
      </c>
      <c r="G30" t="s">
        <v>145</v>
      </c>
      <c r="H30" t="str">
        <f t="shared" si="0"/>
        <v>Shade.Highcomp</v>
      </c>
      <c r="I30" t="str">
        <f t="shared" si="1"/>
        <v>P.canescens.Highcomp</v>
      </c>
      <c r="J30" t="str">
        <f t="shared" si="2"/>
        <v>10D.P.canescens.Highcomp</v>
      </c>
      <c r="K30">
        <v>5</v>
      </c>
      <c r="L30">
        <f>162+108+105+13+47</f>
        <v>435</v>
      </c>
      <c r="M30">
        <v>5</v>
      </c>
      <c r="N30">
        <f>L30/5</f>
        <v>87</v>
      </c>
      <c r="O30">
        <v>0</v>
      </c>
      <c r="P30">
        <v>20</v>
      </c>
      <c r="Q30">
        <v>17</v>
      </c>
      <c r="R30">
        <v>0</v>
      </c>
      <c r="S30">
        <v>42</v>
      </c>
      <c r="T30">
        <v>25</v>
      </c>
      <c r="U30">
        <f>435+(10*N30)</f>
        <v>1305</v>
      </c>
      <c r="V30">
        <v>1305</v>
      </c>
      <c r="W30">
        <v>0</v>
      </c>
    </row>
    <row r="31" spans="1:24" x14ac:dyDescent="0.25">
      <c r="A31" t="s">
        <v>70</v>
      </c>
      <c r="B31">
        <v>10</v>
      </c>
      <c r="C31" t="s">
        <v>19</v>
      </c>
      <c r="D31" t="s">
        <v>95</v>
      </c>
      <c r="E31" t="s">
        <v>111</v>
      </c>
      <c r="F31" t="s">
        <v>222</v>
      </c>
      <c r="G31" t="s">
        <v>120</v>
      </c>
      <c r="H31" t="str">
        <f t="shared" si="0"/>
        <v>Shade.Solo</v>
      </c>
      <c r="I31" t="str">
        <f t="shared" si="1"/>
        <v>P.canescens.Solo</v>
      </c>
      <c r="J31" t="str">
        <f t="shared" si="2"/>
        <v>10D.P.canescens.Solo</v>
      </c>
      <c r="K31">
        <v>4</v>
      </c>
      <c r="L31">
        <f>68+54+43+62</f>
        <v>227</v>
      </c>
      <c r="M31">
        <v>4</v>
      </c>
      <c r="N31">
        <f>227/4</f>
        <v>56.75</v>
      </c>
      <c r="O31">
        <v>1</v>
      </c>
      <c r="P31">
        <v>10</v>
      </c>
      <c r="Q31">
        <v>7</v>
      </c>
      <c r="R31">
        <v>0</v>
      </c>
      <c r="S31">
        <v>22</v>
      </c>
      <c r="T31">
        <v>15</v>
      </c>
      <c r="U31">
        <f>227+(11*N31)</f>
        <v>851.25</v>
      </c>
      <c r="V31">
        <v>851</v>
      </c>
      <c r="W31">
        <v>0</v>
      </c>
    </row>
    <row r="32" spans="1:24" x14ac:dyDescent="0.25">
      <c r="A32" t="s">
        <v>71</v>
      </c>
      <c r="B32">
        <v>10</v>
      </c>
      <c r="C32" t="s">
        <v>21</v>
      </c>
      <c r="D32" t="s">
        <v>94</v>
      </c>
      <c r="E32" t="s">
        <v>102</v>
      </c>
      <c r="F32" t="s">
        <v>221</v>
      </c>
      <c r="G32" t="s">
        <v>145</v>
      </c>
      <c r="H32" t="str">
        <f t="shared" si="0"/>
        <v>Open.Highcomp</v>
      </c>
      <c r="I32" t="str">
        <f t="shared" si="1"/>
        <v>A.calendula.Highcomp</v>
      </c>
      <c r="J32" t="str">
        <f t="shared" si="2"/>
        <v>10E.A.calendula.Highcomp</v>
      </c>
      <c r="K32">
        <v>4</v>
      </c>
      <c r="L32">
        <f>45+21+22+18</f>
        <v>106</v>
      </c>
      <c r="M32">
        <v>4</v>
      </c>
      <c r="N32">
        <f>106/4</f>
        <v>26.5</v>
      </c>
      <c r="O32">
        <v>18</v>
      </c>
      <c r="P32">
        <v>0</v>
      </c>
      <c r="Q32">
        <v>0</v>
      </c>
      <c r="R32">
        <v>0</v>
      </c>
      <c r="S32">
        <v>22</v>
      </c>
      <c r="T32">
        <v>22</v>
      </c>
      <c r="U32">
        <f>106+(18*N32)</f>
        <v>583</v>
      </c>
      <c r="V32">
        <v>583</v>
      </c>
      <c r="W32">
        <v>0</v>
      </c>
    </row>
    <row r="33" spans="1:24" x14ac:dyDescent="0.25">
      <c r="A33" t="s">
        <v>71</v>
      </c>
      <c r="B33">
        <v>10</v>
      </c>
      <c r="C33" t="s">
        <v>21</v>
      </c>
      <c r="D33" t="s">
        <v>94</v>
      </c>
      <c r="E33" t="s">
        <v>102</v>
      </c>
      <c r="F33" t="s">
        <v>221</v>
      </c>
      <c r="G33" t="s">
        <v>120</v>
      </c>
      <c r="H33" t="str">
        <f t="shared" si="0"/>
        <v>Open.Solo</v>
      </c>
      <c r="I33" t="str">
        <f t="shared" si="1"/>
        <v>A.calendula.Solo</v>
      </c>
      <c r="J33" t="str">
        <f t="shared" si="2"/>
        <v>10E.A.calendula.Solo</v>
      </c>
      <c r="K33">
        <v>7</v>
      </c>
      <c r="L33">
        <f>18+39+19</f>
        <v>76</v>
      </c>
      <c r="M33">
        <v>3</v>
      </c>
      <c r="N33">
        <f>76/3</f>
        <v>25.333333333333332</v>
      </c>
      <c r="O33">
        <v>9</v>
      </c>
      <c r="P33">
        <v>0</v>
      </c>
      <c r="Q33">
        <v>0</v>
      </c>
      <c r="R33">
        <v>0</v>
      </c>
      <c r="S33">
        <v>16</v>
      </c>
      <c r="T33">
        <v>16</v>
      </c>
      <c r="U33">
        <f>76+(13*N33)</f>
        <v>405.33333333333331</v>
      </c>
      <c r="V33">
        <v>405</v>
      </c>
      <c r="W33">
        <v>0</v>
      </c>
    </row>
    <row r="34" spans="1:24" x14ac:dyDescent="0.25">
      <c r="A34" t="s">
        <v>71</v>
      </c>
      <c r="B34">
        <v>10</v>
      </c>
      <c r="C34" t="s">
        <v>21</v>
      </c>
      <c r="D34" t="s">
        <v>94</v>
      </c>
      <c r="E34" t="s">
        <v>111</v>
      </c>
      <c r="F34" t="s">
        <v>222</v>
      </c>
      <c r="G34" t="s">
        <v>145</v>
      </c>
      <c r="H34" t="str">
        <f t="shared" si="0"/>
        <v>Open.Highcomp</v>
      </c>
      <c r="I34" t="str">
        <f t="shared" si="1"/>
        <v>P.canescens.Highcomp</v>
      </c>
      <c r="J34" t="str">
        <f t="shared" si="2"/>
        <v>10E.P.canescens.Highcomp</v>
      </c>
      <c r="K34">
        <v>12</v>
      </c>
      <c r="L34">
        <f>145+148+51+68+122+138+140+129</f>
        <v>941</v>
      </c>
      <c r="M34">
        <v>9</v>
      </c>
      <c r="N34">
        <f>941/9</f>
        <v>104.55555555555556</v>
      </c>
      <c r="O34">
        <v>0</v>
      </c>
      <c r="P34">
        <v>18</v>
      </c>
      <c r="Q34">
        <v>11</v>
      </c>
      <c r="R34">
        <v>1</v>
      </c>
      <c r="S34">
        <v>41</v>
      </c>
      <c r="T34">
        <v>30</v>
      </c>
      <c r="U34">
        <f>941+(21*N34)</f>
        <v>3136.6666666666665</v>
      </c>
      <c r="V34">
        <v>3137</v>
      </c>
      <c r="W34">
        <v>0</v>
      </c>
    </row>
    <row r="35" spans="1:24" x14ac:dyDescent="0.25">
      <c r="A35" t="s">
        <v>71</v>
      </c>
      <c r="B35">
        <v>10</v>
      </c>
      <c r="C35" t="s">
        <v>21</v>
      </c>
      <c r="D35" t="s">
        <v>94</v>
      </c>
      <c r="E35" t="s">
        <v>111</v>
      </c>
      <c r="F35" t="s">
        <v>222</v>
      </c>
      <c r="G35" t="s">
        <v>120</v>
      </c>
      <c r="H35" t="str">
        <f t="shared" si="0"/>
        <v>Open.Solo</v>
      </c>
      <c r="I35" t="str">
        <f t="shared" si="1"/>
        <v>P.canescens.Solo</v>
      </c>
      <c r="J35" t="str">
        <f t="shared" si="2"/>
        <v>10E.P.canescens.Solo</v>
      </c>
      <c r="K35">
        <v>7</v>
      </c>
      <c r="L35">
        <f>70+137+22</f>
        <v>229</v>
      </c>
      <c r="M35">
        <v>4</v>
      </c>
      <c r="N35">
        <f>229/4</f>
        <v>57.25</v>
      </c>
      <c r="O35">
        <v>0</v>
      </c>
      <c r="P35">
        <v>37</v>
      </c>
      <c r="Q35">
        <v>7</v>
      </c>
      <c r="R35">
        <v>0</v>
      </c>
      <c r="S35">
        <v>51</v>
      </c>
      <c r="T35">
        <v>44</v>
      </c>
      <c r="U35">
        <f>L35+(40*N35)</f>
        <v>2519</v>
      </c>
      <c r="V35">
        <v>2519</v>
      </c>
      <c r="W35">
        <v>0</v>
      </c>
    </row>
    <row r="36" spans="1:24" x14ac:dyDescent="0.25">
      <c r="A36" t="s">
        <v>71</v>
      </c>
      <c r="B36">
        <v>10</v>
      </c>
      <c r="C36" t="s">
        <v>21</v>
      </c>
      <c r="D36" t="s">
        <v>94</v>
      </c>
      <c r="E36" t="s">
        <v>104</v>
      </c>
      <c r="F36" t="s">
        <v>222</v>
      </c>
      <c r="G36" t="s">
        <v>145</v>
      </c>
      <c r="H36" t="str">
        <f t="shared" si="0"/>
        <v>Open.Highcomp</v>
      </c>
      <c r="I36" t="str">
        <f t="shared" si="1"/>
        <v>T.cyanopetala.Highcomp</v>
      </c>
      <c r="J36" t="str">
        <f t="shared" si="2"/>
        <v>10E.T.cyanopetala.Highcomp</v>
      </c>
      <c r="K36">
        <v>3</v>
      </c>
      <c r="L36">
        <v>8</v>
      </c>
      <c r="M36">
        <v>3</v>
      </c>
      <c r="N36">
        <f>8/3</f>
        <v>2.6666666666666665</v>
      </c>
      <c r="O36">
        <v>0</v>
      </c>
      <c r="P36">
        <v>0</v>
      </c>
      <c r="Q36">
        <v>0</v>
      </c>
      <c r="R36">
        <v>0</v>
      </c>
      <c r="S36">
        <v>3</v>
      </c>
      <c r="T36">
        <v>3</v>
      </c>
      <c r="U36">
        <v>8</v>
      </c>
      <c r="V36">
        <v>8</v>
      </c>
      <c r="W36">
        <v>0</v>
      </c>
    </row>
    <row r="37" spans="1:24" x14ac:dyDescent="0.25">
      <c r="A37" t="s">
        <v>71</v>
      </c>
      <c r="B37">
        <v>10</v>
      </c>
      <c r="C37" t="s">
        <v>21</v>
      </c>
      <c r="D37" t="s">
        <v>94</v>
      </c>
      <c r="E37" t="s">
        <v>104</v>
      </c>
      <c r="F37" t="s">
        <v>222</v>
      </c>
      <c r="G37" t="s">
        <v>120</v>
      </c>
      <c r="H37" t="str">
        <f t="shared" si="0"/>
        <v>Open.Solo</v>
      </c>
      <c r="I37" t="str">
        <f t="shared" si="1"/>
        <v>T.cyanopetala.Solo</v>
      </c>
      <c r="J37" t="str">
        <f t="shared" si="2"/>
        <v>10E.T.cyanopetala.Solo</v>
      </c>
      <c r="K37">
        <v>28</v>
      </c>
      <c r="L37">
        <f>66+40+4+40</f>
        <v>150</v>
      </c>
      <c r="M37">
        <f>28</f>
        <v>28</v>
      </c>
      <c r="N37">
        <f>150/28</f>
        <v>5.3571428571428568</v>
      </c>
      <c r="O37">
        <v>0</v>
      </c>
      <c r="P37">
        <v>0</v>
      </c>
      <c r="Q37">
        <v>0</v>
      </c>
      <c r="R37">
        <v>0</v>
      </c>
      <c r="S37">
        <v>28</v>
      </c>
      <c r="T37">
        <v>28</v>
      </c>
      <c r="U37">
        <v>150</v>
      </c>
      <c r="V37">
        <v>150</v>
      </c>
      <c r="W37">
        <v>0</v>
      </c>
    </row>
    <row r="38" spans="1:24" x14ac:dyDescent="0.25">
      <c r="A38" t="s">
        <v>72</v>
      </c>
      <c r="B38">
        <v>10</v>
      </c>
      <c r="C38" t="s">
        <v>23</v>
      </c>
      <c r="D38" t="s">
        <v>95</v>
      </c>
      <c r="E38" t="s">
        <v>105</v>
      </c>
      <c r="F38" t="s">
        <v>221</v>
      </c>
      <c r="G38" t="s">
        <v>145</v>
      </c>
      <c r="H38" t="str">
        <f t="shared" si="0"/>
        <v>Shade.Highcomp</v>
      </c>
      <c r="I38" t="str">
        <f t="shared" si="1"/>
        <v>H.glabra.Highcomp</v>
      </c>
      <c r="J38" t="str">
        <f t="shared" si="2"/>
        <v>10F.H.glabra.Highcomp</v>
      </c>
      <c r="K38">
        <v>7</v>
      </c>
      <c r="L38">
        <f>42+64+44+35+68+52+48</f>
        <v>353</v>
      </c>
      <c r="M38">
        <v>7</v>
      </c>
      <c r="N38">
        <f>353/7</f>
        <v>50.428571428571431</v>
      </c>
      <c r="O38">
        <v>3</v>
      </c>
      <c r="P38">
        <v>0</v>
      </c>
      <c r="Q38">
        <v>0</v>
      </c>
      <c r="R38">
        <v>0</v>
      </c>
      <c r="S38">
        <v>10</v>
      </c>
      <c r="T38">
        <v>10</v>
      </c>
      <c r="U38">
        <f>353+3*(N38)</f>
        <v>504.28571428571428</v>
      </c>
      <c r="V38">
        <v>504</v>
      </c>
      <c r="W38">
        <v>0</v>
      </c>
    </row>
    <row r="39" spans="1:24" x14ac:dyDescent="0.25">
      <c r="A39" t="s">
        <v>72</v>
      </c>
      <c r="B39">
        <v>10</v>
      </c>
      <c r="C39" t="s">
        <v>23</v>
      </c>
      <c r="D39" t="s">
        <v>95</v>
      </c>
      <c r="E39" t="s">
        <v>105</v>
      </c>
      <c r="F39" t="s">
        <v>221</v>
      </c>
      <c r="G39" t="s">
        <v>120</v>
      </c>
      <c r="H39" t="str">
        <f t="shared" si="0"/>
        <v>Shade.Solo</v>
      </c>
      <c r="I39" t="str">
        <f t="shared" si="1"/>
        <v>H.glabra.Solo</v>
      </c>
      <c r="J39" t="str">
        <f t="shared" si="2"/>
        <v>10F.H.glabra.Solo</v>
      </c>
      <c r="K39">
        <v>3</v>
      </c>
      <c r="L39">
        <f>79</f>
        <v>79</v>
      </c>
      <c r="M39">
        <v>3</v>
      </c>
      <c r="N39">
        <f>79/3</f>
        <v>26.333333333333332</v>
      </c>
      <c r="O39">
        <v>1</v>
      </c>
      <c r="P39">
        <v>0</v>
      </c>
      <c r="Q39">
        <v>0</v>
      </c>
      <c r="R39">
        <v>0</v>
      </c>
      <c r="S39">
        <v>4</v>
      </c>
      <c r="T39">
        <v>4</v>
      </c>
      <c r="U39">
        <f>79+N39</f>
        <v>105.33333333333333</v>
      </c>
      <c r="V39">
        <v>105</v>
      </c>
      <c r="W39">
        <v>0</v>
      </c>
    </row>
    <row r="40" spans="1:24" x14ac:dyDescent="0.25">
      <c r="A40" t="s">
        <v>72</v>
      </c>
      <c r="B40">
        <v>10</v>
      </c>
      <c r="C40" t="s">
        <v>23</v>
      </c>
      <c r="D40" t="s">
        <v>95</v>
      </c>
      <c r="E40" t="s">
        <v>111</v>
      </c>
      <c r="F40" t="s">
        <v>222</v>
      </c>
      <c r="G40" t="s">
        <v>145</v>
      </c>
      <c r="H40" t="str">
        <f t="shared" si="0"/>
        <v>Shade.Highcomp</v>
      </c>
      <c r="I40" t="str">
        <f t="shared" si="1"/>
        <v>P.canescens.Highcomp</v>
      </c>
      <c r="J40" t="str">
        <f t="shared" si="2"/>
        <v>10F.P.canescens.Highcomp</v>
      </c>
      <c r="K40">
        <v>2</v>
      </c>
      <c r="L40">
        <f>61+50</f>
        <v>111</v>
      </c>
      <c r="M40">
        <v>2</v>
      </c>
      <c r="N40">
        <f>111/2</f>
        <v>55.5</v>
      </c>
      <c r="O40">
        <v>0</v>
      </c>
      <c r="P40">
        <v>6</v>
      </c>
      <c r="Q40">
        <v>4</v>
      </c>
      <c r="R40">
        <v>0</v>
      </c>
      <c r="S40">
        <v>12</v>
      </c>
      <c r="T40">
        <v>8</v>
      </c>
      <c r="U40">
        <f>111+(N40*6)</f>
        <v>444</v>
      </c>
      <c r="V40">
        <v>444</v>
      </c>
      <c r="W40">
        <v>0</v>
      </c>
    </row>
    <row r="41" spans="1:24" x14ac:dyDescent="0.25">
      <c r="A41" t="s">
        <v>72</v>
      </c>
      <c r="B41">
        <v>10</v>
      </c>
      <c r="C41" t="s">
        <v>23</v>
      </c>
      <c r="D41" t="s">
        <v>95</v>
      </c>
      <c r="E41" t="s">
        <v>111</v>
      </c>
      <c r="F41" t="s">
        <v>222</v>
      </c>
      <c r="G41" t="s">
        <v>120</v>
      </c>
      <c r="H41" t="str">
        <f t="shared" si="0"/>
        <v>Shade.Solo</v>
      </c>
      <c r="I41" t="str">
        <f t="shared" si="1"/>
        <v>P.canescens.Solo</v>
      </c>
      <c r="J41" t="str">
        <f t="shared" si="2"/>
        <v>10F.P.canescens.Solo</v>
      </c>
      <c r="K41">
        <v>5</v>
      </c>
      <c r="L41">
        <f>35+21+60+85+11</f>
        <v>212</v>
      </c>
      <c r="M41">
        <v>5</v>
      </c>
      <c r="N41">
        <f>212/5</f>
        <v>42.4</v>
      </c>
      <c r="O41">
        <v>0</v>
      </c>
      <c r="P41">
        <v>15</v>
      </c>
      <c r="Q41">
        <v>1</v>
      </c>
      <c r="R41">
        <v>1</v>
      </c>
      <c r="S41">
        <v>21</v>
      </c>
      <c r="T41">
        <v>20</v>
      </c>
      <c r="U41">
        <f>212+(15*42.4)</f>
        <v>848</v>
      </c>
      <c r="V41">
        <v>848</v>
      </c>
      <c r="W41">
        <v>0</v>
      </c>
    </row>
    <row r="42" spans="1:24" x14ac:dyDescent="0.25">
      <c r="A42" t="s">
        <v>72</v>
      </c>
      <c r="B42">
        <v>10</v>
      </c>
      <c r="C42" t="s">
        <v>23</v>
      </c>
      <c r="D42" t="s">
        <v>95</v>
      </c>
      <c r="E42" t="s">
        <v>104</v>
      </c>
      <c r="F42" t="s">
        <v>222</v>
      </c>
      <c r="G42" t="s">
        <v>145</v>
      </c>
      <c r="H42" t="str">
        <f t="shared" si="0"/>
        <v>Shade.Highcomp</v>
      </c>
      <c r="I42" t="str">
        <f t="shared" si="1"/>
        <v>T.cyanopetala.Highcomp</v>
      </c>
      <c r="J42" t="str">
        <f t="shared" si="2"/>
        <v>10F.T.cyanopetala.Highcomp</v>
      </c>
      <c r="K42">
        <v>2</v>
      </c>
      <c r="L42">
        <v>6</v>
      </c>
      <c r="M42">
        <v>2</v>
      </c>
      <c r="N42">
        <v>3</v>
      </c>
      <c r="O42">
        <v>0</v>
      </c>
      <c r="P42">
        <v>0</v>
      </c>
      <c r="Q42">
        <v>0</v>
      </c>
      <c r="R42">
        <v>0</v>
      </c>
      <c r="S42">
        <v>2</v>
      </c>
      <c r="T42">
        <v>2</v>
      </c>
      <c r="U42">
        <v>6</v>
      </c>
      <c r="V42">
        <v>6</v>
      </c>
      <c r="W42">
        <v>0</v>
      </c>
    </row>
    <row r="43" spans="1:24" x14ac:dyDescent="0.25">
      <c r="A43" t="s">
        <v>72</v>
      </c>
      <c r="B43">
        <v>10</v>
      </c>
      <c r="C43" t="s">
        <v>23</v>
      </c>
      <c r="D43" t="s">
        <v>95</v>
      </c>
      <c r="E43" t="s">
        <v>104</v>
      </c>
      <c r="F43" t="s">
        <v>222</v>
      </c>
      <c r="G43" t="s">
        <v>120</v>
      </c>
      <c r="H43" t="str">
        <f t="shared" si="0"/>
        <v>Shade.Solo</v>
      </c>
      <c r="I43" t="str">
        <f t="shared" si="1"/>
        <v>T.cyanopetala.Solo</v>
      </c>
      <c r="J43" t="str">
        <f t="shared" si="2"/>
        <v>10F.T.cyanopetala.Solo</v>
      </c>
      <c r="K43">
        <v>10</v>
      </c>
      <c r="L43">
        <f>4+6+4+4+4+4+6+2+4+4</f>
        <v>42</v>
      </c>
      <c r="M43">
        <v>10</v>
      </c>
      <c r="N43">
        <f>42/10</f>
        <v>4.2</v>
      </c>
      <c r="O43">
        <v>0</v>
      </c>
      <c r="P43">
        <v>0</v>
      </c>
      <c r="Q43">
        <v>0</v>
      </c>
      <c r="R43">
        <v>0</v>
      </c>
      <c r="S43">
        <v>10</v>
      </c>
      <c r="T43">
        <v>10</v>
      </c>
      <c r="U43">
        <v>42</v>
      </c>
      <c r="V43">
        <v>42</v>
      </c>
      <c r="W43">
        <v>0</v>
      </c>
    </row>
    <row r="44" spans="1:24" x14ac:dyDescent="0.25">
      <c r="A44" t="s">
        <v>72</v>
      </c>
      <c r="B44">
        <v>10</v>
      </c>
      <c r="C44" t="s">
        <v>23</v>
      </c>
      <c r="D44" t="s">
        <v>95</v>
      </c>
      <c r="E44" t="s">
        <v>112</v>
      </c>
      <c r="F44" t="s">
        <v>222</v>
      </c>
      <c r="G44" t="s">
        <v>145</v>
      </c>
      <c r="H44" t="str">
        <f t="shared" si="0"/>
        <v>Shade.Highcomp</v>
      </c>
      <c r="I44" t="str">
        <f t="shared" si="1"/>
        <v>V.rosea.Highcomp</v>
      </c>
      <c r="J44" t="str">
        <f t="shared" si="2"/>
        <v>10F.V.rosea.Highcomp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 t="s">
        <v>188</v>
      </c>
    </row>
    <row r="45" spans="1:24" x14ac:dyDescent="0.25">
      <c r="A45" t="s">
        <v>72</v>
      </c>
      <c r="B45">
        <v>10</v>
      </c>
      <c r="C45" t="s">
        <v>23</v>
      </c>
      <c r="D45" t="s">
        <v>95</v>
      </c>
      <c r="E45" t="s">
        <v>112</v>
      </c>
      <c r="F45" t="s">
        <v>222</v>
      </c>
      <c r="G45" t="s">
        <v>120</v>
      </c>
      <c r="H45" t="str">
        <f t="shared" si="0"/>
        <v>Shade.Solo</v>
      </c>
      <c r="I45" t="str">
        <f t="shared" si="1"/>
        <v>V.rosea.Solo</v>
      </c>
      <c r="J45" t="str">
        <f t="shared" si="2"/>
        <v>10F.V.rosea.Solo</v>
      </c>
      <c r="K45">
        <v>40</v>
      </c>
      <c r="L45">
        <f>3+3+3+5+4+4+4+5+4+4+4+3+4+3</f>
        <v>53</v>
      </c>
      <c r="M45">
        <v>14</v>
      </c>
      <c r="N45">
        <f>53/14</f>
        <v>3.7857142857142856</v>
      </c>
      <c r="O45">
        <v>1</v>
      </c>
      <c r="P45">
        <v>3</v>
      </c>
      <c r="Q45">
        <v>0</v>
      </c>
      <c r="R45">
        <v>0</v>
      </c>
      <c r="S45">
        <v>44</v>
      </c>
      <c r="T45">
        <v>41</v>
      </c>
      <c r="U45">
        <f>53+(27*N45)</f>
        <v>155.21428571428572</v>
      </c>
      <c r="V45">
        <v>155</v>
      </c>
      <c r="W45">
        <v>0</v>
      </c>
    </row>
    <row r="46" spans="1:24" x14ac:dyDescent="0.25">
      <c r="A46" t="s">
        <v>73</v>
      </c>
      <c r="B46">
        <v>10</v>
      </c>
      <c r="C46" t="s">
        <v>25</v>
      </c>
      <c r="D46" t="s">
        <v>94</v>
      </c>
      <c r="E46" t="s">
        <v>105</v>
      </c>
      <c r="F46" t="s">
        <v>221</v>
      </c>
      <c r="G46" t="s">
        <v>145</v>
      </c>
      <c r="H46" t="str">
        <f t="shared" si="0"/>
        <v>Open.Highcomp</v>
      </c>
      <c r="I46" t="str">
        <f t="shared" si="1"/>
        <v>H.glabra.Highcomp</v>
      </c>
      <c r="J46" t="str">
        <f t="shared" si="2"/>
        <v>10G.H.glabra.Highcomp</v>
      </c>
      <c r="K46">
        <v>2</v>
      </c>
      <c r="L46">
        <f>31+28</f>
        <v>59</v>
      </c>
      <c r="M46">
        <v>2</v>
      </c>
      <c r="N46">
        <v>29.5</v>
      </c>
      <c r="O46">
        <v>7</v>
      </c>
      <c r="P46">
        <v>0</v>
      </c>
      <c r="Q46">
        <v>0</v>
      </c>
      <c r="R46">
        <v>0</v>
      </c>
      <c r="S46">
        <v>9</v>
      </c>
      <c r="T46">
        <v>9</v>
      </c>
      <c r="U46">
        <f>59+(7*N46)</f>
        <v>265.5</v>
      </c>
      <c r="V46">
        <v>266</v>
      </c>
      <c r="W46">
        <v>0</v>
      </c>
    </row>
    <row r="47" spans="1:24" x14ac:dyDescent="0.25">
      <c r="A47" t="s">
        <v>73</v>
      </c>
      <c r="B47">
        <v>10</v>
      </c>
      <c r="C47" t="s">
        <v>25</v>
      </c>
      <c r="D47" t="s">
        <v>94</v>
      </c>
      <c r="E47" t="s">
        <v>105</v>
      </c>
      <c r="F47" t="s">
        <v>221</v>
      </c>
      <c r="G47" t="s">
        <v>120</v>
      </c>
      <c r="H47" t="str">
        <f t="shared" si="0"/>
        <v>Open.Solo</v>
      </c>
      <c r="I47" t="str">
        <f t="shared" si="1"/>
        <v>H.glabra.Solo</v>
      </c>
      <c r="J47" t="str">
        <f t="shared" si="2"/>
        <v>10G.H.glabra.Solo</v>
      </c>
      <c r="K47">
        <v>2</v>
      </c>
      <c r="L47">
        <f>14+45</f>
        <v>59</v>
      </c>
      <c r="M47">
        <v>2</v>
      </c>
      <c r="N47">
        <f>59/2</f>
        <v>29.5</v>
      </c>
      <c r="O47">
        <v>4</v>
      </c>
      <c r="P47">
        <v>0</v>
      </c>
      <c r="Q47">
        <v>0</v>
      </c>
      <c r="R47">
        <v>0</v>
      </c>
      <c r="S47">
        <v>6</v>
      </c>
      <c r="T47">
        <v>6</v>
      </c>
      <c r="U47">
        <f>59+(4*N47)</f>
        <v>177</v>
      </c>
      <c r="V47">
        <v>177</v>
      </c>
      <c r="W47">
        <v>0</v>
      </c>
    </row>
    <row r="48" spans="1:24" x14ac:dyDescent="0.25">
      <c r="A48" t="s">
        <v>73</v>
      </c>
      <c r="B48">
        <v>10</v>
      </c>
      <c r="C48" t="s">
        <v>25</v>
      </c>
      <c r="D48" t="s">
        <v>94</v>
      </c>
      <c r="E48" t="s">
        <v>110</v>
      </c>
      <c r="F48" t="s">
        <v>221</v>
      </c>
      <c r="G48" t="s">
        <v>145</v>
      </c>
      <c r="H48" t="str">
        <f t="shared" si="0"/>
        <v>Open.Highcomp</v>
      </c>
      <c r="I48" t="str">
        <f t="shared" si="1"/>
        <v>M.minima.Highcomp</v>
      </c>
      <c r="J48" t="str">
        <f t="shared" si="2"/>
        <v>10G.M.minima.Highcomp</v>
      </c>
      <c r="K48">
        <v>2</v>
      </c>
      <c r="L48">
        <v>2</v>
      </c>
      <c r="M48">
        <v>2</v>
      </c>
      <c r="N48">
        <v>1</v>
      </c>
      <c r="O48">
        <v>0</v>
      </c>
      <c r="P48">
        <v>0</v>
      </c>
      <c r="Q48">
        <v>0</v>
      </c>
      <c r="R48">
        <v>0</v>
      </c>
      <c r="S48">
        <v>2</v>
      </c>
      <c r="T48">
        <v>2</v>
      </c>
      <c r="U48">
        <v>2</v>
      </c>
      <c r="V48">
        <v>2</v>
      </c>
      <c r="W48">
        <v>0</v>
      </c>
    </row>
    <row r="49" spans="1:24" x14ac:dyDescent="0.25">
      <c r="A49" t="s">
        <v>73</v>
      </c>
      <c r="B49">
        <v>10</v>
      </c>
      <c r="C49" t="s">
        <v>25</v>
      </c>
      <c r="D49" t="s">
        <v>94</v>
      </c>
      <c r="E49" t="s">
        <v>110</v>
      </c>
      <c r="F49" t="s">
        <v>221</v>
      </c>
      <c r="G49" t="s">
        <v>120</v>
      </c>
      <c r="H49" t="str">
        <f t="shared" si="0"/>
        <v>Open.Solo</v>
      </c>
      <c r="I49" t="str">
        <f t="shared" si="1"/>
        <v>M.minima.Solo</v>
      </c>
      <c r="J49" t="str">
        <f t="shared" si="2"/>
        <v>10G.M.minima.Solo</v>
      </c>
      <c r="K49">
        <v>9</v>
      </c>
      <c r="L49">
        <v>9</v>
      </c>
      <c r="M49">
        <v>9</v>
      </c>
      <c r="N49">
        <v>1</v>
      </c>
      <c r="O49">
        <v>0</v>
      </c>
      <c r="P49">
        <v>0</v>
      </c>
      <c r="Q49">
        <v>0</v>
      </c>
      <c r="R49">
        <v>0</v>
      </c>
      <c r="S49">
        <v>9</v>
      </c>
      <c r="T49">
        <v>9</v>
      </c>
      <c r="U49">
        <v>9</v>
      </c>
      <c r="V49">
        <v>9</v>
      </c>
      <c r="W49">
        <v>0</v>
      </c>
    </row>
    <row r="50" spans="1:24" x14ac:dyDescent="0.25">
      <c r="A50" t="s">
        <v>73</v>
      </c>
      <c r="B50">
        <v>10</v>
      </c>
      <c r="C50" t="s">
        <v>25</v>
      </c>
      <c r="D50" t="s">
        <v>94</v>
      </c>
      <c r="E50" t="s">
        <v>104</v>
      </c>
      <c r="F50" t="s">
        <v>222</v>
      </c>
      <c r="G50" t="s">
        <v>145</v>
      </c>
      <c r="H50" t="str">
        <f t="shared" si="0"/>
        <v>Open.Highcomp</v>
      </c>
      <c r="I50" t="str">
        <f t="shared" si="1"/>
        <v>T.cyanopetala.Highcomp</v>
      </c>
      <c r="J50" t="str">
        <f t="shared" si="2"/>
        <v>10G.T.cyanopetala.Highcomp</v>
      </c>
      <c r="K50">
        <v>2</v>
      </c>
      <c r="L50">
        <v>12</v>
      </c>
      <c r="M50">
        <v>2</v>
      </c>
      <c r="N50">
        <v>6</v>
      </c>
      <c r="O50">
        <v>0</v>
      </c>
      <c r="P50">
        <v>0</v>
      </c>
      <c r="Q50">
        <v>0</v>
      </c>
      <c r="R50">
        <v>0</v>
      </c>
      <c r="S50">
        <v>2</v>
      </c>
      <c r="T50">
        <v>2</v>
      </c>
      <c r="U50">
        <v>12</v>
      </c>
      <c r="V50">
        <v>12</v>
      </c>
      <c r="W50">
        <v>0</v>
      </c>
    </row>
    <row r="51" spans="1:24" x14ac:dyDescent="0.25">
      <c r="A51" t="s">
        <v>73</v>
      </c>
      <c r="B51">
        <v>10</v>
      </c>
      <c r="C51" t="s">
        <v>25</v>
      </c>
      <c r="D51" t="s">
        <v>94</v>
      </c>
      <c r="E51" t="s">
        <v>104</v>
      </c>
      <c r="F51" t="s">
        <v>222</v>
      </c>
      <c r="G51" t="s">
        <v>120</v>
      </c>
      <c r="H51" t="str">
        <f t="shared" si="0"/>
        <v>Open.Solo</v>
      </c>
      <c r="I51" t="str">
        <f t="shared" si="1"/>
        <v>T.cyanopetala.Solo</v>
      </c>
      <c r="J51" t="str">
        <f t="shared" si="2"/>
        <v>10G.T.cyanopetala.Solo</v>
      </c>
      <c r="K51">
        <v>6</v>
      </c>
      <c r="L51">
        <f>8+8+4+6+10+14</f>
        <v>50</v>
      </c>
      <c r="M51">
        <v>6</v>
      </c>
      <c r="N51">
        <f>50/6</f>
        <v>8.3333333333333339</v>
      </c>
      <c r="O51">
        <v>0</v>
      </c>
      <c r="P51">
        <v>0</v>
      </c>
      <c r="Q51">
        <v>0</v>
      </c>
      <c r="R51">
        <v>0</v>
      </c>
      <c r="S51">
        <v>6</v>
      </c>
      <c r="T51">
        <v>6</v>
      </c>
      <c r="U51">
        <v>50</v>
      </c>
      <c r="V51">
        <v>50</v>
      </c>
      <c r="W51">
        <v>1</v>
      </c>
      <c r="X51" t="s">
        <v>192</v>
      </c>
    </row>
    <row r="52" spans="1:24" x14ac:dyDescent="0.25">
      <c r="A52" t="s">
        <v>73</v>
      </c>
      <c r="B52">
        <v>10</v>
      </c>
      <c r="C52" t="s">
        <v>25</v>
      </c>
      <c r="D52" t="s">
        <v>94</v>
      </c>
      <c r="E52" t="s">
        <v>112</v>
      </c>
      <c r="F52" t="s">
        <v>222</v>
      </c>
      <c r="G52" t="s">
        <v>145</v>
      </c>
      <c r="H52" t="str">
        <f t="shared" si="0"/>
        <v>Open.Highcomp</v>
      </c>
      <c r="I52" t="str">
        <f t="shared" si="1"/>
        <v>V.rosea.Highcomp</v>
      </c>
      <c r="J52" t="str">
        <f t="shared" si="2"/>
        <v>10G.V.rosea.Highcomp</v>
      </c>
      <c r="K52">
        <v>25</v>
      </c>
      <c r="L52">
        <f>4+3+3+2+4+3+4+3+2+3+3</f>
        <v>34</v>
      </c>
      <c r="M52">
        <v>11</v>
      </c>
      <c r="N52">
        <f>34/11</f>
        <v>3.0909090909090908</v>
      </c>
      <c r="O52">
        <v>4</v>
      </c>
      <c r="P52">
        <v>2</v>
      </c>
      <c r="Q52">
        <v>0</v>
      </c>
      <c r="R52">
        <v>0</v>
      </c>
      <c r="S52">
        <v>31</v>
      </c>
      <c r="T52">
        <v>29</v>
      </c>
      <c r="U52">
        <f>34+(18*N52)</f>
        <v>89.636363636363626</v>
      </c>
      <c r="V52">
        <v>90</v>
      </c>
      <c r="W52">
        <v>0</v>
      </c>
    </row>
    <row r="53" spans="1:24" x14ac:dyDescent="0.25">
      <c r="A53" t="s">
        <v>73</v>
      </c>
      <c r="B53">
        <v>10</v>
      </c>
      <c r="C53" t="s">
        <v>25</v>
      </c>
      <c r="D53" t="s">
        <v>94</v>
      </c>
      <c r="E53" t="s">
        <v>112</v>
      </c>
      <c r="F53" t="s">
        <v>222</v>
      </c>
      <c r="G53" t="s">
        <v>120</v>
      </c>
      <c r="H53" t="str">
        <f t="shared" si="0"/>
        <v>Open.Solo</v>
      </c>
      <c r="I53" t="str">
        <f t="shared" si="1"/>
        <v>V.rosea.Solo</v>
      </c>
      <c r="J53" t="str">
        <f t="shared" si="2"/>
        <v>10G.V.rosea.Solo</v>
      </c>
      <c r="K53">
        <v>23</v>
      </c>
      <c r="L53">
        <f>44+15+4</f>
        <v>63</v>
      </c>
      <c r="M53">
        <v>19</v>
      </c>
      <c r="N53">
        <f>63/19</f>
        <v>3.3157894736842106</v>
      </c>
      <c r="O53">
        <v>1</v>
      </c>
      <c r="P53">
        <v>3</v>
      </c>
      <c r="Q53">
        <v>0</v>
      </c>
      <c r="R53">
        <v>0</v>
      </c>
      <c r="S53">
        <v>27</v>
      </c>
      <c r="T53">
        <v>24</v>
      </c>
      <c r="U53">
        <f>63+(5*N53)</f>
        <v>79.578947368421055</v>
      </c>
      <c r="V53">
        <v>80</v>
      </c>
      <c r="W53">
        <v>0</v>
      </c>
    </row>
    <row r="54" spans="1:24" x14ac:dyDescent="0.25">
      <c r="A54" t="s">
        <v>74</v>
      </c>
      <c r="B54">
        <v>10</v>
      </c>
      <c r="C54" t="s">
        <v>27</v>
      </c>
      <c r="D54" t="s">
        <v>95</v>
      </c>
      <c r="E54" t="s">
        <v>102</v>
      </c>
      <c r="F54" t="s">
        <v>221</v>
      </c>
      <c r="G54" t="s">
        <v>145</v>
      </c>
      <c r="H54" t="str">
        <f t="shared" si="0"/>
        <v>Shade.Highcomp</v>
      </c>
      <c r="I54" t="str">
        <f t="shared" si="1"/>
        <v>A.calendula.Highcomp</v>
      </c>
      <c r="J54" t="str">
        <f t="shared" si="2"/>
        <v>10H.A.calendula.Highcomp</v>
      </c>
      <c r="K54">
        <v>6</v>
      </c>
      <c r="L54">
        <f>8+17+13+12+15+32</f>
        <v>97</v>
      </c>
      <c r="M54">
        <v>6</v>
      </c>
      <c r="N54">
        <f>97/6</f>
        <v>16.166666666666668</v>
      </c>
      <c r="O54">
        <v>13</v>
      </c>
      <c r="P54">
        <v>0</v>
      </c>
      <c r="Q54">
        <v>0</v>
      </c>
      <c r="R54">
        <v>0</v>
      </c>
      <c r="S54">
        <v>19</v>
      </c>
      <c r="T54">
        <v>19</v>
      </c>
      <c r="U54">
        <f>97+(13*N54)</f>
        <v>307.16666666666669</v>
      </c>
      <c r="V54">
        <v>307</v>
      </c>
      <c r="W54">
        <v>0</v>
      </c>
    </row>
    <row r="55" spans="1:24" x14ac:dyDescent="0.25">
      <c r="A55" t="s">
        <v>74</v>
      </c>
      <c r="B55">
        <v>10</v>
      </c>
      <c r="C55" t="s">
        <v>27</v>
      </c>
      <c r="D55" t="s">
        <v>95</v>
      </c>
      <c r="E55" t="s">
        <v>102</v>
      </c>
      <c r="F55" t="s">
        <v>221</v>
      </c>
      <c r="G55" t="s">
        <v>120</v>
      </c>
      <c r="H55" t="str">
        <f t="shared" si="0"/>
        <v>Shade.Solo</v>
      </c>
      <c r="I55" t="str">
        <f t="shared" si="1"/>
        <v>A.calendula.Solo</v>
      </c>
      <c r="J55" t="str">
        <f t="shared" si="2"/>
        <v>10H.A.calendula.Solo</v>
      </c>
      <c r="K55">
        <v>4</v>
      </c>
      <c r="L55">
        <f>49+60+62+32</f>
        <v>203</v>
      </c>
      <c r="M55">
        <v>4</v>
      </c>
      <c r="N55">
        <f>203/4</f>
        <v>50.75</v>
      </c>
      <c r="O55">
        <v>6</v>
      </c>
      <c r="P55">
        <v>0</v>
      </c>
      <c r="Q55">
        <v>3</v>
      </c>
      <c r="R55">
        <v>0</v>
      </c>
      <c r="S55">
        <v>13</v>
      </c>
      <c r="T55">
        <v>10</v>
      </c>
      <c r="U55">
        <f>203+(6*N55)</f>
        <v>507.5</v>
      </c>
      <c r="V55">
        <v>508</v>
      </c>
      <c r="W55">
        <v>0</v>
      </c>
    </row>
    <row r="56" spans="1:24" x14ac:dyDescent="0.25">
      <c r="A56" t="s">
        <v>74</v>
      </c>
      <c r="B56">
        <v>10</v>
      </c>
      <c r="C56" t="s">
        <v>27</v>
      </c>
      <c r="D56" t="s">
        <v>95</v>
      </c>
      <c r="E56" t="s">
        <v>113</v>
      </c>
      <c r="F56" t="s">
        <v>222</v>
      </c>
      <c r="G56" t="s">
        <v>145</v>
      </c>
      <c r="H56" t="str">
        <f t="shared" si="0"/>
        <v>Shade.Highcomp</v>
      </c>
      <c r="I56" t="str">
        <f t="shared" si="1"/>
        <v>H.glutinosum.Highcomp</v>
      </c>
      <c r="J56" t="str">
        <f t="shared" si="2"/>
        <v>10H.H.glutinosum.Highcomp</v>
      </c>
      <c r="K56">
        <v>1</v>
      </c>
      <c r="L56">
        <v>3</v>
      </c>
      <c r="M56">
        <v>1</v>
      </c>
      <c r="N56">
        <v>3</v>
      </c>
      <c r="O56">
        <v>0</v>
      </c>
      <c r="P56">
        <v>0</v>
      </c>
      <c r="Q56">
        <v>0</v>
      </c>
      <c r="R56">
        <v>0</v>
      </c>
      <c r="S56">
        <v>1</v>
      </c>
      <c r="T56">
        <v>1</v>
      </c>
      <c r="U56">
        <v>3</v>
      </c>
      <c r="V56">
        <v>3</v>
      </c>
      <c r="W56">
        <v>0</v>
      </c>
    </row>
    <row r="57" spans="1:24" x14ac:dyDescent="0.25">
      <c r="A57" t="s">
        <v>74</v>
      </c>
      <c r="B57">
        <v>10</v>
      </c>
      <c r="C57" t="s">
        <v>27</v>
      </c>
      <c r="D57" t="s">
        <v>95</v>
      </c>
      <c r="E57" t="s">
        <v>113</v>
      </c>
      <c r="F57" t="s">
        <v>222</v>
      </c>
      <c r="G57" t="s">
        <v>120</v>
      </c>
      <c r="H57" t="str">
        <f t="shared" si="0"/>
        <v>Shade.Solo</v>
      </c>
      <c r="I57" t="str">
        <f t="shared" si="1"/>
        <v>H.glutinosum.Solo</v>
      </c>
      <c r="J57" t="str">
        <f t="shared" si="2"/>
        <v>10H.H.glutinosum.Solo</v>
      </c>
      <c r="K57">
        <v>3</v>
      </c>
      <c r="L57">
        <v>5</v>
      </c>
      <c r="M57">
        <v>3</v>
      </c>
      <c r="N57">
        <f>5/3</f>
        <v>1.6666666666666667</v>
      </c>
      <c r="O57">
        <v>0</v>
      </c>
      <c r="P57">
        <v>0</v>
      </c>
      <c r="Q57">
        <v>2</v>
      </c>
      <c r="R57">
        <v>0</v>
      </c>
      <c r="S57">
        <v>5</v>
      </c>
      <c r="T57">
        <v>3</v>
      </c>
      <c r="U57">
        <v>5</v>
      </c>
      <c r="V57">
        <v>5</v>
      </c>
      <c r="W57">
        <v>0</v>
      </c>
    </row>
    <row r="58" spans="1:24" x14ac:dyDescent="0.25">
      <c r="A58" t="s">
        <v>74</v>
      </c>
      <c r="B58">
        <v>10</v>
      </c>
      <c r="C58" t="s">
        <v>27</v>
      </c>
      <c r="D58" t="s">
        <v>95</v>
      </c>
      <c r="E58" t="s">
        <v>103</v>
      </c>
      <c r="F58" t="s">
        <v>221</v>
      </c>
      <c r="G58" t="s">
        <v>145</v>
      </c>
      <c r="H58" t="str">
        <f t="shared" si="0"/>
        <v>Shade.Highcomp</v>
      </c>
      <c r="I58" t="str">
        <f t="shared" si="1"/>
        <v>P.airoides.Highcomp</v>
      </c>
      <c r="J58" t="str">
        <f t="shared" si="2"/>
        <v>10H.P.airoides.Highcomp</v>
      </c>
      <c r="K58">
        <v>5</v>
      </c>
      <c r="L58">
        <f>55+54+32+31+77</f>
        <v>249</v>
      </c>
      <c r="M58">
        <v>5</v>
      </c>
      <c r="N58">
        <f>249/5</f>
        <v>49.8</v>
      </c>
      <c r="O58">
        <v>0</v>
      </c>
      <c r="P58">
        <v>0</v>
      </c>
      <c r="Q58">
        <v>0</v>
      </c>
      <c r="R58">
        <v>0</v>
      </c>
      <c r="S58">
        <v>5</v>
      </c>
      <c r="T58">
        <v>5</v>
      </c>
      <c r="U58">
        <v>249</v>
      </c>
      <c r="V58">
        <v>249</v>
      </c>
      <c r="W58">
        <v>0</v>
      </c>
    </row>
    <row r="59" spans="1:24" x14ac:dyDescent="0.25">
      <c r="A59" t="s">
        <v>74</v>
      </c>
      <c r="B59">
        <v>10</v>
      </c>
      <c r="C59" t="s">
        <v>27</v>
      </c>
      <c r="D59" t="s">
        <v>95</v>
      </c>
      <c r="E59" t="s">
        <v>103</v>
      </c>
      <c r="F59" t="s">
        <v>221</v>
      </c>
      <c r="G59" t="s">
        <v>120</v>
      </c>
      <c r="H59" t="str">
        <f t="shared" si="0"/>
        <v>Shade.Solo</v>
      </c>
      <c r="I59" t="str">
        <f t="shared" si="1"/>
        <v>P.airoides.Solo</v>
      </c>
      <c r="J59" t="str">
        <f t="shared" si="2"/>
        <v>10H.P.airoides.Solo</v>
      </c>
      <c r="K59">
        <v>7</v>
      </c>
      <c r="L59">
        <f>43+22+19+83+73+65+83</f>
        <v>388</v>
      </c>
      <c r="M59">
        <v>7</v>
      </c>
      <c r="N59">
        <f>388/7</f>
        <v>55.428571428571431</v>
      </c>
      <c r="O59">
        <v>0</v>
      </c>
      <c r="P59">
        <v>0</v>
      </c>
      <c r="Q59">
        <v>0</v>
      </c>
      <c r="R59">
        <v>0</v>
      </c>
      <c r="S59">
        <v>7</v>
      </c>
      <c r="T59">
        <v>7</v>
      </c>
      <c r="U59">
        <v>388</v>
      </c>
      <c r="V59">
        <v>388</v>
      </c>
      <c r="W59">
        <v>0</v>
      </c>
    </row>
    <row r="60" spans="1:24" x14ac:dyDescent="0.25">
      <c r="A60" t="s">
        <v>75</v>
      </c>
      <c r="B60">
        <v>10</v>
      </c>
      <c r="C60" t="s">
        <v>29</v>
      </c>
      <c r="D60" t="s">
        <v>94</v>
      </c>
      <c r="E60" t="s">
        <v>105</v>
      </c>
      <c r="F60" t="s">
        <v>221</v>
      </c>
      <c r="G60" t="s">
        <v>145</v>
      </c>
      <c r="H60" t="str">
        <f t="shared" si="0"/>
        <v>Open.Highcomp</v>
      </c>
      <c r="I60" t="str">
        <f t="shared" si="1"/>
        <v>H.glabra.Highcomp</v>
      </c>
      <c r="J60" t="str">
        <f t="shared" si="2"/>
        <v>10I.H.glabra.Highcomp</v>
      </c>
      <c r="K60">
        <v>4</v>
      </c>
      <c r="L60">
        <f>104+96+99+52</f>
        <v>351</v>
      </c>
      <c r="M60">
        <v>4</v>
      </c>
      <c r="N60">
        <f>351/4</f>
        <v>87.75</v>
      </c>
      <c r="O60">
        <v>2</v>
      </c>
      <c r="P60">
        <v>1</v>
      </c>
      <c r="Q60">
        <v>0</v>
      </c>
      <c r="R60">
        <v>0</v>
      </c>
      <c r="S60">
        <v>7</v>
      </c>
      <c r="T60">
        <v>6</v>
      </c>
      <c r="U60">
        <f>351+(2*N60)</f>
        <v>526.5</v>
      </c>
      <c r="V60">
        <v>527</v>
      </c>
      <c r="W60">
        <v>0</v>
      </c>
    </row>
    <row r="61" spans="1:24" x14ac:dyDescent="0.25">
      <c r="A61" t="s">
        <v>75</v>
      </c>
      <c r="B61">
        <v>10</v>
      </c>
      <c r="C61" t="s">
        <v>29</v>
      </c>
      <c r="D61" t="s">
        <v>94</v>
      </c>
      <c r="E61" t="s">
        <v>105</v>
      </c>
      <c r="F61" t="s">
        <v>221</v>
      </c>
      <c r="G61" t="s">
        <v>120</v>
      </c>
      <c r="H61" t="str">
        <f t="shared" si="0"/>
        <v>Open.Solo</v>
      </c>
      <c r="I61" t="str">
        <f t="shared" si="1"/>
        <v>H.glabra.Solo</v>
      </c>
      <c r="J61" t="str">
        <f t="shared" si="2"/>
        <v>10I.H.glabra.Solo</v>
      </c>
      <c r="K61">
        <v>4</v>
      </c>
      <c r="L61">
        <f>29+72+92</f>
        <v>193</v>
      </c>
      <c r="M61">
        <v>4</v>
      </c>
      <c r="N61">
        <f>193/4</f>
        <v>48.25</v>
      </c>
      <c r="O61">
        <v>3</v>
      </c>
      <c r="P61">
        <v>0</v>
      </c>
      <c r="Q61">
        <v>0</v>
      </c>
      <c r="R61">
        <v>0</v>
      </c>
      <c r="S61">
        <v>7</v>
      </c>
      <c r="T61">
        <v>7</v>
      </c>
      <c r="U61">
        <f>193+(3*N61)</f>
        <v>337.75</v>
      </c>
      <c r="V61">
        <v>338</v>
      </c>
      <c r="W61">
        <v>0</v>
      </c>
    </row>
    <row r="62" spans="1:24" x14ac:dyDescent="0.25">
      <c r="A62" t="s">
        <v>75</v>
      </c>
      <c r="B62">
        <v>10</v>
      </c>
      <c r="C62" t="s">
        <v>29</v>
      </c>
      <c r="D62" t="s">
        <v>94</v>
      </c>
      <c r="E62" t="s">
        <v>110</v>
      </c>
      <c r="F62" t="s">
        <v>221</v>
      </c>
      <c r="G62" t="s">
        <v>145</v>
      </c>
      <c r="H62" t="str">
        <f t="shared" si="0"/>
        <v>Open.Highcomp</v>
      </c>
      <c r="I62" t="str">
        <f t="shared" si="1"/>
        <v>M.minima.Highcomp</v>
      </c>
      <c r="J62" t="str">
        <f t="shared" si="2"/>
        <v>10I.M.minima.Highcomp</v>
      </c>
      <c r="K62">
        <v>11</v>
      </c>
      <c r="L62">
        <v>11</v>
      </c>
      <c r="M62">
        <v>11</v>
      </c>
      <c r="N62">
        <v>1</v>
      </c>
      <c r="O62">
        <v>0</v>
      </c>
      <c r="P62">
        <v>0</v>
      </c>
      <c r="Q62">
        <v>0</v>
      </c>
      <c r="R62">
        <v>0</v>
      </c>
      <c r="S62">
        <v>11</v>
      </c>
      <c r="T62">
        <v>11</v>
      </c>
      <c r="U62">
        <v>11</v>
      </c>
      <c r="V62">
        <v>11</v>
      </c>
      <c r="W62">
        <v>0</v>
      </c>
    </row>
    <row r="63" spans="1:24" x14ac:dyDescent="0.25">
      <c r="A63" t="s">
        <v>75</v>
      </c>
      <c r="B63">
        <v>10</v>
      </c>
      <c r="C63" t="s">
        <v>29</v>
      </c>
      <c r="D63" t="s">
        <v>94</v>
      </c>
      <c r="E63" t="s">
        <v>110</v>
      </c>
      <c r="F63" t="s">
        <v>221</v>
      </c>
      <c r="G63" t="s">
        <v>120</v>
      </c>
      <c r="H63" t="str">
        <f t="shared" si="0"/>
        <v>Open.Solo</v>
      </c>
      <c r="I63" t="str">
        <f t="shared" si="1"/>
        <v>M.minima.Solo</v>
      </c>
      <c r="J63" t="str">
        <f t="shared" si="2"/>
        <v>10I.M.minima.Solo</v>
      </c>
      <c r="K63">
        <v>5</v>
      </c>
      <c r="L63">
        <v>5</v>
      </c>
      <c r="M63">
        <v>5</v>
      </c>
      <c r="N63">
        <v>1</v>
      </c>
      <c r="O63">
        <v>0</v>
      </c>
      <c r="P63">
        <v>0</v>
      </c>
      <c r="Q63">
        <v>0</v>
      </c>
      <c r="R63">
        <v>0</v>
      </c>
      <c r="S63">
        <v>5</v>
      </c>
      <c r="T63">
        <v>5</v>
      </c>
      <c r="U63">
        <v>5</v>
      </c>
      <c r="V63">
        <v>5</v>
      </c>
      <c r="W63">
        <v>0</v>
      </c>
    </row>
    <row r="64" spans="1:24" x14ac:dyDescent="0.25">
      <c r="A64" t="s">
        <v>75</v>
      </c>
      <c r="B64">
        <v>10</v>
      </c>
      <c r="C64" t="s">
        <v>29</v>
      </c>
      <c r="D64" t="s">
        <v>94</v>
      </c>
      <c r="E64" t="s">
        <v>103</v>
      </c>
      <c r="F64" t="s">
        <v>221</v>
      </c>
      <c r="G64" t="s">
        <v>145</v>
      </c>
      <c r="H64" t="str">
        <f t="shared" si="0"/>
        <v>Open.Highcomp</v>
      </c>
      <c r="I64" t="str">
        <f t="shared" si="1"/>
        <v>P.airoides.Highcomp</v>
      </c>
      <c r="J64" t="str">
        <f t="shared" si="2"/>
        <v>10I.P.airoides.Highcomp</v>
      </c>
      <c r="K64">
        <v>3</v>
      </c>
      <c r="L64">
        <f>58+34+97</f>
        <v>189</v>
      </c>
      <c r="M64">
        <v>3</v>
      </c>
      <c r="N64">
        <f>189/3</f>
        <v>63</v>
      </c>
      <c r="O64">
        <v>0</v>
      </c>
      <c r="P64">
        <v>0</v>
      </c>
      <c r="Q64">
        <v>0</v>
      </c>
      <c r="R64">
        <v>0</v>
      </c>
      <c r="S64">
        <v>3</v>
      </c>
      <c r="T64">
        <v>3</v>
      </c>
      <c r="U64">
        <v>189</v>
      </c>
      <c r="V64">
        <v>189</v>
      </c>
      <c r="W64">
        <v>0</v>
      </c>
    </row>
    <row r="65" spans="1:24" x14ac:dyDescent="0.25">
      <c r="A65" t="s">
        <v>75</v>
      </c>
      <c r="B65">
        <v>10</v>
      </c>
      <c r="C65" t="s">
        <v>29</v>
      </c>
      <c r="D65" t="s">
        <v>94</v>
      </c>
      <c r="E65" t="s">
        <v>103</v>
      </c>
      <c r="F65" t="s">
        <v>221</v>
      </c>
      <c r="G65" t="s">
        <v>120</v>
      </c>
      <c r="H65" t="str">
        <f t="shared" si="0"/>
        <v>Open.Solo</v>
      </c>
      <c r="I65" t="str">
        <f t="shared" si="1"/>
        <v>P.airoides.Solo</v>
      </c>
      <c r="J65" t="str">
        <f t="shared" si="2"/>
        <v>10I.P.airoides.Solo</v>
      </c>
      <c r="K65">
        <v>10</v>
      </c>
      <c r="L65">
        <f>21+84+61+32+54+36+35+60+59+91</f>
        <v>533</v>
      </c>
      <c r="M65">
        <v>10</v>
      </c>
      <c r="N65">
        <f>533/10</f>
        <v>53.3</v>
      </c>
      <c r="O65">
        <v>0</v>
      </c>
      <c r="P65">
        <v>0</v>
      </c>
      <c r="Q65">
        <v>0</v>
      </c>
      <c r="R65">
        <v>0</v>
      </c>
      <c r="S65">
        <v>10</v>
      </c>
      <c r="T65">
        <v>10</v>
      </c>
      <c r="U65">
        <v>533</v>
      </c>
      <c r="V65">
        <v>533</v>
      </c>
      <c r="W65">
        <v>0</v>
      </c>
    </row>
    <row r="66" spans="1:24" x14ac:dyDescent="0.25">
      <c r="A66" t="s">
        <v>76</v>
      </c>
      <c r="B66">
        <v>10</v>
      </c>
      <c r="C66" t="s">
        <v>31</v>
      </c>
      <c r="D66" t="s">
        <v>94</v>
      </c>
      <c r="E66" t="s">
        <v>113</v>
      </c>
      <c r="F66" t="s">
        <v>222</v>
      </c>
      <c r="G66" t="s">
        <v>145</v>
      </c>
      <c r="H66" t="str">
        <f t="shared" ref="H66:H129" si="3">D66&amp;"."&amp;G66</f>
        <v>Open.Highcomp</v>
      </c>
      <c r="I66" t="str">
        <f t="shared" ref="I66:I129" si="4">E66&amp;"."&amp;G66</f>
        <v>H.glutinosum.Highcomp</v>
      </c>
      <c r="J66" t="str">
        <f t="shared" si="2"/>
        <v>10J.H.glutinosum.Highcomp</v>
      </c>
      <c r="K66">
        <v>3</v>
      </c>
      <c r="L66">
        <v>9</v>
      </c>
      <c r="M66">
        <v>3</v>
      </c>
      <c r="N66">
        <v>3</v>
      </c>
      <c r="O66">
        <v>0</v>
      </c>
      <c r="P66">
        <v>0</v>
      </c>
      <c r="Q66">
        <v>0</v>
      </c>
      <c r="R66">
        <v>0</v>
      </c>
      <c r="S66">
        <v>3</v>
      </c>
      <c r="T66">
        <v>3</v>
      </c>
      <c r="U66">
        <v>9</v>
      </c>
      <c r="V66">
        <v>9</v>
      </c>
      <c r="W66">
        <v>0</v>
      </c>
    </row>
    <row r="67" spans="1:24" x14ac:dyDescent="0.25">
      <c r="A67" t="s">
        <v>76</v>
      </c>
      <c r="B67">
        <v>10</v>
      </c>
      <c r="C67" t="s">
        <v>31</v>
      </c>
      <c r="D67" t="s">
        <v>94</v>
      </c>
      <c r="E67" t="s">
        <v>113</v>
      </c>
      <c r="F67" t="s">
        <v>222</v>
      </c>
      <c r="G67" t="s">
        <v>120</v>
      </c>
      <c r="H67" t="str">
        <f t="shared" si="3"/>
        <v>Open.Solo</v>
      </c>
      <c r="I67" t="str">
        <f t="shared" si="4"/>
        <v>H.glutinosum.Solo</v>
      </c>
      <c r="J67" t="str">
        <f t="shared" ref="J67:J130" si="5">A67&amp;"."&amp;E67&amp;"."&amp;G67</f>
        <v>10J.H.glutinosum.Solo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1</v>
      </c>
      <c r="R67">
        <v>0</v>
      </c>
      <c r="S67">
        <v>1</v>
      </c>
      <c r="T67">
        <v>0</v>
      </c>
      <c r="U67">
        <v>0</v>
      </c>
      <c r="V67">
        <v>0</v>
      </c>
      <c r="W67">
        <v>0</v>
      </c>
      <c r="X67" t="s">
        <v>188</v>
      </c>
    </row>
    <row r="68" spans="1:24" x14ac:dyDescent="0.25">
      <c r="A68" t="s">
        <v>77</v>
      </c>
      <c r="B68">
        <v>10</v>
      </c>
      <c r="C68" t="s">
        <v>33</v>
      </c>
      <c r="D68" t="s">
        <v>94</v>
      </c>
      <c r="E68" t="s">
        <v>102</v>
      </c>
      <c r="F68" t="s">
        <v>221</v>
      </c>
      <c r="G68" t="s">
        <v>145</v>
      </c>
      <c r="H68" t="str">
        <f t="shared" si="3"/>
        <v>Open.Highcomp</v>
      </c>
      <c r="I68" t="str">
        <f t="shared" si="4"/>
        <v>A.calendula.Highcomp</v>
      </c>
      <c r="J68" t="str">
        <f t="shared" si="5"/>
        <v>10K.A.calendula.Highcomp</v>
      </c>
      <c r="K68">
        <v>14</v>
      </c>
      <c r="L68">
        <f>27+50</f>
        <v>77</v>
      </c>
      <c r="M68">
        <v>4</v>
      </c>
      <c r="N68">
        <f>77/4</f>
        <v>19.25</v>
      </c>
      <c r="O68">
        <v>16</v>
      </c>
      <c r="P68">
        <v>0</v>
      </c>
      <c r="Q68">
        <v>4</v>
      </c>
      <c r="R68">
        <v>0</v>
      </c>
      <c r="S68">
        <v>34</v>
      </c>
      <c r="T68">
        <v>30</v>
      </c>
      <c r="U68">
        <f>77+(26*N68)</f>
        <v>577.5</v>
      </c>
      <c r="V68">
        <v>578</v>
      </c>
      <c r="W68">
        <v>0</v>
      </c>
    </row>
    <row r="69" spans="1:24" x14ac:dyDescent="0.25">
      <c r="A69" t="s">
        <v>77</v>
      </c>
      <c r="B69">
        <v>10</v>
      </c>
      <c r="C69" t="s">
        <v>33</v>
      </c>
      <c r="D69" t="s">
        <v>94</v>
      </c>
      <c r="E69" t="s">
        <v>102</v>
      </c>
      <c r="F69" t="s">
        <v>221</v>
      </c>
      <c r="G69" t="s">
        <v>120</v>
      </c>
      <c r="H69" t="str">
        <f t="shared" si="3"/>
        <v>Open.Solo</v>
      </c>
      <c r="I69" t="str">
        <f t="shared" si="4"/>
        <v>A.calendula.Solo</v>
      </c>
      <c r="J69" t="str">
        <f t="shared" si="5"/>
        <v>10K.A.calendula.Solo</v>
      </c>
      <c r="K69">
        <v>16</v>
      </c>
      <c r="L69">
        <f>49+33+18+58+45+36+39+20+13+30</f>
        <v>341</v>
      </c>
      <c r="M69">
        <v>10</v>
      </c>
      <c r="N69">
        <f>341/10</f>
        <v>34.1</v>
      </c>
      <c r="O69">
        <v>5</v>
      </c>
      <c r="P69">
        <v>0</v>
      </c>
      <c r="Q69">
        <v>0</v>
      </c>
      <c r="R69">
        <v>0</v>
      </c>
      <c r="S69">
        <v>21</v>
      </c>
      <c r="T69">
        <v>21</v>
      </c>
      <c r="U69">
        <f>341+(11*N69)</f>
        <v>716.1</v>
      </c>
      <c r="V69">
        <v>716</v>
      </c>
      <c r="W69">
        <v>0</v>
      </c>
    </row>
    <row r="70" spans="1:24" x14ac:dyDescent="0.25">
      <c r="A70" t="s">
        <v>77</v>
      </c>
      <c r="B70">
        <v>10</v>
      </c>
      <c r="C70" t="s">
        <v>33</v>
      </c>
      <c r="D70" t="s">
        <v>94</v>
      </c>
      <c r="E70" t="s">
        <v>110</v>
      </c>
      <c r="F70" t="s">
        <v>221</v>
      </c>
      <c r="G70" t="s">
        <v>145</v>
      </c>
      <c r="H70" t="str">
        <f t="shared" si="3"/>
        <v>Open.Highcomp</v>
      </c>
      <c r="I70" t="str">
        <f t="shared" si="4"/>
        <v>M.minima.Highcomp</v>
      </c>
      <c r="J70" t="str">
        <f t="shared" si="5"/>
        <v>10K.M.minima.Highcomp</v>
      </c>
      <c r="K70">
        <v>6</v>
      </c>
      <c r="L70">
        <v>6</v>
      </c>
      <c r="M70">
        <v>6</v>
      </c>
      <c r="N70">
        <v>1</v>
      </c>
      <c r="O70">
        <v>0</v>
      </c>
      <c r="P70">
        <v>0</v>
      </c>
      <c r="Q70">
        <v>0</v>
      </c>
      <c r="R70">
        <v>0</v>
      </c>
      <c r="S70">
        <v>6</v>
      </c>
      <c r="T70">
        <v>6</v>
      </c>
      <c r="U70">
        <v>6</v>
      </c>
      <c r="V70">
        <v>6</v>
      </c>
      <c r="W70">
        <v>0</v>
      </c>
    </row>
    <row r="71" spans="1:24" x14ac:dyDescent="0.25">
      <c r="A71" t="s">
        <v>77</v>
      </c>
      <c r="B71">
        <v>10</v>
      </c>
      <c r="C71" t="s">
        <v>33</v>
      </c>
      <c r="D71" t="s">
        <v>94</v>
      </c>
      <c r="E71" t="s">
        <v>110</v>
      </c>
      <c r="F71" t="s">
        <v>221</v>
      </c>
      <c r="G71" t="s">
        <v>120</v>
      </c>
      <c r="H71" t="str">
        <f t="shared" si="3"/>
        <v>Open.Solo</v>
      </c>
      <c r="I71" t="str">
        <f t="shared" si="4"/>
        <v>M.minima.Solo</v>
      </c>
      <c r="J71" t="str">
        <f t="shared" si="5"/>
        <v>10K.M.minima.Solo</v>
      </c>
      <c r="K71">
        <v>9</v>
      </c>
      <c r="L71">
        <v>9</v>
      </c>
      <c r="M71">
        <v>9</v>
      </c>
      <c r="N71">
        <v>1</v>
      </c>
      <c r="O71">
        <v>0</v>
      </c>
      <c r="P71">
        <v>0</v>
      </c>
      <c r="Q71">
        <v>0</v>
      </c>
      <c r="R71">
        <v>0</v>
      </c>
      <c r="S71">
        <v>9</v>
      </c>
      <c r="T71">
        <v>9</v>
      </c>
      <c r="U71">
        <v>9</v>
      </c>
      <c r="V71">
        <v>9</v>
      </c>
      <c r="W71">
        <v>0</v>
      </c>
    </row>
    <row r="72" spans="1:24" x14ac:dyDescent="0.25">
      <c r="A72" t="s">
        <v>78</v>
      </c>
      <c r="B72">
        <v>10</v>
      </c>
      <c r="C72" t="s">
        <v>35</v>
      </c>
      <c r="D72" t="s">
        <v>94</v>
      </c>
      <c r="E72" t="s">
        <v>111</v>
      </c>
      <c r="F72" t="s">
        <v>222</v>
      </c>
      <c r="G72" t="s">
        <v>145</v>
      </c>
      <c r="H72" t="str">
        <f t="shared" si="3"/>
        <v>Open.Highcomp</v>
      </c>
      <c r="I72" t="str">
        <f t="shared" si="4"/>
        <v>P.canescens.Highcomp</v>
      </c>
      <c r="J72" t="str">
        <f t="shared" si="5"/>
        <v>10L.P.canescens.Highcomp</v>
      </c>
      <c r="K72">
        <v>44</v>
      </c>
      <c r="L72">
        <f>130+100+102+115+11</f>
        <v>458</v>
      </c>
      <c r="M72">
        <v>5</v>
      </c>
      <c r="N72">
        <f>L72/5</f>
        <v>91.6</v>
      </c>
      <c r="O72">
        <v>1</v>
      </c>
      <c r="P72">
        <v>0</v>
      </c>
      <c r="Q72">
        <v>5</v>
      </c>
      <c r="R72">
        <v>0</v>
      </c>
      <c r="S72">
        <v>50</v>
      </c>
      <c r="T72">
        <v>45</v>
      </c>
      <c r="U72">
        <f>458+(40*N72)</f>
        <v>4122</v>
      </c>
      <c r="V72">
        <v>4122</v>
      </c>
      <c r="W72">
        <v>0</v>
      </c>
    </row>
    <row r="73" spans="1:24" x14ac:dyDescent="0.25">
      <c r="A73" t="s">
        <v>78</v>
      </c>
      <c r="B73">
        <v>10</v>
      </c>
      <c r="C73" t="s">
        <v>35</v>
      </c>
      <c r="D73" t="s">
        <v>94</v>
      </c>
      <c r="E73" t="s">
        <v>111</v>
      </c>
      <c r="F73" t="s">
        <v>222</v>
      </c>
      <c r="G73" t="s">
        <v>120</v>
      </c>
      <c r="H73" t="str">
        <f t="shared" si="3"/>
        <v>Open.Solo</v>
      </c>
      <c r="I73" t="str">
        <f t="shared" si="4"/>
        <v>P.canescens.Solo</v>
      </c>
      <c r="J73" t="str">
        <f t="shared" si="5"/>
        <v>10L.P.canescens.Solo</v>
      </c>
      <c r="K73">
        <v>25</v>
      </c>
      <c r="L73">
        <f>122+48+98+79+114</f>
        <v>461</v>
      </c>
      <c r="M73">
        <v>5</v>
      </c>
      <c r="N73">
        <f>461/5</f>
        <v>92.2</v>
      </c>
      <c r="O73">
        <v>0</v>
      </c>
      <c r="P73">
        <v>0</v>
      </c>
      <c r="Q73">
        <v>4</v>
      </c>
      <c r="R73">
        <v>0</v>
      </c>
      <c r="S73">
        <v>29</v>
      </c>
      <c r="T73">
        <v>25</v>
      </c>
      <c r="U73">
        <f>461+(20*N73)</f>
        <v>2305</v>
      </c>
      <c r="V73">
        <v>2305</v>
      </c>
      <c r="W73">
        <v>0</v>
      </c>
    </row>
    <row r="74" spans="1:24" x14ac:dyDescent="0.25">
      <c r="A74" t="s">
        <v>50</v>
      </c>
      <c r="B74">
        <v>12</v>
      </c>
      <c r="C74" t="s">
        <v>11</v>
      </c>
      <c r="D74" t="s">
        <v>95</v>
      </c>
      <c r="E74" t="s">
        <v>113</v>
      </c>
      <c r="F74" t="s">
        <v>222</v>
      </c>
      <c r="G74" t="s">
        <v>145</v>
      </c>
      <c r="H74" t="str">
        <f t="shared" si="3"/>
        <v>Shade.Highcomp</v>
      </c>
      <c r="I74" t="str">
        <f t="shared" si="4"/>
        <v>H.glutinosum.Highcomp</v>
      </c>
      <c r="J74" t="str">
        <f t="shared" si="5"/>
        <v>12A.H.glutinosum.Highcomp</v>
      </c>
      <c r="K74">
        <v>1</v>
      </c>
      <c r="L74">
        <v>0</v>
      </c>
      <c r="M74">
        <v>1</v>
      </c>
      <c r="N74">
        <v>0</v>
      </c>
      <c r="O74">
        <v>0</v>
      </c>
      <c r="P74">
        <v>0</v>
      </c>
      <c r="Q74">
        <v>0</v>
      </c>
      <c r="R74">
        <v>0</v>
      </c>
      <c r="S74">
        <v>1</v>
      </c>
      <c r="T74">
        <v>1</v>
      </c>
      <c r="U74">
        <v>0</v>
      </c>
      <c r="V74">
        <v>0</v>
      </c>
      <c r="W74">
        <v>0</v>
      </c>
    </row>
    <row r="75" spans="1:24" x14ac:dyDescent="0.25">
      <c r="A75" t="s">
        <v>50</v>
      </c>
      <c r="B75">
        <v>12</v>
      </c>
      <c r="C75" t="s">
        <v>11</v>
      </c>
      <c r="D75" t="s">
        <v>95</v>
      </c>
      <c r="E75" t="s">
        <v>113</v>
      </c>
      <c r="F75" t="s">
        <v>222</v>
      </c>
      <c r="G75" t="s">
        <v>120</v>
      </c>
      <c r="H75" t="str">
        <f t="shared" si="3"/>
        <v>Shade.Solo</v>
      </c>
      <c r="I75" t="str">
        <f t="shared" si="4"/>
        <v>H.glutinosum.Solo</v>
      </c>
      <c r="J75" t="str">
        <f t="shared" si="5"/>
        <v>12A.H.glutinosum.Solo</v>
      </c>
      <c r="K75" t="s">
        <v>114</v>
      </c>
      <c r="L75" t="s">
        <v>114</v>
      </c>
      <c r="M75">
        <v>0</v>
      </c>
      <c r="N75" t="s">
        <v>114</v>
      </c>
      <c r="O75">
        <v>3</v>
      </c>
      <c r="P75">
        <v>0</v>
      </c>
      <c r="Q75">
        <v>0</v>
      </c>
      <c r="R75">
        <v>0</v>
      </c>
      <c r="S75">
        <v>3</v>
      </c>
      <c r="T75">
        <v>3</v>
      </c>
      <c r="U75" t="s">
        <v>114</v>
      </c>
      <c r="V75" t="s">
        <v>114</v>
      </c>
      <c r="W75">
        <v>0</v>
      </c>
    </row>
    <row r="76" spans="1:24" x14ac:dyDescent="0.25">
      <c r="A76" t="s">
        <v>50</v>
      </c>
      <c r="B76">
        <v>12</v>
      </c>
      <c r="C76" t="s">
        <v>11</v>
      </c>
      <c r="D76" t="s">
        <v>95</v>
      </c>
      <c r="E76" t="s">
        <v>103</v>
      </c>
      <c r="F76" t="s">
        <v>221</v>
      </c>
      <c r="G76" t="s">
        <v>145</v>
      </c>
      <c r="H76" t="str">
        <f t="shared" si="3"/>
        <v>Shade.Highcomp</v>
      </c>
      <c r="I76" t="str">
        <f t="shared" si="4"/>
        <v>P.airoides.Highcomp</v>
      </c>
      <c r="J76" t="str">
        <f t="shared" si="5"/>
        <v>12A.P.airoides.Highcomp</v>
      </c>
      <c r="K76">
        <v>6</v>
      </c>
      <c r="L76">
        <f>57+86+87+59+68+53</f>
        <v>410</v>
      </c>
      <c r="M76">
        <v>6</v>
      </c>
      <c r="N76">
        <f>410/6</f>
        <v>68.333333333333329</v>
      </c>
      <c r="O76">
        <v>0</v>
      </c>
      <c r="P76">
        <v>0</v>
      </c>
      <c r="Q76">
        <v>0</v>
      </c>
      <c r="R76">
        <v>0</v>
      </c>
      <c r="S76">
        <v>6</v>
      </c>
      <c r="T76">
        <v>6</v>
      </c>
      <c r="U76">
        <v>410</v>
      </c>
      <c r="V76">
        <v>410</v>
      </c>
      <c r="W76">
        <v>0</v>
      </c>
    </row>
    <row r="77" spans="1:24" x14ac:dyDescent="0.25">
      <c r="A77" t="s">
        <v>50</v>
      </c>
      <c r="B77">
        <v>12</v>
      </c>
      <c r="C77" t="s">
        <v>11</v>
      </c>
      <c r="D77" t="s">
        <v>95</v>
      </c>
      <c r="E77" t="s">
        <v>103</v>
      </c>
      <c r="F77" t="s">
        <v>221</v>
      </c>
      <c r="G77" t="s">
        <v>120</v>
      </c>
      <c r="H77" t="str">
        <f t="shared" si="3"/>
        <v>Shade.Solo</v>
      </c>
      <c r="I77" t="str">
        <f t="shared" si="4"/>
        <v>P.airoides.Solo</v>
      </c>
      <c r="J77" t="str">
        <f t="shared" si="5"/>
        <v>12A.P.airoides.Solo</v>
      </c>
      <c r="K77">
        <v>4</v>
      </c>
      <c r="L77">
        <f>51+96+98+93</f>
        <v>338</v>
      </c>
      <c r="M77">
        <v>4</v>
      </c>
      <c r="N77">
        <f>338/4</f>
        <v>84.5</v>
      </c>
      <c r="O77">
        <v>0</v>
      </c>
      <c r="P77">
        <v>0</v>
      </c>
      <c r="Q77">
        <v>0</v>
      </c>
      <c r="R77">
        <v>0</v>
      </c>
      <c r="S77">
        <v>4</v>
      </c>
      <c r="T77">
        <v>4</v>
      </c>
      <c r="U77">
        <v>338</v>
      </c>
      <c r="V77">
        <v>338</v>
      </c>
      <c r="W77">
        <v>0</v>
      </c>
    </row>
    <row r="78" spans="1:24" x14ac:dyDescent="0.25">
      <c r="A78" t="s">
        <v>50</v>
      </c>
      <c r="B78">
        <v>12</v>
      </c>
      <c r="C78" t="s">
        <v>11</v>
      </c>
      <c r="D78" t="s">
        <v>95</v>
      </c>
      <c r="E78" t="s">
        <v>111</v>
      </c>
      <c r="F78" t="s">
        <v>222</v>
      </c>
      <c r="G78" t="s">
        <v>145</v>
      </c>
      <c r="H78" t="str">
        <f t="shared" si="3"/>
        <v>Shade.Highcomp</v>
      </c>
      <c r="I78" t="str">
        <f t="shared" si="4"/>
        <v>P.canescens.Highcomp</v>
      </c>
      <c r="J78" t="str">
        <f t="shared" si="5"/>
        <v>12A.P.canescens.Highcomp</v>
      </c>
      <c r="K78">
        <v>3</v>
      </c>
      <c r="L78">
        <v>138</v>
      </c>
      <c r="M78">
        <v>3</v>
      </c>
      <c r="N78">
        <f>138/3</f>
        <v>46</v>
      </c>
      <c r="O78">
        <v>0</v>
      </c>
      <c r="P78">
        <v>6</v>
      </c>
      <c r="Q78">
        <v>1</v>
      </c>
      <c r="R78">
        <v>1</v>
      </c>
      <c r="S78">
        <v>10</v>
      </c>
      <c r="T78">
        <v>9</v>
      </c>
      <c r="U78">
        <f>138+6*(N78)</f>
        <v>414</v>
      </c>
      <c r="V78">
        <v>414</v>
      </c>
      <c r="W78">
        <v>0</v>
      </c>
    </row>
    <row r="79" spans="1:24" x14ac:dyDescent="0.25">
      <c r="A79" t="s">
        <v>50</v>
      </c>
      <c r="B79">
        <v>12</v>
      </c>
      <c r="C79" t="s">
        <v>11</v>
      </c>
      <c r="D79" t="s">
        <v>95</v>
      </c>
      <c r="E79" t="s">
        <v>111</v>
      </c>
      <c r="F79" t="s">
        <v>222</v>
      </c>
      <c r="G79" t="s">
        <v>120</v>
      </c>
      <c r="H79" t="str">
        <f t="shared" si="3"/>
        <v>Shade.Solo</v>
      </c>
      <c r="I79" t="str">
        <f t="shared" si="4"/>
        <v>P.canescens.Solo</v>
      </c>
      <c r="J79" t="str">
        <f t="shared" si="5"/>
        <v>12A.P.canescens.Solo</v>
      </c>
      <c r="K79">
        <v>3</v>
      </c>
      <c r="L79">
        <f>41+48+42</f>
        <v>131</v>
      </c>
      <c r="M79">
        <v>3</v>
      </c>
      <c r="N79">
        <f>131/3</f>
        <v>43.666666666666664</v>
      </c>
      <c r="O79">
        <v>0</v>
      </c>
      <c r="P79">
        <v>12</v>
      </c>
      <c r="Q79">
        <v>1</v>
      </c>
      <c r="R79">
        <v>0</v>
      </c>
      <c r="S79">
        <v>16</v>
      </c>
      <c r="T79">
        <v>15</v>
      </c>
      <c r="U79">
        <f>131+(12*N79)</f>
        <v>655</v>
      </c>
      <c r="V79">
        <v>655</v>
      </c>
      <c r="W79">
        <v>0</v>
      </c>
    </row>
    <row r="80" spans="1:24" x14ac:dyDescent="0.25">
      <c r="A80" t="s">
        <v>50</v>
      </c>
      <c r="B80">
        <v>12</v>
      </c>
      <c r="C80" t="s">
        <v>11</v>
      </c>
      <c r="D80" t="s">
        <v>95</v>
      </c>
      <c r="E80" t="s">
        <v>104</v>
      </c>
      <c r="F80" t="s">
        <v>222</v>
      </c>
      <c r="G80" t="s">
        <v>145</v>
      </c>
      <c r="H80" t="str">
        <f t="shared" si="3"/>
        <v>Shade.Highcomp</v>
      </c>
      <c r="I80" t="str">
        <f t="shared" si="4"/>
        <v>T.cyanopetala.Highcomp</v>
      </c>
      <c r="J80" t="str">
        <f t="shared" si="5"/>
        <v>12A.T.cyanopetala.Highcomp</v>
      </c>
      <c r="K80">
        <v>2</v>
      </c>
      <c r="L80">
        <v>6</v>
      </c>
      <c r="M80">
        <v>2</v>
      </c>
      <c r="N80">
        <v>3</v>
      </c>
      <c r="O80">
        <v>0</v>
      </c>
      <c r="P80">
        <v>0</v>
      </c>
      <c r="Q80">
        <v>0</v>
      </c>
      <c r="R80">
        <v>0</v>
      </c>
      <c r="S80">
        <v>2</v>
      </c>
      <c r="T80">
        <v>2</v>
      </c>
      <c r="U80">
        <v>6</v>
      </c>
      <c r="V80">
        <v>6</v>
      </c>
      <c r="W80">
        <v>0</v>
      </c>
    </row>
    <row r="81" spans="1:24" x14ac:dyDescent="0.25">
      <c r="A81" t="s">
        <v>50</v>
      </c>
      <c r="B81">
        <v>12</v>
      </c>
      <c r="C81" t="s">
        <v>11</v>
      </c>
      <c r="D81" t="s">
        <v>95</v>
      </c>
      <c r="E81" t="s">
        <v>104</v>
      </c>
      <c r="F81" t="s">
        <v>222</v>
      </c>
      <c r="G81" t="s">
        <v>120</v>
      </c>
      <c r="H81" t="str">
        <f t="shared" si="3"/>
        <v>Shade.Solo</v>
      </c>
      <c r="I81" t="str">
        <f t="shared" si="4"/>
        <v>T.cyanopetala.Solo</v>
      </c>
      <c r="J81" t="str">
        <f t="shared" si="5"/>
        <v>12A.T.cyanopetala.Solo</v>
      </c>
      <c r="K81">
        <v>5</v>
      </c>
      <c r="L81">
        <v>20</v>
      </c>
      <c r="M81">
        <v>5</v>
      </c>
      <c r="N81">
        <v>4</v>
      </c>
      <c r="O81">
        <v>0</v>
      </c>
      <c r="P81">
        <v>0</v>
      </c>
      <c r="Q81">
        <v>0</v>
      </c>
      <c r="R81">
        <v>0</v>
      </c>
      <c r="S81">
        <v>5</v>
      </c>
      <c r="T81">
        <v>5</v>
      </c>
      <c r="U81">
        <v>20</v>
      </c>
      <c r="V81">
        <v>20</v>
      </c>
      <c r="W81">
        <v>0</v>
      </c>
    </row>
    <row r="82" spans="1:24" x14ac:dyDescent="0.25">
      <c r="A82" t="s">
        <v>51</v>
      </c>
      <c r="B82">
        <v>12</v>
      </c>
      <c r="C82" t="s">
        <v>15</v>
      </c>
      <c r="D82" t="s">
        <v>94</v>
      </c>
      <c r="E82" t="s">
        <v>105</v>
      </c>
      <c r="F82" t="s">
        <v>221</v>
      </c>
      <c r="G82" t="s">
        <v>145</v>
      </c>
      <c r="H82" t="str">
        <f t="shared" si="3"/>
        <v>Open.Highcomp</v>
      </c>
      <c r="I82" t="str">
        <f t="shared" si="4"/>
        <v>H.glabra.Highcomp</v>
      </c>
      <c r="J82" t="str">
        <f t="shared" si="5"/>
        <v>12B.H.glabra.Highcomp</v>
      </c>
      <c r="K82">
        <v>2</v>
      </c>
      <c r="L82">
        <f>68+37</f>
        <v>105</v>
      </c>
      <c r="M82">
        <v>2</v>
      </c>
      <c r="N82">
        <f>105/2</f>
        <v>52.5</v>
      </c>
      <c r="O82">
        <v>1</v>
      </c>
      <c r="P82">
        <v>0</v>
      </c>
      <c r="Q82">
        <v>0</v>
      </c>
      <c r="R82">
        <v>0</v>
      </c>
      <c r="S82">
        <v>3</v>
      </c>
      <c r="T82">
        <v>3</v>
      </c>
      <c r="U82">
        <f>105+52.5</f>
        <v>157.5</v>
      </c>
      <c r="V82">
        <v>158</v>
      </c>
      <c r="W82">
        <v>0</v>
      </c>
    </row>
    <row r="83" spans="1:24" x14ac:dyDescent="0.25">
      <c r="A83" t="s">
        <v>51</v>
      </c>
      <c r="B83">
        <v>12</v>
      </c>
      <c r="C83" t="s">
        <v>15</v>
      </c>
      <c r="D83" t="s">
        <v>94</v>
      </c>
      <c r="E83" t="s">
        <v>105</v>
      </c>
      <c r="F83" t="s">
        <v>221</v>
      </c>
      <c r="G83" t="s">
        <v>120</v>
      </c>
      <c r="H83" t="str">
        <f t="shared" si="3"/>
        <v>Open.Solo</v>
      </c>
      <c r="I83" t="str">
        <f t="shared" si="4"/>
        <v>H.glabra.Solo</v>
      </c>
      <c r="J83" t="str">
        <f t="shared" si="5"/>
        <v>12B.H.glabra.Solo</v>
      </c>
      <c r="K83">
        <v>4</v>
      </c>
      <c r="L83">
        <f>82+59+14+14</f>
        <v>169</v>
      </c>
      <c r="M83">
        <v>4</v>
      </c>
      <c r="N83">
        <f>169/4</f>
        <v>42.25</v>
      </c>
      <c r="O83">
        <v>4</v>
      </c>
      <c r="P83">
        <v>0</v>
      </c>
      <c r="Q83">
        <v>2</v>
      </c>
      <c r="R83">
        <v>0</v>
      </c>
      <c r="S83">
        <v>10</v>
      </c>
      <c r="T83">
        <v>8</v>
      </c>
      <c r="U83">
        <f>169+(4*N83)</f>
        <v>338</v>
      </c>
      <c r="V83">
        <v>338</v>
      </c>
      <c r="W83">
        <v>0</v>
      </c>
    </row>
    <row r="84" spans="1:24" x14ac:dyDescent="0.25">
      <c r="A84" t="s">
        <v>51</v>
      </c>
      <c r="B84">
        <v>12</v>
      </c>
      <c r="C84" t="s">
        <v>15</v>
      </c>
      <c r="D84" t="s">
        <v>94</v>
      </c>
      <c r="E84" t="s">
        <v>111</v>
      </c>
      <c r="F84" t="s">
        <v>222</v>
      </c>
      <c r="G84" t="s">
        <v>145</v>
      </c>
      <c r="H84" t="str">
        <f t="shared" si="3"/>
        <v>Open.Highcomp</v>
      </c>
      <c r="I84" t="str">
        <f t="shared" si="4"/>
        <v>P.canescens.Highcomp</v>
      </c>
      <c r="J84" t="str">
        <f t="shared" si="5"/>
        <v>12B.P.canescens.Highcomp</v>
      </c>
      <c r="K84">
        <v>0</v>
      </c>
      <c r="L84">
        <v>0</v>
      </c>
      <c r="M84">
        <v>0</v>
      </c>
      <c r="N84" t="s">
        <v>114</v>
      </c>
      <c r="O84">
        <v>1</v>
      </c>
      <c r="P84">
        <v>14</v>
      </c>
      <c r="Q84">
        <v>3</v>
      </c>
      <c r="R84">
        <v>0</v>
      </c>
      <c r="S84">
        <v>18</v>
      </c>
      <c r="T84">
        <v>15</v>
      </c>
      <c r="U84" t="s">
        <v>114</v>
      </c>
      <c r="V84" t="s">
        <v>114</v>
      </c>
      <c r="W84">
        <v>0</v>
      </c>
    </row>
    <row r="85" spans="1:24" x14ac:dyDescent="0.25">
      <c r="A85" t="s">
        <v>51</v>
      </c>
      <c r="B85">
        <v>12</v>
      </c>
      <c r="C85" t="s">
        <v>15</v>
      </c>
      <c r="D85" t="s">
        <v>94</v>
      </c>
      <c r="E85" t="s">
        <v>111</v>
      </c>
      <c r="F85" t="s">
        <v>222</v>
      </c>
      <c r="G85" t="s">
        <v>120</v>
      </c>
      <c r="H85" t="str">
        <f t="shared" si="3"/>
        <v>Open.Solo</v>
      </c>
      <c r="I85" t="str">
        <f t="shared" si="4"/>
        <v>P.canescens.Solo</v>
      </c>
      <c r="J85" t="str">
        <f t="shared" si="5"/>
        <v>12B.P.canescens.Solo</v>
      </c>
      <c r="K85">
        <v>3</v>
      </c>
      <c r="L85">
        <f>53</f>
        <v>53</v>
      </c>
      <c r="M85">
        <v>3</v>
      </c>
      <c r="N85">
        <f>53/3</f>
        <v>17.666666666666668</v>
      </c>
      <c r="O85">
        <v>1</v>
      </c>
      <c r="P85">
        <v>21</v>
      </c>
      <c r="Q85">
        <v>2</v>
      </c>
      <c r="R85">
        <v>1</v>
      </c>
      <c r="S85">
        <v>26</v>
      </c>
      <c r="T85">
        <v>24</v>
      </c>
      <c r="U85">
        <f>53+(21*N85)</f>
        <v>424</v>
      </c>
      <c r="V85">
        <v>424</v>
      </c>
      <c r="W85">
        <v>0</v>
      </c>
    </row>
    <row r="86" spans="1:24" x14ac:dyDescent="0.25">
      <c r="A86" t="s">
        <v>51</v>
      </c>
      <c r="B86">
        <v>12</v>
      </c>
      <c r="C86" t="s">
        <v>15</v>
      </c>
      <c r="D86" t="s">
        <v>94</v>
      </c>
      <c r="E86" t="s">
        <v>112</v>
      </c>
      <c r="F86" t="s">
        <v>222</v>
      </c>
      <c r="G86" t="s">
        <v>145</v>
      </c>
      <c r="H86" t="str">
        <f t="shared" si="3"/>
        <v>Open.Highcomp</v>
      </c>
      <c r="I86" t="str">
        <f t="shared" si="4"/>
        <v>V.rosea.Highcomp</v>
      </c>
      <c r="J86" t="str">
        <f t="shared" si="5"/>
        <v>12B.V.rosea.Highcomp</v>
      </c>
      <c r="K86">
        <v>62</v>
      </c>
      <c r="L86">
        <f>12+12+10+10+13</f>
        <v>57</v>
      </c>
      <c r="M86">
        <v>15</v>
      </c>
      <c r="N86">
        <f>57/15</f>
        <v>3.8</v>
      </c>
      <c r="O86">
        <v>11</v>
      </c>
      <c r="P86">
        <v>0</v>
      </c>
      <c r="Q86">
        <v>0</v>
      </c>
      <c r="R86">
        <v>0</v>
      </c>
      <c r="S86">
        <v>73</v>
      </c>
      <c r="T86">
        <v>73</v>
      </c>
      <c r="U86">
        <f>57+(58*3.8)</f>
        <v>277.39999999999998</v>
      </c>
      <c r="V86">
        <v>277</v>
      </c>
      <c r="W86">
        <v>0</v>
      </c>
    </row>
    <row r="87" spans="1:24" x14ac:dyDescent="0.25">
      <c r="A87" t="s">
        <v>51</v>
      </c>
      <c r="B87">
        <v>12</v>
      </c>
      <c r="C87" t="s">
        <v>15</v>
      </c>
      <c r="D87" t="s">
        <v>94</v>
      </c>
      <c r="E87" t="s">
        <v>112</v>
      </c>
      <c r="F87" t="s">
        <v>222</v>
      </c>
      <c r="G87" t="s">
        <v>120</v>
      </c>
      <c r="H87" t="str">
        <f t="shared" si="3"/>
        <v>Open.Solo</v>
      </c>
      <c r="I87" t="str">
        <f t="shared" si="4"/>
        <v>V.rosea.Solo</v>
      </c>
      <c r="J87" t="str">
        <f t="shared" si="5"/>
        <v>12B.V.rosea.Solo</v>
      </c>
      <c r="K87">
        <v>79</v>
      </c>
      <c r="L87">
        <f>12+10+14+15+16</f>
        <v>67</v>
      </c>
      <c r="M87">
        <v>15</v>
      </c>
      <c r="N87">
        <f>67/15</f>
        <v>4.4666666666666668</v>
      </c>
      <c r="O87">
        <v>3</v>
      </c>
      <c r="P87">
        <v>7</v>
      </c>
      <c r="Q87">
        <v>0</v>
      </c>
      <c r="R87">
        <v>0</v>
      </c>
      <c r="S87">
        <v>89</v>
      </c>
      <c r="T87">
        <v>82</v>
      </c>
      <c r="U87">
        <f>67+(67*N87)</f>
        <v>366.26666666666665</v>
      </c>
      <c r="V87">
        <v>366</v>
      </c>
      <c r="W87">
        <v>0</v>
      </c>
    </row>
    <row r="88" spans="1:24" x14ac:dyDescent="0.25">
      <c r="A88" t="s">
        <v>52</v>
      </c>
      <c r="B88">
        <v>12</v>
      </c>
      <c r="C88" t="s">
        <v>17</v>
      </c>
      <c r="D88" t="s">
        <v>95</v>
      </c>
      <c r="E88" t="s">
        <v>102</v>
      </c>
      <c r="F88" t="s">
        <v>221</v>
      </c>
      <c r="G88" t="s">
        <v>145</v>
      </c>
      <c r="H88" t="str">
        <f t="shared" si="3"/>
        <v>Shade.Highcomp</v>
      </c>
      <c r="I88" t="str">
        <f t="shared" si="4"/>
        <v>A.calendula.Highcomp</v>
      </c>
      <c r="J88" t="str">
        <f t="shared" si="5"/>
        <v>12C.A.calendula.Highcomp</v>
      </c>
      <c r="K88">
        <v>3</v>
      </c>
      <c r="L88">
        <f>23+56+18</f>
        <v>97</v>
      </c>
      <c r="M88">
        <v>3</v>
      </c>
      <c r="N88">
        <f>97/3</f>
        <v>32.333333333333336</v>
      </c>
      <c r="O88">
        <v>17</v>
      </c>
      <c r="P88">
        <v>0</v>
      </c>
      <c r="Q88">
        <v>0</v>
      </c>
      <c r="R88">
        <v>0</v>
      </c>
      <c r="S88">
        <v>20</v>
      </c>
      <c r="T88">
        <v>20</v>
      </c>
      <c r="U88">
        <f>97+(17*N88)</f>
        <v>646.66666666666674</v>
      </c>
      <c r="V88">
        <v>647</v>
      </c>
      <c r="W88">
        <v>0</v>
      </c>
    </row>
    <row r="89" spans="1:24" x14ac:dyDescent="0.25">
      <c r="A89" t="s">
        <v>52</v>
      </c>
      <c r="B89">
        <v>12</v>
      </c>
      <c r="C89" t="s">
        <v>17</v>
      </c>
      <c r="D89" t="s">
        <v>95</v>
      </c>
      <c r="E89" t="s">
        <v>102</v>
      </c>
      <c r="F89" t="s">
        <v>221</v>
      </c>
      <c r="G89" t="s">
        <v>120</v>
      </c>
      <c r="H89" t="str">
        <f t="shared" si="3"/>
        <v>Shade.Solo</v>
      </c>
      <c r="I89" t="str">
        <f t="shared" si="4"/>
        <v>A.calendula.Solo</v>
      </c>
      <c r="J89" t="str">
        <f t="shared" si="5"/>
        <v>12C.A.calendula.Solo</v>
      </c>
      <c r="K89">
        <v>4</v>
      </c>
      <c r="L89">
        <f>45+41+33+13</f>
        <v>132</v>
      </c>
      <c r="M89">
        <v>4</v>
      </c>
      <c r="N89">
        <f>132/4</f>
        <v>33</v>
      </c>
      <c r="O89">
        <v>24</v>
      </c>
      <c r="P89">
        <v>1</v>
      </c>
      <c r="Q89">
        <v>0</v>
      </c>
      <c r="R89">
        <v>0</v>
      </c>
      <c r="S89">
        <v>29</v>
      </c>
      <c r="T89">
        <v>28</v>
      </c>
      <c r="U89">
        <f>132+(24*N89)</f>
        <v>924</v>
      </c>
      <c r="V89">
        <v>924</v>
      </c>
      <c r="W89">
        <v>0</v>
      </c>
    </row>
    <row r="90" spans="1:24" x14ac:dyDescent="0.25">
      <c r="A90" t="s">
        <v>52</v>
      </c>
      <c r="B90">
        <v>12</v>
      </c>
      <c r="C90" t="s">
        <v>17</v>
      </c>
      <c r="D90" t="s">
        <v>95</v>
      </c>
      <c r="E90" t="s">
        <v>103</v>
      </c>
      <c r="F90" t="s">
        <v>221</v>
      </c>
      <c r="G90" t="s">
        <v>145</v>
      </c>
      <c r="H90" t="str">
        <f t="shared" si="3"/>
        <v>Shade.Highcomp</v>
      </c>
      <c r="I90" t="str">
        <f t="shared" si="4"/>
        <v>P.airoides.Highcomp</v>
      </c>
      <c r="J90" t="str">
        <f t="shared" si="5"/>
        <v>12C.P.airoides.Highcomp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 t="s">
        <v>188</v>
      </c>
    </row>
    <row r="91" spans="1:24" x14ac:dyDescent="0.25">
      <c r="A91" t="s">
        <v>52</v>
      </c>
      <c r="B91">
        <v>12</v>
      </c>
      <c r="C91" t="s">
        <v>17</v>
      </c>
      <c r="D91" t="s">
        <v>95</v>
      </c>
      <c r="E91" t="s">
        <v>103</v>
      </c>
      <c r="F91" t="s">
        <v>221</v>
      </c>
      <c r="G91" t="s">
        <v>120</v>
      </c>
      <c r="H91" t="str">
        <f t="shared" si="3"/>
        <v>Shade.Solo</v>
      </c>
      <c r="I91" t="str">
        <f t="shared" si="4"/>
        <v>P.airoides.Solo</v>
      </c>
      <c r="J91" t="str">
        <f t="shared" si="5"/>
        <v>12C.P.airoides.Solo</v>
      </c>
      <c r="K91">
        <v>4</v>
      </c>
      <c r="L91">
        <f>25+44+43+65</f>
        <v>177</v>
      </c>
      <c r="M91">
        <v>4</v>
      </c>
      <c r="N91">
        <f>177/4</f>
        <v>44.25</v>
      </c>
      <c r="O91">
        <v>0</v>
      </c>
      <c r="P91">
        <v>0</v>
      </c>
      <c r="Q91">
        <v>0</v>
      </c>
      <c r="R91">
        <v>0</v>
      </c>
      <c r="S91">
        <v>4</v>
      </c>
      <c r="T91">
        <v>4</v>
      </c>
      <c r="U91">
        <v>177</v>
      </c>
      <c r="V91">
        <v>177</v>
      </c>
      <c r="W91">
        <v>0</v>
      </c>
    </row>
    <row r="92" spans="1:24" x14ac:dyDescent="0.25">
      <c r="A92" t="s">
        <v>52</v>
      </c>
      <c r="B92">
        <v>12</v>
      </c>
      <c r="C92" t="s">
        <v>17</v>
      </c>
      <c r="D92" t="s">
        <v>95</v>
      </c>
      <c r="E92" t="s">
        <v>111</v>
      </c>
      <c r="F92" t="s">
        <v>222</v>
      </c>
      <c r="G92" t="s">
        <v>145</v>
      </c>
      <c r="H92" t="str">
        <f t="shared" si="3"/>
        <v>Shade.Highcomp</v>
      </c>
      <c r="I92" t="str">
        <f t="shared" si="4"/>
        <v>P.canescens.Highcomp</v>
      </c>
      <c r="J92" t="str">
        <f t="shared" si="5"/>
        <v>12C.P.canescens.Highcomp</v>
      </c>
      <c r="K92">
        <v>4</v>
      </c>
      <c r="L92">
        <f>35+23</f>
        <v>58</v>
      </c>
      <c r="M92">
        <v>4</v>
      </c>
      <c r="N92">
        <f>58/4</f>
        <v>14.5</v>
      </c>
      <c r="O92">
        <v>5</v>
      </c>
      <c r="P92">
        <v>13</v>
      </c>
      <c r="Q92">
        <v>5</v>
      </c>
      <c r="R92">
        <v>1</v>
      </c>
      <c r="S92">
        <v>27</v>
      </c>
      <c r="T92">
        <v>22</v>
      </c>
      <c r="U92">
        <f>58+(18*N92)</f>
        <v>319</v>
      </c>
      <c r="V92">
        <v>319</v>
      </c>
      <c r="W92">
        <v>0</v>
      </c>
    </row>
    <row r="93" spans="1:24" x14ac:dyDescent="0.25">
      <c r="A93" t="s">
        <v>52</v>
      </c>
      <c r="B93">
        <v>12</v>
      </c>
      <c r="C93" t="s">
        <v>17</v>
      </c>
      <c r="D93" t="s">
        <v>95</v>
      </c>
      <c r="E93" t="s">
        <v>111</v>
      </c>
      <c r="F93" t="s">
        <v>222</v>
      </c>
      <c r="G93" t="s">
        <v>120</v>
      </c>
      <c r="H93" t="str">
        <f t="shared" si="3"/>
        <v>Shade.Solo</v>
      </c>
      <c r="I93" t="str">
        <f t="shared" si="4"/>
        <v>P.canescens.Solo</v>
      </c>
      <c r="J93" t="str">
        <f t="shared" si="5"/>
        <v>12C.P.canescens.Solo</v>
      </c>
      <c r="K93">
        <v>6</v>
      </c>
      <c r="L93">
        <f>20+24+88+72</f>
        <v>204</v>
      </c>
      <c r="M93">
        <v>6</v>
      </c>
      <c r="N93">
        <f>204/6</f>
        <v>34</v>
      </c>
      <c r="O93">
        <v>0</v>
      </c>
      <c r="P93">
        <v>17</v>
      </c>
      <c r="Q93">
        <v>0</v>
      </c>
      <c r="R93">
        <v>1</v>
      </c>
      <c r="S93">
        <v>23</v>
      </c>
      <c r="T93">
        <v>23</v>
      </c>
      <c r="U93">
        <f>204+(17*34)</f>
        <v>782</v>
      </c>
      <c r="V93">
        <v>782</v>
      </c>
      <c r="W93">
        <v>0</v>
      </c>
    </row>
    <row r="94" spans="1:24" x14ac:dyDescent="0.25">
      <c r="A94" t="s">
        <v>52</v>
      </c>
      <c r="B94">
        <v>12</v>
      </c>
      <c r="C94" t="s">
        <v>17</v>
      </c>
      <c r="D94" t="s">
        <v>95</v>
      </c>
      <c r="E94" t="s">
        <v>112</v>
      </c>
      <c r="F94" t="s">
        <v>222</v>
      </c>
      <c r="G94" t="s">
        <v>145</v>
      </c>
      <c r="H94" t="str">
        <f t="shared" si="3"/>
        <v>Shade.Highcomp</v>
      </c>
      <c r="I94" t="str">
        <f t="shared" si="4"/>
        <v>V.rosea.Highcomp</v>
      </c>
      <c r="J94" t="str">
        <f t="shared" si="5"/>
        <v>12C.V.rosea.Highcomp</v>
      </c>
      <c r="K94">
        <v>10</v>
      </c>
      <c r="L94">
        <f>15+15+7</f>
        <v>37</v>
      </c>
      <c r="M94">
        <v>10</v>
      </c>
      <c r="N94">
        <v>3.7</v>
      </c>
      <c r="O94">
        <v>0</v>
      </c>
      <c r="P94">
        <v>1</v>
      </c>
      <c r="Q94">
        <v>2</v>
      </c>
      <c r="R94">
        <v>0</v>
      </c>
      <c r="S94">
        <v>13</v>
      </c>
      <c r="T94">
        <v>10</v>
      </c>
      <c r="U94">
        <v>37</v>
      </c>
      <c r="V94">
        <v>37</v>
      </c>
      <c r="W94">
        <v>0</v>
      </c>
    </row>
    <row r="95" spans="1:24" x14ac:dyDescent="0.25">
      <c r="A95" t="s">
        <v>52</v>
      </c>
      <c r="B95">
        <v>12</v>
      </c>
      <c r="C95" t="s">
        <v>17</v>
      </c>
      <c r="D95" t="s">
        <v>95</v>
      </c>
      <c r="E95" t="s">
        <v>112</v>
      </c>
      <c r="F95" t="s">
        <v>222</v>
      </c>
      <c r="G95" t="s">
        <v>120</v>
      </c>
      <c r="H95" t="str">
        <f t="shared" si="3"/>
        <v>Shade.Solo</v>
      </c>
      <c r="I95" t="str">
        <f t="shared" si="4"/>
        <v>V.rosea.Solo</v>
      </c>
      <c r="J95" t="str">
        <f t="shared" si="5"/>
        <v>12C.V.rosea.Solo</v>
      </c>
      <c r="K95">
        <v>72</v>
      </c>
      <c r="L95">
        <f>15+13+15+15+17</f>
        <v>75</v>
      </c>
      <c r="M95">
        <v>21</v>
      </c>
      <c r="N95">
        <f>75/21</f>
        <v>3.5714285714285716</v>
      </c>
      <c r="O95">
        <v>0</v>
      </c>
      <c r="P95">
        <v>4</v>
      </c>
      <c r="Q95">
        <v>16</v>
      </c>
      <c r="R95">
        <v>1</v>
      </c>
      <c r="S95">
        <v>92</v>
      </c>
      <c r="T95">
        <v>72</v>
      </c>
      <c r="U95">
        <f>75+(51*N95)</f>
        <v>257.14285714285711</v>
      </c>
      <c r="V95">
        <v>257</v>
      </c>
      <c r="W95">
        <v>0</v>
      </c>
    </row>
    <row r="96" spans="1:24" x14ac:dyDescent="0.25">
      <c r="A96" t="s">
        <v>53</v>
      </c>
      <c r="B96">
        <v>12</v>
      </c>
      <c r="C96" t="s">
        <v>19</v>
      </c>
      <c r="D96" t="s">
        <v>94</v>
      </c>
      <c r="E96" t="s">
        <v>102</v>
      </c>
      <c r="F96" t="s">
        <v>221</v>
      </c>
      <c r="G96" t="s">
        <v>145</v>
      </c>
      <c r="H96" t="str">
        <f t="shared" si="3"/>
        <v>Open.Highcomp</v>
      </c>
      <c r="I96" t="str">
        <f t="shared" si="4"/>
        <v>A.calendula.Highcomp</v>
      </c>
      <c r="J96" t="str">
        <f t="shared" si="5"/>
        <v>12D.A.calendula.Highcomp</v>
      </c>
      <c r="K96">
        <v>5</v>
      </c>
      <c r="L96">
        <f>37+39+41+44+45</f>
        <v>206</v>
      </c>
      <c r="M96">
        <v>5</v>
      </c>
      <c r="N96">
        <f>206/5</f>
        <v>41.2</v>
      </c>
      <c r="O96">
        <v>5</v>
      </c>
      <c r="P96">
        <v>0</v>
      </c>
      <c r="Q96">
        <v>5</v>
      </c>
      <c r="R96">
        <v>0</v>
      </c>
      <c r="S96">
        <v>15</v>
      </c>
      <c r="T96">
        <v>10</v>
      </c>
      <c r="U96">
        <f>206+(N96*5)</f>
        <v>412</v>
      </c>
      <c r="V96">
        <v>412</v>
      </c>
      <c r="W96">
        <v>0</v>
      </c>
      <c r="X96" t="s">
        <v>217</v>
      </c>
    </row>
    <row r="97" spans="1:24" x14ac:dyDescent="0.25">
      <c r="A97" t="s">
        <v>53</v>
      </c>
      <c r="B97">
        <v>12</v>
      </c>
      <c r="C97" t="s">
        <v>19</v>
      </c>
      <c r="D97" t="s">
        <v>94</v>
      </c>
      <c r="E97" t="s">
        <v>102</v>
      </c>
      <c r="F97" t="s">
        <v>221</v>
      </c>
      <c r="G97" t="s">
        <v>120</v>
      </c>
      <c r="H97" t="str">
        <f t="shared" si="3"/>
        <v>Open.Solo</v>
      </c>
      <c r="I97" t="str">
        <f t="shared" si="4"/>
        <v>A.calendula.Solo</v>
      </c>
      <c r="J97" t="str">
        <f t="shared" si="5"/>
        <v>12D.A.calendula.Solo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 t="s">
        <v>188</v>
      </c>
    </row>
    <row r="98" spans="1:24" x14ac:dyDescent="0.25">
      <c r="A98" t="s">
        <v>53</v>
      </c>
      <c r="B98">
        <v>12</v>
      </c>
      <c r="C98" t="s">
        <v>19</v>
      </c>
      <c r="D98" t="s">
        <v>94</v>
      </c>
      <c r="E98" t="s">
        <v>113</v>
      </c>
      <c r="F98" t="s">
        <v>222</v>
      </c>
      <c r="G98" t="s">
        <v>145</v>
      </c>
      <c r="H98" t="str">
        <f t="shared" si="3"/>
        <v>Open.Highcomp</v>
      </c>
      <c r="I98" t="str">
        <f t="shared" si="4"/>
        <v>H.glutinosum.Highcomp</v>
      </c>
      <c r="J98" t="str">
        <f t="shared" si="5"/>
        <v>12D.H.glutinosum.Highcomp</v>
      </c>
      <c r="K98">
        <v>1</v>
      </c>
      <c r="L98">
        <v>2</v>
      </c>
      <c r="M98">
        <v>1</v>
      </c>
      <c r="N98">
        <v>2</v>
      </c>
      <c r="O98">
        <v>0</v>
      </c>
      <c r="P98">
        <v>0</v>
      </c>
      <c r="Q98">
        <v>0</v>
      </c>
      <c r="R98">
        <v>0</v>
      </c>
      <c r="S98">
        <v>1</v>
      </c>
      <c r="T98">
        <v>1</v>
      </c>
      <c r="U98">
        <v>2</v>
      </c>
      <c r="V98">
        <v>2</v>
      </c>
      <c r="W98">
        <v>0</v>
      </c>
    </row>
    <row r="99" spans="1:24" x14ac:dyDescent="0.25">
      <c r="A99" t="s">
        <v>53</v>
      </c>
      <c r="B99">
        <v>12</v>
      </c>
      <c r="C99" t="s">
        <v>19</v>
      </c>
      <c r="D99" t="s">
        <v>94</v>
      </c>
      <c r="E99" t="s">
        <v>113</v>
      </c>
      <c r="F99" t="s">
        <v>222</v>
      </c>
      <c r="G99" t="s">
        <v>120</v>
      </c>
      <c r="H99" t="str">
        <f t="shared" si="3"/>
        <v>Open.Solo</v>
      </c>
      <c r="I99" t="str">
        <f t="shared" si="4"/>
        <v>H.glutinosum.Solo</v>
      </c>
      <c r="J99" t="str">
        <f t="shared" si="5"/>
        <v>12D.H.glutinosum.Solo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 t="s">
        <v>188</v>
      </c>
    </row>
    <row r="100" spans="1:24" x14ac:dyDescent="0.25">
      <c r="A100" t="s">
        <v>53</v>
      </c>
      <c r="B100">
        <v>12</v>
      </c>
      <c r="C100" t="s">
        <v>19</v>
      </c>
      <c r="D100" t="s">
        <v>94</v>
      </c>
      <c r="E100" t="s">
        <v>103</v>
      </c>
      <c r="F100" t="s">
        <v>221</v>
      </c>
      <c r="G100" t="s">
        <v>145</v>
      </c>
      <c r="H100" t="str">
        <f t="shared" si="3"/>
        <v>Open.Highcomp</v>
      </c>
      <c r="I100" t="str">
        <f t="shared" si="4"/>
        <v>P.airoides.Highcomp</v>
      </c>
      <c r="J100" t="str">
        <f t="shared" si="5"/>
        <v>12D.P.airoides.Highcomp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 t="s">
        <v>188</v>
      </c>
    </row>
    <row r="101" spans="1:24" x14ac:dyDescent="0.25">
      <c r="A101" t="s">
        <v>53</v>
      </c>
      <c r="B101">
        <v>12</v>
      </c>
      <c r="C101" t="s">
        <v>19</v>
      </c>
      <c r="D101" t="s">
        <v>94</v>
      </c>
      <c r="E101" t="s">
        <v>103</v>
      </c>
      <c r="F101" t="s">
        <v>221</v>
      </c>
      <c r="G101" t="s">
        <v>120</v>
      </c>
      <c r="H101" t="str">
        <f t="shared" si="3"/>
        <v>Open.Solo</v>
      </c>
      <c r="I101" t="str">
        <f t="shared" si="4"/>
        <v>P.airoides.Solo</v>
      </c>
      <c r="J101" t="str">
        <f t="shared" si="5"/>
        <v>12D.P.airoides.Solo</v>
      </c>
      <c r="K101">
        <v>5</v>
      </c>
      <c r="L101">
        <f>110+75+88+105+63</f>
        <v>441</v>
      </c>
      <c r="M101">
        <v>5</v>
      </c>
      <c r="N101">
        <f>441/5</f>
        <v>88.2</v>
      </c>
      <c r="O101">
        <v>0</v>
      </c>
      <c r="P101">
        <v>0</v>
      </c>
      <c r="Q101">
        <v>0</v>
      </c>
      <c r="R101">
        <v>0</v>
      </c>
      <c r="S101">
        <v>5</v>
      </c>
      <c r="T101">
        <v>5</v>
      </c>
      <c r="U101">
        <v>441</v>
      </c>
      <c r="V101">
        <v>441</v>
      </c>
      <c r="W101">
        <v>0</v>
      </c>
    </row>
    <row r="102" spans="1:24" x14ac:dyDescent="0.25">
      <c r="A102" t="s">
        <v>53</v>
      </c>
      <c r="B102">
        <v>12</v>
      </c>
      <c r="C102" t="s">
        <v>19</v>
      </c>
      <c r="D102" t="s">
        <v>94</v>
      </c>
      <c r="E102" t="s">
        <v>112</v>
      </c>
      <c r="F102" t="s">
        <v>222</v>
      </c>
      <c r="G102" t="s">
        <v>145</v>
      </c>
      <c r="H102" t="str">
        <f t="shared" si="3"/>
        <v>Open.Highcomp</v>
      </c>
      <c r="I102" t="str">
        <f t="shared" si="4"/>
        <v>V.rosea.Highcomp</v>
      </c>
      <c r="J102" t="str">
        <f t="shared" si="5"/>
        <v>12D.V.rosea.Highcomp</v>
      </c>
      <c r="K102">
        <v>6</v>
      </c>
      <c r="L102">
        <f>3+3+4+4+2+4</f>
        <v>20</v>
      </c>
      <c r="M102">
        <v>6</v>
      </c>
      <c r="N102">
        <f>20/6</f>
        <v>3.3333333333333335</v>
      </c>
      <c r="O102">
        <v>2</v>
      </c>
      <c r="P102">
        <v>1</v>
      </c>
      <c r="Q102">
        <v>0</v>
      </c>
      <c r="R102">
        <v>1</v>
      </c>
      <c r="S102">
        <v>9</v>
      </c>
      <c r="T102">
        <v>8</v>
      </c>
      <c r="U102">
        <f>20+(N102*2)</f>
        <v>26.666666666666668</v>
      </c>
      <c r="V102">
        <v>27</v>
      </c>
      <c r="W102">
        <v>0</v>
      </c>
    </row>
    <row r="103" spans="1:24" x14ac:dyDescent="0.25">
      <c r="A103" t="s">
        <v>53</v>
      </c>
      <c r="B103">
        <v>12</v>
      </c>
      <c r="C103" t="s">
        <v>19</v>
      </c>
      <c r="D103" t="s">
        <v>94</v>
      </c>
      <c r="E103" t="s">
        <v>112</v>
      </c>
      <c r="F103" t="s">
        <v>222</v>
      </c>
      <c r="G103" t="s">
        <v>120</v>
      </c>
      <c r="H103" t="str">
        <f t="shared" si="3"/>
        <v>Open.Solo</v>
      </c>
      <c r="I103" t="str">
        <f t="shared" si="4"/>
        <v>V.rosea.Solo</v>
      </c>
      <c r="J103" t="str">
        <f t="shared" si="5"/>
        <v>12D.V.rosea.Solo</v>
      </c>
      <c r="K103">
        <v>11</v>
      </c>
      <c r="L103">
        <f>24+12</f>
        <v>36</v>
      </c>
      <c r="M103">
        <v>11</v>
      </c>
      <c r="N103">
        <f>36/11</f>
        <v>3.2727272727272729</v>
      </c>
      <c r="O103">
        <v>0</v>
      </c>
      <c r="P103">
        <v>4</v>
      </c>
      <c r="Q103">
        <v>0</v>
      </c>
      <c r="R103">
        <v>0</v>
      </c>
      <c r="S103">
        <v>15</v>
      </c>
      <c r="T103">
        <v>11</v>
      </c>
      <c r="U103">
        <v>36</v>
      </c>
      <c r="V103">
        <v>36</v>
      </c>
      <c r="W103">
        <v>0</v>
      </c>
    </row>
    <row r="104" spans="1:24" x14ac:dyDescent="0.25">
      <c r="A104" t="s">
        <v>54</v>
      </c>
      <c r="B104">
        <v>12</v>
      </c>
      <c r="C104" t="s">
        <v>21</v>
      </c>
      <c r="D104" t="s">
        <v>95</v>
      </c>
      <c r="E104" t="s">
        <v>113</v>
      </c>
      <c r="F104" t="s">
        <v>222</v>
      </c>
      <c r="G104" t="s">
        <v>145</v>
      </c>
      <c r="H104" t="str">
        <f t="shared" si="3"/>
        <v>Shade.Highcomp</v>
      </c>
      <c r="I104" t="str">
        <f t="shared" si="4"/>
        <v>H.glutinosum.Highcomp</v>
      </c>
      <c r="J104" t="str">
        <f t="shared" si="5"/>
        <v>12E.H.glutinosum.Highcomp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 t="s">
        <v>188</v>
      </c>
    </row>
    <row r="105" spans="1:24" x14ac:dyDescent="0.25">
      <c r="A105" t="s">
        <v>54</v>
      </c>
      <c r="B105">
        <v>12</v>
      </c>
      <c r="C105" t="s">
        <v>21</v>
      </c>
      <c r="D105" t="s">
        <v>95</v>
      </c>
      <c r="E105" t="s">
        <v>113</v>
      </c>
      <c r="F105" t="s">
        <v>222</v>
      </c>
      <c r="G105" t="s">
        <v>120</v>
      </c>
      <c r="H105" t="str">
        <f t="shared" si="3"/>
        <v>Shade.Solo</v>
      </c>
      <c r="I105" t="str">
        <f t="shared" si="4"/>
        <v>H.glutinosum.Solo</v>
      </c>
      <c r="J105" t="str">
        <f t="shared" si="5"/>
        <v>12E.H.glutinosum.Solo</v>
      </c>
      <c r="K105">
        <v>4</v>
      </c>
      <c r="L105">
        <v>7</v>
      </c>
      <c r="M105">
        <v>4</v>
      </c>
      <c r="N105">
        <f>L105/M105</f>
        <v>1.75</v>
      </c>
      <c r="O105">
        <v>0</v>
      </c>
      <c r="P105">
        <v>0</v>
      </c>
      <c r="Q105">
        <v>0</v>
      </c>
      <c r="R105">
        <v>1</v>
      </c>
      <c r="S105">
        <v>4</v>
      </c>
      <c r="T105">
        <v>4</v>
      </c>
      <c r="U105">
        <v>7</v>
      </c>
      <c r="V105">
        <v>7</v>
      </c>
      <c r="W105">
        <v>0</v>
      </c>
    </row>
    <row r="106" spans="1:24" x14ac:dyDescent="0.25">
      <c r="A106" t="s">
        <v>54</v>
      </c>
      <c r="B106">
        <v>12</v>
      </c>
      <c r="C106" t="s">
        <v>21</v>
      </c>
      <c r="D106" t="s">
        <v>95</v>
      </c>
      <c r="E106" t="s">
        <v>110</v>
      </c>
      <c r="F106" t="s">
        <v>221</v>
      </c>
      <c r="G106" t="s">
        <v>145</v>
      </c>
      <c r="H106" t="str">
        <f t="shared" si="3"/>
        <v>Shade.Highcomp</v>
      </c>
      <c r="I106" t="str">
        <f t="shared" si="4"/>
        <v>M.minima.Highcomp</v>
      </c>
      <c r="J106" t="str">
        <f t="shared" si="5"/>
        <v>12E.M.minima.Highcomp</v>
      </c>
      <c r="K106">
        <v>2</v>
      </c>
      <c r="L106">
        <v>2</v>
      </c>
      <c r="M106">
        <v>2</v>
      </c>
      <c r="N106">
        <v>1</v>
      </c>
      <c r="O106">
        <v>0</v>
      </c>
      <c r="P106">
        <v>0</v>
      </c>
      <c r="Q106">
        <v>0</v>
      </c>
      <c r="R106">
        <v>0</v>
      </c>
      <c r="S106">
        <v>2</v>
      </c>
      <c r="T106">
        <v>2</v>
      </c>
      <c r="U106">
        <v>2</v>
      </c>
      <c r="V106">
        <v>2</v>
      </c>
      <c r="W106">
        <v>0</v>
      </c>
    </row>
    <row r="107" spans="1:24" x14ac:dyDescent="0.25">
      <c r="A107" t="s">
        <v>54</v>
      </c>
      <c r="B107">
        <v>12</v>
      </c>
      <c r="C107" t="s">
        <v>21</v>
      </c>
      <c r="D107" t="s">
        <v>95</v>
      </c>
      <c r="E107" t="s">
        <v>110</v>
      </c>
      <c r="F107" t="s">
        <v>221</v>
      </c>
      <c r="G107" t="s">
        <v>120</v>
      </c>
      <c r="H107" t="str">
        <f t="shared" si="3"/>
        <v>Shade.Solo</v>
      </c>
      <c r="I107" t="str">
        <f t="shared" si="4"/>
        <v>M.minima.Solo</v>
      </c>
      <c r="J107" t="str">
        <f t="shared" si="5"/>
        <v>12E.M.minima.Solo</v>
      </c>
      <c r="K107">
        <v>3</v>
      </c>
      <c r="L107">
        <v>3</v>
      </c>
      <c r="M107">
        <v>3</v>
      </c>
      <c r="N107">
        <v>1</v>
      </c>
      <c r="O107">
        <v>0</v>
      </c>
      <c r="P107">
        <v>0</v>
      </c>
      <c r="Q107">
        <v>0</v>
      </c>
      <c r="R107">
        <v>0</v>
      </c>
      <c r="S107">
        <v>3</v>
      </c>
      <c r="T107">
        <v>3</v>
      </c>
      <c r="U107">
        <v>1</v>
      </c>
      <c r="V107">
        <v>1</v>
      </c>
      <c r="W107">
        <v>1</v>
      </c>
      <c r="X107" t="s">
        <v>187</v>
      </c>
    </row>
    <row r="108" spans="1:24" x14ac:dyDescent="0.25">
      <c r="A108" t="s">
        <v>54</v>
      </c>
      <c r="B108">
        <v>12</v>
      </c>
      <c r="C108" t="s">
        <v>21</v>
      </c>
      <c r="D108" t="s">
        <v>95</v>
      </c>
      <c r="E108" t="s">
        <v>111</v>
      </c>
      <c r="F108" t="s">
        <v>222</v>
      </c>
      <c r="G108" t="s">
        <v>145</v>
      </c>
      <c r="H108" t="str">
        <f t="shared" si="3"/>
        <v>Shade.Highcomp</v>
      </c>
      <c r="I108" t="str">
        <f t="shared" si="4"/>
        <v>P.canescens.Highcomp</v>
      </c>
      <c r="J108" t="str">
        <f t="shared" si="5"/>
        <v>12E.P.canescens.Highcomp</v>
      </c>
      <c r="K108">
        <v>13</v>
      </c>
      <c r="L108">
        <f>48+49+53+50+60+75+52+71+77+10</f>
        <v>545</v>
      </c>
      <c r="M108">
        <v>10</v>
      </c>
      <c r="N108">
        <f>L108/M108</f>
        <v>54.5</v>
      </c>
      <c r="O108">
        <v>0</v>
      </c>
      <c r="P108">
        <v>26</v>
      </c>
      <c r="Q108">
        <v>20</v>
      </c>
      <c r="R108">
        <v>1</v>
      </c>
      <c r="S108">
        <v>59</v>
      </c>
      <c r="T108">
        <v>39</v>
      </c>
      <c r="U108">
        <f>545+(N108*29)</f>
        <v>2125.5</v>
      </c>
      <c r="V108">
        <v>2126</v>
      </c>
      <c r="W108">
        <v>0</v>
      </c>
    </row>
    <row r="109" spans="1:24" x14ac:dyDescent="0.25">
      <c r="A109" t="s">
        <v>54</v>
      </c>
      <c r="B109">
        <v>12</v>
      </c>
      <c r="C109" t="s">
        <v>21</v>
      </c>
      <c r="D109" t="s">
        <v>95</v>
      </c>
      <c r="E109" t="s">
        <v>111</v>
      </c>
      <c r="F109" t="s">
        <v>222</v>
      </c>
      <c r="G109" t="s">
        <v>120</v>
      </c>
      <c r="H109" t="str">
        <f t="shared" si="3"/>
        <v>Shade.Solo</v>
      </c>
      <c r="I109" t="str">
        <f t="shared" si="4"/>
        <v>P.canescens.Solo</v>
      </c>
      <c r="J109" t="str">
        <f t="shared" si="5"/>
        <v>12E.P.canescens.Solo</v>
      </c>
      <c r="K109">
        <v>11</v>
      </c>
      <c r="L109">
        <f>68+88+80+93+58+66+103</f>
        <v>556</v>
      </c>
      <c r="M109">
        <v>7</v>
      </c>
      <c r="N109">
        <f>L109/M109</f>
        <v>79.428571428571431</v>
      </c>
      <c r="O109">
        <v>0</v>
      </c>
      <c r="P109">
        <v>7</v>
      </c>
      <c r="Q109">
        <v>4</v>
      </c>
      <c r="R109">
        <v>1</v>
      </c>
      <c r="S109">
        <v>22</v>
      </c>
      <c r="T109">
        <v>18</v>
      </c>
      <c r="U109">
        <f>L109+(N109*11)</f>
        <v>1429.7142857142858</v>
      </c>
      <c r="V109">
        <v>1430</v>
      </c>
      <c r="W109">
        <v>0</v>
      </c>
    </row>
    <row r="110" spans="1:24" x14ac:dyDescent="0.25">
      <c r="A110" t="s">
        <v>55</v>
      </c>
      <c r="B110">
        <v>12</v>
      </c>
      <c r="C110" t="s">
        <v>23</v>
      </c>
      <c r="D110" t="s">
        <v>94</v>
      </c>
      <c r="E110" t="s">
        <v>113</v>
      </c>
      <c r="F110" t="s">
        <v>222</v>
      </c>
      <c r="G110" t="s">
        <v>145</v>
      </c>
      <c r="H110" t="str">
        <f t="shared" si="3"/>
        <v>Open.Highcomp</v>
      </c>
      <c r="I110" t="str">
        <f t="shared" si="4"/>
        <v>H.glutinosum.Highcomp</v>
      </c>
      <c r="J110" t="str">
        <f t="shared" si="5"/>
        <v>12F.H.glutinosum.Highcomp</v>
      </c>
      <c r="K110">
        <v>3</v>
      </c>
      <c r="L110">
        <v>24</v>
      </c>
      <c r="M110">
        <v>3</v>
      </c>
      <c r="N110">
        <v>8</v>
      </c>
      <c r="O110">
        <v>3</v>
      </c>
      <c r="P110">
        <v>0</v>
      </c>
      <c r="Q110">
        <v>0</v>
      </c>
      <c r="R110">
        <v>1</v>
      </c>
      <c r="S110">
        <v>6</v>
      </c>
      <c r="T110">
        <v>6</v>
      </c>
      <c r="U110">
        <v>48</v>
      </c>
      <c r="V110">
        <v>48</v>
      </c>
      <c r="W110">
        <v>0</v>
      </c>
    </row>
    <row r="111" spans="1:24" x14ac:dyDescent="0.25">
      <c r="A111" t="s">
        <v>55</v>
      </c>
      <c r="B111">
        <v>12</v>
      </c>
      <c r="C111" t="s">
        <v>23</v>
      </c>
      <c r="D111" t="s">
        <v>94</v>
      </c>
      <c r="E111" t="s">
        <v>113</v>
      </c>
      <c r="F111" t="s">
        <v>222</v>
      </c>
      <c r="G111" t="s">
        <v>120</v>
      </c>
      <c r="H111" t="str">
        <f t="shared" si="3"/>
        <v>Open.Solo</v>
      </c>
      <c r="I111" t="str">
        <f t="shared" si="4"/>
        <v>H.glutinosum.Solo</v>
      </c>
      <c r="J111" t="str">
        <f t="shared" si="5"/>
        <v>12F.H.glutinosum.Solo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 t="s">
        <v>188</v>
      </c>
    </row>
    <row r="112" spans="1:24" x14ac:dyDescent="0.25">
      <c r="A112" t="s">
        <v>55</v>
      </c>
      <c r="B112">
        <v>12</v>
      </c>
      <c r="C112" t="s">
        <v>23</v>
      </c>
      <c r="D112" t="s">
        <v>94</v>
      </c>
      <c r="E112" t="s">
        <v>110</v>
      </c>
      <c r="F112" t="s">
        <v>221</v>
      </c>
      <c r="G112" t="s">
        <v>145</v>
      </c>
      <c r="H112" t="str">
        <f t="shared" si="3"/>
        <v>Open.Highcomp</v>
      </c>
      <c r="I112" t="str">
        <f t="shared" si="4"/>
        <v>M.minima.Highcomp</v>
      </c>
      <c r="J112" t="str">
        <f t="shared" si="5"/>
        <v>12F.M.minima.Highcomp</v>
      </c>
      <c r="K112" t="s">
        <v>114</v>
      </c>
      <c r="L112" t="s">
        <v>114</v>
      </c>
      <c r="M112" t="s">
        <v>114</v>
      </c>
      <c r="N112" t="s">
        <v>114</v>
      </c>
      <c r="O112" t="s">
        <v>114</v>
      </c>
      <c r="P112" t="s">
        <v>114</v>
      </c>
      <c r="Q112" t="s">
        <v>114</v>
      </c>
      <c r="R112" t="s">
        <v>114</v>
      </c>
      <c r="S112" t="s">
        <v>114</v>
      </c>
      <c r="T112" t="s">
        <v>114</v>
      </c>
      <c r="U112" t="s">
        <v>114</v>
      </c>
      <c r="V112" t="s">
        <v>114</v>
      </c>
      <c r="W112">
        <v>0</v>
      </c>
    </row>
    <row r="113" spans="1:23" x14ac:dyDescent="0.25">
      <c r="A113" t="s">
        <v>55</v>
      </c>
      <c r="B113">
        <v>12</v>
      </c>
      <c r="C113" t="s">
        <v>23</v>
      </c>
      <c r="D113" t="s">
        <v>94</v>
      </c>
      <c r="E113" t="s">
        <v>110</v>
      </c>
      <c r="F113" t="s">
        <v>221</v>
      </c>
      <c r="G113" t="s">
        <v>120</v>
      </c>
      <c r="H113" t="str">
        <f t="shared" si="3"/>
        <v>Open.Solo</v>
      </c>
      <c r="I113" t="str">
        <f t="shared" si="4"/>
        <v>M.minima.Solo</v>
      </c>
      <c r="J113" t="str">
        <f t="shared" si="5"/>
        <v>12F.M.minima.Solo</v>
      </c>
      <c r="K113">
        <v>1</v>
      </c>
      <c r="L113">
        <v>1</v>
      </c>
      <c r="M113">
        <v>1</v>
      </c>
      <c r="N113">
        <v>1</v>
      </c>
      <c r="O113">
        <v>0</v>
      </c>
      <c r="P113">
        <v>0</v>
      </c>
      <c r="Q113">
        <v>0</v>
      </c>
      <c r="R113">
        <v>0</v>
      </c>
      <c r="S113">
        <v>1</v>
      </c>
      <c r="T113">
        <v>1</v>
      </c>
      <c r="U113">
        <v>1</v>
      </c>
      <c r="V113">
        <v>1</v>
      </c>
      <c r="W113">
        <v>0</v>
      </c>
    </row>
    <row r="114" spans="1:23" x14ac:dyDescent="0.25">
      <c r="A114" t="s">
        <v>55</v>
      </c>
      <c r="B114">
        <v>12</v>
      </c>
      <c r="C114" t="s">
        <v>23</v>
      </c>
      <c r="D114" t="s">
        <v>94</v>
      </c>
      <c r="E114" t="s">
        <v>103</v>
      </c>
      <c r="F114" t="s">
        <v>221</v>
      </c>
      <c r="G114" t="s">
        <v>145</v>
      </c>
      <c r="H114" t="str">
        <f t="shared" si="3"/>
        <v>Open.Highcomp</v>
      </c>
      <c r="I114" t="str">
        <f t="shared" si="4"/>
        <v>P.airoides.Highcomp</v>
      </c>
      <c r="J114" t="str">
        <f t="shared" si="5"/>
        <v>12F.P.airoides.Highcomp</v>
      </c>
      <c r="K114">
        <v>4</v>
      </c>
      <c r="L114">
        <f>37+58+78+42</f>
        <v>215</v>
      </c>
      <c r="M114">
        <v>4</v>
      </c>
      <c r="N114">
        <f>215/4</f>
        <v>53.75</v>
      </c>
      <c r="O114">
        <v>0</v>
      </c>
      <c r="P114">
        <v>0</v>
      </c>
      <c r="Q114">
        <v>0</v>
      </c>
      <c r="R114">
        <v>0</v>
      </c>
      <c r="S114">
        <v>4</v>
      </c>
      <c r="T114">
        <v>4</v>
      </c>
      <c r="U114">
        <v>215</v>
      </c>
      <c r="V114">
        <v>215</v>
      </c>
      <c r="W114">
        <v>0</v>
      </c>
    </row>
    <row r="115" spans="1:23" x14ac:dyDescent="0.25">
      <c r="A115" t="s">
        <v>55</v>
      </c>
      <c r="B115">
        <v>12</v>
      </c>
      <c r="C115" t="s">
        <v>23</v>
      </c>
      <c r="D115" t="s">
        <v>94</v>
      </c>
      <c r="E115" t="s">
        <v>103</v>
      </c>
      <c r="F115" t="s">
        <v>221</v>
      </c>
      <c r="G115" t="s">
        <v>120</v>
      </c>
      <c r="H115" t="str">
        <f t="shared" si="3"/>
        <v>Open.Solo</v>
      </c>
      <c r="I115" t="str">
        <f t="shared" si="4"/>
        <v>P.airoides.Solo</v>
      </c>
      <c r="J115" t="str">
        <f t="shared" si="5"/>
        <v>12F.P.airoides.Solo</v>
      </c>
      <c r="K115">
        <v>3</v>
      </c>
      <c r="L115">
        <f>82+40+64</f>
        <v>186</v>
      </c>
      <c r="M115">
        <v>3</v>
      </c>
      <c r="N115">
        <f>186/3</f>
        <v>62</v>
      </c>
      <c r="O115">
        <v>0</v>
      </c>
      <c r="P115">
        <v>0</v>
      </c>
      <c r="Q115">
        <v>0</v>
      </c>
      <c r="R115">
        <v>0</v>
      </c>
      <c r="S115">
        <v>3</v>
      </c>
      <c r="T115">
        <v>3</v>
      </c>
      <c r="U115">
        <v>186</v>
      </c>
      <c r="V115">
        <v>186</v>
      </c>
      <c r="W115">
        <v>0</v>
      </c>
    </row>
    <row r="116" spans="1:23" x14ac:dyDescent="0.25">
      <c r="A116" t="s">
        <v>55</v>
      </c>
      <c r="B116">
        <v>12</v>
      </c>
      <c r="C116" t="s">
        <v>23</v>
      </c>
      <c r="D116" t="s">
        <v>94</v>
      </c>
      <c r="E116" t="s">
        <v>111</v>
      </c>
      <c r="F116" t="s">
        <v>222</v>
      </c>
      <c r="G116" t="s">
        <v>145</v>
      </c>
      <c r="H116" t="str">
        <f t="shared" si="3"/>
        <v>Open.Highcomp</v>
      </c>
      <c r="I116" t="str">
        <f t="shared" si="4"/>
        <v>P.canescens.Highcomp</v>
      </c>
      <c r="J116" t="str">
        <f t="shared" si="5"/>
        <v>12F.P.canescens.Highcomp</v>
      </c>
      <c r="K116">
        <v>5</v>
      </c>
      <c r="L116">
        <f>66+43+63+110</f>
        <v>282</v>
      </c>
      <c r="M116">
        <v>5</v>
      </c>
      <c r="N116">
        <f>282/5</f>
        <v>56.4</v>
      </c>
      <c r="O116">
        <v>1</v>
      </c>
      <c r="P116">
        <v>0</v>
      </c>
      <c r="Q116">
        <v>1</v>
      </c>
      <c r="R116">
        <v>1</v>
      </c>
      <c r="S116">
        <v>7</v>
      </c>
      <c r="T116">
        <v>6</v>
      </c>
      <c r="U116">
        <f>282+(N116)</f>
        <v>338.4</v>
      </c>
      <c r="V116">
        <v>338</v>
      </c>
      <c r="W116">
        <v>0</v>
      </c>
    </row>
    <row r="117" spans="1:23" x14ac:dyDescent="0.25">
      <c r="A117" t="s">
        <v>55</v>
      </c>
      <c r="B117">
        <v>12</v>
      </c>
      <c r="C117" t="s">
        <v>23</v>
      </c>
      <c r="D117" t="s">
        <v>94</v>
      </c>
      <c r="E117" t="s">
        <v>111</v>
      </c>
      <c r="F117" t="s">
        <v>222</v>
      </c>
      <c r="G117" t="s">
        <v>120</v>
      </c>
      <c r="H117" t="str">
        <f t="shared" si="3"/>
        <v>Open.Solo</v>
      </c>
      <c r="I117" t="str">
        <f t="shared" si="4"/>
        <v>P.canescens.Solo</v>
      </c>
      <c r="J117" t="str">
        <f t="shared" si="5"/>
        <v>12F.P.canescens.Solo</v>
      </c>
      <c r="K117">
        <v>5</v>
      </c>
      <c r="L117">
        <f>49+86+93+98+96</f>
        <v>422</v>
      </c>
      <c r="M117">
        <v>5</v>
      </c>
      <c r="N117">
        <f>422/5</f>
        <v>84.4</v>
      </c>
      <c r="O117">
        <v>0</v>
      </c>
      <c r="P117">
        <v>5</v>
      </c>
      <c r="Q117">
        <v>3</v>
      </c>
      <c r="R117">
        <v>1</v>
      </c>
      <c r="S117">
        <v>13</v>
      </c>
      <c r="T117">
        <v>10</v>
      </c>
      <c r="U117">
        <f>422+(N117*5)</f>
        <v>844</v>
      </c>
      <c r="V117">
        <v>844</v>
      </c>
      <c r="W117">
        <v>0</v>
      </c>
    </row>
    <row r="118" spans="1:23" x14ac:dyDescent="0.25">
      <c r="A118" t="s">
        <v>56</v>
      </c>
      <c r="B118">
        <v>12</v>
      </c>
      <c r="C118" t="s">
        <v>25</v>
      </c>
      <c r="D118" t="s">
        <v>94</v>
      </c>
      <c r="E118" t="s">
        <v>113</v>
      </c>
      <c r="F118" t="s">
        <v>222</v>
      </c>
      <c r="G118" t="s">
        <v>145</v>
      </c>
      <c r="H118" t="str">
        <f t="shared" si="3"/>
        <v>Open.Highcomp</v>
      </c>
      <c r="I118" t="str">
        <f t="shared" si="4"/>
        <v>H.glutinosum.Highcomp</v>
      </c>
      <c r="J118" t="str">
        <f t="shared" si="5"/>
        <v>12G.H.glutinosum.Highcomp</v>
      </c>
      <c r="K118">
        <v>1</v>
      </c>
      <c r="L118">
        <v>3</v>
      </c>
      <c r="M118">
        <v>1</v>
      </c>
      <c r="N118">
        <v>3</v>
      </c>
      <c r="O118">
        <v>0</v>
      </c>
      <c r="P118">
        <v>0</v>
      </c>
      <c r="Q118">
        <v>0</v>
      </c>
      <c r="R118">
        <v>0</v>
      </c>
      <c r="S118">
        <v>1</v>
      </c>
      <c r="T118">
        <v>1</v>
      </c>
      <c r="U118">
        <v>3</v>
      </c>
      <c r="V118">
        <v>3</v>
      </c>
      <c r="W118">
        <v>0</v>
      </c>
    </row>
    <row r="119" spans="1:23" x14ac:dyDescent="0.25">
      <c r="A119" t="s">
        <v>56</v>
      </c>
      <c r="B119">
        <v>12</v>
      </c>
      <c r="C119" t="s">
        <v>25</v>
      </c>
      <c r="D119" t="s">
        <v>94</v>
      </c>
      <c r="E119" t="s">
        <v>113</v>
      </c>
      <c r="F119" t="s">
        <v>222</v>
      </c>
      <c r="G119" t="s">
        <v>120</v>
      </c>
      <c r="H119" t="str">
        <f t="shared" si="3"/>
        <v>Open.Solo</v>
      </c>
      <c r="I119" t="str">
        <f t="shared" si="4"/>
        <v>H.glutinosum.Solo</v>
      </c>
      <c r="J119" t="str">
        <f t="shared" si="5"/>
        <v>12G.H.glutinosum.Solo</v>
      </c>
      <c r="K119">
        <v>2</v>
      </c>
      <c r="L119">
        <v>2</v>
      </c>
      <c r="M119">
        <v>2</v>
      </c>
      <c r="N119">
        <v>1</v>
      </c>
      <c r="O119">
        <v>0</v>
      </c>
      <c r="P119">
        <v>0</v>
      </c>
      <c r="Q119">
        <v>3</v>
      </c>
      <c r="R119">
        <v>1</v>
      </c>
      <c r="S119">
        <v>5</v>
      </c>
      <c r="T119">
        <v>2</v>
      </c>
      <c r="U119">
        <v>2</v>
      </c>
      <c r="V119">
        <v>2</v>
      </c>
      <c r="W119">
        <v>0</v>
      </c>
    </row>
    <row r="120" spans="1:23" x14ac:dyDescent="0.25">
      <c r="A120" t="s">
        <v>56</v>
      </c>
      <c r="B120">
        <v>12</v>
      </c>
      <c r="C120" t="s">
        <v>25</v>
      </c>
      <c r="D120" t="s">
        <v>94</v>
      </c>
      <c r="E120" t="s">
        <v>111</v>
      </c>
      <c r="F120" t="s">
        <v>222</v>
      </c>
      <c r="G120" t="s">
        <v>145</v>
      </c>
      <c r="H120" t="str">
        <f t="shared" si="3"/>
        <v>Open.Highcomp</v>
      </c>
      <c r="I120" t="str">
        <f t="shared" si="4"/>
        <v>P.canescens.Highcomp</v>
      </c>
      <c r="J120" t="str">
        <f t="shared" si="5"/>
        <v>12G.P.canescens.Highcomp</v>
      </c>
      <c r="K120">
        <v>1</v>
      </c>
      <c r="L120">
        <v>24</v>
      </c>
      <c r="M120">
        <v>1</v>
      </c>
      <c r="N120">
        <v>24</v>
      </c>
      <c r="O120">
        <v>0</v>
      </c>
      <c r="P120">
        <v>3</v>
      </c>
      <c r="Q120">
        <v>6</v>
      </c>
      <c r="R120">
        <v>0</v>
      </c>
      <c r="S120">
        <v>10</v>
      </c>
      <c r="T120">
        <v>4</v>
      </c>
      <c r="U120">
        <f>24+(3*24)</f>
        <v>96</v>
      </c>
      <c r="V120">
        <v>96</v>
      </c>
      <c r="W120">
        <v>0</v>
      </c>
    </row>
    <row r="121" spans="1:23" x14ac:dyDescent="0.25">
      <c r="A121" t="s">
        <v>56</v>
      </c>
      <c r="B121">
        <v>12</v>
      </c>
      <c r="C121" t="s">
        <v>25</v>
      </c>
      <c r="D121" t="s">
        <v>94</v>
      </c>
      <c r="E121" t="s">
        <v>111</v>
      </c>
      <c r="F121" t="s">
        <v>222</v>
      </c>
      <c r="G121" t="s">
        <v>120</v>
      </c>
      <c r="H121" t="str">
        <f t="shared" si="3"/>
        <v>Open.Solo</v>
      </c>
      <c r="I121" t="str">
        <f t="shared" si="4"/>
        <v>P.canescens.Solo</v>
      </c>
      <c r="J121" t="str">
        <f t="shared" si="5"/>
        <v>12G.P.canescens.Solo</v>
      </c>
      <c r="K121">
        <v>2</v>
      </c>
      <c r="L121">
        <v>0</v>
      </c>
      <c r="M121">
        <v>2</v>
      </c>
      <c r="N121">
        <v>0</v>
      </c>
      <c r="O121">
        <v>0</v>
      </c>
      <c r="P121">
        <v>7</v>
      </c>
      <c r="Q121">
        <v>6</v>
      </c>
      <c r="R121">
        <v>1</v>
      </c>
      <c r="S121">
        <v>15</v>
      </c>
      <c r="T121">
        <v>9</v>
      </c>
      <c r="U121">
        <v>0</v>
      </c>
      <c r="V121">
        <v>0</v>
      </c>
      <c r="W121">
        <v>0</v>
      </c>
    </row>
    <row r="122" spans="1:23" x14ac:dyDescent="0.25">
      <c r="A122" t="s">
        <v>56</v>
      </c>
      <c r="B122">
        <v>12</v>
      </c>
      <c r="C122" t="s">
        <v>25</v>
      </c>
      <c r="D122" t="s">
        <v>94</v>
      </c>
      <c r="E122" t="s">
        <v>104</v>
      </c>
      <c r="F122" t="s">
        <v>222</v>
      </c>
      <c r="G122" t="s">
        <v>145</v>
      </c>
      <c r="H122" t="str">
        <f t="shared" si="3"/>
        <v>Open.Highcomp</v>
      </c>
      <c r="I122" t="str">
        <f t="shared" si="4"/>
        <v>T.cyanopetala.Highcomp</v>
      </c>
      <c r="J122" t="str">
        <f t="shared" si="5"/>
        <v>12G.T.cyanopetala.Highcomp</v>
      </c>
      <c r="K122">
        <v>1</v>
      </c>
      <c r="L122">
        <v>4</v>
      </c>
      <c r="M122">
        <v>1</v>
      </c>
      <c r="N122">
        <v>4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4</v>
      </c>
      <c r="V122">
        <v>4</v>
      </c>
      <c r="W122">
        <v>0</v>
      </c>
    </row>
    <row r="123" spans="1:23" x14ac:dyDescent="0.25">
      <c r="A123" t="s">
        <v>56</v>
      </c>
      <c r="B123">
        <v>12</v>
      </c>
      <c r="C123" t="s">
        <v>25</v>
      </c>
      <c r="D123" t="s">
        <v>94</v>
      </c>
      <c r="E123" t="s">
        <v>104</v>
      </c>
      <c r="F123" t="s">
        <v>222</v>
      </c>
      <c r="G123" t="s">
        <v>120</v>
      </c>
      <c r="H123" t="str">
        <f t="shared" si="3"/>
        <v>Open.Solo</v>
      </c>
      <c r="I123" t="str">
        <f t="shared" si="4"/>
        <v>T.cyanopetala.Solo</v>
      </c>
      <c r="J123" t="str">
        <f t="shared" si="5"/>
        <v>12G.T.cyanopetala.Solo</v>
      </c>
      <c r="K123">
        <v>7</v>
      </c>
      <c r="L123">
        <f>6+8+5+6+6+6+6</f>
        <v>43</v>
      </c>
      <c r="M123">
        <v>7</v>
      </c>
      <c r="N123">
        <f>43/7</f>
        <v>6.1428571428571432</v>
      </c>
      <c r="O123">
        <v>0</v>
      </c>
      <c r="P123">
        <v>0</v>
      </c>
      <c r="Q123">
        <v>0</v>
      </c>
      <c r="R123">
        <v>0</v>
      </c>
      <c r="S123">
        <v>7</v>
      </c>
      <c r="T123">
        <v>7</v>
      </c>
      <c r="U123">
        <v>43</v>
      </c>
      <c r="V123">
        <v>43</v>
      </c>
      <c r="W123">
        <v>0</v>
      </c>
    </row>
    <row r="124" spans="1:23" x14ac:dyDescent="0.25">
      <c r="A124" t="s">
        <v>56</v>
      </c>
      <c r="B124">
        <v>12</v>
      </c>
      <c r="C124" t="s">
        <v>25</v>
      </c>
      <c r="D124" t="s">
        <v>94</v>
      </c>
      <c r="E124" t="s">
        <v>112</v>
      </c>
      <c r="F124" t="s">
        <v>222</v>
      </c>
      <c r="G124" t="s">
        <v>145</v>
      </c>
      <c r="H124" t="str">
        <f t="shared" si="3"/>
        <v>Open.Highcomp</v>
      </c>
      <c r="I124" t="str">
        <f t="shared" si="4"/>
        <v>V.rosea.Highcomp</v>
      </c>
      <c r="J124" t="str">
        <f t="shared" si="5"/>
        <v>12G.V.rosea.Highcomp</v>
      </c>
      <c r="K124">
        <v>6</v>
      </c>
      <c r="L124">
        <v>19</v>
      </c>
      <c r="M124">
        <v>6</v>
      </c>
      <c r="N124">
        <f>19/6</f>
        <v>3.1666666666666665</v>
      </c>
      <c r="O124">
        <v>0</v>
      </c>
      <c r="P124">
        <v>5</v>
      </c>
      <c r="Q124">
        <v>0</v>
      </c>
      <c r="R124">
        <v>0</v>
      </c>
      <c r="S124">
        <v>11</v>
      </c>
      <c r="T124">
        <v>6</v>
      </c>
      <c r="U124">
        <v>19</v>
      </c>
      <c r="V124">
        <v>19</v>
      </c>
      <c r="W124">
        <v>0</v>
      </c>
    </row>
    <row r="125" spans="1:23" x14ac:dyDescent="0.25">
      <c r="A125" t="s">
        <v>56</v>
      </c>
      <c r="B125">
        <v>12</v>
      </c>
      <c r="C125" t="s">
        <v>25</v>
      </c>
      <c r="D125" t="s">
        <v>94</v>
      </c>
      <c r="E125" t="s">
        <v>112</v>
      </c>
      <c r="F125" t="s">
        <v>222</v>
      </c>
      <c r="G125" t="s">
        <v>120</v>
      </c>
      <c r="H125" t="str">
        <f t="shared" si="3"/>
        <v>Open.Solo</v>
      </c>
      <c r="I125" t="str">
        <f t="shared" si="4"/>
        <v>V.rosea.Solo</v>
      </c>
      <c r="J125" t="str">
        <f t="shared" si="5"/>
        <v>12G.V.rosea.Solo</v>
      </c>
      <c r="K125">
        <v>61</v>
      </c>
      <c r="L125">
        <v>80</v>
      </c>
      <c r="M125">
        <v>20</v>
      </c>
      <c r="N125">
        <v>4</v>
      </c>
      <c r="O125">
        <v>1</v>
      </c>
      <c r="P125">
        <v>1</v>
      </c>
      <c r="Q125">
        <v>0</v>
      </c>
      <c r="R125">
        <v>0</v>
      </c>
      <c r="S125">
        <v>63</v>
      </c>
      <c r="T125">
        <v>62</v>
      </c>
      <c r="U125">
        <f>80+(4*42)</f>
        <v>248</v>
      </c>
      <c r="V125">
        <v>248</v>
      </c>
      <c r="W125">
        <v>0</v>
      </c>
    </row>
    <row r="126" spans="1:23" x14ac:dyDescent="0.25">
      <c r="A126" t="s">
        <v>57</v>
      </c>
      <c r="B126">
        <v>12</v>
      </c>
      <c r="C126" t="s">
        <v>27</v>
      </c>
      <c r="D126" t="s">
        <v>94</v>
      </c>
      <c r="E126" t="s">
        <v>105</v>
      </c>
      <c r="F126" t="s">
        <v>221</v>
      </c>
      <c r="G126" t="s">
        <v>145</v>
      </c>
      <c r="H126" t="str">
        <f t="shared" si="3"/>
        <v>Open.Highcomp</v>
      </c>
      <c r="I126" t="str">
        <f t="shared" si="4"/>
        <v>H.glabra.Highcomp</v>
      </c>
      <c r="J126" t="str">
        <f t="shared" si="5"/>
        <v>12H.H.glabra.Highcomp</v>
      </c>
      <c r="K126">
        <v>4</v>
      </c>
      <c r="L126">
        <f>73+29+37+51</f>
        <v>190</v>
      </c>
      <c r="M126">
        <v>4</v>
      </c>
      <c r="N126">
        <f>190/4</f>
        <v>47.5</v>
      </c>
      <c r="O126">
        <v>2</v>
      </c>
      <c r="P126">
        <v>0</v>
      </c>
      <c r="Q126">
        <v>0</v>
      </c>
      <c r="R126">
        <v>0</v>
      </c>
      <c r="S126">
        <v>6</v>
      </c>
      <c r="T126">
        <v>6</v>
      </c>
      <c r="U126">
        <f>190+(47.5*2)</f>
        <v>285</v>
      </c>
      <c r="V126">
        <v>285</v>
      </c>
      <c r="W126">
        <v>0</v>
      </c>
    </row>
    <row r="127" spans="1:23" x14ac:dyDescent="0.25">
      <c r="A127" t="s">
        <v>57</v>
      </c>
      <c r="B127">
        <v>12</v>
      </c>
      <c r="C127" t="s">
        <v>27</v>
      </c>
      <c r="D127" t="s">
        <v>94</v>
      </c>
      <c r="E127" t="s">
        <v>105</v>
      </c>
      <c r="F127" t="s">
        <v>221</v>
      </c>
      <c r="G127" t="s">
        <v>120</v>
      </c>
      <c r="H127" t="str">
        <f t="shared" si="3"/>
        <v>Open.Solo</v>
      </c>
      <c r="I127" t="str">
        <f t="shared" si="4"/>
        <v>H.glabra.Solo</v>
      </c>
      <c r="J127" t="str">
        <f t="shared" si="5"/>
        <v>12H.H.glabra.Solo</v>
      </c>
      <c r="K127">
        <v>8</v>
      </c>
      <c r="L127">
        <f>22+11+83+80+86+44+40+84</f>
        <v>450</v>
      </c>
      <c r="M127">
        <v>8</v>
      </c>
      <c r="N127">
        <f>450/8</f>
        <v>56.25</v>
      </c>
      <c r="O127">
        <v>1</v>
      </c>
      <c r="P127">
        <v>0</v>
      </c>
      <c r="Q127">
        <v>2</v>
      </c>
      <c r="R127">
        <v>0</v>
      </c>
      <c r="S127">
        <v>11</v>
      </c>
      <c r="T127">
        <v>9</v>
      </c>
      <c r="U127">
        <f>450+56.25</f>
        <v>506.25</v>
      </c>
      <c r="V127">
        <v>506</v>
      </c>
      <c r="W127">
        <v>0</v>
      </c>
    </row>
    <row r="128" spans="1:23" x14ac:dyDescent="0.25">
      <c r="A128" t="s">
        <v>57</v>
      </c>
      <c r="B128">
        <v>12</v>
      </c>
      <c r="C128" t="s">
        <v>27</v>
      </c>
      <c r="D128" t="s">
        <v>94</v>
      </c>
      <c r="E128" t="s">
        <v>113</v>
      </c>
      <c r="F128" t="s">
        <v>222</v>
      </c>
      <c r="G128" t="s">
        <v>145</v>
      </c>
      <c r="H128" t="str">
        <f t="shared" si="3"/>
        <v>Open.Highcomp</v>
      </c>
      <c r="I128" t="str">
        <f t="shared" si="4"/>
        <v>H.glutinosum.Highcomp</v>
      </c>
      <c r="J128" t="str">
        <f t="shared" si="5"/>
        <v>12H.H.glutinosum.Highcomp</v>
      </c>
      <c r="K128">
        <v>1</v>
      </c>
      <c r="L128">
        <v>5</v>
      </c>
      <c r="M128">
        <v>1</v>
      </c>
      <c r="N128">
        <v>5</v>
      </c>
      <c r="O128">
        <v>0</v>
      </c>
      <c r="P128">
        <v>0</v>
      </c>
      <c r="Q128">
        <v>0</v>
      </c>
      <c r="R128">
        <v>0</v>
      </c>
      <c r="S128">
        <v>1</v>
      </c>
      <c r="T128">
        <v>1</v>
      </c>
      <c r="U128">
        <v>5</v>
      </c>
      <c r="V128">
        <v>5</v>
      </c>
      <c r="W128">
        <v>0</v>
      </c>
    </row>
    <row r="129" spans="1:24" x14ac:dyDescent="0.25">
      <c r="A129" t="s">
        <v>57</v>
      </c>
      <c r="B129">
        <v>12</v>
      </c>
      <c r="C129" t="s">
        <v>27</v>
      </c>
      <c r="D129" t="s">
        <v>94</v>
      </c>
      <c r="E129" t="s">
        <v>113</v>
      </c>
      <c r="F129" t="s">
        <v>222</v>
      </c>
      <c r="G129" t="s">
        <v>120</v>
      </c>
      <c r="H129" t="str">
        <f t="shared" si="3"/>
        <v>Open.Solo</v>
      </c>
      <c r="I129" t="str">
        <f t="shared" si="4"/>
        <v>H.glutinosum.Solo</v>
      </c>
      <c r="J129" t="str">
        <f t="shared" si="5"/>
        <v>12H.H.glutinosum.Solo</v>
      </c>
      <c r="K129">
        <v>1</v>
      </c>
      <c r="L129">
        <v>9</v>
      </c>
      <c r="M129">
        <v>1</v>
      </c>
      <c r="N129">
        <v>9</v>
      </c>
      <c r="O129">
        <v>0</v>
      </c>
      <c r="P129">
        <v>0</v>
      </c>
      <c r="Q129">
        <v>0</v>
      </c>
      <c r="R129">
        <v>0</v>
      </c>
      <c r="S129">
        <v>1</v>
      </c>
      <c r="T129">
        <v>1</v>
      </c>
      <c r="U129">
        <v>9</v>
      </c>
      <c r="V129">
        <v>9</v>
      </c>
      <c r="W129">
        <v>0</v>
      </c>
    </row>
    <row r="130" spans="1:24" x14ac:dyDescent="0.25">
      <c r="A130" t="s">
        <v>57</v>
      </c>
      <c r="B130">
        <v>12</v>
      </c>
      <c r="C130" t="s">
        <v>27</v>
      </c>
      <c r="D130" t="s">
        <v>94</v>
      </c>
      <c r="E130" t="s">
        <v>112</v>
      </c>
      <c r="F130" t="s">
        <v>222</v>
      </c>
      <c r="G130" t="s">
        <v>145</v>
      </c>
      <c r="H130" t="str">
        <f t="shared" ref="H130:H193" si="6">D130&amp;"."&amp;G130</f>
        <v>Open.Highcomp</v>
      </c>
      <c r="I130" t="str">
        <f t="shared" ref="I130:I193" si="7">E130&amp;"."&amp;G130</f>
        <v>V.rosea.Highcomp</v>
      </c>
      <c r="J130" t="str">
        <f t="shared" si="5"/>
        <v>12H.V.rosea.Highcomp</v>
      </c>
      <c r="K130">
        <v>22</v>
      </c>
      <c r="L130">
        <v>63</v>
      </c>
      <c r="M130">
        <v>16</v>
      </c>
      <c r="N130">
        <f>63/16</f>
        <v>3.9375</v>
      </c>
      <c r="O130">
        <v>0</v>
      </c>
      <c r="P130">
        <v>42</v>
      </c>
      <c r="Q130">
        <v>9</v>
      </c>
      <c r="R130">
        <v>0</v>
      </c>
      <c r="S130">
        <v>73</v>
      </c>
      <c r="T130">
        <v>22</v>
      </c>
      <c r="U130">
        <f>63+(3.9375*8)</f>
        <v>94.5</v>
      </c>
      <c r="V130">
        <v>95</v>
      </c>
      <c r="W130">
        <v>0</v>
      </c>
    </row>
    <row r="131" spans="1:24" x14ac:dyDescent="0.25">
      <c r="A131" t="s">
        <v>57</v>
      </c>
      <c r="B131">
        <v>12</v>
      </c>
      <c r="C131" t="s">
        <v>27</v>
      </c>
      <c r="D131" t="s">
        <v>94</v>
      </c>
      <c r="E131" t="s">
        <v>112</v>
      </c>
      <c r="F131" t="s">
        <v>222</v>
      </c>
      <c r="G131" t="s">
        <v>120</v>
      </c>
      <c r="H131" t="str">
        <f t="shared" si="6"/>
        <v>Open.Solo</v>
      </c>
      <c r="I131" t="str">
        <f t="shared" si="7"/>
        <v>V.rosea.Solo</v>
      </c>
      <c r="J131" t="str">
        <f t="shared" ref="J131:J194" si="8">A131&amp;"."&amp;E131&amp;"."&amp;G131</f>
        <v>12H.V.rosea.Solo</v>
      </c>
      <c r="K131">
        <v>21</v>
      </c>
      <c r="L131">
        <v>42</v>
      </c>
      <c r="M131">
        <v>12</v>
      </c>
      <c r="N131">
        <f>42/12</f>
        <v>3.5</v>
      </c>
      <c r="O131">
        <v>0</v>
      </c>
      <c r="P131">
        <v>15</v>
      </c>
      <c r="Q131">
        <v>2</v>
      </c>
      <c r="R131">
        <v>0</v>
      </c>
      <c r="S131">
        <v>38</v>
      </c>
      <c r="T131">
        <v>21</v>
      </c>
      <c r="U131">
        <f>42+9*(3.5)</f>
        <v>73.5</v>
      </c>
      <c r="V131">
        <v>74</v>
      </c>
      <c r="W131">
        <v>0</v>
      </c>
    </row>
    <row r="132" spans="1:24" x14ac:dyDescent="0.25">
      <c r="A132" t="s">
        <v>58</v>
      </c>
      <c r="B132">
        <v>12</v>
      </c>
      <c r="C132" t="s">
        <v>29</v>
      </c>
      <c r="D132" t="s">
        <v>95</v>
      </c>
      <c r="E132" t="s">
        <v>102</v>
      </c>
      <c r="F132" t="s">
        <v>221</v>
      </c>
      <c r="G132" t="s">
        <v>145</v>
      </c>
      <c r="H132" t="str">
        <f t="shared" si="6"/>
        <v>Shade.Highcomp</v>
      </c>
      <c r="I132" t="str">
        <f t="shared" si="7"/>
        <v>A.calendula.Highcomp</v>
      </c>
      <c r="J132" t="str">
        <f t="shared" si="8"/>
        <v>12I.A.calendula.Highcomp</v>
      </c>
      <c r="K132">
        <v>9</v>
      </c>
      <c r="L132">
        <f>49+25+34+23+28+34</f>
        <v>193</v>
      </c>
      <c r="M132">
        <v>6</v>
      </c>
      <c r="N132">
        <f>193/6</f>
        <v>32.166666666666664</v>
      </c>
      <c r="O132">
        <v>21</v>
      </c>
      <c r="P132">
        <v>0</v>
      </c>
      <c r="Q132">
        <v>0</v>
      </c>
      <c r="R132">
        <v>0</v>
      </c>
      <c r="S132">
        <v>30</v>
      </c>
      <c r="T132">
        <v>30</v>
      </c>
      <c r="U132">
        <f>193+(N132*24)</f>
        <v>965</v>
      </c>
      <c r="V132">
        <v>965</v>
      </c>
      <c r="W132">
        <v>0</v>
      </c>
    </row>
    <row r="133" spans="1:24" x14ac:dyDescent="0.25">
      <c r="A133" t="s">
        <v>58</v>
      </c>
      <c r="B133">
        <v>12</v>
      </c>
      <c r="C133" t="s">
        <v>29</v>
      </c>
      <c r="D133" t="s">
        <v>95</v>
      </c>
      <c r="E133" t="s">
        <v>102</v>
      </c>
      <c r="F133" t="s">
        <v>221</v>
      </c>
      <c r="G133" t="s">
        <v>120</v>
      </c>
      <c r="H133" t="str">
        <f t="shared" si="6"/>
        <v>Shade.Solo</v>
      </c>
      <c r="I133" t="str">
        <f t="shared" si="7"/>
        <v>A.calendula.Solo</v>
      </c>
      <c r="J133" t="str">
        <f t="shared" si="8"/>
        <v>12I.A.calendula.Solo</v>
      </c>
      <c r="K133">
        <v>2</v>
      </c>
      <c r="L133">
        <v>38</v>
      </c>
      <c r="M133">
        <v>2</v>
      </c>
      <c r="N133">
        <v>19</v>
      </c>
      <c r="O133">
        <v>7</v>
      </c>
      <c r="P133">
        <v>0</v>
      </c>
      <c r="Q133">
        <v>0</v>
      </c>
      <c r="R133">
        <v>0</v>
      </c>
      <c r="S133">
        <v>9</v>
      </c>
      <c r="T133">
        <v>9</v>
      </c>
      <c r="U133">
        <f>38+(19*7)</f>
        <v>171</v>
      </c>
      <c r="V133">
        <v>171</v>
      </c>
      <c r="W133">
        <v>0</v>
      </c>
    </row>
    <row r="134" spans="1:24" x14ac:dyDescent="0.25">
      <c r="A134" t="s">
        <v>58</v>
      </c>
      <c r="B134">
        <v>12</v>
      </c>
      <c r="C134" t="s">
        <v>29</v>
      </c>
      <c r="D134" t="s">
        <v>95</v>
      </c>
      <c r="E134" t="s">
        <v>110</v>
      </c>
      <c r="F134" t="s">
        <v>221</v>
      </c>
      <c r="G134" t="s">
        <v>145</v>
      </c>
      <c r="H134" t="str">
        <f t="shared" si="6"/>
        <v>Shade.Highcomp</v>
      </c>
      <c r="I134" t="str">
        <f t="shared" si="7"/>
        <v>M.minima.Highcomp</v>
      </c>
      <c r="J134" t="str">
        <f t="shared" si="8"/>
        <v>12I.M.minima.Highcomp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1</v>
      </c>
      <c r="X134" t="s">
        <v>189</v>
      </c>
    </row>
    <row r="135" spans="1:24" x14ac:dyDescent="0.25">
      <c r="A135" t="s">
        <v>58</v>
      </c>
      <c r="B135">
        <v>12</v>
      </c>
      <c r="C135" t="s">
        <v>29</v>
      </c>
      <c r="D135" t="s">
        <v>95</v>
      </c>
      <c r="E135" t="s">
        <v>110</v>
      </c>
      <c r="F135" t="s">
        <v>221</v>
      </c>
      <c r="G135" t="s">
        <v>120</v>
      </c>
      <c r="H135" t="str">
        <f t="shared" si="6"/>
        <v>Shade.Solo</v>
      </c>
      <c r="I135" t="str">
        <f t="shared" si="7"/>
        <v>M.minima.Solo</v>
      </c>
      <c r="J135" t="str">
        <f t="shared" si="8"/>
        <v>12I.M.minima.Solo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1</v>
      </c>
      <c r="X135" t="s">
        <v>189</v>
      </c>
    </row>
    <row r="136" spans="1:24" x14ac:dyDescent="0.25">
      <c r="A136" t="s">
        <v>58</v>
      </c>
      <c r="B136">
        <v>12</v>
      </c>
      <c r="C136" t="s">
        <v>29</v>
      </c>
      <c r="D136" t="s">
        <v>95</v>
      </c>
      <c r="E136" t="s">
        <v>103</v>
      </c>
      <c r="F136" t="s">
        <v>221</v>
      </c>
      <c r="G136" t="s">
        <v>145</v>
      </c>
      <c r="H136" t="str">
        <f t="shared" si="6"/>
        <v>Shade.Highcomp</v>
      </c>
      <c r="I136" t="str">
        <f t="shared" si="7"/>
        <v>P.airoides.Highcomp</v>
      </c>
      <c r="J136" t="str">
        <f t="shared" si="8"/>
        <v>12I.P.airoides.Highcomp</v>
      </c>
      <c r="K136">
        <v>3</v>
      </c>
      <c r="L136">
        <f>31+32+80</f>
        <v>143</v>
      </c>
      <c r="M136">
        <v>3</v>
      </c>
      <c r="N136">
        <f>143/3</f>
        <v>47.666666666666664</v>
      </c>
      <c r="O136">
        <v>0</v>
      </c>
      <c r="P136">
        <v>0</v>
      </c>
      <c r="Q136">
        <v>0</v>
      </c>
      <c r="R136">
        <v>0</v>
      </c>
      <c r="S136">
        <v>3</v>
      </c>
      <c r="T136">
        <v>3</v>
      </c>
      <c r="U136">
        <v>143</v>
      </c>
      <c r="V136">
        <v>143</v>
      </c>
      <c r="W136">
        <v>0</v>
      </c>
    </row>
    <row r="137" spans="1:24" x14ac:dyDescent="0.25">
      <c r="A137" t="s">
        <v>58</v>
      </c>
      <c r="B137">
        <v>12</v>
      </c>
      <c r="C137" t="s">
        <v>29</v>
      </c>
      <c r="D137" t="s">
        <v>95</v>
      </c>
      <c r="E137" t="s">
        <v>103</v>
      </c>
      <c r="F137" t="s">
        <v>221</v>
      </c>
      <c r="G137" t="s">
        <v>120</v>
      </c>
      <c r="H137" t="str">
        <f t="shared" si="6"/>
        <v>Shade.Solo</v>
      </c>
      <c r="I137" t="str">
        <f t="shared" si="7"/>
        <v>P.airoides.Solo</v>
      </c>
      <c r="J137" t="str">
        <f t="shared" si="8"/>
        <v>12I.P.airoides.Solo</v>
      </c>
      <c r="K137">
        <v>4</v>
      </c>
      <c r="L137">
        <f>115+36+52+86</f>
        <v>289</v>
      </c>
      <c r="M137">
        <v>4</v>
      </c>
      <c r="N137">
        <v>70</v>
      </c>
      <c r="O137">
        <v>0</v>
      </c>
      <c r="P137">
        <v>0</v>
      </c>
      <c r="Q137">
        <v>0</v>
      </c>
      <c r="R137">
        <v>0</v>
      </c>
      <c r="S137">
        <v>4</v>
      </c>
      <c r="T137">
        <v>4</v>
      </c>
      <c r="U137">
        <v>289</v>
      </c>
      <c r="V137">
        <v>289</v>
      </c>
      <c r="W137">
        <v>0</v>
      </c>
    </row>
    <row r="138" spans="1:24" x14ac:dyDescent="0.25">
      <c r="A138" t="s">
        <v>59</v>
      </c>
      <c r="B138">
        <v>12</v>
      </c>
      <c r="C138" t="s">
        <v>31</v>
      </c>
      <c r="D138" t="s">
        <v>94</v>
      </c>
      <c r="E138" t="s">
        <v>105</v>
      </c>
      <c r="F138" t="s">
        <v>221</v>
      </c>
      <c r="G138" t="s">
        <v>145</v>
      </c>
      <c r="H138" t="str">
        <f t="shared" si="6"/>
        <v>Open.Highcomp</v>
      </c>
      <c r="I138" t="str">
        <f t="shared" si="7"/>
        <v>H.glabra.Highcomp</v>
      </c>
      <c r="J138" t="str">
        <f t="shared" si="8"/>
        <v>12J.H.glabra.Highcomp</v>
      </c>
      <c r="K138">
        <v>3</v>
      </c>
      <c r="L138">
        <f>33+56+47</f>
        <v>136</v>
      </c>
      <c r="M138">
        <v>3</v>
      </c>
      <c r="N138">
        <f>136/3</f>
        <v>45.333333333333336</v>
      </c>
      <c r="O138">
        <v>7</v>
      </c>
      <c r="P138">
        <v>0</v>
      </c>
      <c r="Q138">
        <v>0</v>
      </c>
      <c r="R138">
        <v>0</v>
      </c>
      <c r="S138">
        <v>10</v>
      </c>
      <c r="T138">
        <v>10</v>
      </c>
      <c r="U138">
        <f>136+(N138*7)</f>
        <v>453.33333333333337</v>
      </c>
      <c r="V138">
        <v>453</v>
      </c>
      <c r="W138">
        <v>0</v>
      </c>
    </row>
    <row r="139" spans="1:24" x14ac:dyDescent="0.25">
      <c r="A139" t="s">
        <v>59</v>
      </c>
      <c r="B139">
        <v>12</v>
      </c>
      <c r="C139" t="s">
        <v>31</v>
      </c>
      <c r="D139" t="s">
        <v>94</v>
      </c>
      <c r="E139" t="s">
        <v>105</v>
      </c>
      <c r="F139" t="s">
        <v>221</v>
      </c>
      <c r="G139" t="s">
        <v>120</v>
      </c>
      <c r="H139" t="str">
        <f t="shared" si="6"/>
        <v>Open.Solo</v>
      </c>
      <c r="I139" t="str">
        <f t="shared" si="7"/>
        <v>H.glabra.Solo</v>
      </c>
      <c r="J139" t="str">
        <f t="shared" si="8"/>
        <v>12J.H.glabra.Solo</v>
      </c>
      <c r="K139">
        <v>1</v>
      </c>
      <c r="L139">
        <v>27</v>
      </c>
      <c r="M139">
        <v>1</v>
      </c>
      <c r="N139">
        <v>27</v>
      </c>
      <c r="O139">
        <v>2</v>
      </c>
      <c r="P139">
        <v>0</v>
      </c>
      <c r="Q139">
        <v>0</v>
      </c>
      <c r="R139">
        <v>0</v>
      </c>
      <c r="S139">
        <v>3</v>
      </c>
      <c r="T139">
        <v>3</v>
      </c>
      <c r="U139">
        <f>27+(2*27)</f>
        <v>81</v>
      </c>
      <c r="V139">
        <v>81</v>
      </c>
      <c r="W139">
        <v>0</v>
      </c>
    </row>
    <row r="140" spans="1:24" x14ac:dyDescent="0.25">
      <c r="A140" t="s">
        <v>59</v>
      </c>
      <c r="B140">
        <v>12</v>
      </c>
      <c r="C140" t="s">
        <v>31</v>
      </c>
      <c r="D140" t="s">
        <v>94</v>
      </c>
      <c r="E140" t="s">
        <v>110</v>
      </c>
      <c r="F140" t="s">
        <v>221</v>
      </c>
      <c r="G140" t="s">
        <v>145</v>
      </c>
      <c r="H140" t="str">
        <f t="shared" si="6"/>
        <v>Open.Highcomp</v>
      </c>
      <c r="I140" t="str">
        <f t="shared" si="7"/>
        <v>M.minima.Highcomp</v>
      </c>
      <c r="J140" t="str">
        <f t="shared" si="8"/>
        <v>12J.M.minima.Highcomp</v>
      </c>
      <c r="K140">
        <v>8</v>
      </c>
      <c r="L140">
        <v>8</v>
      </c>
      <c r="M140">
        <v>8</v>
      </c>
      <c r="N140">
        <v>1</v>
      </c>
      <c r="O140">
        <v>0</v>
      </c>
      <c r="P140">
        <v>0</v>
      </c>
      <c r="Q140">
        <v>2</v>
      </c>
      <c r="R140">
        <v>0</v>
      </c>
      <c r="S140">
        <v>10</v>
      </c>
      <c r="T140">
        <v>8</v>
      </c>
      <c r="U140">
        <v>8</v>
      </c>
      <c r="V140">
        <v>8</v>
      </c>
      <c r="W140">
        <v>0</v>
      </c>
    </row>
    <row r="141" spans="1:24" x14ac:dyDescent="0.25">
      <c r="A141" t="s">
        <v>59</v>
      </c>
      <c r="B141">
        <v>12</v>
      </c>
      <c r="C141" t="s">
        <v>31</v>
      </c>
      <c r="D141" t="s">
        <v>94</v>
      </c>
      <c r="E141" t="s">
        <v>110</v>
      </c>
      <c r="F141" t="s">
        <v>221</v>
      </c>
      <c r="G141" t="s">
        <v>120</v>
      </c>
      <c r="H141" t="str">
        <f t="shared" si="6"/>
        <v>Open.Solo</v>
      </c>
      <c r="I141" t="str">
        <f t="shared" si="7"/>
        <v>M.minima.Solo</v>
      </c>
      <c r="J141" t="str">
        <f t="shared" si="8"/>
        <v>12J.M.minima.Solo</v>
      </c>
      <c r="K141">
        <v>9</v>
      </c>
      <c r="L141">
        <v>9</v>
      </c>
      <c r="M141">
        <v>9</v>
      </c>
      <c r="N141">
        <v>1</v>
      </c>
      <c r="O141">
        <v>0</v>
      </c>
      <c r="P141">
        <v>0</v>
      </c>
      <c r="Q141">
        <v>0</v>
      </c>
      <c r="R141">
        <v>0</v>
      </c>
      <c r="S141">
        <v>9</v>
      </c>
      <c r="T141">
        <v>9</v>
      </c>
      <c r="U141">
        <v>9</v>
      </c>
      <c r="V141">
        <v>9</v>
      </c>
      <c r="W141">
        <v>0</v>
      </c>
    </row>
    <row r="142" spans="1:24" x14ac:dyDescent="0.25">
      <c r="A142" t="s">
        <v>60</v>
      </c>
      <c r="B142">
        <v>12</v>
      </c>
      <c r="C142" t="s">
        <v>33</v>
      </c>
      <c r="D142" t="s">
        <v>95</v>
      </c>
      <c r="E142" t="s">
        <v>102</v>
      </c>
      <c r="F142" t="s">
        <v>221</v>
      </c>
      <c r="G142" t="s">
        <v>145</v>
      </c>
      <c r="H142" t="str">
        <f t="shared" si="6"/>
        <v>Shade.Highcomp</v>
      </c>
      <c r="I142" t="str">
        <f t="shared" si="7"/>
        <v>A.calendula.Highcomp</v>
      </c>
      <c r="J142" t="str">
        <f t="shared" si="8"/>
        <v>12K.A.calendula.Highcomp</v>
      </c>
      <c r="K142">
        <v>3</v>
      </c>
      <c r="L142">
        <f>26+55+29</f>
        <v>110</v>
      </c>
      <c r="M142">
        <v>3</v>
      </c>
      <c r="N142">
        <f>110/3</f>
        <v>36.666666666666664</v>
      </c>
      <c r="O142">
        <v>31</v>
      </c>
      <c r="P142">
        <v>0</v>
      </c>
      <c r="Q142">
        <v>2</v>
      </c>
      <c r="R142">
        <v>0</v>
      </c>
      <c r="S142">
        <v>36</v>
      </c>
      <c r="T142">
        <v>34</v>
      </c>
      <c r="U142">
        <f>110+(31*N142)</f>
        <v>1246.6666666666665</v>
      </c>
      <c r="V142">
        <v>1247</v>
      </c>
      <c r="W142">
        <v>0</v>
      </c>
    </row>
    <row r="143" spans="1:24" x14ac:dyDescent="0.25">
      <c r="A143" t="s">
        <v>60</v>
      </c>
      <c r="B143">
        <v>12</v>
      </c>
      <c r="C143" t="s">
        <v>33</v>
      </c>
      <c r="D143" t="s">
        <v>95</v>
      </c>
      <c r="E143" t="s">
        <v>102</v>
      </c>
      <c r="F143" t="s">
        <v>221</v>
      </c>
      <c r="G143" t="s">
        <v>120</v>
      </c>
      <c r="H143" t="str">
        <f t="shared" si="6"/>
        <v>Shade.Solo</v>
      </c>
      <c r="I143" t="str">
        <f t="shared" si="7"/>
        <v>A.calendula.Solo</v>
      </c>
      <c r="J143" t="str">
        <f t="shared" si="8"/>
        <v>12K.A.calendula.Solo</v>
      </c>
      <c r="K143">
        <v>1</v>
      </c>
      <c r="L143">
        <v>32</v>
      </c>
      <c r="M143">
        <v>1</v>
      </c>
      <c r="N143">
        <v>32</v>
      </c>
      <c r="O143">
        <v>10</v>
      </c>
      <c r="P143">
        <v>0</v>
      </c>
      <c r="Q143">
        <v>0</v>
      </c>
      <c r="R143">
        <v>0</v>
      </c>
      <c r="S143">
        <v>11</v>
      </c>
      <c r="T143">
        <v>11</v>
      </c>
      <c r="U143">
        <f>32+(10*32)</f>
        <v>352</v>
      </c>
      <c r="V143">
        <v>352</v>
      </c>
      <c r="W143">
        <v>0</v>
      </c>
    </row>
    <row r="144" spans="1:24" x14ac:dyDescent="0.25">
      <c r="A144" t="s">
        <v>60</v>
      </c>
      <c r="B144">
        <v>12</v>
      </c>
      <c r="C144" t="s">
        <v>33</v>
      </c>
      <c r="D144" t="s">
        <v>95</v>
      </c>
      <c r="E144" t="s">
        <v>110</v>
      </c>
      <c r="F144" t="s">
        <v>221</v>
      </c>
      <c r="G144" t="s">
        <v>145</v>
      </c>
      <c r="H144" t="str">
        <f t="shared" si="6"/>
        <v>Shade.Highcomp</v>
      </c>
      <c r="I144" t="str">
        <f t="shared" si="7"/>
        <v>M.minima.Highcomp</v>
      </c>
      <c r="J144" t="str">
        <f t="shared" si="8"/>
        <v>12K.M.minima.Highcomp</v>
      </c>
      <c r="K144">
        <v>14</v>
      </c>
      <c r="L144">
        <v>14</v>
      </c>
      <c r="M144">
        <v>14</v>
      </c>
      <c r="N144">
        <v>1</v>
      </c>
      <c r="O144">
        <v>0</v>
      </c>
      <c r="P144">
        <v>0</v>
      </c>
      <c r="Q144">
        <v>0</v>
      </c>
      <c r="R144">
        <v>0</v>
      </c>
      <c r="S144">
        <v>14</v>
      </c>
      <c r="T144">
        <v>14</v>
      </c>
      <c r="U144">
        <v>14</v>
      </c>
      <c r="V144">
        <v>14</v>
      </c>
      <c r="W144">
        <v>0</v>
      </c>
    </row>
    <row r="145" spans="1:24" x14ac:dyDescent="0.25">
      <c r="A145" t="s">
        <v>60</v>
      </c>
      <c r="B145">
        <v>12</v>
      </c>
      <c r="C145" t="s">
        <v>33</v>
      </c>
      <c r="D145" t="s">
        <v>95</v>
      </c>
      <c r="E145" t="s">
        <v>110</v>
      </c>
      <c r="F145" t="s">
        <v>221</v>
      </c>
      <c r="G145" t="s">
        <v>120</v>
      </c>
      <c r="H145" t="str">
        <f t="shared" si="6"/>
        <v>Shade.Solo</v>
      </c>
      <c r="I145" t="str">
        <f t="shared" si="7"/>
        <v>M.minima.Solo</v>
      </c>
      <c r="J145" t="str">
        <f t="shared" si="8"/>
        <v>12K.M.minima.Solo</v>
      </c>
      <c r="K145">
        <v>9</v>
      </c>
      <c r="L145">
        <v>9</v>
      </c>
      <c r="M145">
        <v>9</v>
      </c>
      <c r="N145">
        <v>1</v>
      </c>
      <c r="O145">
        <v>0</v>
      </c>
      <c r="P145">
        <v>1</v>
      </c>
      <c r="Q145">
        <v>0</v>
      </c>
      <c r="R145">
        <v>0</v>
      </c>
      <c r="S145">
        <v>10</v>
      </c>
      <c r="T145">
        <v>9</v>
      </c>
      <c r="U145">
        <v>9</v>
      </c>
      <c r="V145">
        <v>9</v>
      </c>
      <c r="W145">
        <v>0</v>
      </c>
    </row>
    <row r="146" spans="1:24" x14ac:dyDescent="0.25">
      <c r="A146" t="s">
        <v>60</v>
      </c>
      <c r="B146">
        <v>12</v>
      </c>
      <c r="C146" t="s">
        <v>33</v>
      </c>
      <c r="D146" t="s">
        <v>95</v>
      </c>
      <c r="E146" t="s">
        <v>104</v>
      </c>
      <c r="F146" t="s">
        <v>222</v>
      </c>
      <c r="G146" t="s">
        <v>145</v>
      </c>
      <c r="H146" t="str">
        <f t="shared" si="6"/>
        <v>Shade.Highcomp</v>
      </c>
      <c r="I146" t="str">
        <f t="shared" si="7"/>
        <v>T.cyanopetala.Highcomp</v>
      </c>
      <c r="J146" t="str">
        <f t="shared" si="8"/>
        <v>12K.T.cyanopetala.Highcomp</v>
      </c>
      <c r="K146">
        <v>2</v>
      </c>
      <c r="L146">
        <v>8</v>
      </c>
      <c r="M146">
        <v>2</v>
      </c>
      <c r="N146">
        <v>4</v>
      </c>
      <c r="O146">
        <v>0</v>
      </c>
      <c r="P146">
        <v>0</v>
      </c>
      <c r="Q146">
        <v>0</v>
      </c>
      <c r="R146">
        <v>0</v>
      </c>
      <c r="S146">
        <v>2</v>
      </c>
      <c r="T146">
        <v>2</v>
      </c>
      <c r="U146">
        <v>8</v>
      </c>
      <c r="V146">
        <v>8</v>
      </c>
      <c r="W146">
        <v>0</v>
      </c>
    </row>
    <row r="147" spans="1:24" x14ac:dyDescent="0.25">
      <c r="A147" t="s">
        <v>60</v>
      </c>
      <c r="B147">
        <v>12</v>
      </c>
      <c r="C147" t="s">
        <v>33</v>
      </c>
      <c r="D147" t="s">
        <v>95</v>
      </c>
      <c r="E147" t="s">
        <v>104</v>
      </c>
      <c r="F147" t="s">
        <v>222</v>
      </c>
      <c r="G147" t="s">
        <v>120</v>
      </c>
      <c r="H147" t="str">
        <f t="shared" si="6"/>
        <v>Shade.Solo</v>
      </c>
      <c r="I147" t="str">
        <f t="shared" si="7"/>
        <v>T.cyanopetala.Solo</v>
      </c>
      <c r="J147" t="str">
        <f t="shared" si="8"/>
        <v>12K.T.cyanopetala.Solo</v>
      </c>
      <c r="K147">
        <v>4</v>
      </c>
      <c r="L147">
        <v>24</v>
      </c>
      <c r="M147">
        <v>4</v>
      </c>
      <c r="N147">
        <v>6</v>
      </c>
      <c r="O147">
        <v>0</v>
      </c>
      <c r="P147">
        <v>0</v>
      </c>
      <c r="Q147">
        <v>0</v>
      </c>
      <c r="R147">
        <v>0</v>
      </c>
      <c r="S147">
        <v>4</v>
      </c>
      <c r="T147">
        <v>4</v>
      </c>
      <c r="U147">
        <v>24</v>
      </c>
      <c r="V147">
        <v>24</v>
      </c>
      <c r="W147">
        <v>0</v>
      </c>
    </row>
    <row r="148" spans="1:24" x14ac:dyDescent="0.25">
      <c r="A148" t="s">
        <v>60</v>
      </c>
      <c r="B148">
        <v>12</v>
      </c>
      <c r="C148" t="s">
        <v>33</v>
      </c>
      <c r="D148" t="s">
        <v>95</v>
      </c>
      <c r="E148" t="s">
        <v>112</v>
      </c>
      <c r="F148" t="s">
        <v>222</v>
      </c>
      <c r="G148" t="s">
        <v>145</v>
      </c>
      <c r="H148" t="str">
        <f t="shared" si="6"/>
        <v>Shade.Highcomp</v>
      </c>
      <c r="I148" t="str">
        <f t="shared" si="7"/>
        <v>V.rosea.Highcomp</v>
      </c>
      <c r="J148" t="str">
        <f t="shared" si="8"/>
        <v>12K.V.rosea.Highcomp</v>
      </c>
      <c r="K148">
        <v>17</v>
      </c>
      <c r="L148">
        <f>28+5+9</f>
        <v>42</v>
      </c>
      <c r="M148">
        <v>11</v>
      </c>
      <c r="N148">
        <f>42/11</f>
        <v>3.8181818181818183</v>
      </c>
      <c r="O148">
        <v>0</v>
      </c>
      <c r="P148">
        <v>2</v>
      </c>
      <c r="Q148">
        <v>3</v>
      </c>
      <c r="R148">
        <v>0</v>
      </c>
      <c r="S148">
        <v>22</v>
      </c>
      <c r="T148">
        <v>17</v>
      </c>
      <c r="U148">
        <f>42+(6*N148)</f>
        <v>64.909090909090907</v>
      </c>
      <c r="V148">
        <v>65</v>
      </c>
      <c r="W148">
        <v>0</v>
      </c>
    </row>
    <row r="149" spans="1:24" x14ac:dyDescent="0.25">
      <c r="A149" t="s">
        <v>60</v>
      </c>
      <c r="B149">
        <v>12</v>
      </c>
      <c r="C149" t="s">
        <v>33</v>
      </c>
      <c r="D149" t="s">
        <v>95</v>
      </c>
      <c r="E149" t="s">
        <v>112</v>
      </c>
      <c r="F149" t="s">
        <v>222</v>
      </c>
      <c r="G149" t="s">
        <v>120</v>
      </c>
      <c r="H149" t="str">
        <f t="shared" si="6"/>
        <v>Shade.Solo</v>
      </c>
      <c r="I149" t="str">
        <f t="shared" si="7"/>
        <v>V.rosea.Solo</v>
      </c>
      <c r="J149" t="str">
        <f t="shared" si="8"/>
        <v>12K.V.rosea.Solo</v>
      </c>
      <c r="K149">
        <v>3</v>
      </c>
      <c r="L149">
        <v>9</v>
      </c>
      <c r="M149">
        <v>3</v>
      </c>
      <c r="N149">
        <v>3</v>
      </c>
      <c r="O149">
        <v>0</v>
      </c>
      <c r="P149">
        <v>0</v>
      </c>
      <c r="Q149">
        <v>0</v>
      </c>
      <c r="R149">
        <v>1</v>
      </c>
      <c r="S149">
        <v>3</v>
      </c>
      <c r="T149">
        <v>3</v>
      </c>
      <c r="U149">
        <v>9</v>
      </c>
      <c r="V149">
        <v>9</v>
      </c>
      <c r="W149">
        <v>0</v>
      </c>
    </row>
    <row r="150" spans="1:24" x14ac:dyDescent="0.25">
      <c r="A150" t="s">
        <v>61</v>
      </c>
      <c r="B150">
        <v>12</v>
      </c>
      <c r="C150" t="s">
        <v>35</v>
      </c>
      <c r="D150" t="s">
        <v>94</v>
      </c>
      <c r="E150" t="s">
        <v>102</v>
      </c>
      <c r="F150" t="s">
        <v>221</v>
      </c>
      <c r="G150" t="s">
        <v>145</v>
      </c>
      <c r="H150" t="str">
        <f t="shared" si="6"/>
        <v>Open.Highcomp</v>
      </c>
      <c r="I150" t="str">
        <f t="shared" si="7"/>
        <v>A.calendula.Highcomp</v>
      </c>
      <c r="J150" t="str">
        <f t="shared" si="8"/>
        <v>12L.A.calendula.Highcomp</v>
      </c>
      <c r="K150" t="s">
        <v>114</v>
      </c>
      <c r="L150" t="s">
        <v>114</v>
      </c>
      <c r="M150" t="s">
        <v>114</v>
      </c>
      <c r="N150" t="s">
        <v>114</v>
      </c>
      <c r="O150" t="s">
        <v>114</v>
      </c>
      <c r="P150" t="s">
        <v>114</v>
      </c>
      <c r="Q150" t="s">
        <v>114</v>
      </c>
      <c r="R150" t="s">
        <v>114</v>
      </c>
      <c r="S150" t="s">
        <v>114</v>
      </c>
      <c r="T150" t="s">
        <v>114</v>
      </c>
      <c r="U150" t="s">
        <v>114</v>
      </c>
      <c r="V150" t="s">
        <v>114</v>
      </c>
      <c r="W150">
        <v>1</v>
      </c>
      <c r="X150" t="s">
        <v>190</v>
      </c>
    </row>
    <row r="151" spans="1:24" x14ac:dyDescent="0.25">
      <c r="A151" t="s">
        <v>61</v>
      </c>
      <c r="B151">
        <v>12</v>
      </c>
      <c r="C151" t="s">
        <v>35</v>
      </c>
      <c r="D151" t="s">
        <v>94</v>
      </c>
      <c r="E151" t="s">
        <v>102</v>
      </c>
      <c r="F151" t="s">
        <v>221</v>
      </c>
      <c r="G151" t="s">
        <v>120</v>
      </c>
      <c r="H151" t="str">
        <f t="shared" si="6"/>
        <v>Open.Solo</v>
      </c>
      <c r="I151" t="str">
        <f t="shared" si="7"/>
        <v>A.calendula.Solo</v>
      </c>
      <c r="J151" t="str">
        <f t="shared" si="8"/>
        <v>12L.A.calendula.Solo</v>
      </c>
      <c r="K151">
        <v>20</v>
      </c>
      <c r="L151">
        <f>21+38+46+38+37+51+50+53+43+45</f>
        <v>422</v>
      </c>
      <c r="M151">
        <v>10</v>
      </c>
      <c r="N151">
        <f>422/10</f>
        <v>42.2</v>
      </c>
      <c r="O151">
        <v>3</v>
      </c>
      <c r="P151">
        <v>0</v>
      </c>
      <c r="Q151">
        <v>0</v>
      </c>
      <c r="R151">
        <v>0</v>
      </c>
      <c r="S151">
        <v>23</v>
      </c>
      <c r="T151">
        <v>23</v>
      </c>
      <c r="U151">
        <f>422+(13*42.2)</f>
        <v>970.6</v>
      </c>
      <c r="V151">
        <v>971</v>
      </c>
      <c r="W151">
        <v>0</v>
      </c>
    </row>
    <row r="152" spans="1:24" x14ac:dyDescent="0.25">
      <c r="A152" t="s">
        <v>61</v>
      </c>
      <c r="B152">
        <v>12</v>
      </c>
      <c r="C152" t="s">
        <v>35</v>
      </c>
      <c r="D152" t="s">
        <v>94</v>
      </c>
      <c r="E152" t="s">
        <v>110</v>
      </c>
      <c r="F152" t="s">
        <v>221</v>
      </c>
      <c r="G152" t="s">
        <v>145</v>
      </c>
      <c r="H152" t="str">
        <f t="shared" si="6"/>
        <v>Open.Highcomp</v>
      </c>
      <c r="I152" t="str">
        <f t="shared" si="7"/>
        <v>M.minima.Highcomp</v>
      </c>
      <c r="J152" t="str">
        <f t="shared" si="8"/>
        <v>12L.M.minima.Highcomp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 t="s">
        <v>188</v>
      </c>
    </row>
    <row r="153" spans="1:24" x14ac:dyDescent="0.25">
      <c r="A153" t="s">
        <v>61</v>
      </c>
      <c r="B153">
        <v>12</v>
      </c>
      <c r="C153" t="s">
        <v>35</v>
      </c>
      <c r="D153" t="s">
        <v>94</v>
      </c>
      <c r="E153" t="s">
        <v>110</v>
      </c>
      <c r="F153" t="s">
        <v>221</v>
      </c>
      <c r="G153" t="s">
        <v>120</v>
      </c>
      <c r="H153" t="str">
        <f t="shared" si="6"/>
        <v>Open.Solo</v>
      </c>
      <c r="I153" t="str">
        <f t="shared" si="7"/>
        <v>M.minima.Solo</v>
      </c>
      <c r="J153" t="str">
        <f t="shared" si="8"/>
        <v>12L.M.minima.Solo</v>
      </c>
      <c r="K153">
        <v>14</v>
      </c>
      <c r="L153">
        <v>14</v>
      </c>
      <c r="M153">
        <v>14</v>
      </c>
      <c r="N153">
        <v>1</v>
      </c>
      <c r="O153">
        <v>0</v>
      </c>
      <c r="P153">
        <v>1</v>
      </c>
      <c r="Q153">
        <v>0</v>
      </c>
      <c r="R153">
        <v>0</v>
      </c>
      <c r="S153">
        <v>15</v>
      </c>
      <c r="T153">
        <v>14</v>
      </c>
      <c r="U153">
        <v>14</v>
      </c>
      <c r="V153">
        <v>14</v>
      </c>
      <c r="W153">
        <v>0</v>
      </c>
    </row>
    <row r="154" spans="1:24" x14ac:dyDescent="0.25">
      <c r="A154" t="s">
        <v>61</v>
      </c>
      <c r="B154">
        <v>12</v>
      </c>
      <c r="C154" t="s">
        <v>35</v>
      </c>
      <c r="D154" t="s">
        <v>94</v>
      </c>
      <c r="E154" t="s">
        <v>112</v>
      </c>
      <c r="F154" t="s">
        <v>222</v>
      </c>
      <c r="G154" t="s">
        <v>145</v>
      </c>
      <c r="H154" t="str">
        <f t="shared" si="6"/>
        <v>Open.Highcomp</v>
      </c>
      <c r="I154" t="str">
        <f t="shared" si="7"/>
        <v>V.rosea.Highcomp</v>
      </c>
      <c r="J154" t="str">
        <f t="shared" si="8"/>
        <v>12L.V.rosea.Highcomp</v>
      </c>
      <c r="K154">
        <v>28</v>
      </c>
      <c r="L154">
        <v>52</v>
      </c>
      <c r="M154">
        <v>15</v>
      </c>
      <c r="N154">
        <f>L154/M154</f>
        <v>3.4666666666666668</v>
      </c>
      <c r="O154">
        <v>2</v>
      </c>
      <c r="P154">
        <v>0</v>
      </c>
      <c r="Q154">
        <v>0</v>
      </c>
      <c r="R154">
        <v>1</v>
      </c>
      <c r="S154">
        <v>30</v>
      </c>
      <c r="T154">
        <v>30</v>
      </c>
      <c r="U154">
        <f>52+(15*N154)</f>
        <v>104</v>
      </c>
      <c r="V154">
        <v>104</v>
      </c>
      <c r="W154">
        <v>0</v>
      </c>
    </row>
    <row r="155" spans="1:24" x14ac:dyDescent="0.25">
      <c r="A155" t="s">
        <v>61</v>
      </c>
      <c r="B155">
        <v>12</v>
      </c>
      <c r="C155" t="s">
        <v>35</v>
      </c>
      <c r="D155" t="s">
        <v>94</v>
      </c>
      <c r="E155" t="s">
        <v>112</v>
      </c>
      <c r="F155" t="s">
        <v>222</v>
      </c>
      <c r="G155" t="s">
        <v>120</v>
      </c>
      <c r="H155" t="str">
        <f t="shared" si="6"/>
        <v>Open.Solo</v>
      </c>
      <c r="I155" t="str">
        <f t="shared" si="7"/>
        <v>V.rosea.Solo</v>
      </c>
      <c r="J155" t="str">
        <f t="shared" si="8"/>
        <v>12L.V.rosea.Solo</v>
      </c>
      <c r="K155">
        <v>54</v>
      </c>
      <c r="L155">
        <v>70</v>
      </c>
      <c r="M155">
        <v>20</v>
      </c>
      <c r="N155">
        <f>L155/M155</f>
        <v>3.5</v>
      </c>
      <c r="O155">
        <v>3</v>
      </c>
      <c r="P155">
        <v>0</v>
      </c>
      <c r="Q155">
        <v>0</v>
      </c>
      <c r="R155">
        <v>0</v>
      </c>
      <c r="S155">
        <v>57</v>
      </c>
      <c r="T155">
        <v>57</v>
      </c>
      <c r="U155">
        <f>70+(37*3.5)</f>
        <v>199.5</v>
      </c>
      <c r="V155">
        <v>200</v>
      </c>
      <c r="W155">
        <v>0</v>
      </c>
    </row>
    <row r="156" spans="1:24" x14ac:dyDescent="0.25">
      <c r="A156" t="s">
        <v>62</v>
      </c>
      <c r="B156">
        <v>12</v>
      </c>
      <c r="C156" t="s">
        <v>37</v>
      </c>
      <c r="D156" t="s">
        <v>95</v>
      </c>
      <c r="E156" t="s">
        <v>102</v>
      </c>
      <c r="F156" t="s">
        <v>221</v>
      </c>
      <c r="G156" t="s">
        <v>145</v>
      </c>
      <c r="H156" t="str">
        <f t="shared" si="6"/>
        <v>Shade.Highcomp</v>
      </c>
      <c r="I156" t="str">
        <f t="shared" si="7"/>
        <v>A.calendula.Highcomp</v>
      </c>
      <c r="J156" t="str">
        <f t="shared" si="8"/>
        <v>12M.A.calendula.Highcomp</v>
      </c>
      <c r="K156">
        <v>5</v>
      </c>
      <c r="L156">
        <f>18+7+37+30+31</f>
        <v>123</v>
      </c>
      <c r="M156">
        <v>5</v>
      </c>
      <c r="N156">
        <f>123/5</f>
        <v>24.6</v>
      </c>
      <c r="O156">
        <v>5</v>
      </c>
      <c r="P156">
        <v>0</v>
      </c>
      <c r="Q156">
        <v>0</v>
      </c>
      <c r="R156">
        <v>0</v>
      </c>
      <c r="S156">
        <v>10</v>
      </c>
      <c r="T156">
        <v>10</v>
      </c>
      <c r="U156">
        <f>123+(5*N156)</f>
        <v>246</v>
      </c>
      <c r="V156">
        <v>246</v>
      </c>
      <c r="W156">
        <v>0</v>
      </c>
    </row>
    <row r="157" spans="1:24" x14ac:dyDescent="0.25">
      <c r="A157" t="s">
        <v>62</v>
      </c>
      <c r="B157">
        <v>12</v>
      </c>
      <c r="C157" t="s">
        <v>37</v>
      </c>
      <c r="D157" t="s">
        <v>95</v>
      </c>
      <c r="E157" t="s">
        <v>102</v>
      </c>
      <c r="F157" t="s">
        <v>221</v>
      </c>
      <c r="G157" t="s">
        <v>120</v>
      </c>
      <c r="H157" t="str">
        <f t="shared" si="6"/>
        <v>Shade.Solo</v>
      </c>
      <c r="I157" t="str">
        <f t="shared" si="7"/>
        <v>A.calendula.Solo</v>
      </c>
      <c r="J157" t="str">
        <f t="shared" si="8"/>
        <v>12M.A.calendula.Solo</v>
      </c>
      <c r="K157">
        <v>3</v>
      </c>
      <c r="L157">
        <f>34+40+31</f>
        <v>105</v>
      </c>
      <c r="M157">
        <v>3</v>
      </c>
      <c r="N157">
        <f>105/3</f>
        <v>35</v>
      </c>
      <c r="O157">
        <v>18</v>
      </c>
      <c r="P157">
        <v>0</v>
      </c>
      <c r="Q157">
        <v>0</v>
      </c>
      <c r="R157">
        <v>0</v>
      </c>
      <c r="S157">
        <v>21</v>
      </c>
      <c r="T157">
        <v>21</v>
      </c>
      <c r="U157">
        <f>105+(35*18)</f>
        <v>735</v>
      </c>
      <c r="V157">
        <v>735</v>
      </c>
      <c r="W157">
        <v>0</v>
      </c>
    </row>
    <row r="158" spans="1:24" x14ac:dyDescent="0.25">
      <c r="A158" t="s">
        <v>62</v>
      </c>
      <c r="B158">
        <v>12</v>
      </c>
      <c r="C158" t="s">
        <v>37</v>
      </c>
      <c r="D158" t="s">
        <v>95</v>
      </c>
      <c r="E158" t="s">
        <v>103</v>
      </c>
      <c r="F158" t="s">
        <v>221</v>
      </c>
      <c r="G158" t="s">
        <v>145</v>
      </c>
      <c r="H158" t="str">
        <f t="shared" si="6"/>
        <v>Shade.Highcomp</v>
      </c>
      <c r="I158" t="str">
        <f t="shared" si="7"/>
        <v>P.airoides.Highcomp</v>
      </c>
      <c r="J158" t="str">
        <f t="shared" si="8"/>
        <v>12M.P.airoides.Highcomp</v>
      </c>
      <c r="K158">
        <v>2</v>
      </c>
      <c r="L158">
        <f>38+73</f>
        <v>111</v>
      </c>
      <c r="M158">
        <v>2</v>
      </c>
      <c r="N158">
        <f>111/2</f>
        <v>55.5</v>
      </c>
      <c r="O158">
        <v>0</v>
      </c>
      <c r="P158">
        <v>0</v>
      </c>
      <c r="Q158">
        <v>0</v>
      </c>
      <c r="R158">
        <v>0</v>
      </c>
      <c r="S158">
        <v>2</v>
      </c>
      <c r="T158">
        <v>2</v>
      </c>
      <c r="U158">
        <v>111</v>
      </c>
      <c r="V158">
        <v>111</v>
      </c>
      <c r="W158">
        <v>0</v>
      </c>
    </row>
    <row r="159" spans="1:24" x14ac:dyDescent="0.25">
      <c r="A159" t="s">
        <v>62</v>
      </c>
      <c r="B159">
        <v>12</v>
      </c>
      <c r="C159" t="s">
        <v>37</v>
      </c>
      <c r="D159" t="s">
        <v>95</v>
      </c>
      <c r="E159" t="s">
        <v>103</v>
      </c>
      <c r="F159" t="s">
        <v>221</v>
      </c>
      <c r="G159" t="s">
        <v>120</v>
      </c>
      <c r="H159" t="str">
        <f t="shared" si="6"/>
        <v>Shade.Solo</v>
      </c>
      <c r="I159" t="str">
        <f t="shared" si="7"/>
        <v>P.airoides.Solo</v>
      </c>
      <c r="J159" t="str">
        <f t="shared" si="8"/>
        <v>12M.P.airoides.Solo</v>
      </c>
      <c r="K159">
        <v>6</v>
      </c>
      <c r="L159">
        <f>59+109+31+28+50+82</f>
        <v>359</v>
      </c>
      <c r="M159">
        <v>6</v>
      </c>
      <c r="N159">
        <f>359/6</f>
        <v>59.833333333333336</v>
      </c>
      <c r="O159">
        <v>0</v>
      </c>
      <c r="P159">
        <v>0</v>
      </c>
      <c r="Q159">
        <v>0</v>
      </c>
      <c r="R159">
        <v>0</v>
      </c>
      <c r="S159">
        <v>6</v>
      </c>
      <c r="T159">
        <v>6</v>
      </c>
      <c r="U159">
        <v>359</v>
      </c>
      <c r="V159">
        <v>359</v>
      </c>
      <c r="W159">
        <v>0</v>
      </c>
    </row>
    <row r="160" spans="1:24" x14ac:dyDescent="0.25">
      <c r="A160" t="s">
        <v>63</v>
      </c>
      <c r="B160">
        <v>12</v>
      </c>
      <c r="C160" t="s">
        <v>64</v>
      </c>
      <c r="D160" t="s">
        <v>94</v>
      </c>
      <c r="E160" t="s">
        <v>104</v>
      </c>
      <c r="F160" t="s">
        <v>222</v>
      </c>
      <c r="G160" t="s">
        <v>145</v>
      </c>
      <c r="H160" t="str">
        <f t="shared" si="6"/>
        <v>Open.Highcomp</v>
      </c>
      <c r="I160" t="str">
        <f t="shared" si="7"/>
        <v>T.cyanopetala.Highcomp</v>
      </c>
      <c r="J160" t="str">
        <f t="shared" si="8"/>
        <v>12N.T.cyanopetala.Highcomp</v>
      </c>
      <c r="K160">
        <v>4</v>
      </c>
      <c r="L160">
        <v>18</v>
      </c>
      <c r="M160">
        <v>4</v>
      </c>
      <c r="N160">
        <f>18/4</f>
        <v>4.5</v>
      </c>
      <c r="O160">
        <v>0</v>
      </c>
      <c r="P160">
        <v>0</v>
      </c>
      <c r="Q160">
        <v>0</v>
      </c>
      <c r="R160">
        <v>0</v>
      </c>
      <c r="S160">
        <v>4</v>
      </c>
      <c r="T160">
        <v>4</v>
      </c>
      <c r="U160">
        <v>18</v>
      </c>
      <c r="V160">
        <v>18</v>
      </c>
      <c r="W160">
        <v>0</v>
      </c>
    </row>
    <row r="161" spans="1:23" x14ac:dyDescent="0.25">
      <c r="A161" t="s">
        <v>63</v>
      </c>
      <c r="B161">
        <v>12</v>
      </c>
      <c r="C161" t="s">
        <v>64</v>
      </c>
      <c r="D161" t="s">
        <v>94</v>
      </c>
      <c r="E161" t="s">
        <v>104</v>
      </c>
      <c r="F161" t="s">
        <v>222</v>
      </c>
      <c r="G161" t="s">
        <v>120</v>
      </c>
      <c r="H161" t="str">
        <f t="shared" si="6"/>
        <v>Open.Solo</v>
      </c>
      <c r="I161" t="str">
        <f t="shared" si="7"/>
        <v>T.cyanopetala.Solo</v>
      </c>
      <c r="J161" t="str">
        <f t="shared" si="8"/>
        <v>12N.T.cyanopetala.Solo</v>
      </c>
      <c r="K161">
        <v>4</v>
      </c>
      <c r="L161">
        <v>22</v>
      </c>
      <c r="M161">
        <v>4</v>
      </c>
      <c r="N161">
        <f>22/4</f>
        <v>5.5</v>
      </c>
      <c r="O161">
        <v>0</v>
      </c>
      <c r="P161">
        <v>0</v>
      </c>
      <c r="Q161">
        <v>0</v>
      </c>
      <c r="R161">
        <v>0</v>
      </c>
      <c r="S161">
        <v>4</v>
      </c>
      <c r="T161">
        <v>4</v>
      </c>
      <c r="U161">
        <v>22</v>
      </c>
      <c r="V161">
        <v>22</v>
      </c>
      <c r="W161">
        <v>0</v>
      </c>
    </row>
    <row r="162" spans="1:23" x14ac:dyDescent="0.25">
      <c r="A162" t="s">
        <v>65</v>
      </c>
      <c r="B162">
        <v>12</v>
      </c>
      <c r="C162" t="s">
        <v>66</v>
      </c>
      <c r="D162" t="s">
        <v>95</v>
      </c>
      <c r="E162" t="s">
        <v>105</v>
      </c>
      <c r="F162" t="s">
        <v>221</v>
      </c>
      <c r="G162" t="s">
        <v>145</v>
      </c>
      <c r="H162" t="str">
        <f t="shared" si="6"/>
        <v>Shade.Highcomp</v>
      </c>
      <c r="I162" t="str">
        <f t="shared" si="7"/>
        <v>H.glabra.Highcomp</v>
      </c>
      <c r="J162" t="str">
        <f t="shared" si="8"/>
        <v>12O.H.glabra.Highcomp</v>
      </c>
      <c r="K162">
        <v>9</v>
      </c>
      <c r="L162">
        <f>7+8+15+27+18+27+28+29+25</f>
        <v>184</v>
      </c>
      <c r="M162">
        <v>9</v>
      </c>
      <c r="N162">
        <f>184/9</f>
        <v>20.444444444444443</v>
      </c>
      <c r="O162">
        <v>0</v>
      </c>
      <c r="P162">
        <v>0</v>
      </c>
      <c r="Q162">
        <v>0</v>
      </c>
      <c r="R162">
        <v>0</v>
      </c>
      <c r="S162">
        <v>9</v>
      </c>
      <c r="T162">
        <v>9</v>
      </c>
      <c r="U162">
        <v>184</v>
      </c>
      <c r="V162">
        <v>184</v>
      </c>
      <c r="W162">
        <v>0</v>
      </c>
    </row>
    <row r="163" spans="1:23" x14ac:dyDescent="0.25">
      <c r="A163" t="s">
        <v>65</v>
      </c>
      <c r="B163">
        <v>12</v>
      </c>
      <c r="C163" t="s">
        <v>66</v>
      </c>
      <c r="D163" t="s">
        <v>95</v>
      </c>
      <c r="E163" t="s">
        <v>105</v>
      </c>
      <c r="F163" t="s">
        <v>221</v>
      </c>
      <c r="G163" t="s">
        <v>120</v>
      </c>
      <c r="H163" t="str">
        <f t="shared" si="6"/>
        <v>Shade.Solo</v>
      </c>
      <c r="I163" t="str">
        <f t="shared" si="7"/>
        <v>H.glabra.Solo</v>
      </c>
      <c r="J163" t="str">
        <f t="shared" si="8"/>
        <v>12O.H.glabra.Solo</v>
      </c>
      <c r="K163">
        <v>3</v>
      </c>
      <c r="L163">
        <f>62+41+49</f>
        <v>152</v>
      </c>
      <c r="M163">
        <v>3</v>
      </c>
      <c r="N163">
        <f>152/3</f>
        <v>50.666666666666664</v>
      </c>
      <c r="O163">
        <v>2</v>
      </c>
      <c r="P163">
        <v>0</v>
      </c>
      <c r="Q163">
        <v>0</v>
      </c>
      <c r="R163">
        <v>0</v>
      </c>
      <c r="S163">
        <v>5</v>
      </c>
      <c r="T163">
        <v>5</v>
      </c>
      <c r="U163">
        <f>152+(2*N163)</f>
        <v>253.33333333333331</v>
      </c>
      <c r="V163">
        <v>253</v>
      </c>
      <c r="W163">
        <v>0</v>
      </c>
    </row>
    <row r="164" spans="1:23" x14ac:dyDescent="0.25">
      <c r="A164" t="s">
        <v>10</v>
      </c>
      <c r="B164">
        <v>15</v>
      </c>
      <c r="C164" t="s">
        <v>11</v>
      </c>
      <c r="D164" t="s">
        <v>94</v>
      </c>
      <c r="E164" t="s">
        <v>102</v>
      </c>
      <c r="F164" t="s">
        <v>221</v>
      </c>
      <c r="G164" t="s">
        <v>145</v>
      </c>
      <c r="H164" t="str">
        <f t="shared" si="6"/>
        <v>Open.Highcomp</v>
      </c>
      <c r="I164" t="str">
        <f t="shared" si="7"/>
        <v>A.calendula.Highcomp</v>
      </c>
      <c r="J164" t="str">
        <f t="shared" si="8"/>
        <v>15A.A.calendula.Highcomp</v>
      </c>
      <c r="K164">
        <v>8</v>
      </c>
      <c r="L164">
        <f>52+43+50+42+51</f>
        <v>238</v>
      </c>
      <c r="M164">
        <v>5</v>
      </c>
      <c r="N164">
        <f>L164/M164</f>
        <v>47.6</v>
      </c>
      <c r="O164">
        <v>5</v>
      </c>
      <c r="P164">
        <v>0</v>
      </c>
      <c r="Q164">
        <v>2</v>
      </c>
      <c r="R164">
        <v>0</v>
      </c>
      <c r="S164">
        <v>15</v>
      </c>
      <c r="T164">
        <v>13</v>
      </c>
      <c r="U164">
        <f>L164+(8*N164)</f>
        <v>618.79999999999995</v>
      </c>
      <c r="V164">
        <v>619</v>
      </c>
      <c r="W164">
        <v>0</v>
      </c>
    </row>
    <row r="165" spans="1:23" x14ac:dyDescent="0.25">
      <c r="A165" t="s">
        <v>10</v>
      </c>
      <c r="B165">
        <v>15</v>
      </c>
      <c r="C165" t="s">
        <v>11</v>
      </c>
      <c r="D165" t="s">
        <v>94</v>
      </c>
      <c r="E165" t="s">
        <v>102</v>
      </c>
      <c r="F165" t="s">
        <v>221</v>
      </c>
      <c r="G165" t="s">
        <v>120</v>
      </c>
      <c r="H165" t="str">
        <f t="shared" si="6"/>
        <v>Open.Solo</v>
      </c>
      <c r="I165" t="str">
        <f t="shared" si="7"/>
        <v>A.calendula.Solo</v>
      </c>
      <c r="J165" t="str">
        <f t="shared" si="8"/>
        <v>15A.A.calendula.Solo</v>
      </c>
      <c r="K165">
        <v>4</v>
      </c>
      <c r="L165">
        <f>22+16+19+33</f>
        <v>90</v>
      </c>
      <c r="M165">
        <v>4</v>
      </c>
      <c r="N165">
        <f>90/4</f>
        <v>22.5</v>
      </c>
      <c r="O165">
        <v>5</v>
      </c>
      <c r="P165">
        <v>0</v>
      </c>
      <c r="Q165">
        <v>0</v>
      </c>
      <c r="R165">
        <v>0</v>
      </c>
      <c r="S165">
        <v>9</v>
      </c>
      <c r="T165">
        <v>9</v>
      </c>
      <c r="U165">
        <f>90+(5*N165)</f>
        <v>202.5</v>
      </c>
      <c r="V165">
        <v>203</v>
      </c>
      <c r="W165">
        <v>0</v>
      </c>
    </row>
    <row r="166" spans="1:23" x14ac:dyDescent="0.25">
      <c r="A166" t="s">
        <v>10</v>
      </c>
      <c r="B166">
        <v>15</v>
      </c>
      <c r="C166" t="s">
        <v>11</v>
      </c>
      <c r="D166" t="s">
        <v>94</v>
      </c>
      <c r="E166" t="s">
        <v>105</v>
      </c>
      <c r="F166" t="s">
        <v>221</v>
      </c>
      <c r="G166" t="s">
        <v>145</v>
      </c>
      <c r="H166" t="str">
        <f t="shared" si="6"/>
        <v>Open.Highcomp</v>
      </c>
      <c r="I166" t="str">
        <f t="shared" si="7"/>
        <v>H.glabra.Highcomp</v>
      </c>
      <c r="J166" t="str">
        <f t="shared" si="8"/>
        <v>15A.H.glabra.Highcomp</v>
      </c>
      <c r="K166">
        <v>3</v>
      </c>
      <c r="L166">
        <f>19+42+56</f>
        <v>117</v>
      </c>
      <c r="M166">
        <v>3</v>
      </c>
      <c r="N166">
        <f>117/3</f>
        <v>39</v>
      </c>
      <c r="O166">
        <v>1</v>
      </c>
      <c r="P166">
        <v>1</v>
      </c>
      <c r="Q166">
        <v>2</v>
      </c>
      <c r="R166">
        <v>0</v>
      </c>
      <c r="S166">
        <v>7</v>
      </c>
      <c r="T166">
        <v>5</v>
      </c>
      <c r="U166">
        <f>117+(2*N166)</f>
        <v>195</v>
      </c>
      <c r="V166">
        <v>195</v>
      </c>
      <c r="W166">
        <v>0</v>
      </c>
    </row>
    <row r="167" spans="1:23" x14ac:dyDescent="0.25">
      <c r="A167" t="s">
        <v>10</v>
      </c>
      <c r="B167">
        <v>15</v>
      </c>
      <c r="C167" t="s">
        <v>11</v>
      </c>
      <c r="D167" t="s">
        <v>94</v>
      </c>
      <c r="E167" t="s">
        <v>105</v>
      </c>
      <c r="F167" t="s">
        <v>221</v>
      </c>
      <c r="G167" t="s">
        <v>120</v>
      </c>
      <c r="H167" t="str">
        <f t="shared" si="6"/>
        <v>Open.Solo</v>
      </c>
      <c r="I167" t="str">
        <f t="shared" si="7"/>
        <v>H.glabra.Solo</v>
      </c>
      <c r="J167" t="str">
        <f t="shared" si="8"/>
        <v>15A.H.glabra.Solo</v>
      </c>
      <c r="K167">
        <v>8</v>
      </c>
      <c r="L167">
        <f>71+70+69+91+0+27+70+91</f>
        <v>489</v>
      </c>
      <c r="M167">
        <v>8</v>
      </c>
      <c r="N167">
        <f>489/8</f>
        <v>61.125</v>
      </c>
      <c r="O167">
        <v>1</v>
      </c>
      <c r="P167">
        <v>0</v>
      </c>
      <c r="Q167">
        <v>0</v>
      </c>
      <c r="R167">
        <v>0</v>
      </c>
      <c r="S167">
        <v>9</v>
      </c>
      <c r="T167">
        <v>9</v>
      </c>
      <c r="U167">
        <f>489+(N167)</f>
        <v>550.125</v>
      </c>
      <c r="V167">
        <v>550</v>
      </c>
      <c r="W167">
        <v>0</v>
      </c>
    </row>
    <row r="168" spans="1:23" x14ac:dyDescent="0.25">
      <c r="A168" t="s">
        <v>10</v>
      </c>
      <c r="B168">
        <v>15</v>
      </c>
      <c r="C168" t="s">
        <v>11</v>
      </c>
      <c r="D168" t="s">
        <v>94</v>
      </c>
      <c r="E168" t="s">
        <v>103</v>
      </c>
      <c r="F168" t="s">
        <v>221</v>
      </c>
      <c r="G168" t="s">
        <v>145</v>
      </c>
      <c r="H168" t="str">
        <f t="shared" si="6"/>
        <v>Open.Highcomp</v>
      </c>
      <c r="I168" t="str">
        <f t="shared" si="7"/>
        <v>P.airoides.Highcomp</v>
      </c>
      <c r="J168" t="str">
        <f t="shared" si="8"/>
        <v>15A.P.airoides.Highcomp</v>
      </c>
      <c r="K168">
        <v>3</v>
      </c>
      <c r="L168">
        <f>55+44+56</f>
        <v>155</v>
      </c>
      <c r="M168">
        <v>3</v>
      </c>
      <c r="N168">
        <f>155/3</f>
        <v>51.666666666666664</v>
      </c>
      <c r="O168">
        <v>0</v>
      </c>
      <c r="P168">
        <v>0</v>
      </c>
      <c r="Q168">
        <v>0</v>
      </c>
      <c r="R168">
        <v>0</v>
      </c>
      <c r="S168">
        <v>3</v>
      </c>
      <c r="T168">
        <v>3</v>
      </c>
      <c r="U168">
        <v>155</v>
      </c>
      <c r="V168">
        <v>155</v>
      </c>
      <c r="W168">
        <v>0</v>
      </c>
    </row>
    <row r="169" spans="1:23" x14ac:dyDescent="0.25">
      <c r="A169" t="s">
        <v>10</v>
      </c>
      <c r="B169">
        <v>15</v>
      </c>
      <c r="C169" t="s">
        <v>11</v>
      </c>
      <c r="D169" t="s">
        <v>94</v>
      </c>
      <c r="E169" t="s">
        <v>103</v>
      </c>
      <c r="F169" t="s">
        <v>221</v>
      </c>
      <c r="G169" t="s">
        <v>120</v>
      </c>
      <c r="H169" t="str">
        <f t="shared" si="6"/>
        <v>Open.Solo</v>
      </c>
      <c r="I169" t="str">
        <f t="shared" si="7"/>
        <v>P.airoides.Solo</v>
      </c>
      <c r="J169" t="str">
        <f t="shared" si="8"/>
        <v>15A.P.airoides.Solo</v>
      </c>
      <c r="K169">
        <v>7</v>
      </c>
      <c r="L169">
        <f>53+64+55+44+47+52+87</f>
        <v>402</v>
      </c>
      <c r="M169">
        <v>7</v>
      </c>
      <c r="N169">
        <f>402/7</f>
        <v>57.428571428571431</v>
      </c>
      <c r="O169">
        <v>0</v>
      </c>
      <c r="P169">
        <v>0</v>
      </c>
      <c r="Q169">
        <v>0</v>
      </c>
      <c r="R169">
        <v>0</v>
      </c>
      <c r="S169">
        <v>7</v>
      </c>
      <c r="T169">
        <v>7</v>
      </c>
      <c r="U169">
        <v>402</v>
      </c>
      <c r="V169">
        <v>402</v>
      </c>
      <c r="W169">
        <v>0</v>
      </c>
    </row>
    <row r="170" spans="1:23" x14ac:dyDescent="0.25">
      <c r="A170" t="s">
        <v>10</v>
      </c>
      <c r="B170">
        <v>15</v>
      </c>
      <c r="C170" t="s">
        <v>11</v>
      </c>
      <c r="D170" t="s">
        <v>94</v>
      </c>
      <c r="E170" t="s">
        <v>104</v>
      </c>
      <c r="F170" t="s">
        <v>222</v>
      </c>
      <c r="G170" t="s">
        <v>145</v>
      </c>
      <c r="H170" t="str">
        <f t="shared" si="6"/>
        <v>Open.Highcomp</v>
      </c>
      <c r="I170" t="str">
        <f t="shared" si="7"/>
        <v>T.cyanopetala.Highcomp</v>
      </c>
      <c r="J170" t="str">
        <f t="shared" si="8"/>
        <v>15A.T.cyanopetala.Highcomp</v>
      </c>
      <c r="K170">
        <v>2</v>
      </c>
      <c r="L170">
        <v>4</v>
      </c>
      <c r="M170">
        <v>2</v>
      </c>
      <c r="N170">
        <v>2</v>
      </c>
      <c r="O170">
        <v>0</v>
      </c>
      <c r="P170">
        <v>0</v>
      </c>
      <c r="Q170">
        <v>0</v>
      </c>
      <c r="R170">
        <v>0</v>
      </c>
      <c r="S170">
        <v>2</v>
      </c>
      <c r="T170">
        <v>2</v>
      </c>
      <c r="U170">
        <v>4</v>
      </c>
      <c r="V170">
        <v>4</v>
      </c>
      <c r="W170">
        <v>0</v>
      </c>
    </row>
    <row r="171" spans="1:23" x14ac:dyDescent="0.25">
      <c r="A171" t="s">
        <v>10</v>
      </c>
      <c r="B171">
        <v>15</v>
      </c>
      <c r="C171" t="s">
        <v>11</v>
      </c>
      <c r="D171" t="s">
        <v>94</v>
      </c>
      <c r="E171" t="s">
        <v>104</v>
      </c>
      <c r="F171" t="s">
        <v>222</v>
      </c>
      <c r="G171" t="s">
        <v>120</v>
      </c>
      <c r="H171" t="str">
        <f t="shared" si="6"/>
        <v>Open.Solo</v>
      </c>
      <c r="I171" t="str">
        <f t="shared" si="7"/>
        <v>T.cyanopetala.Solo</v>
      </c>
      <c r="J171" t="str">
        <f t="shared" si="8"/>
        <v>15A.T.cyanopetala.Solo</v>
      </c>
      <c r="K171">
        <v>4</v>
      </c>
      <c r="L171">
        <v>20</v>
      </c>
      <c r="M171">
        <v>4</v>
      </c>
      <c r="N171">
        <v>20</v>
      </c>
      <c r="O171">
        <v>0</v>
      </c>
      <c r="P171">
        <v>0</v>
      </c>
      <c r="Q171">
        <v>0</v>
      </c>
      <c r="R171">
        <v>0</v>
      </c>
      <c r="S171">
        <v>4</v>
      </c>
      <c r="T171">
        <v>4</v>
      </c>
      <c r="U171">
        <v>20</v>
      </c>
      <c r="V171">
        <v>20</v>
      </c>
      <c r="W171">
        <v>0</v>
      </c>
    </row>
    <row r="172" spans="1:23" x14ac:dyDescent="0.25">
      <c r="A172" t="s">
        <v>14</v>
      </c>
      <c r="B172">
        <v>15</v>
      </c>
      <c r="C172" t="s">
        <v>15</v>
      </c>
      <c r="D172" t="s">
        <v>94</v>
      </c>
      <c r="E172" t="s">
        <v>102</v>
      </c>
      <c r="F172" t="s">
        <v>221</v>
      </c>
      <c r="G172" t="s">
        <v>145</v>
      </c>
      <c r="H172" t="str">
        <f t="shared" si="6"/>
        <v>Open.Highcomp</v>
      </c>
      <c r="I172" t="str">
        <f t="shared" si="7"/>
        <v>A.calendula.Highcomp</v>
      </c>
      <c r="J172" t="str">
        <f t="shared" si="8"/>
        <v>15B.A.calendula.Highcomp</v>
      </c>
      <c r="K172">
        <v>10</v>
      </c>
      <c r="L172">
        <f>28+17+39+41+17+31+33+36</f>
        <v>242</v>
      </c>
      <c r="M172">
        <v>8</v>
      </c>
      <c r="N172">
        <f>242/8</f>
        <v>30.25</v>
      </c>
      <c r="O172">
        <v>3</v>
      </c>
      <c r="P172">
        <v>0</v>
      </c>
      <c r="Q172">
        <v>0</v>
      </c>
      <c r="R172">
        <v>0</v>
      </c>
      <c r="S172">
        <v>13</v>
      </c>
      <c r="T172">
        <v>13</v>
      </c>
      <c r="U172">
        <f>242+(N172*5)</f>
        <v>393.25</v>
      </c>
      <c r="V172">
        <v>393</v>
      </c>
      <c r="W172">
        <v>0</v>
      </c>
    </row>
    <row r="173" spans="1:23" x14ac:dyDescent="0.25">
      <c r="A173" t="s">
        <v>14</v>
      </c>
      <c r="B173">
        <v>15</v>
      </c>
      <c r="C173" t="s">
        <v>15</v>
      </c>
      <c r="D173" t="s">
        <v>94</v>
      </c>
      <c r="E173" t="s">
        <v>102</v>
      </c>
      <c r="F173" t="s">
        <v>221</v>
      </c>
      <c r="G173" t="s">
        <v>120</v>
      </c>
      <c r="H173" t="str">
        <f t="shared" si="6"/>
        <v>Open.Solo</v>
      </c>
      <c r="I173" t="str">
        <f t="shared" si="7"/>
        <v>A.calendula.Solo</v>
      </c>
      <c r="J173" t="str">
        <f t="shared" si="8"/>
        <v>15B.A.calendula.Solo</v>
      </c>
      <c r="K173">
        <v>2</v>
      </c>
      <c r="L173">
        <f>29+30</f>
        <v>59</v>
      </c>
      <c r="M173">
        <v>2</v>
      </c>
      <c r="N173">
        <f>59/2</f>
        <v>29.5</v>
      </c>
      <c r="O173">
        <v>9</v>
      </c>
      <c r="P173">
        <v>0</v>
      </c>
      <c r="Q173">
        <v>0</v>
      </c>
      <c r="R173">
        <v>0</v>
      </c>
      <c r="S173">
        <v>11</v>
      </c>
      <c r="T173">
        <v>11</v>
      </c>
      <c r="U173">
        <f>59+(9*N173)</f>
        <v>324.5</v>
      </c>
      <c r="V173">
        <v>325</v>
      </c>
      <c r="W173">
        <v>0</v>
      </c>
    </row>
    <row r="174" spans="1:23" x14ac:dyDescent="0.25">
      <c r="A174" t="s">
        <v>14</v>
      </c>
      <c r="B174">
        <v>15</v>
      </c>
      <c r="C174" t="s">
        <v>15</v>
      </c>
      <c r="D174" t="s">
        <v>94</v>
      </c>
      <c r="E174" t="s">
        <v>110</v>
      </c>
      <c r="F174" t="s">
        <v>221</v>
      </c>
      <c r="G174" t="s">
        <v>145</v>
      </c>
      <c r="H174" t="str">
        <f t="shared" si="6"/>
        <v>Open.Highcomp</v>
      </c>
      <c r="I174" t="str">
        <f t="shared" si="7"/>
        <v>M.minima.Highcomp</v>
      </c>
      <c r="J174" t="str">
        <f t="shared" si="8"/>
        <v>15B.M.minima.Highcomp</v>
      </c>
      <c r="K174">
        <v>5</v>
      </c>
      <c r="L174">
        <v>5</v>
      </c>
      <c r="M174">
        <v>5</v>
      </c>
      <c r="N174">
        <v>1</v>
      </c>
      <c r="O174">
        <v>0</v>
      </c>
      <c r="P174">
        <v>0</v>
      </c>
      <c r="Q174">
        <v>0</v>
      </c>
      <c r="R174">
        <v>0</v>
      </c>
      <c r="S174">
        <v>5</v>
      </c>
      <c r="T174">
        <v>0</v>
      </c>
      <c r="U174">
        <v>5</v>
      </c>
      <c r="V174">
        <v>5</v>
      </c>
      <c r="W174">
        <v>0</v>
      </c>
    </row>
    <row r="175" spans="1:23" x14ac:dyDescent="0.25">
      <c r="A175" t="s">
        <v>14</v>
      </c>
      <c r="B175">
        <v>15</v>
      </c>
      <c r="C175" t="s">
        <v>15</v>
      </c>
      <c r="D175" t="s">
        <v>94</v>
      </c>
      <c r="E175" t="s">
        <v>110</v>
      </c>
      <c r="F175" t="s">
        <v>221</v>
      </c>
      <c r="G175" t="s">
        <v>120</v>
      </c>
      <c r="H175" t="str">
        <f t="shared" si="6"/>
        <v>Open.Solo</v>
      </c>
      <c r="I175" t="str">
        <f t="shared" si="7"/>
        <v>M.minima.Solo</v>
      </c>
      <c r="J175" t="str">
        <f t="shared" si="8"/>
        <v>15B.M.minima.Solo</v>
      </c>
      <c r="K175">
        <v>5</v>
      </c>
      <c r="L175">
        <v>5</v>
      </c>
      <c r="M175">
        <v>5</v>
      </c>
      <c r="N175">
        <v>1</v>
      </c>
      <c r="O175">
        <v>0</v>
      </c>
      <c r="P175">
        <v>1</v>
      </c>
      <c r="Q175">
        <v>0</v>
      </c>
      <c r="R175">
        <v>0</v>
      </c>
      <c r="S175">
        <v>6</v>
      </c>
      <c r="T175">
        <v>5</v>
      </c>
      <c r="U175">
        <v>5</v>
      </c>
      <c r="V175">
        <v>5</v>
      </c>
      <c r="W175">
        <v>0</v>
      </c>
    </row>
    <row r="176" spans="1:23" x14ac:dyDescent="0.25">
      <c r="A176" t="s">
        <v>14</v>
      </c>
      <c r="B176">
        <v>15</v>
      </c>
      <c r="C176" t="s">
        <v>15</v>
      </c>
      <c r="D176" t="s">
        <v>94</v>
      </c>
      <c r="E176" t="s">
        <v>111</v>
      </c>
      <c r="F176" t="s">
        <v>222</v>
      </c>
      <c r="G176" t="s">
        <v>145</v>
      </c>
      <c r="H176" t="str">
        <f t="shared" si="6"/>
        <v>Open.Highcomp</v>
      </c>
      <c r="I176" t="str">
        <f t="shared" si="7"/>
        <v>P.canescens.Highcomp</v>
      </c>
      <c r="J176" t="str">
        <f t="shared" si="8"/>
        <v>15B.P.canescens.Highcomp</v>
      </c>
      <c r="K176">
        <v>10</v>
      </c>
      <c r="L176">
        <f>28+86+100+134+110+91+82+60+129</f>
        <v>820</v>
      </c>
      <c r="M176">
        <v>10</v>
      </c>
      <c r="N176">
        <v>82</v>
      </c>
      <c r="O176">
        <v>0</v>
      </c>
      <c r="P176">
        <v>28</v>
      </c>
      <c r="Q176">
        <v>18</v>
      </c>
      <c r="R176">
        <v>1</v>
      </c>
      <c r="S176">
        <v>56</v>
      </c>
      <c r="T176">
        <v>38</v>
      </c>
      <c r="U176">
        <f>820+(28*N176)</f>
        <v>3116</v>
      </c>
      <c r="V176">
        <v>3116</v>
      </c>
      <c r="W176">
        <v>0</v>
      </c>
    </row>
    <row r="177" spans="1:23" x14ac:dyDescent="0.25">
      <c r="A177" t="s">
        <v>14</v>
      </c>
      <c r="B177">
        <v>15</v>
      </c>
      <c r="C177" t="s">
        <v>15</v>
      </c>
      <c r="D177" t="s">
        <v>94</v>
      </c>
      <c r="E177" t="s">
        <v>111</v>
      </c>
      <c r="F177" t="s">
        <v>222</v>
      </c>
      <c r="G177" t="s">
        <v>120</v>
      </c>
      <c r="H177" t="str">
        <f t="shared" si="6"/>
        <v>Open.Solo</v>
      </c>
      <c r="I177" t="str">
        <f t="shared" si="7"/>
        <v>P.canescens.Solo</v>
      </c>
      <c r="J177" t="str">
        <f t="shared" si="8"/>
        <v>15B.P.canescens.Solo</v>
      </c>
      <c r="K177">
        <v>20</v>
      </c>
      <c r="L177">
        <f>129+45+0+62+138+70+110</f>
        <v>554</v>
      </c>
      <c r="M177">
        <v>7</v>
      </c>
      <c r="N177">
        <f>554/7</f>
        <v>79.142857142857139</v>
      </c>
      <c r="O177">
        <v>1</v>
      </c>
      <c r="P177">
        <v>9</v>
      </c>
      <c r="Q177">
        <v>19</v>
      </c>
      <c r="R177">
        <v>1</v>
      </c>
      <c r="S177">
        <v>49</v>
      </c>
      <c r="T177">
        <v>30</v>
      </c>
      <c r="U177">
        <f>554+(23*N177)</f>
        <v>2374.2857142857142</v>
      </c>
      <c r="V177">
        <v>2374</v>
      </c>
      <c r="W177">
        <v>0</v>
      </c>
    </row>
    <row r="178" spans="1:23" x14ac:dyDescent="0.25">
      <c r="A178" t="s">
        <v>14</v>
      </c>
      <c r="B178">
        <v>15</v>
      </c>
      <c r="C178" t="s">
        <v>15</v>
      </c>
      <c r="D178" t="s">
        <v>94</v>
      </c>
      <c r="E178" t="s">
        <v>104</v>
      </c>
      <c r="F178" t="s">
        <v>222</v>
      </c>
      <c r="G178" t="s">
        <v>145</v>
      </c>
      <c r="H178" t="str">
        <f t="shared" si="6"/>
        <v>Open.Highcomp</v>
      </c>
      <c r="I178" t="str">
        <f t="shared" si="7"/>
        <v>T.cyanopetala.Highcomp</v>
      </c>
      <c r="J178" t="str">
        <f t="shared" si="8"/>
        <v>15B.T.cyanopetala.Highcomp</v>
      </c>
      <c r="K178">
        <v>2</v>
      </c>
      <c r="L178">
        <v>10</v>
      </c>
      <c r="M178">
        <v>2</v>
      </c>
      <c r="N178">
        <v>5</v>
      </c>
      <c r="O178">
        <v>0</v>
      </c>
      <c r="P178">
        <v>0</v>
      </c>
      <c r="Q178">
        <v>0</v>
      </c>
      <c r="R178">
        <v>0</v>
      </c>
      <c r="S178">
        <v>2</v>
      </c>
      <c r="T178">
        <v>2</v>
      </c>
      <c r="U178">
        <v>10</v>
      </c>
      <c r="V178">
        <v>10</v>
      </c>
      <c r="W178">
        <v>0</v>
      </c>
    </row>
    <row r="179" spans="1:23" x14ac:dyDescent="0.25">
      <c r="A179" t="s">
        <v>14</v>
      </c>
      <c r="B179">
        <v>15</v>
      </c>
      <c r="C179" t="s">
        <v>15</v>
      </c>
      <c r="D179" t="s">
        <v>94</v>
      </c>
      <c r="E179" t="s">
        <v>104</v>
      </c>
      <c r="F179" t="s">
        <v>222</v>
      </c>
      <c r="G179" t="s">
        <v>120</v>
      </c>
      <c r="H179" t="str">
        <f t="shared" si="6"/>
        <v>Open.Solo</v>
      </c>
      <c r="I179" t="str">
        <f t="shared" si="7"/>
        <v>T.cyanopetala.Solo</v>
      </c>
      <c r="J179" t="str">
        <f t="shared" si="8"/>
        <v>15B.T.cyanopetala.Solo</v>
      </c>
      <c r="K179">
        <v>7</v>
      </c>
      <c r="L179">
        <f>6+6+6+8+6+6+4</f>
        <v>42</v>
      </c>
      <c r="M179">
        <v>7</v>
      </c>
      <c r="N179">
        <f>42/7</f>
        <v>6</v>
      </c>
      <c r="O179">
        <v>0</v>
      </c>
      <c r="P179">
        <v>0</v>
      </c>
      <c r="Q179">
        <v>0</v>
      </c>
      <c r="R179">
        <v>0</v>
      </c>
      <c r="S179">
        <v>7</v>
      </c>
      <c r="T179">
        <v>7</v>
      </c>
      <c r="U179">
        <v>42</v>
      </c>
      <c r="V179">
        <v>42</v>
      </c>
      <c r="W179">
        <v>0</v>
      </c>
    </row>
    <row r="180" spans="1:23" x14ac:dyDescent="0.25">
      <c r="A180" t="s">
        <v>16</v>
      </c>
      <c r="B180">
        <v>15</v>
      </c>
      <c r="C180" t="s">
        <v>17</v>
      </c>
      <c r="D180" t="s">
        <v>95</v>
      </c>
      <c r="E180" t="s">
        <v>113</v>
      </c>
      <c r="F180" t="s">
        <v>222</v>
      </c>
      <c r="G180" t="s">
        <v>145</v>
      </c>
      <c r="H180" t="str">
        <f t="shared" si="6"/>
        <v>Shade.Highcomp</v>
      </c>
      <c r="I180" t="str">
        <f t="shared" si="7"/>
        <v>H.glutinosum.Highcomp</v>
      </c>
      <c r="J180" t="str">
        <f t="shared" si="8"/>
        <v>15C.H.glutinosum.Highcomp</v>
      </c>
      <c r="K180">
        <v>2</v>
      </c>
      <c r="L180">
        <v>6</v>
      </c>
      <c r="M180">
        <v>2</v>
      </c>
      <c r="N180">
        <v>3</v>
      </c>
      <c r="O180">
        <v>3</v>
      </c>
      <c r="P180">
        <v>0</v>
      </c>
      <c r="Q180">
        <v>2</v>
      </c>
      <c r="R180">
        <v>1</v>
      </c>
      <c r="S180">
        <v>7</v>
      </c>
      <c r="T180">
        <v>5</v>
      </c>
      <c r="U180">
        <f>6+(3*3)</f>
        <v>15</v>
      </c>
      <c r="V180">
        <v>15</v>
      </c>
      <c r="W180">
        <v>0</v>
      </c>
    </row>
    <row r="181" spans="1:23" x14ac:dyDescent="0.25">
      <c r="A181" t="s">
        <v>16</v>
      </c>
      <c r="B181">
        <v>15</v>
      </c>
      <c r="C181" t="s">
        <v>17</v>
      </c>
      <c r="D181" t="s">
        <v>95</v>
      </c>
      <c r="E181" t="s">
        <v>113</v>
      </c>
      <c r="F181" t="s">
        <v>222</v>
      </c>
      <c r="G181" t="s">
        <v>120</v>
      </c>
      <c r="H181" t="str">
        <f t="shared" si="6"/>
        <v>Shade.Solo</v>
      </c>
      <c r="I181" t="str">
        <f t="shared" si="7"/>
        <v>H.glutinosum.Solo</v>
      </c>
      <c r="J181" t="str">
        <f t="shared" si="8"/>
        <v>15C.H.glutinosum.Solo</v>
      </c>
      <c r="K181">
        <v>1</v>
      </c>
      <c r="L181">
        <v>15</v>
      </c>
      <c r="M181">
        <v>1</v>
      </c>
      <c r="N181">
        <v>15</v>
      </c>
      <c r="O181">
        <v>3</v>
      </c>
      <c r="P181">
        <v>0</v>
      </c>
      <c r="Q181">
        <v>0</v>
      </c>
      <c r="R181">
        <v>0</v>
      </c>
      <c r="S181">
        <v>4</v>
      </c>
      <c r="T181">
        <v>4</v>
      </c>
      <c r="U181">
        <f>15+(3*15)</f>
        <v>60</v>
      </c>
      <c r="V181">
        <v>60</v>
      </c>
      <c r="W181">
        <v>0</v>
      </c>
    </row>
    <row r="182" spans="1:23" x14ac:dyDescent="0.25">
      <c r="A182" t="s">
        <v>16</v>
      </c>
      <c r="B182">
        <v>15</v>
      </c>
      <c r="C182" t="s">
        <v>17</v>
      </c>
      <c r="D182" t="s">
        <v>95</v>
      </c>
      <c r="E182" t="s">
        <v>110</v>
      </c>
      <c r="F182" t="s">
        <v>221</v>
      </c>
      <c r="G182" t="s">
        <v>145</v>
      </c>
      <c r="H182" t="str">
        <f t="shared" si="6"/>
        <v>Shade.Highcomp</v>
      </c>
      <c r="I182" t="str">
        <f t="shared" si="7"/>
        <v>M.minima.Highcomp</v>
      </c>
      <c r="J182" t="str">
        <f t="shared" si="8"/>
        <v>15C.M.minima.Highcomp</v>
      </c>
      <c r="K182">
        <v>41</v>
      </c>
      <c r="L182">
        <v>41</v>
      </c>
      <c r="M182">
        <v>41</v>
      </c>
      <c r="N182">
        <v>1</v>
      </c>
      <c r="O182">
        <v>0</v>
      </c>
      <c r="P182">
        <v>5</v>
      </c>
      <c r="Q182">
        <v>0</v>
      </c>
      <c r="R182">
        <v>0</v>
      </c>
      <c r="S182">
        <v>46</v>
      </c>
      <c r="T182">
        <v>41</v>
      </c>
      <c r="U182">
        <v>41</v>
      </c>
      <c r="V182">
        <v>41</v>
      </c>
      <c r="W182">
        <v>0</v>
      </c>
    </row>
    <row r="183" spans="1:23" x14ac:dyDescent="0.25">
      <c r="A183" t="s">
        <v>16</v>
      </c>
      <c r="B183">
        <v>15</v>
      </c>
      <c r="C183" t="s">
        <v>17</v>
      </c>
      <c r="D183" t="s">
        <v>95</v>
      </c>
      <c r="E183" t="s">
        <v>110</v>
      </c>
      <c r="F183" t="s">
        <v>221</v>
      </c>
      <c r="G183" t="s">
        <v>120</v>
      </c>
      <c r="H183" t="str">
        <f t="shared" si="6"/>
        <v>Shade.Solo</v>
      </c>
      <c r="I183" t="str">
        <f t="shared" si="7"/>
        <v>M.minima.Solo</v>
      </c>
      <c r="J183" t="str">
        <f t="shared" si="8"/>
        <v>15C.M.minima.Solo</v>
      </c>
      <c r="K183">
        <v>11</v>
      </c>
      <c r="L183">
        <v>11</v>
      </c>
      <c r="M183">
        <v>11</v>
      </c>
      <c r="N183">
        <v>1</v>
      </c>
      <c r="O183">
        <v>0</v>
      </c>
      <c r="P183">
        <v>5</v>
      </c>
      <c r="Q183">
        <v>0</v>
      </c>
      <c r="R183">
        <v>0</v>
      </c>
      <c r="S183">
        <v>16</v>
      </c>
      <c r="T183">
        <v>11</v>
      </c>
      <c r="U183">
        <v>11</v>
      </c>
      <c r="V183">
        <v>11</v>
      </c>
      <c r="W183">
        <v>0</v>
      </c>
    </row>
    <row r="184" spans="1:23" x14ac:dyDescent="0.25">
      <c r="A184" t="s">
        <v>16</v>
      </c>
      <c r="B184">
        <v>15</v>
      </c>
      <c r="C184" t="s">
        <v>17</v>
      </c>
      <c r="D184" t="s">
        <v>95</v>
      </c>
      <c r="E184" t="s">
        <v>111</v>
      </c>
      <c r="F184" t="s">
        <v>222</v>
      </c>
      <c r="G184" t="s">
        <v>145</v>
      </c>
      <c r="H184" t="str">
        <f t="shared" si="6"/>
        <v>Shade.Highcomp</v>
      </c>
      <c r="I184" t="str">
        <f t="shared" si="7"/>
        <v>P.canescens.Highcomp</v>
      </c>
      <c r="J184" t="str">
        <f t="shared" si="8"/>
        <v>15C.P.canescens.Highcomp</v>
      </c>
      <c r="K184">
        <v>18</v>
      </c>
      <c r="L184">
        <f>115+83+126+82</f>
        <v>406</v>
      </c>
      <c r="M184">
        <v>4</v>
      </c>
      <c r="N184">
        <f>406/4</f>
        <v>101.5</v>
      </c>
      <c r="O184">
        <v>0</v>
      </c>
      <c r="P184">
        <v>0</v>
      </c>
      <c r="Q184">
        <v>5</v>
      </c>
      <c r="R184">
        <v>0</v>
      </c>
      <c r="S184">
        <v>23</v>
      </c>
      <c r="T184">
        <v>18</v>
      </c>
      <c r="U184">
        <f>406+(14*N184)</f>
        <v>1827</v>
      </c>
      <c r="V184">
        <v>1827</v>
      </c>
      <c r="W184">
        <v>0</v>
      </c>
    </row>
    <row r="185" spans="1:23" x14ac:dyDescent="0.25">
      <c r="A185" t="s">
        <v>16</v>
      </c>
      <c r="B185">
        <v>15</v>
      </c>
      <c r="C185" t="s">
        <v>17</v>
      </c>
      <c r="D185" t="s">
        <v>95</v>
      </c>
      <c r="E185" t="s">
        <v>111</v>
      </c>
      <c r="F185" t="s">
        <v>222</v>
      </c>
      <c r="G185" t="s">
        <v>120</v>
      </c>
      <c r="H185" t="str">
        <f t="shared" si="6"/>
        <v>Shade.Solo</v>
      </c>
      <c r="I185" t="str">
        <f t="shared" si="7"/>
        <v>P.canescens.Solo</v>
      </c>
      <c r="J185" t="str">
        <f t="shared" si="8"/>
        <v>15C.P.canescens.Solo</v>
      </c>
      <c r="K185">
        <v>1</v>
      </c>
      <c r="L185">
        <v>49</v>
      </c>
      <c r="M185">
        <v>1</v>
      </c>
      <c r="N185">
        <v>49</v>
      </c>
      <c r="O185">
        <v>0</v>
      </c>
      <c r="P185">
        <v>1</v>
      </c>
      <c r="Q185">
        <v>6</v>
      </c>
      <c r="R185">
        <v>0</v>
      </c>
      <c r="S185">
        <v>8</v>
      </c>
      <c r="T185">
        <v>2</v>
      </c>
      <c r="U185">
        <f>49*2</f>
        <v>98</v>
      </c>
      <c r="V185">
        <v>98</v>
      </c>
      <c r="W185">
        <v>0</v>
      </c>
    </row>
    <row r="186" spans="1:23" x14ac:dyDescent="0.25">
      <c r="A186" t="s">
        <v>16</v>
      </c>
      <c r="B186">
        <v>15</v>
      </c>
      <c r="C186" t="s">
        <v>17</v>
      </c>
      <c r="D186" t="s">
        <v>95</v>
      </c>
      <c r="E186" t="s">
        <v>104</v>
      </c>
      <c r="F186" t="s">
        <v>222</v>
      </c>
      <c r="G186" t="s">
        <v>145</v>
      </c>
      <c r="H186" t="str">
        <f t="shared" si="6"/>
        <v>Shade.Highcomp</v>
      </c>
      <c r="I186" t="str">
        <f t="shared" si="7"/>
        <v>T.cyanopetala.Highcomp</v>
      </c>
      <c r="J186" t="str">
        <f t="shared" si="8"/>
        <v>15C.T.cyanopetala.Highcomp</v>
      </c>
      <c r="K186">
        <v>2</v>
      </c>
      <c r="L186">
        <v>8</v>
      </c>
      <c r="M186">
        <v>2</v>
      </c>
      <c r="N186">
        <v>4</v>
      </c>
      <c r="O186">
        <v>0</v>
      </c>
      <c r="P186">
        <v>0</v>
      </c>
      <c r="Q186">
        <v>0</v>
      </c>
      <c r="R186">
        <v>0</v>
      </c>
      <c r="S186">
        <v>2</v>
      </c>
      <c r="T186">
        <v>2</v>
      </c>
      <c r="U186">
        <v>8</v>
      </c>
      <c r="V186">
        <v>8</v>
      </c>
      <c r="W186">
        <v>0</v>
      </c>
    </row>
    <row r="187" spans="1:23" x14ac:dyDescent="0.25">
      <c r="A187" t="s">
        <v>16</v>
      </c>
      <c r="B187">
        <v>15</v>
      </c>
      <c r="C187" t="s">
        <v>17</v>
      </c>
      <c r="D187" t="s">
        <v>95</v>
      </c>
      <c r="E187" t="s">
        <v>104</v>
      </c>
      <c r="F187" t="s">
        <v>222</v>
      </c>
      <c r="G187" t="s">
        <v>120</v>
      </c>
      <c r="H187" t="str">
        <f t="shared" si="6"/>
        <v>Shade.Solo</v>
      </c>
      <c r="I187" t="str">
        <f t="shared" si="7"/>
        <v>T.cyanopetala.Solo</v>
      </c>
      <c r="J187" t="str">
        <f t="shared" si="8"/>
        <v>15C.T.cyanopetala.Solo</v>
      </c>
      <c r="K187">
        <v>42</v>
      </c>
      <c r="L187">
        <v>232</v>
      </c>
      <c r="M187">
        <v>42</v>
      </c>
      <c r="N187">
        <f>232/42</f>
        <v>5.5238095238095237</v>
      </c>
      <c r="O187">
        <v>0</v>
      </c>
      <c r="P187">
        <v>0</v>
      </c>
      <c r="Q187">
        <v>0</v>
      </c>
      <c r="R187">
        <v>0</v>
      </c>
      <c r="S187">
        <v>42</v>
      </c>
      <c r="T187">
        <v>42</v>
      </c>
      <c r="U187">
        <v>232</v>
      </c>
      <c r="V187">
        <v>232</v>
      </c>
      <c r="W187">
        <v>0</v>
      </c>
    </row>
    <row r="188" spans="1:23" x14ac:dyDescent="0.25">
      <c r="A188" t="s">
        <v>18</v>
      </c>
      <c r="B188">
        <v>15</v>
      </c>
      <c r="C188" t="s">
        <v>19</v>
      </c>
      <c r="D188" t="s">
        <v>95</v>
      </c>
      <c r="E188" t="s">
        <v>113</v>
      </c>
      <c r="F188" t="s">
        <v>222</v>
      </c>
      <c r="G188" t="s">
        <v>145</v>
      </c>
      <c r="H188" t="str">
        <f t="shared" si="6"/>
        <v>Shade.Highcomp</v>
      </c>
      <c r="I188" t="str">
        <f t="shared" si="7"/>
        <v>H.glutinosum.Highcomp</v>
      </c>
      <c r="J188" t="str">
        <f t="shared" si="8"/>
        <v>15D.H.glutinosum.Highcomp</v>
      </c>
      <c r="K188">
        <v>3</v>
      </c>
      <c r="L188">
        <v>3</v>
      </c>
      <c r="M188">
        <v>3</v>
      </c>
      <c r="N188">
        <v>1</v>
      </c>
      <c r="O188">
        <v>0</v>
      </c>
      <c r="P188">
        <v>0</v>
      </c>
      <c r="Q188">
        <v>0</v>
      </c>
      <c r="R188">
        <v>1</v>
      </c>
      <c r="S188">
        <v>3</v>
      </c>
      <c r="T188">
        <v>3</v>
      </c>
      <c r="U188">
        <v>3</v>
      </c>
      <c r="V188">
        <v>3</v>
      </c>
      <c r="W188">
        <v>0</v>
      </c>
    </row>
    <row r="189" spans="1:23" x14ac:dyDescent="0.25">
      <c r="A189" t="s">
        <v>18</v>
      </c>
      <c r="B189">
        <v>15</v>
      </c>
      <c r="C189" t="s">
        <v>19</v>
      </c>
      <c r="D189" t="s">
        <v>95</v>
      </c>
      <c r="E189" t="s">
        <v>113</v>
      </c>
      <c r="F189" t="s">
        <v>222</v>
      </c>
      <c r="G189" t="s">
        <v>120</v>
      </c>
      <c r="H189" t="str">
        <f t="shared" si="6"/>
        <v>Shade.Solo</v>
      </c>
      <c r="I189" t="str">
        <f t="shared" si="7"/>
        <v>H.glutinosum.Solo</v>
      </c>
      <c r="J189" t="str">
        <f t="shared" si="8"/>
        <v>15D.H.glutinosum.Solo</v>
      </c>
      <c r="K189">
        <v>1</v>
      </c>
      <c r="L189">
        <v>6</v>
      </c>
      <c r="M189">
        <v>1</v>
      </c>
      <c r="N189">
        <v>6</v>
      </c>
      <c r="O189">
        <v>0</v>
      </c>
      <c r="P189">
        <v>0</v>
      </c>
      <c r="Q189">
        <v>0</v>
      </c>
      <c r="R189">
        <v>0</v>
      </c>
      <c r="S189">
        <v>1</v>
      </c>
      <c r="T189">
        <v>1</v>
      </c>
      <c r="U189">
        <v>6</v>
      </c>
      <c r="V189">
        <v>6</v>
      </c>
      <c r="W189">
        <v>0</v>
      </c>
    </row>
    <row r="190" spans="1:23" x14ac:dyDescent="0.25">
      <c r="A190" t="s">
        <v>18</v>
      </c>
      <c r="B190">
        <v>15</v>
      </c>
      <c r="C190" t="s">
        <v>19</v>
      </c>
      <c r="D190" t="s">
        <v>95</v>
      </c>
      <c r="E190" t="s">
        <v>111</v>
      </c>
      <c r="F190" t="s">
        <v>222</v>
      </c>
      <c r="G190" t="s">
        <v>145</v>
      </c>
      <c r="H190" t="str">
        <f t="shared" si="6"/>
        <v>Shade.Highcomp</v>
      </c>
      <c r="I190" t="str">
        <f t="shared" si="7"/>
        <v>P.canescens.Highcomp</v>
      </c>
      <c r="J190" t="str">
        <f t="shared" si="8"/>
        <v>15D.P.canescens.Highcomp</v>
      </c>
      <c r="K190">
        <v>7</v>
      </c>
      <c r="L190">
        <f>32+39+64+37+35+57</f>
        <v>264</v>
      </c>
      <c r="M190">
        <v>7</v>
      </c>
      <c r="N190">
        <f>264/7</f>
        <v>37.714285714285715</v>
      </c>
      <c r="O190">
        <v>1</v>
      </c>
      <c r="P190">
        <v>5</v>
      </c>
      <c r="Q190">
        <v>8</v>
      </c>
      <c r="R190">
        <v>3</v>
      </c>
      <c r="S190">
        <v>21</v>
      </c>
      <c r="T190">
        <v>13</v>
      </c>
      <c r="U190">
        <f>264+(6*N190)</f>
        <v>490.28571428571428</v>
      </c>
      <c r="V190">
        <v>490</v>
      </c>
      <c r="W190">
        <v>0</v>
      </c>
    </row>
    <row r="191" spans="1:23" x14ac:dyDescent="0.25">
      <c r="A191" t="s">
        <v>18</v>
      </c>
      <c r="B191">
        <v>15</v>
      </c>
      <c r="C191" t="s">
        <v>19</v>
      </c>
      <c r="D191" t="s">
        <v>95</v>
      </c>
      <c r="E191" t="s">
        <v>111</v>
      </c>
      <c r="F191" t="s">
        <v>222</v>
      </c>
      <c r="G191" t="s">
        <v>120</v>
      </c>
      <c r="H191" t="str">
        <f t="shared" si="6"/>
        <v>Shade.Solo</v>
      </c>
      <c r="I191" t="str">
        <f t="shared" si="7"/>
        <v>P.canescens.Solo</v>
      </c>
      <c r="J191" t="str">
        <f t="shared" si="8"/>
        <v>15D.P.canescens.Solo</v>
      </c>
      <c r="K191">
        <v>34</v>
      </c>
      <c r="L191">
        <f>61+81+12+88</f>
        <v>242</v>
      </c>
      <c r="M191">
        <v>7</v>
      </c>
      <c r="N191">
        <f>242/7</f>
        <v>34.571428571428569</v>
      </c>
      <c r="O191">
        <v>0</v>
      </c>
      <c r="P191">
        <v>14</v>
      </c>
      <c r="Q191">
        <v>8</v>
      </c>
      <c r="R191">
        <v>1</v>
      </c>
      <c r="S191">
        <v>56</v>
      </c>
      <c r="T191">
        <v>48</v>
      </c>
      <c r="U191">
        <f>242+(41*N191)</f>
        <v>1659.4285714285713</v>
      </c>
      <c r="V191">
        <v>1659</v>
      </c>
      <c r="W191">
        <v>0</v>
      </c>
    </row>
    <row r="192" spans="1:23" x14ac:dyDescent="0.25">
      <c r="A192" t="s">
        <v>18</v>
      </c>
      <c r="B192">
        <v>15</v>
      </c>
      <c r="C192" t="s">
        <v>19</v>
      </c>
      <c r="D192" t="s">
        <v>95</v>
      </c>
      <c r="E192" t="s">
        <v>104</v>
      </c>
      <c r="F192" t="s">
        <v>222</v>
      </c>
      <c r="G192" t="s">
        <v>145</v>
      </c>
      <c r="H192" t="str">
        <f t="shared" si="6"/>
        <v>Shade.Highcomp</v>
      </c>
      <c r="I192" t="str">
        <f t="shared" si="7"/>
        <v>T.cyanopetala.Highcomp</v>
      </c>
      <c r="J192" t="str">
        <f t="shared" si="8"/>
        <v>15D.T.cyanopetala.Highcomp</v>
      </c>
      <c r="K192">
        <v>10</v>
      </c>
      <c r="L192">
        <f>8+4+6+6+4+6+6+6+8</f>
        <v>54</v>
      </c>
      <c r="M192">
        <v>10</v>
      </c>
      <c r="N192">
        <v>5.4</v>
      </c>
      <c r="O192">
        <v>4</v>
      </c>
      <c r="P192">
        <v>0</v>
      </c>
      <c r="Q192">
        <v>0</v>
      </c>
      <c r="R192">
        <v>0</v>
      </c>
      <c r="S192">
        <v>14</v>
      </c>
      <c r="T192">
        <v>14</v>
      </c>
      <c r="U192">
        <f>54+(4*5.4)</f>
        <v>75.599999999999994</v>
      </c>
      <c r="V192">
        <v>76</v>
      </c>
      <c r="W192">
        <v>0</v>
      </c>
    </row>
    <row r="193" spans="1:24" x14ac:dyDescent="0.25">
      <c r="A193" t="s">
        <v>18</v>
      </c>
      <c r="B193">
        <v>15</v>
      </c>
      <c r="C193" t="s">
        <v>19</v>
      </c>
      <c r="D193" t="s">
        <v>95</v>
      </c>
      <c r="E193" t="s">
        <v>104</v>
      </c>
      <c r="F193" t="s">
        <v>222</v>
      </c>
      <c r="G193" t="s">
        <v>120</v>
      </c>
      <c r="H193" t="str">
        <f t="shared" si="6"/>
        <v>Shade.Solo</v>
      </c>
      <c r="I193" t="str">
        <f t="shared" si="7"/>
        <v>T.cyanopetala.Solo</v>
      </c>
      <c r="J193" t="str">
        <f t="shared" si="8"/>
        <v>15D.T.cyanopetala.Solo</v>
      </c>
      <c r="K193">
        <v>10</v>
      </c>
      <c r="L193">
        <f>6+8+6+8+6+4+6+6+4+4</f>
        <v>58</v>
      </c>
      <c r="M193">
        <v>10</v>
      </c>
      <c r="N193">
        <v>5.8</v>
      </c>
      <c r="O193">
        <v>0</v>
      </c>
      <c r="P193">
        <v>0</v>
      </c>
      <c r="Q193">
        <v>0</v>
      </c>
      <c r="R193">
        <v>0</v>
      </c>
      <c r="S193">
        <v>10</v>
      </c>
      <c r="T193">
        <v>10</v>
      </c>
      <c r="U193">
        <v>58</v>
      </c>
      <c r="V193">
        <v>58</v>
      </c>
      <c r="W193">
        <v>0</v>
      </c>
    </row>
    <row r="194" spans="1:24" x14ac:dyDescent="0.25">
      <c r="A194" t="s">
        <v>18</v>
      </c>
      <c r="B194">
        <v>15</v>
      </c>
      <c r="C194" t="s">
        <v>19</v>
      </c>
      <c r="D194" t="s">
        <v>95</v>
      </c>
      <c r="E194" t="s">
        <v>112</v>
      </c>
      <c r="F194" t="s">
        <v>222</v>
      </c>
      <c r="G194" t="s">
        <v>145</v>
      </c>
      <c r="H194" t="str">
        <f t="shared" ref="H194:H257" si="9">D194&amp;"."&amp;G194</f>
        <v>Shade.Highcomp</v>
      </c>
      <c r="I194" t="str">
        <f t="shared" ref="I194:I257" si="10">E194&amp;"."&amp;G194</f>
        <v>V.rosea.Highcomp</v>
      </c>
      <c r="J194" t="str">
        <f t="shared" si="8"/>
        <v>15D.V.rosea.Highcomp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 t="s">
        <v>188</v>
      </c>
    </row>
    <row r="195" spans="1:24" x14ac:dyDescent="0.25">
      <c r="A195" t="s">
        <v>18</v>
      </c>
      <c r="B195">
        <v>15</v>
      </c>
      <c r="C195" t="s">
        <v>19</v>
      </c>
      <c r="D195" t="s">
        <v>95</v>
      </c>
      <c r="E195" t="s">
        <v>112</v>
      </c>
      <c r="F195" t="s">
        <v>222</v>
      </c>
      <c r="G195" t="s">
        <v>120</v>
      </c>
      <c r="H195" t="str">
        <f t="shared" si="9"/>
        <v>Shade.Solo</v>
      </c>
      <c r="I195" t="str">
        <f t="shared" si="10"/>
        <v>V.rosea.Solo</v>
      </c>
      <c r="J195" t="str">
        <f t="shared" ref="J195:J258" si="11">A195&amp;"."&amp;E195&amp;"."&amp;G195</f>
        <v>15D.V.rosea.Solo</v>
      </c>
      <c r="K195">
        <v>10</v>
      </c>
      <c r="L195">
        <v>6</v>
      </c>
      <c r="M195">
        <v>2</v>
      </c>
      <c r="N195">
        <v>3</v>
      </c>
      <c r="O195">
        <v>0</v>
      </c>
      <c r="P195">
        <v>1</v>
      </c>
      <c r="Q195">
        <v>0</v>
      </c>
      <c r="R195">
        <v>0</v>
      </c>
      <c r="S195">
        <v>11</v>
      </c>
      <c r="T195">
        <v>10</v>
      </c>
      <c r="U195">
        <f>6+(8*3)</f>
        <v>30</v>
      </c>
      <c r="V195">
        <v>30</v>
      </c>
      <c r="W195">
        <v>0</v>
      </c>
    </row>
    <row r="196" spans="1:24" x14ac:dyDescent="0.25">
      <c r="A196" t="s">
        <v>20</v>
      </c>
      <c r="B196">
        <v>15</v>
      </c>
      <c r="C196" t="s">
        <v>21</v>
      </c>
      <c r="D196" t="s">
        <v>94</v>
      </c>
      <c r="E196" t="s">
        <v>102</v>
      </c>
      <c r="F196" t="s">
        <v>221</v>
      </c>
      <c r="G196" t="s">
        <v>145</v>
      </c>
      <c r="H196" t="str">
        <f t="shared" si="9"/>
        <v>Open.Highcomp</v>
      </c>
      <c r="I196" t="str">
        <f t="shared" si="10"/>
        <v>A.calendula.Highcomp</v>
      </c>
      <c r="J196" t="str">
        <f t="shared" si="11"/>
        <v>15E.A.calendula.Highcomp</v>
      </c>
      <c r="K196">
        <v>13</v>
      </c>
      <c r="L196">
        <f>45+45+28+34+41+39</f>
        <v>232</v>
      </c>
      <c r="M196">
        <v>6</v>
      </c>
      <c r="N196">
        <f>232/6</f>
        <v>38.666666666666664</v>
      </c>
      <c r="O196">
        <v>1</v>
      </c>
      <c r="P196">
        <v>0</v>
      </c>
      <c r="Q196">
        <v>2</v>
      </c>
      <c r="R196">
        <v>0</v>
      </c>
      <c r="S196">
        <v>16</v>
      </c>
      <c r="T196">
        <v>14</v>
      </c>
      <c r="U196">
        <f>232+(8*N196)</f>
        <v>541.33333333333326</v>
      </c>
      <c r="V196">
        <v>541</v>
      </c>
      <c r="W196">
        <v>0</v>
      </c>
    </row>
    <row r="197" spans="1:24" x14ac:dyDescent="0.25">
      <c r="A197" t="s">
        <v>20</v>
      </c>
      <c r="B197">
        <v>15</v>
      </c>
      <c r="C197" t="s">
        <v>21</v>
      </c>
      <c r="D197" t="s">
        <v>94</v>
      </c>
      <c r="E197" t="s">
        <v>102</v>
      </c>
      <c r="F197" t="s">
        <v>221</v>
      </c>
      <c r="G197" t="s">
        <v>120</v>
      </c>
      <c r="H197" t="str">
        <f t="shared" si="9"/>
        <v>Open.Solo</v>
      </c>
      <c r="I197" t="str">
        <f t="shared" si="10"/>
        <v>A.calendula.Solo</v>
      </c>
      <c r="J197" t="str">
        <f t="shared" si="11"/>
        <v>15E.A.calendula.Solo</v>
      </c>
      <c r="K197">
        <v>10</v>
      </c>
      <c r="L197">
        <f>39+34+47+27+25+48</f>
        <v>220</v>
      </c>
      <c r="M197">
        <f>6</f>
        <v>6</v>
      </c>
      <c r="N197">
        <f>220/6</f>
        <v>36.666666666666664</v>
      </c>
      <c r="O197">
        <v>7</v>
      </c>
      <c r="P197">
        <v>0</v>
      </c>
      <c r="Q197">
        <v>0</v>
      </c>
      <c r="R197">
        <v>0</v>
      </c>
      <c r="S197">
        <v>17</v>
      </c>
      <c r="T197">
        <v>17</v>
      </c>
      <c r="U197">
        <f>220+(11*N197)</f>
        <v>623.33333333333326</v>
      </c>
      <c r="V197">
        <v>623</v>
      </c>
      <c r="W197">
        <v>0</v>
      </c>
    </row>
    <row r="198" spans="1:24" x14ac:dyDescent="0.25">
      <c r="A198" t="s">
        <v>20</v>
      </c>
      <c r="B198">
        <v>15</v>
      </c>
      <c r="C198" t="s">
        <v>21</v>
      </c>
      <c r="D198" t="s">
        <v>94</v>
      </c>
      <c r="E198" t="s">
        <v>113</v>
      </c>
      <c r="F198" t="s">
        <v>222</v>
      </c>
      <c r="G198" t="s">
        <v>145</v>
      </c>
      <c r="H198" t="str">
        <f t="shared" si="9"/>
        <v>Open.Highcomp</v>
      </c>
      <c r="I198" t="str">
        <f t="shared" si="10"/>
        <v>H.glutinosum.Highcomp</v>
      </c>
      <c r="J198" t="str">
        <f t="shared" si="11"/>
        <v>15E.H.glutinosum.Highcomp</v>
      </c>
      <c r="K198">
        <v>1</v>
      </c>
      <c r="L198">
        <v>15</v>
      </c>
      <c r="M198">
        <v>1</v>
      </c>
      <c r="N198">
        <v>15</v>
      </c>
      <c r="O198">
        <v>3</v>
      </c>
      <c r="P198">
        <v>0</v>
      </c>
      <c r="Q198">
        <v>0</v>
      </c>
      <c r="R198">
        <v>1</v>
      </c>
      <c r="S198">
        <v>4</v>
      </c>
      <c r="T198">
        <v>4</v>
      </c>
      <c r="U198">
        <f>15+(3*15)</f>
        <v>60</v>
      </c>
      <c r="V198">
        <v>60</v>
      </c>
      <c r="W198">
        <v>0</v>
      </c>
    </row>
    <row r="199" spans="1:24" x14ac:dyDescent="0.25">
      <c r="A199" t="s">
        <v>20</v>
      </c>
      <c r="B199">
        <v>15</v>
      </c>
      <c r="C199" t="s">
        <v>21</v>
      </c>
      <c r="D199" t="s">
        <v>94</v>
      </c>
      <c r="E199" t="s">
        <v>113</v>
      </c>
      <c r="F199" t="s">
        <v>222</v>
      </c>
      <c r="G199" t="s">
        <v>120</v>
      </c>
      <c r="H199" t="str">
        <f t="shared" si="9"/>
        <v>Open.Solo</v>
      </c>
      <c r="I199" t="str">
        <f t="shared" si="10"/>
        <v>H.glutinosum.Solo</v>
      </c>
      <c r="J199" t="str">
        <f t="shared" si="11"/>
        <v>15E.H.glutinosum.Solo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 t="s">
        <v>188</v>
      </c>
    </row>
    <row r="200" spans="1:24" x14ac:dyDescent="0.25">
      <c r="A200" t="s">
        <v>20</v>
      </c>
      <c r="B200">
        <v>15</v>
      </c>
      <c r="C200" t="s">
        <v>21</v>
      </c>
      <c r="D200" t="s">
        <v>94</v>
      </c>
      <c r="E200" t="s">
        <v>110</v>
      </c>
      <c r="F200" t="s">
        <v>221</v>
      </c>
      <c r="G200" t="s">
        <v>145</v>
      </c>
      <c r="H200" t="str">
        <f t="shared" si="9"/>
        <v>Open.Highcomp</v>
      </c>
      <c r="I200" t="str">
        <f t="shared" si="10"/>
        <v>M.minima.Highcomp</v>
      </c>
      <c r="J200" t="str">
        <f t="shared" si="11"/>
        <v>15E.M.minima.Highcomp</v>
      </c>
      <c r="K200">
        <v>6</v>
      </c>
      <c r="L200">
        <v>6</v>
      </c>
      <c r="M200">
        <v>6</v>
      </c>
      <c r="N200">
        <v>1</v>
      </c>
      <c r="O200">
        <v>0</v>
      </c>
      <c r="P200">
        <v>0</v>
      </c>
      <c r="Q200">
        <v>0</v>
      </c>
      <c r="R200">
        <v>0</v>
      </c>
      <c r="S200">
        <v>6</v>
      </c>
      <c r="T200">
        <v>6</v>
      </c>
      <c r="U200">
        <v>6</v>
      </c>
      <c r="V200">
        <v>6</v>
      </c>
      <c r="W200">
        <v>0</v>
      </c>
    </row>
    <row r="201" spans="1:24" x14ac:dyDescent="0.25">
      <c r="A201" t="s">
        <v>20</v>
      </c>
      <c r="B201">
        <v>15</v>
      </c>
      <c r="C201" t="s">
        <v>21</v>
      </c>
      <c r="D201" t="s">
        <v>94</v>
      </c>
      <c r="E201" t="s">
        <v>110</v>
      </c>
      <c r="F201" t="s">
        <v>221</v>
      </c>
      <c r="G201" t="s">
        <v>120</v>
      </c>
      <c r="H201" t="str">
        <f t="shared" si="9"/>
        <v>Open.Solo</v>
      </c>
      <c r="I201" t="str">
        <f t="shared" si="10"/>
        <v>M.minima.Solo</v>
      </c>
      <c r="J201" t="str">
        <f t="shared" si="11"/>
        <v>15E.M.minima.Solo</v>
      </c>
      <c r="K201">
        <v>7</v>
      </c>
      <c r="L201">
        <v>7</v>
      </c>
      <c r="M201">
        <v>7</v>
      </c>
      <c r="N201">
        <v>1</v>
      </c>
      <c r="O201">
        <v>0</v>
      </c>
      <c r="P201">
        <v>0</v>
      </c>
      <c r="Q201">
        <v>0</v>
      </c>
      <c r="R201">
        <v>0</v>
      </c>
      <c r="S201">
        <v>7</v>
      </c>
      <c r="T201">
        <v>7</v>
      </c>
      <c r="U201">
        <v>7</v>
      </c>
      <c r="V201">
        <v>7</v>
      </c>
      <c r="W201">
        <v>0</v>
      </c>
    </row>
    <row r="202" spans="1:24" x14ac:dyDescent="0.25">
      <c r="A202" t="s">
        <v>20</v>
      </c>
      <c r="B202">
        <v>15</v>
      </c>
      <c r="C202" t="s">
        <v>21</v>
      </c>
      <c r="D202" t="s">
        <v>94</v>
      </c>
      <c r="E202" t="s">
        <v>111</v>
      </c>
      <c r="F202" t="s">
        <v>222</v>
      </c>
      <c r="G202" t="s">
        <v>145</v>
      </c>
      <c r="H202" t="str">
        <f t="shared" si="9"/>
        <v>Open.Highcomp</v>
      </c>
      <c r="I202" t="str">
        <f t="shared" si="10"/>
        <v>P.canescens.Highcomp</v>
      </c>
      <c r="J202" t="str">
        <f t="shared" si="11"/>
        <v>15E.P.canescens.Highcomp</v>
      </c>
      <c r="K202">
        <v>18</v>
      </c>
      <c r="L202">
        <f>67+90+135+99+160</f>
        <v>551</v>
      </c>
      <c r="M202">
        <v>6</v>
      </c>
      <c r="N202">
        <f>551/6</f>
        <v>91.833333333333329</v>
      </c>
      <c r="O202">
        <v>0</v>
      </c>
      <c r="P202">
        <v>74</v>
      </c>
      <c r="Q202">
        <v>14</v>
      </c>
      <c r="R202">
        <v>0</v>
      </c>
      <c r="S202">
        <v>106</v>
      </c>
      <c r="T202">
        <v>92</v>
      </c>
      <c r="U202">
        <f>551+(86*N202)</f>
        <v>8448.6666666666661</v>
      </c>
      <c r="V202">
        <v>8449</v>
      </c>
      <c r="W202">
        <v>0</v>
      </c>
    </row>
    <row r="203" spans="1:24" x14ac:dyDescent="0.25">
      <c r="A203" t="s">
        <v>20</v>
      </c>
      <c r="B203">
        <v>15</v>
      </c>
      <c r="C203" t="s">
        <v>21</v>
      </c>
      <c r="D203" t="s">
        <v>94</v>
      </c>
      <c r="E203" t="s">
        <v>111</v>
      </c>
      <c r="F203" t="s">
        <v>222</v>
      </c>
      <c r="G203" t="s">
        <v>120</v>
      </c>
      <c r="H203" t="str">
        <f t="shared" si="9"/>
        <v>Open.Solo</v>
      </c>
      <c r="I203" t="str">
        <f t="shared" si="10"/>
        <v>P.canescens.Solo</v>
      </c>
      <c r="J203" t="str">
        <f t="shared" si="11"/>
        <v>15E.P.canescens.Solo</v>
      </c>
      <c r="K203">
        <v>10</v>
      </c>
      <c r="L203">
        <f>98+20+116+129+118+35+77</f>
        <v>593</v>
      </c>
      <c r="M203">
        <v>7</v>
      </c>
      <c r="N203">
        <f>593/7</f>
        <v>84.714285714285708</v>
      </c>
      <c r="O203">
        <v>0</v>
      </c>
      <c r="P203">
        <v>25</v>
      </c>
      <c r="Q203">
        <v>4</v>
      </c>
      <c r="R203">
        <v>1</v>
      </c>
      <c r="S203">
        <v>39</v>
      </c>
      <c r="T203">
        <v>35</v>
      </c>
      <c r="U203">
        <f>593+(28*N203)</f>
        <v>2965</v>
      </c>
      <c r="V203">
        <v>2965</v>
      </c>
      <c r="W203">
        <v>0</v>
      </c>
    </row>
    <row r="204" spans="1:24" x14ac:dyDescent="0.25">
      <c r="A204" t="s">
        <v>22</v>
      </c>
      <c r="B204">
        <v>15</v>
      </c>
      <c r="C204" t="s">
        <v>23</v>
      </c>
      <c r="D204" t="s">
        <v>95</v>
      </c>
      <c r="E204" t="s">
        <v>102</v>
      </c>
      <c r="F204" t="s">
        <v>221</v>
      </c>
      <c r="G204" t="s">
        <v>145</v>
      </c>
      <c r="H204" t="str">
        <f t="shared" si="9"/>
        <v>Shade.Highcomp</v>
      </c>
      <c r="I204" t="str">
        <f t="shared" si="10"/>
        <v>A.calendula.Highcomp</v>
      </c>
      <c r="J204" t="str">
        <f t="shared" si="11"/>
        <v>15F.A.calendula.Highcomp</v>
      </c>
      <c r="K204">
        <v>16</v>
      </c>
      <c r="L204">
        <f>45+48+28+43+54</f>
        <v>218</v>
      </c>
      <c r="M204">
        <v>5</v>
      </c>
      <c r="N204">
        <f>218/5</f>
        <v>43.6</v>
      </c>
      <c r="O204">
        <v>19</v>
      </c>
      <c r="P204">
        <v>0</v>
      </c>
      <c r="Q204">
        <v>0</v>
      </c>
      <c r="R204">
        <v>0</v>
      </c>
      <c r="S204">
        <v>34</v>
      </c>
      <c r="T204">
        <v>34</v>
      </c>
      <c r="U204">
        <f>218+(29*N204)</f>
        <v>1482.4</v>
      </c>
      <c r="V204">
        <v>1482</v>
      </c>
      <c r="W204">
        <v>0</v>
      </c>
    </row>
    <row r="205" spans="1:24" x14ac:dyDescent="0.25">
      <c r="A205" t="s">
        <v>22</v>
      </c>
      <c r="B205">
        <v>15</v>
      </c>
      <c r="C205" t="s">
        <v>23</v>
      </c>
      <c r="D205" t="s">
        <v>95</v>
      </c>
      <c r="E205" t="s">
        <v>102</v>
      </c>
      <c r="F205" t="s">
        <v>221</v>
      </c>
      <c r="G205" t="s">
        <v>120</v>
      </c>
      <c r="H205" t="str">
        <f t="shared" si="9"/>
        <v>Shade.Solo</v>
      </c>
      <c r="I205" t="str">
        <f t="shared" si="10"/>
        <v>A.calendula.Solo</v>
      </c>
      <c r="J205" t="str">
        <f t="shared" si="11"/>
        <v>15F.A.calendula.Solo</v>
      </c>
      <c r="K205">
        <v>2</v>
      </c>
      <c r="L205">
        <f>48+62</f>
        <v>110</v>
      </c>
      <c r="M205">
        <v>2</v>
      </c>
      <c r="N205">
        <v>55</v>
      </c>
      <c r="O205">
        <v>14</v>
      </c>
      <c r="P205">
        <v>0</v>
      </c>
      <c r="Q205">
        <v>0</v>
      </c>
      <c r="R205">
        <v>0</v>
      </c>
      <c r="S205">
        <v>16</v>
      </c>
      <c r="T205">
        <v>16</v>
      </c>
      <c r="U205">
        <f>110+(14*N205)</f>
        <v>880</v>
      </c>
      <c r="V205">
        <v>880</v>
      </c>
      <c r="W205">
        <v>0</v>
      </c>
    </row>
    <row r="206" spans="1:24" x14ac:dyDescent="0.25">
      <c r="A206" t="s">
        <v>22</v>
      </c>
      <c r="B206">
        <v>15</v>
      </c>
      <c r="C206" t="s">
        <v>23</v>
      </c>
      <c r="D206" t="s">
        <v>95</v>
      </c>
      <c r="E206" t="s">
        <v>105</v>
      </c>
      <c r="F206" t="s">
        <v>221</v>
      </c>
      <c r="G206" t="s">
        <v>145</v>
      </c>
      <c r="H206" t="str">
        <f t="shared" si="9"/>
        <v>Shade.Highcomp</v>
      </c>
      <c r="I206" t="str">
        <f t="shared" si="10"/>
        <v>H.glabra.Highcomp</v>
      </c>
      <c r="J206" t="str">
        <f t="shared" si="11"/>
        <v>15F.H.glabra.Highcomp</v>
      </c>
      <c r="K206">
        <v>3</v>
      </c>
      <c r="L206">
        <f>22+31+29</f>
        <v>82</v>
      </c>
      <c r="M206">
        <v>3</v>
      </c>
      <c r="N206">
        <f>82/3</f>
        <v>27.333333333333332</v>
      </c>
      <c r="O206">
        <v>3</v>
      </c>
      <c r="P206">
        <v>0</v>
      </c>
      <c r="Q206">
        <v>1</v>
      </c>
      <c r="R206">
        <v>0</v>
      </c>
      <c r="S206">
        <v>7</v>
      </c>
      <c r="T206">
        <v>6</v>
      </c>
      <c r="U206">
        <f>82+(3*N206)</f>
        <v>164</v>
      </c>
      <c r="V206">
        <v>164</v>
      </c>
      <c r="W206">
        <v>0</v>
      </c>
    </row>
    <row r="207" spans="1:24" x14ac:dyDescent="0.25">
      <c r="A207" t="s">
        <v>22</v>
      </c>
      <c r="B207">
        <v>15</v>
      </c>
      <c r="C207" t="s">
        <v>23</v>
      </c>
      <c r="D207" t="s">
        <v>95</v>
      </c>
      <c r="E207" t="s">
        <v>105</v>
      </c>
      <c r="F207" t="s">
        <v>221</v>
      </c>
      <c r="G207" t="s">
        <v>120</v>
      </c>
      <c r="H207" t="str">
        <f t="shared" si="9"/>
        <v>Shade.Solo</v>
      </c>
      <c r="I207" t="str">
        <f t="shared" si="10"/>
        <v>H.glabra.Solo</v>
      </c>
      <c r="J207" t="str">
        <f t="shared" si="11"/>
        <v>15F.H.glabra.Solo</v>
      </c>
      <c r="K207">
        <v>2</v>
      </c>
      <c r="L207">
        <f>15+39</f>
        <v>54</v>
      </c>
      <c r="M207">
        <v>2</v>
      </c>
      <c r="N207">
        <f>54/2</f>
        <v>27</v>
      </c>
      <c r="O207">
        <v>2</v>
      </c>
      <c r="P207">
        <v>0</v>
      </c>
      <c r="Q207">
        <v>0</v>
      </c>
      <c r="R207">
        <v>0</v>
      </c>
      <c r="S207">
        <v>4</v>
      </c>
      <c r="T207">
        <v>4</v>
      </c>
      <c r="U207">
        <f>54+54</f>
        <v>108</v>
      </c>
      <c r="V207">
        <v>108</v>
      </c>
      <c r="W207">
        <v>0</v>
      </c>
    </row>
    <row r="208" spans="1:24" x14ac:dyDescent="0.25">
      <c r="A208" t="s">
        <v>22</v>
      </c>
      <c r="B208">
        <v>15</v>
      </c>
      <c r="C208" t="s">
        <v>23</v>
      </c>
      <c r="D208" t="s">
        <v>95</v>
      </c>
      <c r="E208" t="s">
        <v>103</v>
      </c>
      <c r="F208" t="s">
        <v>221</v>
      </c>
      <c r="G208" t="s">
        <v>145</v>
      </c>
      <c r="H208" t="str">
        <f t="shared" si="9"/>
        <v>Shade.Highcomp</v>
      </c>
      <c r="I208" t="str">
        <f t="shared" si="10"/>
        <v>P.airoides.Highcomp</v>
      </c>
      <c r="J208" t="str">
        <f t="shared" si="11"/>
        <v>15F.P.airoides.Highcomp</v>
      </c>
      <c r="K208">
        <v>1</v>
      </c>
      <c r="L208">
        <v>39</v>
      </c>
      <c r="M208">
        <v>1</v>
      </c>
      <c r="N208">
        <v>39</v>
      </c>
      <c r="O208">
        <v>0</v>
      </c>
      <c r="P208">
        <v>0</v>
      </c>
      <c r="Q208">
        <v>0</v>
      </c>
      <c r="R208">
        <v>0</v>
      </c>
      <c r="S208">
        <v>1</v>
      </c>
      <c r="T208">
        <v>1</v>
      </c>
      <c r="U208">
        <v>39</v>
      </c>
      <c r="V208">
        <v>39</v>
      </c>
      <c r="W208">
        <v>0</v>
      </c>
    </row>
    <row r="209" spans="1:24" x14ac:dyDescent="0.25">
      <c r="A209" t="s">
        <v>22</v>
      </c>
      <c r="B209">
        <v>15</v>
      </c>
      <c r="C209" t="s">
        <v>23</v>
      </c>
      <c r="D209" t="s">
        <v>95</v>
      </c>
      <c r="E209" t="s">
        <v>103</v>
      </c>
      <c r="F209" t="s">
        <v>221</v>
      </c>
      <c r="G209" t="s">
        <v>120</v>
      </c>
      <c r="H209" t="str">
        <f t="shared" si="9"/>
        <v>Shade.Solo</v>
      </c>
      <c r="I209" t="str">
        <f t="shared" si="10"/>
        <v>P.airoides.Solo</v>
      </c>
      <c r="J209" t="str">
        <f t="shared" si="11"/>
        <v>15F.P.airoides.Solo</v>
      </c>
      <c r="K209">
        <v>4</v>
      </c>
      <c r="L209">
        <f>66+90+118+113</f>
        <v>387</v>
      </c>
      <c r="M209">
        <v>4</v>
      </c>
      <c r="N209">
        <f>387/4</f>
        <v>96.75</v>
      </c>
      <c r="O209">
        <v>0</v>
      </c>
      <c r="P209">
        <v>0</v>
      </c>
      <c r="Q209">
        <v>0</v>
      </c>
      <c r="R209">
        <v>0</v>
      </c>
      <c r="S209">
        <v>4</v>
      </c>
      <c r="T209">
        <v>4</v>
      </c>
      <c r="U209">
        <v>387</v>
      </c>
      <c r="V209">
        <v>387</v>
      </c>
      <c r="W209">
        <v>0</v>
      </c>
    </row>
    <row r="210" spans="1:24" x14ac:dyDescent="0.25">
      <c r="A210" t="s">
        <v>22</v>
      </c>
      <c r="B210">
        <v>15</v>
      </c>
      <c r="C210" t="s">
        <v>23</v>
      </c>
      <c r="D210" t="s">
        <v>95</v>
      </c>
      <c r="E210" t="s">
        <v>111</v>
      </c>
      <c r="F210" t="s">
        <v>222</v>
      </c>
      <c r="G210" t="s">
        <v>145</v>
      </c>
      <c r="H210" t="str">
        <f t="shared" si="9"/>
        <v>Shade.Highcomp</v>
      </c>
      <c r="I210" t="str">
        <f t="shared" si="10"/>
        <v>P.canescens.Highcomp</v>
      </c>
      <c r="J210" t="str">
        <f t="shared" si="11"/>
        <v>15F.P.canescens.Highcomp</v>
      </c>
      <c r="K210">
        <v>3</v>
      </c>
      <c r="L210">
        <f>16+4+77</f>
        <v>97</v>
      </c>
      <c r="M210">
        <v>3</v>
      </c>
      <c r="N210">
        <f>97/3</f>
        <v>32.333333333333336</v>
      </c>
      <c r="O210" t="s">
        <v>114</v>
      </c>
      <c r="P210" t="s">
        <v>114</v>
      </c>
      <c r="Q210" t="s">
        <v>114</v>
      </c>
      <c r="R210" t="s">
        <v>114</v>
      </c>
      <c r="S210" t="s">
        <v>114</v>
      </c>
      <c r="T210" t="s">
        <v>114</v>
      </c>
      <c r="U210" t="s">
        <v>114</v>
      </c>
      <c r="V210" t="s">
        <v>114</v>
      </c>
      <c r="W210">
        <v>1</v>
      </c>
      <c r="X210" t="s">
        <v>190</v>
      </c>
    </row>
    <row r="211" spans="1:24" x14ac:dyDescent="0.25">
      <c r="A211" t="s">
        <v>22</v>
      </c>
      <c r="B211">
        <v>15</v>
      </c>
      <c r="C211" t="s">
        <v>23</v>
      </c>
      <c r="D211" t="s">
        <v>95</v>
      </c>
      <c r="E211" t="s">
        <v>111</v>
      </c>
      <c r="F211" t="s">
        <v>222</v>
      </c>
      <c r="G211" t="s">
        <v>120</v>
      </c>
      <c r="H211" t="str">
        <f t="shared" si="9"/>
        <v>Shade.Solo</v>
      </c>
      <c r="I211" t="str">
        <f t="shared" si="10"/>
        <v>P.canescens.Solo</v>
      </c>
      <c r="J211" t="str">
        <f t="shared" si="11"/>
        <v>15F.P.canescens.Solo</v>
      </c>
      <c r="K211">
        <v>7</v>
      </c>
      <c r="L211">
        <f>127+82+30+42</f>
        <v>281</v>
      </c>
      <c r="M211">
        <v>4</v>
      </c>
      <c r="N211">
        <f>281/4</f>
        <v>70.25</v>
      </c>
      <c r="O211">
        <v>0</v>
      </c>
      <c r="P211">
        <v>1</v>
      </c>
      <c r="Q211">
        <v>4</v>
      </c>
      <c r="R211">
        <v>1</v>
      </c>
      <c r="S211">
        <v>12</v>
      </c>
      <c r="T211">
        <v>8</v>
      </c>
      <c r="U211">
        <f>281+(4*N211)</f>
        <v>562</v>
      </c>
      <c r="V211">
        <v>562</v>
      </c>
      <c r="W211">
        <v>0</v>
      </c>
    </row>
    <row r="212" spans="1:24" x14ac:dyDescent="0.25">
      <c r="A212" t="s">
        <v>22</v>
      </c>
      <c r="B212">
        <v>15</v>
      </c>
      <c r="C212" t="s">
        <v>23</v>
      </c>
      <c r="D212" t="s">
        <v>95</v>
      </c>
      <c r="E212" t="s">
        <v>112</v>
      </c>
      <c r="F212" t="s">
        <v>222</v>
      </c>
      <c r="G212" t="s">
        <v>145</v>
      </c>
      <c r="H212" t="str">
        <f t="shared" si="9"/>
        <v>Shade.Highcomp</v>
      </c>
      <c r="I212" t="str">
        <f t="shared" si="10"/>
        <v>V.rosea.Highcomp</v>
      </c>
      <c r="J212" t="str">
        <f t="shared" si="11"/>
        <v>15F.V.rosea.Highcomp</v>
      </c>
      <c r="K212">
        <v>30</v>
      </c>
      <c r="L212">
        <f>12+15+8+1</f>
        <v>36</v>
      </c>
      <c r="M212">
        <v>14</v>
      </c>
      <c r="N212">
        <f>36/14</f>
        <v>2.5714285714285716</v>
      </c>
      <c r="O212">
        <v>0</v>
      </c>
      <c r="P212">
        <v>4</v>
      </c>
      <c r="Q212">
        <v>1</v>
      </c>
      <c r="R212">
        <v>0</v>
      </c>
      <c r="S212">
        <v>35</v>
      </c>
      <c r="T212">
        <v>30</v>
      </c>
      <c r="U212">
        <f>36+(16*N212)</f>
        <v>77.142857142857139</v>
      </c>
      <c r="V212">
        <v>77</v>
      </c>
      <c r="W212">
        <v>0</v>
      </c>
    </row>
    <row r="213" spans="1:24" x14ac:dyDescent="0.25">
      <c r="A213" t="s">
        <v>22</v>
      </c>
      <c r="B213">
        <v>15</v>
      </c>
      <c r="C213" t="s">
        <v>23</v>
      </c>
      <c r="D213" t="s">
        <v>95</v>
      </c>
      <c r="E213" t="s">
        <v>112</v>
      </c>
      <c r="F213" t="s">
        <v>222</v>
      </c>
      <c r="G213" t="s">
        <v>120</v>
      </c>
      <c r="H213" t="str">
        <f t="shared" si="9"/>
        <v>Shade.Solo</v>
      </c>
      <c r="I213" t="str">
        <f t="shared" si="10"/>
        <v>V.rosea.Solo</v>
      </c>
      <c r="J213" t="str">
        <f t="shared" si="11"/>
        <v>15F.V.rosea.Solo</v>
      </c>
      <c r="K213">
        <v>13</v>
      </c>
      <c r="L213">
        <f>24+6+2</f>
        <v>32</v>
      </c>
      <c r="M213">
        <v>9</v>
      </c>
      <c r="N213">
        <f>32/9</f>
        <v>3.5555555555555554</v>
      </c>
      <c r="O213">
        <v>0</v>
      </c>
      <c r="P213">
        <v>0</v>
      </c>
      <c r="Q213">
        <v>3</v>
      </c>
      <c r="R213">
        <v>0</v>
      </c>
      <c r="S213">
        <v>16</v>
      </c>
      <c r="T213">
        <v>13</v>
      </c>
      <c r="U213">
        <f>32+(4*N213)</f>
        <v>46.222222222222221</v>
      </c>
      <c r="V213">
        <v>46</v>
      </c>
      <c r="W213">
        <v>0</v>
      </c>
    </row>
    <row r="214" spans="1:24" x14ac:dyDescent="0.25">
      <c r="A214" t="s">
        <v>24</v>
      </c>
      <c r="B214">
        <v>15</v>
      </c>
      <c r="C214" t="s">
        <v>25</v>
      </c>
      <c r="D214" t="s">
        <v>95</v>
      </c>
      <c r="E214" t="s">
        <v>105</v>
      </c>
      <c r="F214" t="s">
        <v>221</v>
      </c>
      <c r="G214" t="s">
        <v>145</v>
      </c>
      <c r="H214" t="str">
        <f t="shared" si="9"/>
        <v>Shade.Highcomp</v>
      </c>
      <c r="I214" t="str">
        <f t="shared" si="10"/>
        <v>H.glabra.Highcomp</v>
      </c>
      <c r="J214" t="str">
        <f t="shared" si="11"/>
        <v>15G.H.glabra.Highcomp</v>
      </c>
      <c r="K214">
        <v>1</v>
      </c>
      <c r="L214">
        <v>50</v>
      </c>
      <c r="M214">
        <v>1</v>
      </c>
      <c r="N214">
        <v>50</v>
      </c>
      <c r="O214">
        <v>1</v>
      </c>
      <c r="P214">
        <v>0</v>
      </c>
      <c r="Q214">
        <v>0</v>
      </c>
      <c r="R214">
        <v>0</v>
      </c>
      <c r="S214">
        <v>2</v>
      </c>
      <c r="T214">
        <v>2</v>
      </c>
      <c r="U214">
        <f>50+50</f>
        <v>100</v>
      </c>
      <c r="V214">
        <v>100</v>
      </c>
      <c r="W214">
        <v>0</v>
      </c>
    </row>
    <row r="215" spans="1:24" x14ac:dyDescent="0.25">
      <c r="A215" t="s">
        <v>24</v>
      </c>
      <c r="B215">
        <v>15</v>
      </c>
      <c r="C215" t="s">
        <v>25</v>
      </c>
      <c r="D215" t="s">
        <v>95</v>
      </c>
      <c r="E215" t="s">
        <v>105</v>
      </c>
      <c r="F215" t="s">
        <v>221</v>
      </c>
      <c r="G215" t="s">
        <v>120</v>
      </c>
      <c r="H215" t="str">
        <f t="shared" si="9"/>
        <v>Shade.Solo</v>
      </c>
      <c r="I215" t="str">
        <f t="shared" si="10"/>
        <v>H.glabra.Solo</v>
      </c>
      <c r="J215" t="str">
        <f t="shared" si="11"/>
        <v>15G.H.glabra.Solo</v>
      </c>
      <c r="K215">
        <v>2</v>
      </c>
      <c r="L215">
        <v>48</v>
      </c>
      <c r="M215">
        <v>2</v>
      </c>
      <c r="N215">
        <v>24</v>
      </c>
      <c r="O215">
        <v>2</v>
      </c>
      <c r="P215">
        <v>0</v>
      </c>
      <c r="Q215">
        <v>0</v>
      </c>
      <c r="R215">
        <v>1</v>
      </c>
      <c r="S215">
        <v>4</v>
      </c>
      <c r="T215">
        <v>4</v>
      </c>
      <c r="U215">
        <f>48+(48)</f>
        <v>96</v>
      </c>
      <c r="V215">
        <v>96</v>
      </c>
      <c r="W215">
        <v>0</v>
      </c>
    </row>
    <row r="216" spans="1:24" x14ac:dyDescent="0.25">
      <c r="A216" t="s">
        <v>24</v>
      </c>
      <c r="B216">
        <v>15</v>
      </c>
      <c r="C216" t="s">
        <v>25</v>
      </c>
      <c r="D216" t="s">
        <v>95</v>
      </c>
      <c r="E216" t="s">
        <v>112</v>
      </c>
      <c r="F216" t="s">
        <v>222</v>
      </c>
      <c r="G216" t="s">
        <v>145</v>
      </c>
      <c r="H216" t="str">
        <f t="shared" si="9"/>
        <v>Shade.Highcomp</v>
      </c>
      <c r="I216" t="str">
        <f t="shared" si="10"/>
        <v>V.rosea.Highcomp</v>
      </c>
      <c r="J216" t="str">
        <f t="shared" si="11"/>
        <v>15G.V.rosea.Highcomp</v>
      </c>
      <c r="K216">
        <v>10</v>
      </c>
      <c r="L216">
        <f>16+15+2</f>
        <v>33</v>
      </c>
      <c r="M216">
        <v>10</v>
      </c>
      <c r="N216">
        <f>33/10</f>
        <v>3.3</v>
      </c>
      <c r="O216">
        <v>9</v>
      </c>
      <c r="P216">
        <v>3</v>
      </c>
      <c r="Q216">
        <v>0</v>
      </c>
      <c r="R216">
        <v>0</v>
      </c>
      <c r="S216">
        <v>22</v>
      </c>
      <c r="T216">
        <v>19</v>
      </c>
      <c r="U216">
        <f>33+(9*N216)</f>
        <v>62.7</v>
      </c>
      <c r="V216">
        <v>63</v>
      </c>
      <c r="W216">
        <v>0</v>
      </c>
    </row>
    <row r="217" spans="1:24" x14ac:dyDescent="0.25">
      <c r="A217" t="s">
        <v>24</v>
      </c>
      <c r="B217">
        <v>15</v>
      </c>
      <c r="C217" t="s">
        <v>25</v>
      </c>
      <c r="D217" t="s">
        <v>95</v>
      </c>
      <c r="E217" t="s">
        <v>112</v>
      </c>
      <c r="F217" t="s">
        <v>222</v>
      </c>
      <c r="G217" t="s">
        <v>120</v>
      </c>
      <c r="H217" t="str">
        <f t="shared" si="9"/>
        <v>Shade.Solo</v>
      </c>
      <c r="I217" t="str">
        <f t="shared" si="10"/>
        <v>V.rosea.Solo</v>
      </c>
      <c r="J217" t="str">
        <f t="shared" si="11"/>
        <v>15G.V.rosea.Solo</v>
      </c>
      <c r="K217">
        <v>1</v>
      </c>
      <c r="L217">
        <v>4</v>
      </c>
      <c r="M217">
        <v>1</v>
      </c>
      <c r="N217">
        <v>4</v>
      </c>
      <c r="O217">
        <v>0</v>
      </c>
      <c r="P217">
        <v>0</v>
      </c>
      <c r="Q217">
        <v>0</v>
      </c>
      <c r="R217">
        <v>0</v>
      </c>
      <c r="S217">
        <v>1</v>
      </c>
      <c r="T217">
        <v>1</v>
      </c>
      <c r="U217">
        <v>4</v>
      </c>
      <c r="V217">
        <v>4</v>
      </c>
      <c r="W217">
        <v>0</v>
      </c>
    </row>
    <row r="218" spans="1:24" x14ac:dyDescent="0.25">
      <c r="A218" t="s">
        <v>26</v>
      </c>
      <c r="B218">
        <v>15</v>
      </c>
      <c r="C218" t="s">
        <v>27</v>
      </c>
      <c r="D218" t="s">
        <v>95</v>
      </c>
      <c r="E218" t="s">
        <v>105</v>
      </c>
      <c r="F218" t="s">
        <v>221</v>
      </c>
      <c r="G218" t="s">
        <v>145</v>
      </c>
      <c r="H218" t="str">
        <f t="shared" si="9"/>
        <v>Shade.Highcomp</v>
      </c>
      <c r="I218" t="str">
        <f t="shared" si="10"/>
        <v>H.glabra.Highcomp</v>
      </c>
      <c r="J218" t="str">
        <f t="shared" si="11"/>
        <v>15H.H.glabra.Highcomp</v>
      </c>
      <c r="K218">
        <v>2</v>
      </c>
      <c r="L218">
        <v>93</v>
      </c>
      <c r="M218">
        <v>2</v>
      </c>
      <c r="N218">
        <f>93/2</f>
        <v>46.5</v>
      </c>
      <c r="O218">
        <v>1</v>
      </c>
      <c r="P218">
        <v>0</v>
      </c>
      <c r="Q218">
        <v>0</v>
      </c>
      <c r="R218">
        <v>0</v>
      </c>
      <c r="S218">
        <v>3</v>
      </c>
      <c r="T218">
        <v>3</v>
      </c>
      <c r="U218">
        <f>93+46.5</f>
        <v>139.5</v>
      </c>
      <c r="V218">
        <v>140</v>
      </c>
      <c r="W218">
        <v>0</v>
      </c>
    </row>
    <row r="219" spans="1:24" x14ac:dyDescent="0.25">
      <c r="A219" t="s">
        <v>26</v>
      </c>
      <c r="B219">
        <v>15</v>
      </c>
      <c r="C219" t="s">
        <v>27</v>
      </c>
      <c r="D219" t="s">
        <v>95</v>
      </c>
      <c r="E219" t="s">
        <v>105</v>
      </c>
      <c r="F219" t="s">
        <v>221</v>
      </c>
      <c r="G219" t="s">
        <v>120</v>
      </c>
      <c r="H219" t="str">
        <f t="shared" si="9"/>
        <v>Shade.Solo</v>
      </c>
      <c r="I219" t="str">
        <f t="shared" si="10"/>
        <v>H.glabra.Solo</v>
      </c>
      <c r="J219" t="str">
        <f t="shared" si="11"/>
        <v>15H.H.glabra.Solo</v>
      </c>
      <c r="K219">
        <v>2</v>
      </c>
      <c r="L219">
        <f>42+46</f>
        <v>88</v>
      </c>
      <c r="M219">
        <v>2</v>
      </c>
      <c r="N219">
        <v>44</v>
      </c>
      <c r="O219">
        <v>0</v>
      </c>
      <c r="P219">
        <v>0</v>
      </c>
      <c r="Q219">
        <v>0</v>
      </c>
      <c r="R219">
        <v>0</v>
      </c>
      <c r="S219">
        <v>2</v>
      </c>
      <c r="T219">
        <v>2</v>
      </c>
      <c r="U219">
        <v>88</v>
      </c>
      <c r="V219">
        <v>88</v>
      </c>
      <c r="W219">
        <v>0</v>
      </c>
    </row>
    <row r="220" spans="1:24" x14ac:dyDescent="0.25">
      <c r="A220" t="s">
        <v>26</v>
      </c>
      <c r="B220">
        <v>15</v>
      </c>
      <c r="C220" t="s">
        <v>27</v>
      </c>
      <c r="D220" t="s">
        <v>95</v>
      </c>
      <c r="E220" t="s">
        <v>110</v>
      </c>
      <c r="F220" t="s">
        <v>221</v>
      </c>
      <c r="G220" t="s">
        <v>145</v>
      </c>
      <c r="H220" t="str">
        <f t="shared" si="9"/>
        <v>Shade.Highcomp</v>
      </c>
      <c r="I220" t="str">
        <f t="shared" si="10"/>
        <v>M.minima.Highcomp</v>
      </c>
      <c r="J220" t="str">
        <f t="shared" si="11"/>
        <v>15H.M.minima.Highcomp</v>
      </c>
      <c r="K220">
        <v>6</v>
      </c>
      <c r="L220">
        <v>6</v>
      </c>
      <c r="M220">
        <v>6</v>
      </c>
      <c r="N220">
        <v>1</v>
      </c>
      <c r="O220">
        <v>0</v>
      </c>
      <c r="P220">
        <v>0</v>
      </c>
      <c r="Q220">
        <v>0</v>
      </c>
      <c r="R220">
        <v>0</v>
      </c>
      <c r="S220">
        <v>6</v>
      </c>
      <c r="T220">
        <v>6</v>
      </c>
      <c r="U220">
        <v>6</v>
      </c>
      <c r="V220">
        <v>6</v>
      </c>
      <c r="W220">
        <v>0</v>
      </c>
    </row>
    <row r="221" spans="1:24" x14ac:dyDescent="0.25">
      <c r="A221" t="s">
        <v>26</v>
      </c>
      <c r="B221">
        <v>15</v>
      </c>
      <c r="C221" t="s">
        <v>27</v>
      </c>
      <c r="D221" t="s">
        <v>95</v>
      </c>
      <c r="E221" t="s">
        <v>110</v>
      </c>
      <c r="F221" t="s">
        <v>221</v>
      </c>
      <c r="G221" t="s">
        <v>120</v>
      </c>
      <c r="H221" t="str">
        <f t="shared" si="9"/>
        <v>Shade.Solo</v>
      </c>
      <c r="I221" t="str">
        <f t="shared" si="10"/>
        <v>M.minima.Solo</v>
      </c>
      <c r="J221" t="str">
        <f t="shared" si="11"/>
        <v>15H.M.minima.Solo</v>
      </c>
      <c r="K221">
        <v>1</v>
      </c>
      <c r="L221">
        <v>1</v>
      </c>
      <c r="M221">
        <v>1</v>
      </c>
      <c r="N221">
        <v>1</v>
      </c>
      <c r="O221">
        <v>0</v>
      </c>
      <c r="P221">
        <v>0</v>
      </c>
      <c r="Q221">
        <v>0</v>
      </c>
      <c r="R221">
        <v>0</v>
      </c>
      <c r="S221">
        <v>1</v>
      </c>
      <c r="T221">
        <v>1</v>
      </c>
      <c r="U221">
        <v>1</v>
      </c>
      <c r="V221">
        <v>1</v>
      </c>
      <c r="W221">
        <v>0</v>
      </c>
    </row>
    <row r="222" spans="1:24" x14ac:dyDescent="0.25">
      <c r="A222" t="s">
        <v>26</v>
      </c>
      <c r="B222">
        <v>15</v>
      </c>
      <c r="C222" t="s">
        <v>27</v>
      </c>
      <c r="D222" t="s">
        <v>95</v>
      </c>
      <c r="E222" t="s">
        <v>111</v>
      </c>
      <c r="F222" t="s">
        <v>222</v>
      </c>
      <c r="G222" t="s">
        <v>145</v>
      </c>
      <c r="H222" t="str">
        <f t="shared" si="9"/>
        <v>Shade.Highcomp</v>
      </c>
      <c r="I222" t="str">
        <f t="shared" si="10"/>
        <v>P.canescens.Highcomp</v>
      </c>
      <c r="J222" t="str">
        <f t="shared" si="11"/>
        <v>15H.P.canescens.Highcomp</v>
      </c>
      <c r="K222">
        <v>2</v>
      </c>
      <c r="L222">
        <v>31</v>
      </c>
      <c r="M222">
        <v>2</v>
      </c>
      <c r="N222">
        <f>31/2</f>
        <v>15.5</v>
      </c>
      <c r="O222">
        <v>0</v>
      </c>
      <c r="P222">
        <v>0</v>
      </c>
      <c r="Q222">
        <v>5</v>
      </c>
      <c r="R222">
        <v>1</v>
      </c>
      <c r="S222">
        <v>7</v>
      </c>
      <c r="T222">
        <v>2</v>
      </c>
      <c r="U222">
        <v>31</v>
      </c>
      <c r="V222">
        <v>31</v>
      </c>
      <c r="W222">
        <v>0</v>
      </c>
    </row>
    <row r="223" spans="1:24" x14ac:dyDescent="0.25">
      <c r="A223" t="s">
        <v>26</v>
      </c>
      <c r="B223">
        <v>15</v>
      </c>
      <c r="C223" t="s">
        <v>27</v>
      </c>
      <c r="D223" t="s">
        <v>95</v>
      </c>
      <c r="E223" t="s">
        <v>111</v>
      </c>
      <c r="F223" t="s">
        <v>222</v>
      </c>
      <c r="G223" t="s">
        <v>120</v>
      </c>
      <c r="H223" t="str">
        <f t="shared" si="9"/>
        <v>Shade.Solo</v>
      </c>
      <c r="I223" t="str">
        <f t="shared" si="10"/>
        <v>P.canescens.Solo</v>
      </c>
      <c r="J223" t="str">
        <f t="shared" si="11"/>
        <v>15H.P.canescens.Solo</v>
      </c>
      <c r="K223">
        <v>4</v>
      </c>
      <c r="L223">
        <f>75+18+114+97</f>
        <v>304</v>
      </c>
      <c r="M223">
        <v>4</v>
      </c>
      <c r="N223">
        <f>304/4</f>
        <v>76</v>
      </c>
      <c r="O223">
        <v>0</v>
      </c>
      <c r="P223">
        <v>4</v>
      </c>
      <c r="Q223">
        <v>2</v>
      </c>
      <c r="R223">
        <v>1</v>
      </c>
      <c r="S223">
        <v>10</v>
      </c>
      <c r="T223">
        <v>8</v>
      </c>
      <c r="U223">
        <f>304+(4*76)</f>
        <v>608</v>
      </c>
      <c r="V223">
        <v>608</v>
      </c>
      <c r="W223">
        <v>0</v>
      </c>
    </row>
    <row r="224" spans="1:24" x14ac:dyDescent="0.25">
      <c r="A224" t="s">
        <v>28</v>
      </c>
      <c r="B224">
        <v>15</v>
      </c>
      <c r="C224" t="s">
        <v>29</v>
      </c>
      <c r="D224" t="s">
        <v>94</v>
      </c>
      <c r="E224" t="s">
        <v>113</v>
      </c>
      <c r="F224" t="s">
        <v>222</v>
      </c>
      <c r="G224" t="s">
        <v>145</v>
      </c>
      <c r="H224" t="str">
        <f t="shared" si="9"/>
        <v>Open.Highcomp</v>
      </c>
      <c r="I224" t="str">
        <f t="shared" si="10"/>
        <v>H.glutinosum.Highcomp</v>
      </c>
      <c r="J224" t="str">
        <f t="shared" si="11"/>
        <v>15I.H.glutinosum.Highcomp</v>
      </c>
      <c r="K224">
        <v>1</v>
      </c>
      <c r="L224" t="s">
        <v>114</v>
      </c>
      <c r="M224" t="s">
        <v>114</v>
      </c>
      <c r="N224" t="s">
        <v>114</v>
      </c>
      <c r="O224">
        <v>1</v>
      </c>
      <c r="P224">
        <v>0</v>
      </c>
      <c r="Q224">
        <v>0</v>
      </c>
      <c r="R224">
        <v>0</v>
      </c>
      <c r="S224">
        <v>1</v>
      </c>
      <c r="T224">
        <v>1</v>
      </c>
      <c r="U224" t="s">
        <v>114</v>
      </c>
      <c r="V224" t="s">
        <v>114</v>
      </c>
      <c r="W224">
        <v>0</v>
      </c>
    </row>
    <row r="225" spans="1:23" x14ac:dyDescent="0.25">
      <c r="A225" t="s">
        <v>28</v>
      </c>
      <c r="B225">
        <v>15</v>
      </c>
      <c r="C225" t="s">
        <v>29</v>
      </c>
      <c r="D225" t="s">
        <v>94</v>
      </c>
      <c r="E225" t="s">
        <v>113</v>
      </c>
      <c r="F225" t="s">
        <v>222</v>
      </c>
      <c r="G225" t="s">
        <v>120</v>
      </c>
      <c r="H225" t="str">
        <f t="shared" si="9"/>
        <v>Open.Solo</v>
      </c>
      <c r="I225" t="str">
        <f t="shared" si="10"/>
        <v>H.glutinosum.Solo</v>
      </c>
      <c r="J225" t="str">
        <f t="shared" si="11"/>
        <v>15I.H.glutinosum.Solo</v>
      </c>
      <c r="K225">
        <v>3</v>
      </c>
      <c r="L225">
        <v>17</v>
      </c>
      <c r="M225">
        <v>3</v>
      </c>
      <c r="N225">
        <f>17/3</f>
        <v>5.666666666666667</v>
      </c>
      <c r="O225">
        <v>0</v>
      </c>
      <c r="P225">
        <v>0</v>
      </c>
      <c r="Q225">
        <v>0</v>
      </c>
      <c r="R225">
        <v>0</v>
      </c>
      <c r="S225">
        <v>3</v>
      </c>
      <c r="T225">
        <v>3</v>
      </c>
      <c r="U225">
        <v>17</v>
      </c>
      <c r="V225">
        <v>17</v>
      </c>
      <c r="W225">
        <v>0</v>
      </c>
    </row>
    <row r="226" spans="1:23" x14ac:dyDescent="0.25">
      <c r="A226" t="s">
        <v>28</v>
      </c>
      <c r="B226">
        <v>15</v>
      </c>
      <c r="C226" t="s">
        <v>29</v>
      </c>
      <c r="D226" t="s">
        <v>94</v>
      </c>
      <c r="E226" t="s">
        <v>103</v>
      </c>
      <c r="F226" t="s">
        <v>221</v>
      </c>
      <c r="G226" t="s">
        <v>145</v>
      </c>
      <c r="H226" t="str">
        <f t="shared" si="9"/>
        <v>Open.Highcomp</v>
      </c>
      <c r="I226" t="str">
        <f t="shared" si="10"/>
        <v>P.airoides.Highcomp</v>
      </c>
      <c r="J226" t="str">
        <f t="shared" si="11"/>
        <v>15I.P.airoides.Highcomp</v>
      </c>
      <c r="K226">
        <v>1</v>
      </c>
      <c r="L226">
        <v>43</v>
      </c>
      <c r="M226">
        <v>1</v>
      </c>
      <c r="N226">
        <v>43</v>
      </c>
      <c r="O226">
        <v>0</v>
      </c>
      <c r="P226">
        <v>0</v>
      </c>
      <c r="Q226">
        <v>0</v>
      </c>
      <c r="R226">
        <v>0</v>
      </c>
      <c r="S226">
        <v>1</v>
      </c>
      <c r="T226">
        <v>1</v>
      </c>
      <c r="U226">
        <v>43</v>
      </c>
      <c r="V226">
        <v>43</v>
      </c>
      <c r="W226">
        <v>0</v>
      </c>
    </row>
    <row r="227" spans="1:23" x14ac:dyDescent="0.25">
      <c r="A227" t="s">
        <v>28</v>
      </c>
      <c r="B227">
        <v>15</v>
      </c>
      <c r="C227" t="s">
        <v>29</v>
      </c>
      <c r="D227" t="s">
        <v>94</v>
      </c>
      <c r="E227" t="s">
        <v>103</v>
      </c>
      <c r="F227" t="s">
        <v>221</v>
      </c>
      <c r="G227" t="s">
        <v>120</v>
      </c>
      <c r="H227" t="str">
        <f t="shared" si="9"/>
        <v>Open.Solo</v>
      </c>
      <c r="I227" t="str">
        <f t="shared" si="10"/>
        <v>P.airoides.Solo</v>
      </c>
      <c r="J227" t="str">
        <f t="shared" si="11"/>
        <v>15I.P.airoides.Solo</v>
      </c>
      <c r="K227">
        <v>3</v>
      </c>
      <c r="L227">
        <f>52+51+43</f>
        <v>146</v>
      </c>
      <c r="M227">
        <v>3</v>
      </c>
      <c r="N227">
        <f>146/3</f>
        <v>48.666666666666664</v>
      </c>
      <c r="O227">
        <v>0</v>
      </c>
      <c r="P227">
        <v>0</v>
      </c>
      <c r="Q227">
        <v>0</v>
      </c>
      <c r="R227">
        <v>0</v>
      </c>
      <c r="S227">
        <v>3</v>
      </c>
      <c r="T227">
        <v>3</v>
      </c>
      <c r="U227">
        <v>146</v>
      </c>
      <c r="V227">
        <v>146</v>
      </c>
      <c r="W227">
        <v>0</v>
      </c>
    </row>
    <row r="228" spans="1:23" x14ac:dyDescent="0.25">
      <c r="A228" t="s">
        <v>28</v>
      </c>
      <c r="B228">
        <v>15</v>
      </c>
      <c r="C228" t="s">
        <v>29</v>
      </c>
      <c r="D228" t="s">
        <v>94</v>
      </c>
      <c r="E228" t="s">
        <v>111</v>
      </c>
      <c r="F228" t="s">
        <v>222</v>
      </c>
      <c r="G228" t="s">
        <v>145</v>
      </c>
      <c r="H228" t="str">
        <f t="shared" si="9"/>
        <v>Open.Highcomp</v>
      </c>
      <c r="I228" t="str">
        <f t="shared" si="10"/>
        <v>P.canescens.Highcomp</v>
      </c>
      <c r="J228" t="str">
        <f t="shared" si="11"/>
        <v>15I.P.canescens.Highcomp</v>
      </c>
      <c r="K228">
        <v>5</v>
      </c>
      <c r="L228">
        <f>115+12+145+112+59</f>
        <v>443</v>
      </c>
      <c r="M228">
        <v>5</v>
      </c>
      <c r="N228">
        <f>443/5</f>
        <v>88.6</v>
      </c>
      <c r="O228">
        <v>1</v>
      </c>
      <c r="P228">
        <v>17</v>
      </c>
      <c r="Q228">
        <v>7</v>
      </c>
      <c r="R228">
        <v>0</v>
      </c>
      <c r="S228">
        <v>30</v>
      </c>
      <c r="T228">
        <v>23</v>
      </c>
      <c r="U228">
        <f>443+(18*88.6)</f>
        <v>2037.8</v>
      </c>
      <c r="V228">
        <v>2038</v>
      </c>
      <c r="W228">
        <v>0</v>
      </c>
    </row>
    <row r="229" spans="1:23" x14ac:dyDescent="0.25">
      <c r="A229" t="s">
        <v>28</v>
      </c>
      <c r="B229">
        <v>15</v>
      </c>
      <c r="C229" t="s">
        <v>29</v>
      </c>
      <c r="D229" t="s">
        <v>94</v>
      </c>
      <c r="E229" t="s">
        <v>111</v>
      </c>
      <c r="F229" t="s">
        <v>222</v>
      </c>
      <c r="G229" t="s">
        <v>120</v>
      </c>
      <c r="H229" t="str">
        <f t="shared" si="9"/>
        <v>Open.Solo</v>
      </c>
      <c r="I229" t="str">
        <f t="shared" si="10"/>
        <v>P.canescens.Solo</v>
      </c>
      <c r="J229" t="str">
        <f t="shared" si="11"/>
        <v>15I.P.canescens.Solo</v>
      </c>
      <c r="K229">
        <v>5</v>
      </c>
      <c r="L229">
        <f>114+105+45+124+44</f>
        <v>432</v>
      </c>
      <c r="M229">
        <v>5</v>
      </c>
      <c r="N229">
        <f>432/5</f>
        <v>86.4</v>
      </c>
      <c r="O229">
        <v>1</v>
      </c>
      <c r="P229">
        <v>10</v>
      </c>
      <c r="Q229">
        <v>6</v>
      </c>
      <c r="R229">
        <v>1</v>
      </c>
      <c r="S229">
        <v>22</v>
      </c>
      <c r="T229">
        <v>16</v>
      </c>
      <c r="U229">
        <f>432+(11*86.4)</f>
        <v>1382.4</v>
      </c>
      <c r="V229">
        <v>1382</v>
      </c>
      <c r="W229">
        <v>0</v>
      </c>
    </row>
    <row r="230" spans="1:23" x14ac:dyDescent="0.25">
      <c r="A230" t="s">
        <v>28</v>
      </c>
      <c r="B230">
        <v>15</v>
      </c>
      <c r="C230" t="s">
        <v>29</v>
      </c>
      <c r="D230" t="s">
        <v>94</v>
      </c>
      <c r="E230" t="s">
        <v>112</v>
      </c>
      <c r="F230" t="s">
        <v>222</v>
      </c>
      <c r="G230" t="s">
        <v>145</v>
      </c>
      <c r="H230" t="str">
        <f t="shared" si="9"/>
        <v>Open.Highcomp</v>
      </c>
      <c r="I230" t="str">
        <f t="shared" si="10"/>
        <v>V.rosea.Highcomp</v>
      </c>
      <c r="J230" t="str">
        <f t="shared" si="11"/>
        <v>15I.V.rosea.Highcomp</v>
      </c>
      <c r="K230">
        <v>52</v>
      </c>
      <c r="L230">
        <f>24+18+2</f>
        <v>44</v>
      </c>
      <c r="M230">
        <v>13</v>
      </c>
      <c r="N230">
        <f>44/13</f>
        <v>3.3846153846153846</v>
      </c>
      <c r="O230">
        <v>11</v>
      </c>
      <c r="P230">
        <v>0</v>
      </c>
      <c r="Q230">
        <v>0</v>
      </c>
      <c r="R230">
        <v>0</v>
      </c>
      <c r="S230">
        <v>63</v>
      </c>
      <c r="T230">
        <v>63</v>
      </c>
      <c r="U230">
        <f>44+(50*N230)</f>
        <v>213.23076923076923</v>
      </c>
      <c r="V230">
        <v>213</v>
      </c>
      <c r="W230">
        <v>0</v>
      </c>
    </row>
    <row r="231" spans="1:23" x14ac:dyDescent="0.25">
      <c r="A231" t="s">
        <v>28</v>
      </c>
      <c r="B231">
        <v>15</v>
      </c>
      <c r="C231" t="s">
        <v>29</v>
      </c>
      <c r="D231" t="s">
        <v>94</v>
      </c>
      <c r="E231" t="s">
        <v>112</v>
      </c>
      <c r="F231" t="s">
        <v>222</v>
      </c>
      <c r="G231" t="s">
        <v>120</v>
      </c>
      <c r="H231" t="str">
        <f t="shared" si="9"/>
        <v>Open.Solo</v>
      </c>
      <c r="I231" t="str">
        <f t="shared" si="10"/>
        <v>V.rosea.Solo</v>
      </c>
      <c r="J231" t="str">
        <f t="shared" si="11"/>
        <v>15I.V.rosea.Solo</v>
      </c>
      <c r="K231">
        <v>12</v>
      </c>
      <c r="L231">
        <v>27</v>
      </c>
      <c r="M231">
        <v>8</v>
      </c>
      <c r="N231">
        <f>27/8</f>
        <v>3.375</v>
      </c>
      <c r="O231">
        <v>0</v>
      </c>
      <c r="P231">
        <v>4</v>
      </c>
      <c r="Q231">
        <v>0</v>
      </c>
      <c r="R231">
        <v>0</v>
      </c>
      <c r="S231">
        <v>16</v>
      </c>
      <c r="T231">
        <v>12</v>
      </c>
      <c r="U231">
        <f>27+(3.375*4)</f>
        <v>40.5</v>
      </c>
      <c r="V231">
        <v>41</v>
      </c>
      <c r="W231">
        <v>0</v>
      </c>
    </row>
    <row r="232" spans="1:23" x14ac:dyDescent="0.25">
      <c r="A232" t="s">
        <v>30</v>
      </c>
      <c r="B232">
        <v>15</v>
      </c>
      <c r="C232" t="s">
        <v>31</v>
      </c>
      <c r="D232" t="s">
        <v>95</v>
      </c>
      <c r="E232" t="s">
        <v>113</v>
      </c>
      <c r="F232" t="s">
        <v>222</v>
      </c>
      <c r="G232" t="s">
        <v>145</v>
      </c>
      <c r="H232" t="str">
        <f t="shared" si="9"/>
        <v>Shade.Highcomp</v>
      </c>
      <c r="I232" t="str">
        <f t="shared" si="10"/>
        <v>H.glutinosum.Highcomp</v>
      </c>
      <c r="J232" t="str">
        <f t="shared" si="11"/>
        <v>15J.H.glutinosum.Highcomp</v>
      </c>
      <c r="K232">
        <v>1</v>
      </c>
      <c r="L232">
        <v>2</v>
      </c>
      <c r="M232">
        <v>1</v>
      </c>
      <c r="N232">
        <v>2</v>
      </c>
      <c r="O232">
        <v>2</v>
      </c>
      <c r="P232">
        <v>0</v>
      </c>
      <c r="Q232">
        <v>0</v>
      </c>
      <c r="R232">
        <v>1</v>
      </c>
      <c r="S232">
        <v>3</v>
      </c>
      <c r="T232">
        <v>3</v>
      </c>
      <c r="U232">
        <f>2+(2*2)</f>
        <v>6</v>
      </c>
      <c r="V232">
        <v>6</v>
      </c>
      <c r="W232">
        <v>0</v>
      </c>
    </row>
    <row r="233" spans="1:23" x14ac:dyDescent="0.25">
      <c r="A233" t="s">
        <v>30</v>
      </c>
      <c r="B233">
        <v>15</v>
      </c>
      <c r="C233" t="s">
        <v>31</v>
      </c>
      <c r="D233" t="s">
        <v>95</v>
      </c>
      <c r="E233" t="s">
        <v>113</v>
      </c>
      <c r="F233" t="s">
        <v>222</v>
      </c>
      <c r="G233" t="s">
        <v>120</v>
      </c>
      <c r="H233" t="str">
        <f t="shared" si="9"/>
        <v>Shade.Solo</v>
      </c>
      <c r="I233" t="str">
        <f t="shared" si="10"/>
        <v>H.glutinosum.Solo</v>
      </c>
      <c r="J233" t="str">
        <f t="shared" si="11"/>
        <v>15J.H.glutinosum.Solo</v>
      </c>
      <c r="K233">
        <v>1</v>
      </c>
      <c r="L233">
        <v>0</v>
      </c>
      <c r="M233">
        <v>1</v>
      </c>
      <c r="N233">
        <v>0</v>
      </c>
      <c r="O233">
        <v>0</v>
      </c>
      <c r="P233">
        <v>0</v>
      </c>
      <c r="Q233">
        <v>0</v>
      </c>
      <c r="R233">
        <v>1</v>
      </c>
      <c r="S233">
        <v>1</v>
      </c>
      <c r="T233">
        <v>1</v>
      </c>
      <c r="U233">
        <v>0</v>
      </c>
      <c r="V233">
        <v>0</v>
      </c>
      <c r="W233">
        <v>0</v>
      </c>
    </row>
    <row r="234" spans="1:23" x14ac:dyDescent="0.25">
      <c r="A234" t="s">
        <v>30</v>
      </c>
      <c r="B234">
        <v>15</v>
      </c>
      <c r="C234" t="s">
        <v>31</v>
      </c>
      <c r="D234" t="s">
        <v>95</v>
      </c>
      <c r="E234" t="s">
        <v>103</v>
      </c>
      <c r="F234" t="s">
        <v>221</v>
      </c>
      <c r="G234" t="s">
        <v>145</v>
      </c>
      <c r="H234" t="str">
        <f t="shared" si="9"/>
        <v>Shade.Highcomp</v>
      </c>
      <c r="I234" t="str">
        <f t="shared" si="10"/>
        <v>P.airoides.Highcomp</v>
      </c>
      <c r="J234" t="str">
        <f t="shared" si="11"/>
        <v>15J.P.airoides.Highcomp</v>
      </c>
      <c r="K234">
        <v>3</v>
      </c>
      <c r="L234">
        <f>50+86+51</f>
        <v>187</v>
      </c>
      <c r="M234">
        <v>3</v>
      </c>
      <c r="N234">
        <f>187/3</f>
        <v>62.333333333333336</v>
      </c>
      <c r="O234">
        <v>0</v>
      </c>
      <c r="P234">
        <v>0</v>
      </c>
      <c r="Q234">
        <v>0</v>
      </c>
      <c r="R234">
        <v>0</v>
      </c>
      <c r="S234">
        <v>3</v>
      </c>
      <c r="T234">
        <v>3</v>
      </c>
      <c r="U234">
        <v>187</v>
      </c>
      <c r="V234">
        <v>187</v>
      </c>
      <c r="W234">
        <v>0</v>
      </c>
    </row>
    <row r="235" spans="1:23" x14ac:dyDescent="0.25">
      <c r="A235" t="s">
        <v>30</v>
      </c>
      <c r="B235">
        <v>15</v>
      </c>
      <c r="C235" t="s">
        <v>31</v>
      </c>
      <c r="D235" t="s">
        <v>95</v>
      </c>
      <c r="E235" t="s">
        <v>103</v>
      </c>
      <c r="F235" t="s">
        <v>221</v>
      </c>
      <c r="G235" t="s">
        <v>120</v>
      </c>
      <c r="H235" t="str">
        <f t="shared" si="9"/>
        <v>Shade.Solo</v>
      </c>
      <c r="I235" t="str">
        <f t="shared" si="10"/>
        <v>P.airoides.Solo</v>
      </c>
      <c r="J235" t="str">
        <f t="shared" si="11"/>
        <v>15J.P.airoides.Solo</v>
      </c>
      <c r="K235">
        <v>2</v>
      </c>
      <c r="L235">
        <v>45</v>
      </c>
      <c r="M235">
        <v>2</v>
      </c>
      <c r="N235">
        <f>45/2</f>
        <v>22.5</v>
      </c>
      <c r="O235">
        <v>0</v>
      </c>
      <c r="P235">
        <v>0</v>
      </c>
      <c r="Q235">
        <v>0</v>
      </c>
      <c r="R235">
        <v>0</v>
      </c>
      <c r="S235">
        <v>2</v>
      </c>
      <c r="T235">
        <v>2</v>
      </c>
      <c r="U235">
        <v>45</v>
      </c>
      <c r="V235">
        <v>45</v>
      </c>
      <c r="W235">
        <v>0</v>
      </c>
    </row>
    <row r="236" spans="1:23" x14ac:dyDescent="0.25">
      <c r="A236" t="s">
        <v>30</v>
      </c>
      <c r="B236">
        <v>15</v>
      </c>
      <c r="C236" t="s">
        <v>31</v>
      </c>
      <c r="D236" t="s">
        <v>95</v>
      </c>
      <c r="E236" t="s">
        <v>112</v>
      </c>
      <c r="F236" t="s">
        <v>222</v>
      </c>
      <c r="G236" t="s">
        <v>145</v>
      </c>
      <c r="H236" t="str">
        <f t="shared" si="9"/>
        <v>Shade.Highcomp</v>
      </c>
      <c r="I236" t="str">
        <f t="shared" si="10"/>
        <v>V.rosea.Highcomp</v>
      </c>
      <c r="J236" t="str">
        <f t="shared" si="11"/>
        <v>15J.V.rosea.Highcomp</v>
      </c>
      <c r="K236">
        <v>12</v>
      </c>
      <c r="L236">
        <v>19</v>
      </c>
      <c r="M236">
        <v>7</v>
      </c>
      <c r="N236">
        <f>19/7</f>
        <v>2.7142857142857144</v>
      </c>
      <c r="O236">
        <v>0</v>
      </c>
      <c r="P236">
        <v>0</v>
      </c>
      <c r="Q236">
        <v>1</v>
      </c>
      <c r="R236">
        <v>0</v>
      </c>
      <c r="S236">
        <v>13</v>
      </c>
      <c r="T236">
        <v>12</v>
      </c>
      <c r="U236">
        <f>19+(N236*5)</f>
        <v>32.571428571428569</v>
      </c>
      <c r="V236">
        <v>33</v>
      </c>
      <c r="W236">
        <v>0</v>
      </c>
    </row>
    <row r="237" spans="1:23" x14ac:dyDescent="0.25">
      <c r="A237" t="s">
        <v>30</v>
      </c>
      <c r="B237">
        <v>15</v>
      </c>
      <c r="C237" t="s">
        <v>31</v>
      </c>
      <c r="D237" t="s">
        <v>95</v>
      </c>
      <c r="E237" t="s">
        <v>112</v>
      </c>
      <c r="F237" t="s">
        <v>222</v>
      </c>
      <c r="G237" t="s">
        <v>120</v>
      </c>
      <c r="H237" t="str">
        <f t="shared" si="9"/>
        <v>Shade.Solo</v>
      </c>
      <c r="I237" t="str">
        <f t="shared" si="10"/>
        <v>V.rosea.Solo</v>
      </c>
      <c r="J237" t="str">
        <f t="shared" si="11"/>
        <v>15J.V.rosea.Solo</v>
      </c>
      <c r="K237">
        <v>13</v>
      </c>
      <c r="L237">
        <f>4+2+4+3+12+4</f>
        <v>29</v>
      </c>
      <c r="M237">
        <v>8</v>
      </c>
      <c r="N237">
        <f>29/8</f>
        <v>3.625</v>
      </c>
      <c r="O237">
        <v>0</v>
      </c>
      <c r="P237">
        <v>1</v>
      </c>
      <c r="Q237">
        <v>0</v>
      </c>
      <c r="R237">
        <v>1</v>
      </c>
      <c r="S237">
        <v>14</v>
      </c>
      <c r="T237">
        <v>13</v>
      </c>
      <c r="U237">
        <f>29+(5*N237)</f>
        <v>47.125</v>
      </c>
      <c r="V237">
        <v>47</v>
      </c>
      <c r="W237">
        <v>0</v>
      </c>
    </row>
    <row r="238" spans="1:23" x14ac:dyDescent="0.25">
      <c r="A238" t="s">
        <v>32</v>
      </c>
      <c r="B238">
        <v>15</v>
      </c>
      <c r="C238" t="s">
        <v>33</v>
      </c>
      <c r="D238" t="s">
        <v>94</v>
      </c>
      <c r="E238" t="s">
        <v>105</v>
      </c>
      <c r="F238" t="s">
        <v>221</v>
      </c>
      <c r="G238" t="s">
        <v>145</v>
      </c>
      <c r="H238" t="str">
        <f t="shared" si="9"/>
        <v>Open.Highcomp</v>
      </c>
      <c r="I238" t="str">
        <f t="shared" si="10"/>
        <v>H.glabra.Highcomp</v>
      </c>
      <c r="J238" t="str">
        <f t="shared" si="11"/>
        <v>15K.H.glabra.Highcomp</v>
      </c>
      <c r="K238">
        <v>7</v>
      </c>
      <c r="L238">
        <f>3+90+86+55+92+85+74</f>
        <v>485</v>
      </c>
      <c r="M238">
        <v>7</v>
      </c>
      <c r="N238">
        <f>485/7</f>
        <v>69.285714285714292</v>
      </c>
      <c r="O238">
        <v>0</v>
      </c>
      <c r="P238">
        <v>0</v>
      </c>
      <c r="Q238">
        <v>0</v>
      </c>
      <c r="R238">
        <v>0</v>
      </c>
      <c r="S238">
        <v>7</v>
      </c>
      <c r="T238">
        <v>7</v>
      </c>
      <c r="U238">
        <v>485</v>
      </c>
      <c r="V238">
        <v>485</v>
      </c>
      <c r="W238">
        <v>0</v>
      </c>
    </row>
    <row r="239" spans="1:23" x14ac:dyDescent="0.25">
      <c r="A239" t="s">
        <v>32</v>
      </c>
      <c r="B239">
        <v>15</v>
      </c>
      <c r="C239" t="s">
        <v>33</v>
      </c>
      <c r="D239" t="s">
        <v>94</v>
      </c>
      <c r="E239" t="s">
        <v>105</v>
      </c>
      <c r="F239" t="s">
        <v>221</v>
      </c>
      <c r="G239" t="s">
        <v>120</v>
      </c>
      <c r="H239" t="str">
        <f t="shared" si="9"/>
        <v>Open.Solo</v>
      </c>
      <c r="I239" t="str">
        <f t="shared" si="10"/>
        <v>H.glabra.Solo</v>
      </c>
      <c r="J239" t="str">
        <f t="shared" si="11"/>
        <v>15K.H.glabra.Solo</v>
      </c>
      <c r="K239">
        <v>12</v>
      </c>
      <c r="L239">
        <f>71+71+72+17+29+60+68+55+69+55</f>
        <v>567</v>
      </c>
      <c r="M239">
        <v>12</v>
      </c>
      <c r="N239">
        <f>567/12</f>
        <v>47.25</v>
      </c>
      <c r="O239">
        <v>1</v>
      </c>
      <c r="P239">
        <v>0</v>
      </c>
      <c r="Q239">
        <v>0</v>
      </c>
      <c r="R239">
        <v>0</v>
      </c>
      <c r="S239">
        <v>13</v>
      </c>
      <c r="T239">
        <v>13</v>
      </c>
      <c r="U239">
        <f>567+47.25</f>
        <v>614.25</v>
      </c>
      <c r="V239">
        <v>614</v>
      </c>
      <c r="W239">
        <v>0</v>
      </c>
    </row>
    <row r="240" spans="1:23" x14ac:dyDescent="0.25">
      <c r="A240" t="s">
        <v>34</v>
      </c>
      <c r="B240">
        <v>15</v>
      </c>
      <c r="C240" t="s">
        <v>35</v>
      </c>
      <c r="D240" t="s">
        <v>94</v>
      </c>
      <c r="E240" t="s">
        <v>112</v>
      </c>
      <c r="F240" t="s">
        <v>222</v>
      </c>
      <c r="G240" t="s">
        <v>145</v>
      </c>
      <c r="H240" t="str">
        <f t="shared" si="9"/>
        <v>Open.Highcomp</v>
      </c>
      <c r="I240" t="str">
        <f t="shared" si="10"/>
        <v>V.rosea.Highcomp</v>
      </c>
      <c r="J240" t="str">
        <f t="shared" si="11"/>
        <v>15L.V.rosea.Highcomp</v>
      </c>
      <c r="K240">
        <v>87</v>
      </c>
      <c r="L240">
        <f>3+2+4+3+4+3+2+4+2+3+4+3+3+4+3+4+3+4</f>
        <v>58</v>
      </c>
      <c r="M240">
        <v>18</v>
      </c>
      <c r="N240">
        <f>58/18</f>
        <v>3.2222222222222223</v>
      </c>
      <c r="O240">
        <v>28</v>
      </c>
      <c r="P240">
        <v>4</v>
      </c>
      <c r="Q240">
        <v>5</v>
      </c>
      <c r="R240">
        <v>0</v>
      </c>
      <c r="S240">
        <v>124</v>
      </c>
      <c r="T240">
        <f>55+28</f>
        <v>83</v>
      </c>
      <c r="U240">
        <f>58+(N240*65)</f>
        <v>267.44444444444446</v>
      </c>
      <c r="V240">
        <v>267</v>
      </c>
      <c r="W240">
        <v>0</v>
      </c>
    </row>
    <row r="241" spans="1:23" x14ac:dyDescent="0.25">
      <c r="A241" t="s">
        <v>34</v>
      </c>
      <c r="B241">
        <v>15</v>
      </c>
      <c r="C241" t="s">
        <v>35</v>
      </c>
      <c r="D241" t="s">
        <v>94</v>
      </c>
      <c r="E241" t="s">
        <v>112</v>
      </c>
      <c r="F241" t="s">
        <v>222</v>
      </c>
      <c r="G241" t="s">
        <v>120</v>
      </c>
      <c r="H241" t="str">
        <f t="shared" si="9"/>
        <v>Open.Solo</v>
      </c>
      <c r="I241" t="str">
        <f t="shared" si="10"/>
        <v>V.rosea.Solo</v>
      </c>
      <c r="J241" t="str">
        <f t="shared" si="11"/>
        <v>15L.V.rosea.Solo</v>
      </c>
      <c r="K241">
        <v>31</v>
      </c>
      <c r="L241">
        <f>36+3+4</f>
        <v>43</v>
      </c>
      <c r="M241">
        <v>12</v>
      </c>
      <c r="N241">
        <f>43/12</f>
        <v>3.5833333333333335</v>
      </c>
      <c r="O241">
        <v>0</v>
      </c>
      <c r="P241">
        <v>11</v>
      </c>
      <c r="Q241">
        <v>4</v>
      </c>
      <c r="R241">
        <v>0</v>
      </c>
      <c r="S241">
        <v>46</v>
      </c>
      <c r="T241">
        <v>31</v>
      </c>
      <c r="U241">
        <f>43+(19*N241)</f>
        <v>111.08333333333334</v>
      </c>
      <c r="V241">
        <v>111</v>
      </c>
      <c r="W241">
        <v>0</v>
      </c>
    </row>
    <row r="242" spans="1:23" x14ac:dyDescent="0.25">
      <c r="A242" t="s">
        <v>36</v>
      </c>
      <c r="B242">
        <v>15</v>
      </c>
      <c r="C242" t="s">
        <v>37</v>
      </c>
      <c r="D242" t="s">
        <v>95</v>
      </c>
      <c r="E242" t="s">
        <v>110</v>
      </c>
      <c r="F242" t="s">
        <v>221</v>
      </c>
      <c r="G242" t="s">
        <v>145</v>
      </c>
      <c r="H242" t="str">
        <f t="shared" si="9"/>
        <v>Shade.Highcomp</v>
      </c>
      <c r="I242" t="str">
        <f t="shared" si="10"/>
        <v>M.minima.Highcomp</v>
      </c>
      <c r="J242" t="str">
        <f t="shared" si="11"/>
        <v>15M.M.minima.Highcomp</v>
      </c>
      <c r="K242">
        <v>3</v>
      </c>
      <c r="L242">
        <v>3</v>
      </c>
      <c r="M242">
        <v>3</v>
      </c>
      <c r="N242">
        <v>1</v>
      </c>
      <c r="O242">
        <v>0</v>
      </c>
      <c r="P242">
        <v>0</v>
      </c>
      <c r="Q242">
        <v>0</v>
      </c>
      <c r="R242">
        <v>0</v>
      </c>
      <c r="S242">
        <v>3</v>
      </c>
      <c r="T242">
        <v>3</v>
      </c>
      <c r="U242">
        <v>3</v>
      </c>
      <c r="V242">
        <v>3</v>
      </c>
      <c r="W242">
        <v>0</v>
      </c>
    </row>
    <row r="243" spans="1:23" x14ac:dyDescent="0.25">
      <c r="A243" t="s">
        <v>36</v>
      </c>
      <c r="B243">
        <v>15</v>
      </c>
      <c r="C243" t="s">
        <v>37</v>
      </c>
      <c r="D243" t="s">
        <v>95</v>
      </c>
      <c r="E243" t="s">
        <v>110</v>
      </c>
      <c r="F243" t="s">
        <v>221</v>
      </c>
      <c r="G243" t="s">
        <v>120</v>
      </c>
      <c r="H243" t="str">
        <f t="shared" si="9"/>
        <v>Shade.Solo</v>
      </c>
      <c r="I243" t="str">
        <f t="shared" si="10"/>
        <v>M.minima.Solo</v>
      </c>
      <c r="J243" t="str">
        <f t="shared" si="11"/>
        <v>15M.M.minima.Solo</v>
      </c>
      <c r="K243">
        <v>2</v>
      </c>
      <c r="L243">
        <v>2</v>
      </c>
      <c r="M243">
        <v>2</v>
      </c>
      <c r="N243">
        <v>1</v>
      </c>
      <c r="O243">
        <v>0</v>
      </c>
      <c r="P243">
        <v>0</v>
      </c>
      <c r="Q243">
        <v>0</v>
      </c>
      <c r="R243">
        <v>0</v>
      </c>
      <c r="S243">
        <v>2</v>
      </c>
      <c r="T243">
        <v>2</v>
      </c>
      <c r="U243">
        <v>2</v>
      </c>
      <c r="V243">
        <v>2</v>
      </c>
      <c r="W243">
        <v>0</v>
      </c>
    </row>
    <row r="244" spans="1:23" x14ac:dyDescent="0.25">
      <c r="A244" t="s">
        <v>36</v>
      </c>
      <c r="B244">
        <v>15</v>
      </c>
      <c r="C244" t="s">
        <v>37</v>
      </c>
      <c r="D244" t="s">
        <v>95</v>
      </c>
      <c r="E244" t="s">
        <v>104</v>
      </c>
      <c r="F244" t="s">
        <v>222</v>
      </c>
      <c r="G244" t="s">
        <v>145</v>
      </c>
      <c r="H244" t="str">
        <f t="shared" si="9"/>
        <v>Shade.Highcomp</v>
      </c>
      <c r="I244" t="str">
        <f t="shared" si="10"/>
        <v>T.cyanopetala.Highcomp</v>
      </c>
      <c r="J244" t="str">
        <f t="shared" si="11"/>
        <v>15M.T.cyanopetala.Highcomp</v>
      </c>
      <c r="K244">
        <v>8</v>
      </c>
      <c r="L244">
        <f>18+20</f>
        <v>38</v>
      </c>
      <c r="M244">
        <v>8</v>
      </c>
      <c r="N244">
        <f>38/8</f>
        <v>4.75</v>
      </c>
      <c r="O244">
        <v>0</v>
      </c>
      <c r="P244">
        <v>2</v>
      </c>
      <c r="Q244">
        <v>0</v>
      </c>
      <c r="R244">
        <v>0</v>
      </c>
      <c r="S244">
        <v>10</v>
      </c>
      <c r="T244">
        <v>8</v>
      </c>
      <c r="U244">
        <v>38</v>
      </c>
      <c r="V244">
        <v>38</v>
      </c>
      <c r="W244">
        <v>0</v>
      </c>
    </row>
    <row r="245" spans="1:23" x14ac:dyDescent="0.25">
      <c r="A245" t="s">
        <v>36</v>
      </c>
      <c r="B245">
        <v>15</v>
      </c>
      <c r="C245" t="s">
        <v>37</v>
      </c>
      <c r="D245" t="s">
        <v>95</v>
      </c>
      <c r="E245" t="s">
        <v>104</v>
      </c>
      <c r="F245" t="s">
        <v>222</v>
      </c>
      <c r="G245" t="s">
        <v>120</v>
      </c>
      <c r="H245" t="str">
        <f t="shared" si="9"/>
        <v>Shade.Solo</v>
      </c>
      <c r="I245" t="str">
        <f t="shared" si="10"/>
        <v>T.cyanopetala.Solo</v>
      </c>
      <c r="J245" t="str">
        <f t="shared" si="11"/>
        <v>15M.T.cyanopetala.Solo</v>
      </c>
      <c r="K245">
        <v>32</v>
      </c>
      <c r="L245">
        <f>84+(48)+36+6</f>
        <v>174</v>
      </c>
      <c r="M245">
        <v>32</v>
      </c>
      <c r="N245">
        <f>174/32</f>
        <v>5.4375</v>
      </c>
      <c r="O245">
        <v>0</v>
      </c>
      <c r="P245">
        <v>0</v>
      </c>
      <c r="Q245">
        <v>0</v>
      </c>
      <c r="R245">
        <v>0</v>
      </c>
      <c r="S245">
        <v>32</v>
      </c>
      <c r="T245">
        <v>32</v>
      </c>
      <c r="U245">
        <v>174</v>
      </c>
      <c r="V245">
        <v>174</v>
      </c>
      <c r="W245">
        <v>0</v>
      </c>
    </row>
    <row r="246" spans="1:23" x14ac:dyDescent="0.25">
      <c r="A246" t="s">
        <v>38</v>
      </c>
      <c r="B246">
        <v>2</v>
      </c>
      <c r="C246" t="s">
        <v>11</v>
      </c>
      <c r="D246" t="s">
        <v>95</v>
      </c>
      <c r="E246" t="s">
        <v>113</v>
      </c>
      <c r="F246" t="s">
        <v>222</v>
      </c>
      <c r="G246" t="s">
        <v>145</v>
      </c>
      <c r="H246" t="str">
        <f t="shared" si="9"/>
        <v>Shade.Highcomp</v>
      </c>
      <c r="I246" t="str">
        <f t="shared" si="10"/>
        <v>H.glutinosum.Highcomp</v>
      </c>
      <c r="J246" t="str">
        <f t="shared" si="11"/>
        <v>2A.H.glutinosum.Highcomp</v>
      </c>
      <c r="K246">
        <v>0</v>
      </c>
      <c r="L246">
        <v>0</v>
      </c>
      <c r="M246">
        <v>0</v>
      </c>
      <c r="N246" t="s">
        <v>114</v>
      </c>
      <c r="O246">
        <v>1</v>
      </c>
      <c r="P246">
        <v>0</v>
      </c>
      <c r="Q246">
        <v>0</v>
      </c>
      <c r="R246">
        <v>0</v>
      </c>
      <c r="S246">
        <v>1</v>
      </c>
      <c r="T246">
        <v>1</v>
      </c>
      <c r="U246" t="s">
        <v>114</v>
      </c>
      <c r="V246" t="s">
        <v>114</v>
      </c>
      <c r="W246">
        <v>0</v>
      </c>
    </row>
    <row r="247" spans="1:23" x14ac:dyDescent="0.25">
      <c r="A247" t="s">
        <v>38</v>
      </c>
      <c r="B247">
        <v>2</v>
      </c>
      <c r="C247" t="s">
        <v>11</v>
      </c>
      <c r="D247" t="s">
        <v>95</v>
      </c>
      <c r="E247" t="s">
        <v>113</v>
      </c>
      <c r="F247" t="s">
        <v>222</v>
      </c>
      <c r="G247" t="s">
        <v>120</v>
      </c>
      <c r="H247" t="str">
        <f t="shared" si="9"/>
        <v>Shade.Solo</v>
      </c>
      <c r="I247" t="str">
        <f t="shared" si="10"/>
        <v>H.glutinosum.Solo</v>
      </c>
      <c r="J247" t="str">
        <f t="shared" si="11"/>
        <v>2A.H.glutinosum.Solo</v>
      </c>
      <c r="K247">
        <v>0</v>
      </c>
      <c r="L247">
        <v>0</v>
      </c>
      <c r="M247">
        <v>0</v>
      </c>
      <c r="N247" t="s">
        <v>114</v>
      </c>
      <c r="O247">
        <v>4</v>
      </c>
      <c r="P247">
        <v>0</v>
      </c>
      <c r="Q247">
        <v>0</v>
      </c>
      <c r="R247">
        <v>0</v>
      </c>
      <c r="S247">
        <v>4</v>
      </c>
      <c r="T247">
        <v>4</v>
      </c>
      <c r="U247" t="s">
        <v>114</v>
      </c>
      <c r="V247" t="s">
        <v>114</v>
      </c>
      <c r="W247">
        <v>0</v>
      </c>
    </row>
    <row r="248" spans="1:23" x14ac:dyDescent="0.25">
      <c r="A248" t="s">
        <v>38</v>
      </c>
      <c r="B248">
        <v>2</v>
      </c>
      <c r="C248" t="s">
        <v>11</v>
      </c>
      <c r="D248" t="s">
        <v>95</v>
      </c>
      <c r="E248" t="s">
        <v>103</v>
      </c>
      <c r="F248" t="s">
        <v>221</v>
      </c>
      <c r="G248" t="s">
        <v>145</v>
      </c>
      <c r="H248" t="str">
        <f t="shared" si="9"/>
        <v>Shade.Highcomp</v>
      </c>
      <c r="I248" t="str">
        <f t="shared" si="10"/>
        <v>P.airoides.Highcomp</v>
      </c>
      <c r="J248" t="str">
        <f t="shared" si="11"/>
        <v>2A.P.airoides.Highcomp</v>
      </c>
      <c r="K248">
        <v>5</v>
      </c>
      <c r="L248">
        <f>49+42+35+61+60</f>
        <v>247</v>
      </c>
      <c r="M248">
        <v>5</v>
      </c>
      <c r="N248">
        <f>247/5</f>
        <v>49.4</v>
      </c>
      <c r="O248">
        <v>0</v>
      </c>
      <c r="P248">
        <v>0</v>
      </c>
      <c r="Q248">
        <v>0</v>
      </c>
      <c r="R248">
        <v>0</v>
      </c>
      <c r="S248">
        <v>5</v>
      </c>
      <c r="T248">
        <v>5</v>
      </c>
      <c r="U248">
        <v>247</v>
      </c>
      <c r="V248">
        <v>247</v>
      </c>
      <c r="W248">
        <v>0</v>
      </c>
    </row>
    <row r="249" spans="1:23" x14ac:dyDescent="0.25">
      <c r="A249" t="s">
        <v>38</v>
      </c>
      <c r="B249">
        <v>2</v>
      </c>
      <c r="C249" t="s">
        <v>11</v>
      </c>
      <c r="D249" t="s">
        <v>95</v>
      </c>
      <c r="E249" t="s">
        <v>103</v>
      </c>
      <c r="F249" t="s">
        <v>221</v>
      </c>
      <c r="G249" t="s">
        <v>120</v>
      </c>
      <c r="H249" t="str">
        <f t="shared" si="9"/>
        <v>Shade.Solo</v>
      </c>
      <c r="I249" t="str">
        <f t="shared" si="10"/>
        <v>P.airoides.Solo</v>
      </c>
      <c r="J249" t="str">
        <f t="shared" si="11"/>
        <v>2A.P.airoides.Solo</v>
      </c>
      <c r="K249">
        <v>4</v>
      </c>
      <c r="L249">
        <f>26+44+53+52</f>
        <v>175</v>
      </c>
      <c r="M249">
        <v>4</v>
      </c>
      <c r="N249">
        <f>175/4</f>
        <v>43.75</v>
      </c>
      <c r="O249">
        <v>0</v>
      </c>
      <c r="P249">
        <v>0</v>
      </c>
      <c r="Q249">
        <v>0</v>
      </c>
      <c r="R249">
        <v>0</v>
      </c>
      <c r="S249">
        <v>4</v>
      </c>
      <c r="T249">
        <v>4</v>
      </c>
      <c r="U249">
        <v>175</v>
      </c>
      <c r="V249">
        <v>175</v>
      </c>
      <c r="W249">
        <v>0</v>
      </c>
    </row>
    <row r="250" spans="1:23" x14ac:dyDescent="0.25">
      <c r="A250" t="s">
        <v>38</v>
      </c>
      <c r="B250">
        <v>2</v>
      </c>
      <c r="C250" t="s">
        <v>11</v>
      </c>
      <c r="D250" t="s">
        <v>95</v>
      </c>
      <c r="E250" t="s">
        <v>111</v>
      </c>
      <c r="F250" t="s">
        <v>222</v>
      </c>
      <c r="G250" t="s">
        <v>145</v>
      </c>
      <c r="H250" t="str">
        <f t="shared" si="9"/>
        <v>Shade.Highcomp</v>
      </c>
      <c r="I250" t="str">
        <f t="shared" si="10"/>
        <v>P.canescens.Highcomp</v>
      </c>
      <c r="J250" t="str">
        <f t="shared" si="11"/>
        <v>2A.P.canescens.Highcomp</v>
      </c>
      <c r="K250">
        <v>15</v>
      </c>
      <c r="L250">
        <f>14+116+39+4+61+25+103+43+72</f>
        <v>477</v>
      </c>
      <c r="M250">
        <v>9</v>
      </c>
      <c r="N250">
        <f>477/9</f>
        <v>53</v>
      </c>
      <c r="O250">
        <v>0</v>
      </c>
      <c r="P250">
        <v>23</v>
      </c>
      <c r="Q250">
        <v>13</v>
      </c>
      <c r="R250">
        <v>1</v>
      </c>
      <c r="S250">
        <v>51</v>
      </c>
      <c r="T250">
        <v>38</v>
      </c>
      <c r="U250">
        <f>477+(33*N250)</f>
        <v>2226</v>
      </c>
      <c r="V250">
        <v>2226</v>
      </c>
      <c r="W250">
        <v>0</v>
      </c>
    </row>
    <row r="251" spans="1:23" x14ac:dyDescent="0.25">
      <c r="A251" t="s">
        <v>38</v>
      </c>
      <c r="B251">
        <v>2</v>
      </c>
      <c r="C251" t="s">
        <v>11</v>
      </c>
      <c r="D251" t="s">
        <v>95</v>
      </c>
      <c r="E251" t="s">
        <v>111</v>
      </c>
      <c r="F251" t="s">
        <v>222</v>
      </c>
      <c r="G251" t="s">
        <v>120</v>
      </c>
      <c r="H251" t="str">
        <f t="shared" si="9"/>
        <v>Shade.Solo</v>
      </c>
      <c r="I251" t="str">
        <f t="shared" si="10"/>
        <v>P.canescens.Solo</v>
      </c>
      <c r="J251" t="str">
        <f t="shared" si="11"/>
        <v>2A.P.canescens.Solo</v>
      </c>
      <c r="K251">
        <v>15</v>
      </c>
      <c r="L251">
        <f>74+0+37</f>
        <v>111</v>
      </c>
      <c r="M251">
        <v>5</v>
      </c>
      <c r="N251">
        <v>22.2</v>
      </c>
      <c r="O251">
        <v>1</v>
      </c>
      <c r="P251">
        <v>0</v>
      </c>
      <c r="Q251">
        <v>1</v>
      </c>
      <c r="R251">
        <v>1</v>
      </c>
      <c r="S251">
        <v>17</v>
      </c>
      <c r="T251">
        <v>16</v>
      </c>
      <c r="U251">
        <f>111+(11*22.2)</f>
        <v>355.2</v>
      </c>
      <c r="V251">
        <v>355</v>
      </c>
      <c r="W251">
        <v>0</v>
      </c>
    </row>
    <row r="252" spans="1:23" x14ac:dyDescent="0.25">
      <c r="A252" t="s">
        <v>39</v>
      </c>
      <c r="B252">
        <v>2</v>
      </c>
      <c r="C252" t="s">
        <v>15</v>
      </c>
      <c r="D252" t="s">
        <v>94</v>
      </c>
      <c r="E252" t="s">
        <v>102</v>
      </c>
      <c r="F252" t="s">
        <v>221</v>
      </c>
      <c r="G252" t="s">
        <v>145</v>
      </c>
      <c r="H252" t="str">
        <f t="shared" si="9"/>
        <v>Open.Highcomp</v>
      </c>
      <c r="I252" t="str">
        <f t="shared" si="10"/>
        <v>A.calendula.Highcomp</v>
      </c>
      <c r="J252" t="str">
        <f t="shared" si="11"/>
        <v>2B.A.calendula.Highcomp</v>
      </c>
      <c r="K252">
        <v>4</v>
      </c>
      <c r="L252">
        <f>21+25+20+17</f>
        <v>83</v>
      </c>
      <c r="M252">
        <v>4</v>
      </c>
      <c r="N252">
        <f>83/4</f>
        <v>20.75</v>
      </c>
      <c r="O252">
        <v>7</v>
      </c>
      <c r="P252">
        <v>1</v>
      </c>
      <c r="Q252">
        <v>0</v>
      </c>
      <c r="R252">
        <v>0</v>
      </c>
      <c r="S252">
        <v>12</v>
      </c>
      <c r="T252">
        <v>11</v>
      </c>
      <c r="U252">
        <f>83+(7*N252)</f>
        <v>228.25</v>
      </c>
      <c r="V252">
        <v>228</v>
      </c>
      <c r="W252">
        <v>0</v>
      </c>
    </row>
    <row r="253" spans="1:23" x14ac:dyDescent="0.25">
      <c r="A253" t="s">
        <v>39</v>
      </c>
      <c r="B253">
        <v>2</v>
      </c>
      <c r="C253" t="s">
        <v>15</v>
      </c>
      <c r="D253" t="s">
        <v>94</v>
      </c>
      <c r="E253" t="s">
        <v>102</v>
      </c>
      <c r="F253" t="s">
        <v>221</v>
      </c>
      <c r="G253" t="s">
        <v>120</v>
      </c>
      <c r="H253" t="str">
        <f t="shared" si="9"/>
        <v>Open.Solo</v>
      </c>
      <c r="I253" t="str">
        <f t="shared" si="10"/>
        <v>A.calendula.Solo</v>
      </c>
      <c r="J253" t="str">
        <f t="shared" si="11"/>
        <v>2B.A.calendula.Solo</v>
      </c>
      <c r="K253">
        <v>3</v>
      </c>
      <c r="L253">
        <f>26+9+43</f>
        <v>78</v>
      </c>
      <c r="M253">
        <v>3</v>
      </c>
      <c r="N253">
        <f>78/3</f>
        <v>26</v>
      </c>
      <c r="O253">
        <v>4</v>
      </c>
      <c r="P253">
        <v>0</v>
      </c>
      <c r="Q253">
        <v>0</v>
      </c>
      <c r="R253">
        <v>0</v>
      </c>
      <c r="S253">
        <v>7</v>
      </c>
      <c r="T253">
        <v>7</v>
      </c>
      <c r="U253">
        <f>78+(4*26)</f>
        <v>182</v>
      </c>
      <c r="V253">
        <v>182</v>
      </c>
      <c r="W253">
        <v>0</v>
      </c>
    </row>
    <row r="254" spans="1:23" x14ac:dyDescent="0.25">
      <c r="A254" t="s">
        <v>39</v>
      </c>
      <c r="B254">
        <v>2</v>
      </c>
      <c r="C254" t="s">
        <v>15</v>
      </c>
      <c r="D254" t="s">
        <v>94</v>
      </c>
      <c r="E254" t="s">
        <v>113</v>
      </c>
      <c r="F254" t="s">
        <v>222</v>
      </c>
      <c r="G254" t="s">
        <v>145</v>
      </c>
      <c r="H254" t="str">
        <f t="shared" si="9"/>
        <v>Open.Highcomp</v>
      </c>
      <c r="I254" t="str">
        <f t="shared" si="10"/>
        <v>H.glutinosum.Highcomp</v>
      </c>
      <c r="J254" t="str">
        <f t="shared" si="11"/>
        <v>2B.H.glutinosum.Highcomp</v>
      </c>
      <c r="K254">
        <v>1</v>
      </c>
      <c r="L254">
        <v>1</v>
      </c>
      <c r="M254">
        <v>1</v>
      </c>
      <c r="N254">
        <v>1</v>
      </c>
      <c r="O254">
        <v>0</v>
      </c>
      <c r="P254">
        <v>0</v>
      </c>
      <c r="Q254">
        <v>0</v>
      </c>
      <c r="R254">
        <v>0</v>
      </c>
      <c r="S254">
        <v>1</v>
      </c>
      <c r="T254">
        <v>1</v>
      </c>
      <c r="U254">
        <v>1</v>
      </c>
      <c r="V254">
        <v>1</v>
      </c>
      <c r="W254">
        <v>0</v>
      </c>
    </row>
    <row r="255" spans="1:23" x14ac:dyDescent="0.25">
      <c r="A255" t="s">
        <v>39</v>
      </c>
      <c r="B255">
        <v>2</v>
      </c>
      <c r="C255" t="s">
        <v>15</v>
      </c>
      <c r="D255" t="s">
        <v>94</v>
      </c>
      <c r="E255" t="s">
        <v>113</v>
      </c>
      <c r="F255" t="s">
        <v>222</v>
      </c>
      <c r="G255" t="s">
        <v>120</v>
      </c>
      <c r="H255" t="str">
        <f t="shared" si="9"/>
        <v>Open.Solo</v>
      </c>
      <c r="I255" t="str">
        <f t="shared" si="10"/>
        <v>H.glutinosum.Solo</v>
      </c>
      <c r="J255" t="str">
        <f t="shared" si="11"/>
        <v>2B.H.glutinosum.Solo</v>
      </c>
      <c r="K255">
        <v>0</v>
      </c>
      <c r="L255">
        <v>0</v>
      </c>
      <c r="M255">
        <v>0</v>
      </c>
      <c r="N255" t="s">
        <v>114</v>
      </c>
      <c r="O255">
        <v>3</v>
      </c>
      <c r="P255">
        <v>0</v>
      </c>
      <c r="Q255">
        <v>0</v>
      </c>
      <c r="R255">
        <v>0</v>
      </c>
      <c r="S255">
        <v>3</v>
      </c>
      <c r="T255">
        <v>3</v>
      </c>
      <c r="U255" t="s">
        <v>114</v>
      </c>
      <c r="V255" t="s">
        <v>114</v>
      </c>
      <c r="W255">
        <v>0</v>
      </c>
    </row>
    <row r="256" spans="1:23" x14ac:dyDescent="0.25">
      <c r="A256" t="s">
        <v>39</v>
      </c>
      <c r="B256">
        <v>2</v>
      </c>
      <c r="C256" t="s">
        <v>15</v>
      </c>
      <c r="D256" t="s">
        <v>94</v>
      </c>
      <c r="E256" t="s">
        <v>103</v>
      </c>
      <c r="F256" t="s">
        <v>221</v>
      </c>
      <c r="G256" t="s">
        <v>145</v>
      </c>
      <c r="H256" t="str">
        <f t="shared" si="9"/>
        <v>Open.Highcomp</v>
      </c>
      <c r="I256" t="str">
        <f t="shared" si="10"/>
        <v>P.airoides.Highcomp</v>
      </c>
      <c r="J256" t="str">
        <f t="shared" si="11"/>
        <v>2B.P.airoides.Highcomp</v>
      </c>
      <c r="K256">
        <v>2</v>
      </c>
      <c r="L256">
        <f>79+65</f>
        <v>144</v>
      </c>
      <c r="M256">
        <v>2</v>
      </c>
      <c r="N256">
        <f>144/2</f>
        <v>72</v>
      </c>
      <c r="O256">
        <v>0</v>
      </c>
      <c r="P256">
        <v>0</v>
      </c>
      <c r="Q256">
        <v>0</v>
      </c>
      <c r="R256">
        <v>0</v>
      </c>
      <c r="S256">
        <v>2</v>
      </c>
      <c r="T256">
        <v>2</v>
      </c>
      <c r="U256">
        <v>144</v>
      </c>
      <c r="V256">
        <v>144</v>
      </c>
      <c r="W256">
        <v>0</v>
      </c>
    </row>
    <row r="257" spans="1:23" x14ac:dyDescent="0.25">
      <c r="A257" t="s">
        <v>39</v>
      </c>
      <c r="B257">
        <v>2</v>
      </c>
      <c r="C257" t="s">
        <v>15</v>
      </c>
      <c r="D257" t="s">
        <v>94</v>
      </c>
      <c r="E257" t="s">
        <v>103</v>
      </c>
      <c r="F257" t="s">
        <v>221</v>
      </c>
      <c r="G257" t="s">
        <v>120</v>
      </c>
      <c r="H257" t="str">
        <f t="shared" si="9"/>
        <v>Open.Solo</v>
      </c>
      <c r="I257" t="str">
        <f t="shared" si="10"/>
        <v>P.airoides.Solo</v>
      </c>
      <c r="J257" t="str">
        <f t="shared" si="11"/>
        <v>2B.P.airoides.Solo</v>
      </c>
      <c r="K257">
        <v>4</v>
      </c>
      <c r="L257">
        <f>6+40+85+109</f>
        <v>240</v>
      </c>
      <c r="M257">
        <v>4</v>
      </c>
      <c r="N257">
        <v>60</v>
      </c>
      <c r="O257">
        <v>0</v>
      </c>
      <c r="P257">
        <v>0</v>
      </c>
      <c r="Q257">
        <v>0</v>
      </c>
      <c r="R257">
        <v>0</v>
      </c>
      <c r="S257">
        <v>4</v>
      </c>
      <c r="T257">
        <v>4</v>
      </c>
      <c r="U257">
        <v>240</v>
      </c>
      <c r="V257">
        <v>240</v>
      </c>
      <c r="W257">
        <v>0</v>
      </c>
    </row>
    <row r="258" spans="1:23" x14ac:dyDescent="0.25">
      <c r="A258" t="s">
        <v>39</v>
      </c>
      <c r="B258">
        <v>2</v>
      </c>
      <c r="C258" t="s">
        <v>15</v>
      </c>
      <c r="D258" t="s">
        <v>94</v>
      </c>
      <c r="E258" t="s">
        <v>111</v>
      </c>
      <c r="F258" t="s">
        <v>222</v>
      </c>
      <c r="G258" t="s">
        <v>145</v>
      </c>
      <c r="H258" t="str">
        <f t="shared" ref="H258:H321" si="12">D258&amp;"."&amp;G258</f>
        <v>Open.Highcomp</v>
      </c>
      <c r="I258" t="str">
        <f t="shared" ref="I258:I321" si="13">E258&amp;"."&amp;G258</f>
        <v>P.canescens.Highcomp</v>
      </c>
      <c r="J258" t="str">
        <f t="shared" si="11"/>
        <v>2B.P.canescens.Highcomp</v>
      </c>
      <c r="K258">
        <v>27</v>
      </c>
      <c r="L258">
        <f>104+34+135+100+93+105+107+99</f>
        <v>777</v>
      </c>
      <c r="M258">
        <v>8</v>
      </c>
      <c r="N258">
        <f>777/8</f>
        <v>97.125</v>
      </c>
      <c r="O258">
        <v>0</v>
      </c>
      <c r="P258">
        <v>13</v>
      </c>
      <c r="Q258">
        <v>67</v>
      </c>
      <c r="R258">
        <v>0</v>
      </c>
      <c r="S258">
        <v>107</v>
      </c>
      <c r="T258">
        <v>40</v>
      </c>
      <c r="U258">
        <f>777+(32*N258)</f>
        <v>3885</v>
      </c>
      <c r="V258">
        <v>3885</v>
      </c>
      <c r="W258">
        <v>0</v>
      </c>
    </row>
    <row r="259" spans="1:23" x14ac:dyDescent="0.25">
      <c r="A259" t="s">
        <v>39</v>
      </c>
      <c r="B259">
        <v>2</v>
      </c>
      <c r="C259" t="s">
        <v>15</v>
      </c>
      <c r="D259" t="s">
        <v>94</v>
      </c>
      <c r="E259" t="s">
        <v>111</v>
      </c>
      <c r="F259" t="s">
        <v>222</v>
      </c>
      <c r="G259" t="s">
        <v>120</v>
      </c>
      <c r="H259" t="str">
        <f t="shared" si="12"/>
        <v>Open.Solo</v>
      </c>
      <c r="I259" t="str">
        <f t="shared" si="13"/>
        <v>P.canescens.Solo</v>
      </c>
      <c r="J259" t="str">
        <f t="shared" ref="J259:J322" si="14">A259&amp;"."&amp;E259&amp;"."&amp;G259</f>
        <v>2B.P.canescens.Solo</v>
      </c>
      <c r="K259">
        <v>10</v>
      </c>
      <c r="L259">
        <f>15+62+69+60</f>
        <v>206</v>
      </c>
      <c r="M259">
        <v>6</v>
      </c>
      <c r="N259">
        <f>206/6</f>
        <v>34.333333333333336</v>
      </c>
      <c r="O259">
        <v>0</v>
      </c>
      <c r="P259">
        <v>4</v>
      </c>
      <c r="Q259">
        <v>35</v>
      </c>
      <c r="R259">
        <v>1</v>
      </c>
      <c r="S259">
        <v>49</v>
      </c>
      <c r="T259">
        <v>14</v>
      </c>
      <c r="U259">
        <f>206+(8*N259)</f>
        <v>480.66666666666669</v>
      </c>
      <c r="V259">
        <v>481</v>
      </c>
      <c r="W259">
        <v>0</v>
      </c>
    </row>
    <row r="260" spans="1:23" x14ac:dyDescent="0.25">
      <c r="A260" t="s">
        <v>39</v>
      </c>
      <c r="B260">
        <v>2</v>
      </c>
      <c r="C260" t="s">
        <v>15</v>
      </c>
      <c r="D260" t="s">
        <v>94</v>
      </c>
      <c r="E260" t="s">
        <v>104</v>
      </c>
      <c r="F260" t="s">
        <v>222</v>
      </c>
      <c r="G260" t="s">
        <v>145</v>
      </c>
      <c r="H260" t="str">
        <f t="shared" si="12"/>
        <v>Open.Highcomp</v>
      </c>
      <c r="I260" t="str">
        <f t="shared" si="13"/>
        <v>T.cyanopetala.Highcomp</v>
      </c>
      <c r="J260" t="str">
        <f t="shared" si="14"/>
        <v>2B.T.cyanopetala.Highcomp</v>
      </c>
      <c r="K260">
        <v>2</v>
      </c>
      <c r="L260">
        <v>14</v>
      </c>
      <c r="M260">
        <v>2</v>
      </c>
      <c r="N260">
        <v>7</v>
      </c>
      <c r="O260">
        <v>0</v>
      </c>
      <c r="P260">
        <v>0</v>
      </c>
      <c r="Q260">
        <v>0</v>
      </c>
      <c r="R260">
        <v>0</v>
      </c>
      <c r="S260">
        <v>2</v>
      </c>
      <c r="T260">
        <v>2</v>
      </c>
      <c r="U260">
        <v>14</v>
      </c>
      <c r="V260">
        <v>14</v>
      </c>
      <c r="W260">
        <v>0</v>
      </c>
    </row>
    <row r="261" spans="1:23" x14ac:dyDescent="0.25">
      <c r="A261" t="s">
        <v>39</v>
      </c>
      <c r="B261">
        <v>2</v>
      </c>
      <c r="C261" t="s">
        <v>15</v>
      </c>
      <c r="D261" t="s">
        <v>94</v>
      </c>
      <c r="E261" t="s">
        <v>104</v>
      </c>
      <c r="F261" t="s">
        <v>222</v>
      </c>
      <c r="G261" t="s">
        <v>120</v>
      </c>
      <c r="H261" t="str">
        <f t="shared" si="12"/>
        <v>Open.Solo</v>
      </c>
      <c r="I261" t="str">
        <f t="shared" si="13"/>
        <v>T.cyanopetala.Solo</v>
      </c>
      <c r="J261" t="str">
        <f t="shared" si="14"/>
        <v>2B.T.cyanopetala.Solo</v>
      </c>
      <c r="K261">
        <v>9</v>
      </c>
      <c r="L261">
        <f>6+10+2+8+6+6+6+4+8</f>
        <v>56</v>
      </c>
      <c r="M261">
        <v>9</v>
      </c>
      <c r="N261">
        <f>56/9</f>
        <v>6.2222222222222223</v>
      </c>
      <c r="O261">
        <v>0</v>
      </c>
      <c r="P261">
        <v>0</v>
      </c>
      <c r="Q261">
        <v>0</v>
      </c>
      <c r="R261">
        <v>0</v>
      </c>
      <c r="S261">
        <v>9</v>
      </c>
      <c r="T261">
        <v>9</v>
      </c>
      <c r="U261">
        <v>56</v>
      </c>
      <c r="V261">
        <v>56</v>
      </c>
      <c r="W261">
        <v>0</v>
      </c>
    </row>
    <row r="262" spans="1:23" x14ac:dyDescent="0.25">
      <c r="A262" t="s">
        <v>40</v>
      </c>
      <c r="B262">
        <v>2</v>
      </c>
      <c r="C262" t="s">
        <v>17</v>
      </c>
      <c r="D262" t="s">
        <v>95</v>
      </c>
      <c r="E262" t="s">
        <v>113</v>
      </c>
      <c r="F262" t="s">
        <v>222</v>
      </c>
      <c r="G262" t="s">
        <v>145</v>
      </c>
      <c r="H262" t="str">
        <f t="shared" si="12"/>
        <v>Shade.Highcomp</v>
      </c>
      <c r="I262" t="str">
        <f t="shared" si="13"/>
        <v>H.glutinosum.Highcomp</v>
      </c>
      <c r="J262" t="str">
        <f t="shared" si="14"/>
        <v>2C.H.glutinosum.Highcomp</v>
      </c>
      <c r="K262">
        <v>1</v>
      </c>
      <c r="L262">
        <v>2</v>
      </c>
      <c r="M262">
        <v>1</v>
      </c>
      <c r="N262">
        <v>2</v>
      </c>
      <c r="O262">
        <v>1</v>
      </c>
      <c r="P262">
        <v>0</v>
      </c>
      <c r="Q262">
        <v>0</v>
      </c>
      <c r="R262">
        <v>0</v>
      </c>
      <c r="S262">
        <v>2</v>
      </c>
      <c r="T262">
        <v>2</v>
      </c>
      <c r="U262">
        <v>4</v>
      </c>
      <c r="V262">
        <v>4</v>
      </c>
      <c r="W262">
        <v>0</v>
      </c>
    </row>
    <row r="263" spans="1:23" x14ac:dyDescent="0.25">
      <c r="A263" t="s">
        <v>40</v>
      </c>
      <c r="B263">
        <v>2</v>
      </c>
      <c r="C263" t="s">
        <v>17</v>
      </c>
      <c r="D263" t="s">
        <v>95</v>
      </c>
      <c r="E263" t="s">
        <v>113</v>
      </c>
      <c r="F263" t="s">
        <v>222</v>
      </c>
      <c r="G263" t="s">
        <v>120</v>
      </c>
      <c r="H263" t="str">
        <f t="shared" si="12"/>
        <v>Shade.Solo</v>
      </c>
      <c r="I263" t="str">
        <f t="shared" si="13"/>
        <v>H.glutinosum.Solo</v>
      </c>
      <c r="J263" t="str">
        <f t="shared" si="14"/>
        <v>2C.H.glutinosum.Solo</v>
      </c>
      <c r="K263">
        <v>4</v>
      </c>
      <c r="L263">
        <v>0</v>
      </c>
      <c r="M263">
        <v>4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4</v>
      </c>
      <c r="T263">
        <v>4</v>
      </c>
      <c r="U263">
        <v>0</v>
      </c>
      <c r="V263">
        <v>0</v>
      </c>
      <c r="W263">
        <v>0</v>
      </c>
    </row>
    <row r="264" spans="1:23" x14ac:dyDescent="0.25">
      <c r="A264" t="s">
        <v>40</v>
      </c>
      <c r="B264">
        <v>2</v>
      </c>
      <c r="C264" t="s">
        <v>17</v>
      </c>
      <c r="D264" t="s">
        <v>95</v>
      </c>
      <c r="E264" t="s">
        <v>103</v>
      </c>
      <c r="F264" t="s">
        <v>221</v>
      </c>
      <c r="G264" t="s">
        <v>145</v>
      </c>
      <c r="H264" t="str">
        <f t="shared" si="12"/>
        <v>Shade.Highcomp</v>
      </c>
      <c r="I264" t="str">
        <f t="shared" si="13"/>
        <v>P.airoides.Highcomp</v>
      </c>
      <c r="J264" t="str">
        <f t="shared" si="14"/>
        <v>2C.P.airoides.Highcomp</v>
      </c>
      <c r="K264">
        <v>1</v>
      </c>
      <c r="L264">
        <v>46</v>
      </c>
      <c r="M264">
        <v>1</v>
      </c>
      <c r="N264">
        <v>46</v>
      </c>
      <c r="O264">
        <v>0</v>
      </c>
      <c r="P264">
        <v>0</v>
      </c>
      <c r="Q264">
        <v>0</v>
      </c>
      <c r="R264">
        <v>0</v>
      </c>
      <c r="S264">
        <v>1</v>
      </c>
      <c r="T264">
        <v>1</v>
      </c>
      <c r="U264">
        <v>46</v>
      </c>
      <c r="V264">
        <v>46</v>
      </c>
      <c r="W264">
        <v>0</v>
      </c>
    </row>
    <row r="265" spans="1:23" x14ac:dyDescent="0.25">
      <c r="A265" t="s">
        <v>40</v>
      </c>
      <c r="B265">
        <v>2</v>
      </c>
      <c r="C265" t="s">
        <v>17</v>
      </c>
      <c r="D265" t="s">
        <v>95</v>
      </c>
      <c r="E265" t="s">
        <v>103</v>
      </c>
      <c r="F265" t="s">
        <v>221</v>
      </c>
      <c r="G265" t="s">
        <v>120</v>
      </c>
      <c r="H265" t="str">
        <f t="shared" si="12"/>
        <v>Shade.Solo</v>
      </c>
      <c r="I265" t="str">
        <f t="shared" si="13"/>
        <v>P.airoides.Solo</v>
      </c>
      <c r="J265" t="str">
        <f t="shared" si="14"/>
        <v>2C.P.airoides.Solo</v>
      </c>
      <c r="K265">
        <v>4</v>
      </c>
      <c r="L265">
        <f>61+67+40+50</f>
        <v>218</v>
      </c>
      <c r="M265">
        <v>4</v>
      </c>
      <c r="N265">
        <f>218/4</f>
        <v>54.5</v>
      </c>
      <c r="O265">
        <v>0</v>
      </c>
      <c r="P265">
        <v>0</v>
      </c>
      <c r="Q265">
        <v>1</v>
      </c>
      <c r="R265">
        <v>0</v>
      </c>
      <c r="S265">
        <v>5</v>
      </c>
      <c r="T265">
        <v>4</v>
      </c>
      <c r="U265">
        <v>218</v>
      </c>
      <c r="V265">
        <v>218</v>
      </c>
      <c r="W265">
        <v>0</v>
      </c>
    </row>
    <row r="266" spans="1:23" x14ac:dyDescent="0.25">
      <c r="A266" t="s">
        <v>40</v>
      </c>
      <c r="B266">
        <v>2</v>
      </c>
      <c r="C266" t="s">
        <v>17</v>
      </c>
      <c r="D266" t="s">
        <v>95</v>
      </c>
      <c r="E266" t="s">
        <v>112</v>
      </c>
      <c r="F266" t="s">
        <v>222</v>
      </c>
      <c r="G266" t="s">
        <v>145</v>
      </c>
      <c r="H266" t="str">
        <f t="shared" si="12"/>
        <v>Shade.Highcomp</v>
      </c>
      <c r="I266" t="str">
        <f t="shared" si="13"/>
        <v>V.rosea.Highcomp</v>
      </c>
      <c r="J266" t="str">
        <f t="shared" si="14"/>
        <v>2C.V.rosea.Highcomp</v>
      </c>
      <c r="K266">
        <v>42</v>
      </c>
      <c r="L266">
        <f>6+13+12+7+14+17+9</f>
        <v>78</v>
      </c>
      <c r="M266">
        <v>20</v>
      </c>
      <c r="N266">
        <f>78/20</f>
        <v>3.9</v>
      </c>
      <c r="O266">
        <v>0</v>
      </c>
      <c r="P266">
        <v>0</v>
      </c>
      <c r="Q266">
        <v>4</v>
      </c>
      <c r="R266">
        <v>1</v>
      </c>
      <c r="S266">
        <v>46</v>
      </c>
      <c r="T266">
        <v>42</v>
      </c>
      <c r="U266">
        <f>78+(22*3.9)</f>
        <v>163.80000000000001</v>
      </c>
      <c r="V266">
        <v>164</v>
      </c>
      <c r="W266">
        <v>0</v>
      </c>
    </row>
    <row r="267" spans="1:23" x14ac:dyDescent="0.25">
      <c r="A267" t="s">
        <v>40</v>
      </c>
      <c r="B267">
        <v>2</v>
      </c>
      <c r="C267" t="s">
        <v>17</v>
      </c>
      <c r="D267" t="s">
        <v>95</v>
      </c>
      <c r="E267" t="s">
        <v>112</v>
      </c>
      <c r="F267" t="s">
        <v>222</v>
      </c>
      <c r="G267" t="s">
        <v>120</v>
      </c>
      <c r="H267" t="str">
        <f t="shared" si="12"/>
        <v>Shade.Solo</v>
      </c>
      <c r="I267" t="str">
        <f t="shared" si="13"/>
        <v>V.rosea.Solo</v>
      </c>
      <c r="J267" t="str">
        <f t="shared" si="14"/>
        <v>2C.V.rosea.Solo</v>
      </c>
      <c r="K267">
        <v>14</v>
      </c>
      <c r="L267">
        <f>18+15+16+8</f>
        <v>57</v>
      </c>
      <c r="M267">
        <v>14</v>
      </c>
      <c r="N267">
        <f>57/14</f>
        <v>4.0714285714285712</v>
      </c>
      <c r="O267">
        <v>0</v>
      </c>
      <c r="P267">
        <v>1</v>
      </c>
      <c r="Q267">
        <v>0</v>
      </c>
      <c r="R267">
        <v>0</v>
      </c>
      <c r="S267">
        <v>15</v>
      </c>
      <c r="T267">
        <v>14</v>
      </c>
      <c r="U267">
        <v>57</v>
      </c>
      <c r="V267">
        <v>57</v>
      </c>
      <c r="W267">
        <v>0</v>
      </c>
    </row>
    <row r="268" spans="1:23" x14ac:dyDescent="0.25">
      <c r="A268" t="s">
        <v>41</v>
      </c>
      <c r="B268">
        <v>2</v>
      </c>
      <c r="C268" t="s">
        <v>19</v>
      </c>
      <c r="D268" t="s">
        <v>94</v>
      </c>
      <c r="E268" t="s">
        <v>105</v>
      </c>
      <c r="F268" t="s">
        <v>221</v>
      </c>
      <c r="G268" t="s">
        <v>145</v>
      </c>
      <c r="H268" t="str">
        <f t="shared" si="12"/>
        <v>Open.Highcomp</v>
      </c>
      <c r="I268" t="str">
        <f t="shared" si="13"/>
        <v>H.glabra.Highcomp</v>
      </c>
      <c r="J268" t="str">
        <f t="shared" si="14"/>
        <v>2D.H.glabra.Highcomp</v>
      </c>
      <c r="K268">
        <v>4</v>
      </c>
      <c r="L268">
        <f>43+12+37+21</f>
        <v>113</v>
      </c>
      <c r="M268">
        <v>4</v>
      </c>
      <c r="N268">
        <f>113/4</f>
        <v>28.25</v>
      </c>
      <c r="O268">
        <v>0</v>
      </c>
      <c r="P268">
        <v>0</v>
      </c>
      <c r="Q268">
        <v>0</v>
      </c>
      <c r="R268">
        <v>0</v>
      </c>
      <c r="S268">
        <v>4</v>
      </c>
      <c r="T268">
        <v>4</v>
      </c>
      <c r="U268">
        <v>113</v>
      </c>
      <c r="V268">
        <v>113</v>
      </c>
      <c r="W268">
        <v>0</v>
      </c>
    </row>
    <row r="269" spans="1:23" x14ac:dyDescent="0.25">
      <c r="A269" t="s">
        <v>41</v>
      </c>
      <c r="B269">
        <v>2</v>
      </c>
      <c r="C269" t="s">
        <v>19</v>
      </c>
      <c r="D269" t="s">
        <v>94</v>
      </c>
      <c r="E269" t="s">
        <v>105</v>
      </c>
      <c r="F269" t="s">
        <v>221</v>
      </c>
      <c r="G269" t="s">
        <v>120</v>
      </c>
      <c r="H269" t="str">
        <f t="shared" si="12"/>
        <v>Open.Solo</v>
      </c>
      <c r="I269" t="str">
        <f t="shared" si="13"/>
        <v>H.glabra.Solo</v>
      </c>
      <c r="J269" t="str">
        <f t="shared" si="14"/>
        <v>2D.H.glabra.Solo</v>
      </c>
      <c r="K269">
        <v>5</v>
      </c>
      <c r="L269">
        <f>15+41+43+41+27</f>
        <v>167</v>
      </c>
      <c r="M269">
        <v>5</v>
      </c>
      <c r="N269">
        <f>167/5</f>
        <v>33.4</v>
      </c>
      <c r="O269">
        <v>3</v>
      </c>
      <c r="P269">
        <v>0</v>
      </c>
      <c r="Q269">
        <v>0</v>
      </c>
      <c r="R269">
        <v>0</v>
      </c>
      <c r="S269">
        <v>8</v>
      </c>
      <c r="T269">
        <v>8</v>
      </c>
      <c r="U269">
        <f>167+(3*N269)</f>
        <v>267.2</v>
      </c>
      <c r="V269">
        <v>267</v>
      </c>
      <c r="W269">
        <v>0</v>
      </c>
    </row>
    <row r="270" spans="1:23" x14ac:dyDescent="0.25">
      <c r="A270" t="s">
        <v>41</v>
      </c>
      <c r="B270">
        <v>2</v>
      </c>
      <c r="C270" t="s">
        <v>19</v>
      </c>
      <c r="D270" t="s">
        <v>94</v>
      </c>
      <c r="E270" t="s">
        <v>113</v>
      </c>
      <c r="F270" t="s">
        <v>222</v>
      </c>
      <c r="G270" t="s">
        <v>145</v>
      </c>
      <c r="H270" t="str">
        <f t="shared" si="12"/>
        <v>Open.Highcomp</v>
      </c>
      <c r="I270" t="str">
        <f t="shared" si="13"/>
        <v>H.glutinosum.Highcomp</v>
      </c>
      <c r="J270" t="str">
        <f t="shared" si="14"/>
        <v>2D.H.glutinosum.Highcomp</v>
      </c>
      <c r="K270">
        <v>1</v>
      </c>
      <c r="L270">
        <v>7</v>
      </c>
      <c r="M270">
        <v>1</v>
      </c>
      <c r="N270">
        <v>7</v>
      </c>
      <c r="O270">
        <v>0</v>
      </c>
      <c r="P270">
        <v>0</v>
      </c>
      <c r="Q270">
        <v>0</v>
      </c>
      <c r="R270">
        <v>0</v>
      </c>
      <c r="S270">
        <v>1</v>
      </c>
      <c r="T270">
        <v>1</v>
      </c>
      <c r="U270">
        <v>7</v>
      </c>
      <c r="V270">
        <v>7</v>
      </c>
      <c r="W270">
        <v>0</v>
      </c>
    </row>
    <row r="271" spans="1:23" x14ac:dyDescent="0.25">
      <c r="A271" t="s">
        <v>41</v>
      </c>
      <c r="B271">
        <v>2</v>
      </c>
      <c r="C271" t="s">
        <v>19</v>
      </c>
      <c r="D271" t="s">
        <v>94</v>
      </c>
      <c r="E271" t="s">
        <v>113</v>
      </c>
      <c r="F271" t="s">
        <v>222</v>
      </c>
      <c r="G271" t="s">
        <v>120</v>
      </c>
      <c r="H271" t="str">
        <f t="shared" si="12"/>
        <v>Open.Solo</v>
      </c>
      <c r="I271" t="str">
        <f t="shared" si="13"/>
        <v>H.glutinosum.Solo</v>
      </c>
      <c r="J271" t="str">
        <f t="shared" si="14"/>
        <v>2D.H.glutinosum.Solo</v>
      </c>
      <c r="K271">
        <v>1</v>
      </c>
      <c r="L271">
        <v>2</v>
      </c>
      <c r="M271">
        <v>1</v>
      </c>
      <c r="N271">
        <v>2</v>
      </c>
      <c r="O271">
        <v>0</v>
      </c>
      <c r="P271">
        <v>0</v>
      </c>
      <c r="Q271">
        <v>0</v>
      </c>
      <c r="R271">
        <v>0</v>
      </c>
      <c r="S271">
        <v>1</v>
      </c>
      <c r="T271">
        <v>1</v>
      </c>
      <c r="U271">
        <v>2</v>
      </c>
      <c r="V271">
        <v>2</v>
      </c>
      <c r="W271">
        <v>0</v>
      </c>
    </row>
    <row r="272" spans="1:23" x14ac:dyDescent="0.25">
      <c r="A272" t="s">
        <v>41</v>
      </c>
      <c r="B272">
        <v>2</v>
      </c>
      <c r="C272" t="s">
        <v>19</v>
      </c>
      <c r="D272" t="s">
        <v>94</v>
      </c>
      <c r="E272" t="s">
        <v>103</v>
      </c>
      <c r="F272" t="s">
        <v>221</v>
      </c>
      <c r="G272" t="s">
        <v>145</v>
      </c>
      <c r="H272" t="str">
        <f t="shared" si="12"/>
        <v>Open.Highcomp</v>
      </c>
      <c r="I272" t="str">
        <f t="shared" si="13"/>
        <v>P.airoides.Highcomp</v>
      </c>
      <c r="J272" t="str">
        <f t="shared" si="14"/>
        <v>2D.P.airoides.Highcomp</v>
      </c>
      <c r="K272">
        <v>3</v>
      </c>
      <c r="L272">
        <f>56+41+6</f>
        <v>103</v>
      </c>
      <c r="M272">
        <v>3</v>
      </c>
      <c r="N272">
        <f>103/3</f>
        <v>34.333333333333336</v>
      </c>
      <c r="O272">
        <v>0</v>
      </c>
      <c r="P272">
        <v>0</v>
      </c>
      <c r="Q272">
        <v>1</v>
      </c>
      <c r="R272">
        <v>0</v>
      </c>
      <c r="S272">
        <v>4</v>
      </c>
      <c r="T272">
        <v>3</v>
      </c>
      <c r="U272">
        <v>103</v>
      </c>
      <c r="V272">
        <v>103</v>
      </c>
      <c r="W272">
        <v>0</v>
      </c>
    </row>
    <row r="273" spans="1:24" x14ac:dyDescent="0.25">
      <c r="A273" t="s">
        <v>41</v>
      </c>
      <c r="B273">
        <v>2</v>
      </c>
      <c r="C273" t="s">
        <v>19</v>
      </c>
      <c r="D273" t="s">
        <v>94</v>
      </c>
      <c r="E273" t="s">
        <v>103</v>
      </c>
      <c r="F273" t="s">
        <v>221</v>
      </c>
      <c r="G273" t="s">
        <v>120</v>
      </c>
      <c r="H273" t="str">
        <f t="shared" si="12"/>
        <v>Open.Solo</v>
      </c>
      <c r="I273" t="str">
        <f t="shared" si="13"/>
        <v>P.airoides.Solo</v>
      </c>
      <c r="J273" t="str">
        <f t="shared" si="14"/>
        <v>2D.P.airoides.Solo</v>
      </c>
      <c r="K273">
        <v>8</v>
      </c>
      <c r="L273">
        <f>50+35+49+9+54+78+98+53</f>
        <v>426</v>
      </c>
      <c r="M273">
        <v>8</v>
      </c>
      <c r="N273">
        <f>426/8</f>
        <v>53.25</v>
      </c>
      <c r="O273">
        <v>0</v>
      </c>
      <c r="P273">
        <v>0</v>
      </c>
      <c r="Q273">
        <v>0</v>
      </c>
      <c r="R273">
        <v>0</v>
      </c>
      <c r="S273">
        <v>8</v>
      </c>
      <c r="T273">
        <v>8</v>
      </c>
      <c r="U273">
        <v>426</v>
      </c>
      <c r="V273">
        <v>426</v>
      </c>
      <c r="W273">
        <v>0</v>
      </c>
    </row>
    <row r="274" spans="1:24" x14ac:dyDescent="0.25">
      <c r="A274" t="s">
        <v>42</v>
      </c>
      <c r="B274">
        <v>2</v>
      </c>
      <c r="C274" t="s">
        <v>21</v>
      </c>
      <c r="D274" t="s">
        <v>94</v>
      </c>
      <c r="E274" t="s">
        <v>105</v>
      </c>
      <c r="F274" t="s">
        <v>221</v>
      </c>
      <c r="G274" t="s">
        <v>145</v>
      </c>
      <c r="H274" t="str">
        <f t="shared" si="12"/>
        <v>Open.Highcomp</v>
      </c>
      <c r="I274" t="str">
        <f t="shared" si="13"/>
        <v>H.glabra.Highcomp</v>
      </c>
      <c r="J274" t="str">
        <f t="shared" si="14"/>
        <v>2E.H.glabra.Highcomp</v>
      </c>
      <c r="K274">
        <v>4</v>
      </c>
      <c r="L274">
        <f>64+28+39+74</f>
        <v>205</v>
      </c>
      <c r="M274">
        <v>4</v>
      </c>
      <c r="N274">
        <f>205/4</f>
        <v>51.25</v>
      </c>
      <c r="O274">
        <v>2</v>
      </c>
      <c r="P274">
        <v>0</v>
      </c>
      <c r="Q274">
        <v>0</v>
      </c>
      <c r="R274">
        <v>0</v>
      </c>
      <c r="S274">
        <v>6</v>
      </c>
      <c r="T274">
        <v>6</v>
      </c>
      <c r="U274">
        <f>205+(2*N274)</f>
        <v>307.5</v>
      </c>
      <c r="V274">
        <v>308</v>
      </c>
      <c r="W274">
        <v>0</v>
      </c>
    </row>
    <row r="275" spans="1:24" x14ac:dyDescent="0.25">
      <c r="A275" t="s">
        <v>42</v>
      </c>
      <c r="B275">
        <v>2</v>
      </c>
      <c r="C275" t="s">
        <v>21</v>
      </c>
      <c r="D275" t="s">
        <v>94</v>
      </c>
      <c r="E275" t="s">
        <v>105</v>
      </c>
      <c r="F275" t="s">
        <v>221</v>
      </c>
      <c r="G275" t="s">
        <v>120</v>
      </c>
      <c r="H275" t="str">
        <f t="shared" si="12"/>
        <v>Open.Solo</v>
      </c>
      <c r="I275" t="str">
        <f t="shared" si="13"/>
        <v>H.glabra.Solo</v>
      </c>
      <c r="J275" t="str">
        <f t="shared" si="14"/>
        <v>2E.H.glabra.Solo</v>
      </c>
      <c r="K275">
        <v>3</v>
      </c>
      <c r="L275">
        <f>47+62+34</f>
        <v>143</v>
      </c>
      <c r="M275">
        <v>3</v>
      </c>
      <c r="N275">
        <f>143/3</f>
        <v>47.666666666666664</v>
      </c>
      <c r="O275">
        <v>2</v>
      </c>
      <c r="P275">
        <v>0</v>
      </c>
      <c r="Q275">
        <v>0</v>
      </c>
      <c r="R275">
        <v>0</v>
      </c>
      <c r="S275">
        <v>5</v>
      </c>
      <c r="T275">
        <v>5</v>
      </c>
      <c r="U275">
        <f>143+(2*N275)</f>
        <v>238.33333333333331</v>
      </c>
      <c r="V275">
        <v>238</v>
      </c>
      <c r="W275">
        <v>0</v>
      </c>
    </row>
    <row r="276" spans="1:24" x14ac:dyDescent="0.25">
      <c r="A276" t="s">
        <v>42</v>
      </c>
      <c r="B276">
        <v>2</v>
      </c>
      <c r="C276" t="s">
        <v>21</v>
      </c>
      <c r="D276" t="s">
        <v>94</v>
      </c>
      <c r="E276" t="s">
        <v>110</v>
      </c>
      <c r="F276" t="s">
        <v>221</v>
      </c>
      <c r="G276" t="s">
        <v>145</v>
      </c>
      <c r="H276" t="str">
        <f t="shared" si="12"/>
        <v>Open.Highcomp</v>
      </c>
      <c r="I276" t="str">
        <f t="shared" si="13"/>
        <v>M.minima.Highcomp</v>
      </c>
      <c r="J276" t="str">
        <f t="shared" si="14"/>
        <v>2E.M.minima.Highcomp</v>
      </c>
      <c r="K276">
        <v>7</v>
      </c>
      <c r="L276">
        <v>7</v>
      </c>
      <c r="M276">
        <v>7</v>
      </c>
      <c r="N276">
        <v>1</v>
      </c>
      <c r="O276">
        <v>0</v>
      </c>
      <c r="P276">
        <v>1</v>
      </c>
      <c r="Q276">
        <v>0</v>
      </c>
      <c r="R276">
        <v>0</v>
      </c>
      <c r="S276">
        <v>8</v>
      </c>
      <c r="T276">
        <v>7</v>
      </c>
      <c r="U276">
        <v>7</v>
      </c>
      <c r="V276">
        <v>7</v>
      </c>
      <c r="W276">
        <v>0</v>
      </c>
    </row>
    <row r="277" spans="1:24" x14ac:dyDescent="0.25">
      <c r="A277" t="s">
        <v>42</v>
      </c>
      <c r="B277">
        <v>2</v>
      </c>
      <c r="C277" t="s">
        <v>21</v>
      </c>
      <c r="D277" t="s">
        <v>94</v>
      </c>
      <c r="E277" t="s">
        <v>110</v>
      </c>
      <c r="F277" t="s">
        <v>221</v>
      </c>
      <c r="G277" t="s">
        <v>120</v>
      </c>
      <c r="H277" t="str">
        <f t="shared" si="12"/>
        <v>Open.Solo</v>
      </c>
      <c r="I277" t="str">
        <f t="shared" si="13"/>
        <v>M.minima.Solo</v>
      </c>
      <c r="J277" t="str">
        <f t="shared" si="14"/>
        <v>2E.M.minima.Solo</v>
      </c>
      <c r="K277">
        <v>4</v>
      </c>
      <c r="L277">
        <v>4</v>
      </c>
      <c r="M277">
        <v>4</v>
      </c>
      <c r="N277">
        <v>1</v>
      </c>
      <c r="O277">
        <v>0</v>
      </c>
      <c r="P277">
        <v>0</v>
      </c>
      <c r="Q277">
        <v>0</v>
      </c>
      <c r="R277">
        <v>0</v>
      </c>
      <c r="S277">
        <v>4</v>
      </c>
      <c r="T277">
        <v>4</v>
      </c>
      <c r="U277">
        <v>4</v>
      </c>
      <c r="V277">
        <v>4</v>
      </c>
      <c r="W277">
        <v>0</v>
      </c>
    </row>
    <row r="278" spans="1:24" x14ac:dyDescent="0.25">
      <c r="A278" t="s">
        <v>42</v>
      </c>
      <c r="B278">
        <v>2</v>
      </c>
      <c r="C278" t="s">
        <v>21</v>
      </c>
      <c r="D278" t="s">
        <v>94</v>
      </c>
      <c r="E278" t="s">
        <v>111</v>
      </c>
      <c r="F278" t="s">
        <v>222</v>
      </c>
      <c r="G278" t="s">
        <v>145</v>
      </c>
      <c r="H278" t="str">
        <f t="shared" si="12"/>
        <v>Open.Highcomp</v>
      </c>
      <c r="I278" t="str">
        <f t="shared" si="13"/>
        <v>P.canescens.Highcomp</v>
      </c>
      <c r="J278" t="str">
        <f t="shared" si="14"/>
        <v>2E.P.canescens.Highcomp</v>
      </c>
      <c r="K278">
        <v>14</v>
      </c>
      <c r="L278">
        <f>162+120+63+15+89</f>
        <v>449</v>
      </c>
      <c r="M278">
        <v>5</v>
      </c>
      <c r="N278">
        <f>449/5</f>
        <v>89.8</v>
      </c>
      <c r="O278">
        <v>0</v>
      </c>
      <c r="P278">
        <v>3</v>
      </c>
      <c r="Q278">
        <v>6</v>
      </c>
      <c r="R278">
        <v>0</v>
      </c>
      <c r="S278">
        <v>23</v>
      </c>
      <c r="T278">
        <v>17</v>
      </c>
      <c r="U278">
        <f>449+(12*N278)</f>
        <v>1526.6</v>
      </c>
      <c r="V278">
        <v>1527</v>
      </c>
      <c r="W278">
        <v>0</v>
      </c>
    </row>
    <row r="279" spans="1:24" x14ac:dyDescent="0.25">
      <c r="A279" t="s">
        <v>42</v>
      </c>
      <c r="B279">
        <v>2</v>
      </c>
      <c r="C279" t="s">
        <v>21</v>
      </c>
      <c r="D279" t="s">
        <v>94</v>
      </c>
      <c r="E279" t="s">
        <v>111</v>
      </c>
      <c r="F279" t="s">
        <v>222</v>
      </c>
      <c r="G279" t="s">
        <v>120</v>
      </c>
      <c r="H279" t="str">
        <f t="shared" si="12"/>
        <v>Open.Solo</v>
      </c>
      <c r="I279" t="str">
        <f t="shared" si="13"/>
        <v>P.canescens.Solo</v>
      </c>
      <c r="J279" t="str">
        <f t="shared" si="14"/>
        <v>2E.P.canescens.Solo</v>
      </c>
      <c r="K279">
        <v>16</v>
      </c>
      <c r="L279">
        <f>70+109+142+73+42+38+149+109</f>
        <v>732</v>
      </c>
      <c r="M279">
        <v>8</v>
      </c>
      <c r="N279">
        <f>732/8</f>
        <v>91.5</v>
      </c>
      <c r="O279">
        <v>0</v>
      </c>
      <c r="P279">
        <v>0</v>
      </c>
      <c r="Q279">
        <v>20</v>
      </c>
      <c r="R279">
        <v>1</v>
      </c>
      <c r="S279">
        <v>36</v>
      </c>
      <c r="T279">
        <v>16</v>
      </c>
      <c r="U279">
        <f>L279+(8*N279)</f>
        <v>1464</v>
      </c>
      <c r="V279">
        <v>1464</v>
      </c>
      <c r="W279">
        <v>0</v>
      </c>
    </row>
    <row r="280" spans="1:24" x14ac:dyDescent="0.25">
      <c r="A280" t="s">
        <v>42</v>
      </c>
      <c r="B280">
        <v>2</v>
      </c>
      <c r="C280" t="s">
        <v>21</v>
      </c>
      <c r="D280" t="s">
        <v>94</v>
      </c>
      <c r="E280" t="s">
        <v>104</v>
      </c>
      <c r="F280" t="s">
        <v>222</v>
      </c>
      <c r="G280" t="s">
        <v>145</v>
      </c>
      <c r="H280" t="str">
        <f t="shared" si="12"/>
        <v>Open.Highcomp</v>
      </c>
      <c r="I280" t="str">
        <f t="shared" si="13"/>
        <v>T.cyanopetala.Highcomp</v>
      </c>
      <c r="J280" t="str">
        <f t="shared" si="14"/>
        <v>2E.T.cyanopetala.Highcomp</v>
      </c>
      <c r="K280">
        <v>4</v>
      </c>
      <c r="L280">
        <f>4+6+8+4</f>
        <v>22</v>
      </c>
      <c r="M280">
        <v>4</v>
      </c>
      <c r="N280">
        <f>22/4</f>
        <v>5.5</v>
      </c>
      <c r="O280">
        <v>0</v>
      </c>
      <c r="P280">
        <v>0</v>
      </c>
      <c r="Q280">
        <v>0</v>
      </c>
      <c r="R280">
        <v>0</v>
      </c>
      <c r="S280">
        <v>4</v>
      </c>
      <c r="T280">
        <v>4</v>
      </c>
      <c r="U280">
        <v>22</v>
      </c>
      <c r="V280">
        <v>22</v>
      </c>
      <c r="W280">
        <v>1</v>
      </c>
      <c r="X280" t="s">
        <v>192</v>
      </c>
    </row>
    <row r="281" spans="1:24" x14ac:dyDescent="0.25">
      <c r="A281" t="s">
        <v>42</v>
      </c>
      <c r="B281">
        <v>2</v>
      </c>
      <c r="C281" t="s">
        <v>21</v>
      </c>
      <c r="D281" t="s">
        <v>94</v>
      </c>
      <c r="E281" t="s">
        <v>104</v>
      </c>
      <c r="F281" t="s">
        <v>222</v>
      </c>
      <c r="G281" t="s">
        <v>120</v>
      </c>
      <c r="H281" t="str">
        <f t="shared" si="12"/>
        <v>Open.Solo</v>
      </c>
      <c r="I281" t="str">
        <f t="shared" si="13"/>
        <v>T.cyanopetala.Solo</v>
      </c>
      <c r="J281" t="str">
        <f t="shared" si="14"/>
        <v>2E.T.cyanopetala.Solo</v>
      </c>
      <c r="K281">
        <v>5</v>
      </c>
      <c r="L281">
        <f>2+8+10+10</f>
        <v>30</v>
      </c>
      <c r="M281">
        <v>4</v>
      </c>
      <c r="N281">
        <f>30/4</f>
        <v>7.5</v>
      </c>
      <c r="O281">
        <v>1</v>
      </c>
      <c r="P281">
        <v>0</v>
      </c>
      <c r="Q281">
        <v>0</v>
      </c>
      <c r="R281">
        <v>0</v>
      </c>
      <c r="S281">
        <v>5</v>
      </c>
      <c r="T281">
        <v>5</v>
      </c>
      <c r="U281">
        <f>30+7.5</f>
        <v>37.5</v>
      </c>
      <c r="V281">
        <v>38</v>
      </c>
      <c r="W281">
        <v>1</v>
      </c>
      <c r="X281" t="s">
        <v>192</v>
      </c>
    </row>
    <row r="282" spans="1:24" x14ac:dyDescent="0.25">
      <c r="A282" t="s">
        <v>43</v>
      </c>
      <c r="B282">
        <v>2</v>
      </c>
      <c r="C282" t="s">
        <v>23</v>
      </c>
      <c r="D282" t="s">
        <v>94</v>
      </c>
      <c r="E282" t="s">
        <v>105</v>
      </c>
      <c r="F282" t="s">
        <v>221</v>
      </c>
      <c r="G282" t="s">
        <v>145</v>
      </c>
      <c r="H282" t="str">
        <f t="shared" si="12"/>
        <v>Open.Highcomp</v>
      </c>
      <c r="I282" t="str">
        <f t="shared" si="13"/>
        <v>H.glabra.Highcomp</v>
      </c>
      <c r="J282" t="str">
        <f t="shared" si="14"/>
        <v>2F.H.glabra.Highcomp</v>
      </c>
      <c r="K282">
        <v>4</v>
      </c>
      <c r="L282">
        <f>70+60+88+44</f>
        <v>262</v>
      </c>
      <c r="M282">
        <v>4</v>
      </c>
      <c r="N282">
        <f>262/4</f>
        <v>65.5</v>
      </c>
      <c r="O282">
        <v>2</v>
      </c>
      <c r="P282">
        <v>0</v>
      </c>
      <c r="Q282">
        <v>0</v>
      </c>
      <c r="R282">
        <v>0</v>
      </c>
      <c r="S282">
        <v>6</v>
      </c>
      <c r="T282">
        <v>6</v>
      </c>
      <c r="U282">
        <f>262+(2*N282)</f>
        <v>393</v>
      </c>
      <c r="V282">
        <v>393</v>
      </c>
      <c r="W282">
        <v>0</v>
      </c>
    </row>
    <row r="283" spans="1:24" x14ac:dyDescent="0.25">
      <c r="A283" t="s">
        <v>43</v>
      </c>
      <c r="B283">
        <v>2</v>
      </c>
      <c r="C283" t="s">
        <v>23</v>
      </c>
      <c r="D283" t="s">
        <v>94</v>
      </c>
      <c r="E283" t="s">
        <v>105</v>
      </c>
      <c r="F283" t="s">
        <v>221</v>
      </c>
      <c r="G283" t="s">
        <v>120</v>
      </c>
      <c r="H283" t="str">
        <f t="shared" si="12"/>
        <v>Open.Solo</v>
      </c>
      <c r="I283" t="str">
        <f t="shared" si="13"/>
        <v>H.glabra.Solo</v>
      </c>
      <c r="J283" t="str">
        <f t="shared" si="14"/>
        <v>2F.H.glabra.Solo</v>
      </c>
      <c r="K283">
        <v>2</v>
      </c>
      <c r="L283">
        <f>89+48</f>
        <v>137</v>
      </c>
      <c r="M283">
        <v>2</v>
      </c>
      <c r="N283">
        <f>137/2</f>
        <v>68.5</v>
      </c>
      <c r="O283">
        <v>4</v>
      </c>
      <c r="P283">
        <v>2</v>
      </c>
      <c r="Q283">
        <v>0</v>
      </c>
      <c r="R283">
        <v>0</v>
      </c>
      <c r="S283">
        <v>8</v>
      </c>
      <c r="T283">
        <v>6</v>
      </c>
      <c r="U283">
        <f>137+(4*N283)</f>
        <v>411</v>
      </c>
      <c r="V283">
        <v>411</v>
      </c>
      <c r="W283">
        <v>0</v>
      </c>
    </row>
    <row r="284" spans="1:24" x14ac:dyDescent="0.25">
      <c r="A284" t="s">
        <v>43</v>
      </c>
      <c r="B284">
        <v>2</v>
      </c>
      <c r="C284" t="s">
        <v>23</v>
      </c>
      <c r="D284" t="s">
        <v>94</v>
      </c>
      <c r="E284" t="s">
        <v>110</v>
      </c>
      <c r="F284" t="s">
        <v>221</v>
      </c>
      <c r="G284" t="s">
        <v>145</v>
      </c>
      <c r="H284" t="str">
        <f t="shared" si="12"/>
        <v>Open.Highcomp</v>
      </c>
      <c r="I284" t="str">
        <f t="shared" si="13"/>
        <v>M.minima.Highcomp</v>
      </c>
      <c r="J284" t="str">
        <f t="shared" si="14"/>
        <v>2F.M.minima.Highcomp</v>
      </c>
      <c r="K284">
        <v>8</v>
      </c>
      <c r="L284">
        <v>8</v>
      </c>
      <c r="M284">
        <v>8</v>
      </c>
      <c r="N284">
        <v>1</v>
      </c>
      <c r="O284">
        <v>0</v>
      </c>
      <c r="P284">
        <v>0</v>
      </c>
      <c r="Q284">
        <v>0</v>
      </c>
      <c r="R284">
        <v>0</v>
      </c>
      <c r="S284">
        <v>8</v>
      </c>
      <c r="T284">
        <v>8</v>
      </c>
      <c r="U284">
        <v>8</v>
      </c>
      <c r="V284">
        <v>8</v>
      </c>
      <c r="W284">
        <v>0</v>
      </c>
    </row>
    <row r="285" spans="1:24" x14ac:dyDescent="0.25">
      <c r="A285" t="s">
        <v>43</v>
      </c>
      <c r="B285">
        <v>2</v>
      </c>
      <c r="C285" t="s">
        <v>23</v>
      </c>
      <c r="D285" t="s">
        <v>94</v>
      </c>
      <c r="E285" t="s">
        <v>110</v>
      </c>
      <c r="F285" t="s">
        <v>221</v>
      </c>
      <c r="G285" t="s">
        <v>120</v>
      </c>
      <c r="H285" t="str">
        <f t="shared" si="12"/>
        <v>Open.Solo</v>
      </c>
      <c r="I285" t="str">
        <f t="shared" si="13"/>
        <v>M.minima.Solo</v>
      </c>
      <c r="J285" t="str">
        <f t="shared" si="14"/>
        <v>2F.M.minima.Solo</v>
      </c>
      <c r="K285">
        <v>1</v>
      </c>
      <c r="L285">
        <v>1</v>
      </c>
      <c r="M285">
        <v>1</v>
      </c>
      <c r="N285">
        <v>1</v>
      </c>
      <c r="O285">
        <v>0</v>
      </c>
      <c r="P285">
        <v>0</v>
      </c>
      <c r="Q285">
        <v>0</v>
      </c>
      <c r="R285">
        <v>0</v>
      </c>
      <c r="S285">
        <v>1</v>
      </c>
      <c r="T285">
        <v>1</v>
      </c>
      <c r="U285">
        <v>1</v>
      </c>
      <c r="V285">
        <v>1</v>
      </c>
      <c r="W285">
        <v>0</v>
      </c>
    </row>
    <row r="286" spans="1:24" x14ac:dyDescent="0.25">
      <c r="A286" t="s">
        <v>43</v>
      </c>
      <c r="B286">
        <v>2</v>
      </c>
      <c r="C286" t="s">
        <v>23</v>
      </c>
      <c r="D286" t="s">
        <v>94</v>
      </c>
      <c r="E286" t="s">
        <v>111</v>
      </c>
      <c r="F286" t="s">
        <v>222</v>
      </c>
      <c r="G286" t="s">
        <v>145</v>
      </c>
      <c r="H286" t="str">
        <f t="shared" si="12"/>
        <v>Open.Highcomp</v>
      </c>
      <c r="I286" t="str">
        <f t="shared" si="13"/>
        <v>P.canescens.Highcomp</v>
      </c>
      <c r="J286" t="str">
        <f t="shared" si="14"/>
        <v>2F.P.canescens.Highcomp</v>
      </c>
      <c r="K286">
        <v>5</v>
      </c>
      <c r="L286">
        <f>132+101+108+206+137</f>
        <v>684</v>
      </c>
      <c r="M286">
        <v>5</v>
      </c>
      <c r="N286">
        <f>684/5</f>
        <v>136.80000000000001</v>
      </c>
      <c r="O286">
        <v>0</v>
      </c>
      <c r="P286">
        <v>0</v>
      </c>
      <c r="Q286">
        <v>2</v>
      </c>
      <c r="R286">
        <v>1</v>
      </c>
      <c r="S286">
        <v>38</v>
      </c>
      <c r="T286">
        <v>36</v>
      </c>
      <c r="U286">
        <f>684+(31*N286)</f>
        <v>4924.8</v>
      </c>
      <c r="V286">
        <v>4925</v>
      </c>
      <c r="W286">
        <v>0</v>
      </c>
    </row>
    <row r="287" spans="1:24" x14ac:dyDescent="0.25">
      <c r="A287" t="s">
        <v>43</v>
      </c>
      <c r="B287">
        <v>2</v>
      </c>
      <c r="C287" t="s">
        <v>23</v>
      </c>
      <c r="D287" t="s">
        <v>94</v>
      </c>
      <c r="E287" t="s">
        <v>111</v>
      </c>
      <c r="F287" t="s">
        <v>222</v>
      </c>
      <c r="G287" t="s">
        <v>120</v>
      </c>
      <c r="H287" t="str">
        <f t="shared" si="12"/>
        <v>Open.Solo</v>
      </c>
      <c r="I287" t="str">
        <f t="shared" si="13"/>
        <v>P.canescens.Solo</v>
      </c>
      <c r="J287" t="str">
        <f t="shared" si="14"/>
        <v>2F.P.canescens.Solo</v>
      </c>
      <c r="K287">
        <v>19</v>
      </c>
      <c r="L287">
        <f>180+83+75+157+88</f>
        <v>583</v>
      </c>
      <c r="M287">
        <v>5</v>
      </c>
      <c r="N287">
        <f>583/5</f>
        <v>116.6</v>
      </c>
      <c r="O287">
        <v>1</v>
      </c>
      <c r="P287">
        <v>1</v>
      </c>
      <c r="Q287">
        <v>1</v>
      </c>
      <c r="R287">
        <v>0</v>
      </c>
      <c r="S287">
        <v>22</v>
      </c>
      <c r="T287">
        <v>21</v>
      </c>
      <c r="U287">
        <f>583+(16*N287)</f>
        <v>2448.6</v>
      </c>
      <c r="V287">
        <v>2449</v>
      </c>
      <c r="W287">
        <v>0</v>
      </c>
    </row>
    <row r="288" spans="1:24" x14ac:dyDescent="0.25">
      <c r="A288" t="s">
        <v>43</v>
      </c>
      <c r="B288">
        <v>2</v>
      </c>
      <c r="C288" t="s">
        <v>23</v>
      </c>
      <c r="D288" t="s">
        <v>94</v>
      </c>
      <c r="E288" t="s">
        <v>104</v>
      </c>
      <c r="F288" t="s">
        <v>222</v>
      </c>
      <c r="G288" t="s">
        <v>145</v>
      </c>
      <c r="H288" t="str">
        <f t="shared" si="12"/>
        <v>Open.Highcomp</v>
      </c>
      <c r="I288" t="str">
        <f t="shared" si="13"/>
        <v>T.cyanopetala.Highcomp</v>
      </c>
      <c r="J288" t="str">
        <f t="shared" si="14"/>
        <v>2F.T.cyanopetala.Highcomp</v>
      </c>
      <c r="K288">
        <v>5</v>
      </c>
      <c r="L288">
        <v>30</v>
      </c>
      <c r="M288">
        <v>5</v>
      </c>
      <c r="N288">
        <v>6</v>
      </c>
      <c r="O288">
        <v>0</v>
      </c>
      <c r="P288">
        <v>0</v>
      </c>
      <c r="Q288">
        <v>0</v>
      </c>
      <c r="R288">
        <v>0</v>
      </c>
      <c r="S288">
        <v>5</v>
      </c>
      <c r="T288">
        <v>5</v>
      </c>
      <c r="U288">
        <v>30</v>
      </c>
      <c r="V288">
        <f>U288</f>
        <v>30</v>
      </c>
      <c r="W288">
        <v>0</v>
      </c>
    </row>
    <row r="289" spans="1:24" x14ac:dyDescent="0.25">
      <c r="A289" t="s">
        <v>43</v>
      </c>
      <c r="B289">
        <v>2</v>
      </c>
      <c r="C289" t="s">
        <v>23</v>
      </c>
      <c r="D289" t="s">
        <v>94</v>
      </c>
      <c r="E289" t="s">
        <v>104</v>
      </c>
      <c r="F289" t="s">
        <v>222</v>
      </c>
      <c r="G289" t="s">
        <v>120</v>
      </c>
      <c r="H289" t="str">
        <f t="shared" si="12"/>
        <v>Open.Solo</v>
      </c>
      <c r="I289" t="str">
        <f t="shared" si="13"/>
        <v>T.cyanopetala.Solo</v>
      </c>
      <c r="J289" t="str">
        <f t="shared" si="14"/>
        <v>2F.T.cyanopetala.Solo</v>
      </c>
      <c r="K289">
        <v>2</v>
      </c>
      <c r="L289">
        <v>14</v>
      </c>
      <c r="M289">
        <v>2</v>
      </c>
      <c r="N289">
        <v>7</v>
      </c>
      <c r="O289">
        <v>0</v>
      </c>
      <c r="P289">
        <v>0</v>
      </c>
      <c r="Q289">
        <v>0</v>
      </c>
      <c r="R289">
        <v>0</v>
      </c>
      <c r="S289">
        <v>2</v>
      </c>
      <c r="T289">
        <v>2</v>
      </c>
      <c r="U289">
        <v>14</v>
      </c>
      <c r="V289">
        <v>14</v>
      </c>
      <c r="W289">
        <v>0</v>
      </c>
    </row>
    <row r="290" spans="1:24" x14ac:dyDescent="0.25">
      <c r="A290" t="s">
        <v>44</v>
      </c>
      <c r="B290">
        <v>2</v>
      </c>
      <c r="C290" t="s">
        <v>25</v>
      </c>
      <c r="D290" t="s">
        <v>95</v>
      </c>
      <c r="E290" t="s">
        <v>102</v>
      </c>
      <c r="F290" t="s">
        <v>221</v>
      </c>
      <c r="G290" t="s">
        <v>145</v>
      </c>
      <c r="H290" t="str">
        <f t="shared" si="12"/>
        <v>Shade.Highcomp</v>
      </c>
      <c r="I290" t="str">
        <f t="shared" si="13"/>
        <v>A.calendula.Highcomp</v>
      </c>
      <c r="J290" t="str">
        <f t="shared" si="14"/>
        <v>2G.A.calendula.Highcomp</v>
      </c>
      <c r="K290">
        <v>13</v>
      </c>
      <c r="L290">
        <f>38+37</f>
        <v>75</v>
      </c>
      <c r="M290">
        <v>2</v>
      </c>
      <c r="N290">
        <v>37.5</v>
      </c>
      <c r="O290">
        <v>3</v>
      </c>
      <c r="P290">
        <v>2</v>
      </c>
      <c r="Q290">
        <v>1</v>
      </c>
      <c r="R290">
        <v>0</v>
      </c>
      <c r="S290">
        <v>19</v>
      </c>
      <c r="T290">
        <v>16</v>
      </c>
      <c r="U290">
        <f>75+(16*N290)</f>
        <v>675</v>
      </c>
      <c r="V290">
        <f>U290</f>
        <v>675</v>
      </c>
      <c r="W290">
        <v>0</v>
      </c>
    </row>
    <row r="291" spans="1:24" x14ac:dyDescent="0.25">
      <c r="A291" t="s">
        <v>44</v>
      </c>
      <c r="B291">
        <v>2</v>
      </c>
      <c r="C291" t="s">
        <v>25</v>
      </c>
      <c r="D291" t="s">
        <v>95</v>
      </c>
      <c r="E291" t="s">
        <v>102</v>
      </c>
      <c r="F291" t="s">
        <v>221</v>
      </c>
      <c r="G291" t="s">
        <v>120</v>
      </c>
      <c r="H291" t="str">
        <f t="shared" si="12"/>
        <v>Shade.Solo</v>
      </c>
      <c r="I291" t="str">
        <f t="shared" si="13"/>
        <v>A.calendula.Solo</v>
      </c>
      <c r="J291" t="str">
        <f t="shared" si="14"/>
        <v>2G.A.calendula.Solo</v>
      </c>
      <c r="K291">
        <v>7</v>
      </c>
      <c r="L291">
        <f>33+28+44+21+34+25+34</f>
        <v>219</v>
      </c>
      <c r="M291">
        <v>7</v>
      </c>
      <c r="N291">
        <f>219/7</f>
        <v>31.285714285714285</v>
      </c>
      <c r="O291">
        <v>10</v>
      </c>
      <c r="P291">
        <v>0</v>
      </c>
      <c r="Q291">
        <v>0</v>
      </c>
      <c r="R291">
        <v>0</v>
      </c>
      <c r="S291">
        <v>17</v>
      </c>
      <c r="T291">
        <v>17</v>
      </c>
      <c r="U291">
        <f>219+(N291*10)</f>
        <v>531.85714285714289</v>
      </c>
      <c r="V291">
        <v>532</v>
      </c>
      <c r="W291">
        <v>0</v>
      </c>
    </row>
    <row r="292" spans="1:24" x14ac:dyDescent="0.25">
      <c r="A292" t="s">
        <v>44</v>
      </c>
      <c r="B292">
        <v>2</v>
      </c>
      <c r="C292" t="s">
        <v>25</v>
      </c>
      <c r="D292" t="s">
        <v>95</v>
      </c>
      <c r="E292" t="s">
        <v>110</v>
      </c>
      <c r="F292" t="s">
        <v>221</v>
      </c>
      <c r="G292" t="s">
        <v>145</v>
      </c>
      <c r="H292" t="str">
        <f t="shared" si="12"/>
        <v>Shade.Highcomp</v>
      </c>
      <c r="I292" t="str">
        <f t="shared" si="13"/>
        <v>M.minima.Highcomp</v>
      </c>
      <c r="J292" t="str">
        <f t="shared" si="14"/>
        <v>2G.M.minima.Highcomp</v>
      </c>
      <c r="K292">
        <v>2</v>
      </c>
      <c r="L292">
        <v>2</v>
      </c>
      <c r="M292">
        <v>2</v>
      </c>
      <c r="N292">
        <v>1</v>
      </c>
      <c r="O292">
        <v>0</v>
      </c>
      <c r="P292">
        <v>0</v>
      </c>
      <c r="Q292">
        <v>0</v>
      </c>
      <c r="R292">
        <v>0</v>
      </c>
      <c r="S292">
        <v>2</v>
      </c>
      <c r="T292">
        <v>2</v>
      </c>
      <c r="U292">
        <v>2</v>
      </c>
      <c r="V292">
        <f>U292</f>
        <v>2</v>
      </c>
      <c r="W292">
        <v>1</v>
      </c>
      <c r="X292" t="s">
        <v>187</v>
      </c>
    </row>
    <row r="293" spans="1:24" x14ac:dyDescent="0.25">
      <c r="A293" t="s">
        <v>44</v>
      </c>
      <c r="B293">
        <v>2</v>
      </c>
      <c r="C293" t="s">
        <v>25</v>
      </c>
      <c r="D293" t="s">
        <v>95</v>
      </c>
      <c r="E293" t="s">
        <v>110</v>
      </c>
      <c r="F293" t="s">
        <v>221</v>
      </c>
      <c r="G293" t="s">
        <v>120</v>
      </c>
      <c r="H293" t="str">
        <f t="shared" si="12"/>
        <v>Shade.Solo</v>
      </c>
      <c r="I293" t="str">
        <f t="shared" si="13"/>
        <v>M.minima.Solo</v>
      </c>
      <c r="J293" t="str">
        <f t="shared" si="14"/>
        <v>2G.M.minima.Solo</v>
      </c>
      <c r="K293">
        <v>3</v>
      </c>
      <c r="L293">
        <v>3</v>
      </c>
      <c r="M293">
        <v>3</v>
      </c>
      <c r="N293">
        <v>1</v>
      </c>
      <c r="O293">
        <v>0</v>
      </c>
      <c r="P293">
        <v>2</v>
      </c>
      <c r="Q293">
        <v>0</v>
      </c>
      <c r="R293">
        <v>0</v>
      </c>
      <c r="S293">
        <v>5</v>
      </c>
      <c r="T293">
        <v>5</v>
      </c>
      <c r="U293">
        <v>3</v>
      </c>
      <c r="V293">
        <v>3</v>
      </c>
      <c r="W293">
        <v>1</v>
      </c>
      <c r="X293" t="s">
        <v>187</v>
      </c>
    </row>
    <row r="294" spans="1:24" x14ac:dyDescent="0.25">
      <c r="A294" t="s">
        <v>44</v>
      </c>
      <c r="B294">
        <v>2</v>
      </c>
      <c r="C294" t="s">
        <v>25</v>
      </c>
      <c r="D294" t="s">
        <v>95</v>
      </c>
      <c r="E294" t="s">
        <v>104</v>
      </c>
      <c r="F294" t="s">
        <v>222</v>
      </c>
      <c r="G294" t="s">
        <v>145</v>
      </c>
      <c r="H294" t="str">
        <f t="shared" si="12"/>
        <v>Shade.Highcomp</v>
      </c>
      <c r="I294" t="str">
        <f t="shared" si="13"/>
        <v>T.cyanopetala.Highcomp</v>
      </c>
      <c r="J294" t="str">
        <f t="shared" si="14"/>
        <v>2G.T.cyanopetala.Highcomp</v>
      </c>
      <c r="K294">
        <v>14</v>
      </c>
      <c r="L294">
        <f>28+26+22+10</f>
        <v>86</v>
      </c>
      <c r="M294">
        <v>14</v>
      </c>
      <c r="N294">
        <f>86/14</f>
        <v>6.1428571428571432</v>
      </c>
      <c r="O294">
        <v>0</v>
      </c>
      <c r="P294">
        <v>0</v>
      </c>
      <c r="Q294">
        <v>0</v>
      </c>
      <c r="R294">
        <v>0</v>
      </c>
      <c r="S294">
        <v>14</v>
      </c>
      <c r="T294">
        <v>14</v>
      </c>
      <c r="U294">
        <v>86</v>
      </c>
      <c r="V294">
        <f>U294</f>
        <v>86</v>
      </c>
      <c r="W294">
        <v>0</v>
      </c>
    </row>
    <row r="295" spans="1:24" x14ac:dyDescent="0.25">
      <c r="A295" t="s">
        <v>44</v>
      </c>
      <c r="B295">
        <v>2</v>
      </c>
      <c r="C295" t="s">
        <v>25</v>
      </c>
      <c r="D295" t="s">
        <v>95</v>
      </c>
      <c r="E295" t="s">
        <v>104</v>
      </c>
      <c r="F295" t="s">
        <v>222</v>
      </c>
      <c r="G295" t="s">
        <v>120</v>
      </c>
      <c r="H295" t="str">
        <f t="shared" si="12"/>
        <v>Shade.Solo</v>
      </c>
      <c r="I295" t="str">
        <f t="shared" si="13"/>
        <v>T.cyanopetala.Solo</v>
      </c>
      <c r="J295" t="str">
        <f t="shared" si="14"/>
        <v>2G.T.cyanopetala.Solo</v>
      </c>
      <c r="K295">
        <v>35</v>
      </c>
      <c r="L295">
        <f>10+8+8+6+28+22+16+22+16+22+26+18</f>
        <v>202</v>
      </c>
      <c r="M295">
        <v>35</v>
      </c>
      <c r="N295">
        <f>202/35</f>
        <v>5.7714285714285714</v>
      </c>
      <c r="O295">
        <v>0</v>
      </c>
      <c r="P295">
        <v>0</v>
      </c>
      <c r="Q295">
        <v>0</v>
      </c>
      <c r="R295">
        <v>0</v>
      </c>
      <c r="S295">
        <v>35</v>
      </c>
      <c r="T295">
        <v>35</v>
      </c>
      <c r="U295">
        <v>202</v>
      </c>
      <c r="V295">
        <v>202</v>
      </c>
      <c r="W295">
        <v>0</v>
      </c>
    </row>
    <row r="296" spans="1:24" x14ac:dyDescent="0.25">
      <c r="A296" t="s">
        <v>44</v>
      </c>
      <c r="B296">
        <v>2</v>
      </c>
      <c r="C296" t="s">
        <v>25</v>
      </c>
      <c r="D296" t="s">
        <v>95</v>
      </c>
      <c r="E296" t="s">
        <v>112</v>
      </c>
      <c r="F296" t="s">
        <v>222</v>
      </c>
      <c r="G296" t="s">
        <v>145</v>
      </c>
      <c r="H296" t="str">
        <f t="shared" si="12"/>
        <v>Shade.Highcomp</v>
      </c>
      <c r="I296" t="str">
        <f t="shared" si="13"/>
        <v>V.rosea.Highcomp</v>
      </c>
      <c r="J296" t="str">
        <f t="shared" si="14"/>
        <v>2G.V.rosea.Highcomp</v>
      </c>
      <c r="K296">
        <v>20</v>
      </c>
      <c r="L296">
        <f>3+3+4+4+2+2+4+3+4+4+2</f>
        <v>35</v>
      </c>
      <c r="M296">
        <v>11</v>
      </c>
      <c r="N296">
        <f>35/11</f>
        <v>3.1818181818181817</v>
      </c>
      <c r="O296">
        <v>0</v>
      </c>
      <c r="P296">
        <v>0</v>
      </c>
      <c r="Q296">
        <v>0</v>
      </c>
      <c r="R296">
        <v>1</v>
      </c>
      <c r="S296">
        <v>20</v>
      </c>
      <c r="T296">
        <v>20</v>
      </c>
      <c r="U296">
        <f>35+(9*N296)</f>
        <v>63.636363636363633</v>
      </c>
      <c r="V296">
        <v>64</v>
      </c>
      <c r="W296">
        <v>0</v>
      </c>
    </row>
    <row r="297" spans="1:24" x14ac:dyDescent="0.25">
      <c r="A297" t="s">
        <v>44</v>
      </c>
      <c r="B297">
        <v>2</v>
      </c>
      <c r="C297" t="s">
        <v>25</v>
      </c>
      <c r="D297" t="s">
        <v>95</v>
      </c>
      <c r="E297" t="s">
        <v>112</v>
      </c>
      <c r="F297" t="s">
        <v>222</v>
      </c>
      <c r="G297" t="s">
        <v>120</v>
      </c>
      <c r="H297" t="str">
        <f t="shared" si="12"/>
        <v>Shade.Solo</v>
      </c>
      <c r="I297" t="str">
        <f t="shared" si="13"/>
        <v>V.rosea.Solo</v>
      </c>
      <c r="J297" t="str">
        <f t="shared" si="14"/>
        <v>2G.V.rosea.Solo</v>
      </c>
      <c r="K297">
        <v>33</v>
      </c>
      <c r="L297">
        <f>9+8+3</f>
        <v>20</v>
      </c>
      <c r="M297">
        <v>8</v>
      </c>
      <c r="N297">
        <f>20/8</f>
        <v>2.5</v>
      </c>
      <c r="O297">
        <v>0</v>
      </c>
      <c r="P297">
        <v>9</v>
      </c>
      <c r="Q297">
        <v>0</v>
      </c>
      <c r="R297">
        <v>0</v>
      </c>
      <c r="S297">
        <v>42</v>
      </c>
      <c r="T297">
        <v>33</v>
      </c>
      <c r="U297">
        <f>20+(25*N297)</f>
        <v>82.5</v>
      </c>
      <c r="V297">
        <v>83</v>
      </c>
      <c r="W297">
        <v>0</v>
      </c>
    </row>
    <row r="298" spans="1:24" x14ac:dyDescent="0.25">
      <c r="A298" t="s">
        <v>45</v>
      </c>
      <c r="B298">
        <v>2</v>
      </c>
      <c r="C298" t="s">
        <v>27</v>
      </c>
      <c r="D298" t="s">
        <v>95</v>
      </c>
      <c r="E298" t="s">
        <v>102</v>
      </c>
      <c r="F298" t="s">
        <v>221</v>
      </c>
      <c r="G298" t="s">
        <v>145</v>
      </c>
      <c r="H298" t="str">
        <f t="shared" si="12"/>
        <v>Shade.Highcomp</v>
      </c>
      <c r="I298" t="str">
        <f t="shared" si="13"/>
        <v>A.calendula.Highcomp</v>
      </c>
      <c r="J298" t="str">
        <f t="shared" si="14"/>
        <v>2H.A.calendula.Highcomp</v>
      </c>
      <c r="K298">
        <v>38</v>
      </c>
      <c r="L298">
        <f>15+49+41+31+41+36+32+36</f>
        <v>281</v>
      </c>
      <c r="M298">
        <v>8</v>
      </c>
      <c r="N298">
        <f>281/8</f>
        <v>35.125</v>
      </c>
      <c r="O298">
        <v>0</v>
      </c>
      <c r="P298">
        <v>0</v>
      </c>
      <c r="Q298">
        <v>7</v>
      </c>
      <c r="R298">
        <v>0</v>
      </c>
      <c r="S298">
        <v>45</v>
      </c>
      <c r="T298">
        <v>38</v>
      </c>
      <c r="U298">
        <f>281+(30*N298)</f>
        <v>1334.75</v>
      </c>
      <c r="V298">
        <v>1335</v>
      </c>
      <c r="W298">
        <v>0</v>
      </c>
    </row>
    <row r="299" spans="1:24" x14ac:dyDescent="0.25">
      <c r="A299" t="s">
        <v>45</v>
      </c>
      <c r="B299">
        <v>2</v>
      </c>
      <c r="C299" t="s">
        <v>27</v>
      </c>
      <c r="D299" t="s">
        <v>95</v>
      </c>
      <c r="E299" t="s">
        <v>102</v>
      </c>
      <c r="F299" t="s">
        <v>221</v>
      </c>
      <c r="G299" t="s">
        <v>120</v>
      </c>
      <c r="H299" t="str">
        <f t="shared" si="12"/>
        <v>Shade.Solo</v>
      </c>
      <c r="I299" t="str">
        <f t="shared" si="13"/>
        <v>A.calendula.Solo</v>
      </c>
      <c r="J299" t="str">
        <f t="shared" si="14"/>
        <v>2H.A.calendula.Solo</v>
      </c>
      <c r="K299">
        <v>6</v>
      </c>
      <c r="L299">
        <f>52+41+38+49+42+36</f>
        <v>258</v>
      </c>
      <c r="M299">
        <v>6</v>
      </c>
      <c r="N299">
        <f>258/6</f>
        <v>43</v>
      </c>
      <c r="O299">
        <v>12</v>
      </c>
      <c r="P299">
        <v>0</v>
      </c>
      <c r="Q299">
        <v>0</v>
      </c>
      <c r="R299">
        <v>0</v>
      </c>
      <c r="S299">
        <v>18</v>
      </c>
      <c r="T299">
        <v>18</v>
      </c>
      <c r="U299">
        <f>258+(12*N299)</f>
        <v>774</v>
      </c>
      <c r="V299">
        <v>774</v>
      </c>
      <c r="W299">
        <v>0</v>
      </c>
    </row>
    <row r="300" spans="1:24" x14ac:dyDescent="0.25">
      <c r="A300" t="s">
        <v>45</v>
      </c>
      <c r="B300">
        <v>2</v>
      </c>
      <c r="C300" t="s">
        <v>27</v>
      </c>
      <c r="D300" t="s">
        <v>95</v>
      </c>
      <c r="E300" t="s">
        <v>105</v>
      </c>
      <c r="F300" t="s">
        <v>221</v>
      </c>
      <c r="G300" t="s">
        <v>145</v>
      </c>
      <c r="H300" t="str">
        <f t="shared" si="12"/>
        <v>Shade.Highcomp</v>
      </c>
      <c r="I300" t="str">
        <f t="shared" si="13"/>
        <v>H.glabra.Highcomp</v>
      </c>
      <c r="J300" t="str">
        <f t="shared" si="14"/>
        <v>2H.H.glabra.Highcomp</v>
      </c>
      <c r="K300">
        <v>1</v>
      </c>
      <c r="L300">
        <v>0</v>
      </c>
      <c r="M300">
        <v>1</v>
      </c>
      <c r="N300">
        <v>0</v>
      </c>
      <c r="O300">
        <v>1</v>
      </c>
      <c r="P300">
        <v>0</v>
      </c>
      <c r="Q300">
        <v>0</v>
      </c>
      <c r="R300">
        <v>0</v>
      </c>
      <c r="S300">
        <v>2</v>
      </c>
      <c r="T300">
        <v>2</v>
      </c>
      <c r="U300" t="s">
        <v>114</v>
      </c>
      <c r="V300" t="s">
        <v>114</v>
      </c>
      <c r="W300">
        <v>0</v>
      </c>
    </row>
    <row r="301" spans="1:24" x14ac:dyDescent="0.25">
      <c r="A301" t="s">
        <v>45</v>
      </c>
      <c r="B301">
        <v>2</v>
      </c>
      <c r="C301" t="s">
        <v>27</v>
      </c>
      <c r="D301" t="s">
        <v>95</v>
      </c>
      <c r="E301" t="s">
        <v>105</v>
      </c>
      <c r="F301" t="s">
        <v>221</v>
      </c>
      <c r="G301" t="s">
        <v>120</v>
      </c>
      <c r="H301" t="str">
        <f t="shared" si="12"/>
        <v>Shade.Solo</v>
      </c>
      <c r="I301" t="str">
        <f t="shared" si="13"/>
        <v>H.glabra.Solo</v>
      </c>
      <c r="J301" t="str">
        <f t="shared" si="14"/>
        <v>2H.H.glabra.Solo</v>
      </c>
      <c r="K301">
        <v>4</v>
      </c>
      <c r="L301">
        <f>71+62+56+96</f>
        <v>285</v>
      </c>
      <c r="M301">
        <v>4</v>
      </c>
      <c r="N301">
        <f>285/4</f>
        <v>71.25</v>
      </c>
      <c r="O301">
        <v>3</v>
      </c>
      <c r="P301">
        <v>0</v>
      </c>
      <c r="Q301">
        <v>2</v>
      </c>
      <c r="R301">
        <v>0</v>
      </c>
      <c r="S301">
        <v>9</v>
      </c>
      <c r="T301">
        <v>7</v>
      </c>
      <c r="U301">
        <f>285+(3*N301)</f>
        <v>498.75</v>
      </c>
      <c r="V301">
        <v>499</v>
      </c>
      <c r="W301">
        <v>0</v>
      </c>
    </row>
    <row r="302" spans="1:24" x14ac:dyDescent="0.25">
      <c r="A302" t="s">
        <v>45</v>
      </c>
      <c r="B302">
        <v>2</v>
      </c>
      <c r="C302" t="s">
        <v>27</v>
      </c>
      <c r="D302" t="s">
        <v>95</v>
      </c>
      <c r="E302" t="s">
        <v>112</v>
      </c>
      <c r="F302" t="s">
        <v>222</v>
      </c>
      <c r="G302" t="s">
        <v>145</v>
      </c>
      <c r="H302" t="str">
        <f t="shared" si="12"/>
        <v>Shade.Highcomp</v>
      </c>
      <c r="I302" t="str">
        <f t="shared" si="13"/>
        <v>V.rosea.Highcomp</v>
      </c>
      <c r="J302" t="str">
        <f t="shared" si="14"/>
        <v>2H.V.rosea.Highcomp</v>
      </c>
      <c r="K302">
        <v>15</v>
      </c>
      <c r="L302">
        <f>14+12+8</f>
        <v>34</v>
      </c>
      <c r="M302">
        <v>11</v>
      </c>
      <c r="N302">
        <f>34/11</f>
        <v>3.0909090909090908</v>
      </c>
      <c r="O302">
        <v>0</v>
      </c>
      <c r="P302">
        <v>1</v>
      </c>
      <c r="Q302">
        <v>1</v>
      </c>
      <c r="R302">
        <v>0</v>
      </c>
      <c r="S302">
        <v>17</v>
      </c>
      <c r="T302">
        <v>15</v>
      </c>
      <c r="U302">
        <f>34+(4*N302)</f>
        <v>46.36363636363636</v>
      </c>
      <c r="V302">
        <v>46</v>
      </c>
      <c r="W302">
        <v>0</v>
      </c>
    </row>
    <row r="303" spans="1:24" x14ac:dyDescent="0.25">
      <c r="A303" t="s">
        <v>45</v>
      </c>
      <c r="B303">
        <v>2</v>
      </c>
      <c r="C303" t="s">
        <v>27</v>
      </c>
      <c r="D303" t="s">
        <v>95</v>
      </c>
      <c r="E303" t="s">
        <v>112</v>
      </c>
      <c r="F303" t="s">
        <v>222</v>
      </c>
      <c r="G303" t="s">
        <v>120</v>
      </c>
      <c r="H303" t="str">
        <f t="shared" si="12"/>
        <v>Shade.Solo</v>
      </c>
      <c r="I303" t="str">
        <f t="shared" si="13"/>
        <v>V.rosea.Solo</v>
      </c>
      <c r="J303" t="str">
        <f t="shared" si="14"/>
        <v>2H.V.rosea.Solo</v>
      </c>
      <c r="K303">
        <v>39</v>
      </c>
      <c r="L303">
        <f>15+16+16+12</f>
        <v>59</v>
      </c>
      <c r="M303">
        <v>15</v>
      </c>
      <c r="N303">
        <f>59/15</f>
        <v>3.9333333333333331</v>
      </c>
      <c r="O303">
        <v>0</v>
      </c>
      <c r="P303">
        <v>10</v>
      </c>
      <c r="Q303">
        <v>8</v>
      </c>
      <c r="R303">
        <v>0</v>
      </c>
      <c r="S303">
        <v>57</v>
      </c>
      <c r="T303">
        <v>39</v>
      </c>
      <c r="U303">
        <f>59+(24*N303)</f>
        <v>153.39999999999998</v>
      </c>
      <c r="V303">
        <v>153</v>
      </c>
      <c r="W303">
        <v>0</v>
      </c>
    </row>
    <row r="304" spans="1:24" x14ac:dyDescent="0.25">
      <c r="A304" t="s">
        <v>46</v>
      </c>
      <c r="B304">
        <v>2</v>
      </c>
      <c r="C304" t="s">
        <v>29</v>
      </c>
      <c r="D304" t="s">
        <v>95</v>
      </c>
      <c r="E304" t="s">
        <v>102</v>
      </c>
      <c r="F304" t="s">
        <v>221</v>
      </c>
      <c r="G304" t="s">
        <v>145</v>
      </c>
      <c r="H304" t="str">
        <f t="shared" si="12"/>
        <v>Shade.Highcomp</v>
      </c>
      <c r="I304" t="str">
        <f t="shared" si="13"/>
        <v>A.calendula.Highcomp</v>
      </c>
      <c r="J304" t="str">
        <f t="shared" si="14"/>
        <v>2I.A.calendula.Highcomp</v>
      </c>
      <c r="K304">
        <v>8</v>
      </c>
      <c r="L304">
        <f>51+55+36+2</f>
        <v>144</v>
      </c>
      <c r="M304">
        <v>4</v>
      </c>
      <c r="N304">
        <f>144/4</f>
        <v>36</v>
      </c>
      <c r="O304">
        <v>5</v>
      </c>
      <c r="P304">
        <v>0</v>
      </c>
      <c r="Q304">
        <v>2</v>
      </c>
      <c r="R304">
        <v>0</v>
      </c>
      <c r="S304">
        <v>15</v>
      </c>
      <c r="T304">
        <v>13</v>
      </c>
      <c r="U304">
        <f>144+(9*N304)</f>
        <v>468</v>
      </c>
      <c r="V304">
        <v>468</v>
      </c>
      <c r="W304">
        <v>0</v>
      </c>
    </row>
    <row r="305" spans="1:24" x14ac:dyDescent="0.25">
      <c r="A305" t="s">
        <v>46</v>
      </c>
      <c r="B305">
        <v>2</v>
      </c>
      <c r="C305" t="s">
        <v>29</v>
      </c>
      <c r="D305" t="s">
        <v>95</v>
      </c>
      <c r="E305" t="s">
        <v>102</v>
      </c>
      <c r="F305" t="s">
        <v>221</v>
      </c>
      <c r="G305" t="s">
        <v>120</v>
      </c>
      <c r="H305" t="str">
        <f t="shared" si="12"/>
        <v>Shade.Solo</v>
      </c>
      <c r="I305" t="str">
        <f t="shared" si="13"/>
        <v>A.calendula.Solo</v>
      </c>
      <c r="J305" t="str">
        <f t="shared" si="14"/>
        <v>2I.A.calendula.Solo</v>
      </c>
      <c r="K305">
        <v>5</v>
      </c>
      <c r="L305">
        <f>32+28+34+29+31</f>
        <v>154</v>
      </c>
      <c r="M305">
        <v>5</v>
      </c>
      <c r="N305">
        <f>154/5</f>
        <v>30.8</v>
      </c>
      <c r="O305">
        <v>0</v>
      </c>
      <c r="P305">
        <v>1</v>
      </c>
      <c r="Q305">
        <v>0</v>
      </c>
      <c r="R305">
        <v>0</v>
      </c>
      <c r="S305">
        <v>6</v>
      </c>
      <c r="T305">
        <v>5</v>
      </c>
      <c r="U305">
        <v>154</v>
      </c>
      <c r="V305">
        <v>154</v>
      </c>
      <c r="W305">
        <v>0</v>
      </c>
    </row>
    <row r="306" spans="1:24" x14ac:dyDescent="0.25">
      <c r="A306" t="s">
        <v>46</v>
      </c>
      <c r="B306">
        <v>2</v>
      </c>
      <c r="C306" t="s">
        <v>29</v>
      </c>
      <c r="D306" t="s">
        <v>95</v>
      </c>
      <c r="E306" t="s">
        <v>110</v>
      </c>
      <c r="F306" t="s">
        <v>221</v>
      </c>
      <c r="G306" t="s">
        <v>145</v>
      </c>
      <c r="H306" t="str">
        <f t="shared" si="12"/>
        <v>Shade.Highcomp</v>
      </c>
      <c r="I306" t="str">
        <f t="shared" si="13"/>
        <v>M.minima.Highcomp</v>
      </c>
      <c r="J306" t="str">
        <f t="shared" si="14"/>
        <v>2I.M.minima.Highcomp</v>
      </c>
      <c r="K306">
        <v>1</v>
      </c>
      <c r="L306">
        <v>1</v>
      </c>
      <c r="M306">
        <v>1</v>
      </c>
      <c r="N306">
        <v>1</v>
      </c>
      <c r="O306">
        <v>0</v>
      </c>
      <c r="P306">
        <v>0</v>
      </c>
      <c r="Q306">
        <v>0</v>
      </c>
      <c r="R306">
        <v>0</v>
      </c>
      <c r="S306">
        <v>1</v>
      </c>
      <c r="T306">
        <v>1</v>
      </c>
      <c r="U306">
        <v>1</v>
      </c>
      <c r="V306">
        <v>1</v>
      </c>
      <c r="W306">
        <v>0</v>
      </c>
    </row>
    <row r="307" spans="1:24" x14ac:dyDescent="0.25">
      <c r="A307" t="s">
        <v>46</v>
      </c>
      <c r="B307">
        <v>2</v>
      </c>
      <c r="C307" t="s">
        <v>29</v>
      </c>
      <c r="D307" t="s">
        <v>95</v>
      </c>
      <c r="E307" t="s">
        <v>110</v>
      </c>
      <c r="F307" t="s">
        <v>221</v>
      </c>
      <c r="G307" t="s">
        <v>120</v>
      </c>
      <c r="H307" t="str">
        <f t="shared" si="12"/>
        <v>Shade.Solo</v>
      </c>
      <c r="I307" t="str">
        <f t="shared" si="13"/>
        <v>M.minima.Solo</v>
      </c>
      <c r="J307" t="str">
        <f t="shared" si="14"/>
        <v>2I.M.minima.Solo</v>
      </c>
      <c r="K307">
        <v>3</v>
      </c>
      <c r="L307">
        <v>3</v>
      </c>
      <c r="M307">
        <v>3</v>
      </c>
      <c r="N307">
        <v>1</v>
      </c>
      <c r="O307">
        <v>0</v>
      </c>
      <c r="P307">
        <v>2</v>
      </c>
      <c r="Q307">
        <v>0</v>
      </c>
      <c r="R307">
        <v>0</v>
      </c>
      <c r="S307">
        <v>5</v>
      </c>
      <c r="T307">
        <v>3</v>
      </c>
      <c r="U307">
        <v>3</v>
      </c>
      <c r="V307">
        <v>3</v>
      </c>
      <c r="W307">
        <v>0</v>
      </c>
    </row>
    <row r="308" spans="1:24" x14ac:dyDescent="0.25">
      <c r="A308" t="s">
        <v>46</v>
      </c>
      <c r="B308">
        <v>2</v>
      </c>
      <c r="C308" t="s">
        <v>29</v>
      </c>
      <c r="D308" t="s">
        <v>95</v>
      </c>
      <c r="E308" t="s">
        <v>112</v>
      </c>
      <c r="F308" t="s">
        <v>222</v>
      </c>
      <c r="G308" t="s">
        <v>145</v>
      </c>
      <c r="H308" t="str">
        <f t="shared" si="12"/>
        <v>Shade.Highcomp</v>
      </c>
      <c r="I308" t="str">
        <f t="shared" si="13"/>
        <v>V.rosea.Highcomp</v>
      </c>
      <c r="J308" t="str">
        <f t="shared" si="14"/>
        <v>2I.V.rosea.Highcomp</v>
      </c>
      <c r="K308">
        <v>82</v>
      </c>
      <c r="L308">
        <f>15+14+17+16+5</f>
        <v>67</v>
      </c>
      <c r="M308">
        <v>17</v>
      </c>
      <c r="N308">
        <f>67/17</f>
        <v>3.9411764705882355</v>
      </c>
      <c r="O308">
        <v>0</v>
      </c>
      <c r="P308">
        <v>4</v>
      </c>
      <c r="Q308">
        <v>0</v>
      </c>
      <c r="R308">
        <v>0</v>
      </c>
      <c r="S308">
        <v>86</v>
      </c>
      <c r="T308">
        <v>82</v>
      </c>
      <c r="U308">
        <f>67+(65*N308)</f>
        <v>323.1764705882353</v>
      </c>
      <c r="V308">
        <v>323</v>
      </c>
      <c r="W308">
        <v>0</v>
      </c>
    </row>
    <row r="309" spans="1:24" x14ac:dyDescent="0.25">
      <c r="A309" t="s">
        <v>46</v>
      </c>
      <c r="B309">
        <v>2</v>
      </c>
      <c r="C309" t="s">
        <v>29</v>
      </c>
      <c r="D309" t="s">
        <v>95</v>
      </c>
      <c r="E309" t="s">
        <v>112</v>
      </c>
      <c r="F309" t="s">
        <v>222</v>
      </c>
      <c r="G309" t="s">
        <v>120</v>
      </c>
      <c r="H309" t="str">
        <f t="shared" si="12"/>
        <v>Shade.Solo</v>
      </c>
      <c r="I309" t="str">
        <f t="shared" si="13"/>
        <v>V.rosea.Solo</v>
      </c>
      <c r="J309" t="str">
        <f t="shared" si="14"/>
        <v>2I.V.rosea.Solo</v>
      </c>
      <c r="K309">
        <v>52</v>
      </c>
      <c r="L309">
        <f>13+14+9</f>
        <v>36</v>
      </c>
      <c r="M309">
        <v>11</v>
      </c>
      <c r="N309">
        <f>36/11</f>
        <v>3.2727272727272729</v>
      </c>
      <c r="O309">
        <v>1</v>
      </c>
      <c r="P309">
        <v>3</v>
      </c>
      <c r="Q309">
        <v>0</v>
      </c>
      <c r="R309">
        <v>0</v>
      </c>
      <c r="S309">
        <v>56</v>
      </c>
      <c r="T309">
        <v>53</v>
      </c>
      <c r="U309">
        <f>36+(42*N309)</f>
        <v>173.45454545454547</v>
      </c>
      <c r="V309">
        <v>173</v>
      </c>
      <c r="W309">
        <v>0</v>
      </c>
    </row>
    <row r="310" spans="1:24" x14ac:dyDescent="0.25">
      <c r="A310" t="s">
        <v>47</v>
      </c>
      <c r="B310">
        <v>2</v>
      </c>
      <c r="C310" t="s">
        <v>31</v>
      </c>
      <c r="D310" t="s">
        <v>94</v>
      </c>
      <c r="E310" t="s">
        <v>112</v>
      </c>
      <c r="F310" t="s">
        <v>222</v>
      </c>
      <c r="G310" t="s">
        <v>145</v>
      </c>
      <c r="H310" t="str">
        <f t="shared" si="12"/>
        <v>Open.Highcomp</v>
      </c>
      <c r="I310" t="str">
        <f t="shared" si="13"/>
        <v>V.rosea.Highcomp</v>
      </c>
      <c r="J310" t="str">
        <f t="shared" si="14"/>
        <v>2J.V.rosea.Highcomp</v>
      </c>
      <c r="K310">
        <v>88</v>
      </c>
      <c r="L310">
        <f>64+2+5+12+9</f>
        <v>92</v>
      </c>
      <c r="M310">
        <f>23</f>
        <v>23</v>
      </c>
      <c r="N310">
        <f>92/23</f>
        <v>4</v>
      </c>
      <c r="O310">
        <v>3</v>
      </c>
      <c r="P310">
        <v>0</v>
      </c>
      <c r="Q310">
        <v>0</v>
      </c>
      <c r="R310">
        <v>1</v>
      </c>
      <c r="S310">
        <v>91</v>
      </c>
      <c r="T310">
        <v>91</v>
      </c>
      <c r="U310">
        <f>92+(68*N310)</f>
        <v>364</v>
      </c>
      <c r="V310">
        <v>364</v>
      </c>
      <c r="W310">
        <v>0</v>
      </c>
    </row>
    <row r="311" spans="1:24" x14ac:dyDescent="0.25">
      <c r="A311" t="s">
        <v>47</v>
      </c>
      <c r="B311">
        <v>2</v>
      </c>
      <c r="C311" t="s">
        <v>31</v>
      </c>
      <c r="D311" t="s">
        <v>94</v>
      </c>
      <c r="E311" t="s">
        <v>112</v>
      </c>
      <c r="F311" t="s">
        <v>222</v>
      </c>
      <c r="G311" t="s">
        <v>120</v>
      </c>
      <c r="H311" t="str">
        <f t="shared" si="12"/>
        <v>Open.Solo</v>
      </c>
      <c r="I311" t="str">
        <f t="shared" si="13"/>
        <v>V.rosea.Solo</v>
      </c>
      <c r="J311" t="str">
        <f t="shared" si="14"/>
        <v>2J.V.rosea.Solo</v>
      </c>
      <c r="K311">
        <v>20</v>
      </c>
      <c r="L311">
        <v>12</v>
      </c>
      <c r="M311">
        <v>3</v>
      </c>
      <c r="N311">
        <v>4</v>
      </c>
      <c r="O311">
        <v>0</v>
      </c>
      <c r="P311">
        <v>0</v>
      </c>
      <c r="Q311">
        <v>0</v>
      </c>
      <c r="R311">
        <v>0</v>
      </c>
      <c r="S311">
        <v>20</v>
      </c>
      <c r="T311">
        <v>20</v>
      </c>
      <c r="U311">
        <f>12+(17*4)</f>
        <v>80</v>
      </c>
      <c r="V311">
        <v>80</v>
      </c>
      <c r="W311">
        <v>0</v>
      </c>
    </row>
    <row r="312" spans="1:24" x14ac:dyDescent="0.25">
      <c r="A312" t="s">
        <v>48</v>
      </c>
      <c r="B312">
        <v>2</v>
      </c>
      <c r="C312" t="s">
        <v>33</v>
      </c>
      <c r="D312" t="s">
        <v>95</v>
      </c>
      <c r="E312" t="s">
        <v>105</v>
      </c>
      <c r="F312" t="s">
        <v>221</v>
      </c>
      <c r="G312" t="s">
        <v>145</v>
      </c>
      <c r="H312" t="str">
        <f t="shared" si="12"/>
        <v>Shade.Highcomp</v>
      </c>
      <c r="I312" t="str">
        <f t="shared" si="13"/>
        <v>H.glabra.Highcomp</v>
      </c>
      <c r="J312" t="str">
        <f t="shared" si="14"/>
        <v>2K.H.glabra.Highcomp</v>
      </c>
      <c r="K312">
        <v>2</v>
      </c>
      <c r="L312">
        <f>69+62</f>
        <v>131</v>
      </c>
      <c r="M312">
        <v>2</v>
      </c>
      <c r="N312">
        <f>131/2</f>
        <v>65.5</v>
      </c>
      <c r="O312">
        <v>1</v>
      </c>
      <c r="P312">
        <v>0</v>
      </c>
      <c r="Q312">
        <v>1</v>
      </c>
      <c r="R312">
        <v>0</v>
      </c>
      <c r="S312">
        <v>4</v>
      </c>
      <c r="T312">
        <v>3</v>
      </c>
      <c r="U312">
        <f>131+65.5</f>
        <v>196.5</v>
      </c>
      <c r="V312">
        <v>197</v>
      </c>
      <c r="W312">
        <v>0</v>
      </c>
    </row>
    <row r="313" spans="1:24" x14ac:dyDescent="0.25">
      <c r="A313" t="s">
        <v>48</v>
      </c>
      <c r="B313">
        <v>2</v>
      </c>
      <c r="C313" t="s">
        <v>33</v>
      </c>
      <c r="D313" t="s">
        <v>95</v>
      </c>
      <c r="E313" t="s">
        <v>105</v>
      </c>
      <c r="F313" t="s">
        <v>221</v>
      </c>
      <c r="G313" t="s">
        <v>120</v>
      </c>
      <c r="H313" t="str">
        <f t="shared" si="12"/>
        <v>Shade.Solo</v>
      </c>
      <c r="I313" t="str">
        <f t="shared" si="13"/>
        <v>H.glabra.Solo</v>
      </c>
      <c r="J313" t="str">
        <f t="shared" si="14"/>
        <v>2K.H.glabra.Solo</v>
      </c>
      <c r="K313">
        <v>3</v>
      </c>
      <c r="L313">
        <f>67+27</f>
        <v>94</v>
      </c>
      <c r="M313">
        <v>2</v>
      </c>
      <c r="N313">
        <v>47</v>
      </c>
      <c r="O313">
        <v>1</v>
      </c>
      <c r="P313">
        <v>0</v>
      </c>
      <c r="Q313">
        <v>2</v>
      </c>
      <c r="R313">
        <v>0</v>
      </c>
      <c r="S313">
        <v>5</v>
      </c>
      <c r="T313">
        <v>3</v>
      </c>
      <c r="U313">
        <f>94+47</f>
        <v>141</v>
      </c>
      <c r="V313">
        <v>141</v>
      </c>
      <c r="W313">
        <v>0</v>
      </c>
    </row>
    <row r="314" spans="1:24" x14ac:dyDescent="0.25">
      <c r="A314" t="s">
        <v>48</v>
      </c>
      <c r="B314">
        <v>2</v>
      </c>
      <c r="C314" t="s">
        <v>33</v>
      </c>
      <c r="D314" t="s">
        <v>95</v>
      </c>
      <c r="E314" t="s">
        <v>111</v>
      </c>
      <c r="F314" t="s">
        <v>222</v>
      </c>
      <c r="G314" t="s">
        <v>145</v>
      </c>
      <c r="H314" t="str">
        <f t="shared" si="12"/>
        <v>Shade.Highcomp</v>
      </c>
      <c r="I314" t="str">
        <f t="shared" si="13"/>
        <v>P.canescens.Highcomp</v>
      </c>
      <c r="J314" t="str">
        <f t="shared" si="14"/>
        <v>2K.P.canescens.Highcomp</v>
      </c>
      <c r="K314">
        <v>4</v>
      </c>
      <c r="L314">
        <f>49+75+26+108</f>
        <v>258</v>
      </c>
      <c r="M314">
        <v>4</v>
      </c>
      <c r="N314">
        <f>258/4</f>
        <v>64.5</v>
      </c>
      <c r="O314">
        <v>3</v>
      </c>
      <c r="P314">
        <v>0</v>
      </c>
      <c r="Q314">
        <v>2</v>
      </c>
      <c r="R314">
        <v>1</v>
      </c>
      <c r="S314">
        <v>9</v>
      </c>
      <c r="T314">
        <v>7</v>
      </c>
      <c r="U314">
        <f>258+(3*N314)</f>
        <v>451.5</v>
      </c>
      <c r="V314">
        <v>452</v>
      </c>
      <c r="W314">
        <v>0</v>
      </c>
    </row>
    <row r="315" spans="1:24" x14ac:dyDescent="0.25">
      <c r="A315" t="s">
        <v>48</v>
      </c>
      <c r="B315">
        <v>2</v>
      </c>
      <c r="C315" t="s">
        <v>33</v>
      </c>
      <c r="D315" t="s">
        <v>95</v>
      </c>
      <c r="E315" t="s">
        <v>111</v>
      </c>
      <c r="F315" t="s">
        <v>222</v>
      </c>
      <c r="G315" t="s">
        <v>120</v>
      </c>
      <c r="H315" t="str">
        <f t="shared" si="12"/>
        <v>Shade.Solo</v>
      </c>
      <c r="I315" t="str">
        <f t="shared" si="13"/>
        <v>P.canescens.Solo</v>
      </c>
      <c r="J315" t="str">
        <f t="shared" si="14"/>
        <v>2K.P.canescens.Solo</v>
      </c>
      <c r="K315">
        <v>6</v>
      </c>
      <c r="L315">
        <v>0</v>
      </c>
      <c r="M315">
        <v>6</v>
      </c>
      <c r="N315">
        <v>0</v>
      </c>
      <c r="O315">
        <v>0</v>
      </c>
      <c r="P315">
        <v>0</v>
      </c>
      <c r="Q315">
        <v>2</v>
      </c>
      <c r="R315">
        <v>1</v>
      </c>
      <c r="S315">
        <v>8</v>
      </c>
      <c r="T315">
        <v>6</v>
      </c>
      <c r="U315">
        <v>0</v>
      </c>
      <c r="V315">
        <v>0</v>
      </c>
      <c r="W315">
        <v>0</v>
      </c>
      <c r="X315" t="s">
        <v>193</v>
      </c>
    </row>
    <row r="316" spans="1:24" x14ac:dyDescent="0.25">
      <c r="A316" t="s">
        <v>48</v>
      </c>
      <c r="B316">
        <v>2</v>
      </c>
      <c r="C316" t="s">
        <v>33</v>
      </c>
      <c r="D316" t="s">
        <v>95</v>
      </c>
      <c r="E316" t="s">
        <v>104</v>
      </c>
      <c r="F316" t="s">
        <v>222</v>
      </c>
      <c r="G316" t="s">
        <v>145</v>
      </c>
      <c r="H316" t="str">
        <f t="shared" si="12"/>
        <v>Shade.Highcomp</v>
      </c>
      <c r="I316" t="str">
        <f t="shared" si="13"/>
        <v>T.cyanopetala.Highcomp</v>
      </c>
      <c r="J316" t="str">
        <f t="shared" si="14"/>
        <v>2K.T.cyanopetala.Highcomp</v>
      </c>
      <c r="K316">
        <v>3</v>
      </c>
      <c r="L316">
        <v>14</v>
      </c>
      <c r="M316">
        <v>3</v>
      </c>
      <c r="N316">
        <f>14/3</f>
        <v>4.666666666666667</v>
      </c>
      <c r="O316">
        <v>0</v>
      </c>
      <c r="P316">
        <v>0</v>
      </c>
      <c r="Q316">
        <v>0</v>
      </c>
      <c r="R316">
        <v>0</v>
      </c>
      <c r="S316">
        <v>3</v>
      </c>
      <c r="T316">
        <v>3</v>
      </c>
      <c r="U316">
        <v>14</v>
      </c>
      <c r="V316">
        <v>14</v>
      </c>
      <c r="W316">
        <v>0</v>
      </c>
    </row>
    <row r="317" spans="1:24" x14ac:dyDescent="0.25">
      <c r="A317" t="s">
        <v>48</v>
      </c>
      <c r="B317">
        <v>2</v>
      </c>
      <c r="C317" t="s">
        <v>33</v>
      </c>
      <c r="D317" t="s">
        <v>95</v>
      </c>
      <c r="E317" t="s">
        <v>104</v>
      </c>
      <c r="F317" t="s">
        <v>222</v>
      </c>
      <c r="G317" t="s">
        <v>120</v>
      </c>
      <c r="H317" t="str">
        <f t="shared" si="12"/>
        <v>Shade.Solo</v>
      </c>
      <c r="I317" t="str">
        <f t="shared" si="13"/>
        <v>T.cyanopetala.Solo</v>
      </c>
      <c r="J317" t="str">
        <f t="shared" si="14"/>
        <v>2K.T.cyanopetala.Solo</v>
      </c>
      <c r="K317">
        <v>11</v>
      </c>
      <c r="L317">
        <f>4+6+8+8+8+6+6+4+6+6+4</f>
        <v>66</v>
      </c>
      <c r="M317">
        <v>11</v>
      </c>
      <c r="N317">
        <v>6</v>
      </c>
      <c r="O317">
        <v>0</v>
      </c>
      <c r="P317">
        <v>0</v>
      </c>
      <c r="Q317">
        <v>0</v>
      </c>
      <c r="R317">
        <v>0</v>
      </c>
      <c r="S317">
        <v>11</v>
      </c>
      <c r="T317">
        <v>11</v>
      </c>
      <c r="U317">
        <v>66</v>
      </c>
      <c r="V317">
        <v>66</v>
      </c>
      <c r="W317">
        <v>0</v>
      </c>
    </row>
    <row r="318" spans="1:24" x14ac:dyDescent="0.25">
      <c r="A318" t="s">
        <v>49</v>
      </c>
      <c r="B318">
        <v>2</v>
      </c>
      <c r="C318" t="s">
        <v>35</v>
      </c>
      <c r="D318" t="s">
        <v>94</v>
      </c>
      <c r="E318" t="s">
        <v>102</v>
      </c>
      <c r="F318" t="s">
        <v>221</v>
      </c>
      <c r="G318" t="s">
        <v>145</v>
      </c>
      <c r="H318" t="str">
        <f t="shared" si="12"/>
        <v>Open.Highcomp</v>
      </c>
      <c r="I318" t="str">
        <f t="shared" si="13"/>
        <v>A.calendula.Highcomp</v>
      </c>
      <c r="J318" t="str">
        <f t="shared" si="14"/>
        <v>2L.A.calendula.Highcomp</v>
      </c>
      <c r="K318">
        <v>1</v>
      </c>
      <c r="L318">
        <v>39</v>
      </c>
      <c r="M318">
        <v>1</v>
      </c>
      <c r="N318">
        <v>39</v>
      </c>
      <c r="O318">
        <v>8</v>
      </c>
      <c r="P318">
        <v>0</v>
      </c>
      <c r="Q318">
        <v>0</v>
      </c>
      <c r="R318">
        <v>0</v>
      </c>
      <c r="S318">
        <v>9</v>
      </c>
      <c r="T318">
        <v>9</v>
      </c>
      <c r="U318">
        <f>39+(8*39)</f>
        <v>351</v>
      </c>
      <c r="V318">
        <v>351</v>
      </c>
      <c r="W318">
        <v>0</v>
      </c>
    </row>
    <row r="319" spans="1:24" x14ac:dyDescent="0.25">
      <c r="A319" t="s">
        <v>49</v>
      </c>
      <c r="B319">
        <v>2</v>
      </c>
      <c r="C319" t="s">
        <v>35</v>
      </c>
      <c r="D319" t="s">
        <v>94</v>
      </c>
      <c r="E319" t="s">
        <v>102</v>
      </c>
      <c r="F319" t="s">
        <v>221</v>
      </c>
      <c r="G319" t="s">
        <v>120</v>
      </c>
      <c r="H319" t="str">
        <f t="shared" si="12"/>
        <v>Open.Solo</v>
      </c>
      <c r="I319" t="str">
        <f t="shared" si="13"/>
        <v>A.calendula.Solo</v>
      </c>
      <c r="J319" t="str">
        <f t="shared" si="14"/>
        <v>2L.A.calendula.Solo</v>
      </c>
      <c r="K319">
        <v>3</v>
      </c>
      <c r="L319">
        <f>24+15+14</f>
        <v>53</v>
      </c>
      <c r="M319">
        <v>3</v>
      </c>
      <c r="N319">
        <f>53/3</f>
        <v>17.666666666666668</v>
      </c>
      <c r="O319">
        <v>5</v>
      </c>
      <c r="P319">
        <v>0</v>
      </c>
      <c r="Q319">
        <v>0</v>
      </c>
      <c r="R319">
        <v>0</v>
      </c>
      <c r="S319">
        <v>8</v>
      </c>
      <c r="T319">
        <v>8</v>
      </c>
      <c r="U319">
        <f>53+(N319*5)</f>
        <v>141.33333333333334</v>
      </c>
      <c r="V319">
        <v>141</v>
      </c>
      <c r="W319">
        <v>0</v>
      </c>
    </row>
    <row r="320" spans="1:24" x14ac:dyDescent="0.25">
      <c r="A320" t="s">
        <v>49</v>
      </c>
      <c r="B320">
        <v>2</v>
      </c>
      <c r="C320" t="s">
        <v>35</v>
      </c>
      <c r="D320" t="s">
        <v>94</v>
      </c>
      <c r="E320" t="s">
        <v>112</v>
      </c>
      <c r="F320" t="s">
        <v>222</v>
      </c>
      <c r="G320" t="s">
        <v>145</v>
      </c>
      <c r="H320" t="str">
        <f t="shared" si="12"/>
        <v>Open.Highcomp</v>
      </c>
      <c r="I320" t="str">
        <f t="shared" si="13"/>
        <v>V.rosea.Highcomp</v>
      </c>
      <c r="J320" t="str">
        <f t="shared" si="14"/>
        <v>2L.V.rosea.Highcomp</v>
      </c>
      <c r="K320">
        <v>41</v>
      </c>
      <c r="L320">
        <f>44+15+2</f>
        <v>61</v>
      </c>
      <c r="M320">
        <v>17</v>
      </c>
      <c r="N320">
        <f>61/17</f>
        <v>3.5882352941176472</v>
      </c>
      <c r="O320">
        <v>1</v>
      </c>
      <c r="P320">
        <v>0</v>
      </c>
      <c r="Q320">
        <v>0</v>
      </c>
      <c r="R320">
        <v>0</v>
      </c>
      <c r="S320">
        <v>42</v>
      </c>
      <c r="T320">
        <v>42</v>
      </c>
      <c r="U320">
        <f>61+(25*N320)</f>
        <v>150.70588235294116</v>
      </c>
      <c r="V320">
        <v>151</v>
      </c>
      <c r="W320">
        <v>0</v>
      </c>
    </row>
    <row r="321" spans="1:23" x14ac:dyDescent="0.25">
      <c r="A321" t="s">
        <v>49</v>
      </c>
      <c r="B321">
        <v>2</v>
      </c>
      <c r="C321" t="s">
        <v>35</v>
      </c>
      <c r="D321" t="s">
        <v>94</v>
      </c>
      <c r="E321" t="s">
        <v>112</v>
      </c>
      <c r="F321" t="s">
        <v>222</v>
      </c>
      <c r="G321" t="s">
        <v>120</v>
      </c>
      <c r="H321" t="str">
        <f t="shared" si="12"/>
        <v>Open.Solo</v>
      </c>
      <c r="I321" t="str">
        <f t="shared" si="13"/>
        <v>V.rosea.Solo</v>
      </c>
      <c r="J321" t="str">
        <f t="shared" si="14"/>
        <v>2L.V.rosea.Solo</v>
      </c>
      <c r="K321">
        <v>64</v>
      </c>
      <c r="L321">
        <f>64+18</f>
        <v>82</v>
      </c>
      <c r="M321">
        <v>22</v>
      </c>
      <c r="N321">
        <f>82/22</f>
        <v>3.7272727272727271</v>
      </c>
      <c r="O321">
        <v>20</v>
      </c>
      <c r="P321">
        <v>0</v>
      </c>
      <c r="Q321">
        <v>0</v>
      </c>
      <c r="R321">
        <v>0</v>
      </c>
      <c r="S321">
        <v>84</v>
      </c>
      <c r="T321">
        <v>84</v>
      </c>
      <c r="U321">
        <f>82+(60*N321)</f>
        <v>305.63636363636363</v>
      </c>
      <c r="V321">
        <v>306</v>
      </c>
      <c r="W321">
        <v>0</v>
      </c>
    </row>
    <row r="322" spans="1:23" x14ac:dyDescent="0.25">
      <c r="A322" t="s">
        <v>79</v>
      </c>
      <c r="B322">
        <v>6</v>
      </c>
      <c r="C322" t="s">
        <v>11</v>
      </c>
      <c r="D322" t="s">
        <v>95</v>
      </c>
      <c r="E322" t="s">
        <v>113</v>
      </c>
      <c r="F322" t="s">
        <v>222</v>
      </c>
      <c r="G322" t="s">
        <v>145</v>
      </c>
      <c r="H322" t="str">
        <f t="shared" ref="H322:H385" si="15">D322&amp;"."&amp;G322</f>
        <v>Shade.Highcomp</v>
      </c>
      <c r="I322" t="str">
        <f t="shared" ref="I322:I389" si="16">E322&amp;"."&amp;G322</f>
        <v>H.glutinosum.Highcomp</v>
      </c>
      <c r="J322" t="str">
        <f t="shared" si="14"/>
        <v>6A.H.glutinosum.Highcomp</v>
      </c>
      <c r="K322">
        <v>1</v>
      </c>
      <c r="L322">
        <v>3</v>
      </c>
      <c r="M322">
        <v>1</v>
      </c>
      <c r="N322">
        <v>3</v>
      </c>
      <c r="O322">
        <v>0</v>
      </c>
      <c r="P322">
        <v>0</v>
      </c>
      <c r="Q322">
        <v>0</v>
      </c>
      <c r="R322">
        <v>0</v>
      </c>
      <c r="S322">
        <v>1</v>
      </c>
      <c r="T322">
        <v>1</v>
      </c>
      <c r="U322">
        <v>3</v>
      </c>
      <c r="V322">
        <v>3</v>
      </c>
      <c r="W322">
        <v>0</v>
      </c>
    </row>
    <row r="323" spans="1:23" x14ac:dyDescent="0.25">
      <c r="A323" t="s">
        <v>79</v>
      </c>
      <c r="B323">
        <v>6</v>
      </c>
      <c r="C323" t="s">
        <v>11</v>
      </c>
      <c r="D323" t="s">
        <v>95</v>
      </c>
      <c r="E323" t="s">
        <v>113</v>
      </c>
      <c r="F323" t="s">
        <v>222</v>
      </c>
      <c r="G323" t="s">
        <v>120</v>
      </c>
      <c r="H323" t="str">
        <f t="shared" si="15"/>
        <v>Shade.Solo</v>
      </c>
      <c r="I323" t="str">
        <f t="shared" si="16"/>
        <v>H.glutinosum.Solo</v>
      </c>
      <c r="J323" t="str">
        <f t="shared" ref="J323:J386" si="17">A323&amp;"."&amp;E323&amp;"."&amp;G323</f>
        <v>6A.H.glutinosum.Solo</v>
      </c>
      <c r="K323">
        <v>3</v>
      </c>
      <c r="L323">
        <v>0</v>
      </c>
      <c r="M323">
        <v>3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3</v>
      </c>
      <c r="T323">
        <v>3</v>
      </c>
      <c r="U323">
        <v>0</v>
      </c>
      <c r="V323">
        <v>0</v>
      </c>
      <c r="W323">
        <v>0</v>
      </c>
    </row>
    <row r="324" spans="1:23" x14ac:dyDescent="0.25">
      <c r="A324" t="s">
        <v>79</v>
      </c>
      <c r="B324">
        <v>6</v>
      </c>
      <c r="C324" t="s">
        <v>11</v>
      </c>
      <c r="D324" t="s">
        <v>95</v>
      </c>
      <c r="E324" t="s">
        <v>103</v>
      </c>
      <c r="F324" t="s">
        <v>221</v>
      </c>
      <c r="G324" t="s">
        <v>145</v>
      </c>
      <c r="H324" t="str">
        <f t="shared" si="15"/>
        <v>Shade.Highcomp</v>
      </c>
      <c r="I324" t="str">
        <f t="shared" si="16"/>
        <v>P.airoides.Highcomp</v>
      </c>
      <c r="J324" t="str">
        <f t="shared" si="17"/>
        <v>6A.P.airoides.Highcomp</v>
      </c>
      <c r="K324">
        <v>3</v>
      </c>
      <c r="L324">
        <f>36+47+65</f>
        <v>148</v>
      </c>
      <c r="M324">
        <v>3</v>
      </c>
      <c r="N324">
        <f>148/3</f>
        <v>49.333333333333336</v>
      </c>
      <c r="O324">
        <v>0</v>
      </c>
      <c r="P324">
        <v>0</v>
      </c>
      <c r="Q324">
        <v>0</v>
      </c>
      <c r="R324">
        <v>0</v>
      </c>
      <c r="S324">
        <v>3</v>
      </c>
      <c r="T324">
        <v>3</v>
      </c>
      <c r="U324">
        <v>148</v>
      </c>
      <c r="V324">
        <v>148</v>
      </c>
      <c r="W324">
        <v>0</v>
      </c>
    </row>
    <row r="325" spans="1:23" x14ac:dyDescent="0.25">
      <c r="A325" t="s">
        <v>79</v>
      </c>
      <c r="B325">
        <v>6</v>
      </c>
      <c r="C325" t="s">
        <v>11</v>
      </c>
      <c r="D325" t="s">
        <v>95</v>
      </c>
      <c r="E325" t="s">
        <v>103</v>
      </c>
      <c r="F325" t="s">
        <v>221</v>
      </c>
      <c r="G325" t="s">
        <v>120</v>
      </c>
      <c r="H325" t="str">
        <f t="shared" si="15"/>
        <v>Shade.Solo</v>
      </c>
      <c r="I325" t="str">
        <f t="shared" si="16"/>
        <v>P.airoides.Solo</v>
      </c>
      <c r="J325" t="str">
        <f t="shared" si="17"/>
        <v>6A.P.airoides.Solo</v>
      </c>
      <c r="K325">
        <v>4</v>
      </c>
      <c r="L325">
        <f>102+69+113+72</f>
        <v>356</v>
      </c>
      <c r="M325">
        <v>4</v>
      </c>
      <c r="N325">
        <f>356/4</f>
        <v>89</v>
      </c>
      <c r="O325">
        <v>0</v>
      </c>
      <c r="P325">
        <v>0</v>
      </c>
      <c r="Q325">
        <v>0</v>
      </c>
      <c r="R325">
        <v>0</v>
      </c>
      <c r="S325">
        <v>4</v>
      </c>
      <c r="T325">
        <v>4</v>
      </c>
      <c r="U325">
        <v>356</v>
      </c>
      <c r="V325">
        <v>356</v>
      </c>
      <c r="W325">
        <v>0</v>
      </c>
    </row>
    <row r="326" spans="1:23" x14ac:dyDescent="0.25">
      <c r="A326" t="s">
        <v>79</v>
      </c>
      <c r="B326">
        <v>6</v>
      </c>
      <c r="C326" t="s">
        <v>11</v>
      </c>
      <c r="D326" t="s">
        <v>95</v>
      </c>
      <c r="E326" t="s">
        <v>111</v>
      </c>
      <c r="F326" t="s">
        <v>222</v>
      </c>
      <c r="G326" t="s">
        <v>145</v>
      </c>
      <c r="H326" t="str">
        <f t="shared" si="15"/>
        <v>Shade.Highcomp</v>
      </c>
      <c r="I326" t="str">
        <f t="shared" si="16"/>
        <v>P.canescens.Highcomp</v>
      </c>
      <c r="J326" t="str">
        <f t="shared" si="17"/>
        <v>6A.P.canescens.Highcomp</v>
      </c>
      <c r="K326">
        <v>10</v>
      </c>
      <c r="L326">
        <f>12+37+68+17+140+115</f>
        <v>389</v>
      </c>
      <c r="M326">
        <v>6</v>
      </c>
      <c r="N326">
        <f>389/6</f>
        <v>64.833333333333329</v>
      </c>
      <c r="O326">
        <v>4</v>
      </c>
      <c r="P326">
        <v>42</v>
      </c>
      <c r="Q326">
        <v>22</v>
      </c>
      <c r="R326">
        <v>1</v>
      </c>
      <c r="S326">
        <v>74</v>
      </c>
      <c r="T326">
        <v>56</v>
      </c>
      <c r="U326">
        <f>389+(50*N326)</f>
        <v>3630.6666666666665</v>
      </c>
      <c r="V326">
        <v>3631</v>
      </c>
      <c r="W326">
        <v>0</v>
      </c>
    </row>
    <row r="327" spans="1:23" x14ac:dyDescent="0.25">
      <c r="A327" t="s">
        <v>79</v>
      </c>
      <c r="B327">
        <v>6</v>
      </c>
      <c r="C327" t="s">
        <v>11</v>
      </c>
      <c r="D327" t="s">
        <v>95</v>
      </c>
      <c r="E327" t="s">
        <v>111</v>
      </c>
      <c r="F327" t="s">
        <v>222</v>
      </c>
      <c r="G327" t="s">
        <v>120</v>
      </c>
      <c r="H327" t="str">
        <f t="shared" si="15"/>
        <v>Shade.Solo</v>
      </c>
      <c r="I327" t="str">
        <f t="shared" si="16"/>
        <v>P.canescens.Solo</v>
      </c>
      <c r="J327" t="str">
        <f t="shared" si="17"/>
        <v>6A.P.canescens.Solo</v>
      </c>
      <c r="K327">
        <v>9</v>
      </c>
      <c r="L327">
        <f>78+88+102+25+49+88+0+63+15</f>
        <v>508</v>
      </c>
      <c r="M327">
        <v>9</v>
      </c>
      <c r="N327">
        <f>508/9</f>
        <v>56.444444444444443</v>
      </c>
      <c r="O327">
        <v>3</v>
      </c>
      <c r="P327">
        <v>49</v>
      </c>
      <c r="Q327">
        <v>15</v>
      </c>
      <c r="R327">
        <v>1</v>
      </c>
      <c r="S327">
        <v>76</v>
      </c>
      <c r="T327">
        <v>61</v>
      </c>
      <c r="U327">
        <f>508+(52*N327)</f>
        <v>3443.1111111111109</v>
      </c>
      <c r="V327">
        <v>3443</v>
      </c>
      <c r="W327">
        <v>0</v>
      </c>
    </row>
    <row r="328" spans="1:23" x14ac:dyDescent="0.25">
      <c r="A328" t="s">
        <v>80</v>
      </c>
      <c r="B328">
        <v>6</v>
      </c>
      <c r="C328" t="s">
        <v>15</v>
      </c>
      <c r="D328" t="s">
        <v>95</v>
      </c>
      <c r="E328" t="s">
        <v>105</v>
      </c>
      <c r="F328" t="s">
        <v>221</v>
      </c>
      <c r="G328" t="s">
        <v>145</v>
      </c>
      <c r="H328" t="str">
        <f t="shared" si="15"/>
        <v>Shade.Highcomp</v>
      </c>
      <c r="I328" t="str">
        <f t="shared" si="16"/>
        <v>H.glabra.Highcomp</v>
      </c>
      <c r="J328" t="str">
        <f t="shared" si="17"/>
        <v>6B.H.glabra.Highcomp</v>
      </c>
      <c r="K328">
        <v>3</v>
      </c>
      <c r="L328">
        <f>49+33+55</f>
        <v>137</v>
      </c>
      <c r="M328">
        <v>3</v>
      </c>
      <c r="N328">
        <f>137/3</f>
        <v>45.666666666666664</v>
      </c>
      <c r="O328">
        <v>0</v>
      </c>
      <c r="P328">
        <v>0</v>
      </c>
      <c r="Q328">
        <v>0</v>
      </c>
      <c r="R328">
        <v>0</v>
      </c>
      <c r="S328">
        <v>3</v>
      </c>
      <c r="T328">
        <v>3</v>
      </c>
      <c r="U328">
        <v>137</v>
      </c>
      <c r="V328">
        <v>137</v>
      </c>
      <c r="W328">
        <v>0</v>
      </c>
    </row>
    <row r="329" spans="1:23" x14ac:dyDescent="0.25">
      <c r="A329" t="s">
        <v>80</v>
      </c>
      <c r="B329">
        <v>6</v>
      </c>
      <c r="C329" t="s">
        <v>15</v>
      </c>
      <c r="D329" t="s">
        <v>95</v>
      </c>
      <c r="E329" t="s">
        <v>105</v>
      </c>
      <c r="F329" t="s">
        <v>221</v>
      </c>
      <c r="G329" t="s">
        <v>120</v>
      </c>
      <c r="H329" t="str">
        <f t="shared" si="15"/>
        <v>Shade.Solo</v>
      </c>
      <c r="I329" t="str">
        <f t="shared" si="16"/>
        <v>H.glabra.Solo</v>
      </c>
      <c r="J329" t="str">
        <f t="shared" si="17"/>
        <v>6B.H.glabra.Solo</v>
      </c>
      <c r="K329">
        <v>3</v>
      </c>
      <c r="L329">
        <f>6+23+19</f>
        <v>48</v>
      </c>
      <c r="M329">
        <v>3</v>
      </c>
      <c r="N329">
        <f>48/3</f>
        <v>16</v>
      </c>
      <c r="O329">
        <v>2</v>
      </c>
      <c r="P329">
        <v>0</v>
      </c>
      <c r="Q329">
        <v>0</v>
      </c>
      <c r="R329">
        <v>0</v>
      </c>
      <c r="S329">
        <v>5</v>
      </c>
      <c r="T329">
        <v>5</v>
      </c>
      <c r="U329">
        <f>48+(16*2)</f>
        <v>80</v>
      </c>
      <c r="V329">
        <v>80</v>
      </c>
      <c r="W329">
        <v>0</v>
      </c>
    </row>
    <row r="330" spans="1:23" x14ac:dyDescent="0.25">
      <c r="A330" t="s">
        <v>80</v>
      </c>
      <c r="B330">
        <v>6</v>
      </c>
      <c r="C330" t="s">
        <v>15</v>
      </c>
      <c r="D330" t="s">
        <v>95</v>
      </c>
      <c r="E330" t="s">
        <v>113</v>
      </c>
      <c r="F330" t="s">
        <v>222</v>
      </c>
      <c r="G330" t="s">
        <v>145</v>
      </c>
      <c r="H330" t="str">
        <f t="shared" si="15"/>
        <v>Shade.Highcomp</v>
      </c>
      <c r="I330" t="str">
        <f t="shared" si="16"/>
        <v>H.glutinosum.Highcomp</v>
      </c>
      <c r="J330" t="str">
        <f t="shared" si="17"/>
        <v>6B.H.glutinosum.Highcomp</v>
      </c>
      <c r="K330">
        <v>1</v>
      </c>
      <c r="L330">
        <v>3</v>
      </c>
      <c r="M330">
        <v>1</v>
      </c>
      <c r="N330">
        <v>3</v>
      </c>
      <c r="O330">
        <v>0</v>
      </c>
      <c r="P330">
        <v>0</v>
      </c>
      <c r="Q330">
        <v>0</v>
      </c>
      <c r="R330">
        <v>0</v>
      </c>
      <c r="S330">
        <v>1</v>
      </c>
      <c r="T330">
        <v>1</v>
      </c>
      <c r="U330">
        <v>3</v>
      </c>
      <c r="V330">
        <v>3</v>
      </c>
      <c r="W330">
        <v>0</v>
      </c>
    </row>
    <row r="331" spans="1:23" x14ac:dyDescent="0.25">
      <c r="A331" t="s">
        <v>80</v>
      </c>
      <c r="B331">
        <v>6</v>
      </c>
      <c r="C331" t="s">
        <v>15</v>
      </c>
      <c r="D331" t="s">
        <v>95</v>
      </c>
      <c r="E331" t="s">
        <v>113</v>
      </c>
      <c r="F331" t="s">
        <v>222</v>
      </c>
      <c r="G331" t="s">
        <v>120</v>
      </c>
      <c r="H331" t="str">
        <f t="shared" si="15"/>
        <v>Shade.Solo</v>
      </c>
      <c r="I331" t="str">
        <f t="shared" si="16"/>
        <v>H.glutinosum.Solo</v>
      </c>
      <c r="J331" t="str">
        <f t="shared" si="17"/>
        <v>6B.H.glutinosum.Solo</v>
      </c>
      <c r="K331">
        <v>1</v>
      </c>
      <c r="L331">
        <v>0</v>
      </c>
      <c r="M331">
        <v>1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1</v>
      </c>
      <c r="T331">
        <v>1</v>
      </c>
      <c r="U331">
        <v>0</v>
      </c>
      <c r="V331">
        <v>0</v>
      </c>
      <c r="W331">
        <v>0</v>
      </c>
    </row>
    <row r="332" spans="1:23" x14ac:dyDescent="0.25">
      <c r="A332" t="s">
        <v>80</v>
      </c>
      <c r="B332">
        <v>6</v>
      </c>
      <c r="C332" t="s">
        <v>15</v>
      </c>
      <c r="D332" t="s">
        <v>95</v>
      </c>
      <c r="E332" t="s">
        <v>103</v>
      </c>
      <c r="F332" t="s">
        <v>221</v>
      </c>
      <c r="G332" t="s">
        <v>145</v>
      </c>
      <c r="H332" t="str">
        <f t="shared" si="15"/>
        <v>Shade.Highcomp</v>
      </c>
      <c r="I332" t="str">
        <f t="shared" si="16"/>
        <v>P.airoides.Highcomp</v>
      </c>
      <c r="J332" t="str">
        <f t="shared" si="17"/>
        <v>6B.P.airoides.Highcomp</v>
      </c>
      <c r="K332">
        <v>4</v>
      </c>
      <c r="L332">
        <f>53+42+35+41</f>
        <v>171</v>
      </c>
      <c r="M332">
        <v>4</v>
      </c>
      <c r="N332">
        <f>171/4</f>
        <v>42.75</v>
      </c>
      <c r="O332">
        <v>0</v>
      </c>
      <c r="P332">
        <v>0</v>
      </c>
      <c r="Q332">
        <v>0</v>
      </c>
      <c r="R332">
        <v>0</v>
      </c>
      <c r="S332">
        <v>4</v>
      </c>
      <c r="T332">
        <v>4</v>
      </c>
      <c r="U332">
        <v>171</v>
      </c>
      <c r="V332">
        <v>171</v>
      </c>
      <c r="W332">
        <v>0</v>
      </c>
    </row>
    <row r="333" spans="1:23" x14ac:dyDescent="0.25">
      <c r="A333" t="s">
        <v>80</v>
      </c>
      <c r="B333">
        <v>6</v>
      </c>
      <c r="C333" t="s">
        <v>15</v>
      </c>
      <c r="D333" t="s">
        <v>95</v>
      </c>
      <c r="E333" t="s">
        <v>103</v>
      </c>
      <c r="F333" t="s">
        <v>221</v>
      </c>
      <c r="G333" t="s">
        <v>120</v>
      </c>
      <c r="H333" t="str">
        <f t="shared" si="15"/>
        <v>Shade.Solo</v>
      </c>
      <c r="I333" t="str">
        <f t="shared" si="16"/>
        <v>P.airoides.Solo</v>
      </c>
      <c r="J333" t="str">
        <f t="shared" si="17"/>
        <v>6B.P.airoides.Solo</v>
      </c>
      <c r="K333">
        <v>6</v>
      </c>
      <c r="L333">
        <f>66+85+65+62+95+83</f>
        <v>456</v>
      </c>
      <c r="M333">
        <v>6</v>
      </c>
      <c r="N333">
        <f>456/6</f>
        <v>76</v>
      </c>
      <c r="O333">
        <v>0</v>
      </c>
      <c r="P333">
        <v>0</v>
      </c>
      <c r="Q333">
        <v>0</v>
      </c>
      <c r="R333">
        <v>0</v>
      </c>
      <c r="S333">
        <v>6</v>
      </c>
      <c r="T333">
        <v>6</v>
      </c>
      <c r="U333">
        <v>456</v>
      </c>
      <c r="V333">
        <v>456</v>
      </c>
      <c r="W333">
        <v>0</v>
      </c>
    </row>
    <row r="334" spans="1:23" x14ac:dyDescent="0.25">
      <c r="A334" t="s">
        <v>81</v>
      </c>
      <c r="B334">
        <v>6</v>
      </c>
      <c r="C334" t="s">
        <v>17</v>
      </c>
      <c r="D334" t="s">
        <v>94</v>
      </c>
      <c r="E334" t="s">
        <v>105</v>
      </c>
      <c r="F334" t="s">
        <v>221</v>
      </c>
      <c r="G334" t="s">
        <v>145</v>
      </c>
      <c r="H334" t="str">
        <f t="shared" si="15"/>
        <v>Open.Highcomp</v>
      </c>
      <c r="I334" t="str">
        <f t="shared" si="16"/>
        <v>H.glabra.Highcomp</v>
      </c>
      <c r="J334" t="str">
        <f t="shared" si="17"/>
        <v>6C.H.glabra.Highcomp</v>
      </c>
      <c r="K334">
        <v>2</v>
      </c>
      <c r="L334">
        <v>52</v>
      </c>
      <c r="M334">
        <v>2</v>
      </c>
      <c r="N334">
        <f>52/2</f>
        <v>26</v>
      </c>
      <c r="O334">
        <v>2</v>
      </c>
      <c r="P334">
        <v>0</v>
      </c>
      <c r="Q334">
        <v>1</v>
      </c>
      <c r="R334">
        <v>0</v>
      </c>
      <c r="S334">
        <v>5</v>
      </c>
      <c r="T334">
        <v>4</v>
      </c>
      <c r="U334">
        <f>52+(2*N334)</f>
        <v>104</v>
      </c>
      <c r="V334">
        <v>104</v>
      </c>
      <c r="W334">
        <v>0</v>
      </c>
    </row>
    <row r="335" spans="1:23" x14ac:dyDescent="0.25">
      <c r="A335" t="s">
        <v>81</v>
      </c>
      <c r="B335">
        <v>6</v>
      </c>
      <c r="C335" t="s">
        <v>17</v>
      </c>
      <c r="D335" t="s">
        <v>94</v>
      </c>
      <c r="E335" t="s">
        <v>105</v>
      </c>
      <c r="F335" t="s">
        <v>221</v>
      </c>
      <c r="G335" t="s">
        <v>120</v>
      </c>
      <c r="H335" t="str">
        <f t="shared" si="15"/>
        <v>Open.Solo</v>
      </c>
      <c r="I335" t="str">
        <f t="shared" si="16"/>
        <v>H.glabra.Solo</v>
      </c>
      <c r="J335" t="str">
        <f t="shared" si="17"/>
        <v>6C.H.glabra.Solo</v>
      </c>
      <c r="K335">
        <v>4</v>
      </c>
      <c r="L335">
        <f>33+24+32+44</f>
        <v>133</v>
      </c>
      <c r="M335">
        <v>4</v>
      </c>
      <c r="N335">
        <f>133/4</f>
        <v>33.25</v>
      </c>
      <c r="O335">
        <v>6</v>
      </c>
      <c r="P335">
        <v>0</v>
      </c>
      <c r="Q335">
        <v>2</v>
      </c>
      <c r="R335">
        <v>0</v>
      </c>
      <c r="S335">
        <v>12</v>
      </c>
      <c r="T335">
        <v>10</v>
      </c>
      <c r="U335">
        <f>133+(N335*6)</f>
        <v>332.5</v>
      </c>
      <c r="V335">
        <v>333</v>
      </c>
      <c r="W335">
        <v>0</v>
      </c>
    </row>
    <row r="336" spans="1:23" x14ac:dyDescent="0.25">
      <c r="A336" t="s">
        <v>81</v>
      </c>
      <c r="B336">
        <v>6</v>
      </c>
      <c r="C336" t="s">
        <v>17</v>
      </c>
      <c r="D336" t="s">
        <v>94</v>
      </c>
      <c r="E336" t="s">
        <v>113</v>
      </c>
      <c r="F336" t="s">
        <v>222</v>
      </c>
      <c r="G336" t="s">
        <v>145</v>
      </c>
      <c r="H336" t="str">
        <f t="shared" si="15"/>
        <v>Open.Highcomp</v>
      </c>
      <c r="I336" t="str">
        <f t="shared" si="16"/>
        <v>H.glutinosum.Highcomp</v>
      </c>
      <c r="J336" t="str">
        <f t="shared" si="17"/>
        <v>6C.H.glutinosum.Highcomp</v>
      </c>
      <c r="K336">
        <v>4</v>
      </c>
      <c r="L336">
        <f>8</f>
        <v>8</v>
      </c>
      <c r="M336">
        <v>4</v>
      </c>
      <c r="N336">
        <v>2</v>
      </c>
      <c r="O336">
        <v>0</v>
      </c>
      <c r="P336">
        <v>0</v>
      </c>
      <c r="Q336">
        <v>0</v>
      </c>
      <c r="R336">
        <v>0</v>
      </c>
      <c r="S336">
        <v>4</v>
      </c>
      <c r="T336">
        <v>4</v>
      </c>
      <c r="U336">
        <v>8</v>
      </c>
      <c r="V336">
        <v>8</v>
      </c>
      <c r="W336">
        <v>0</v>
      </c>
    </row>
    <row r="337" spans="1:23" x14ac:dyDescent="0.25">
      <c r="A337" t="s">
        <v>81</v>
      </c>
      <c r="B337">
        <v>6</v>
      </c>
      <c r="C337" t="s">
        <v>17</v>
      </c>
      <c r="D337" t="s">
        <v>94</v>
      </c>
      <c r="E337" t="s">
        <v>113</v>
      </c>
      <c r="F337" t="s">
        <v>222</v>
      </c>
      <c r="G337" t="s">
        <v>120</v>
      </c>
      <c r="H337" t="str">
        <f t="shared" si="15"/>
        <v>Open.Solo</v>
      </c>
      <c r="I337" t="str">
        <f t="shared" si="16"/>
        <v>H.glutinosum.Solo</v>
      </c>
      <c r="J337" t="str">
        <f t="shared" si="17"/>
        <v>6C.H.glutinosum.Solo</v>
      </c>
      <c r="K337">
        <v>3</v>
      </c>
      <c r="L337">
        <v>1</v>
      </c>
      <c r="M337">
        <v>3</v>
      </c>
      <c r="N337">
        <f>1/3</f>
        <v>0.33333333333333331</v>
      </c>
      <c r="O337">
        <v>1</v>
      </c>
      <c r="P337">
        <v>0</v>
      </c>
      <c r="Q337">
        <v>0</v>
      </c>
      <c r="R337">
        <v>0</v>
      </c>
      <c r="S337">
        <v>4</v>
      </c>
      <c r="T337">
        <v>4</v>
      </c>
      <c r="U337">
        <f>1+(N337)</f>
        <v>1.3333333333333333</v>
      </c>
      <c r="V337">
        <v>1</v>
      </c>
      <c r="W337">
        <v>0</v>
      </c>
    </row>
    <row r="338" spans="1:23" x14ac:dyDescent="0.25">
      <c r="A338" t="s">
        <v>81</v>
      </c>
      <c r="B338">
        <v>6</v>
      </c>
      <c r="C338" t="s">
        <v>17</v>
      </c>
      <c r="D338" t="s">
        <v>94</v>
      </c>
      <c r="E338" t="s">
        <v>103</v>
      </c>
      <c r="F338" t="s">
        <v>221</v>
      </c>
      <c r="G338" t="s">
        <v>145</v>
      </c>
      <c r="H338" t="str">
        <f t="shared" si="15"/>
        <v>Open.Highcomp</v>
      </c>
      <c r="I338" t="str">
        <f t="shared" si="16"/>
        <v>P.airoides.Highcomp</v>
      </c>
      <c r="J338" t="str">
        <f t="shared" si="17"/>
        <v>6C.P.airoides.Highcomp</v>
      </c>
      <c r="K338">
        <v>2</v>
      </c>
      <c r="L338">
        <f>57+65</f>
        <v>122</v>
      </c>
      <c r="M338">
        <v>2</v>
      </c>
      <c r="N338">
        <f>122/2</f>
        <v>61</v>
      </c>
      <c r="O338">
        <v>0</v>
      </c>
      <c r="P338">
        <v>0</v>
      </c>
      <c r="Q338">
        <v>0</v>
      </c>
      <c r="R338">
        <v>0</v>
      </c>
      <c r="S338">
        <v>2</v>
      </c>
      <c r="T338">
        <v>2</v>
      </c>
      <c r="U338">
        <v>122</v>
      </c>
      <c r="V338">
        <v>122</v>
      </c>
      <c r="W338">
        <v>0</v>
      </c>
    </row>
    <row r="339" spans="1:23" x14ac:dyDescent="0.25">
      <c r="A339" t="s">
        <v>81</v>
      </c>
      <c r="B339">
        <v>6</v>
      </c>
      <c r="C339" t="s">
        <v>17</v>
      </c>
      <c r="D339" t="s">
        <v>94</v>
      </c>
      <c r="E339" t="s">
        <v>103</v>
      </c>
      <c r="F339" t="s">
        <v>221</v>
      </c>
      <c r="G339" t="s">
        <v>120</v>
      </c>
      <c r="H339" t="str">
        <f t="shared" si="15"/>
        <v>Open.Solo</v>
      </c>
      <c r="I339" t="str">
        <f t="shared" si="16"/>
        <v>P.airoides.Solo</v>
      </c>
      <c r="J339" t="str">
        <f t="shared" si="17"/>
        <v>6C.P.airoides.Solo</v>
      </c>
      <c r="K339">
        <v>6</v>
      </c>
      <c r="L339">
        <f>57+53+31+34+35+63</f>
        <v>273</v>
      </c>
      <c r="M339">
        <v>6</v>
      </c>
      <c r="N339">
        <f>273/6</f>
        <v>45.5</v>
      </c>
      <c r="O339">
        <v>0</v>
      </c>
      <c r="P339">
        <v>0</v>
      </c>
      <c r="Q339">
        <v>0</v>
      </c>
      <c r="R339">
        <v>0</v>
      </c>
      <c r="S339">
        <v>6</v>
      </c>
      <c r="T339">
        <v>6</v>
      </c>
      <c r="U339">
        <v>273</v>
      </c>
      <c r="V339">
        <v>273</v>
      </c>
      <c r="W339">
        <v>0</v>
      </c>
    </row>
    <row r="340" spans="1:23" x14ac:dyDescent="0.25">
      <c r="A340" t="s">
        <v>82</v>
      </c>
      <c r="B340">
        <v>6</v>
      </c>
      <c r="C340" t="s">
        <v>19</v>
      </c>
      <c r="D340" t="s">
        <v>94</v>
      </c>
      <c r="E340" t="s">
        <v>102</v>
      </c>
      <c r="F340" t="s">
        <v>221</v>
      </c>
      <c r="G340" t="s">
        <v>145</v>
      </c>
      <c r="H340" t="str">
        <f t="shared" si="15"/>
        <v>Open.Highcomp</v>
      </c>
      <c r="I340" t="str">
        <f t="shared" si="16"/>
        <v>A.calendula.Highcomp</v>
      </c>
      <c r="J340" t="str">
        <f t="shared" si="17"/>
        <v>6D.A.calendula.Highcomp</v>
      </c>
      <c r="K340">
        <v>4</v>
      </c>
      <c r="L340">
        <f>50+33+39+48</f>
        <v>170</v>
      </c>
      <c r="M340">
        <v>4</v>
      </c>
      <c r="N340">
        <f>170/4</f>
        <v>42.5</v>
      </c>
      <c r="O340">
        <v>14</v>
      </c>
      <c r="P340">
        <v>0</v>
      </c>
      <c r="Q340">
        <v>0</v>
      </c>
      <c r="R340">
        <v>0</v>
      </c>
      <c r="S340">
        <v>18</v>
      </c>
      <c r="T340">
        <v>18</v>
      </c>
      <c r="U340">
        <f>170+(14*N340)</f>
        <v>765</v>
      </c>
      <c r="V340">
        <v>765</v>
      </c>
      <c r="W340">
        <v>0</v>
      </c>
    </row>
    <row r="341" spans="1:23" x14ac:dyDescent="0.25">
      <c r="A341" t="s">
        <v>82</v>
      </c>
      <c r="B341">
        <v>6</v>
      </c>
      <c r="C341" t="s">
        <v>19</v>
      </c>
      <c r="D341" t="s">
        <v>94</v>
      </c>
      <c r="E341" t="s">
        <v>102</v>
      </c>
      <c r="F341" t="s">
        <v>221</v>
      </c>
      <c r="G341" t="s">
        <v>120</v>
      </c>
      <c r="H341" t="str">
        <f t="shared" si="15"/>
        <v>Open.Solo</v>
      </c>
      <c r="I341" t="str">
        <f t="shared" si="16"/>
        <v>A.calendula.Solo</v>
      </c>
      <c r="J341" t="str">
        <f t="shared" si="17"/>
        <v>6D.A.calendula.Solo</v>
      </c>
      <c r="K341">
        <v>5</v>
      </c>
      <c r="L341">
        <f>53+42</f>
        <v>95</v>
      </c>
      <c r="M341">
        <v>2</v>
      </c>
      <c r="N341">
        <f>95/2</f>
        <v>47.5</v>
      </c>
      <c r="O341">
        <v>7</v>
      </c>
      <c r="P341">
        <v>1</v>
      </c>
      <c r="Q341">
        <v>2</v>
      </c>
      <c r="R341">
        <v>0</v>
      </c>
      <c r="S341">
        <v>15</v>
      </c>
      <c r="T341">
        <v>13</v>
      </c>
      <c r="U341">
        <f>95+(N341*11)</f>
        <v>617.5</v>
      </c>
      <c r="V341">
        <v>618</v>
      </c>
      <c r="W341">
        <v>0</v>
      </c>
    </row>
    <row r="342" spans="1:23" x14ac:dyDescent="0.25">
      <c r="A342" t="s">
        <v>82</v>
      </c>
      <c r="B342">
        <v>6</v>
      </c>
      <c r="C342" t="s">
        <v>19</v>
      </c>
      <c r="D342" t="s">
        <v>94</v>
      </c>
      <c r="E342" t="s">
        <v>113</v>
      </c>
      <c r="F342" t="s">
        <v>222</v>
      </c>
      <c r="G342" t="s">
        <v>145</v>
      </c>
      <c r="H342" t="str">
        <f t="shared" si="15"/>
        <v>Open.Highcomp</v>
      </c>
      <c r="I342" t="str">
        <f t="shared" si="16"/>
        <v>H.glutinosum.Highcomp</v>
      </c>
      <c r="J342" t="str">
        <f t="shared" si="17"/>
        <v>6D.H.glutinosum.Highcomp</v>
      </c>
      <c r="K342">
        <v>1</v>
      </c>
      <c r="L342">
        <v>0</v>
      </c>
      <c r="M342">
        <v>1</v>
      </c>
      <c r="N342">
        <v>0</v>
      </c>
      <c r="O342">
        <v>0</v>
      </c>
      <c r="P342">
        <v>3</v>
      </c>
      <c r="Q342">
        <v>0</v>
      </c>
      <c r="R342">
        <v>0</v>
      </c>
      <c r="S342">
        <v>4</v>
      </c>
      <c r="T342">
        <v>1</v>
      </c>
      <c r="U342">
        <v>0</v>
      </c>
      <c r="V342">
        <v>0</v>
      </c>
      <c r="W342">
        <v>0</v>
      </c>
    </row>
    <row r="343" spans="1:23" x14ac:dyDescent="0.25">
      <c r="A343" t="s">
        <v>82</v>
      </c>
      <c r="B343">
        <v>6</v>
      </c>
      <c r="C343" t="s">
        <v>19</v>
      </c>
      <c r="D343" t="s">
        <v>94</v>
      </c>
      <c r="E343" t="s">
        <v>113</v>
      </c>
      <c r="F343" t="s">
        <v>222</v>
      </c>
      <c r="G343" t="s">
        <v>120</v>
      </c>
      <c r="H343" t="str">
        <f t="shared" si="15"/>
        <v>Open.Solo</v>
      </c>
      <c r="I343" t="str">
        <f t="shared" si="16"/>
        <v>H.glutinosum.Solo</v>
      </c>
      <c r="J343" t="str">
        <f t="shared" si="17"/>
        <v>6D.H.glutinosum.Solo</v>
      </c>
      <c r="K343">
        <v>2</v>
      </c>
      <c r="L343">
        <v>3</v>
      </c>
      <c r="M343">
        <v>2</v>
      </c>
      <c r="N343">
        <v>1.5</v>
      </c>
      <c r="O343">
        <v>0</v>
      </c>
      <c r="P343">
        <v>0</v>
      </c>
      <c r="Q343">
        <v>0</v>
      </c>
      <c r="R343">
        <v>0</v>
      </c>
      <c r="S343">
        <v>2</v>
      </c>
      <c r="T343">
        <v>2</v>
      </c>
      <c r="U343">
        <v>3</v>
      </c>
      <c r="V343">
        <v>3</v>
      </c>
      <c r="W343">
        <v>0</v>
      </c>
    </row>
    <row r="344" spans="1:23" x14ac:dyDescent="0.25">
      <c r="A344" t="s">
        <v>82</v>
      </c>
      <c r="B344">
        <v>6</v>
      </c>
      <c r="C344" t="s">
        <v>19</v>
      </c>
      <c r="D344" t="s">
        <v>94</v>
      </c>
      <c r="E344" t="s">
        <v>104</v>
      </c>
      <c r="F344" t="s">
        <v>222</v>
      </c>
      <c r="G344" t="s">
        <v>145</v>
      </c>
      <c r="H344" t="str">
        <f t="shared" si="15"/>
        <v>Open.Highcomp</v>
      </c>
      <c r="I344" t="str">
        <f t="shared" si="16"/>
        <v>T.cyanopetala.Highcomp</v>
      </c>
      <c r="J344" t="str">
        <f t="shared" si="17"/>
        <v>6D.T.cyanopetala.Highcomp</v>
      </c>
      <c r="K344">
        <v>3</v>
      </c>
      <c r="L344">
        <f>4+6+8</f>
        <v>18</v>
      </c>
      <c r="M344">
        <v>3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3</v>
      </c>
      <c r="T344">
        <v>3</v>
      </c>
      <c r="U344">
        <v>18</v>
      </c>
      <c r="V344">
        <v>18</v>
      </c>
      <c r="W344">
        <v>0</v>
      </c>
    </row>
    <row r="345" spans="1:23" x14ac:dyDescent="0.25">
      <c r="A345" t="s">
        <v>82</v>
      </c>
      <c r="B345">
        <v>6</v>
      </c>
      <c r="C345" t="s">
        <v>19</v>
      </c>
      <c r="D345" t="s">
        <v>94</v>
      </c>
      <c r="E345" t="s">
        <v>104</v>
      </c>
      <c r="F345" t="s">
        <v>222</v>
      </c>
      <c r="G345" t="s">
        <v>120</v>
      </c>
      <c r="H345" t="str">
        <f t="shared" si="15"/>
        <v>Open.Solo</v>
      </c>
      <c r="I345" t="str">
        <f t="shared" si="16"/>
        <v>T.cyanopetala.Solo</v>
      </c>
      <c r="J345" t="str">
        <f t="shared" si="17"/>
        <v>6D.T.cyanopetala.Solo</v>
      </c>
      <c r="K345">
        <v>7</v>
      </c>
      <c r="L345">
        <f>8+6+4+10+8+2+10</f>
        <v>48</v>
      </c>
      <c r="M345">
        <v>7</v>
      </c>
      <c r="N345">
        <f>48/7</f>
        <v>6.8571428571428568</v>
      </c>
      <c r="O345">
        <v>0</v>
      </c>
      <c r="P345">
        <v>0</v>
      </c>
      <c r="Q345">
        <v>0</v>
      </c>
      <c r="R345">
        <v>0</v>
      </c>
      <c r="S345">
        <v>7</v>
      </c>
      <c r="T345">
        <v>7</v>
      </c>
      <c r="U345">
        <v>48</v>
      </c>
      <c r="V345">
        <v>48</v>
      </c>
      <c r="W345">
        <v>0</v>
      </c>
    </row>
    <row r="346" spans="1:23" x14ac:dyDescent="0.25">
      <c r="A346" t="s">
        <v>83</v>
      </c>
      <c r="B346">
        <v>6</v>
      </c>
      <c r="C346" t="s">
        <v>21</v>
      </c>
      <c r="D346" t="s">
        <v>94</v>
      </c>
      <c r="E346" t="s">
        <v>102</v>
      </c>
      <c r="F346" t="s">
        <v>221</v>
      </c>
      <c r="G346" t="s">
        <v>145</v>
      </c>
      <c r="H346" t="str">
        <f t="shared" si="15"/>
        <v>Open.Highcomp</v>
      </c>
      <c r="I346" t="str">
        <f t="shared" si="16"/>
        <v>A.calendula.Highcomp</v>
      </c>
      <c r="J346" t="str">
        <f t="shared" si="17"/>
        <v>6E.A.calendula.Highcomp</v>
      </c>
      <c r="K346">
        <v>7</v>
      </c>
      <c r="L346">
        <f>31+34+24+35+33+25+23</f>
        <v>205</v>
      </c>
      <c r="M346">
        <v>7</v>
      </c>
      <c r="N346">
        <f>205/7</f>
        <v>29.285714285714285</v>
      </c>
      <c r="O346">
        <v>21</v>
      </c>
      <c r="P346">
        <v>0</v>
      </c>
      <c r="Q346">
        <v>0</v>
      </c>
      <c r="R346">
        <v>0</v>
      </c>
      <c r="S346">
        <v>28</v>
      </c>
      <c r="T346">
        <v>28</v>
      </c>
      <c r="U346">
        <f>205+(N346*21)</f>
        <v>820</v>
      </c>
      <c r="V346">
        <v>820</v>
      </c>
      <c r="W346">
        <v>0</v>
      </c>
    </row>
    <row r="347" spans="1:23" x14ac:dyDescent="0.25">
      <c r="A347" t="s">
        <v>83</v>
      </c>
      <c r="B347">
        <v>6</v>
      </c>
      <c r="C347" t="s">
        <v>21</v>
      </c>
      <c r="D347" t="s">
        <v>94</v>
      </c>
      <c r="E347" t="s">
        <v>102</v>
      </c>
      <c r="F347" t="s">
        <v>221</v>
      </c>
      <c r="G347" t="s">
        <v>120</v>
      </c>
      <c r="H347" t="str">
        <f t="shared" si="15"/>
        <v>Open.Solo</v>
      </c>
      <c r="I347" t="str">
        <f t="shared" si="16"/>
        <v>A.calendula.Solo</v>
      </c>
      <c r="J347" t="str">
        <f t="shared" si="17"/>
        <v>6E.A.calendula.Solo</v>
      </c>
      <c r="K347">
        <v>9</v>
      </c>
      <c r="L347">
        <f>10+17+35+43+22+21+33+60+68</f>
        <v>309</v>
      </c>
      <c r="M347">
        <v>9</v>
      </c>
      <c r="N347">
        <f>309/9</f>
        <v>34.333333333333336</v>
      </c>
      <c r="O347">
        <v>21</v>
      </c>
      <c r="P347">
        <v>0</v>
      </c>
      <c r="Q347">
        <v>0</v>
      </c>
      <c r="R347">
        <v>0</v>
      </c>
      <c r="S347">
        <v>30</v>
      </c>
      <c r="T347">
        <v>30</v>
      </c>
      <c r="U347">
        <f>309+(21*N347)</f>
        <v>1030</v>
      </c>
      <c r="V347">
        <v>1030</v>
      </c>
      <c r="W347">
        <v>0</v>
      </c>
    </row>
    <row r="348" spans="1:23" x14ac:dyDescent="0.25">
      <c r="A348" t="s">
        <v>83</v>
      </c>
      <c r="B348">
        <v>6</v>
      </c>
      <c r="C348" t="s">
        <v>21</v>
      </c>
      <c r="D348" t="s">
        <v>94</v>
      </c>
      <c r="E348" t="s">
        <v>103</v>
      </c>
      <c r="F348" t="s">
        <v>221</v>
      </c>
      <c r="G348" t="s">
        <v>145</v>
      </c>
      <c r="H348" t="str">
        <f t="shared" si="15"/>
        <v>Open.Highcomp</v>
      </c>
      <c r="I348" t="str">
        <f t="shared" si="16"/>
        <v>P.airoides.Highcomp</v>
      </c>
      <c r="J348" t="str">
        <f t="shared" si="17"/>
        <v>6E.P.airoides.Highcomp</v>
      </c>
      <c r="K348">
        <v>4</v>
      </c>
      <c r="L348">
        <f>20+32+42+30</f>
        <v>124</v>
      </c>
      <c r="M348">
        <v>4</v>
      </c>
      <c r="N348">
        <f>124/4</f>
        <v>31</v>
      </c>
      <c r="O348">
        <v>0</v>
      </c>
      <c r="P348">
        <v>0</v>
      </c>
      <c r="Q348">
        <v>2</v>
      </c>
      <c r="R348">
        <v>0</v>
      </c>
      <c r="S348">
        <v>6</v>
      </c>
      <c r="T348">
        <v>4</v>
      </c>
      <c r="U348">
        <v>124</v>
      </c>
      <c r="V348">
        <v>124</v>
      </c>
      <c r="W348">
        <v>0</v>
      </c>
    </row>
    <row r="349" spans="1:23" x14ac:dyDescent="0.25">
      <c r="A349" t="s">
        <v>83</v>
      </c>
      <c r="B349">
        <v>6</v>
      </c>
      <c r="C349" t="s">
        <v>21</v>
      </c>
      <c r="D349" t="s">
        <v>94</v>
      </c>
      <c r="E349" t="s">
        <v>103</v>
      </c>
      <c r="F349" t="s">
        <v>221</v>
      </c>
      <c r="G349" t="s">
        <v>120</v>
      </c>
      <c r="H349" t="str">
        <f t="shared" si="15"/>
        <v>Open.Solo</v>
      </c>
      <c r="I349" t="str">
        <f t="shared" si="16"/>
        <v>P.airoides.Solo</v>
      </c>
      <c r="J349" t="str">
        <f t="shared" si="17"/>
        <v>6E.P.airoides.Solo</v>
      </c>
      <c r="K349">
        <v>27</v>
      </c>
      <c r="L349">
        <f>50+99+46+50+42+61+45+37+27+51+64+28+46+50+54+58+22+76+50+54+52+31+62+64+49+44+71</f>
        <v>1383</v>
      </c>
      <c r="M349">
        <v>27</v>
      </c>
      <c r="N349">
        <f>1383/27</f>
        <v>51.222222222222221</v>
      </c>
      <c r="O349">
        <v>0</v>
      </c>
      <c r="P349">
        <v>0</v>
      </c>
      <c r="Q349">
        <v>0</v>
      </c>
      <c r="R349">
        <v>0</v>
      </c>
      <c r="S349">
        <v>27</v>
      </c>
      <c r="T349">
        <v>27</v>
      </c>
      <c r="U349">
        <v>1383</v>
      </c>
      <c r="V349">
        <v>1383</v>
      </c>
      <c r="W349">
        <v>0</v>
      </c>
    </row>
    <row r="350" spans="1:23" x14ac:dyDescent="0.25">
      <c r="A350" t="s">
        <v>83</v>
      </c>
      <c r="B350">
        <v>6</v>
      </c>
      <c r="C350" t="s">
        <v>21</v>
      </c>
      <c r="D350" t="s">
        <v>94</v>
      </c>
      <c r="E350" t="s">
        <v>111</v>
      </c>
      <c r="F350" t="s">
        <v>222</v>
      </c>
      <c r="G350" t="s">
        <v>145</v>
      </c>
      <c r="H350" t="str">
        <f t="shared" si="15"/>
        <v>Open.Highcomp</v>
      </c>
      <c r="I350" t="str">
        <f t="shared" si="16"/>
        <v>P.canescens.Highcomp</v>
      </c>
      <c r="J350" t="str">
        <f t="shared" si="17"/>
        <v>6E.P.canescens.Highcomp</v>
      </c>
      <c r="K350">
        <v>3</v>
      </c>
      <c r="L350">
        <f>133+158</f>
        <v>291</v>
      </c>
      <c r="M350">
        <v>3</v>
      </c>
      <c r="N350">
        <f>291/3</f>
        <v>97</v>
      </c>
      <c r="O350">
        <v>0</v>
      </c>
      <c r="P350">
        <v>41</v>
      </c>
      <c r="Q350">
        <v>5</v>
      </c>
      <c r="R350">
        <v>0</v>
      </c>
      <c r="S350">
        <v>49</v>
      </c>
      <c r="T350">
        <v>44</v>
      </c>
      <c r="U350">
        <f>291+(41*N350)</f>
        <v>4268</v>
      </c>
      <c r="V350">
        <v>4268</v>
      </c>
      <c r="W350">
        <v>0</v>
      </c>
    </row>
    <row r="351" spans="1:23" x14ac:dyDescent="0.25">
      <c r="A351" t="s">
        <v>83</v>
      </c>
      <c r="B351">
        <v>6</v>
      </c>
      <c r="C351" t="s">
        <v>21</v>
      </c>
      <c r="D351" t="s">
        <v>94</v>
      </c>
      <c r="E351" t="s">
        <v>111</v>
      </c>
      <c r="F351" t="s">
        <v>222</v>
      </c>
      <c r="G351" t="s">
        <v>120</v>
      </c>
      <c r="H351" t="str">
        <f t="shared" si="15"/>
        <v>Open.Solo</v>
      </c>
      <c r="I351" t="str">
        <f t="shared" si="16"/>
        <v>P.canescens.Solo</v>
      </c>
      <c r="J351" t="str">
        <f t="shared" si="17"/>
        <v>6E.P.canescens.Solo</v>
      </c>
      <c r="K351">
        <v>4</v>
      </c>
      <c r="L351">
        <v>488</v>
      </c>
      <c r="M351">
        <v>4</v>
      </c>
      <c r="N351">
        <v>122</v>
      </c>
      <c r="O351">
        <v>1</v>
      </c>
      <c r="P351">
        <v>34</v>
      </c>
      <c r="Q351">
        <v>9</v>
      </c>
      <c r="R351">
        <v>0</v>
      </c>
      <c r="S351">
        <v>48</v>
      </c>
      <c r="T351">
        <v>39</v>
      </c>
      <c r="U351">
        <f>488+(35*N351)</f>
        <v>4758</v>
      </c>
      <c r="V351">
        <v>4758</v>
      </c>
      <c r="W351">
        <v>0</v>
      </c>
    </row>
    <row r="352" spans="1:23" x14ac:dyDescent="0.25">
      <c r="A352" t="s">
        <v>84</v>
      </c>
      <c r="B352">
        <v>6</v>
      </c>
      <c r="C352" t="s">
        <v>23</v>
      </c>
      <c r="D352" t="s">
        <v>95</v>
      </c>
      <c r="E352" t="s">
        <v>102</v>
      </c>
      <c r="F352" t="s">
        <v>221</v>
      </c>
      <c r="G352" t="s">
        <v>145</v>
      </c>
      <c r="H352" t="str">
        <f t="shared" si="15"/>
        <v>Shade.Highcomp</v>
      </c>
      <c r="I352" t="str">
        <f t="shared" si="16"/>
        <v>A.calendula.Highcomp</v>
      </c>
      <c r="J352" t="str">
        <f t="shared" si="17"/>
        <v>6F.A.calendula.Highcomp</v>
      </c>
      <c r="K352">
        <v>5</v>
      </c>
      <c r="L352">
        <f>2+58+85+62+77</f>
        <v>284</v>
      </c>
      <c r="M352">
        <v>5</v>
      </c>
      <c r="N352">
        <f>284/5</f>
        <v>56.8</v>
      </c>
      <c r="O352">
        <v>22</v>
      </c>
      <c r="P352">
        <v>0</v>
      </c>
      <c r="Q352">
        <v>1</v>
      </c>
      <c r="R352">
        <v>0</v>
      </c>
      <c r="S352">
        <v>28</v>
      </c>
      <c r="T352">
        <v>27</v>
      </c>
      <c r="U352">
        <f>284+(22*N352)</f>
        <v>1533.6</v>
      </c>
      <c r="V352">
        <v>1534</v>
      </c>
      <c r="W352">
        <v>0</v>
      </c>
    </row>
    <row r="353" spans="1:24" x14ac:dyDescent="0.25">
      <c r="A353" t="s">
        <v>84</v>
      </c>
      <c r="B353">
        <v>6</v>
      </c>
      <c r="C353" t="s">
        <v>23</v>
      </c>
      <c r="D353" t="s">
        <v>95</v>
      </c>
      <c r="E353" t="s">
        <v>102</v>
      </c>
      <c r="F353" t="s">
        <v>221</v>
      </c>
      <c r="G353" t="s">
        <v>120</v>
      </c>
      <c r="H353" t="str">
        <f t="shared" si="15"/>
        <v>Shade.Solo</v>
      </c>
      <c r="I353" t="str">
        <f t="shared" si="16"/>
        <v>A.calendula.Solo</v>
      </c>
      <c r="J353" t="str">
        <f t="shared" si="17"/>
        <v>6F.A.calendula.Solo</v>
      </c>
      <c r="K353">
        <v>12</v>
      </c>
      <c r="L353">
        <f>51+23+51+67+40+49+60+45</f>
        <v>386</v>
      </c>
      <c r="M353">
        <v>8</v>
      </c>
      <c r="N353">
        <f>386/8</f>
        <v>48.25</v>
      </c>
      <c r="O353">
        <v>4</v>
      </c>
      <c r="P353">
        <v>0</v>
      </c>
      <c r="Q353">
        <v>1</v>
      </c>
      <c r="R353">
        <v>0</v>
      </c>
      <c r="S353">
        <v>17</v>
      </c>
      <c r="T353">
        <v>16</v>
      </c>
      <c r="U353">
        <f>386+(8*N353)</f>
        <v>772</v>
      </c>
      <c r="V353">
        <v>772</v>
      </c>
      <c r="W353">
        <v>0</v>
      </c>
    </row>
    <row r="354" spans="1:24" x14ac:dyDescent="0.25">
      <c r="A354" t="s">
        <v>84</v>
      </c>
      <c r="B354">
        <v>6</v>
      </c>
      <c r="C354" t="s">
        <v>23</v>
      </c>
      <c r="D354" t="s">
        <v>95</v>
      </c>
      <c r="E354" t="s">
        <v>105</v>
      </c>
      <c r="F354" t="s">
        <v>221</v>
      </c>
      <c r="G354" t="s">
        <v>145</v>
      </c>
      <c r="H354" t="str">
        <f t="shared" si="15"/>
        <v>Shade.Highcomp</v>
      </c>
      <c r="I354" t="str">
        <f t="shared" si="16"/>
        <v>H.glabra.Highcomp</v>
      </c>
      <c r="J354" t="str">
        <f t="shared" si="17"/>
        <v>6F.H.glabra.Highcomp</v>
      </c>
      <c r="K354">
        <v>8</v>
      </c>
      <c r="L354">
        <f>76+40+54+64+60+44+56+65</f>
        <v>459</v>
      </c>
      <c r="M354">
        <v>8</v>
      </c>
      <c r="N354">
        <f>L354/8</f>
        <v>57.375</v>
      </c>
      <c r="O354">
        <v>3</v>
      </c>
      <c r="P354">
        <v>0</v>
      </c>
      <c r="Q354">
        <v>0</v>
      </c>
      <c r="R354">
        <v>0</v>
      </c>
      <c r="S354">
        <v>11</v>
      </c>
      <c r="T354">
        <v>11</v>
      </c>
      <c r="U354">
        <f>459+(3*N354)</f>
        <v>631.125</v>
      </c>
      <c r="V354">
        <v>631</v>
      </c>
      <c r="W354">
        <v>0</v>
      </c>
    </row>
    <row r="355" spans="1:24" x14ac:dyDescent="0.25">
      <c r="A355" t="s">
        <v>84</v>
      </c>
      <c r="B355">
        <v>6</v>
      </c>
      <c r="C355" t="s">
        <v>23</v>
      </c>
      <c r="D355" t="s">
        <v>95</v>
      </c>
      <c r="E355" t="s">
        <v>105</v>
      </c>
      <c r="F355" t="s">
        <v>221</v>
      </c>
      <c r="G355" t="s">
        <v>120</v>
      </c>
      <c r="H355" t="str">
        <f t="shared" si="15"/>
        <v>Shade.Solo</v>
      </c>
      <c r="I355" t="str">
        <f t="shared" si="16"/>
        <v>H.glabra.Solo</v>
      </c>
      <c r="J355" t="str">
        <f t="shared" si="17"/>
        <v>6F.H.glabra.Solo</v>
      </c>
      <c r="K355">
        <v>9</v>
      </c>
      <c r="L355">
        <f>48+67+68+60+36+69+50+44+54</f>
        <v>496</v>
      </c>
      <c r="M355">
        <v>9</v>
      </c>
      <c r="N355">
        <f>496/9</f>
        <v>55.111111111111114</v>
      </c>
      <c r="O355">
        <v>1</v>
      </c>
      <c r="P355">
        <v>1</v>
      </c>
      <c r="Q355">
        <v>0</v>
      </c>
      <c r="R355">
        <v>0</v>
      </c>
      <c r="S355">
        <v>11</v>
      </c>
      <c r="T355">
        <v>10</v>
      </c>
      <c r="U355">
        <f>496+N355</f>
        <v>551.11111111111109</v>
      </c>
      <c r="V355">
        <v>551</v>
      </c>
      <c r="W355">
        <v>0</v>
      </c>
    </row>
    <row r="356" spans="1:24" x14ac:dyDescent="0.25">
      <c r="A356" t="s">
        <v>84</v>
      </c>
      <c r="B356">
        <v>6</v>
      </c>
      <c r="C356" t="s">
        <v>23</v>
      </c>
      <c r="D356" t="s">
        <v>95</v>
      </c>
      <c r="E356" t="s">
        <v>111</v>
      </c>
      <c r="F356" t="s">
        <v>222</v>
      </c>
      <c r="G356" t="s">
        <v>145</v>
      </c>
      <c r="H356" t="str">
        <f t="shared" si="15"/>
        <v>Shade.Highcomp</v>
      </c>
      <c r="I356" t="str">
        <f t="shared" si="16"/>
        <v>P.canescens.Highcomp</v>
      </c>
      <c r="J356" t="str">
        <f t="shared" si="17"/>
        <v>6F.P.canescens.Highcomp</v>
      </c>
      <c r="K356">
        <v>6</v>
      </c>
      <c r="L356">
        <f>37+19+74+87+24+52</f>
        <v>293</v>
      </c>
      <c r="M356">
        <v>6</v>
      </c>
      <c r="N356">
        <f>293/6</f>
        <v>48.833333333333336</v>
      </c>
      <c r="O356">
        <v>0</v>
      </c>
      <c r="P356">
        <v>15</v>
      </c>
      <c r="Q356">
        <v>6</v>
      </c>
      <c r="R356">
        <v>0</v>
      </c>
      <c r="S356">
        <v>27</v>
      </c>
      <c r="T356">
        <v>21</v>
      </c>
      <c r="U356">
        <f>293+(15*N356)</f>
        <v>1025.5</v>
      </c>
      <c r="V356">
        <v>1026</v>
      </c>
      <c r="W356">
        <v>0</v>
      </c>
    </row>
    <row r="357" spans="1:24" x14ac:dyDescent="0.25">
      <c r="A357" t="s">
        <v>84</v>
      </c>
      <c r="B357">
        <v>6</v>
      </c>
      <c r="C357" t="s">
        <v>23</v>
      </c>
      <c r="D357" t="s">
        <v>95</v>
      </c>
      <c r="E357" t="s">
        <v>111</v>
      </c>
      <c r="F357" t="s">
        <v>222</v>
      </c>
      <c r="G357" t="s">
        <v>120</v>
      </c>
      <c r="H357" t="str">
        <f t="shared" si="15"/>
        <v>Shade.Solo</v>
      </c>
      <c r="I357" t="str">
        <f t="shared" si="16"/>
        <v>P.canescens.Solo</v>
      </c>
      <c r="J357" t="str">
        <f t="shared" si="17"/>
        <v>6F.P.canescens.Solo</v>
      </c>
      <c r="K357">
        <v>8</v>
      </c>
      <c r="L357">
        <f>81+64+26+105+130+63+35+1</f>
        <v>505</v>
      </c>
      <c r="M357">
        <v>8</v>
      </c>
      <c r="N357">
        <f>505/8</f>
        <v>63.125</v>
      </c>
      <c r="O357">
        <v>0</v>
      </c>
      <c r="P357">
        <v>21</v>
      </c>
      <c r="Q357">
        <v>5</v>
      </c>
      <c r="R357">
        <v>0</v>
      </c>
      <c r="S357">
        <v>41</v>
      </c>
      <c r="T357">
        <v>36</v>
      </c>
      <c r="U357">
        <f>505+(28*N357)</f>
        <v>2272.5</v>
      </c>
      <c r="V357">
        <v>2273</v>
      </c>
      <c r="W357">
        <v>0</v>
      </c>
    </row>
    <row r="358" spans="1:24" x14ac:dyDescent="0.25">
      <c r="A358" t="s">
        <v>84</v>
      </c>
      <c r="B358">
        <v>6</v>
      </c>
      <c r="C358" t="s">
        <v>23</v>
      </c>
      <c r="D358" t="s">
        <v>95</v>
      </c>
      <c r="E358" t="s">
        <v>112</v>
      </c>
      <c r="F358" t="s">
        <v>222</v>
      </c>
      <c r="G358" t="s">
        <v>145</v>
      </c>
      <c r="H358" t="str">
        <f t="shared" si="15"/>
        <v>Shade.Highcomp</v>
      </c>
      <c r="I358" t="str">
        <f t="shared" si="16"/>
        <v>V.rosea.Highcomp</v>
      </c>
      <c r="J358" t="str">
        <f t="shared" si="17"/>
        <v>6F.V.rosea.Highcomp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 t="s">
        <v>188</v>
      </c>
    </row>
    <row r="359" spans="1:24" x14ac:dyDescent="0.25">
      <c r="A359" t="s">
        <v>84</v>
      </c>
      <c r="B359">
        <v>6</v>
      </c>
      <c r="C359" t="s">
        <v>23</v>
      </c>
      <c r="D359" t="s">
        <v>95</v>
      </c>
      <c r="E359" t="s">
        <v>112</v>
      </c>
      <c r="F359" t="s">
        <v>222</v>
      </c>
      <c r="G359" t="s">
        <v>120</v>
      </c>
      <c r="H359" t="str">
        <f t="shared" si="15"/>
        <v>Shade.Solo</v>
      </c>
      <c r="I359" t="str">
        <f t="shared" si="16"/>
        <v>V.rosea.Solo</v>
      </c>
      <c r="J359" t="str">
        <f t="shared" si="17"/>
        <v>6F.V.rosea.Solo</v>
      </c>
      <c r="K359">
        <v>4</v>
      </c>
      <c r="L359">
        <v>8</v>
      </c>
      <c r="M359">
        <v>4</v>
      </c>
      <c r="N359">
        <v>2</v>
      </c>
      <c r="O359">
        <v>8</v>
      </c>
      <c r="P359">
        <v>4</v>
      </c>
      <c r="Q359">
        <v>0</v>
      </c>
      <c r="R359">
        <v>0</v>
      </c>
      <c r="S359">
        <v>16</v>
      </c>
      <c r="T359">
        <v>12</v>
      </c>
      <c r="U359">
        <f>8+(2*8)</f>
        <v>24</v>
      </c>
      <c r="V359">
        <v>24</v>
      </c>
      <c r="W359">
        <v>0</v>
      </c>
    </row>
    <row r="360" spans="1:24" x14ac:dyDescent="0.25">
      <c r="A360" t="s">
        <v>85</v>
      </c>
      <c r="B360">
        <v>6</v>
      </c>
      <c r="C360" t="s">
        <v>25</v>
      </c>
      <c r="D360" t="s">
        <v>94</v>
      </c>
      <c r="E360" t="s">
        <v>105</v>
      </c>
      <c r="F360" t="s">
        <v>221</v>
      </c>
      <c r="G360" t="s">
        <v>145</v>
      </c>
      <c r="H360" t="str">
        <f t="shared" si="15"/>
        <v>Open.Highcomp</v>
      </c>
      <c r="I360" t="str">
        <f t="shared" si="16"/>
        <v>H.glabra.Highcomp</v>
      </c>
      <c r="J360" t="str">
        <f t="shared" si="17"/>
        <v>6G.H.glabra.Highcomp</v>
      </c>
      <c r="K360">
        <v>1</v>
      </c>
      <c r="L360">
        <v>0</v>
      </c>
      <c r="M360">
        <v>1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1</v>
      </c>
      <c r="T360">
        <v>1</v>
      </c>
      <c r="U360">
        <v>0</v>
      </c>
      <c r="V360">
        <v>0</v>
      </c>
      <c r="W360">
        <v>0</v>
      </c>
    </row>
    <row r="361" spans="1:24" x14ac:dyDescent="0.25">
      <c r="A361" t="s">
        <v>85</v>
      </c>
      <c r="B361">
        <v>6</v>
      </c>
      <c r="C361" t="s">
        <v>25</v>
      </c>
      <c r="D361" t="s">
        <v>94</v>
      </c>
      <c r="E361" t="s">
        <v>105</v>
      </c>
      <c r="F361" t="s">
        <v>221</v>
      </c>
      <c r="G361" t="s">
        <v>120</v>
      </c>
      <c r="H361" t="str">
        <f t="shared" si="15"/>
        <v>Open.Solo</v>
      </c>
      <c r="I361" t="str">
        <f t="shared" si="16"/>
        <v>H.glabra.Solo</v>
      </c>
      <c r="J361" t="str">
        <f t="shared" si="17"/>
        <v>6G.H.glabra.Solo</v>
      </c>
      <c r="K361">
        <v>2</v>
      </c>
      <c r="L361">
        <f>21+12</f>
        <v>33</v>
      </c>
      <c r="M361">
        <v>2</v>
      </c>
      <c r="N361">
        <f>33/2</f>
        <v>16.5</v>
      </c>
      <c r="O361">
        <v>2</v>
      </c>
      <c r="P361">
        <v>0</v>
      </c>
      <c r="Q361">
        <v>0</v>
      </c>
      <c r="R361">
        <v>0</v>
      </c>
      <c r="S361">
        <v>4</v>
      </c>
      <c r="T361">
        <v>4</v>
      </c>
      <c r="U361">
        <f>33+33</f>
        <v>66</v>
      </c>
      <c r="V361">
        <v>66</v>
      </c>
      <c r="W361">
        <v>0</v>
      </c>
    </row>
    <row r="362" spans="1:24" x14ac:dyDescent="0.25">
      <c r="A362" t="s">
        <v>85</v>
      </c>
      <c r="B362">
        <v>6</v>
      </c>
      <c r="C362" t="s">
        <v>25</v>
      </c>
      <c r="D362" t="s">
        <v>94</v>
      </c>
      <c r="E362" t="s">
        <v>110</v>
      </c>
      <c r="F362" t="s">
        <v>221</v>
      </c>
      <c r="G362" t="s">
        <v>145</v>
      </c>
      <c r="H362" t="str">
        <f t="shared" si="15"/>
        <v>Open.Highcomp</v>
      </c>
      <c r="I362" t="str">
        <f t="shared" si="16"/>
        <v>M.minima.Highcomp</v>
      </c>
      <c r="J362" t="str">
        <f t="shared" si="17"/>
        <v>6G.M.minima.Highcomp</v>
      </c>
      <c r="K362">
        <v>8</v>
      </c>
      <c r="L362">
        <v>8</v>
      </c>
      <c r="M362">
        <v>8</v>
      </c>
      <c r="N362">
        <v>1</v>
      </c>
      <c r="O362">
        <v>0</v>
      </c>
      <c r="P362">
        <v>1</v>
      </c>
      <c r="Q362">
        <v>0</v>
      </c>
      <c r="R362">
        <v>0</v>
      </c>
      <c r="S362">
        <v>9</v>
      </c>
      <c r="T362">
        <v>8</v>
      </c>
      <c r="U362">
        <v>8</v>
      </c>
      <c r="V362">
        <v>8</v>
      </c>
      <c r="W362">
        <v>0</v>
      </c>
    </row>
    <row r="363" spans="1:24" x14ac:dyDescent="0.25">
      <c r="A363" t="s">
        <v>85</v>
      </c>
      <c r="B363">
        <v>6</v>
      </c>
      <c r="C363" t="s">
        <v>25</v>
      </c>
      <c r="D363" t="s">
        <v>94</v>
      </c>
      <c r="E363" t="s">
        <v>110</v>
      </c>
      <c r="F363" t="s">
        <v>221</v>
      </c>
      <c r="G363" t="s">
        <v>120</v>
      </c>
      <c r="H363" t="str">
        <f t="shared" si="15"/>
        <v>Open.Solo</v>
      </c>
      <c r="I363" t="str">
        <f t="shared" si="16"/>
        <v>M.minima.Solo</v>
      </c>
      <c r="J363" t="str">
        <f t="shared" si="17"/>
        <v>6G.M.minima.Solo</v>
      </c>
      <c r="K363">
        <v>20</v>
      </c>
      <c r="L363">
        <v>20</v>
      </c>
      <c r="M363">
        <v>20</v>
      </c>
      <c r="N363">
        <v>1</v>
      </c>
      <c r="O363">
        <v>0</v>
      </c>
      <c r="P363">
        <v>0</v>
      </c>
      <c r="Q363">
        <v>0</v>
      </c>
      <c r="R363">
        <v>0</v>
      </c>
      <c r="S363">
        <v>20</v>
      </c>
      <c r="T363">
        <v>20</v>
      </c>
      <c r="U363">
        <v>20</v>
      </c>
      <c r="V363">
        <v>20</v>
      </c>
      <c r="W363">
        <v>0</v>
      </c>
    </row>
    <row r="364" spans="1:24" x14ac:dyDescent="0.25">
      <c r="A364" t="s">
        <v>86</v>
      </c>
      <c r="B364">
        <v>6</v>
      </c>
      <c r="C364" t="s">
        <v>27</v>
      </c>
      <c r="D364" t="s">
        <v>94</v>
      </c>
      <c r="E364" t="s">
        <v>110</v>
      </c>
      <c r="F364" t="s">
        <v>221</v>
      </c>
      <c r="G364" t="s">
        <v>145</v>
      </c>
      <c r="H364" t="str">
        <f t="shared" si="15"/>
        <v>Open.Highcomp</v>
      </c>
      <c r="I364" t="str">
        <f t="shared" si="16"/>
        <v>M.minima.Highcomp</v>
      </c>
      <c r="J364" t="str">
        <f t="shared" si="17"/>
        <v>6H.M.minima.Highcomp</v>
      </c>
      <c r="K364">
        <v>1</v>
      </c>
      <c r="L364">
        <v>1</v>
      </c>
      <c r="M364">
        <v>1</v>
      </c>
      <c r="N364">
        <v>1</v>
      </c>
      <c r="O364">
        <v>0</v>
      </c>
      <c r="P364">
        <v>0</v>
      </c>
      <c r="Q364">
        <v>0</v>
      </c>
      <c r="R364">
        <v>0</v>
      </c>
      <c r="S364">
        <v>1</v>
      </c>
      <c r="T364">
        <v>1</v>
      </c>
      <c r="U364">
        <v>1</v>
      </c>
      <c r="V364">
        <v>1</v>
      </c>
      <c r="W364">
        <v>0</v>
      </c>
    </row>
    <row r="365" spans="1:24" x14ac:dyDescent="0.25">
      <c r="A365" t="s">
        <v>86</v>
      </c>
      <c r="B365">
        <v>6</v>
      </c>
      <c r="C365" t="s">
        <v>27</v>
      </c>
      <c r="D365" t="s">
        <v>94</v>
      </c>
      <c r="E365" t="s">
        <v>110</v>
      </c>
      <c r="F365" t="s">
        <v>221</v>
      </c>
      <c r="G365" t="s">
        <v>120</v>
      </c>
      <c r="H365" t="str">
        <f t="shared" si="15"/>
        <v>Open.Solo</v>
      </c>
      <c r="I365" t="str">
        <f t="shared" si="16"/>
        <v>M.minima.Solo</v>
      </c>
      <c r="J365" t="str">
        <f t="shared" si="17"/>
        <v>6H.M.minima.Solo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 t="s">
        <v>188</v>
      </c>
    </row>
    <row r="366" spans="1:24" x14ac:dyDescent="0.25">
      <c r="A366" t="s">
        <v>86</v>
      </c>
      <c r="B366">
        <v>6</v>
      </c>
      <c r="C366" t="s">
        <v>27</v>
      </c>
      <c r="D366" t="s">
        <v>94</v>
      </c>
      <c r="E366" t="s">
        <v>112</v>
      </c>
      <c r="F366" t="s">
        <v>222</v>
      </c>
      <c r="G366" t="s">
        <v>145</v>
      </c>
      <c r="H366" t="str">
        <f t="shared" si="15"/>
        <v>Open.Highcomp</v>
      </c>
      <c r="I366" t="str">
        <f t="shared" si="16"/>
        <v>V.rosea.Highcomp</v>
      </c>
      <c r="J366" t="str">
        <f t="shared" si="17"/>
        <v>6H.V.rosea.Highcomp</v>
      </c>
      <c r="K366">
        <v>35</v>
      </c>
      <c r="L366">
        <f>4+3+4+4+6+4+5+4+5+3+6+3+4+4+4+2+5</f>
        <v>70</v>
      </c>
      <c r="M366">
        <v>17</v>
      </c>
      <c r="N366">
        <f>70/17</f>
        <v>4.117647058823529</v>
      </c>
      <c r="O366">
        <v>0</v>
      </c>
      <c r="P366">
        <v>18</v>
      </c>
      <c r="Q366">
        <v>0</v>
      </c>
      <c r="R366">
        <v>0</v>
      </c>
      <c r="S366">
        <v>53</v>
      </c>
      <c r="T366">
        <v>35</v>
      </c>
      <c r="U366">
        <f>70+(18*N366)</f>
        <v>144.11764705882354</v>
      </c>
      <c r="V366">
        <v>144</v>
      </c>
      <c r="W366">
        <v>0</v>
      </c>
    </row>
    <row r="367" spans="1:24" x14ac:dyDescent="0.25">
      <c r="A367" t="s">
        <v>86</v>
      </c>
      <c r="B367">
        <v>6</v>
      </c>
      <c r="C367" t="s">
        <v>27</v>
      </c>
      <c r="D367" t="s">
        <v>94</v>
      </c>
      <c r="E367" t="s">
        <v>112</v>
      </c>
      <c r="F367" t="s">
        <v>222</v>
      </c>
      <c r="G367" t="s">
        <v>120</v>
      </c>
      <c r="H367" t="str">
        <f t="shared" si="15"/>
        <v>Open.Solo</v>
      </c>
      <c r="I367" t="str">
        <f t="shared" si="16"/>
        <v>V.rosea.Solo</v>
      </c>
      <c r="J367" t="str">
        <f t="shared" si="17"/>
        <v>6H.V.rosea.Solo</v>
      </c>
      <c r="K367">
        <v>16</v>
      </c>
      <c r="L367">
        <f>3+5+6+5+4+5+4+4+4+2+2+5+4+5+5+5</f>
        <v>68</v>
      </c>
      <c r="M367">
        <v>16</v>
      </c>
      <c r="N367">
        <f>68/16</f>
        <v>4.25</v>
      </c>
      <c r="O367">
        <v>15</v>
      </c>
      <c r="P367">
        <v>3</v>
      </c>
      <c r="Q367">
        <v>0</v>
      </c>
      <c r="R367">
        <v>0</v>
      </c>
      <c r="S367">
        <v>34</v>
      </c>
      <c r="T367">
        <v>31</v>
      </c>
      <c r="U367">
        <f>68+(15*N367)</f>
        <v>131.75</v>
      </c>
      <c r="V367">
        <v>132</v>
      </c>
      <c r="W367">
        <v>0</v>
      </c>
    </row>
    <row r="368" spans="1:24" x14ac:dyDescent="0.25">
      <c r="A368" t="s">
        <v>87</v>
      </c>
      <c r="B368">
        <v>6</v>
      </c>
      <c r="C368" t="s">
        <v>29</v>
      </c>
      <c r="D368" t="s">
        <v>95</v>
      </c>
      <c r="E368" t="s">
        <v>102</v>
      </c>
      <c r="F368" t="s">
        <v>221</v>
      </c>
      <c r="G368" t="s">
        <v>145</v>
      </c>
      <c r="H368" t="str">
        <f t="shared" si="15"/>
        <v>Shade.Highcomp</v>
      </c>
      <c r="I368" t="str">
        <f t="shared" si="16"/>
        <v>A.calendula.Highcomp</v>
      </c>
      <c r="J368" t="str">
        <f t="shared" si="17"/>
        <v>6I.A.calendula.Highcomp</v>
      </c>
      <c r="K368">
        <v>8</v>
      </c>
      <c r="L368">
        <f>61+49+54+41+50+18+51+42</f>
        <v>366</v>
      </c>
      <c r="M368">
        <v>8</v>
      </c>
      <c r="N368">
        <f>366/8</f>
        <v>45.75</v>
      </c>
      <c r="O368">
        <v>7</v>
      </c>
      <c r="P368">
        <v>0</v>
      </c>
      <c r="Q368">
        <v>5</v>
      </c>
      <c r="R368">
        <v>0</v>
      </c>
      <c r="S368">
        <v>20</v>
      </c>
      <c r="T368">
        <v>15</v>
      </c>
      <c r="U368">
        <f>366+(7*N368)</f>
        <v>686.25</v>
      </c>
      <c r="V368">
        <v>686</v>
      </c>
      <c r="W368">
        <v>0</v>
      </c>
    </row>
    <row r="369" spans="1:24" x14ac:dyDescent="0.25">
      <c r="A369" t="s">
        <v>87</v>
      </c>
      <c r="B369">
        <v>6</v>
      </c>
      <c r="C369" t="s">
        <v>29</v>
      </c>
      <c r="D369" t="s">
        <v>95</v>
      </c>
      <c r="E369" t="s">
        <v>102</v>
      </c>
      <c r="F369" t="s">
        <v>221</v>
      </c>
      <c r="G369" t="s">
        <v>120</v>
      </c>
      <c r="H369" t="str">
        <f t="shared" si="15"/>
        <v>Shade.Solo</v>
      </c>
      <c r="I369" t="str">
        <f t="shared" si="16"/>
        <v>A.calendula.Solo</v>
      </c>
      <c r="J369" t="str">
        <f t="shared" si="17"/>
        <v>6I.A.calendula.Solo</v>
      </c>
      <c r="K369">
        <v>4</v>
      </c>
      <c r="L369">
        <f>61+45+29+46</f>
        <v>181</v>
      </c>
      <c r="M369">
        <v>4</v>
      </c>
      <c r="N369">
        <f>181/4</f>
        <v>45.25</v>
      </c>
      <c r="O369">
        <v>4</v>
      </c>
      <c r="P369">
        <v>0</v>
      </c>
      <c r="Q369">
        <v>0</v>
      </c>
      <c r="R369">
        <v>0</v>
      </c>
      <c r="S369">
        <v>8</v>
      </c>
      <c r="T369">
        <v>8</v>
      </c>
      <c r="U369">
        <f>181+(4*N369)</f>
        <v>362</v>
      </c>
      <c r="V369">
        <v>362</v>
      </c>
      <c r="W369">
        <v>0</v>
      </c>
    </row>
    <row r="370" spans="1:24" x14ac:dyDescent="0.25">
      <c r="A370" t="s">
        <v>87</v>
      </c>
      <c r="B370">
        <v>6</v>
      </c>
      <c r="C370" t="s">
        <v>29</v>
      </c>
      <c r="D370" t="s">
        <v>95</v>
      </c>
      <c r="E370" t="s">
        <v>110</v>
      </c>
      <c r="F370" t="s">
        <v>221</v>
      </c>
      <c r="G370" t="s">
        <v>145</v>
      </c>
      <c r="H370" t="str">
        <f t="shared" si="15"/>
        <v>Shade.Highcomp</v>
      </c>
      <c r="I370" t="str">
        <f t="shared" si="16"/>
        <v>M.minima.Highcomp</v>
      </c>
      <c r="J370" t="str">
        <f t="shared" si="17"/>
        <v>6I.M.minima.Highcomp</v>
      </c>
      <c r="K370">
        <v>1</v>
      </c>
      <c r="L370">
        <v>1</v>
      </c>
      <c r="M370">
        <v>1</v>
      </c>
      <c r="N370">
        <v>1</v>
      </c>
      <c r="O370">
        <v>0</v>
      </c>
      <c r="P370">
        <v>2</v>
      </c>
      <c r="Q370">
        <v>0</v>
      </c>
      <c r="R370">
        <v>0</v>
      </c>
      <c r="S370">
        <v>3</v>
      </c>
      <c r="T370">
        <v>1</v>
      </c>
      <c r="U370">
        <v>1</v>
      </c>
      <c r="V370">
        <v>1</v>
      </c>
      <c r="W370">
        <v>0</v>
      </c>
    </row>
    <row r="371" spans="1:24" x14ac:dyDescent="0.25">
      <c r="A371" t="s">
        <v>87</v>
      </c>
      <c r="B371">
        <v>6</v>
      </c>
      <c r="C371" t="s">
        <v>29</v>
      </c>
      <c r="D371" t="s">
        <v>95</v>
      </c>
      <c r="E371" t="s">
        <v>110</v>
      </c>
      <c r="F371" t="s">
        <v>221</v>
      </c>
      <c r="G371" t="s">
        <v>120</v>
      </c>
      <c r="H371" t="str">
        <f t="shared" si="15"/>
        <v>Shade.Solo</v>
      </c>
      <c r="I371" t="str">
        <f t="shared" si="16"/>
        <v>M.minima.Solo</v>
      </c>
      <c r="J371" t="str">
        <f t="shared" si="17"/>
        <v>6I.M.minima.Solo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 t="s">
        <v>188</v>
      </c>
    </row>
    <row r="372" spans="1:24" x14ac:dyDescent="0.25">
      <c r="A372" t="s">
        <v>88</v>
      </c>
      <c r="B372">
        <v>6</v>
      </c>
      <c r="C372" t="s">
        <v>31</v>
      </c>
      <c r="D372" t="s">
        <v>95</v>
      </c>
      <c r="E372" t="s">
        <v>110</v>
      </c>
      <c r="F372" t="s">
        <v>221</v>
      </c>
      <c r="G372" t="s">
        <v>145</v>
      </c>
      <c r="H372" t="str">
        <f t="shared" si="15"/>
        <v>Shade.Highcomp</v>
      </c>
      <c r="I372" t="str">
        <f t="shared" si="16"/>
        <v>M.minima.Highcomp</v>
      </c>
      <c r="J372" t="str">
        <f t="shared" si="17"/>
        <v>6J.M.minima.Highcomp</v>
      </c>
      <c r="K372">
        <v>3</v>
      </c>
      <c r="L372">
        <v>3</v>
      </c>
      <c r="M372">
        <v>3</v>
      </c>
      <c r="N372">
        <v>1</v>
      </c>
      <c r="O372">
        <v>0</v>
      </c>
      <c r="P372">
        <v>0</v>
      </c>
      <c r="Q372">
        <v>0</v>
      </c>
      <c r="R372">
        <v>0</v>
      </c>
      <c r="S372">
        <v>3</v>
      </c>
      <c r="T372">
        <v>3</v>
      </c>
      <c r="U372">
        <v>3</v>
      </c>
      <c r="V372">
        <v>3</v>
      </c>
      <c r="W372">
        <v>0</v>
      </c>
    </row>
    <row r="373" spans="1:24" x14ac:dyDescent="0.25">
      <c r="A373" t="s">
        <v>88</v>
      </c>
      <c r="B373">
        <v>6</v>
      </c>
      <c r="C373" t="s">
        <v>31</v>
      </c>
      <c r="D373" t="s">
        <v>95</v>
      </c>
      <c r="E373" t="s">
        <v>110</v>
      </c>
      <c r="F373" t="s">
        <v>221</v>
      </c>
      <c r="G373" t="s">
        <v>120</v>
      </c>
      <c r="H373" t="str">
        <f t="shared" si="15"/>
        <v>Shade.Solo</v>
      </c>
      <c r="I373" t="str">
        <f t="shared" si="16"/>
        <v>M.minima.Solo</v>
      </c>
      <c r="J373" t="str">
        <f t="shared" si="17"/>
        <v>6J.M.minima.Solo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 t="s">
        <v>188</v>
      </c>
    </row>
    <row r="374" spans="1:24" x14ac:dyDescent="0.25">
      <c r="A374" t="s">
        <v>88</v>
      </c>
      <c r="B374">
        <v>6</v>
      </c>
      <c r="C374" t="s">
        <v>31</v>
      </c>
      <c r="D374" t="s">
        <v>95</v>
      </c>
      <c r="E374" t="s">
        <v>112</v>
      </c>
      <c r="F374" t="s">
        <v>222</v>
      </c>
      <c r="G374" t="s">
        <v>145</v>
      </c>
      <c r="H374" t="str">
        <f t="shared" si="15"/>
        <v>Shade.Highcomp</v>
      </c>
      <c r="I374" t="str">
        <f t="shared" si="16"/>
        <v>V.rosea.Highcomp</v>
      </c>
      <c r="J374" t="str">
        <f t="shared" si="17"/>
        <v>6J.V.rosea.Highcomp</v>
      </c>
      <c r="K374">
        <v>13</v>
      </c>
      <c r="L374">
        <f>5+1+6+3+5+5+5+3+4+3+4+3+3</f>
        <v>50</v>
      </c>
      <c r="M374">
        <v>13</v>
      </c>
      <c r="N374">
        <f>50/13</f>
        <v>3.8461538461538463</v>
      </c>
      <c r="O374">
        <v>0</v>
      </c>
      <c r="P374">
        <v>7</v>
      </c>
      <c r="Q374">
        <v>0</v>
      </c>
      <c r="R374">
        <v>1</v>
      </c>
      <c r="S374">
        <v>36</v>
      </c>
      <c r="T374">
        <v>29</v>
      </c>
      <c r="U374">
        <f>50+(N374*16)</f>
        <v>111.53846153846155</v>
      </c>
      <c r="V374">
        <v>112</v>
      </c>
      <c r="W374">
        <v>0</v>
      </c>
    </row>
    <row r="375" spans="1:24" x14ac:dyDescent="0.25">
      <c r="A375" t="s">
        <v>88</v>
      </c>
      <c r="B375">
        <v>6</v>
      </c>
      <c r="C375" t="s">
        <v>31</v>
      </c>
      <c r="D375" t="s">
        <v>95</v>
      </c>
      <c r="E375" t="s">
        <v>112</v>
      </c>
      <c r="F375" t="s">
        <v>222</v>
      </c>
      <c r="G375" t="s">
        <v>120</v>
      </c>
      <c r="H375" t="str">
        <f t="shared" si="15"/>
        <v>Shade.Solo</v>
      </c>
      <c r="I375" t="str">
        <f t="shared" si="16"/>
        <v>V.rosea.Solo</v>
      </c>
      <c r="J375" t="str">
        <f t="shared" si="17"/>
        <v>6J.V.rosea.Solo</v>
      </c>
      <c r="K375">
        <v>8</v>
      </c>
      <c r="L375">
        <f>3+5+3+2+5+5+7+5</f>
        <v>35</v>
      </c>
      <c r="M375">
        <v>8</v>
      </c>
      <c r="N375">
        <f>35/8</f>
        <v>4.375</v>
      </c>
      <c r="O375">
        <v>3</v>
      </c>
      <c r="P375">
        <v>2</v>
      </c>
      <c r="Q375">
        <v>0</v>
      </c>
      <c r="R375">
        <v>0</v>
      </c>
      <c r="S375">
        <v>13</v>
      </c>
      <c r="T375">
        <v>11</v>
      </c>
      <c r="U375">
        <f>35+(3*N375)</f>
        <v>48.125</v>
      </c>
      <c r="V375">
        <v>48</v>
      </c>
      <c r="W375">
        <v>0</v>
      </c>
    </row>
    <row r="376" spans="1:24" x14ac:dyDescent="0.25">
      <c r="A376" t="s">
        <v>89</v>
      </c>
      <c r="B376">
        <v>6</v>
      </c>
      <c r="C376" t="s">
        <v>33</v>
      </c>
      <c r="D376" t="s">
        <v>95</v>
      </c>
      <c r="E376" t="s">
        <v>104</v>
      </c>
      <c r="F376" t="s">
        <v>222</v>
      </c>
      <c r="G376" t="s">
        <v>145</v>
      </c>
      <c r="H376" t="str">
        <f t="shared" si="15"/>
        <v>Shade.Highcomp</v>
      </c>
      <c r="I376" t="str">
        <f t="shared" si="16"/>
        <v>T.cyanopetala.Highcomp</v>
      </c>
      <c r="J376" t="str">
        <f t="shared" si="17"/>
        <v>6K.T.cyanopetala.Highcomp</v>
      </c>
      <c r="K376">
        <v>22</v>
      </c>
      <c r="L376">
        <f>4+4+6+4+6+8+6+6+6+4+6+6+8+6+4+6+8+6+6+4+2+6</f>
        <v>122</v>
      </c>
      <c r="M376">
        <v>22</v>
      </c>
      <c r="N376">
        <f>122/22</f>
        <v>5.5454545454545459</v>
      </c>
      <c r="O376">
        <v>0</v>
      </c>
      <c r="P376">
        <v>0</v>
      </c>
      <c r="Q376">
        <v>0</v>
      </c>
      <c r="R376">
        <v>0</v>
      </c>
      <c r="S376">
        <v>22</v>
      </c>
      <c r="T376">
        <v>22</v>
      </c>
      <c r="U376">
        <v>122</v>
      </c>
      <c r="V376">
        <v>122</v>
      </c>
      <c r="W376">
        <v>0</v>
      </c>
    </row>
    <row r="377" spans="1:24" x14ac:dyDescent="0.25">
      <c r="A377" t="s">
        <v>89</v>
      </c>
      <c r="B377">
        <v>6</v>
      </c>
      <c r="C377" t="s">
        <v>33</v>
      </c>
      <c r="D377" t="s">
        <v>95</v>
      </c>
      <c r="E377" t="s">
        <v>104</v>
      </c>
      <c r="F377" t="s">
        <v>222</v>
      </c>
      <c r="G377" t="s">
        <v>120</v>
      </c>
      <c r="H377" t="str">
        <f t="shared" si="15"/>
        <v>Shade.Solo</v>
      </c>
      <c r="I377" t="str">
        <f t="shared" si="16"/>
        <v>T.cyanopetala.Solo</v>
      </c>
      <c r="J377" t="str">
        <f t="shared" si="17"/>
        <v>6K.T.cyanopetala.Solo</v>
      </c>
      <c r="K377">
        <v>9</v>
      </c>
      <c r="L377">
        <f>6+4+6+4+6+2+6+4+6</f>
        <v>44</v>
      </c>
      <c r="M377">
        <v>9</v>
      </c>
      <c r="N377">
        <f>44/9</f>
        <v>4.8888888888888893</v>
      </c>
      <c r="O377">
        <v>0</v>
      </c>
      <c r="P377">
        <v>2</v>
      </c>
      <c r="Q377">
        <v>0</v>
      </c>
      <c r="R377">
        <v>0</v>
      </c>
      <c r="S377">
        <v>11</v>
      </c>
      <c r="T377">
        <v>9</v>
      </c>
      <c r="U377">
        <v>44</v>
      </c>
      <c r="V377">
        <v>44</v>
      </c>
      <c r="W377">
        <v>0</v>
      </c>
    </row>
    <row r="378" spans="1:24" x14ac:dyDescent="0.25">
      <c r="A378" t="s">
        <v>89</v>
      </c>
      <c r="B378">
        <v>6</v>
      </c>
      <c r="C378" t="s">
        <v>33</v>
      </c>
      <c r="D378" t="s">
        <v>95</v>
      </c>
      <c r="E378" t="s">
        <v>112</v>
      </c>
      <c r="F378" t="s">
        <v>222</v>
      </c>
      <c r="G378" t="s">
        <v>145</v>
      </c>
      <c r="H378" t="str">
        <f t="shared" si="15"/>
        <v>Shade.Highcomp</v>
      </c>
      <c r="I378" t="str">
        <f t="shared" si="16"/>
        <v>V.rosea.Highcomp</v>
      </c>
      <c r="J378" t="str">
        <f t="shared" si="17"/>
        <v>6K.V.rosea.Highcomp</v>
      </c>
      <c r="K378">
        <v>3</v>
      </c>
      <c r="L378">
        <v>9</v>
      </c>
      <c r="M378">
        <v>3</v>
      </c>
      <c r="N378">
        <v>3</v>
      </c>
      <c r="O378">
        <v>0</v>
      </c>
      <c r="P378">
        <v>0</v>
      </c>
      <c r="Q378">
        <v>0</v>
      </c>
      <c r="R378">
        <v>0</v>
      </c>
      <c r="S378">
        <v>3</v>
      </c>
      <c r="T378">
        <v>3</v>
      </c>
      <c r="U378">
        <v>9</v>
      </c>
      <c r="V378">
        <v>9</v>
      </c>
      <c r="W378">
        <v>0</v>
      </c>
    </row>
    <row r="379" spans="1:24" x14ac:dyDescent="0.25">
      <c r="A379" t="s">
        <v>89</v>
      </c>
      <c r="B379">
        <v>6</v>
      </c>
      <c r="C379" t="s">
        <v>33</v>
      </c>
      <c r="D379" t="s">
        <v>95</v>
      </c>
      <c r="E379" t="s">
        <v>112</v>
      </c>
      <c r="F379" t="s">
        <v>222</v>
      </c>
      <c r="G379" t="s">
        <v>120</v>
      </c>
      <c r="H379" t="str">
        <f t="shared" si="15"/>
        <v>Shade.Solo</v>
      </c>
      <c r="I379" t="str">
        <f t="shared" si="16"/>
        <v>V.rosea.Solo</v>
      </c>
      <c r="J379" t="str">
        <f t="shared" si="17"/>
        <v>6K.V.rosea.Solo</v>
      </c>
      <c r="K379">
        <v>20</v>
      </c>
      <c r="L379">
        <f>4+4+6+4+6+5+3+5+3+4+3+4+3+2+2+3+2+3+1+1</f>
        <v>68</v>
      </c>
      <c r="M379">
        <v>20</v>
      </c>
      <c r="N379">
        <f>68/20</f>
        <v>3.4</v>
      </c>
      <c r="O379">
        <v>3</v>
      </c>
      <c r="P379">
        <v>1</v>
      </c>
      <c r="Q379">
        <v>15</v>
      </c>
      <c r="R379">
        <v>1</v>
      </c>
      <c r="S379">
        <v>39</v>
      </c>
      <c r="T379">
        <v>23</v>
      </c>
      <c r="U379">
        <f>68+(3*N379)</f>
        <v>78.2</v>
      </c>
      <c r="V379">
        <v>78</v>
      </c>
      <c r="W379">
        <v>0</v>
      </c>
    </row>
    <row r="380" spans="1:24" x14ac:dyDescent="0.25">
      <c r="A380" t="s">
        <v>90</v>
      </c>
      <c r="B380">
        <v>6</v>
      </c>
      <c r="C380" t="s">
        <v>35</v>
      </c>
      <c r="D380" t="s">
        <v>94</v>
      </c>
      <c r="E380" t="s">
        <v>111</v>
      </c>
      <c r="F380" t="s">
        <v>222</v>
      </c>
      <c r="G380" t="s">
        <v>145</v>
      </c>
      <c r="H380" t="str">
        <f t="shared" si="15"/>
        <v>Open.Highcomp</v>
      </c>
      <c r="I380" t="str">
        <f t="shared" si="16"/>
        <v>P.canescens.Highcomp</v>
      </c>
      <c r="J380" t="str">
        <f t="shared" si="17"/>
        <v>6L.P.canescens.Highcomp</v>
      </c>
      <c r="K380">
        <v>3</v>
      </c>
      <c r="L380">
        <f>38+79+12</f>
        <v>129</v>
      </c>
      <c r="M380">
        <v>3</v>
      </c>
      <c r="N380">
        <f>129/3</f>
        <v>43</v>
      </c>
      <c r="O380" t="s">
        <v>114</v>
      </c>
      <c r="P380" t="s">
        <v>114</v>
      </c>
      <c r="Q380" t="s">
        <v>114</v>
      </c>
      <c r="R380" t="s">
        <v>114</v>
      </c>
      <c r="S380" t="s">
        <v>114</v>
      </c>
      <c r="T380" t="s">
        <v>114</v>
      </c>
      <c r="U380" t="s">
        <v>114</v>
      </c>
      <c r="V380" t="s">
        <v>114</v>
      </c>
      <c r="W380">
        <v>0</v>
      </c>
    </row>
    <row r="381" spans="1:24" x14ac:dyDescent="0.25">
      <c r="A381" t="s">
        <v>90</v>
      </c>
      <c r="B381">
        <v>6</v>
      </c>
      <c r="C381" t="s">
        <v>35</v>
      </c>
      <c r="D381" t="s">
        <v>94</v>
      </c>
      <c r="E381" t="s">
        <v>111</v>
      </c>
      <c r="F381" t="s">
        <v>222</v>
      </c>
      <c r="G381" t="s">
        <v>120</v>
      </c>
      <c r="H381" t="str">
        <f t="shared" si="15"/>
        <v>Open.Solo</v>
      </c>
      <c r="I381" t="str">
        <f t="shared" si="16"/>
        <v>P.canescens.Solo</v>
      </c>
      <c r="J381" t="str">
        <f t="shared" si="17"/>
        <v>6L.P.canescens.Solo</v>
      </c>
      <c r="K381">
        <v>6</v>
      </c>
      <c r="L381">
        <f>122+131+42+92+125+21</f>
        <v>533</v>
      </c>
      <c r="M381">
        <v>6</v>
      </c>
      <c r="N381">
        <f>533/6</f>
        <v>88.833333333333329</v>
      </c>
      <c r="O381">
        <v>1</v>
      </c>
      <c r="P381">
        <v>43</v>
      </c>
      <c r="Q381">
        <v>16</v>
      </c>
      <c r="R381">
        <v>1</v>
      </c>
      <c r="S381">
        <v>66</v>
      </c>
      <c r="T381">
        <v>50</v>
      </c>
      <c r="U381">
        <f>533+(44*N381)</f>
        <v>4441.6666666666661</v>
      </c>
      <c r="V381">
        <v>4442</v>
      </c>
      <c r="W381">
        <v>0</v>
      </c>
    </row>
    <row r="382" spans="1:24" x14ac:dyDescent="0.25">
      <c r="A382" t="s">
        <v>90</v>
      </c>
      <c r="B382">
        <v>6</v>
      </c>
      <c r="C382" t="s">
        <v>35</v>
      </c>
      <c r="D382" t="s">
        <v>94</v>
      </c>
      <c r="E382" t="s">
        <v>104</v>
      </c>
      <c r="F382" t="s">
        <v>222</v>
      </c>
      <c r="G382" t="s">
        <v>145</v>
      </c>
      <c r="H382" t="str">
        <f t="shared" si="15"/>
        <v>Open.Highcomp</v>
      </c>
      <c r="I382" t="str">
        <f t="shared" si="16"/>
        <v>T.cyanopetala.Highcomp</v>
      </c>
      <c r="J382" t="str">
        <f t="shared" si="17"/>
        <v>6L.T.cyanopetala.Highcomp</v>
      </c>
      <c r="K382">
        <v>3</v>
      </c>
      <c r="L382">
        <v>14</v>
      </c>
      <c r="M382">
        <v>3</v>
      </c>
      <c r="N382">
        <f>14/3</f>
        <v>4.666666666666667</v>
      </c>
      <c r="O382">
        <v>0</v>
      </c>
      <c r="P382">
        <v>0</v>
      </c>
      <c r="Q382">
        <v>0</v>
      </c>
      <c r="R382">
        <v>0</v>
      </c>
      <c r="S382">
        <v>3</v>
      </c>
      <c r="T382">
        <v>3</v>
      </c>
      <c r="U382">
        <v>14</v>
      </c>
      <c r="V382">
        <v>14</v>
      </c>
      <c r="W382">
        <v>1</v>
      </c>
      <c r="X382" t="s">
        <v>192</v>
      </c>
    </row>
    <row r="383" spans="1:24" x14ac:dyDescent="0.25">
      <c r="A383" t="s">
        <v>90</v>
      </c>
      <c r="B383">
        <v>6</v>
      </c>
      <c r="C383" t="s">
        <v>35</v>
      </c>
      <c r="D383" t="s">
        <v>94</v>
      </c>
      <c r="E383" t="s">
        <v>104</v>
      </c>
      <c r="F383" t="s">
        <v>222</v>
      </c>
      <c r="G383" t="s">
        <v>120</v>
      </c>
      <c r="H383" t="str">
        <f t="shared" si="15"/>
        <v>Open.Solo</v>
      </c>
      <c r="I383" t="str">
        <f t="shared" si="16"/>
        <v>T.cyanopetala.Solo</v>
      </c>
      <c r="J383" t="str">
        <f t="shared" si="17"/>
        <v>6L.T.cyanopetala.Solo</v>
      </c>
      <c r="K383">
        <v>8</v>
      </c>
      <c r="L383">
        <f>4+14+14+14+10+6+10+6</f>
        <v>78</v>
      </c>
      <c r="M383">
        <v>8</v>
      </c>
      <c r="N383">
        <f>78/8</f>
        <v>9.75</v>
      </c>
      <c r="O383">
        <v>0</v>
      </c>
      <c r="P383">
        <v>0</v>
      </c>
      <c r="Q383">
        <v>0</v>
      </c>
      <c r="R383">
        <v>0</v>
      </c>
      <c r="S383">
        <v>8</v>
      </c>
      <c r="T383">
        <v>8</v>
      </c>
      <c r="U383">
        <v>78</v>
      </c>
      <c r="V383">
        <v>78</v>
      </c>
      <c r="W383">
        <v>1</v>
      </c>
      <c r="X383" t="s">
        <v>192</v>
      </c>
    </row>
    <row r="384" spans="1:24" x14ac:dyDescent="0.25">
      <c r="A384" t="s">
        <v>91</v>
      </c>
      <c r="B384">
        <v>6</v>
      </c>
      <c r="C384" t="s">
        <v>37</v>
      </c>
      <c r="D384" t="s">
        <v>94</v>
      </c>
      <c r="E384" t="s">
        <v>112</v>
      </c>
      <c r="F384" t="s">
        <v>222</v>
      </c>
      <c r="G384" t="s">
        <v>145</v>
      </c>
      <c r="H384" t="str">
        <f t="shared" si="15"/>
        <v>Open.Highcomp</v>
      </c>
      <c r="I384" t="str">
        <f t="shared" si="16"/>
        <v>V.rosea.Highcomp</v>
      </c>
      <c r="J384" t="str">
        <f t="shared" si="17"/>
        <v>6M.V.rosea.Highcomp</v>
      </c>
      <c r="K384">
        <v>86</v>
      </c>
      <c r="L384">
        <f>5+5+3+4+3+6+6+4+6+5+5+5+5+4+5+4+5+5+4+5+12+13</f>
        <v>119</v>
      </c>
      <c r="M384">
        <v>26</v>
      </c>
      <c r="N384">
        <f>119/26</f>
        <v>4.5769230769230766</v>
      </c>
      <c r="O384">
        <v>0</v>
      </c>
      <c r="P384">
        <v>14</v>
      </c>
      <c r="Q384">
        <v>0</v>
      </c>
      <c r="R384">
        <v>1</v>
      </c>
      <c r="S384">
        <v>100</v>
      </c>
      <c r="T384">
        <v>86</v>
      </c>
      <c r="U384">
        <f>119+(N384*60)</f>
        <v>393.61538461538458</v>
      </c>
      <c r="V384">
        <v>394</v>
      </c>
      <c r="W384">
        <v>0</v>
      </c>
    </row>
    <row r="385" spans="1:24" x14ac:dyDescent="0.25">
      <c r="A385" t="s">
        <v>91</v>
      </c>
      <c r="B385">
        <v>6</v>
      </c>
      <c r="C385" t="s">
        <v>37</v>
      </c>
      <c r="D385" t="s">
        <v>94</v>
      </c>
      <c r="E385" t="s">
        <v>112</v>
      </c>
      <c r="F385" t="s">
        <v>222</v>
      </c>
      <c r="G385" t="s">
        <v>120</v>
      </c>
      <c r="H385" t="str">
        <f t="shared" si="15"/>
        <v>Open.Solo</v>
      </c>
      <c r="I385" t="str">
        <f t="shared" si="16"/>
        <v>V.rosea.Solo</v>
      </c>
      <c r="J385" t="str">
        <f t="shared" si="17"/>
        <v>6M.V.rosea.Solo</v>
      </c>
      <c r="K385">
        <v>45</v>
      </c>
      <c r="L385">
        <f>6+5+5+5+6+5+5+3+5+5+5+5+3+4+3+6+5+5+5+5+5+3+6+6</f>
        <v>116</v>
      </c>
      <c r="M385">
        <v>24</v>
      </c>
      <c r="N385">
        <f>116/24</f>
        <v>4.833333333333333</v>
      </c>
      <c r="O385">
        <v>7</v>
      </c>
      <c r="P385">
        <v>0</v>
      </c>
      <c r="Q385">
        <v>0</v>
      </c>
      <c r="R385">
        <v>0</v>
      </c>
      <c r="S385">
        <v>52</v>
      </c>
      <c r="T385">
        <v>52</v>
      </c>
      <c r="U385">
        <f>116+(28*N385)</f>
        <v>251.33333333333331</v>
      </c>
      <c r="V385">
        <v>251</v>
      </c>
      <c r="W385">
        <v>0</v>
      </c>
    </row>
    <row r="386" spans="1:24" x14ac:dyDescent="0.25">
      <c r="A386" t="s">
        <v>92</v>
      </c>
      <c r="B386">
        <v>6</v>
      </c>
      <c r="C386" t="s">
        <v>64</v>
      </c>
      <c r="D386" t="s">
        <v>94</v>
      </c>
      <c r="E386" t="s">
        <v>112</v>
      </c>
      <c r="F386" t="s">
        <v>222</v>
      </c>
      <c r="G386" t="s">
        <v>145</v>
      </c>
      <c r="H386" t="str">
        <f t="shared" ref="H386:H389" si="18">D386&amp;"."&amp;G386</f>
        <v>Open.Highcomp</v>
      </c>
      <c r="I386" t="str">
        <f t="shared" si="16"/>
        <v>V.rosea.Highcomp</v>
      </c>
      <c r="J386" t="str">
        <f t="shared" si="17"/>
        <v>6N.V.rosea.Highcomp</v>
      </c>
      <c r="K386">
        <v>43</v>
      </c>
      <c r="L386">
        <f>15+13+13+13+12</f>
        <v>66</v>
      </c>
      <c r="M386">
        <v>16</v>
      </c>
      <c r="N386">
        <f>66/16</f>
        <v>4.125</v>
      </c>
      <c r="O386">
        <v>2</v>
      </c>
      <c r="P386">
        <v>0</v>
      </c>
      <c r="Q386">
        <v>0</v>
      </c>
      <c r="R386">
        <v>0</v>
      </c>
      <c r="S386">
        <v>45</v>
      </c>
      <c r="T386">
        <v>45</v>
      </c>
      <c r="U386">
        <f>66+(29*N386)</f>
        <v>185.625</v>
      </c>
      <c r="V386">
        <v>186</v>
      </c>
      <c r="W386">
        <v>0</v>
      </c>
    </row>
    <row r="387" spans="1:24" x14ac:dyDescent="0.25">
      <c r="A387" t="s">
        <v>92</v>
      </c>
      <c r="B387">
        <v>6</v>
      </c>
      <c r="C387" t="s">
        <v>64</v>
      </c>
      <c r="D387" t="s">
        <v>94</v>
      </c>
      <c r="E387" t="s">
        <v>112</v>
      </c>
      <c r="F387" t="s">
        <v>222</v>
      </c>
      <c r="G387" t="s">
        <v>120</v>
      </c>
      <c r="H387" t="str">
        <f t="shared" si="18"/>
        <v>Open.Solo</v>
      </c>
      <c r="I387" t="str">
        <f t="shared" si="16"/>
        <v>V.rosea.Solo</v>
      </c>
      <c r="J387" t="str">
        <f t="shared" ref="J387:J389" si="19">A387&amp;"."&amp;E387&amp;"."&amp;G387</f>
        <v>6N.V.rosea.Solo</v>
      </c>
      <c r="K387">
        <v>18</v>
      </c>
      <c r="L387">
        <f>13+14+11+8</f>
        <v>46</v>
      </c>
      <c r="M387">
        <v>12</v>
      </c>
      <c r="N387">
        <f>46/12</f>
        <v>3.8333333333333335</v>
      </c>
      <c r="O387">
        <v>1</v>
      </c>
      <c r="P387">
        <v>0</v>
      </c>
      <c r="Q387">
        <v>0</v>
      </c>
      <c r="R387">
        <v>1</v>
      </c>
      <c r="S387">
        <v>31</v>
      </c>
      <c r="T387">
        <v>19</v>
      </c>
      <c r="U387">
        <f>46+(7*N387)</f>
        <v>72.833333333333343</v>
      </c>
      <c r="V387">
        <v>73</v>
      </c>
      <c r="W387">
        <v>0</v>
      </c>
    </row>
    <row r="388" spans="1:24" x14ac:dyDescent="0.25">
      <c r="A388" t="s">
        <v>93</v>
      </c>
      <c r="B388">
        <v>6</v>
      </c>
      <c r="C388" t="s">
        <v>66</v>
      </c>
      <c r="D388" t="s">
        <v>95</v>
      </c>
      <c r="E388" t="s">
        <v>104</v>
      </c>
      <c r="F388" t="s">
        <v>222</v>
      </c>
      <c r="G388" t="s">
        <v>145</v>
      </c>
      <c r="H388" t="str">
        <f t="shared" si="18"/>
        <v>Shade.Highcomp</v>
      </c>
      <c r="I388" t="str">
        <f t="shared" si="16"/>
        <v>T.cyanopetala.Highcomp</v>
      </c>
      <c r="J388" t="str">
        <f t="shared" si="19"/>
        <v>6O.T.cyanopetala.Highcomp</v>
      </c>
      <c r="K388">
        <v>1</v>
      </c>
      <c r="L388">
        <v>6</v>
      </c>
      <c r="M388">
        <v>1</v>
      </c>
      <c r="N388">
        <v>6</v>
      </c>
      <c r="O388">
        <v>0</v>
      </c>
      <c r="P388">
        <v>0</v>
      </c>
      <c r="Q388">
        <v>0</v>
      </c>
      <c r="R388">
        <v>0</v>
      </c>
      <c r="S388">
        <v>1</v>
      </c>
      <c r="T388">
        <v>1</v>
      </c>
      <c r="U388">
        <v>6</v>
      </c>
      <c r="V388">
        <v>6</v>
      </c>
      <c r="W388">
        <v>0</v>
      </c>
    </row>
    <row r="389" spans="1:24" x14ac:dyDescent="0.25">
      <c r="A389" t="s">
        <v>93</v>
      </c>
      <c r="B389">
        <v>6</v>
      </c>
      <c r="C389" t="s">
        <v>66</v>
      </c>
      <c r="D389" t="s">
        <v>95</v>
      </c>
      <c r="E389" t="s">
        <v>104</v>
      </c>
      <c r="F389" t="s">
        <v>222</v>
      </c>
      <c r="G389" t="s">
        <v>120</v>
      </c>
      <c r="H389" t="str">
        <f t="shared" si="18"/>
        <v>Shade.Solo</v>
      </c>
      <c r="I389" t="str">
        <f t="shared" si="16"/>
        <v>T.cyanopetala.Solo</v>
      </c>
      <c r="J389" t="str">
        <f t="shared" si="19"/>
        <v>6O.T.cyanopetala.Solo</v>
      </c>
      <c r="K389">
        <v>3</v>
      </c>
      <c r="L389">
        <v>18</v>
      </c>
      <c r="M389">
        <v>3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3</v>
      </c>
      <c r="T389">
        <v>3</v>
      </c>
      <c r="U389">
        <v>18</v>
      </c>
      <c r="V389">
        <v>18</v>
      </c>
      <c r="W389">
        <v>1</v>
      </c>
      <c r="X389" t="s">
        <v>192</v>
      </c>
    </row>
  </sheetData>
  <sortState ref="A2:W389">
    <sortCondition ref="A2:A389"/>
    <sortCondition ref="E2:E389"/>
  </sortState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1"/>
  <sheetViews>
    <sheetView workbookViewId="0">
      <selection activeCell="F18" sqref="F18"/>
    </sheetView>
  </sheetViews>
  <sheetFormatPr defaultRowHeight="15" x14ac:dyDescent="0.25"/>
  <cols>
    <col min="1" max="1" width="23" customWidth="1"/>
    <col min="2" max="3" width="28.5703125" customWidth="1"/>
  </cols>
  <sheetData>
    <row r="1" spans="1:4" x14ac:dyDescent="0.25">
      <c r="A1" t="s">
        <v>195</v>
      </c>
      <c r="B1" t="s">
        <v>196</v>
      </c>
      <c r="C1" t="s">
        <v>210</v>
      </c>
      <c r="D1" t="s">
        <v>197</v>
      </c>
    </row>
    <row r="2" spans="1:4" x14ac:dyDescent="0.25">
      <c r="A2" t="s">
        <v>198</v>
      </c>
      <c r="B2">
        <v>67.808000000000007</v>
      </c>
      <c r="C2">
        <v>1</v>
      </c>
      <c r="D2">
        <f>B2-25.3</f>
        <v>42.50800000000001</v>
      </c>
    </row>
    <row r="3" spans="1:4" x14ac:dyDescent="0.25">
      <c r="A3" t="s">
        <v>199</v>
      </c>
      <c r="B3">
        <v>69.076999999999998</v>
      </c>
      <c r="C3">
        <v>1</v>
      </c>
      <c r="D3">
        <f t="shared" ref="D3:D16" si="0">B3-25.3</f>
        <v>43.777000000000001</v>
      </c>
    </row>
    <row r="4" spans="1:4" x14ac:dyDescent="0.25">
      <c r="A4" t="s">
        <v>200</v>
      </c>
      <c r="B4">
        <v>74.882999999999996</v>
      </c>
      <c r="C4">
        <v>1</v>
      </c>
      <c r="D4">
        <f t="shared" si="0"/>
        <v>49.582999999999998</v>
      </c>
    </row>
    <row r="5" spans="1:4" x14ac:dyDescent="0.25">
      <c r="A5" t="s">
        <v>201</v>
      </c>
      <c r="B5">
        <v>70.448999999999998</v>
      </c>
      <c r="C5">
        <v>1</v>
      </c>
      <c r="D5">
        <f t="shared" si="0"/>
        <v>45.149000000000001</v>
      </c>
    </row>
    <row r="6" spans="1:4" x14ac:dyDescent="0.25">
      <c r="A6" t="s">
        <v>202</v>
      </c>
      <c r="B6">
        <v>75.215999999999994</v>
      </c>
      <c r="C6">
        <v>1</v>
      </c>
      <c r="D6">
        <f t="shared" si="0"/>
        <v>49.915999999999997</v>
      </c>
    </row>
    <row r="7" spans="1:4" x14ac:dyDescent="0.25">
      <c r="A7" t="s">
        <v>165</v>
      </c>
      <c r="B7">
        <v>68.016000000000005</v>
      </c>
      <c r="C7">
        <v>1</v>
      </c>
      <c r="D7">
        <f t="shared" si="0"/>
        <v>42.716000000000008</v>
      </c>
    </row>
    <row r="8" spans="1:4" x14ac:dyDescent="0.25">
      <c r="A8" t="s">
        <v>203</v>
      </c>
      <c r="B8">
        <v>66.866</v>
      </c>
      <c r="C8">
        <v>1</v>
      </c>
      <c r="D8">
        <f t="shared" si="0"/>
        <v>41.566000000000003</v>
      </c>
    </row>
    <row r="9" spans="1:4" x14ac:dyDescent="0.25">
      <c r="A9" t="s">
        <v>204</v>
      </c>
      <c r="B9">
        <v>62.652999999999999</v>
      </c>
      <c r="C9">
        <v>1</v>
      </c>
      <c r="D9">
        <f t="shared" si="0"/>
        <v>37.352999999999994</v>
      </c>
    </row>
    <row r="10" spans="1:4" x14ac:dyDescent="0.25">
      <c r="A10" t="s">
        <v>205</v>
      </c>
      <c r="B10">
        <v>63.204000000000001</v>
      </c>
      <c r="C10">
        <v>1</v>
      </c>
      <c r="D10">
        <f t="shared" si="0"/>
        <v>37.903999999999996</v>
      </c>
    </row>
    <row r="11" spans="1:4" x14ac:dyDescent="0.25">
      <c r="A11" t="s">
        <v>206</v>
      </c>
      <c r="B11">
        <v>62.787999999999997</v>
      </c>
      <c r="C11">
        <v>1</v>
      </c>
      <c r="D11">
        <f t="shared" si="0"/>
        <v>37.488</v>
      </c>
    </row>
    <row r="12" spans="1:4" x14ac:dyDescent="0.25">
      <c r="A12" t="s">
        <v>207</v>
      </c>
      <c r="B12">
        <v>60.398000000000003</v>
      </c>
      <c r="C12">
        <v>1</v>
      </c>
      <c r="D12">
        <f t="shared" si="0"/>
        <v>35.097999999999999</v>
      </c>
    </row>
    <row r="13" spans="1:4" x14ac:dyDescent="0.25">
      <c r="A13" t="s">
        <v>208</v>
      </c>
      <c r="B13">
        <v>60.600999999999999</v>
      </c>
      <c r="C13">
        <v>1</v>
      </c>
      <c r="D13">
        <f t="shared" si="0"/>
        <v>35.301000000000002</v>
      </c>
    </row>
    <row r="14" spans="1:4" x14ac:dyDescent="0.25">
      <c r="A14" t="s">
        <v>209</v>
      </c>
      <c r="B14">
        <v>64.367999999999995</v>
      </c>
      <c r="C14">
        <v>1</v>
      </c>
      <c r="D14">
        <f t="shared" si="0"/>
        <v>39.067999999999998</v>
      </c>
    </row>
    <row r="15" spans="1:4" x14ac:dyDescent="0.25">
      <c r="A15" t="s">
        <v>211</v>
      </c>
      <c r="B15">
        <v>82.012</v>
      </c>
      <c r="C15">
        <v>1</v>
      </c>
      <c r="D15">
        <f t="shared" si="0"/>
        <v>56.712000000000003</v>
      </c>
    </row>
    <row r="16" spans="1:4" x14ac:dyDescent="0.25">
      <c r="A16" t="s">
        <v>212</v>
      </c>
      <c r="B16">
        <v>67.12</v>
      </c>
      <c r="C16">
        <v>1</v>
      </c>
      <c r="D16">
        <f t="shared" si="0"/>
        <v>41.820000000000007</v>
      </c>
    </row>
    <row r="18" spans="3:5" x14ac:dyDescent="0.25">
      <c r="C18" t="s">
        <v>213</v>
      </c>
      <c r="D18">
        <f>AVERAGE(D2:D16)</f>
        <v>42.397266666666674</v>
      </c>
    </row>
    <row r="19" spans="3:5" x14ac:dyDescent="0.25">
      <c r="C19" t="s">
        <v>214</v>
      </c>
      <c r="D19">
        <f>_xlfn.STDEV.P(D2:D16)</f>
        <v>5.820348104900777</v>
      </c>
    </row>
    <row r="20" spans="3:5" x14ac:dyDescent="0.25">
      <c r="C20" t="s">
        <v>215</v>
      </c>
      <c r="D20">
        <v>15</v>
      </c>
      <c r="E20">
        <f>SQRT(D20)</f>
        <v>3.872983346207417</v>
      </c>
    </row>
    <row r="21" spans="3:5" x14ac:dyDescent="0.25">
      <c r="C21" t="s">
        <v>216</v>
      </c>
      <c r="D21">
        <f>D19/E20</f>
        <v>1.5028074186273739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3"/>
  <sheetViews>
    <sheetView workbookViewId="0">
      <selection activeCell="C26" sqref="C26"/>
    </sheetView>
  </sheetViews>
  <sheetFormatPr defaultRowHeight="15" x14ac:dyDescent="0.25"/>
  <cols>
    <col min="1" max="1" width="13.42578125" customWidth="1"/>
    <col min="2" max="2" width="22.7109375" customWidth="1"/>
    <col min="3" max="3" width="29.7109375" customWidth="1"/>
    <col min="4" max="4" width="26" customWidth="1"/>
    <col min="5" max="5" width="20.28515625" customWidth="1"/>
  </cols>
  <sheetData>
    <row r="1" spans="1:5" x14ac:dyDescent="0.25">
      <c r="A1" s="1" t="s">
        <v>147</v>
      </c>
      <c r="B1" s="1" t="s">
        <v>219</v>
      </c>
      <c r="C1" s="1" t="s">
        <v>223</v>
      </c>
      <c r="D1" s="1" t="s">
        <v>225</v>
      </c>
      <c r="E1" s="1" t="s">
        <v>224</v>
      </c>
    </row>
    <row r="2" spans="1:5" x14ac:dyDescent="0.25">
      <c r="A2" t="s">
        <v>102</v>
      </c>
      <c r="B2" t="s">
        <v>226</v>
      </c>
      <c r="C2">
        <v>529</v>
      </c>
      <c r="D2">
        <v>58.538499999999999</v>
      </c>
      <c r="E2">
        <v>1</v>
      </c>
    </row>
    <row r="3" spans="1:5" x14ac:dyDescent="0.25">
      <c r="A3" t="s">
        <v>102</v>
      </c>
      <c r="B3" t="s">
        <v>227</v>
      </c>
      <c r="C3">
        <v>474</v>
      </c>
      <c r="D3">
        <v>103.52330000000001</v>
      </c>
      <c r="E3">
        <v>3</v>
      </c>
    </row>
    <row r="4" spans="1:5" x14ac:dyDescent="0.25">
      <c r="A4" t="s">
        <v>102</v>
      </c>
      <c r="B4" t="s">
        <v>228</v>
      </c>
      <c r="C4">
        <v>792</v>
      </c>
      <c r="D4">
        <v>129.94490999999999</v>
      </c>
      <c r="E4">
        <v>1</v>
      </c>
    </row>
    <row r="5" spans="1:5" x14ac:dyDescent="0.25">
      <c r="A5" t="s">
        <v>102</v>
      </c>
      <c r="B5" t="s">
        <v>229</v>
      </c>
      <c r="C5">
        <v>498.30770000000001</v>
      </c>
      <c r="D5">
        <v>81.48827</v>
      </c>
      <c r="E5">
        <v>3</v>
      </c>
    </row>
    <row r="6" spans="1:5" x14ac:dyDescent="0.25">
      <c r="A6" t="s">
        <v>105</v>
      </c>
      <c r="B6" t="s">
        <v>226</v>
      </c>
      <c r="C6">
        <v>273.91669999999999</v>
      </c>
      <c r="D6">
        <v>48.121290000000002</v>
      </c>
      <c r="E6">
        <v>1</v>
      </c>
    </row>
    <row r="7" spans="1:5" x14ac:dyDescent="0.25">
      <c r="A7" t="s">
        <v>105</v>
      </c>
      <c r="B7" t="s">
        <v>227</v>
      </c>
      <c r="C7">
        <v>326.58330000000001</v>
      </c>
      <c r="D7">
        <v>50.311819999999997</v>
      </c>
      <c r="E7">
        <v>3</v>
      </c>
    </row>
    <row r="8" spans="1:5" x14ac:dyDescent="0.25">
      <c r="A8" t="s">
        <v>105</v>
      </c>
      <c r="B8" t="s">
        <v>228</v>
      </c>
      <c r="C8">
        <v>257.125</v>
      </c>
      <c r="D8">
        <v>69.59075</v>
      </c>
      <c r="E8">
        <v>1</v>
      </c>
    </row>
    <row r="9" spans="1:5" x14ac:dyDescent="0.25">
      <c r="A9" t="s">
        <v>105</v>
      </c>
      <c r="B9" t="s">
        <v>229</v>
      </c>
      <c r="C9">
        <v>224.7</v>
      </c>
      <c r="D9">
        <v>56.166029999999999</v>
      </c>
      <c r="E9">
        <v>3</v>
      </c>
    </row>
    <row r="10" spans="1:5" x14ac:dyDescent="0.25">
      <c r="A10" t="s">
        <v>113</v>
      </c>
      <c r="B10" t="s">
        <v>226</v>
      </c>
      <c r="C10">
        <v>13.81812</v>
      </c>
      <c r="D10">
        <v>6.1182559999999997</v>
      </c>
      <c r="E10">
        <v>1</v>
      </c>
    </row>
    <row r="11" spans="1:5" x14ac:dyDescent="0.25">
      <c r="A11" t="s">
        <v>113</v>
      </c>
      <c r="B11" t="s">
        <v>227</v>
      </c>
      <c r="C11">
        <v>3.0909089999999999</v>
      </c>
      <c r="D11">
        <v>1.603715</v>
      </c>
      <c r="E11">
        <v>3</v>
      </c>
    </row>
    <row r="12" spans="1:5" x14ac:dyDescent="0.25">
      <c r="A12" t="s">
        <v>113</v>
      </c>
      <c r="B12" t="s">
        <v>228</v>
      </c>
      <c r="C12">
        <v>3.8181820000000002</v>
      </c>
      <c r="D12">
        <v>1.270778</v>
      </c>
      <c r="E12">
        <v>1</v>
      </c>
    </row>
    <row r="13" spans="1:5" x14ac:dyDescent="0.25">
      <c r="A13" t="s">
        <v>113</v>
      </c>
      <c r="B13" t="s">
        <v>229</v>
      </c>
      <c r="C13">
        <v>7.8</v>
      </c>
      <c r="D13">
        <v>5.8704530000000004</v>
      </c>
      <c r="E13">
        <v>3</v>
      </c>
    </row>
    <row r="14" spans="1:5" x14ac:dyDescent="0.25">
      <c r="A14" t="s">
        <v>110</v>
      </c>
      <c r="B14" t="s">
        <v>226</v>
      </c>
      <c r="C14">
        <v>5.6363640000000004</v>
      </c>
      <c r="D14">
        <v>1.0204519999999999</v>
      </c>
      <c r="E14">
        <v>1</v>
      </c>
    </row>
    <row r="15" spans="1:5" x14ac:dyDescent="0.25">
      <c r="A15" t="s">
        <v>110</v>
      </c>
      <c r="B15" t="s">
        <v>227</v>
      </c>
      <c r="C15">
        <v>7</v>
      </c>
      <c r="D15">
        <v>1.669694</v>
      </c>
      <c r="E15">
        <v>3</v>
      </c>
    </row>
    <row r="16" spans="1:5" x14ac:dyDescent="0.25">
      <c r="A16" t="s">
        <v>110</v>
      </c>
      <c r="B16" t="s">
        <v>228</v>
      </c>
      <c r="C16">
        <v>6.6363640000000004</v>
      </c>
      <c r="D16">
        <v>3.6388630000000002</v>
      </c>
      <c r="E16">
        <v>1</v>
      </c>
    </row>
    <row r="17" spans="1:5" x14ac:dyDescent="0.25">
      <c r="A17" t="s">
        <v>110</v>
      </c>
      <c r="B17" t="s">
        <v>229</v>
      </c>
      <c r="C17">
        <v>2.7272729999999998</v>
      </c>
      <c r="D17">
        <v>1.1448769999999999</v>
      </c>
      <c r="E17">
        <v>3</v>
      </c>
    </row>
    <row r="18" spans="1:5" x14ac:dyDescent="0.25">
      <c r="A18" t="s">
        <v>103</v>
      </c>
      <c r="B18" t="s">
        <v>226</v>
      </c>
      <c r="C18">
        <v>126.2</v>
      </c>
      <c r="D18">
        <v>20.561450000000001</v>
      </c>
      <c r="E18">
        <v>1</v>
      </c>
    </row>
    <row r="19" spans="1:5" x14ac:dyDescent="0.25">
      <c r="A19" t="s">
        <v>103</v>
      </c>
      <c r="B19" t="s">
        <v>227</v>
      </c>
      <c r="C19">
        <v>423.4</v>
      </c>
      <c r="D19">
        <v>114.08186000000001</v>
      </c>
      <c r="E19">
        <v>3</v>
      </c>
    </row>
    <row r="20" spans="1:5" x14ac:dyDescent="0.25">
      <c r="A20" t="s">
        <v>103</v>
      </c>
      <c r="B20" t="s">
        <v>228</v>
      </c>
      <c r="C20">
        <v>182.33330000000001</v>
      </c>
      <c r="D20">
        <v>39.471380000000003</v>
      </c>
      <c r="E20">
        <v>1</v>
      </c>
    </row>
    <row r="21" spans="1:5" x14ac:dyDescent="0.25">
      <c r="A21" t="s">
        <v>103</v>
      </c>
      <c r="B21" t="s">
        <v>229</v>
      </c>
      <c r="C21">
        <v>265.66669999999999</v>
      </c>
      <c r="D21">
        <v>41.395049999999998</v>
      </c>
      <c r="E21">
        <v>3</v>
      </c>
    </row>
    <row r="22" spans="1:5" x14ac:dyDescent="0.25">
      <c r="A22" t="s">
        <v>111</v>
      </c>
      <c r="B22" t="s">
        <v>226</v>
      </c>
      <c r="C22">
        <v>3263.7273</v>
      </c>
      <c r="D22">
        <v>706.6499</v>
      </c>
      <c r="E22">
        <v>1</v>
      </c>
    </row>
    <row r="23" spans="1:5" x14ac:dyDescent="0.25">
      <c r="A23" t="s">
        <v>111</v>
      </c>
      <c r="B23" t="s">
        <v>227</v>
      </c>
      <c r="C23">
        <v>2031.3077000000001</v>
      </c>
      <c r="D23">
        <v>408.1617</v>
      </c>
      <c r="E23">
        <v>3</v>
      </c>
    </row>
    <row r="24" spans="1:5" x14ac:dyDescent="0.25">
      <c r="A24" t="s">
        <v>111</v>
      </c>
      <c r="B24" t="s">
        <v>228</v>
      </c>
      <c r="C24">
        <v>1145.2856999999999</v>
      </c>
      <c r="D24">
        <v>276.79899999999998</v>
      </c>
      <c r="E24">
        <v>1</v>
      </c>
    </row>
    <row r="25" spans="1:5" x14ac:dyDescent="0.25">
      <c r="A25" t="s">
        <v>111</v>
      </c>
      <c r="B25" t="s">
        <v>229</v>
      </c>
      <c r="C25">
        <v>961.46669999999995</v>
      </c>
      <c r="D25">
        <v>235.96279999999999</v>
      </c>
      <c r="E25">
        <v>3</v>
      </c>
    </row>
    <row r="26" spans="1:5" x14ac:dyDescent="0.25">
      <c r="A26" t="s">
        <v>104</v>
      </c>
      <c r="B26" t="s">
        <v>226</v>
      </c>
      <c r="C26">
        <v>14</v>
      </c>
      <c r="D26">
        <v>2.3510149999999999</v>
      </c>
      <c r="E26">
        <v>1</v>
      </c>
    </row>
    <row r="27" spans="1:5" x14ac:dyDescent="0.25">
      <c r="A27" t="s">
        <v>104</v>
      </c>
      <c r="B27" t="s">
        <v>227</v>
      </c>
      <c r="C27">
        <v>51</v>
      </c>
      <c r="D27">
        <v>11.301648999999999</v>
      </c>
      <c r="E27">
        <v>3</v>
      </c>
    </row>
    <row r="28" spans="1:5" x14ac:dyDescent="0.25">
      <c r="A28" t="s">
        <v>104</v>
      </c>
      <c r="B28" t="s">
        <v>228</v>
      </c>
      <c r="C28">
        <v>39.272730000000003</v>
      </c>
      <c r="D28">
        <v>12.362031999999999</v>
      </c>
      <c r="E28">
        <v>1</v>
      </c>
    </row>
    <row r="29" spans="1:5" x14ac:dyDescent="0.25">
      <c r="A29" t="s">
        <v>104</v>
      </c>
      <c r="B29" t="s">
        <v>229</v>
      </c>
      <c r="C29">
        <v>80</v>
      </c>
      <c r="D29">
        <v>24.720988999999999</v>
      </c>
      <c r="E29">
        <v>3</v>
      </c>
    </row>
    <row r="30" spans="1:5" x14ac:dyDescent="0.25">
      <c r="A30" t="s">
        <v>112</v>
      </c>
      <c r="B30" t="s">
        <v>226</v>
      </c>
      <c r="C30">
        <v>193.57142999999999</v>
      </c>
      <c r="D30">
        <v>33.752929999999999</v>
      </c>
      <c r="E30">
        <v>1</v>
      </c>
    </row>
    <row r="31" spans="1:5" x14ac:dyDescent="0.25">
      <c r="A31" t="s">
        <v>112</v>
      </c>
      <c r="B31" t="s">
        <v>227</v>
      </c>
      <c r="C31">
        <v>145.85713999999999</v>
      </c>
      <c r="D31">
        <v>28.94858</v>
      </c>
      <c r="E31">
        <v>3</v>
      </c>
    </row>
    <row r="32" spans="1:5" x14ac:dyDescent="0.25">
      <c r="A32" t="s">
        <v>112</v>
      </c>
      <c r="B32" t="s">
        <v>228</v>
      </c>
      <c r="C32">
        <v>71.333330000000004</v>
      </c>
      <c r="D32">
        <v>21.408200000000001</v>
      </c>
      <c r="E32">
        <v>1</v>
      </c>
    </row>
    <row r="33" spans="1:5" x14ac:dyDescent="0.25">
      <c r="A33" t="s">
        <v>112</v>
      </c>
      <c r="B33" t="s">
        <v>229</v>
      </c>
      <c r="C33">
        <v>80.066670000000002</v>
      </c>
      <c r="D33">
        <v>18.650279999999999</v>
      </c>
      <c r="E33">
        <v>3</v>
      </c>
    </row>
  </sheetData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7"/>
  <sheetViews>
    <sheetView workbookViewId="0">
      <selection activeCell="B12" sqref="B12"/>
    </sheetView>
  </sheetViews>
  <sheetFormatPr defaultRowHeight="15" x14ac:dyDescent="0.25"/>
  <cols>
    <col min="1" max="1" width="86.7109375" customWidth="1"/>
    <col min="2" max="2" width="19.7109375" customWidth="1"/>
  </cols>
  <sheetData>
    <row r="1" spans="1:2" x14ac:dyDescent="0.25">
      <c r="A1" t="s">
        <v>747</v>
      </c>
      <c r="B1" t="s">
        <v>147</v>
      </c>
    </row>
    <row r="2" spans="1:2" ht="49.5" customHeight="1" x14ac:dyDescent="0.25">
      <c r="A2" t="s">
        <v>748</v>
      </c>
    </row>
    <row r="3" spans="1:2" x14ac:dyDescent="0.25">
      <c r="A3" t="s">
        <v>750</v>
      </c>
    </row>
    <row r="4" spans="1:2" x14ac:dyDescent="0.25">
      <c r="A4" t="s">
        <v>749</v>
      </c>
    </row>
    <row r="5" spans="1:2" x14ac:dyDescent="0.25">
      <c r="A5" t="s">
        <v>95</v>
      </c>
    </row>
    <row r="6" spans="1:2" x14ac:dyDescent="0.25">
      <c r="A6" t="s">
        <v>751</v>
      </c>
    </row>
    <row r="7" spans="1:2" x14ac:dyDescent="0.25">
      <c r="A7" t="s">
        <v>752</v>
      </c>
      <c r="B7" t="s">
        <v>753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1"/>
  <sheetViews>
    <sheetView workbookViewId="0">
      <selection activeCell="J10" sqref="J10"/>
    </sheetView>
  </sheetViews>
  <sheetFormatPr defaultRowHeight="15" x14ac:dyDescent="0.25"/>
  <cols>
    <col min="1" max="1" width="38.140625" customWidth="1"/>
    <col min="2" max="3" width="20" bestFit="1" customWidth="1"/>
    <col min="4" max="4" width="20" customWidth="1"/>
    <col min="5" max="5" width="8.140625" bestFit="1" customWidth="1"/>
    <col min="6" max="6" width="43.7109375" customWidth="1"/>
  </cols>
  <sheetData>
    <row r="1" spans="1:6" x14ac:dyDescent="0.25">
      <c r="A1" t="s">
        <v>146</v>
      </c>
      <c r="B1" t="s">
        <v>143</v>
      </c>
      <c r="C1" t="s">
        <v>97</v>
      </c>
      <c r="D1" t="s">
        <v>664</v>
      </c>
      <c r="E1" t="s">
        <v>2</v>
      </c>
      <c r="F1" t="s">
        <v>665</v>
      </c>
    </row>
    <row r="2" spans="1:6" x14ac:dyDescent="0.25">
      <c r="A2">
        <v>2</v>
      </c>
      <c r="B2" t="s">
        <v>273</v>
      </c>
      <c r="C2" t="s">
        <v>102</v>
      </c>
      <c r="D2" t="str">
        <f>C2&amp;"."&amp;E2&amp;"."&amp;A2</f>
        <v>A.calendula.Open.2</v>
      </c>
      <c r="E2" t="s">
        <v>94</v>
      </c>
      <c r="F2">
        <v>161.5</v>
      </c>
    </row>
    <row r="3" spans="1:6" x14ac:dyDescent="0.25">
      <c r="A3">
        <v>2</v>
      </c>
      <c r="B3" t="s">
        <v>274</v>
      </c>
      <c r="C3" t="s">
        <v>105</v>
      </c>
      <c r="D3" t="str">
        <f t="shared" ref="D3:D66" si="0">C3&amp;"."&amp;E3&amp;"."&amp;A3</f>
        <v>H.glabra.Open.2</v>
      </c>
      <c r="E3" t="s">
        <v>94</v>
      </c>
      <c r="F3">
        <v>305.33330000000001</v>
      </c>
    </row>
    <row r="4" spans="1:6" x14ac:dyDescent="0.25">
      <c r="A4">
        <v>2</v>
      </c>
      <c r="B4" t="s">
        <v>267</v>
      </c>
      <c r="C4" t="s">
        <v>113</v>
      </c>
      <c r="D4" t="str">
        <f t="shared" si="0"/>
        <v>H.glutinosum.Open.2</v>
      </c>
      <c r="E4" t="s">
        <v>94</v>
      </c>
      <c r="F4">
        <v>2</v>
      </c>
    </row>
    <row r="5" spans="1:6" x14ac:dyDescent="0.25">
      <c r="A5">
        <v>2</v>
      </c>
      <c r="B5" t="s">
        <v>270</v>
      </c>
      <c r="C5" t="s">
        <v>110</v>
      </c>
      <c r="D5" t="str">
        <f t="shared" si="0"/>
        <v>M.minima.Open.2</v>
      </c>
      <c r="E5" t="s">
        <v>94</v>
      </c>
      <c r="F5">
        <v>2.5</v>
      </c>
    </row>
    <row r="6" spans="1:6" x14ac:dyDescent="0.25">
      <c r="A6">
        <v>2</v>
      </c>
      <c r="B6" t="s">
        <v>268</v>
      </c>
      <c r="C6" t="s">
        <v>103</v>
      </c>
      <c r="D6" t="str">
        <f t="shared" si="0"/>
        <v>P.airoides.Open.2</v>
      </c>
      <c r="E6" t="s">
        <v>94</v>
      </c>
      <c r="F6">
        <v>333</v>
      </c>
    </row>
    <row r="7" spans="1:6" x14ac:dyDescent="0.25">
      <c r="A7">
        <v>2</v>
      </c>
      <c r="B7" t="s">
        <v>271</v>
      </c>
      <c r="C7" t="s">
        <v>111</v>
      </c>
      <c r="D7" t="str">
        <f t="shared" si="0"/>
        <v>P.canescens.Open.2</v>
      </c>
      <c r="E7" t="s">
        <v>94</v>
      </c>
      <c r="F7">
        <v>1464.6667</v>
      </c>
    </row>
    <row r="8" spans="1:6" x14ac:dyDescent="0.25">
      <c r="A8">
        <v>2</v>
      </c>
      <c r="B8" t="s">
        <v>272</v>
      </c>
      <c r="C8" t="s">
        <v>104</v>
      </c>
      <c r="D8" t="str">
        <f t="shared" si="0"/>
        <v>T.cyanopetala.Open.2</v>
      </c>
      <c r="E8" t="s">
        <v>94</v>
      </c>
      <c r="F8">
        <v>35</v>
      </c>
    </row>
    <row r="9" spans="1:6" x14ac:dyDescent="0.25">
      <c r="A9">
        <v>2</v>
      </c>
      <c r="B9" t="s">
        <v>269</v>
      </c>
      <c r="C9" t="s">
        <v>112</v>
      </c>
      <c r="D9" t="str">
        <f t="shared" si="0"/>
        <v>V.rosea.Open.2</v>
      </c>
      <c r="E9" t="s">
        <v>94</v>
      </c>
      <c r="F9">
        <v>193</v>
      </c>
    </row>
    <row r="10" spans="1:6" x14ac:dyDescent="0.25">
      <c r="A10">
        <v>6</v>
      </c>
      <c r="B10" t="s">
        <v>273</v>
      </c>
      <c r="C10" t="s">
        <v>102</v>
      </c>
      <c r="D10" t="str">
        <f t="shared" si="0"/>
        <v>A.calendula.Open.6</v>
      </c>
      <c r="E10" t="s">
        <v>94</v>
      </c>
      <c r="F10">
        <v>824</v>
      </c>
    </row>
    <row r="11" spans="1:6" x14ac:dyDescent="0.25">
      <c r="A11">
        <v>6</v>
      </c>
      <c r="B11" t="s">
        <v>274</v>
      </c>
      <c r="C11" t="s">
        <v>105</v>
      </c>
      <c r="D11" t="str">
        <f t="shared" si="0"/>
        <v>H.glabra.Open.6</v>
      </c>
      <c r="E11" t="s">
        <v>94</v>
      </c>
      <c r="F11">
        <v>199.5</v>
      </c>
    </row>
    <row r="12" spans="1:6" x14ac:dyDescent="0.25">
      <c r="A12">
        <v>6</v>
      </c>
      <c r="B12" t="s">
        <v>267</v>
      </c>
      <c r="C12" t="s">
        <v>113</v>
      </c>
      <c r="D12" t="str">
        <f t="shared" si="0"/>
        <v>H.glutinosum.Open.6</v>
      </c>
      <c r="E12" t="s">
        <v>94</v>
      </c>
      <c r="F12">
        <v>2</v>
      </c>
    </row>
    <row r="13" spans="1:6" x14ac:dyDescent="0.25">
      <c r="A13">
        <v>6</v>
      </c>
      <c r="B13" t="s">
        <v>270</v>
      </c>
      <c r="C13" t="s">
        <v>110</v>
      </c>
      <c r="D13" t="str">
        <f t="shared" si="0"/>
        <v>M.minima.Open.6</v>
      </c>
      <c r="E13" t="s">
        <v>94</v>
      </c>
      <c r="F13">
        <v>10</v>
      </c>
    </row>
    <row r="14" spans="1:6" x14ac:dyDescent="0.25">
      <c r="A14">
        <v>6</v>
      </c>
      <c r="B14" t="s">
        <v>268</v>
      </c>
      <c r="C14" t="s">
        <v>103</v>
      </c>
      <c r="D14" t="str">
        <f t="shared" si="0"/>
        <v>P.airoides.Open.6</v>
      </c>
      <c r="E14" t="s">
        <v>94</v>
      </c>
      <c r="F14">
        <v>828</v>
      </c>
    </row>
    <row r="15" spans="1:6" x14ac:dyDescent="0.25">
      <c r="A15">
        <v>6</v>
      </c>
      <c r="B15" t="s">
        <v>271</v>
      </c>
      <c r="C15" t="s">
        <v>111</v>
      </c>
      <c r="D15" t="str">
        <f t="shared" si="0"/>
        <v>P.canescens.Open.6</v>
      </c>
      <c r="E15" t="s">
        <v>94</v>
      </c>
      <c r="F15">
        <v>4600</v>
      </c>
    </row>
    <row r="16" spans="1:6" x14ac:dyDescent="0.25">
      <c r="A16">
        <v>6</v>
      </c>
      <c r="B16" t="s">
        <v>272</v>
      </c>
      <c r="C16" t="s">
        <v>104</v>
      </c>
      <c r="D16" t="str">
        <f t="shared" si="0"/>
        <v>T.cyanopetala.Open.6</v>
      </c>
      <c r="E16" t="s">
        <v>94</v>
      </c>
      <c r="F16">
        <v>48</v>
      </c>
    </row>
    <row r="17" spans="1:6" x14ac:dyDescent="0.25">
      <c r="A17">
        <v>6</v>
      </c>
      <c r="B17" t="s">
        <v>269</v>
      </c>
      <c r="C17" t="s">
        <v>112</v>
      </c>
      <c r="D17" t="str">
        <f t="shared" si="0"/>
        <v>V.rosea.Open.6</v>
      </c>
      <c r="E17" t="s">
        <v>94</v>
      </c>
      <c r="F17">
        <v>152</v>
      </c>
    </row>
    <row r="18" spans="1:6" x14ac:dyDescent="0.25">
      <c r="A18">
        <v>10</v>
      </c>
      <c r="B18" t="s">
        <v>273</v>
      </c>
      <c r="C18" t="s">
        <v>102</v>
      </c>
      <c r="D18" t="str">
        <f t="shared" si="0"/>
        <v>A.calendula.Open.10</v>
      </c>
      <c r="E18" t="s">
        <v>94</v>
      </c>
      <c r="F18">
        <v>560.5</v>
      </c>
    </row>
    <row r="19" spans="1:6" x14ac:dyDescent="0.25">
      <c r="A19">
        <v>10</v>
      </c>
      <c r="B19" t="s">
        <v>274</v>
      </c>
      <c r="C19" t="s">
        <v>105</v>
      </c>
      <c r="D19" t="str">
        <f t="shared" si="0"/>
        <v>H.glabra.Open.10</v>
      </c>
      <c r="E19" t="s">
        <v>94</v>
      </c>
      <c r="F19">
        <v>257.5</v>
      </c>
    </row>
    <row r="20" spans="1:6" x14ac:dyDescent="0.25">
      <c r="A20">
        <v>10</v>
      </c>
      <c r="B20" t="s">
        <v>267</v>
      </c>
      <c r="C20" t="s">
        <v>113</v>
      </c>
      <c r="D20" t="str">
        <f t="shared" si="0"/>
        <v>H.glutinosum.Open.10</v>
      </c>
      <c r="E20" t="s">
        <v>94</v>
      </c>
      <c r="F20">
        <v>0</v>
      </c>
    </row>
    <row r="21" spans="1:6" x14ac:dyDescent="0.25">
      <c r="A21">
        <v>10</v>
      </c>
      <c r="B21" t="s">
        <v>270</v>
      </c>
      <c r="C21" t="s">
        <v>110</v>
      </c>
      <c r="D21" t="str">
        <f t="shared" si="0"/>
        <v>M.minima.Open.10</v>
      </c>
      <c r="E21" t="s">
        <v>94</v>
      </c>
      <c r="F21">
        <v>7.6666670000000003</v>
      </c>
    </row>
    <row r="22" spans="1:6" x14ac:dyDescent="0.25">
      <c r="A22">
        <v>10</v>
      </c>
      <c r="B22" t="s">
        <v>268</v>
      </c>
      <c r="C22" t="s">
        <v>103</v>
      </c>
      <c r="D22" t="str">
        <f t="shared" si="0"/>
        <v>P.airoides.Open.10</v>
      </c>
      <c r="E22" t="s">
        <v>94</v>
      </c>
      <c r="F22">
        <v>368.5</v>
      </c>
    </row>
    <row r="23" spans="1:6" x14ac:dyDescent="0.25">
      <c r="A23">
        <v>10</v>
      </c>
      <c r="B23" t="s">
        <v>271</v>
      </c>
      <c r="C23" t="s">
        <v>111</v>
      </c>
      <c r="D23" t="str">
        <f t="shared" si="0"/>
        <v>P.canescens.Open.10</v>
      </c>
      <c r="E23" t="s">
        <v>94</v>
      </c>
      <c r="F23">
        <v>2412</v>
      </c>
    </row>
    <row r="24" spans="1:6" x14ac:dyDescent="0.25">
      <c r="A24">
        <v>10</v>
      </c>
      <c r="B24" t="s">
        <v>272</v>
      </c>
      <c r="C24" t="s">
        <v>104</v>
      </c>
      <c r="D24" t="str">
        <f t="shared" si="0"/>
        <v>T.cyanopetala.Open.10</v>
      </c>
      <c r="E24" t="s">
        <v>94</v>
      </c>
      <c r="F24">
        <v>150</v>
      </c>
    </row>
    <row r="25" spans="1:6" x14ac:dyDescent="0.25">
      <c r="A25">
        <v>10</v>
      </c>
      <c r="B25" t="s">
        <v>269</v>
      </c>
      <c r="C25" t="s">
        <v>112</v>
      </c>
      <c r="D25" t="str">
        <f t="shared" si="0"/>
        <v>V.rosea.Open.10</v>
      </c>
      <c r="E25" t="s">
        <v>94</v>
      </c>
      <c r="F25">
        <v>62</v>
      </c>
    </row>
    <row r="26" spans="1:6" x14ac:dyDescent="0.25">
      <c r="A26">
        <v>12</v>
      </c>
      <c r="B26" t="s">
        <v>273</v>
      </c>
      <c r="C26" t="s">
        <v>102</v>
      </c>
      <c r="D26" t="str">
        <f t="shared" si="0"/>
        <v>A.calendula.Open.12</v>
      </c>
      <c r="E26" t="s">
        <v>94</v>
      </c>
      <c r="F26">
        <v>485.5</v>
      </c>
    </row>
    <row r="27" spans="1:6" x14ac:dyDescent="0.25">
      <c r="A27">
        <v>12</v>
      </c>
      <c r="B27" t="s">
        <v>274</v>
      </c>
      <c r="C27" t="s">
        <v>105</v>
      </c>
      <c r="D27" t="str">
        <f t="shared" si="0"/>
        <v>H.glabra.Open.12</v>
      </c>
      <c r="E27" t="s">
        <v>94</v>
      </c>
      <c r="F27">
        <v>308.33330000000001</v>
      </c>
    </row>
    <row r="28" spans="1:6" x14ac:dyDescent="0.25">
      <c r="A28">
        <v>12</v>
      </c>
      <c r="B28" t="s">
        <v>267</v>
      </c>
      <c r="C28" t="s">
        <v>113</v>
      </c>
      <c r="D28" t="str">
        <f t="shared" si="0"/>
        <v>H.glutinosum.Open.12</v>
      </c>
      <c r="E28" t="s">
        <v>94</v>
      </c>
      <c r="F28">
        <v>2.75</v>
      </c>
    </row>
    <row r="29" spans="1:6" x14ac:dyDescent="0.25">
      <c r="A29">
        <v>12</v>
      </c>
      <c r="B29" t="s">
        <v>270</v>
      </c>
      <c r="C29" t="s">
        <v>110</v>
      </c>
      <c r="D29" t="str">
        <f t="shared" si="0"/>
        <v>M.minima.Open.12</v>
      </c>
      <c r="E29" t="s">
        <v>94</v>
      </c>
      <c r="F29">
        <v>8</v>
      </c>
    </row>
    <row r="30" spans="1:6" x14ac:dyDescent="0.25">
      <c r="A30">
        <v>12</v>
      </c>
      <c r="B30" t="s">
        <v>268</v>
      </c>
      <c r="C30" t="s">
        <v>103</v>
      </c>
      <c r="D30" t="str">
        <f t="shared" si="0"/>
        <v>P.airoides.Open.12</v>
      </c>
      <c r="E30" t="s">
        <v>94</v>
      </c>
      <c r="F30">
        <v>313.5</v>
      </c>
    </row>
    <row r="31" spans="1:6" x14ac:dyDescent="0.25">
      <c r="A31">
        <v>12</v>
      </c>
      <c r="B31" t="s">
        <v>271</v>
      </c>
      <c r="C31" t="s">
        <v>111</v>
      </c>
      <c r="D31" t="str">
        <f t="shared" si="0"/>
        <v>P.canescens.Open.12</v>
      </c>
      <c r="E31" t="s">
        <v>94</v>
      </c>
      <c r="F31">
        <v>422.66669999999999</v>
      </c>
    </row>
    <row r="32" spans="1:6" x14ac:dyDescent="0.25">
      <c r="A32">
        <v>12</v>
      </c>
      <c r="B32" t="s">
        <v>272</v>
      </c>
      <c r="C32" t="s">
        <v>104</v>
      </c>
      <c r="D32" t="str">
        <f t="shared" si="0"/>
        <v>T.cyanopetala.Open.12</v>
      </c>
      <c r="E32" t="s">
        <v>94</v>
      </c>
      <c r="F32">
        <v>32.5</v>
      </c>
    </row>
    <row r="33" spans="1:6" x14ac:dyDescent="0.25">
      <c r="A33">
        <v>12</v>
      </c>
      <c r="B33" t="s">
        <v>269</v>
      </c>
      <c r="C33" t="s">
        <v>112</v>
      </c>
      <c r="D33" t="str">
        <f t="shared" si="0"/>
        <v>V.rosea.Open.12</v>
      </c>
      <c r="E33" t="s">
        <v>94</v>
      </c>
      <c r="F33">
        <v>184.8</v>
      </c>
    </row>
    <row r="34" spans="1:6" x14ac:dyDescent="0.25">
      <c r="A34">
        <v>15</v>
      </c>
      <c r="B34" t="s">
        <v>273</v>
      </c>
      <c r="C34" t="s">
        <v>102</v>
      </c>
      <c r="D34" t="str">
        <f t="shared" si="0"/>
        <v>A.calendula.Open.15</v>
      </c>
      <c r="E34" t="s">
        <v>94</v>
      </c>
      <c r="F34">
        <v>383.66669999999999</v>
      </c>
    </row>
    <row r="35" spans="1:6" x14ac:dyDescent="0.25">
      <c r="A35">
        <v>15</v>
      </c>
      <c r="B35" t="s">
        <v>274</v>
      </c>
      <c r="C35" t="s">
        <v>105</v>
      </c>
      <c r="D35" t="str">
        <f t="shared" si="0"/>
        <v>H.glabra.Open.15</v>
      </c>
      <c r="E35" t="s">
        <v>94</v>
      </c>
      <c r="F35">
        <v>582</v>
      </c>
    </row>
    <row r="36" spans="1:6" x14ac:dyDescent="0.25">
      <c r="A36">
        <v>15</v>
      </c>
      <c r="B36" t="s">
        <v>267</v>
      </c>
      <c r="C36" t="s">
        <v>113</v>
      </c>
      <c r="D36" t="str">
        <f t="shared" si="0"/>
        <v>H.glutinosum.Open.15</v>
      </c>
      <c r="E36" t="s">
        <v>94</v>
      </c>
      <c r="F36">
        <v>8.5</v>
      </c>
    </row>
    <row r="37" spans="1:6" x14ac:dyDescent="0.25">
      <c r="A37">
        <v>15</v>
      </c>
      <c r="B37" t="s">
        <v>270</v>
      </c>
      <c r="C37" t="s">
        <v>110</v>
      </c>
      <c r="D37" t="str">
        <f t="shared" si="0"/>
        <v>M.minima.Open.15</v>
      </c>
      <c r="E37" t="s">
        <v>94</v>
      </c>
      <c r="F37">
        <v>6</v>
      </c>
    </row>
    <row r="38" spans="1:6" x14ac:dyDescent="0.25">
      <c r="A38">
        <v>15</v>
      </c>
      <c r="B38" t="s">
        <v>268</v>
      </c>
      <c r="C38" t="s">
        <v>103</v>
      </c>
      <c r="D38" t="str">
        <f t="shared" si="0"/>
        <v>P.airoides.Open.15</v>
      </c>
      <c r="E38" t="s">
        <v>94</v>
      </c>
      <c r="F38">
        <v>274</v>
      </c>
    </row>
    <row r="39" spans="1:6" x14ac:dyDescent="0.25">
      <c r="A39">
        <v>15</v>
      </c>
      <c r="B39" t="s">
        <v>271</v>
      </c>
      <c r="C39" t="s">
        <v>111</v>
      </c>
      <c r="D39" t="str">
        <f t="shared" si="0"/>
        <v>P.canescens.Open.15</v>
      </c>
      <c r="E39" t="s">
        <v>94</v>
      </c>
      <c r="F39">
        <v>2240.3332999999998</v>
      </c>
    </row>
    <row r="40" spans="1:6" x14ac:dyDescent="0.25">
      <c r="A40">
        <v>15</v>
      </c>
      <c r="B40" t="s">
        <v>272</v>
      </c>
      <c r="C40" t="s">
        <v>104</v>
      </c>
      <c r="D40" t="str">
        <f t="shared" si="0"/>
        <v>T.cyanopetala.Open.15</v>
      </c>
      <c r="E40" t="s">
        <v>94</v>
      </c>
      <c r="F40">
        <v>31</v>
      </c>
    </row>
    <row r="41" spans="1:6" x14ac:dyDescent="0.25">
      <c r="A41">
        <v>15</v>
      </c>
      <c r="B41" t="s">
        <v>269</v>
      </c>
      <c r="C41" t="s">
        <v>112</v>
      </c>
      <c r="D41" t="str">
        <f t="shared" si="0"/>
        <v>V.rosea.Open.15</v>
      </c>
      <c r="E41" t="s">
        <v>94</v>
      </c>
      <c r="F41">
        <v>76</v>
      </c>
    </row>
    <row r="42" spans="1:6" x14ac:dyDescent="0.25">
      <c r="A42">
        <v>2</v>
      </c>
      <c r="B42" t="s">
        <v>273</v>
      </c>
      <c r="C42" t="s">
        <v>102</v>
      </c>
      <c r="D42" t="str">
        <f t="shared" si="0"/>
        <v>A.calendula.Shade.2</v>
      </c>
      <c r="E42" t="s">
        <v>95</v>
      </c>
      <c r="F42">
        <v>486.66669999999999</v>
      </c>
    </row>
    <row r="43" spans="1:6" x14ac:dyDescent="0.25">
      <c r="A43">
        <v>2</v>
      </c>
      <c r="B43" t="s">
        <v>274</v>
      </c>
      <c r="C43" t="s">
        <v>105</v>
      </c>
      <c r="D43" t="str">
        <f t="shared" si="0"/>
        <v>H.glabra.Shade.2</v>
      </c>
      <c r="E43" t="s">
        <v>95</v>
      </c>
      <c r="F43">
        <v>320</v>
      </c>
    </row>
    <row r="44" spans="1:6" x14ac:dyDescent="0.25">
      <c r="A44">
        <v>2</v>
      </c>
      <c r="B44" t="s">
        <v>267</v>
      </c>
      <c r="C44" t="s">
        <v>113</v>
      </c>
      <c r="D44" t="str">
        <f t="shared" si="0"/>
        <v>H.glutinosum.Shade.2</v>
      </c>
      <c r="E44" t="s">
        <v>95</v>
      </c>
      <c r="F44">
        <v>0</v>
      </c>
    </row>
    <row r="45" spans="1:6" x14ac:dyDescent="0.25">
      <c r="A45">
        <v>2</v>
      </c>
      <c r="B45" t="s">
        <v>270</v>
      </c>
      <c r="C45" t="s">
        <v>110</v>
      </c>
      <c r="D45" t="str">
        <f t="shared" si="0"/>
        <v>M.minima.Shade.2</v>
      </c>
      <c r="E45" t="s">
        <v>95</v>
      </c>
      <c r="F45">
        <v>3</v>
      </c>
    </row>
    <row r="46" spans="1:6" x14ac:dyDescent="0.25">
      <c r="A46">
        <v>2</v>
      </c>
      <c r="B46" t="s">
        <v>268</v>
      </c>
      <c r="C46" t="s">
        <v>103</v>
      </c>
      <c r="D46" t="str">
        <f t="shared" si="0"/>
        <v>P.airoides.Shade.2</v>
      </c>
      <c r="E46" t="s">
        <v>95</v>
      </c>
      <c r="F46">
        <v>196.5</v>
      </c>
    </row>
    <row r="47" spans="1:6" x14ac:dyDescent="0.25">
      <c r="A47">
        <v>2</v>
      </c>
      <c r="B47" t="s">
        <v>271</v>
      </c>
      <c r="C47" t="s">
        <v>111</v>
      </c>
      <c r="D47" t="str">
        <f t="shared" si="0"/>
        <v>P.canescens.Shade.2</v>
      </c>
      <c r="E47" t="s">
        <v>95</v>
      </c>
      <c r="F47">
        <v>177.5</v>
      </c>
    </row>
    <row r="48" spans="1:6" x14ac:dyDescent="0.25">
      <c r="A48">
        <v>2</v>
      </c>
      <c r="B48" t="s">
        <v>272</v>
      </c>
      <c r="C48" t="s">
        <v>104</v>
      </c>
      <c r="D48" t="str">
        <f t="shared" si="0"/>
        <v>T.cyanopetala.Shade.2</v>
      </c>
      <c r="E48" t="s">
        <v>95</v>
      </c>
      <c r="F48">
        <v>134</v>
      </c>
    </row>
    <row r="49" spans="1:6" x14ac:dyDescent="0.25">
      <c r="A49">
        <v>2</v>
      </c>
      <c r="B49" t="s">
        <v>269</v>
      </c>
      <c r="C49" t="s">
        <v>112</v>
      </c>
      <c r="D49" t="str">
        <f t="shared" si="0"/>
        <v>V.rosea.Shade.2</v>
      </c>
      <c r="E49" t="s">
        <v>95</v>
      </c>
      <c r="F49">
        <v>116.5</v>
      </c>
    </row>
    <row r="50" spans="1:6" x14ac:dyDescent="0.25">
      <c r="A50">
        <v>6</v>
      </c>
      <c r="B50" t="s">
        <v>273</v>
      </c>
      <c r="C50" t="s">
        <v>102</v>
      </c>
      <c r="D50" t="str">
        <f t="shared" si="0"/>
        <v>A.calendula.Shade.6</v>
      </c>
      <c r="E50" t="s">
        <v>95</v>
      </c>
      <c r="F50">
        <v>567</v>
      </c>
    </row>
    <row r="51" spans="1:6" x14ac:dyDescent="0.25">
      <c r="A51">
        <v>6</v>
      </c>
      <c r="B51" t="s">
        <v>274</v>
      </c>
      <c r="C51" t="s">
        <v>105</v>
      </c>
      <c r="D51" t="str">
        <f t="shared" si="0"/>
        <v>H.glabra.Shade.6</v>
      </c>
      <c r="E51" t="s">
        <v>95</v>
      </c>
      <c r="F51">
        <v>315.5</v>
      </c>
    </row>
    <row r="52" spans="1:6" x14ac:dyDescent="0.25">
      <c r="A52">
        <v>6</v>
      </c>
      <c r="B52" t="s">
        <v>267</v>
      </c>
      <c r="C52" t="s">
        <v>113</v>
      </c>
      <c r="D52" t="str">
        <f t="shared" si="0"/>
        <v>H.glutinosum.Shade.6</v>
      </c>
      <c r="E52" t="s">
        <v>95</v>
      </c>
      <c r="F52">
        <v>0</v>
      </c>
    </row>
    <row r="53" spans="1:6" x14ac:dyDescent="0.25">
      <c r="A53">
        <v>6</v>
      </c>
      <c r="B53" t="s">
        <v>270</v>
      </c>
      <c r="C53" t="s">
        <v>110</v>
      </c>
      <c r="D53" t="str">
        <f t="shared" si="0"/>
        <v>M.minima.Shade.6</v>
      </c>
      <c r="E53" t="s">
        <v>95</v>
      </c>
      <c r="F53">
        <v>0</v>
      </c>
    </row>
    <row r="54" spans="1:6" x14ac:dyDescent="0.25">
      <c r="A54">
        <v>6</v>
      </c>
      <c r="B54" t="s">
        <v>268</v>
      </c>
      <c r="C54" t="s">
        <v>103</v>
      </c>
      <c r="D54" t="str">
        <f t="shared" si="0"/>
        <v>P.airoides.Shade.6</v>
      </c>
      <c r="E54" t="s">
        <v>95</v>
      </c>
      <c r="F54">
        <v>406</v>
      </c>
    </row>
    <row r="55" spans="1:6" x14ac:dyDescent="0.25">
      <c r="A55">
        <v>6</v>
      </c>
      <c r="B55" t="s">
        <v>271</v>
      </c>
      <c r="C55" t="s">
        <v>111</v>
      </c>
      <c r="D55" t="str">
        <f t="shared" si="0"/>
        <v>P.canescens.Shade.6</v>
      </c>
      <c r="E55" t="s">
        <v>95</v>
      </c>
      <c r="F55">
        <v>2858</v>
      </c>
    </row>
    <row r="56" spans="1:6" x14ac:dyDescent="0.25">
      <c r="A56">
        <v>6</v>
      </c>
      <c r="B56" t="s">
        <v>272</v>
      </c>
      <c r="C56" t="s">
        <v>104</v>
      </c>
      <c r="D56" t="str">
        <f t="shared" si="0"/>
        <v>T.cyanopetala.Shade.6</v>
      </c>
      <c r="E56" t="s">
        <v>95</v>
      </c>
      <c r="F56">
        <v>44</v>
      </c>
    </row>
    <row r="57" spans="1:6" x14ac:dyDescent="0.25">
      <c r="A57">
        <v>6</v>
      </c>
      <c r="B57" t="s">
        <v>269</v>
      </c>
      <c r="C57" t="s">
        <v>112</v>
      </c>
      <c r="D57" t="str">
        <f t="shared" si="0"/>
        <v>V.rosea.Shade.6</v>
      </c>
      <c r="E57" t="s">
        <v>95</v>
      </c>
      <c r="F57">
        <v>50</v>
      </c>
    </row>
    <row r="58" spans="1:6" x14ac:dyDescent="0.25">
      <c r="A58">
        <v>10</v>
      </c>
      <c r="B58" t="s">
        <v>273</v>
      </c>
      <c r="C58" t="s">
        <v>102</v>
      </c>
      <c r="D58" t="str">
        <f t="shared" si="0"/>
        <v>A.calendula.Shade.10</v>
      </c>
      <c r="E58" t="s">
        <v>95</v>
      </c>
      <c r="F58">
        <v>274</v>
      </c>
    </row>
    <row r="59" spans="1:6" x14ac:dyDescent="0.25">
      <c r="A59">
        <v>10</v>
      </c>
      <c r="B59" t="s">
        <v>274</v>
      </c>
      <c r="C59" t="s">
        <v>105</v>
      </c>
      <c r="D59" t="str">
        <f t="shared" si="0"/>
        <v>H.glabra.Shade.10</v>
      </c>
      <c r="E59" t="s">
        <v>95</v>
      </c>
      <c r="F59">
        <v>215.5</v>
      </c>
    </row>
    <row r="60" spans="1:6" x14ac:dyDescent="0.25">
      <c r="A60">
        <v>10</v>
      </c>
      <c r="B60" t="s">
        <v>267</v>
      </c>
      <c r="C60" t="s">
        <v>113</v>
      </c>
      <c r="D60" t="str">
        <f t="shared" si="0"/>
        <v>H.glutinosum.Shade.10</v>
      </c>
      <c r="E60" t="s">
        <v>95</v>
      </c>
      <c r="F60">
        <v>1.6666669999999999</v>
      </c>
    </row>
    <row r="61" spans="1:6" x14ac:dyDescent="0.25">
      <c r="A61">
        <v>10</v>
      </c>
      <c r="B61" t="s">
        <v>270</v>
      </c>
      <c r="C61" t="s">
        <v>110</v>
      </c>
      <c r="D61" t="str">
        <f t="shared" si="0"/>
        <v>M.minima.Shade.10</v>
      </c>
      <c r="E61" t="s">
        <v>95</v>
      </c>
      <c r="F61">
        <v>0</v>
      </c>
    </row>
    <row r="62" spans="1:6" x14ac:dyDescent="0.25">
      <c r="A62">
        <v>10</v>
      </c>
      <c r="B62" t="s">
        <v>268</v>
      </c>
      <c r="C62" t="s">
        <v>103</v>
      </c>
      <c r="D62" t="str">
        <f t="shared" si="0"/>
        <v>P.airoides.Shade.10</v>
      </c>
      <c r="E62" t="s">
        <v>95</v>
      </c>
      <c r="F62">
        <v>194</v>
      </c>
    </row>
    <row r="63" spans="1:6" x14ac:dyDescent="0.25">
      <c r="A63">
        <v>10</v>
      </c>
      <c r="B63" t="s">
        <v>271</v>
      </c>
      <c r="C63" t="s">
        <v>111</v>
      </c>
      <c r="D63" t="str">
        <f t="shared" si="0"/>
        <v>P.canescens.Shade.10</v>
      </c>
      <c r="E63" t="s">
        <v>95</v>
      </c>
      <c r="F63">
        <v>639.25</v>
      </c>
    </row>
    <row r="64" spans="1:6" x14ac:dyDescent="0.25">
      <c r="A64">
        <v>10</v>
      </c>
      <c r="B64" t="s">
        <v>272</v>
      </c>
      <c r="C64" t="s">
        <v>104</v>
      </c>
      <c r="D64" t="str">
        <f t="shared" si="0"/>
        <v>T.cyanopetala.Shade.10</v>
      </c>
      <c r="E64" t="s">
        <v>95</v>
      </c>
      <c r="F64">
        <v>21</v>
      </c>
    </row>
    <row r="65" spans="1:6" x14ac:dyDescent="0.25">
      <c r="A65">
        <v>10</v>
      </c>
      <c r="B65" t="s">
        <v>269</v>
      </c>
      <c r="C65" t="s">
        <v>112</v>
      </c>
      <c r="D65" t="str">
        <f t="shared" si="0"/>
        <v>V.rosea.Shade.10</v>
      </c>
      <c r="E65" t="s">
        <v>95</v>
      </c>
      <c r="F65">
        <v>155</v>
      </c>
    </row>
    <row r="66" spans="1:6" x14ac:dyDescent="0.25">
      <c r="A66">
        <v>12</v>
      </c>
      <c r="B66" t="s">
        <v>273</v>
      </c>
      <c r="C66" t="s">
        <v>102</v>
      </c>
      <c r="D66" t="str">
        <f t="shared" si="0"/>
        <v>A.calendula.Shade.12</v>
      </c>
      <c r="E66" t="s">
        <v>95</v>
      </c>
      <c r="F66">
        <v>545.5</v>
      </c>
    </row>
    <row r="67" spans="1:6" x14ac:dyDescent="0.25">
      <c r="A67">
        <v>12</v>
      </c>
      <c r="B67" t="s">
        <v>274</v>
      </c>
      <c r="C67" t="s">
        <v>105</v>
      </c>
      <c r="D67" t="str">
        <f t="shared" ref="D67:D81" si="1">C67&amp;"."&amp;E67&amp;"."&amp;A67</f>
        <v>H.glabra.Shade.12</v>
      </c>
      <c r="E67" t="s">
        <v>95</v>
      </c>
      <c r="F67">
        <v>253</v>
      </c>
    </row>
    <row r="68" spans="1:6" x14ac:dyDescent="0.25">
      <c r="A68">
        <v>12</v>
      </c>
      <c r="B68" t="s">
        <v>267</v>
      </c>
      <c r="C68" t="s">
        <v>113</v>
      </c>
      <c r="D68" t="str">
        <f t="shared" si="1"/>
        <v>H.glutinosum.Shade.12</v>
      </c>
      <c r="E68" t="s">
        <v>95</v>
      </c>
      <c r="F68">
        <v>7</v>
      </c>
    </row>
    <row r="69" spans="1:6" x14ac:dyDescent="0.25">
      <c r="A69">
        <v>12</v>
      </c>
      <c r="B69" t="s">
        <v>270</v>
      </c>
      <c r="C69" t="s">
        <v>110</v>
      </c>
      <c r="D69" t="str">
        <f t="shared" si="1"/>
        <v>M.minima.Shade.12</v>
      </c>
      <c r="E69" t="s">
        <v>95</v>
      </c>
      <c r="F69">
        <v>9</v>
      </c>
    </row>
    <row r="70" spans="1:6" x14ac:dyDescent="0.25">
      <c r="A70">
        <v>12</v>
      </c>
      <c r="B70" t="s">
        <v>268</v>
      </c>
      <c r="C70" t="s">
        <v>103</v>
      </c>
      <c r="D70" t="str">
        <f t="shared" si="1"/>
        <v>P.airoides.Shade.12</v>
      </c>
      <c r="E70" t="s">
        <v>95</v>
      </c>
      <c r="F70">
        <v>290.75</v>
      </c>
    </row>
    <row r="71" spans="1:6" x14ac:dyDescent="0.25">
      <c r="A71">
        <v>12</v>
      </c>
      <c r="B71" t="s">
        <v>271</v>
      </c>
      <c r="C71" t="s">
        <v>111</v>
      </c>
      <c r="D71" t="str">
        <f t="shared" si="1"/>
        <v>P.canescens.Shade.12</v>
      </c>
      <c r="E71" t="s">
        <v>95</v>
      </c>
      <c r="F71">
        <v>955.66669999999999</v>
      </c>
    </row>
    <row r="72" spans="1:6" x14ac:dyDescent="0.25">
      <c r="A72">
        <v>12</v>
      </c>
      <c r="B72" t="s">
        <v>272</v>
      </c>
      <c r="C72" t="s">
        <v>104</v>
      </c>
      <c r="D72" t="str">
        <f t="shared" si="1"/>
        <v>T.cyanopetala.Shade.12</v>
      </c>
      <c r="E72" t="s">
        <v>95</v>
      </c>
      <c r="F72">
        <v>22</v>
      </c>
    </row>
    <row r="73" spans="1:6" x14ac:dyDescent="0.25">
      <c r="A73">
        <v>12</v>
      </c>
      <c r="B73" t="s">
        <v>269</v>
      </c>
      <c r="C73" t="s">
        <v>112</v>
      </c>
      <c r="D73" t="str">
        <f t="shared" si="1"/>
        <v>V.rosea.Shade.12</v>
      </c>
      <c r="E73" t="s">
        <v>95</v>
      </c>
      <c r="F73">
        <v>133</v>
      </c>
    </row>
    <row r="74" spans="1:6" x14ac:dyDescent="0.25">
      <c r="A74">
        <v>15</v>
      </c>
      <c r="B74" t="s">
        <v>273</v>
      </c>
      <c r="C74" t="s">
        <v>102</v>
      </c>
      <c r="D74" t="str">
        <f t="shared" si="1"/>
        <v>A.calendula.Shade.15</v>
      </c>
      <c r="E74" t="s">
        <v>95</v>
      </c>
      <c r="F74">
        <v>880</v>
      </c>
    </row>
    <row r="75" spans="1:6" x14ac:dyDescent="0.25">
      <c r="A75">
        <v>15</v>
      </c>
      <c r="B75" t="s">
        <v>274</v>
      </c>
      <c r="C75" t="s">
        <v>105</v>
      </c>
      <c r="D75" t="str">
        <f t="shared" si="1"/>
        <v>H.glabra.Shade.15</v>
      </c>
      <c r="E75" t="s">
        <v>95</v>
      </c>
      <c r="F75">
        <v>97.333332999999996</v>
      </c>
    </row>
    <row r="76" spans="1:6" x14ac:dyDescent="0.25">
      <c r="A76">
        <v>15</v>
      </c>
      <c r="B76" t="s">
        <v>267</v>
      </c>
      <c r="C76" t="s">
        <v>113</v>
      </c>
      <c r="D76" t="str">
        <f t="shared" si="1"/>
        <v>H.glutinosum.Shade.15</v>
      </c>
      <c r="E76" t="s">
        <v>95</v>
      </c>
      <c r="F76">
        <v>22</v>
      </c>
    </row>
    <row r="77" spans="1:6" x14ac:dyDescent="0.25">
      <c r="A77">
        <v>15</v>
      </c>
      <c r="B77" t="s">
        <v>270</v>
      </c>
      <c r="C77" t="s">
        <v>110</v>
      </c>
      <c r="D77" t="str">
        <f t="shared" si="1"/>
        <v>M.minima.Shade.15</v>
      </c>
      <c r="E77" t="s">
        <v>95</v>
      </c>
      <c r="F77">
        <v>4.6666670000000003</v>
      </c>
    </row>
    <row r="78" spans="1:6" x14ac:dyDescent="0.25">
      <c r="A78">
        <v>15</v>
      </c>
      <c r="B78" t="s">
        <v>268</v>
      </c>
      <c r="C78" t="s">
        <v>103</v>
      </c>
      <c r="D78" t="str">
        <f t="shared" si="1"/>
        <v>P.airoides.Shade.15</v>
      </c>
      <c r="E78" t="s">
        <v>95</v>
      </c>
      <c r="F78">
        <v>216</v>
      </c>
    </row>
    <row r="79" spans="1:6" x14ac:dyDescent="0.25">
      <c r="A79">
        <v>15</v>
      </c>
      <c r="B79" t="s">
        <v>271</v>
      </c>
      <c r="C79" t="s">
        <v>111</v>
      </c>
      <c r="D79" t="str">
        <f t="shared" si="1"/>
        <v>P.canescens.Shade.15</v>
      </c>
      <c r="E79" t="s">
        <v>95</v>
      </c>
      <c r="F79">
        <v>731.75</v>
      </c>
    </row>
    <row r="80" spans="1:6" x14ac:dyDescent="0.25">
      <c r="A80">
        <v>15</v>
      </c>
      <c r="B80" t="s">
        <v>272</v>
      </c>
      <c r="C80" t="s">
        <v>104</v>
      </c>
      <c r="D80" t="str">
        <f t="shared" si="1"/>
        <v>T.cyanopetala.Shade.15</v>
      </c>
      <c r="E80" t="s">
        <v>95</v>
      </c>
      <c r="F80">
        <v>154.66666699999999</v>
      </c>
    </row>
    <row r="81" spans="1:6" x14ac:dyDescent="0.25">
      <c r="A81">
        <v>15</v>
      </c>
      <c r="B81" t="s">
        <v>269</v>
      </c>
      <c r="C81" t="s">
        <v>112</v>
      </c>
      <c r="D81" t="str">
        <f t="shared" si="1"/>
        <v>V.rosea.Shade.15</v>
      </c>
      <c r="E81" t="s">
        <v>95</v>
      </c>
      <c r="F81">
        <v>31.75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95"/>
  <sheetViews>
    <sheetView workbookViewId="0">
      <selection activeCell="C1" sqref="C1"/>
    </sheetView>
  </sheetViews>
  <sheetFormatPr defaultRowHeight="15" x14ac:dyDescent="0.25"/>
  <cols>
    <col min="1" max="1" width="33.85546875" customWidth="1"/>
    <col min="2" max="2" width="39.7109375" bestFit="1" customWidth="1"/>
    <col min="3" max="3" width="41" customWidth="1"/>
  </cols>
  <sheetData>
    <row r="1" spans="1:4" x14ac:dyDescent="0.25">
      <c r="A1" t="s">
        <v>754</v>
      </c>
      <c r="B1" t="s">
        <v>218</v>
      </c>
      <c r="D1" t="s">
        <v>787</v>
      </c>
    </row>
    <row r="2" spans="1:4" x14ac:dyDescent="0.25">
      <c r="A2" t="s">
        <v>763</v>
      </c>
      <c r="B2">
        <v>9</v>
      </c>
      <c r="C2" t="s">
        <v>765</v>
      </c>
      <c r="D2">
        <v>0</v>
      </c>
    </row>
    <row r="3" spans="1:4" x14ac:dyDescent="0.25">
      <c r="A3" t="s">
        <v>771</v>
      </c>
      <c r="B3">
        <v>167</v>
      </c>
      <c r="C3" t="s">
        <v>773</v>
      </c>
      <c r="D3">
        <v>204</v>
      </c>
    </row>
    <row r="4" spans="1:4" x14ac:dyDescent="0.25">
      <c r="A4" t="s">
        <v>783</v>
      </c>
      <c r="B4">
        <v>379</v>
      </c>
      <c r="C4" t="s">
        <v>785</v>
      </c>
      <c r="D4">
        <v>44</v>
      </c>
    </row>
    <row r="5" spans="1:4" x14ac:dyDescent="0.25">
      <c r="A5" t="s">
        <v>764</v>
      </c>
      <c r="B5">
        <v>0</v>
      </c>
      <c r="C5" t="s">
        <v>766</v>
      </c>
      <c r="D5">
        <v>0</v>
      </c>
    </row>
    <row r="6" spans="1:4" x14ac:dyDescent="0.25">
      <c r="A6" t="s">
        <v>768</v>
      </c>
      <c r="B6">
        <v>0</v>
      </c>
      <c r="C6" t="s">
        <v>770</v>
      </c>
      <c r="D6">
        <v>0</v>
      </c>
    </row>
    <row r="7" spans="1:4" x14ac:dyDescent="0.25">
      <c r="A7" t="s">
        <v>776</v>
      </c>
      <c r="B7">
        <v>1620</v>
      </c>
      <c r="C7" t="s">
        <v>778</v>
      </c>
      <c r="D7">
        <v>613</v>
      </c>
    </row>
    <row r="8" spans="1:4" x14ac:dyDescent="0.25">
      <c r="A8" t="s">
        <v>780</v>
      </c>
      <c r="B8">
        <v>62</v>
      </c>
      <c r="C8" t="s">
        <v>782</v>
      </c>
      <c r="D8">
        <v>0</v>
      </c>
    </row>
    <row r="9" spans="1:4" x14ac:dyDescent="0.25">
      <c r="A9" t="s">
        <v>756</v>
      </c>
      <c r="B9">
        <v>398</v>
      </c>
      <c r="C9" t="s">
        <v>758</v>
      </c>
      <c r="D9">
        <v>190</v>
      </c>
    </row>
    <row r="10" spans="1:4" x14ac:dyDescent="0.25">
      <c r="A10" t="s">
        <v>764</v>
      </c>
      <c r="B10">
        <v>5</v>
      </c>
      <c r="C10" t="s">
        <v>766</v>
      </c>
      <c r="D10">
        <v>0</v>
      </c>
    </row>
    <row r="11" spans="1:4" x14ac:dyDescent="0.25">
      <c r="A11" t="s">
        <v>772</v>
      </c>
      <c r="B11">
        <v>437</v>
      </c>
      <c r="C11" t="s">
        <v>774</v>
      </c>
      <c r="D11">
        <v>0</v>
      </c>
    </row>
    <row r="12" spans="1:4" x14ac:dyDescent="0.25">
      <c r="A12" t="s">
        <v>776</v>
      </c>
      <c r="B12">
        <v>123</v>
      </c>
      <c r="C12" t="s">
        <v>778</v>
      </c>
      <c r="D12">
        <v>245</v>
      </c>
    </row>
    <row r="13" spans="1:4" x14ac:dyDescent="0.25">
      <c r="A13" t="s">
        <v>784</v>
      </c>
      <c r="B13">
        <v>77</v>
      </c>
      <c r="C13" t="s">
        <v>786</v>
      </c>
      <c r="D13">
        <v>37</v>
      </c>
    </row>
    <row r="14" spans="1:4" x14ac:dyDescent="0.25">
      <c r="A14" t="s">
        <v>756</v>
      </c>
      <c r="B14">
        <v>306</v>
      </c>
      <c r="C14" t="s">
        <v>758</v>
      </c>
      <c r="D14">
        <v>124</v>
      </c>
    </row>
    <row r="15" spans="1:4" x14ac:dyDescent="0.25">
      <c r="A15" t="s">
        <v>760</v>
      </c>
      <c r="B15" t="s">
        <v>114</v>
      </c>
      <c r="C15" t="s">
        <v>762</v>
      </c>
      <c r="D15">
        <v>326</v>
      </c>
    </row>
    <row r="16" spans="1:4" x14ac:dyDescent="0.25">
      <c r="A16" t="s">
        <v>776</v>
      </c>
      <c r="B16">
        <v>1305</v>
      </c>
      <c r="C16" t="s">
        <v>778</v>
      </c>
      <c r="D16">
        <v>851</v>
      </c>
    </row>
    <row r="17" spans="1:4" x14ac:dyDescent="0.25">
      <c r="A17" t="s">
        <v>755</v>
      </c>
      <c r="B17">
        <v>583</v>
      </c>
      <c r="C17" t="s">
        <v>757</v>
      </c>
      <c r="D17">
        <v>405</v>
      </c>
    </row>
    <row r="18" spans="1:4" x14ac:dyDescent="0.25">
      <c r="A18" t="s">
        <v>775</v>
      </c>
      <c r="B18">
        <v>3137</v>
      </c>
      <c r="C18" t="s">
        <v>777</v>
      </c>
      <c r="D18">
        <v>2519</v>
      </c>
    </row>
    <row r="19" spans="1:4" x14ac:dyDescent="0.25">
      <c r="A19" t="s">
        <v>779</v>
      </c>
      <c r="B19">
        <v>8</v>
      </c>
      <c r="C19" t="s">
        <v>781</v>
      </c>
      <c r="D19">
        <v>150</v>
      </c>
    </row>
    <row r="20" spans="1:4" x14ac:dyDescent="0.25">
      <c r="A20" t="s">
        <v>760</v>
      </c>
      <c r="B20">
        <v>504</v>
      </c>
      <c r="C20" t="s">
        <v>762</v>
      </c>
      <c r="D20">
        <v>105</v>
      </c>
    </row>
    <row r="21" spans="1:4" x14ac:dyDescent="0.25">
      <c r="A21" t="s">
        <v>776</v>
      </c>
      <c r="B21">
        <v>444</v>
      </c>
      <c r="C21" t="s">
        <v>778</v>
      </c>
      <c r="D21">
        <v>848</v>
      </c>
    </row>
    <row r="22" spans="1:4" x14ac:dyDescent="0.25">
      <c r="A22" t="s">
        <v>780</v>
      </c>
      <c r="B22">
        <v>6</v>
      </c>
      <c r="C22" t="s">
        <v>782</v>
      </c>
      <c r="D22">
        <v>42</v>
      </c>
    </row>
    <row r="23" spans="1:4" x14ac:dyDescent="0.25">
      <c r="A23" t="s">
        <v>784</v>
      </c>
      <c r="B23">
        <v>0</v>
      </c>
      <c r="C23" t="s">
        <v>786</v>
      </c>
      <c r="D23">
        <v>155</v>
      </c>
    </row>
    <row r="24" spans="1:4" x14ac:dyDescent="0.25">
      <c r="A24" t="s">
        <v>759</v>
      </c>
      <c r="B24">
        <v>266</v>
      </c>
      <c r="C24" t="s">
        <v>761</v>
      </c>
      <c r="D24">
        <v>177</v>
      </c>
    </row>
    <row r="25" spans="1:4" x14ac:dyDescent="0.25">
      <c r="A25" t="s">
        <v>767</v>
      </c>
      <c r="B25">
        <v>2</v>
      </c>
      <c r="C25" t="s">
        <v>769</v>
      </c>
      <c r="D25">
        <v>9</v>
      </c>
    </row>
    <row r="26" spans="1:4" x14ac:dyDescent="0.25">
      <c r="A26" t="s">
        <v>779</v>
      </c>
      <c r="B26">
        <v>12</v>
      </c>
      <c r="C26" t="s">
        <v>781</v>
      </c>
      <c r="D26">
        <v>50</v>
      </c>
    </row>
    <row r="27" spans="1:4" x14ac:dyDescent="0.25">
      <c r="A27" t="s">
        <v>783</v>
      </c>
      <c r="B27">
        <v>90</v>
      </c>
      <c r="C27" t="s">
        <v>785</v>
      </c>
      <c r="D27">
        <v>80</v>
      </c>
    </row>
    <row r="28" spans="1:4" x14ac:dyDescent="0.25">
      <c r="A28" t="s">
        <v>756</v>
      </c>
      <c r="B28">
        <v>307</v>
      </c>
      <c r="C28" t="s">
        <v>758</v>
      </c>
      <c r="D28">
        <v>508</v>
      </c>
    </row>
    <row r="29" spans="1:4" x14ac:dyDescent="0.25">
      <c r="A29" t="s">
        <v>764</v>
      </c>
      <c r="B29">
        <v>3</v>
      </c>
      <c r="C29" t="s">
        <v>766</v>
      </c>
      <c r="D29">
        <v>5</v>
      </c>
    </row>
    <row r="30" spans="1:4" x14ac:dyDescent="0.25">
      <c r="A30" t="s">
        <v>772</v>
      </c>
      <c r="B30">
        <v>249</v>
      </c>
      <c r="C30" t="s">
        <v>774</v>
      </c>
      <c r="D30">
        <v>388</v>
      </c>
    </row>
    <row r="31" spans="1:4" x14ac:dyDescent="0.25">
      <c r="A31" t="s">
        <v>759</v>
      </c>
      <c r="B31">
        <v>527</v>
      </c>
      <c r="C31" t="s">
        <v>761</v>
      </c>
      <c r="D31">
        <v>338</v>
      </c>
    </row>
    <row r="32" spans="1:4" x14ac:dyDescent="0.25">
      <c r="A32" t="s">
        <v>767</v>
      </c>
      <c r="B32">
        <v>11</v>
      </c>
      <c r="C32" t="s">
        <v>769</v>
      </c>
      <c r="D32">
        <v>5</v>
      </c>
    </row>
    <row r="33" spans="1:4" x14ac:dyDescent="0.25">
      <c r="A33" t="s">
        <v>771</v>
      </c>
      <c r="B33">
        <v>189</v>
      </c>
      <c r="C33" t="s">
        <v>773</v>
      </c>
      <c r="D33">
        <v>533</v>
      </c>
    </row>
    <row r="34" spans="1:4" x14ac:dyDescent="0.25">
      <c r="A34" t="s">
        <v>763</v>
      </c>
      <c r="B34">
        <v>9</v>
      </c>
      <c r="C34" t="s">
        <v>765</v>
      </c>
      <c r="D34">
        <v>0</v>
      </c>
    </row>
    <row r="35" spans="1:4" x14ac:dyDescent="0.25">
      <c r="A35" t="s">
        <v>755</v>
      </c>
      <c r="B35">
        <v>578</v>
      </c>
      <c r="C35" t="s">
        <v>757</v>
      </c>
      <c r="D35">
        <v>716</v>
      </c>
    </row>
    <row r="36" spans="1:4" x14ac:dyDescent="0.25">
      <c r="A36" t="s">
        <v>767</v>
      </c>
      <c r="B36">
        <v>6</v>
      </c>
      <c r="C36" t="s">
        <v>769</v>
      </c>
      <c r="D36">
        <v>9</v>
      </c>
    </row>
    <row r="37" spans="1:4" x14ac:dyDescent="0.25">
      <c r="A37" t="s">
        <v>775</v>
      </c>
      <c r="B37">
        <v>4122</v>
      </c>
      <c r="C37" t="s">
        <v>777</v>
      </c>
      <c r="D37">
        <v>2305</v>
      </c>
    </row>
    <row r="38" spans="1:4" x14ac:dyDescent="0.25">
      <c r="A38" t="s">
        <v>764</v>
      </c>
      <c r="B38">
        <v>0</v>
      </c>
      <c r="C38" t="s">
        <v>766</v>
      </c>
      <c r="D38" t="s">
        <v>114</v>
      </c>
    </row>
    <row r="39" spans="1:4" x14ac:dyDescent="0.25">
      <c r="A39" t="s">
        <v>772</v>
      </c>
      <c r="B39">
        <v>410</v>
      </c>
      <c r="C39" t="s">
        <v>774</v>
      </c>
      <c r="D39">
        <v>338</v>
      </c>
    </row>
    <row r="40" spans="1:4" x14ac:dyDescent="0.25">
      <c r="A40" t="s">
        <v>776</v>
      </c>
      <c r="B40">
        <v>414</v>
      </c>
      <c r="C40" t="s">
        <v>778</v>
      </c>
      <c r="D40">
        <v>655</v>
      </c>
    </row>
    <row r="41" spans="1:4" x14ac:dyDescent="0.25">
      <c r="A41" t="s">
        <v>780</v>
      </c>
      <c r="B41">
        <v>6</v>
      </c>
      <c r="C41" t="s">
        <v>782</v>
      </c>
      <c r="D41">
        <v>20</v>
      </c>
    </row>
    <row r="42" spans="1:4" x14ac:dyDescent="0.25">
      <c r="A42" t="s">
        <v>759</v>
      </c>
      <c r="B42">
        <v>158</v>
      </c>
      <c r="C42" t="s">
        <v>761</v>
      </c>
      <c r="D42">
        <v>338</v>
      </c>
    </row>
    <row r="43" spans="1:4" x14ac:dyDescent="0.25">
      <c r="A43" t="s">
        <v>775</v>
      </c>
      <c r="B43" t="s">
        <v>114</v>
      </c>
      <c r="C43" t="s">
        <v>777</v>
      </c>
      <c r="D43">
        <v>424</v>
      </c>
    </row>
    <row r="44" spans="1:4" x14ac:dyDescent="0.25">
      <c r="A44" t="s">
        <v>783</v>
      </c>
      <c r="B44">
        <v>277</v>
      </c>
      <c r="C44" t="s">
        <v>785</v>
      </c>
      <c r="D44">
        <v>366</v>
      </c>
    </row>
    <row r="45" spans="1:4" x14ac:dyDescent="0.25">
      <c r="A45" t="s">
        <v>756</v>
      </c>
      <c r="B45">
        <v>647</v>
      </c>
      <c r="C45" t="s">
        <v>758</v>
      </c>
      <c r="D45">
        <v>924</v>
      </c>
    </row>
    <row r="46" spans="1:4" x14ac:dyDescent="0.25">
      <c r="A46" t="s">
        <v>772</v>
      </c>
      <c r="B46">
        <v>0</v>
      </c>
      <c r="C46" t="s">
        <v>774</v>
      </c>
      <c r="D46">
        <v>177</v>
      </c>
    </row>
    <row r="47" spans="1:4" x14ac:dyDescent="0.25">
      <c r="A47" t="s">
        <v>776</v>
      </c>
      <c r="B47">
        <v>319</v>
      </c>
      <c r="C47" t="s">
        <v>778</v>
      </c>
      <c r="D47">
        <v>782</v>
      </c>
    </row>
    <row r="48" spans="1:4" x14ac:dyDescent="0.25">
      <c r="A48" t="s">
        <v>784</v>
      </c>
      <c r="B48">
        <v>37</v>
      </c>
      <c r="C48" t="s">
        <v>786</v>
      </c>
      <c r="D48">
        <v>257</v>
      </c>
    </row>
    <row r="49" spans="1:4" x14ac:dyDescent="0.25">
      <c r="A49" t="s">
        <v>755</v>
      </c>
      <c r="B49">
        <v>412</v>
      </c>
      <c r="C49" t="s">
        <v>757</v>
      </c>
      <c r="D49">
        <v>0</v>
      </c>
    </row>
    <row r="50" spans="1:4" x14ac:dyDescent="0.25">
      <c r="A50" t="s">
        <v>763</v>
      </c>
      <c r="B50">
        <v>2</v>
      </c>
      <c r="C50" t="s">
        <v>765</v>
      </c>
      <c r="D50">
        <v>0</v>
      </c>
    </row>
    <row r="51" spans="1:4" x14ac:dyDescent="0.25">
      <c r="A51" t="s">
        <v>771</v>
      </c>
      <c r="B51">
        <v>0</v>
      </c>
      <c r="C51" t="s">
        <v>773</v>
      </c>
      <c r="D51">
        <v>441</v>
      </c>
    </row>
    <row r="52" spans="1:4" x14ac:dyDescent="0.25">
      <c r="A52" t="s">
        <v>783</v>
      </c>
      <c r="B52">
        <v>27</v>
      </c>
      <c r="C52" t="s">
        <v>785</v>
      </c>
      <c r="D52">
        <v>36</v>
      </c>
    </row>
    <row r="53" spans="1:4" x14ac:dyDescent="0.25">
      <c r="A53" t="s">
        <v>764</v>
      </c>
      <c r="B53">
        <v>0</v>
      </c>
      <c r="C53" t="s">
        <v>766</v>
      </c>
      <c r="D53">
        <v>7</v>
      </c>
    </row>
    <row r="54" spans="1:4" x14ac:dyDescent="0.25">
      <c r="A54" t="s">
        <v>768</v>
      </c>
      <c r="B54">
        <v>2</v>
      </c>
      <c r="C54" t="s">
        <v>770</v>
      </c>
      <c r="D54">
        <v>1</v>
      </c>
    </row>
    <row r="55" spans="1:4" x14ac:dyDescent="0.25">
      <c r="A55" t="s">
        <v>776</v>
      </c>
      <c r="B55">
        <v>2126</v>
      </c>
      <c r="C55" t="s">
        <v>778</v>
      </c>
      <c r="D55">
        <v>1430</v>
      </c>
    </row>
    <row r="56" spans="1:4" x14ac:dyDescent="0.25">
      <c r="A56" t="s">
        <v>763</v>
      </c>
      <c r="B56">
        <v>48</v>
      </c>
      <c r="C56" t="s">
        <v>765</v>
      </c>
      <c r="D56">
        <v>0</v>
      </c>
    </row>
    <row r="57" spans="1:4" x14ac:dyDescent="0.25">
      <c r="A57" t="s">
        <v>767</v>
      </c>
      <c r="B57" t="s">
        <v>114</v>
      </c>
      <c r="C57" t="s">
        <v>769</v>
      </c>
      <c r="D57">
        <v>1</v>
      </c>
    </row>
    <row r="58" spans="1:4" x14ac:dyDescent="0.25">
      <c r="A58" t="s">
        <v>771</v>
      </c>
      <c r="B58">
        <v>215</v>
      </c>
      <c r="C58" t="s">
        <v>773</v>
      </c>
      <c r="D58">
        <v>186</v>
      </c>
    </row>
    <row r="59" spans="1:4" x14ac:dyDescent="0.25">
      <c r="A59" t="s">
        <v>775</v>
      </c>
      <c r="B59">
        <v>338</v>
      </c>
      <c r="C59" t="s">
        <v>777</v>
      </c>
      <c r="D59">
        <v>844</v>
      </c>
    </row>
    <row r="60" spans="1:4" x14ac:dyDescent="0.25">
      <c r="A60" t="s">
        <v>763</v>
      </c>
      <c r="B60">
        <v>3</v>
      </c>
      <c r="C60" t="s">
        <v>765</v>
      </c>
      <c r="D60">
        <v>2</v>
      </c>
    </row>
    <row r="61" spans="1:4" x14ac:dyDescent="0.25">
      <c r="A61" t="s">
        <v>775</v>
      </c>
      <c r="B61">
        <v>96</v>
      </c>
      <c r="C61" t="s">
        <v>777</v>
      </c>
      <c r="D61">
        <v>0</v>
      </c>
    </row>
    <row r="62" spans="1:4" x14ac:dyDescent="0.25">
      <c r="A62" t="s">
        <v>779</v>
      </c>
      <c r="B62">
        <v>4</v>
      </c>
      <c r="C62" t="s">
        <v>781</v>
      </c>
      <c r="D62">
        <v>43</v>
      </c>
    </row>
    <row r="63" spans="1:4" x14ac:dyDescent="0.25">
      <c r="A63" t="s">
        <v>783</v>
      </c>
      <c r="B63">
        <v>19</v>
      </c>
      <c r="C63" t="s">
        <v>785</v>
      </c>
      <c r="D63">
        <v>248</v>
      </c>
    </row>
    <row r="64" spans="1:4" x14ac:dyDescent="0.25">
      <c r="A64" t="s">
        <v>759</v>
      </c>
      <c r="B64">
        <v>285</v>
      </c>
      <c r="C64" t="s">
        <v>761</v>
      </c>
      <c r="D64">
        <v>506</v>
      </c>
    </row>
    <row r="65" spans="1:4" x14ac:dyDescent="0.25">
      <c r="A65" t="s">
        <v>763</v>
      </c>
      <c r="B65">
        <v>5</v>
      </c>
      <c r="C65" t="s">
        <v>765</v>
      </c>
      <c r="D65">
        <v>9</v>
      </c>
    </row>
    <row r="66" spans="1:4" x14ac:dyDescent="0.25">
      <c r="A66" t="s">
        <v>783</v>
      </c>
      <c r="B66">
        <v>95</v>
      </c>
      <c r="C66" t="s">
        <v>785</v>
      </c>
      <c r="D66">
        <v>74</v>
      </c>
    </row>
    <row r="67" spans="1:4" x14ac:dyDescent="0.25">
      <c r="A67" t="s">
        <v>756</v>
      </c>
      <c r="B67">
        <v>965</v>
      </c>
      <c r="C67" t="s">
        <v>758</v>
      </c>
      <c r="D67">
        <v>171</v>
      </c>
    </row>
    <row r="68" spans="1:4" x14ac:dyDescent="0.25">
      <c r="A68" t="s">
        <v>768</v>
      </c>
      <c r="B68">
        <v>0</v>
      </c>
      <c r="C68" t="s">
        <v>770</v>
      </c>
      <c r="D68">
        <v>0</v>
      </c>
    </row>
    <row r="69" spans="1:4" x14ac:dyDescent="0.25">
      <c r="A69" t="s">
        <v>772</v>
      </c>
      <c r="B69">
        <v>143</v>
      </c>
      <c r="C69" t="s">
        <v>774</v>
      </c>
      <c r="D69">
        <v>289</v>
      </c>
    </row>
    <row r="70" spans="1:4" x14ac:dyDescent="0.25">
      <c r="A70" t="s">
        <v>759</v>
      </c>
      <c r="B70">
        <v>453</v>
      </c>
      <c r="C70" t="s">
        <v>761</v>
      </c>
      <c r="D70">
        <v>81</v>
      </c>
    </row>
    <row r="71" spans="1:4" x14ac:dyDescent="0.25">
      <c r="A71" t="s">
        <v>767</v>
      </c>
      <c r="B71">
        <v>8</v>
      </c>
      <c r="C71" t="s">
        <v>769</v>
      </c>
      <c r="D71">
        <v>9</v>
      </c>
    </row>
    <row r="72" spans="1:4" x14ac:dyDescent="0.25">
      <c r="A72" t="s">
        <v>756</v>
      </c>
      <c r="B72">
        <v>1247</v>
      </c>
      <c r="C72" t="s">
        <v>758</v>
      </c>
      <c r="D72">
        <v>352</v>
      </c>
    </row>
    <row r="73" spans="1:4" x14ac:dyDescent="0.25">
      <c r="A73" t="s">
        <v>768</v>
      </c>
      <c r="B73">
        <v>14</v>
      </c>
      <c r="C73" t="s">
        <v>770</v>
      </c>
      <c r="D73">
        <v>9</v>
      </c>
    </row>
    <row r="74" spans="1:4" x14ac:dyDescent="0.25">
      <c r="A74" t="s">
        <v>780</v>
      </c>
      <c r="B74">
        <v>8</v>
      </c>
      <c r="C74" t="s">
        <v>782</v>
      </c>
      <c r="D74">
        <v>24</v>
      </c>
    </row>
    <row r="75" spans="1:4" x14ac:dyDescent="0.25">
      <c r="A75" t="s">
        <v>784</v>
      </c>
      <c r="B75">
        <v>65</v>
      </c>
      <c r="C75" t="s">
        <v>786</v>
      </c>
      <c r="D75">
        <v>9</v>
      </c>
    </row>
    <row r="76" spans="1:4" x14ac:dyDescent="0.25">
      <c r="A76" t="s">
        <v>755</v>
      </c>
      <c r="B76" t="s">
        <v>114</v>
      </c>
      <c r="C76" t="s">
        <v>757</v>
      </c>
      <c r="D76">
        <v>971</v>
      </c>
    </row>
    <row r="77" spans="1:4" x14ac:dyDescent="0.25">
      <c r="A77" t="s">
        <v>767</v>
      </c>
      <c r="B77">
        <v>0</v>
      </c>
      <c r="C77" t="s">
        <v>769</v>
      </c>
      <c r="D77">
        <v>14</v>
      </c>
    </row>
    <row r="78" spans="1:4" x14ac:dyDescent="0.25">
      <c r="A78" t="s">
        <v>783</v>
      </c>
      <c r="B78">
        <v>104</v>
      </c>
      <c r="C78" t="s">
        <v>785</v>
      </c>
      <c r="D78">
        <v>200</v>
      </c>
    </row>
    <row r="79" spans="1:4" x14ac:dyDescent="0.25">
      <c r="A79" t="s">
        <v>756</v>
      </c>
      <c r="B79">
        <v>246</v>
      </c>
      <c r="C79" t="s">
        <v>758</v>
      </c>
      <c r="D79">
        <v>735</v>
      </c>
    </row>
    <row r="80" spans="1:4" x14ac:dyDescent="0.25">
      <c r="A80" t="s">
        <v>772</v>
      </c>
      <c r="B80">
        <v>111</v>
      </c>
      <c r="C80" t="s">
        <v>774</v>
      </c>
      <c r="D80">
        <v>359</v>
      </c>
    </row>
    <row r="81" spans="1:4" x14ac:dyDescent="0.25">
      <c r="A81" t="s">
        <v>779</v>
      </c>
      <c r="B81">
        <v>18</v>
      </c>
      <c r="C81" t="s">
        <v>781</v>
      </c>
      <c r="D81">
        <v>22</v>
      </c>
    </row>
    <row r="82" spans="1:4" x14ac:dyDescent="0.25">
      <c r="A82" t="s">
        <v>760</v>
      </c>
      <c r="B82">
        <v>184</v>
      </c>
      <c r="C82" t="s">
        <v>762</v>
      </c>
      <c r="D82">
        <v>253</v>
      </c>
    </row>
    <row r="83" spans="1:4" x14ac:dyDescent="0.25">
      <c r="A83" t="s">
        <v>755</v>
      </c>
      <c r="B83">
        <v>619</v>
      </c>
      <c r="C83" t="s">
        <v>757</v>
      </c>
      <c r="D83">
        <v>203</v>
      </c>
    </row>
    <row r="84" spans="1:4" x14ac:dyDescent="0.25">
      <c r="A84" t="s">
        <v>759</v>
      </c>
      <c r="B84">
        <v>195</v>
      </c>
      <c r="C84" t="s">
        <v>761</v>
      </c>
      <c r="D84">
        <v>550</v>
      </c>
    </row>
    <row r="85" spans="1:4" x14ac:dyDescent="0.25">
      <c r="A85" t="s">
        <v>771</v>
      </c>
      <c r="B85">
        <v>155</v>
      </c>
      <c r="C85" t="s">
        <v>773</v>
      </c>
      <c r="D85">
        <v>402</v>
      </c>
    </row>
    <row r="86" spans="1:4" x14ac:dyDescent="0.25">
      <c r="A86" t="s">
        <v>779</v>
      </c>
      <c r="B86">
        <v>4</v>
      </c>
      <c r="C86" t="s">
        <v>781</v>
      </c>
      <c r="D86">
        <v>20</v>
      </c>
    </row>
    <row r="87" spans="1:4" x14ac:dyDescent="0.25">
      <c r="A87" t="s">
        <v>755</v>
      </c>
      <c r="B87">
        <v>393</v>
      </c>
      <c r="C87" t="s">
        <v>757</v>
      </c>
      <c r="D87">
        <v>325</v>
      </c>
    </row>
    <row r="88" spans="1:4" x14ac:dyDescent="0.25">
      <c r="A88" t="s">
        <v>767</v>
      </c>
      <c r="B88">
        <v>5</v>
      </c>
      <c r="C88" t="s">
        <v>769</v>
      </c>
      <c r="D88">
        <v>5</v>
      </c>
    </row>
    <row r="89" spans="1:4" x14ac:dyDescent="0.25">
      <c r="A89" t="s">
        <v>775</v>
      </c>
      <c r="B89">
        <v>3116</v>
      </c>
      <c r="C89" t="s">
        <v>777</v>
      </c>
      <c r="D89">
        <v>2374</v>
      </c>
    </row>
    <row r="90" spans="1:4" x14ac:dyDescent="0.25">
      <c r="A90" t="s">
        <v>779</v>
      </c>
      <c r="B90">
        <v>10</v>
      </c>
      <c r="C90" t="s">
        <v>781</v>
      </c>
      <c r="D90">
        <v>42</v>
      </c>
    </row>
    <row r="91" spans="1:4" x14ac:dyDescent="0.25">
      <c r="A91" t="s">
        <v>764</v>
      </c>
      <c r="B91">
        <v>15</v>
      </c>
      <c r="C91" t="s">
        <v>766</v>
      </c>
      <c r="D91">
        <v>60</v>
      </c>
    </row>
    <row r="92" spans="1:4" x14ac:dyDescent="0.25">
      <c r="A92" t="s">
        <v>768</v>
      </c>
      <c r="B92">
        <v>41</v>
      </c>
      <c r="C92" t="s">
        <v>770</v>
      </c>
      <c r="D92">
        <v>11</v>
      </c>
    </row>
    <row r="93" spans="1:4" x14ac:dyDescent="0.25">
      <c r="A93" t="s">
        <v>776</v>
      </c>
      <c r="B93">
        <v>1827</v>
      </c>
      <c r="C93" t="s">
        <v>778</v>
      </c>
      <c r="D93">
        <v>98</v>
      </c>
    </row>
    <row r="94" spans="1:4" x14ac:dyDescent="0.25">
      <c r="A94" t="s">
        <v>780</v>
      </c>
      <c r="B94">
        <v>8</v>
      </c>
      <c r="C94" t="s">
        <v>782</v>
      </c>
      <c r="D94">
        <v>232</v>
      </c>
    </row>
    <row r="95" spans="1:4" x14ac:dyDescent="0.25">
      <c r="A95" t="s">
        <v>764</v>
      </c>
      <c r="B95">
        <v>3</v>
      </c>
      <c r="C95" t="s">
        <v>766</v>
      </c>
      <c r="D95">
        <v>6</v>
      </c>
    </row>
    <row r="96" spans="1:4" x14ac:dyDescent="0.25">
      <c r="A96" t="s">
        <v>776</v>
      </c>
      <c r="B96">
        <v>490</v>
      </c>
      <c r="C96" t="s">
        <v>778</v>
      </c>
      <c r="D96">
        <v>1659</v>
      </c>
    </row>
    <row r="97" spans="1:4" x14ac:dyDescent="0.25">
      <c r="A97" t="s">
        <v>780</v>
      </c>
      <c r="B97">
        <v>76</v>
      </c>
      <c r="C97" t="s">
        <v>782</v>
      </c>
      <c r="D97">
        <v>58</v>
      </c>
    </row>
    <row r="98" spans="1:4" x14ac:dyDescent="0.25">
      <c r="A98" t="s">
        <v>784</v>
      </c>
      <c r="B98">
        <v>0</v>
      </c>
      <c r="C98" t="s">
        <v>786</v>
      </c>
      <c r="D98">
        <v>30</v>
      </c>
    </row>
    <row r="99" spans="1:4" x14ac:dyDescent="0.25">
      <c r="A99" t="s">
        <v>755</v>
      </c>
      <c r="B99">
        <v>541</v>
      </c>
      <c r="C99" t="s">
        <v>757</v>
      </c>
      <c r="D99">
        <v>623</v>
      </c>
    </row>
    <row r="100" spans="1:4" x14ac:dyDescent="0.25">
      <c r="A100" t="s">
        <v>763</v>
      </c>
      <c r="B100">
        <v>60</v>
      </c>
      <c r="C100" t="s">
        <v>765</v>
      </c>
      <c r="D100">
        <v>0</v>
      </c>
    </row>
    <row r="101" spans="1:4" x14ac:dyDescent="0.25">
      <c r="A101" t="s">
        <v>767</v>
      </c>
      <c r="B101">
        <v>6</v>
      </c>
      <c r="C101" t="s">
        <v>769</v>
      </c>
      <c r="D101">
        <v>7</v>
      </c>
    </row>
    <row r="102" spans="1:4" x14ac:dyDescent="0.25">
      <c r="A102" t="s">
        <v>775</v>
      </c>
      <c r="B102">
        <v>8449</v>
      </c>
      <c r="C102" t="s">
        <v>777</v>
      </c>
      <c r="D102">
        <v>2965</v>
      </c>
    </row>
    <row r="103" spans="1:4" x14ac:dyDescent="0.25">
      <c r="A103" t="s">
        <v>756</v>
      </c>
      <c r="B103">
        <v>1482</v>
      </c>
      <c r="C103" t="s">
        <v>758</v>
      </c>
      <c r="D103">
        <v>880</v>
      </c>
    </row>
    <row r="104" spans="1:4" x14ac:dyDescent="0.25">
      <c r="A104" t="s">
        <v>760</v>
      </c>
      <c r="B104">
        <v>164</v>
      </c>
      <c r="C104" t="s">
        <v>762</v>
      </c>
      <c r="D104">
        <v>108</v>
      </c>
    </row>
    <row r="105" spans="1:4" x14ac:dyDescent="0.25">
      <c r="A105" t="s">
        <v>772</v>
      </c>
      <c r="B105">
        <v>39</v>
      </c>
      <c r="C105" t="s">
        <v>774</v>
      </c>
      <c r="D105">
        <v>387</v>
      </c>
    </row>
    <row r="106" spans="1:4" x14ac:dyDescent="0.25">
      <c r="A106" t="s">
        <v>776</v>
      </c>
      <c r="B106" t="s">
        <v>114</v>
      </c>
      <c r="C106" t="s">
        <v>778</v>
      </c>
      <c r="D106">
        <v>562</v>
      </c>
    </row>
    <row r="107" spans="1:4" x14ac:dyDescent="0.25">
      <c r="A107" t="s">
        <v>784</v>
      </c>
      <c r="B107">
        <v>77</v>
      </c>
      <c r="C107" t="s">
        <v>786</v>
      </c>
      <c r="D107">
        <v>46</v>
      </c>
    </row>
    <row r="108" spans="1:4" x14ac:dyDescent="0.25">
      <c r="A108" t="s">
        <v>760</v>
      </c>
      <c r="B108">
        <v>100</v>
      </c>
      <c r="C108" t="s">
        <v>762</v>
      </c>
      <c r="D108">
        <v>96</v>
      </c>
    </row>
    <row r="109" spans="1:4" x14ac:dyDescent="0.25">
      <c r="A109" t="s">
        <v>784</v>
      </c>
      <c r="B109">
        <v>63</v>
      </c>
      <c r="C109" t="s">
        <v>786</v>
      </c>
      <c r="D109">
        <v>4</v>
      </c>
    </row>
    <row r="110" spans="1:4" x14ac:dyDescent="0.25">
      <c r="A110" t="s">
        <v>760</v>
      </c>
      <c r="B110">
        <v>140</v>
      </c>
      <c r="C110" t="s">
        <v>762</v>
      </c>
      <c r="D110">
        <v>88</v>
      </c>
    </row>
    <row r="111" spans="1:4" x14ac:dyDescent="0.25">
      <c r="A111" t="s">
        <v>768</v>
      </c>
      <c r="B111">
        <v>6</v>
      </c>
      <c r="C111" t="s">
        <v>770</v>
      </c>
      <c r="D111">
        <v>1</v>
      </c>
    </row>
    <row r="112" spans="1:4" x14ac:dyDescent="0.25">
      <c r="A112" t="s">
        <v>776</v>
      </c>
      <c r="B112">
        <v>31</v>
      </c>
      <c r="C112" t="s">
        <v>778</v>
      </c>
      <c r="D112">
        <v>608</v>
      </c>
    </row>
    <row r="113" spans="1:4" x14ac:dyDescent="0.25">
      <c r="A113" t="s">
        <v>763</v>
      </c>
      <c r="B113" t="s">
        <v>114</v>
      </c>
      <c r="C113" t="s">
        <v>765</v>
      </c>
      <c r="D113">
        <v>17</v>
      </c>
    </row>
    <row r="114" spans="1:4" x14ac:dyDescent="0.25">
      <c r="A114" t="s">
        <v>771</v>
      </c>
      <c r="B114">
        <v>43</v>
      </c>
      <c r="C114" t="s">
        <v>773</v>
      </c>
      <c r="D114">
        <v>146</v>
      </c>
    </row>
    <row r="115" spans="1:4" x14ac:dyDescent="0.25">
      <c r="A115" t="s">
        <v>775</v>
      </c>
      <c r="B115">
        <v>2038</v>
      </c>
      <c r="C115" t="s">
        <v>777</v>
      </c>
      <c r="D115">
        <v>1382</v>
      </c>
    </row>
    <row r="116" spans="1:4" x14ac:dyDescent="0.25">
      <c r="A116" t="s">
        <v>783</v>
      </c>
      <c r="B116">
        <v>213</v>
      </c>
      <c r="C116" t="s">
        <v>785</v>
      </c>
      <c r="D116">
        <v>41</v>
      </c>
    </row>
    <row r="117" spans="1:4" x14ac:dyDescent="0.25">
      <c r="A117" t="s">
        <v>764</v>
      </c>
      <c r="B117">
        <v>6</v>
      </c>
      <c r="C117" t="s">
        <v>766</v>
      </c>
      <c r="D117">
        <v>0</v>
      </c>
    </row>
    <row r="118" spans="1:4" x14ac:dyDescent="0.25">
      <c r="A118" t="s">
        <v>772</v>
      </c>
      <c r="B118">
        <v>187</v>
      </c>
      <c r="C118" t="s">
        <v>774</v>
      </c>
      <c r="D118">
        <v>45</v>
      </c>
    </row>
    <row r="119" spans="1:4" x14ac:dyDescent="0.25">
      <c r="A119" t="s">
        <v>784</v>
      </c>
      <c r="B119">
        <v>33</v>
      </c>
      <c r="C119" t="s">
        <v>786</v>
      </c>
      <c r="D119">
        <v>47</v>
      </c>
    </row>
    <row r="120" spans="1:4" x14ac:dyDescent="0.25">
      <c r="A120" t="s">
        <v>759</v>
      </c>
      <c r="B120">
        <v>485</v>
      </c>
      <c r="C120" t="s">
        <v>761</v>
      </c>
      <c r="D120">
        <v>614</v>
      </c>
    </row>
    <row r="121" spans="1:4" x14ac:dyDescent="0.25">
      <c r="A121" t="s">
        <v>783</v>
      </c>
      <c r="B121">
        <v>267</v>
      </c>
      <c r="C121" t="s">
        <v>785</v>
      </c>
      <c r="D121">
        <v>111</v>
      </c>
    </row>
    <row r="122" spans="1:4" x14ac:dyDescent="0.25">
      <c r="A122" t="s">
        <v>768</v>
      </c>
      <c r="B122">
        <v>3</v>
      </c>
      <c r="C122" t="s">
        <v>770</v>
      </c>
      <c r="D122">
        <v>2</v>
      </c>
    </row>
    <row r="123" spans="1:4" x14ac:dyDescent="0.25">
      <c r="A123" t="s">
        <v>780</v>
      </c>
      <c r="B123">
        <v>38</v>
      </c>
      <c r="C123" t="s">
        <v>782</v>
      </c>
      <c r="D123">
        <v>174</v>
      </c>
    </row>
    <row r="124" spans="1:4" x14ac:dyDescent="0.25">
      <c r="A124" t="s">
        <v>764</v>
      </c>
      <c r="B124" t="s">
        <v>114</v>
      </c>
      <c r="C124" t="s">
        <v>766</v>
      </c>
      <c r="D124" t="s">
        <v>114</v>
      </c>
    </row>
    <row r="125" spans="1:4" x14ac:dyDescent="0.25">
      <c r="A125" t="s">
        <v>772</v>
      </c>
      <c r="B125">
        <v>247</v>
      </c>
      <c r="C125" t="s">
        <v>774</v>
      </c>
      <c r="D125">
        <v>175</v>
      </c>
    </row>
    <row r="126" spans="1:4" x14ac:dyDescent="0.25">
      <c r="A126" t="s">
        <v>776</v>
      </c>
      <c r="B126">
        <v>2226</v>
      </c>
      <c r="C126" t="s">
        <v>778</v>
      </c>
      <c r="D126">
        <v>355</v>
      </c>
    </row>
    <row r="127" spans="1:4" x14ac:dyDescent="0.25">
      <c r="A127" t="s">
        <v>755</v>
      </c>
      <c r="B127">
        <v>228</v>
      </c>
      <c r="C127" t="s">
        <v>757</v>
      </c>
      <c r="D127">
        <v>182</v>
      </c>
    </row>
    <row r="128" spans="1:4" x14ac:dyDescent="0.25">
      <c r="A128" t="s">
        <v>763</v>
      </c>
      <c r="B128">
        <v>1</v>
      </c>
      <c r="C128" t="s">
        <v>765</v>
      </c>
      <c r="D128" t="s">
        <v>114</v>
      </c>
    </row>
    <row r="129" spans="1:4" x14ac:dyDescent="0.25">
      <c r="A129" t="s">
        <v>771</v>
      </c>
      <c r="B129">
        <v>144</v>
      </c>
      <c r="C129" t="s">
        <v>773</v>
      </c>
      <c r="D129">
        <v>240</v>
      </c>
    </row>
    <row r="130" spans="1:4" x14ac:dyDescent="0.25">
      <c r="A130" t="s">
        <v>775</v>
      </c>
      <c r="B130">
        <v>3885</v>
      </c>
      <c r="C130" t="s">
        <v>777</v>
      </c>
      <c r="D130">
        <v>481</v>
      </c>
    </row>
    <row r="131" spans="1:4" x14ac:dyDescent="0.25">
      <c r="A131" t="s">
        <v>779</v>
      </c>
      <c r="B131">
        <v>14</v>
      </c>
      <c r="C131" t="s">
        <v>781</v>
      </c>
      <c r="D131">
        <v>56</v>
      </c>
    </row>
    <row r="132" spans="1:4" x14ac:dyDescent="0.25">
      <c r="A132" t="s">
        <v>764</v>
      </c>
      <c r="B132">
        <v>4</v>
      </c>
      <c r="C132" t="s">
        <v>766</v>
      </c>
      <c r="D132">
        <v>0</v>
      </c>
    </row>
    <row r="133" spans="1:4" x14ac:dyDescent="0.25">
      <c r="A133" t="s">
        <v>772</v>
      </c>
      <c r="B133">
        <v>46</v>
      </c>
      <c r="C133" t="s">
        <v>774</v>
      </c>
      <c r="D133">
        <v>218</v>
      </c>
    </row>
    <row r="134" spans="1:4" x14ac:dyDescent="0.25">
      <c r="A134" t="s">
        <v>784</v>
      </c>
      <c r="B134">
        <v>164</v>
      </c>
      <c r="C134" t="s">
        <v>786</v>
      </c>
      <c r="D134">
        <v>57</v>
      </c>
    </row>
    <row r="135" spans="1:4" x14ac:dyDescent="0.25">
      <c r="A135" t="s">
        <v>759</v>
      </c>
      <c r="B135">
        <v>113</v>
      </c>
      <c r="C135" t="s">
        <v>761</v>
      </c>
      <c r="D135">
        <v>267</v>
      </c>
    </row>
    <row r="136" spans="1:4" x14ac:dyDescent="0.25">
      <c r="A136" t="s">
        <v>763</v>
      </c>
      <c r="B136">
        <v>7</v>
      </c>
      <c r="C136" t="s">
        <v>765</v>
      </c>
      <c r="D136">
        <v>2</v>
      </c>
    </row>
    <row r="137" spans="1:4" x14ac:dyDescent="0.25">
      <c r="A137" t="s">
        <v>771</v>
      </c>
      <c r="B137">
        <v>103</v>
      </c>
      <c r="C137" t="s">
        <v>773</v>
      </c>
      <c r="D137">
        <v>426</v>
      </c>
    </row>
    <row r="138" spans="1:4" x14ac:dyDescent="0.25">
      <c r="A138" t="s">
        <v>759</v>
      </c>
      <c r="B138">
        <v>308</v>
      </c>
      <c r="C138" t="s">
        <v>761</v>
      </c>
      <c r="D138">
        <v>238</v>
      </c>
    </row>
    <row r="139" spans="1:4" x14ac:dyDescent="0.25">
      <c r="A139" t="s">
        <v>767</v>
      </c>
      <c r="B139">
        <v>7</v>
      </c>
      <c r="C139" t="s">
        <v>769</v>
      </c>
      <c r="D139">
        <v>4</v>
      </c>
    </row>
    <row r="140" spans="1:4" x14ac:dyDescent="0.25">
      <c r="A140" t="s">
        <v>775</v>
      </c>
      <c r="B140">
        <v>1527</v>
      </c>
      <c r="C140" t="s">
        <v>777</v>
      </c>
      <c r="D140">
        <v>1464</v>
      </c>
    </row>
    <row r="141" spans="1:4" x14ac:dyDescent="0.25">
      <c r="A141" t="s">
        <v>779</v>
      </c>
      <c r="B141">
        <v>22</v>
      </c>
      <c r="C141" t="s">
        <v>781</v>
      </c>
      <c r="D141">
        <v>38</v>
      </c>
    </row>
    <row r="142" spans="1:4" x14ac:dyDescent="0.25">
      <c r="A142" t="s">
        <v>759</v>
      </c>
      <c r="B142">
        <v>393</v>
      </c>
      <c r="C142" t="s">
        <v>761</v>
      </c>
      <c r="D142">
        <v>411</v>
      </c>
    </row>
    <row r="143" spans="1:4" x14ac:dyDescent="0.25">
      <c r="A143" t="s">
        <v>767</v>
      </c>
      <c r="B143">
        <v>8</v>
      </c>
      <c r="C143" t="s">
        <v>769</v>
      </c>
      <c r="D143">
        <v>1</v>
      </c>
    </row>
    <row r="144" spans="1:4" x14ac:dyDescent="0.25">
      <c r="A144" t="s">
        <v>775</v>
      </c>
      <c r="B144">
        <v>4925</v>
      </c>
      <c r="C144" t="s">
        <v>777</v>
      </c>
      <c r="D144">
        <v>2449</v>
      </c>
    </row>
    <row r="145" spans="1:4" x14ac:dyDescent="0.25">
      <c r="A145" t="s">
        <v>779</v>
      </c>
      <c r="B145">
        <v>30</v>
      </c>
      <c r="C145" t="s">
        <v>781</v>
      </c>
      <c r="D145">
        <v>14</v>
      </c>
    </row>
    <row r="146" spans="1:4" x14ac:dyDescent="0.25">
      <c r="A146" t="s">
        <v>756</v>
      </c>
      <c r="B146">
        <v>675</v>
      </c>
      <c r="C146" t="s">
        <v>758</v>
      </c>
      <c r="D146">
        <v>532</v>
      </c>
    </row>
    <row r="147" spans="1:4" x14ac:dyDescent="0.25">
      <c r="A147" t="s">
        <v>768</v>
      </c>
      <c r="B147">
        <v>2</v>
      </c>
      <c r="C147" t="s">
        <v>770</v>
      </c>
      <c r="D147">
        <v>3</v>
      </c>
    </row>
    <row r="148" spans="1:4" x14ac:dyDescent="0.25">
      <c r="A148" t="s">
        <v>780</v>
      </c>
      <c r="B148">
        <v>86</v>
      </c>
      <c r="C148" t="s">
        <v>782</v>
      </c>
      <c r="D148">
        <v>202</v>
      </c>
    </row>
    <row r="149" spans="1:4" x14ac:dyDescent="0.25">
      <c r="A149" t="s">
        <v>784</v>
      </c>
      <c r="B149">
        <v>64</v>
      </c>
      <c r="C149" t="s">
        <v>786</v>
      </c>
      <c r="D149">
        <v>83</v>
      </c>
    </row>
    <row r="150" spans="1:4" x14ac:dyDescent="0.25">
      <c r="A150" t="s">
        <v>756</v>
      </c>
      <c r="B150">
        <v>1335</v>
      </c>
      <c r="C150" t="s">
        <v>758</v>
      </c>
      <c r="D150">
        <v>774</v>
      </c>
    </row>
    <row r="151" spans="1:4" x14ac:dyDescent="0.25">
      <c r="A151" t="s">
        <v>760</v>
      </c>
      <c r="B151" t="s">
        <v>114</v>
      </c>
      <c r="C151" t="s">
        <v>762</v>
      </c>
      <c r="D151">
        <v>499</v>
      </c>
    </row>
    <row r="152" spans="1:4" x14ac:dyDescent="0.25">
      <c r="A152" t="s">
        <v>784</v>
      </c>
      <c r="B152">
        <v>46</v>
      </c>
      <c r="C152" t="s">
        <v>786</v>
      </c>
      <c r="D152">
        <v>153</v>
      </c>
    </row>
    <row r="153" spans="1:4" x14ac:dyDescent="0.25">
      <c r="A153" t="s">
        <v>756</v>
      </c>
      <c r="B153">
        <v>468</v>
      </c>
      <c r="C153" t="s">
        <v>758</v>
      </c>
      <c r="D153">
        <v>154</v>
      </c>
    </row>
    <row r="154" spans="1:4" x14ac:dyDescent="0.25">
      <c r="A154" t="s">
        <v>768</v>
      </c>
      <c r="B154">
        <v>1</v>
      </c>
      <c r="C154" t="s">
        <v>770</v>
      </c>
      <c r="D154">
        <v>3</v>
      </c>
    </row>
    <row r="155" spans="1:4" x14ac:dyDescent="0.25">
      <c r="A155" t="s">
        <v>784</v>
      </c>
      <c r="B155">
        <v>323</v>
      </c>
      <c r="C155" t="s">
        <v>786</v>
      </c>
      <c r="D155">
        <v>173</v>
      </c>
    </row>
    <row r="156" spans="1:4" x14ac:dyDescent="0.25">
      <c r="A156" t="s">
        <v>783</v>
      </c>
      <c r="B156">
        <v>364</v>
      </c>
      <c r="C156" t="s">
        <v>785</v>
      </c>
      <c r="D156">
        <v>80</v>
      </c>
    </row>
    <row r="157" spans="1:4" x14ac:dyDescent="0.25">
      <c r="A157" t="s">
        <v>760</v>
      </c>
      <c r="B157">
        <v>197</v>
      </c>
      <c r="C157" t="s">
        <v>762</v>
      </c>
      <c r="D157">
        <v>141</v>
      </c>
    </row>
    <row r="158" spans="1:4" x14ac:dyDescent="0.25">
      <c r="A158" t="s">
        <v>776</v>
      </c>
      <c r="B158">
        <v>452</v>
      </c>
      <c r="C158" t="s">
        <v>778</v>
      </c>
      <c r="D158">
        <v>0</v>
      </c>
    </row>
    <row r="159" spans="1:4" x14ac:dyDescent="0.25">
      <c r="A159" t="s">
        <v>780</v>
      </c>
      <c r="B159">
        <v>14</v>
      </c>
      <c r="C159" t="s">
        <v>782</v>
      </c>
      <c r="D159">
        <v>66</v>
      </c>
    </row>
    <row r="160" spans="1:4" x14ac:dyDescent="0.25">
      <c r="A160" t="s">
        <v>755</v>
      </c>
      <c r="B160">
        <v>351</v>
      </c>
      <c r="C160" t="s">
        <v>757</v>
      </c>
      <c r="D160">
        <v>141</v>
      </c>
    </row>
    <row r="161" spans="1:4" x14ac:dyDescent="0.25">
      <c r="A161" t="s">
        <v>783</v>
      </c>
      <c r="B161">
        <v>151</v>
      </c>
      <c r="C161" t="s">
        <v>785</v>
      </c>
      <c r="D161">
        <v>306</v>
      </c>
    </row>
    <row r="162" spans="1:4" x14ac:dyDescent="0.25">
      <c r="A162" t="s">
        <v>764</v>
      </c>
      <c r="B162">
        <v>3</v>
      </c>
      <c r="C162" t="s">
        <v>766</v>
      </c>
      <c r="D162">
        <v>0</v>
      </c>
    </row>
    <row r="163" spans="1:4" x14ac:dyDescent="0.25">
      <c r="A163" t="s">
        <v>772</v>
      </c>
      <c r="B163">
        <v>148</v>
      </c>
      <c r="C163" t="s">
        <v>774</v>
      </c>
      <c r="D163">
        <v>356</v>
      </c>
    </row>
    <row r="164" spans="1:4" x14ac:dyDescent="0.25">
      <c r="A164" t="s">
        <v>776</v>
      </c>
      <c r="B164">
        <v>3631</v>
      </c>
      <c r="C164" t="s">
        <v>778</v>
      </c>
      <c r="D164">
        <v>3443</v>
      </c>
    </row>
    <row r="165" spans="1:4" x14ac:dyDescent="0.25">
      <c r="A165" t="s">
        <v>760</v>
      </c>
      <c r="B165">
        <v>137</v>
      </c>
      <c r="C165" t="s">
        <v>762</v>
      </c>
      <c r="D165">
        <v>80</v>
      </c>
    </row>
    <row r="166" spans="1:4" x14ac:dyDescent="0.25">
      <c r="A166" t="s">
        <v>764</v>
      </c>
      <c r="B166">
        <v>3</v>
      </c>
      <c r="C166" t="s">
        <v>766</v>
      </c>
      <c r="D166">
        <v>0</v>
      </c>
    </row>
    <row r="167" spans="1:4" x14ac:dyDescent="0.25">
      <c r="A167" t="s">
        <v>772</v>
      </c>
      <c r="B167">
        <v>171</v>
      </c>
      <c r="C167" t="s">
        <v>774</v>
      </c>
      <c r="D167">
        <v>456</v>
      </c>
    </row>
    <row r="168" spans="1:4" x14ac:dyDescent="0.25">
      <c r="A168" t="s">
        <v>759</v>
      </c>
      <c r="B168">
        <v>104</v>
      </c>
      <c r="C168" t="s">
        <v>761</v>
      </c>
      <c r="D168">
        <v>333</v>
      </c>
    </row>
    <row r="169" spans="1:4" x14ac:dyDescent="0.25">
      <c r="A169" t="s">
        <v>763</v>
      </c>
      <c r="B169">
        <v>8</v>
      </c>
      <c r="C169" t="s">
        <v>765</v>
      </c>
      <c r="D169">
        <v>1</v>
      </c>
    </row>
    <row r="170" spans="1:4" x14ac:dyDescent="0.25">
      <c r="A170" t="s">
        <v>771</v>
      </c>
      <c r="B170">
        <v>122</v>
      </c>
      <c r="C170" t="s">
        <v>773</v>
      </c>
      <c r="D170">
        <v>273</v>
      </c>
    </row>
    <row r="171" spans="1:4" x14ac:dyDescent="0.25">
      <c r="A171" t="s">
        <v>755</v>
      </c>
      <c r="B171">
        <v>765</v>
      </c>
      <c r="C171" t="s">
        <v>757</v>
      </c>
      <c r="D171">
        <v>618</v>
      </c>
    </row>
    <row r="172" spans="1:4" x14ac:dyDescent="0.25">
      <c r="A172" t="s">
        <v>763</v>
      </c>
      <c r="B172">
        <v>0</v>
      </c>
      <c r="C172" t="s">
        <v>765</v>
      </c>
      <c r="D172">
        <v>3</v>
      </c>
    </row>
    <row r="173" spans="1:4" x14ac:dyDescent="0.25">
      <c r="A173" t="s">
        <v>779</v>
      </c>
      <c r="B173">
        <v>18</v>
      </c>
      <c r="C173" t="s">
        <v>781</v>
      </c>
      <c r="D173">
        <v>48</v>
      </c>
    </row>
    <row r="174" spans="1:4" x14ac:dyDescent="0.25">
      <c r="A174" t="s">
        <v>755</v>
      </c>
      <c r="B174">
        <v>820</v>
      </c>
      <c r="C174" t="s">
        <v>757</v>
      </c>
      <c r="D174">
        <v>1030</v>
      </c>
    </row>
    <row r="175" spans="1:4" x14ac:dyDescent="0.25">
      <c r="A175" t="s">
        <v>771</v>
      </c>
      <c r="B175">
        <v>124</v>
      </c>
      <c r="C175" t="s">
        <v>773</v>
      </c>
      <c r="D175">
        <v>1383</v>
      </c>
    </row>
    <row r="176" spans="1:4" x14ac:dyDescent="0.25">
      <c r="A176" t="s">
        <v>775</v>
      </c>
      <c r="B176">
        <v>4268</v>
      </c>
      <c r="C176" t="s">
        <v>777</v>
      </c>
      <c r="D176">
        <v>4758</v>
      </c>
    </row>
    <row r="177" spans="1:4" x14ac:dyDescent="0.25">
      <c r="A177" t="s">
        <v>756</v>
      </c>
      <c r="B177">
        <v>1534</v>
      </c>
      <c r="C177" t="s">
        <v>758</v>
      </c>
      <c r="D177">
        <v>772</v>
      </c>
    </row>
    <row r="178" spans="1:4" x14ac:dyDescent="0.25">
      <c r="A178" t="s">
        <v>760</v>
      </c>
      <c r="B178">
        <v>631</v>
      </c>
      <c r="C178" t="s">
        <v>762</v>
      </c>
      <c r="D178">
        <v>551</v>
      </c>
    </row>
    <row r="179" spans="1:4" x14ac:dyDescent="0.25">
      <c r="A179" t="s">
        <v>776</v>
      </c>
      <c r="B179">
        <v>1026</v>
      </c>
      <c r="C179" t="s">
        <v>778</v>
      </c>
      <c r="D179">
        <v>2273</v>
      </c>
    </row>
    <row r="180" spans="1:4" x14ac:dyDescent="0.25">
      <c r="A180" t="s">
        <v>784</v>
      </c>
      <c r="B180">
        <v>0</v>
      </c>
      <c r="C180" t="s">
        <v>786</v>
      </c>
      <c r="D180">
        <v>24</v>
      </c>
    </row>
    <row r="181" spans="1:4" x14ac:dyDescent="0.25">
      <c r="A181" t="s">
        <v>759</v>
      </c>
      <c r="B181">
        <v>0</v>
      </c>
      <c r="C181" t="s">
        <v>761</v>
      </c>
      <c r="D181">
        <v>66</v>
      </c>
    </row>
    <row r="182" spans="1:4" x14ac:dyDescent="0.25">
      <c r="A182" t="s">
        <v>767</v>
      </c>
      <c r="B182">
        <v>8</v>
      </c>
      <c r="C182" t="s">
        <v>769</v>
      </c>
      <c r="D182">
        <v>20</v>
      </c>
    </row>
    <row r="183" spans="1:4" x14ac:dyDescent="0.25">
      <c r="A183" t="s">
        <v>767</v>
      </c>
      <c r="B183">
        <v>1</v>
      </c>
      <c r="C183" t="s">
        <v>769</v>
      </c>
      <c r="D183">
        <v>0</v>
      </c>
    </row>
    <row r="184" spans="1:4" x14ac:dyDescent="0.25">
      <c r="A184" t="s">
        <v>783</v>
      </c>
      <c r="B184">
        <v>144</v>
      </c>
      <c r="C184" t="s">
        <v>785</v>
      </c>
      <c r="D184">
        <v>132</v>
      </c>
    </row>
    <row r="185" spans="1:4" x14ac:dyDescent="0.25">
      <c r="A185" t="s">
        <v>756</v>
      </c>
      <c r="B185">
        <v>686</v>
      </c>
      <c r="C185" t="s">
        <v>758</v>
      </c>
      <c r="D185">
        <v>362</v>
      </c>
    </row>
    <row r="186" spans="1:4" x14ac:dyDescent="0.25">
      <c r="A186" t="s">
        <v>768</v>
      </c>
      <c r="B186">
        <v>1</v>
      </c>
      <c r="C186" t="s">
        <v>770</v>
      </c>
      <c r="D186">
        <v>0</v>
      </c>
    </row>
    <row r="187" spans="1:4" x14ac:dyDescent="0.25">
      <c r="A187" t="s">
        <v>768</v>
      </c>
      <c r="B187">
        <v>3</v>
      </c>
      <c r="C187" t="s">
        <v>770</v>
      </c>
      <c r="D187">
        <v>0</v>
      </c>
    </row>
    <row r="188" spans="1:4" x14ac:dyDescent="0.25">
      <c r="A188" t="s">
        <v>784</v>
      </c>
      <c r="B188">
        <v>112</v>
      </c>
      <c r="C188" t="s">
        <v>786</v>
      </c>
      <c r="D188">
        <v>48</v>
      </c>
    </row>
    <row r="189" spans="1:4" x14ac:dyDescent="0.25">
      <c r="A189" t="s">
        <v>780</v>
      </c>
      <c r="B189">
        <v>122</v>
      </c>
      <c r="C189" t="s">
        <v>782</v>
      </c>
      <c r="D189">
        <v>44</v>
      </c>
    </row>
    <row r="190" spans="1:4" x14ac:dyDescent="0.25">
      <c r="A190" t="s">
        <v>784</v>
      </c>
      <c r="B190">
        <v>9</v>
      </c>
      <c r="C190" t="s">
        <v>786</v>
      </c>
      <c r="D190">
        <v>78</v>
      </c>
    </row>
    <row r="191" spans="1:4" x14ac:dyDescent="0.25">
      <c r="A191" t="s">
        <v>775</v>
      </c>
      <c r="B191" t="s">
        <v>114</v>
      </c>
      <c r="C191" t="s">
        <v>777</v>
      </c>
      <c r="D191">
        <v>4442</v>
      </c>
    </row>
    <row r="192" spans="1:4" x14ac:dyDescent="0.25">
      <c r="A192" t="s">
        <v>779</v>
      </c>
      <c r="B192">
        <v>14</v>
      </c>
      <c r="C192" t="s">
        <v>781</v>
      </c>
      <c r="D192">
        <v>78</v>
      </c>
    </row>
    <row r="193" spans="1:4" x14ac:dyDescent="0.25">
      <c r="A193" t="s">
        <v>783</v>
      </c>
      <c r="B193">
        <v>394</v>
      </c>
      <c r="C193" t="s">
        <v>785</v>
      </c>
      <c r="D193">
        <v>251</v>
      </c>
    </row>
    <row r="194" spans="1:4" x14ac:dyDescent="0.25">
      <c r="A194" t="s">
        <v>783</v>
      </c>
      <c r="B194">
        <v>186</v>
      </c>
      <c r="C194" t="s">
        <v>785</v>
      </c>
      <c r="D194">
        <v>73</v>
      </c>
    </row>
    <row r="195" spans="1:4" x14ac:dyDescent="0.25">
      <c r="A195" t="s">
        <v>780</v>
      </c>
      <c r="B195">
        <v>6</v>
      </c>
      <c r="C195" t="s">
        <v>782</v>
      </c>
      <c r="D195">
        <v>18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51"/>
  <sheetViews>
    <sheetView topLeftCell="A121" workbookViewId="0">
      <selection activeCell="T124" sqref="T124"/>
    </sheetView>
  </sheetViews>
  <sheetFormatPr defaultRowHeight="15" x14ac:dyDescent="0.25"/>
  <sheetData>
    <row r="1" spans="1:18" x14ac:dyDescent="0.25">
      <c r="A1" t="s">
        <v>146</v>
      </c>
      <c r="B1" t="s">
        <v>2</v>
      </c>
      <c r="C1" t="s">
        <v>147</v>
      </c>
      <c r="D1" t="s">
        <v>148</v>
      </c>
      <c r="E1" t="s">
        <v>122</v>
      </c>
      <c r="F1" t="s">
        <v>160</v>
      </c>
      <c r="G1" t="s">
        <v>149</v>
      </c>
      <c r="H1" t="s">
        <v>150</v>
      </c>
      <c r="I1" t="s">
        <v>151</v>
      </c>
      <c r="J1" t="s">
        <v>152</v>
      </c>
      <c r="K1" t="s">
        <v>153</v>
      </c>
      <c r="L1" t="s">
        <v>154</v>
      </c>
      <c r="M1" t="s">
        <v>155</v>
      </c>
      <c r="N1" t="s">
        <v>159</v>
      </c>
      <c r="O1" t="s">
        <v>156</v>
      </c>
      <c r="P1" t="s">
        <v>157</v>
      </c>
      <c r="Q1" t="s">
        <v>789</v>
      </c>
      <c r="R1" t="s">
        <v>158</v>
      </c>
    </row>
    <row r="2" spans="1:18" x14ac:dyDescent="0.25">
      <c r="A2">
        <v>10</v>
      </c>
      <c r="B2" t="s">
        <v>94</v>
      </c>
      <c r="C2" t="s">
        <v>111</v>
      </c>
      <c r="D2">
        <v>1</v>
      </c>
      <c r="E2">
        <v>270</v>
      </c>
      <c r="F2" t="s">
        <v>114</v>
      </c>
      <c r="G2">
        <v>90</v>
      </c>
      <c r="H2">
        <v>25</v>
      </c>
      <c r="I2">
        <v>60</v>
      </c>
      <c r="J2">
        <v>60</v>
      </c>
      <c r="K2">
        <v>60</v>
      </c>
      <c r="L2">
        <v>8</v>
      </c>
      <c r="M2">
        <v>3</v>
      </c>
      <c r="N2" t="s">
        <v>114</v>
      </c>
      <c r="Q2">
        <v>50</v>
      </c>
      <c r="R2" t="s">
        <v>67</v>
      </c>
    </row>
    <row r="3" spans="1:18" x14ac:dyDescent="0.25">
      <c r="A3">
        <v>10</v>
      </c>
      <c r="B3" t="s">
        <v>94</v>
      </c>
      <c r="C3" t="s">
        <v>111</v>
      </c>
      <c r="D3">
        <v>2</v>
      </c>
      <c r="E3">
        <v>220</v>
      </c>
      <c r="F3" t="s">
        <v>114</v>
      </c>
      <c r="G3">
        <v>70</v>
      </c>
      <c r="H3">
        <v>45</v>
      </c>
      <c r="I3">
        <v>60</v>
      </c>
      <c r="J3">
        <v>64</v>
      </c>
      <c r="K3">
        <v>55</v>
      </c>
      <c r="L3">
        <v>11</v>
      </c>
      <c r="M3">
        <v>6</v>
      </c>
      <c r="N3" t="s">
        <v>114</v>
      </c>
      <c r="Q3">
        <v>57</v>
      </c>
      <c r="R3" t="s">
        <v>67</v>
      </c>
    </row>
    <row r="4" spans="1:18" x14ac:dyDescent="0.25">
      <c r="A4">
        <v>10</v>
      </c>
      <c r="B4" t="s">
        <v>94</v>
      </c>
      <c r="C4" t="s">
        <v>111</v>
      </c>
      <c r="D4">
        <v>3</v>
      </c>
      <c r="E4">
        <v>150</v>
      </c>
      <c r="F4" t="s">
        <v>114</v>
      </c>
      <c r="G4">
        <v>200</v>
      </c>
      <c r="H4">
        <v>20</v>
      </c>
      <c r="I4">
        <v>80</v>
      </c>
      <c r="J4">
        <v>65</v>
      </c>
      <c r="K4">
        <v>55</v>
      </c>
      <c r="L4">
        <v>24</v>
      </c>
      <c r="M4">
        <v>14</v>
      </c>
      <c r="N4" t="s">
        <v>114</v>
      </c>
      <c r="Q4">
        <v>75</v>
      </c>
      <c r="R4" t="s">
        <v>70</v>
      </c>
    </row>
    <row r="5" spans="1:18" x14ac:dyDescent="0.25">
      <c r="A5">
        <v>10</v>
      </c>
      <c r="B5" t="s">
        <v>94</v>
      </c>
      <c r="C5" t="s">
        <v>111</v>
      </c>
      <c r="D5">
        <v>4</v>
      </c>
      <c r="E5">
        <v>450</v>
      </c>
      <c r="F5" t="s">
        <v>114</v>
      </c>
      <c r="G5">
        <v>250</v>
      </c>
      <c r="H5">
        <v>120</v>
      </c>
      <c r="I5">
        <v>75</v>
      </c>
      <c r="J5">
        <v>65</v>
      </c>
      <c r="K5">
        <v>90</v>
      </c>
      <c r="L5">
        <v>51</v>
      </c>
      <c r="M5">
        <v>51</v>
      </c>
      <c r="N5" t="s">
        <v>114</v>
      </c>
      <c r="Q5">
        <v>51</v>
      </c>
      <c r="R5" t="s">
        <v>73</v>
      </c>
    </row>
    <row r="6" spans="1:18" x14ac:dyDescent="0.25">
      <c r="A6">
        <v>10</v>
      </c>
      <c r="B6" t="s">
        <v>94</v>
      </c>
      <c r="C6" t="s">
        <v>111</v>
      </c>
      <c r="D6">
        <v>5</v>
      </c>
      <c r="E6">
        <v>310</v>
      </c>
      <c r="F6" t="s">
        <v>114</v>
      </c>
      <c r="G6">
        <v>100</v>
      </c>
      <c r="H6">
        <v>60</v>
      </c>
      <c r="I6">
        <v>72</v>
      </c>
      <c r="J6">
        <v>65</v>
      </c>
      <c r="K6">
        <v>54</v>
      </c>
      <c r="L6">
        <v>24</v>
      </c>
      <c r="M6">
        <v>18</v>
      </c>
      <c r="N6" t="s">
        <v>114</v>
      </c>
      <c r="Q6" t="s">
        <v>114</v>
      </c>
      <c r="R6" t="s">
        <v>77</v>
      </c>
    </row>
    <row r="7" spans="1:18" x14ac:dyDescent="0.25">
      <c r="A7">
        <v>10</v>
      </c>
      <c r="B7" t="s">
        <v>95</v>
      </c>
      <c r="C7" t="s">
        <v>111</v>
      </c>
      <c r="D7">
        <v>1</v>
      </c>
      <c r="E7">
        <v>220</v>
      </c>
      <c r="F7" t="s">
        <v>114</v>
      </c>
      <c r="G7">
        <v>45</v>
      </c>
      <c r="H7">
        <v>30</v>
      </c>
      <c r="I7">
        <v>57</v>
      </c>
      <c r="J7">
        <v>55</v>
      </c>
      <c r="K7">
        <v>52</v>
      </c>
      <c r="L7">
        <v>11</v>
      </c>
      <c r="M7">
        <v>6</v>
      </c>
      <c r="N7" t="s">
        <v>114</v>
      </c>
      <c r="Q7">
        <v>45</v>
      </c>
      <c r="R7" t="s">
        <v>70</v>
      </c>
    </row>
    <row r="8" spans="1:18" x14ac:dyDescent="0.25">
      <c r="A8">
        <v>10</v>
      </c>
      <c r="B8" t="s">
        <v>95</v>
      </c>
      <c r="C8" t="s">
        <v>111</v>
      </c>
      <c r="D8">
        <v>2</v>
      </c>
      <c r="E8">
        <v>230</v>
      </c>
      <c r="F8" t="s">
        <v>114</v>
      </c>
      <c r="G8">
        <v>140</v>
      </c>
      <c r="H8">
        <v>60</v>
      </c>
      <c r="I8">
        <v>90</v>
      </c>
      <c r="J8">
        <v>75</v>
      </c>
      <c r="K8">
        <v>60</v>
      </c>
      <c r="L8">
        <v>27</v>
      </c>
      <c r="M8">
        <v>18</v>
      </c>
      <c r="N8" t="s">
        <v>114</v>
      </c>
      <c r="Q8">
        <v>55</v>
      </c>
      <c r="R8" t="s">
        <v>75</v>
      </c>
    </row>
    <row r="9" spans="1:18" x14ac:dyDescent="0.25">
      <c r="A9">
        <v>10</v>
      </c>
      <c r="B9" t="s">
        <v>95</v>
      </c>
      <c r="C9" t="s">
        <v>111</v>
      </c>
      <c r="D9">
        <v>3</v>
      </c>
      <c r="E9">
        <v>270</v>
      </c>
      <c r="F9" t="s">
        <v>114</v>
      </c>
      <c r="G9">
        <v>130</v>
      </c>
      <c r="H9">
        <v>70</v>
      </c>
      <c r="I9">
        <v>70</v>
      </c>
      <c r="J9">
        <v>80</v>
      </c>
      <c r="K9">
        <v>78</v>
      </c>
      <c r="L9">
        <v>11</v>
      </c>
      <c r="M9">
        <v>8</v>
      </c>
      <c r="N9" t="s">
        <v>114</v>
      </c>
      <c r="Q9">
        <v>65</v>
      </c>
      <c r="R9" t="s">
        <v>75</v>
      </c>
    </row>
    <row r="10" spans="1:18" x14ac:dyDescent="0.25">
      <c r="A10">
        <v>10</v>
      </c>
      <c r="B10" t="s">
        <v>95</v>
      </c>
      <c r="C10" t="s">
        <v>111</v>
      </c>
      <c r="D10">
        <v>4</v>
      </c>
      <c r="E10">
        <v>220</v>
      </c>
      <c r="F10" t="s">
        <v>114</v>
      </c>
      <c r="G10">
        <v>120</v>
      </c>
      <c r="H10">
        <v>40</v>
      </c>
      <c r="I10">
        <v>70</v>
      </c>
      <c r="J10">
        <v>70</v>
      </c>
      <c r="K10">
        <v>75</v>
      </c>
      <c r="L10">
        <v>11</v>
      </c>
      <c r="M10">
        <v>8</v>
      </c>
      <c r="N10" t="s">
        <v>114</v>
      </c>
      <c r="Q10" t="s">
        <v>114</v>
      </c>
      <c r="R10" t="s">
        <v>69</v>
      </c>
    </row>
    <row r="11" spans="1:18" x14ac:dyDescent="0.25">
      <c r="A11">
        <v>10</v>
      </c>
      <c r="B11" t="s">
        <v>95</v>
      </c>
      <c r="C11" t="s">
        <v>111</v>
      </c>
      <c r="D11">
        <v>5</v>
      </c>
      <c r="E11">
        <v>350</v>
      </c>
      <c r="F11" t="s">
        <v>114</v>
      </c>
      <c r="G11">
        <v>210</v>
      </c>
      <c r="H11">
        <v>120</v>
      </c>
      <c r="I11">
        <v>70</v>
      </c>
      <c r="J11">
        <v>60</v>
      </c>
      <c r="K11">
        <v>60</v>
      </c>
      <c r="L11">
        <v>18</v>
      </c>
      <c r="M11">
        <v>16</v>
      </c>
      <c r="N11" t="s">
        <v>114</v>
      </c>
      <c r="Q11" t="s">
        <v>114</v>
      </c>
      <c r="R11" t="s">
        <v>69</v>
      </c>
    </row>
    <row r="12" spans="1:18" x14ac:dyDescent="0.25">
      <c r="A12">
        <v>10</v>
      </c>
      <c r="B12" t="s">
        <v>94</v>
      </c>
      <c r="C12" t="s">
        <v>110</v>
      </c>
      <c r="D12">
        <v>1</v>
      </c>
      <c r="E12">
        <v>40</v>
      </c>
      <c r="F12" t="s">
        <v>114</v>
      </c>
      <c r="G12">
        <v>45</v>
      </c>
      <c r="H12">
        <v>15</v>
      </c>
      <c r="I12">
        <v>14</v>
      </c>
      <c r="J12">
        <v>12</v>
      </c>
      <c r="K12">
        <v>12</v>
      </c>
      <c r="L12">
        <v>5</v>
      </c>
      <c r="M12">
        <v>2</v>
      </c>
      <c r="N12">
        <v>2</v>
      </c>
      <c r="Q12">
        <v>110</v>
      </c>
      <c r="R12" t="s">
        <v>70</v>
      </c>
    </row>
    <row r="13" spans="1:18" x14ac:dyDescent="0.25">
      <c r="A13">
        <v>10</v>
      </c>
      <c r="B13" t="s">
        <v>94</v>
      </c>
      <c r="C13" t="s">
        <v>110</v>
      </c>
      <c r="D13">
        <v>2</v>
      </c>
      <c r="E13">
        <v>70</v>
      </c>
      <c r="F13" t="s">
        <v>114</v>
      </c>
      <c r="G13">
        <v>120</v>
      </c>
      <c r="H13">
        <v>0</v>
      </c>
      <c r="I13">
        <v>12</v>
      </c>
      <c r="J13">
        <v>9</v>
      </c>
      <c r="K13">
        <v>7</v>
      </c>
      <c r="L13">
        <v>12</v>
      </c>
      <c r="M13">
        <v>1</v>
      </c>
      <c r="N13">
        <v>3</v>
      </c>
      <c r="Q13">
        <v>75</v>
      </c>
      <c r="R13" t="s">
        <v>68</v>
      </c>
    </row>
    <row r="14" spans="1:18" x14ac:dyDescent="0.25">
      <c r="A14">
        <v>10</v>
      </c>
      <c r="B14" t="s">
        <v>94</v>
      </c>
      <c r="C14" t="s">
        <v>110</v>
      </c>
      <c r="D14">
        <v>3</v>
      </c>
      <c r="E14">
        <v>40</v>
      </c>
      <c r="F14" t="s">
        <v>114</v>
      </c>
      <c r="G14">
        <v>90</v>
      </c>
      <c r="H14">
        <v>35</v>
      </c>
      <c r="I14">
        <v>12</v>
      </c>
      <c r="J14">
        <v>12</v>
      </c>
      <c r="K14">
        <v>9</v>
      </c>
      <c r="L14">
        <v>10</v>
      </c>
      <c r="M14">
        <v>4</v>
      </c>
      <c r="N14">
        <v>4</v>
      </c>
      <c r="Q14">
        <v>100</v>
      </c>
      <c r="R14" t="s">
        <v>70</v>
      </c>
    </row>
    <row r="15" spans="1:18" x14ac:dyDescent="0.25">
      <c r="A15">
        <v>10</v>
      </c>
      <c r="B15" t="s">
        <v>94</v>
      </c>
      <c r="C15" t="s">
        <v>110</v>
      </c>
      <c r="D15">
        <v>4</v>
      </c>
      <c r="E15">
        <v>70</v>
      </c>
      <c r="F15" t="s">
        <v>114</v>
      </c>
      <c r="G15">
        <v>140</v>
      </c>
      <c r="H15">
        <v>0</v>
      </c>
      <c r="I15">
        <v>12</v>
      </c>
      <c r="J15">
        <v>12</v>
      </c>
      <c r="K15">
        <v>5</v>
      </c>
      <c r="L15">
        <v>17</v>
      </c>
      <c r="M15">
        <v>1</v>
      </c>
      <c r="N15">
        <v>4</v>
      </c>
      <c r="Q15" t="s">
        <v>114</v>
      </c>
      <c r="R15" t="s">
        <v>70</v>
      </c>
    </row>
    <row r="16" spans="1:18" x14ac:dyDescent="0.25">
      <c r="A16">
        <v>10</v>
      </c>
      <c r="B16" t="s">
        <v>95</v>
      </c>
      <c r="C16" t="s">
        <v>110</v>
      </c>
      <c r="D16">
        <v>1</v>
      </c>
      <c r="E16">
        <v>180</v>
      </c>
      <c r="F16" t="s">
        <v>114</v>
      </c>
      <c r="G16">
        <v>40</v>
      </c>
      <c r="H16">
        <v>24</v>
      </c>
      <c r="I16">
        <v>15</v>
      </c>
      <c r="J16">
        <v>15</v>
      </c>
      <c r="K16">
        <v>13</v>
      </c>
      <c r="L16">
        <v>19</v>
      </c>
      <c r="M16">
        <v>1</v>
      </c>
      <c r="N16">
        <v>5</v>
      </c>
      <c r="Q16">
        <v>125</v>
      </c>
      <c r="R16" t="s">
        <v>70</v>
      </c>
    </row>
    <row r="17" spans="1:18" x14ac:dyDescent="0.25">
      <c r="A17">
        <v>10</v>
      </c>
      <c r="B17" t="s">
        <v>95</v>
      </c>
      <c r="C17" t="s">
        <v>110</v>
      </c>
      <c r="D17">
        <v>2</v>
      </c>
      <c r="E17">
        <v>35</v>
      </c>
      <c r="F17" t="s">
        <v>114</v>
      </c>
      <c r="G17">
        <v>50</v>
      </c>
      <c r="H17">
        <v>5</v>
      </c>
      <c r="I17">
        <v>15</v>
      </c>
      <c r="J17">
        <v>15</v>
      </c>
      <c r="K17">
        <v>12</v>
      </c>
      <c r="L17">
        <v>5</v>
      </c>
      <c r="M17">
        <v>2</v>
      </c>
      <c r="N17">
        <v>2</v>
      </c>
      <c r="Q17">
        <v>67</v>
      </c>
      <c r="R17" t="s">
        <v>70</v>
      </c>
    </row>
    <row r="18" spans="1:18" x14ac:dyDescent="0.25">
      <c r="A18">
        <v>10</v>
      </c>
      <c r="B18" t="s">
        <v>95</v>
      </c>
      <c r="C18" t="s">
        <v>110</v>
      </c>
      <c r="D18">
        <v>3</v>
      </c>
      <c r="E18">
        <v>210</v>
      </c>
      <c r="F18" t="s">
        <v>114</v>
      </c>
      <c r="G18">
        <v>50</v>
      </c>
      <c r="H18">
        <v>0</v>
      </c>
      <c r="I18">
        <v>12</v>
      </c>
      <c r="J18">
        <v>15</v>
      </c>
      <c r="K18">
        <v>15</v>
      </c>
      <c r="L18">
        <v>15</v>
      </c>
      <c r="M18">
        <v>1</v>
      </c>
      <c r="N18">
        <v>3</v>
      </c>
      <c r="Q18">
        <v>90</v>
      </c>
      <c r="R18" t="s">
        <v>70</v>
      </c>
    </row>
    <row r="19" spans="1:18" x14ac:dyDescent="0.25">
      <c r="A19">
        <v>10</v>
      </c>
      <c r="B19" t="s">
        <v>95</v>
      </c>
      <c r="C19" t="s">
        <v>110</v>
      </c>
      <c r="D19">
        <v>4</v>
      </c>
      <c r="E19">
        <v>190</v>
      </c>
      <c r="F19" t="s">
        <v>114</v>
      </c>
      <c r="G19">
        <v>80</v>
      </c>
      <c r="H19">
        <v>0</v>
      </c>
      <c r="I19">
        <v>14</v>
      </c>
      <c r="J19">
        <v>12</v>
      </c>
      <c r="K19">
        <v>10</v>
      </c>
      <c r="L19">
        <v>17</v>
      </c>
      <c r="M19">
        <v>1</v>
      </c>
      <c r="N19">
        <v>3</v>
      </c>
      <c r="Q19" t="s">
        <v>114</v>
      </c>
      <c r="R19" t="s">
        <v>70</v>
      </c>
    </row>
    <row r="20" spans="1:18" x14ac:dyDescent="0.25">
      <c r="A20">
        <v>10</v>
      </c>
      <c r="B20" t="s">
        <v>95</v>
      </c>
      <c r="C20" t="s">
        <v>110</v>
      </c>
      <c r="D20">
        <v>5</v>
      </c>
      <c r="E20">
        <v>130</v>
      </c>
      <c r="F20" t="s">
        <v>114</v>
      </c>
      <c r="G20">
        <v>15</v>
      </c>
      <c r="H20">
        <v>15</v>
      </c>
      <c r="I20">
        <v>12</v>
      </c>
      <c r="J20">
        <v>17</v>
      </c>
      <c r="K20">
        <v>17</v>
      </c>
      <c r="L20">
        <v>6</v>
      </c>
      <c r="M20">
        <v>0</v>
      </c>
      <c r="N20">
        <v>1</v>
      </c>
      <c r="Q20" t="s">
        <v>114</v>
      </c>
      <c r="R20" t="s">
        <v>70</v>
      </c>
    </row>
    <row r="21" spans="1:18" x14ac:dyDescent="0.25">
      <c r="A21">
        <v>10</v>
      </c>
      <c r="B21" t="s">
        <v>94</v>
      </c>
      <c r="C21" t="s">
        <v>105</v>
      </c>
      <c r="D21">
        <v>1</v>
      </c>
      <c r="E21">
        <v>35</v>
      </c>
      <c r="F21">
        <v>355</v>
      </c>
      <c r="G21">
        <v>90</v>
      </c>
      <c r="H21">
        <v>57</v>
      </c>
      <c r="I21">
        <v>90</v>
      </c>
      <c r="J21">
        <v>57</v>
      </c>
      <c r="K21" t="s">
        <v>114</v>
      </c>
      <c r="L21">
        <v>3</v>
      </c>
      <c r="M21">
        <v>2</v>
      </c>
      <c r="N21" t="s">
        <v>114</v>
      </c>
      <c r="Q21">
        <v>85</v>
      </c>
      <c r="R21" t="s">
        <v>70</v>
      </c>
    </row>
    <row r="22" spans="1:18" x14ac:dyDescent="0.25">
      <c r="A22">
        <v>10</v>
      </c>
      <c r="B22" t="s">
        <v>94</v>
      </c>
      <c r="C22" t="s">
        <v>105</v>
      </c>
      <c r="D22">
        <v>2</v>
      </c>
      <c r="E22">
        <v>25</v>
      </c>
      <c r="F22">
        <v>175</v>
      </c>
      <c r="G22">
        <v>75</v>
      </c>
      <c r="H22">
        <v>65</v>
      </c>
      <c r="I22">
        <v>75</v>
      </c>
      <c r="J22">
        <v>65</v>
      </c>
      <c r="K22" t="s">
        <v>114</v>
      </c>
      <c r="L22">
        <v>1</v>
      </c>
      <c r="M22">
        <v>1</v>
      </c>
      <c r="N22" t="s">
        <v>114</v>
      </c>
      <c r="Q22">
        <v>100</v>
      </c>
      <c r="R22" t="s">
        <v>70</v>
      </c>
    </row>
    <row r="23" spans="1:18" x14ac:dyDescent="0.25">
      <c r="A23">
        <v>10</v>
      </c>
      <c r="B23" t="s">
        <v>94</v>
      </c>
      <c r="C23" t="s">
        <v>105</v>
      </c>
      <c r="D23">
        <v>3</v>
      </c>
      <c r="E23">
        <v>25</v>
      </c>
      <c r="F23">
        <v>100</v>
      </c>
      <c r="G23">
        <v>30</v>
      </c>
      <c r="H23">
        <v>18</v>
      </c>
      <c r="I23">
        <v>30</v>
      </c>
      <c r="J23">
        <v>18</v>
      </c>
      <c r="K23" t="s">
        <v>114</v>
      </c>
      <c r="L23">
        <v>1</v>
      </c>
      <c r="M23">
        <v>1</v>
      </c>
      <c r="N23" t="s">
        <v>114</v>
      </c>
      <c r="Q23">
        <v>60</v>
      </c>
      <c r="R23" t="s">
        <v>70</v>
      </c>
    </row>
    <row r="24" spans="1:18" x14ac:dyDescent="0.25">
      <c r="A24">
        <v>10</v>
      </c>
      <c r="B24" t="s">
        <v>95</v>
      </c>
      <c r="C24" t="s">
        <v>105</v>
      </c>
      <c r="D24">
        <v>1</v>
      </c>
      <c r="E24">
        <v>70</v>
      </c>
      <c r="F24">
        <v>510</v>
      </c>
      <c r="G24">
        <v>125</v>
      </c>
      <c r="H24">
        <v>120</v>
      </c>
      <c r="I24">
        <v>125</v>
      </c>
      <c r="J24">
        <v>120</v>
      </c>
      <c r="K24" t="s">
        <v>114</v>
      </c>
      <c r="L24">
        <v>9</v>
      </c>
      <c r="M24">
        <v>4</v>
      </c>
      <c r="N24" t="s">
        <v>114</v>
      </c>
      <c r="Q24">
        <v>130</v>
      </c>
      <c r="R24" t="s">
        <v>114</v>
      </c>
    </row>
    <row r="25" spans="1:18" x14ac:dyDescent="0.25">
      <c r="A25">
        <v>10</v>
      </c>
      <c r="B25" t="s">
        <v>95</v>
      </c>
      <c r="C25" t="s">
        <v>105</v>
      </c>
      <c r="D25">
        <v>2</v>
      </c>
      <c r="E25">
        <v>30</v>
      </c>
      <c r="F25">
        <v>170</v>
      </c>
      <c r="G25">
        <v>90</v>
      </c>
      <c r="H25">
        <v>87</v>
      </c>
      <c r="I25">
        <v>90</v>
      </c>
      <c r="J25">
        <v>87</v>
      </c>
      <c r="K25" t="s">
        <v>114</v>
      </c>
      <c r="L25">
        <v>3</v>
      </c>
      <c r="M25">
        <v>1</v>
      </c>
      <c r="N25" t="s">
        <v>114</v>
      </c>
      <c r="Q25">
        <v>65</v>
      </c>
      <c r="R25" t="s">
        <v>114</v>
      </c>
    </row>
    <row r="26" spans="1:18" x14ac:dyDescent="0.25">
      <c r="A26">
        <v>10</v>
      </c>
      <c r="B26" t="s">
        <v>95</v>
      </c>
      <c r="C26" t="s">
        <v>105</v>
      </c>
      <c r="D26">
        <v>3</v>
      </c>
      <c r="E26">
        <v>100</v>
      </c>
      <c r="F26">
        <v>360</v>
      </c>
      <c r="G26">
        <v>100</v>
      </c>
      <c r="H26">
        <v>85</v>
      </c>
      <c r="I26">
        <v>100</v>
      </c>
      <c r="J26">
        <v>85</v>
      </c>
      <c r="K26" t="s">
        <v>114</v>
      </c>
      <c r="L26">
        <v>5</v>
      </c>
      <c r="M26">
        <v>1</v>
      </c>
      <c r="N26" t="s">
        <v>114</v>
      </c>
      <c r="Q26">
        <v>45</v>
      </c>
      <c r="R26" t="s">
        <v>114</v>
      </c>
    </row>
    <row r="27" spans="1:18" x14ac:dyDescent="0.25">
      <c r="A27">
        <v>10</v>
      </c>
      <c r="B27" t="s">
        <v>94</v>
      </c>
      <c r="C27" t="s">
        <v>104</v>
      </c>
      <c r="D27">
        <v>1</v>
      </c>
      <c r="E27">
        <v>60</v>
      </c>
      <c r="F27" t="s">
        <v>114</v>
      </c>
      <c r="G27">
        <v>10</v>
      </c>
      <c r="H27">
        <v>0</v>
      </c>
      <c r="I27">
        <v>16</v>
      </c>
      <c r="J27">
        <v>15</v>
      </c>
      <c r="K27">
        <v>15</v>
      </c>
      <c r="L27">
        <v>3</v>
      </c>
      <c r="M27">
        <v>2</v>
      </c>
      <c r="N27" t="s">
        <v>114</v>
      </c>
      <c r="Q27">
        <v>27</v>
      </c>
      <c r="R27" t="s">
        <v>72</v>
      </c>
    </row>
    <row r="28" spans="1:18" x14ac:dyDescent="0.25">
      <c r="A28">
        <v>10</v>
      </c>
      <c r="B28" t="s">
        <v>94</v>
      </c>
      <c r="C28" t="s">
        <v>104</v>
      </c>
      <c r="D28">
        <v>2</v>
      </c>
      <c r="E28">
        <v>85</v>
      </c>
      <c r="F28" t="s">
        <v>114</v>
      </c>
      <c r="G28">
        <v>75</v>
      </c>
      <c r="H28">
        <v>30</v>
      </c>
      <c r="I28">
        <v>35</v>
      </c>
      <c r="J28">
        <v>20</v>
      </c>
      <c r="K28">
        <v>21</v>
      </c>
      <c r="L28">
        <v>8</v>
      </c>
      <c r="M28">
        <v>5</v>
      </c>
      <c r="N28" t="s">
        <v>114</v>
      </c>
      <c r="Q28">
        <v>40</v>
      </c>
      <c r="R28" t="s">
        <v>72</v>
      </c>
    </row>
    <row r="29" spans="1:18" x14ac:dyDescent="0.25">
      <c r="A29">
        <v>10</v>
      </c>
      <c r="B29" t="s">
        <v>94</v>
      </c>
      <c r="C29" t="s">
        <v>104</v>
      </c>
      <c r="D29">
        <v>3</v>
      </c>
      <c r="E29">
        <v>65</v>
      </c>
      <c r="F29" t="s">
        <v>114</v>
      </c>
      <c r="G29">
        <v>35</v>
      </c>
      <c r="H29">
        <v>5</v>
      </c>
      <c r="I29">
        <v>20</v>
      </c>
      <c r="J29">
        <v>22</v>
      </c>
      <c r="K29">
        <v>25</v>
      </c>
      <c r="L29">
        <v>5</v>
      </c>
      <c r="M29">
        <v>4</v>
      </c>
      <c r="N29" t="s">
        <v>114</v>
      </c>
      <c r="Q29">
        <v>45</v>
      </c>
      <c r="R29" t="s">
        <v>72</v>
      </c>
    </row>
    <row r="30" spans="1:18" x14ac:dyDescent="0.25">
      <c r="A30">
        <v>10</v>
      </c>
      <c r="B30" t="s">
        <v>95</v>
      </c>
      <c r="C30" t="s">
        <v>104</v>
      </c>
      <c r="D30">
        <v>1</v>
      </c>
      <c r="E30">
        <v>75</v>
      </c>
      <c r="F30" t="s">
        <v>114</v>
      </c>
      <c r="G30">
        <v>25</v>
      </c>
      <c r="H30">
        <v>10</v>
      </c>
      <c r="I30">
        <v>39</v>
      </c>
      <c r="J30">
        <v>28</v>
      </c>
      <c r="K30">
        <v>35</v>
      </c>
      <c r="L30">
        <v>3</v>
      </c>
      <c r="M30">
        <v>2</v>
      </c>
      <c r="N30" t="s">
        <v>114</v>
      </c>
      <c r="Q30">
        <v>22</v>
      </c>
      <c r="R30" t="s">
        <v>75</v>
      </c>
    </row>
    <row r="31" spans="1:18" x14ac:dyDescent="0.25">
      <c r="A31">
        <v>10</v>
      </c>
      <c r="B31" t="s">
        <v>95</v>
      </c>
      <c r="C31" t="s">
        <v>104</v>
      </c>
      <c r="D31">
        <v>2</v>
      </c>
      <c r="E31">
        <v>85</v>
      </c>
      <c r="F31" t="s">
        <v>114</v>
      </c>
      <c r="G31">
        <v>20</v>
      </c>
      <c r="H31">
        <v>7</v>
      </c>
      <c r="I31">
        <v>20</v>
      </c>
      <c r="J31">
        <v>18</v>
      </c>
      <c r="K31">
        <v>18</v>
      </c>
      <c r="L31">
        <v>2</v>
      </c>
      <c r="M31">
        <v>2</v>
      </c>
      <c r="N31" t="s">
        <v>114</v>
      </c>
      <c r="Q31" t="s">
        <v>114</v>
      </c>
      <c r="R31" t="s">
        <v>75</v>
      </c>
    </row>
    <row r="32" spans="1:18" x14ac:dyDescent="0.25">
      <c r="A32">
        <v>10</v>
      </c>
      <c r="B32" t="s">
        <v>95</v>
      </c>
      <c r="C32" t="s">
        <v>104</v>
      </c>
      <c r="D32">
        <v>3</v>
      </c>
      <c r="E32">
        <v>85</v>
      </c>
      <c r="F32" t="s">
        <v>114</v>
      </c>
      <c r="G32">
        <v>10</v>
      </c>
      <c r="H32">
        <v>10</v>
      </c>
      <c r="I32">
        <v>18</v>
      </c>
      <c r="J32">
        <v>16</v>
      </c>
      <c r="K32">
        <v>15</v>
      </c>
      <c r="L32">
        <v>1</v>
      </c>
      <c r="M32">
        <v>2</v>
      </c>
      <c r="N32" t="s">
        <v>114</v>
      </c>
      <c r="Q32">
        <v>18</v>
      </c>
      <c r="R32" t="s">
        <v>75</v>
      </c>
    </row>
    <row r="33" spans="1:18" x14ac:dyDescent="0.25">
      <c r="A33">
        <v>10</v>
      </c>
      <c r="B33" t="s">
        <v>95</v>
      </c>
      <c r="C33" t="s">
        <v>104</v>
      </c>
      <c r="D33">
        <v>4</v>
      </c>
      <c r="E33">
        <v>90</v>
      </c>
      <c r="F33" t="s">
        <v>114</v>
      </c>
      <c r="G33">
        <v>20</v>
      </c>
      <c r="H33">
        <v>10</v>
      </c>
      <c r="I33">
        <v>33</v>
      </c>
      <c r="J33">
        <v>22</v>
      </c>
      <c r="K33">
        <v>31</v>
      </c>
      <c r="L33">
        <v>3</v>
      </c>
      <c r="M33">
        <v>3</v>
      </c>
      <c r="N33" t="s">
        <v>114</v>
      </c>
      <c r="Q33">
        <v>28</v>
      </c>
      <c r="R33" t="s">
        <v>75</v>
      </c>
    </row>
    <row r="34" spans="1:18" x14ac:dyDescent="0.25">
      <c r="A34">
        <v>10</v>
      </c>
      <c r="B34" t="s">
        <v>95</v>
      </c>
      <c r="C34" t="s">
        <v>104</v>
      </c>
      <c r="D34">
        <v>5</v>
      </c>
      <c r="E34">
        <v>55</v>
      </c>
      <c r="F34" t="s">
        <v>114</v>
      </c>
      <c r="G34">
        <v>10</v>
      </c>
      <c r="H34">
        <v>5</v>
      </c>
      <c r="I34">
        <v>20</v>
      </c>
      <c r="J34">
        <v>15</v>
      </c>
      <c r="K34">
        <v>14</v>
      </c>
      <c r="L34">
        <v>1</v>
      </c>
      <c r="M34">
        <v>2</v>
      </c>
      <c r="N34" t="s">
        <v>114</v>
      </c>
      <c r="Q34">
        <v>42</v>
      </c>
      <c r="R34" t="s">
        <v>75</v>
      </c>
    </row>
    <row r="35" spans="1:18" x14ac:dyDescent="0.25">
      <c r="A35">
        <v>12</v>
      </c>
      <c r="B35" t="s">
        <v>94</v>
      </c>
      <c r="C35" t="s">
        <v>111</v>
      </c>
      <c r="D35">
        <v>1</v>
      </c>
      <c r="E35">
        <v>340</v>
      </c>
      <c r="F35" t="s">
        <v>114</v>
      </c>
      <c r="G35">
        <v>70</v>
      </c>
      <c r="H35">
        <v>30</v>
      </c>
      <c r="I35">
        <v>80</v>
      </c>
      <c r="J35">
        <v>55</v>
      </c>
      <c r="K35">
        <v>50</v>
      </c>
      <c r="L35">
        <v>14</v>
      </c>
      <c r="M35">
        <v>7</v>
      </c>
      <c r="N35" t="s">
        <v>114</v>
      </c>
      <c r="Q35" t="s">
        <v>114</v>
      </c>
      <c r="R35" t="s">
        <v>50</v>
      </c>
    </row>
    <row r="36" spans="1:18" x14ac:dyDescent="0.25">
      <c r="A36">
        <v>12</v>
      </c>
      <c r="B36" t="s">
        <v>94</v>
      </c>
      <c r="C36" t="s">
        <v>111</v>
      </c>
      <c r="D36">
        <v>2</v>
      </c>
      <c r="E36">
        <v>280</v>
      </c>
      <c r="F36" t="s">
        <v>114</v>
      </c>
      <c r="G36">
        <v>210</v>
      </c>
      <c r="H36">
        <v>120</v>
      </c>
      <c r="I36">
        <v>75</v>
      </c>
      <c r="J36">
        <v>55</v>
      </c>
      <c r="K36">
        <v>55</v>
      </c>
      <c r="L36">
        <v>20</v>
      </c>
      <c r="M36">
        <v>17</v>
      </c>
      <c r="N36" t="s">
        <v>114</v>
      </c>
      <c r="Q36">
        <v>80</v>
      </c>
      <c r="R36" t="s">
        <v>61</v>
      </c>
    </row>
    <row r="37" spans="1:18" x14ac:dyDescent="0.25">
      <c r="A37">
        <v>12</v>
      </c>
      <c r="B37" t="s">
        <v>94</v>
      </c>
      <c r="C37" t="s">
        <v>111</v>
      </c>
      <c r="D37">
        <v>3</v>
      </c>
      <c r="E37">
        <v>290</v>
      </c>
      <c r="F37" t="s">
        <v>114</v>
      </c>
      <c r="G37">
        <v>210</v>
      </c>
      <c r="H37">
        <v>120</v>
      </c>
      <c r="I37">
        <v>95</v>
      </c>
      <c r="J37">
        <v>65</v>
      </c>
      <c r="K37">
        <v>60</v>
      </c>
      <c r="L37">
        <v>33</v>
      </c>
      <c r="M37">
        <v>22</v>
      </c>
      <c r="N37" t="s">
        <v>114</v>
      </c>
      <c r="Q37">
        <v>115</v>
      </c>
      <c r="R37" t="s">
        <v>61</v>
      </c>
    </row>
    <row r="38" spans="1:18" x14ac:dyDescent="0.25">
      <c r="A38">
        <v>12</v>
      </c>
      <c r="B38" t="s">
        <v>94</v>
      </c>
      <c r="C38" t="s">
        <v>111</v>
      </c>
      <c r="D38">
        <v>4</v>
      </c>
      <c r="E38">
        <v>200</v>
      </c>
      <c r="F38" t="s">
        <v>114</v>
      </c>
      <c r="G38">
        <v>100</v>
      </c>
      <c r="H38">
        <v>30</v>
      </c>
      <c r="I38">
        <v>50</v>
      </c>
      <c r="J38">
        <v>45</v>
      </c>
      <c r="K38">
        <v>47</v>
      </c>
      <c r="L38">
        <v>7</v>
      </c>
      <c r="M38">
        <v>4</v>
      </c>
      <c r="N38" t="s">
        <v>114</v>
      </c>
      <c r="Q38">
        <v>65</v>
      </c>
      <c r="R38" t="s">
        <v>61</v>
      </c>
    </row>
    <row r="39" spans="1:18" x14ac:dyDescent="0.25">
      <c r="A39">
        <v>12</v>
      </c>
      <c r="B39" t="s">
        <v>95</v>
      </c>
      <c r="C39" t="s">
        <v>111</v>
      </c>
      <c r="D39">
        <v>1</v>
      </c>
      <c r="E39">
        <v>120</v>
      </c>
      <c r="F39" t="s">
        <v>114</v>
      </c>
      <c r="G39">
        <v>80</v>
      </c>
      <c r="H39">
        <v>20</v>
      </c>
      <c r="I39">
        <v>42</v>
      </c>
      <c r="J39">
        <v>42</v>
      </c>
      <c r="K39">
        <v>29</v>
      </c>
      <c r="L39">
        <v>3</v>
      </c>
      <c r="M39">
        <v>2</v>
      </c>
      <c r="N39" t="s">
        <v>114</v>
      </c>
      <c r="Q39">
        <v>30</v>
      </c>
      <c r="R39" t="s">
        <v>62</v>
      </c>
    </row>
    <row r="40" spans="1:18" x14ac:dyDescent="0.25">
      <c r="A40">
        <v>12</v>
      </c>
      <c r="B40" t="s">
        <v>95</v>
      </c>
      <c r="C40" t="s">
        <v>111</v>
      </c>
      <c r="D40">
        <v>2</v>
      </c>
      <c r="E40">
        <v>200</v>
      </c>
      <c r="F40" t="s">
        <v>114</v>
      </c>
      <c r="G40">
        <v>30</v>
      </c>
      <c r="H40">
        <v>5</v>
      </c>
      <c r="I40">
        <v>42</v>
      </c>
      <c r="J40">
        <v>41</v>
      </c>
      <c r="K40">
        <v>40</v>
      </c>
      <c r="L40">
        <v>6</v>
      </c>
      <c r="M40">
        <v>3</v>
      </c>
      <c r="N40" t="s">
        <v>114</v>
      </c>
      <c r="Q40">
        <v>36</v>
      </c>
      <c r="R40" t="s">
        <v>62</v>
      </c>
    </row>
    <row r="41" spans="1:18" x14ac:dyDescent="0.25">
      <c r="A41">
        <v>12</v>
      </c>
      <c r="B41" t="s">
        <v>95</v>
      </c>
      <c r="C41" t="s">
        <v>111</v>
      </c>
      <c r="D41">
        <v>3</v>
      </c>
      <c r="E41">
        <v>320</v>
      </c>
      <c r="F41" t="s">
        <v>114</v>
      </c>
      <c r="G41">
        <v>230</v>
      </c>
      <c r="H41">
        <v>70</v>
      </c>
      <c r="I41">
        <v>72</v>
      </c>
      <c r="J41">
        <v>70</v>
      </c>
      <c r="K41">
        <v>56</v>
      </c>
      <c r="L41">
        <v>26</v>
      </c>
      <c r="M41">
        <v>15</v>
      </c>
      <c r="N41" t="s">
        <v>114</v>
      </c>
      <c r="Q41">
        <v>110</v>
      </c>
      <c r="R41" t="s">
        <v>62</v>
      </c>
    </row>
    <row r="42" spans="1:18" x14ac:dyDescent="0.25">
      <c r="A42">
        <v>12</v>
      </c>
      <c r="B42" t="s">
        <v>94</v>
      </c>
      <c r="C42" t="s">
        <v>104</v>
      </c>
      <c r="D42">
        <v>1</v>
      </c>
      <c r="E42">
        <v>60</v>
      </c>
      <c r="F42" t="s">
        <v>114</v>
      </c>
      <c r="G42">
        <v>60</v>
      </c>
      <c r="H42">
        <v>45</v>
      </c>
      <c r="I42">
        <v>45</v>
      </c>
      <c r="J42">
        <v>38</v>
      </c>
      <c r="K42">
        <v>30</v>
      </c>
      <c r="L42">
        <v>11</v>
      </c>
      <c r="M42">
        <v>3</v>
      </c>
      <c r="N42" t="s">
        <v>114</v>
      </c>
      <c r="Q42">
        <v>52</v>
      </c>
      <c r="R42" t="s">
        <v>50</v>
      </c>
    </row>
    <row r="43" spans="1:18" x14ac:dyDescent="0.25">
      <c r="A43">
        <v>12</v>
      </c>
      <c r="B43" t="s">
        <v>94</v>
      </c>
      <c r="C43" t="s">
        <v>104</v>
      </c>
      <c r="D43">
        <v>2</v>
      </c>
      <c r="E43">
        <v>45</v>
      </c>
      <c r="F43" t="s">
        <v>114</v>
      </c>
      <c r="G43">
        <v>45</v>
      </c>
      <c r="H43">
        <v>5</v>
      </c>
      <c r="I43">
        <v>26</v>
      </c>
      <c r="J43">
        <v>19</v>
      </c>
      <c r="K43">
        <v>17</v>
      </c>
      <c r="L43">
        <v>6</v>
      </c>
      <c r="M43">
        <v>4</v>
      </c>
      <c r="N43" t="s">
        <v>114</v>
      </c>
      <c r="Q43">
        <v>70</v>
      </c>
      <c r="R43" t="s">
        <v>55</v>
      </c>
    </row>
    <row r="44" spans="1:18" x14ac:dyDescent="0.25">
      <c r="A44">
        <v>12</v>
      </c>
      <c r="B44" t="s">
        <v>94</v>
      </c>
      <c r="C44" t="s">
        <v>104</v>
      </c>
      <c r="D44">
        <v>3</v>
      </c>
      <c r="E44">
        <v>35</v>
      </c>
      <c r="F44" t="s">
        <v>114</v>
      </c>
      <c r="G44">
        <v>45</v>
      </c>
      <c r="H44">
        <v>18</v>
      </c>
      <c r="I44">
        <v>25</v>
      </c>
      <c r="J44">
        <v>23</v>
      </c>
      <c r="K44">
        <v>22</v>
      </c>
      <c r="L44">
        <v>9</v>
      </c>
      <c r="M44">
        <v>3</v>
      </c>
      <c r="N44" t="s">
        <v>114</v>
      </c>
      <c r="Q44">
        <v>45</v>
      </c>
      <c r="R44" t="s">
        <v>55</v>
      </c>
    </row>
    <row r="45" spans="1:18" x14ac:dyDescent="0.25">
      <c r="A45">
        <v>12</v>
      </c>
      <c r="B45" t="s">
        <v>94</v>
      </c>
      <c r="C45" t="s">
        <v>161</v>
      </c>
      <c r="D45">
        <v>1</v>
      </c>
      <c r="E45">
        <v>115</v>
      </c>
      <c r="F45" t="s">
        <v>114</v>
      </c>
      <c r="G45">
        <v>70</v>
      </c>
      <c r="H45">
        <v>30</v>
      </c>
      <c r="I45">
        <v>45</v>
      </c>
      <c r="J45">
        <v>35</v>
      </c>
      <c r="K45">
        <v>30</v>
      </c>
      <c r="L45">
        <v>10</v>
      </c>
      <c r="M45">
        <v>5</v>
      </c>
      <c r="N45" t="s">
        <v>114</v>
      </c>
      <c r="Q45" t="s">
        <v>114</v>
      </c>
      <c r="R45" t="s">
        <v>50</v>
      </c>
    </row>
    <row r="46" spans="1:18" x14ac:dyDescent="0.25">
      <c r="A46">
        <v>12</v>
      </c>
      <c r="B46" t="s">
        <v>95</v>
      </c>
      <c r="C46" t="s">
        <v>161</v>
      </c>
      <c r="D46">
        <v>2</v>
      </c>
      <c r="E46">
        <v>165</v>
      </c>
      <c r="F46" t="s">
        <v>114</v>
      </c>
      <c r="G46">
        <v>40</v>
      </c>
      <c r="H46">
        <v>6</v>
      </c>
      <c r="I46">
        <v>75</v>
      </c>
      <c r="J46">
        <v>60</v>
      </c>
      <c r="K46">
        <v>53</v>
      </c>
      <c r="L46">
        <v>4</v>
      </c>
      <c r="M46">
        <v>2</v>
      </c>
      <c r="N46" t="s">
        <v>114</v>
      </c>
      <c r="Q46">
        <v>35</v>
      </c>
      <c r="R46" t="s">
        <v>50</v>
      </c>
    </row>
    <row r="47" spans="1:18" x14ac:dyDescent="0.25">
      <c r="A47">
        <v>12</v>
      </c>
      <c r="B47" t="s">
        <v>95</v>
      </c>
      <c r="C47" t="s">
        <v>104</v>
      </c>
      <c r="D47">
        <v>1</v>
      </c>
      <c r="E47">
        <v>170</v>
      </c>
      <c r="F47" t="s">
        <v>114</v>
      </c>
      <c r="G47">
        <v>30</v>
      </c>
      <c r="H47">
        <v>15</v>
      </c>
      <c r="I47">
        <v>35</v>
      </c>
      <c r="J47">
        <v>30</v>
      </c>
      <c r="K47">
        <v>25</v>
      </c>
      <c r="L47">
        <v>5</v>
      </c>
      <c r="M47">
        <v>4</v>
      </c>
      <c r="N47" t="s">
        <v>114</v>
      </c>
      <c r="Q47" t="s">
        <v>114</v>
      </c>
      <c r="R47" t="s">
        <v>50</v>
      </c>
    </row>
    <row r="48" spans="1:18" x14ac:dyDescent="0.25">
      <c r="A48">
        <v>12</v>
      </c>
      <c r="B48" t="s">
        <v>95</v>
      </c>
      <c r="C48" t="s">
        <v>104</v>
      </c>
      <c r="D48">
        <v>2</v>
      </c>
      <c r="E48">
        <v>70</v>
      </c>
      <c r="F48" t="s">
        <v>114</v>
      </c>
      <c r="G48">
        <v>30</v>
      </c>
      <c r="H48">
        <v>10</v>
      </c>
      <c r="I48">
        <v>31</v>
      </c>
      <c r="J48">
        <v>25</v>
      </c>
      <c r="K48">
        <v>21</v>
      </c>
      <c r="L48">
        <v>3</v>
      </c>
      <c r="M48">
        <v>2</v>
      </c>
      <c r="N48" t="s">
        <v>114</v>
      </c>
      <c r="Q48" t="s">
        <v>114</v>
      </c>
      <c r="R48" t="s">
        <v>51</v>
      </c>
    </row>
    <row r="49" spans="1:18" x14ac:dyDescent="0.25">
      <c r="A49">
        <v>12</v>
      </c>
      <c r="B49" t="s">
        <v>95</v>
      </c>
      <c r="C49" t="s">
        <v>104</v>
      </c>
      <c r="D49">
        <v>3</v>
      </c>
      <c r="E49">
        <v>80</v>
      </c>
      <c r="F49" t="s">
        <v>114</v>
      </c>
      <c r="G49">
        <v>10</v>
      </c>
      <c r="H49">
        <v>7</v>
      </c>
      <c r="I49">
        <v>13</v>
      </c>
      <c r="J49">
        <v>12</v>
      </c>
      <c r="K49">
        <v>9</v>
      </c>
      <c r="L49">
        <v>2</v>
      </c>
      <c r="M49">
        <v>2</v>
      </c>
      <c r="N49" t="s">
        <v>114</v>
      </c>
      <c r="Q49">
        <v>40</v>
      </c>
      <c r="R49" t="s">
        <v>51</v>
      </c>
    </row>
    <row r="50" spans="1:18" x14ac:dyDescent="0.25">
      <c r="A50">
        <v>12</v>
      </c>
      <c r="B50" t="s">
        <v>95</v>
      </c>
      <c r="C50" t="s">
        <v>104</v>
      </c>
      <c r="D50">
        <v>4</v>
      </c>
      <c r="E50">
        <v>90</v>
      </c>
      <c r="F50" t="s">
        <v>114</v>
      </c>
      <c r="G50">
        <v>25</v>
      </c>
      <c r="H50">
        <v>8</v>
      </c>
      <c r="I50">
        <v>45</v>
      </c>
      <c r="J50">
        <v>35</v>
      </c>
      <c r="K50">
        <v>26</v>
      </c>
      <c r="L50">
        <v>5</v>
      </c>
      <c r="M50">
        <v>3</v>
      </c>
      <c r="N50" t="s">
        <v>114</v>
      </c>
      <c r="Q50">
        <v>29</v>
      </c>
      <c r="R50" t="s">
        <v>51</v>
      </c>
    </row>
    <row r="51" spans="1:18" x14ac:dyDescent="0.25">
      <c r="A51">
        <v>12</v>
      </c>
      <c r="B51" t="s">
        <v>95</v>
      </c>
      <c r="C51" t="s">
        <v>104</v>
      </c>
      <c r="D51">
        <v>5</v>
      </c>
      <c r="E51">
        <v>105</v>
      </c>
      <c r="F51" t="s">
        <v>114</v>
      </c>
      <c r="G51">
        <v>25</v>
      </c>
      <c r="H51">
        <v>15</v>
      </c>
      <c r="I51">
        <v>50</v>
      </c>
      <c r="J51">
        <v>45</v>
      </c>
      <c r="K51">
        <v>45</v>
      </c>
      <c r="L51">
        <v>11</v>
      </c>
      <c r="M51">
        <v>4</v>
      </c>
      <c r="N51" t="s">
        <v>114</v>
      </c>
      <c r="Q51">
        <v>36</v>
      </c>
      <c r="R51" t="s">
        <v>50</v>
      </c>
    </row>
    <row r="52" spans="1:18" x14ac:dyDescent="0.25">
      <c r="A52">
        <v>12</v>
      </c>
      <c r="B52" t="s">
        <v>94</v>
      </c>
      <c r="C52" t="s">
        <v>110</v>
      </c>
      <c r="D52">
        <v>1</v>
      </c>
      <c r="E52">
        <v>40</v>
      </c>
      <c r="F52" t="s">
        <v>114</v>
      </c>
      <c r="G52">
        <v>30</v>
      </c>
      <c r="H52">
        <v>25</v>
      </c>
      <c r="I52">
        <v>9</v>
      </c>
      <c r="J52">
        <v>9</v>
      </c>
      <c r="K52">
        <v>8</v>
      </c>
      <c r="L52">
        <v>3</v>
      </c>
      <c r="M52">
        <v>1</v>
      </c>
      <c r="N52">
        <v>3</v>
      </c>
      <c r="Q52">
        <v>92</v>
      </c>
      <c r="R52" t="s">
        <v>58</v>
      </c>
    </row>
    <row r="53" spans="1:18" x14ac:dyDescent="0.25">
      <c r="A53">
        <v>12</v>
      </c>
      <c r="B53" t="s">
        <v>94</v>
      </c>
      <c r="C53" t="s">
        <v>110</v>
      </c>
      <c r="D53">
        <v>2</v>
      </c>
      <c r="E53">
        <v>45</v>
      </c>
      <c r="F53" t="s">
        <v>114</v>
      </c>
      <c r="G53">
        <v>50</v>
      </c>
      <c r="H53">
        <v>0</v>
      </c>
      <c r="I53">
        <v>6</v>
      </c>
      <c r="J53">
        <v>6</v>
      </c>
      <c r="K53">
        <v>5</v>
      </c>
      <c r="L53">
        <v>7</v>
      </c>
      <c r="M53">
        <v>1</v>
      </c>
      <c r="N53">
        <v>4</v>
      </c>
      <c r="Q53">
        <v>90</v>
      </c>
      <c r="R53" t="s">
        <v>58</v>
      </c>
    </row>
    <row r="54" spans="1:18" x14ac:dyDescent="0.25">
      <c r="A54">
        <v>12</v>
      </c>
      <c r="B54" t="s">
        <v>94</v>
      </c>
      <c r="C54" t="s">
        <v>110</v>
      </c>
      <c r="D54">
        <v>3</v>
      </c>
      <c r="E54">
        <v>70</v>
      </c>
      <c r="F54" t="s">
        <v>114</v>
      </c>
      <c r="G54">
        <v>75</v>
      </c>
      <c r="H54">
        <v>0</v>
      </c>
      <c r="I54">
        <v>13</v>
      </c>
      <c r="J54">
        <v>11</v>
      </c>
      <c r="K54">
        <v>11</v>
      </c>
      <c r="L54">
        <v>3</v>
      </c>
      <c r="M54">
        <v>1</v>
      </c>
      <c r="N54">
        <v>2</v>
      </c>
      <c r="Q54">
        <v>125</v>
      </c>
      <c r="R54" t="s">
        <v>65</v>
      </c>
    </row>
    <row r="55" spans="1:18" x14ac:dyDescent="0.25">
      <c r="A55">
        <v>12</v>
      </c>
      <c r="B55" t="s">
        <v>94</v>
      </c>
      <c r="C55" t="s">
        <v>162</v>
      </c>
      <c r="D55">
        <v>1</v>
      </c>
      <c r="E55">
        <v>70</v>
      </c>
      <c r="F55" t="s">
        <v>114</v>
      </c>
      <c r="G55">
        <v>150</v>
      </c>
      <c r="H55">
        <v>85</v>
      </c>
      <c r="I55">
        <v>15</v>
      </c>
      <c r="J55">
        <v>15</v>
      </c>
      <c r="K55">
        <v>18</v>
      </c>
      <c r="L55">
        <v>12</v>
      </c>
      <c r="M55">
        <v>1</v>
      </c>
      <c r="N55">
        <v>4</v>
      </c>
      <c r="Q55">
        <v>110</v>
      </c>
      <c r="R55" t="s">
        <v>61</v>
      </c>
    </row>
    <row r="56" spans="1:18" x14ac:dyDescent="0.25">
      <c r="A56">
        <v>12</v>
      </c>
      <c r="B56" t="s">
        <v>95</v>
      </c>
      <c r="C56" t="s">
        <v>110</v>
      </c>
      <c r="D56">
        <v>1</v>
      </c>
      <c r="E56">
        <v>95</v>
      </c>
      <c r="F56" t="s">
        <v>114</v>
      </c>
      <c r="G56">
        <v>13</v>
      </c>
      <c r="H56">
        <v>0</v>
      </c>
      <c r="I56">
        <v>15</v>
      </c>
      <c r="J56">
        <v>14</v>
      </c>
      <c r="K56">
        <v>14</v>
      </c>
      <c r="L56">
        <v>2</v>
      </c>
      <c r="M56">
        <v>1</v>
      </c>
      <c r="N56">
        <v>1</v>
      </c>
      <c r="Q56">
        <v>70</v>
      </c>
      <c r="R56" t="s">
        <v>65</v>
      </c>
    </row>
    <row r="57" spans="1:18" x14ac:dyDescent="0.25">
      <c r="A57">
        <v>12</v>
      </c>
      <c r="B57" t="s">
        <v>95</v>
      </c>
      <c r="C57" t="s">
        <v>110</v>
      </c>
      <c r="D57">
        <v>2</v>
      </c>
      <c r="E57">
        <v>95</v>
      </c>
      <c r="F57" t="s">
        <v>114</v>
      </c>
      <c r="G57">
        <v>100</v>
      </c>
      <c r="H57">
        <v>25</v>
      </c>
      <c r="I57">
        <v>12</v>
      </c>
      <c r="J57">
        <v>13</v>
      </c>
      <c r="K57">
        <v>11</v>
      </c>
      <c r="L57">
        <v>7</v>
      </c>
      <c r="M57">
        <v>1</v>
      </c>
      <c r="N57">
        <v>4</v>
      </c>
      <c r="Q57">
        <v>50</v>
      </c>
      <c r="R57" t="s">
        <v>65</v>
      </c>
    </row>
    <row r="58" spans="1:18" x14ac:dyDescent="0.25">
      <c r="A58">
        <v>12</v>
      </c>
      <c r="B58" t="s">
        <v>95</v>
      </c>
      <c r="C58" t="s">
        <v>110</v>
      </c>
      <c r="D58">
        <v>3</v>
      </c>
      <c r="E58">
        <v>140</v>
      </c>
      <c r="F58" t="s">
        <v>114</v>
      </c>
      <c r="G58">
        <v>40</v>
      </c>
      <c r="H58">
        <v>5</v>
      </c>
      <c r="I58">
        <v>12</v>
      </c>
      <c r="J58">
        <v>10</v>
      </c>
      <c r="K58">
        <v>9</v>
      </c>
      <c r="L58">
        <v>15</v>
      </c>
      <c r="M58">
        <v>1</v>
      </c>
      <c r="N58">
        <v>2</v>
      </c>
      <c r="Q58">
        <v>90</v>
      </c>
      <c r="R58" t="s">
        <v>114</v>
      </c>
    </row>
    <row r="59" spans="1:18" x14ac:dyDescent="0.25">
      <c r="A59">
        <v>12</v>
      </c>
      <c r="B59" t="s">
        <v>95</v>
      </c>
      <c r="C59" t="s">
        <v>162</v>
      </c>
      <c r="D59">
        <v>1</v>
      </c>
      <c r="E59">
        <v>150</v>
      </c>
      <c r="F59" t="s">
        <v>114</v>
      </c>
      <c r="G59">
        <v>50</v>
      </c>
      <c r="H59">
        <v>20</v>
      </c>
      <c r="I59">
        <v>20</v>
      </c>
      <c r="J59">
        <v>15</v>
      </c>
      <c r="K59">
        <v>15</v>
      </c>
      <c r="L59">
        <v>9</v>
      </c>
      <c r="M59">
        <v>2</v>
      </c>
      <c r="N59">
        <v>4</v>
      </c>
      <c r="Q59">
        <v>77</v>
      </c>
      <c r="R59" t="s">
        <v>58</v>
      </c>
    </row>
    <row r="60" spans="1:18" x14ac:dyDescent="0.25">
      <c r="A60">
        <v>12</v>
      </c>
      <c r="B60" t="s">
        <v>94</v>
      </c>
      <c r="C60" t="s">
        <v>105</v>
      </c>
      <c r="D60">
        <v>1</v>
      </c>
      <c r="E60">
        <v>25</v>
      </c>
      <c r="F60">
        <v>150</v>
      </c>
      <c r="G60">
        <v>40</v>
      </c>
      <c r="H60">
        <v>25</v>
      </c>
      <c r="I60">
        <v>40</v>
      </c>
      <c r="J60">
        <v>25</v>
      </c>
      <c r="K60" t="s">
        <v>114</v>
      </c>
      <c r="L60">
        <v>1</v>
      </c>
      <c r="M60">
        <v>1</v>
      </c>
      <c r="N60" t="s">
        <v>114</v>
      </c>
      <c r="Q60">
        <v>46</v>
      </c>
      <c r="R60" t="s">
        <v>55</v>
      </c>
    </row>
    <row r="61" spans="1:18" x14ac:dyDescent="0.25">
      <c r="A61">
        <v>12</v>
      </c>
      <c r="B61" t="s">
        <v>94</v>
      </c>
      <c r="C61" t="s">
        <v>105</v>
      </c>
      <c r="D61">
        <v>2</v>
      </c>
      <c r="E61">
        <v>15</v>
      </c>
      <c r="F61">
        <v>110</v>
      </c>
      <c r="G61">
        <v>45</v>
      </c>
      <c r="H61">
        <v>43</v>
      </c>
      <c r="I61">
        <v>45</v>
      </c>
      <c r="J61">
        <v>43</v>
      </c>
      <c r="K61" t="s">
        <v>114</v>
      </c>
      <c r="L61">
        <v>2</v>
      </c>
      <c r="M61">
        <v>1</v>
      </c>
      <c r="N61" t="s">
        <v>114</v>
      </c>
      <c r="Q61">
        <v>55</v>
      </c>
      <c r="R61" t="s">
        <v>51</v>
      </c>
    </row>
    <row r="62" spans="1:18" x14ac:dyDescent="0.25">
      <c r="A62">
        <v>12</v>
      </c>
      <c r="B62" t="s">
        <v>94</v>
      </c>
      <c r="C62" t="s">
        <v>105</v>
      </c>
      <c r="D62">
        <v>3</v>
      </c>
      <c r="E62">
        <v>20</v>
      </c>
      <c r="F62">
        <v>295</v>
      </c>
      <c r="G62">
        <v>130</v>
      </c>
      <c r="H62">
        <v>55</v>
      </c>
      <c r="I62">
        <v>130</v>
      </c>
      <c r="J62">
        <v>55</v>
      </c>
      <c r="K62" t="s">
        <v>114</v>
      </c>
      <c r="L62">
        <v>6</v>
      </c>
      <c r="M62">
        <v>2</v>
      </c>
      <c r="N62" t="s">
        <v>114</v>
      </c>
      <c r="Q62">
        <v>110</v>
      </c>
      <c r="R62" t="s">
        <v>55</v>
      </c>
    </row>
    <row r="63" spans="1:18" x14ac:dyDescent="0.25">
      <c r="A63">
        <v>12</v>
      </c>
      <c r="B63" t="s">
        <v>95</v>
      </c>
      <c r="C63" t="s">
        <v>105</v>
      </c>
      <c r="D63">
        <v>1</v>
      </c>
      <c r="E63">
        <v>80</v>
      </c>
      <c r="F63">
        <v>440</v>
      </c>
      <c r="G63">
        <v>120</v>
      </c>
      <c r="H63">
        <v>95</v>
      </c>
      <c r="I63">
        <v>120</v>
      </c>
      <c r="J63">
        <v>95</v>
      </c>
      <c r="K63" t="s">
        <v>114</v>
      </c>
      <c r="L63">
        <v>18</v>
      </c>
      <c r="M63">
        <v>5</v>
      </c>
      <c r="N63" t="s">
        <v>114</v>
      </c>
      <c r="Q63">
        <v>75</v>
      </c>
      <c r="R63" t="s">
        <v>65</v>
      </c>
    </row>
    <row r="64" spans="1:18" x14ac:dyDescent="0.25">
      <c r="A64">
        <v>12</v>
      </c>
      <c r="B64" t="s">
        <v>95</v>
      </c>
      <c r="C64" t="s">
        <v>105</v>
      </c>
      <c r="D64">
        <v>2</v>
      </c>
      <c r="E64">
        <v>45</v>
      </c>
      <c r="F64">
        <v>310</v>
      </c>
      <c r="G64">
        <v>80</v>
      </c>
      <c r="H64">
        <v>75</v>
      </c>
      <c r="I64">
        <v>80</v>
      </c>
      <c r="J64">
        <v>75</v>
      </c>
      <c r="K64" t="s">
        <v>114</v>
      </c>
      <c r="L64">
        <v>7</v>
      </c>
      <c r="M64">
        <v>2</v>
      </c>
      <c r="N64" t="s">
        <v>114</v>
      </c>
      <c r="Q64">
        <v>56</v>
      </c>
      <c r="R64" t="s">
        <v>56</v>
      </c>
    </row>
    <row r="65" spans="1:18" x14ac:dyDescent="0.25">
      <c r="A65">
        <v>12</v>
      </c>
      <c r="B65" t="s">
        <v>95</v>
      </c>
      <c r="C65" t="s">
        <v>105</v>
      </c>
      <c r="D65">
        <v>3</v>
      </c>
      <c r="E65">
        <v>45</v>
      </c>
      <c r="F65">
        <v>195</v>
      </c>
      <c r="G65">
        <v>50</v>
      </c>
      <c r="H65">
        <v>25</v>
      </c>
      <c r="I65">
        <v>50</v>
      </c>
      <c r="J65">
        <v>25</v>
      </c>
      <c r="K65" t="s">
        <v>114</v>
      </c>
      <c r="L65">
        <v>2</v>
      </c>
      <c r="M65">
        <v>1</v>
      </c>
      <c r="N65" t="s">
        <v>114</v>
      </c>
      <c r="Q65">
        <v>49</v>
      </c>
      <c r="R65" t="s">
        <v>56</v>
      </c>
    </row>
    <row r="66" spans="1:18" x14ac:dyDescent="0.25">
      <c r="A66">
        <v>15</v>
      </c>
      <c r="B66" t="s">
        <v>94</v>
      </c>
      <c r="C66" t="s">
        <v>104</v>
      </c>
      <c r="D66">
        <v>1</v>
      </c>
      <c r="E66">
        <v>90</v>
      </c>
      <c r="F66" t="s">
        <v>114</v>
      </c>
      <c r="G66">
        <v>140</v>
      </c>
      <c r="H66">
        <v>25</v>
      </c>
      <c r="I66">
        <v>40</v>
      </c>
      <c r="J66">
        <v>30</v>
      </c>
      <c r="K66">
        <v>28</v>
      </c>
      <c r="L66">
        <v>11</v>
      </c>
      <c r="M66">
        <v>4</v>
      </c>
      <c r="N66" t="s">
        <v>114</v>
      </c>
      <c r="Q66">
        <v>60</v>
      </c>
      <c r="R66" t="s">
        <v>18</v>
      </c>
    </row>
    <row r="67" spans="1:18" x14ac:dyDescent="0.25">
      <c r="A67">
        <v>15</v>
      </c>
      <c r="B67" t="s">
        <v>94</v>
      </c>
      <c r="C67" t="s">
        <v>104</v>
      </c>
      <c r="D67">
        <v>2</v>
      </c>
      <c r="E67">
        <v>80</v>
      </c>
      <c r="F67" t="s">
        <v>114</v>
      </c>
      <c r="G67">
        <v>35</v>
      </c>
      <c r="H67">
        <v>13</v>
      </c>
      <c r="I67">
        <v>35</v>
      </c>
      <c r="J67">
        <v>32</v>
      </c>
      <c r="K67">
        <v>15</v>
      </c>
      <c r="L67">
        <v>3</v>
      </c>
      <c r="M67">
        <v>2</v>
      </c>
      <c r="N67" t="s">
        <v>114</v>
      </c>
      <c r="Q67">
        <v>25</v>
      </c>
      <c r="R67" t="s">
        <v>18</v>
      </c>
    </row>
    <row r="68" spans="1:18" x14ac:dyDescent="0.25">
      <c r="A68">
        <v>15</v>
      </c>
      <c r="B68" t="s">
        <v>94</v>
      </c>
      <c r="C68" t="s">
        <v>104</v>
      </c>
      <c r="D68">
        <v>3</v>
      </c>
      <c r="E68">
        <v>45</v>
      </c>
      <c r="F68" t="s">
        <v>114</v>
      </c>
      <c r="G68">
        <v>18</v>
      </c>
      <c r="H68">
        <v>5</v>
      </c>
      <c r="I68">
        <v>35</v>
      </c>
      <c r="J68">
        <v>32</v>
      </c>
      <c r="K68">
        <v>23</v>
      </c>
      <c r="L68">
        <v>1</v>
      </c>
      <c r="M68">
        <v>1</v>
      </c>
      <c r="N68" t="s">
        <v>114</v>
      </c>
      <c r="Q68">
        <v>45</v>
      </c>
      <c r="R68" t="s">
        <v>18</v>
      </c>
    </row>
    <row r="69" spans="1:18" x14ac:dyDescent="0.25">
      <c r="A69">
        <v>15</v>
      </c>
      <c r="B69" t="s">
        <v>94</v>
      </c>
      <c r="C69" t="s">
        <v>104</v>
      </c>
      <c r="D69">
        <v>4</v>
      </c>
      <c r="E69">
        <v>75</v>
      </c>
      <c r="F69" t="s">
        <v>114</v>
      </c>
      <c r="G69">
        <v>45</v>
      </c>
      <c r="H69">
        <v>30</v>
      </c>
      <c r="I69">
        <v>45</v>
      </c>
      <c r="J69">
        <v>25</v>
      </c>
      <c r="K69">
        <v>25</v>
      </c>
      <c r="L69">
        <v>10</v>
      </c>
      <c r="M69">
        <v>6</v>
      </c>
      <c r="N69" t="s">
        <v>114</v>
      </c>
      <c r="Q69">
        <v>70</v>
      </c>
      <c r="R69" t="s">
        <v>163</v>
      </c>
    </row>
    <row r="70" spans="1:18" x14ac:dyDescent="0.25">
      <c r="A70">
        <v>15</v>
      </c>
      <c r="B70" t="s">
        <v>95</v>
      </c>
      <c r="C70" t="s">
        <v>104</v>
      </c>
      <c r="D70">
        <v>1</v>
      </c>
      <c r="E70">
        <v>110</v>
      </c>
      <c r="F70" t="s">
        <v>114</v>
      </c>
      <c r="G70">
        <v>60</v>
      </c>
      <c r="H70">
        <v>10</v>
      </c>
      <c r="I70">
        <v>35</v>
      </c>
      <c r="J70">
        <v>60</v>
      </c>
      <c r="K70">
        <v>50</v>
      </c>
      <c r="L70">
        <v>7</v>
      </c>
      <c r="M70">
        <v>6</v>
      </c>
      <c r="N70" t="s">
        <v>114</v>
      </c>
      <c r="Q70">
        <v>50</v>
      </c>
      <c r="R70" t="s">
        <v>164</v>
      </c>
    </row>
    <row r="71" spans="1:18" x14ac:dyDescent="0.25">
      <c r="A71">
        <v>15</v>
      </c>
      <c r="B71" t="s">
        <v>95</v>
      </c>
      <c r="C71" t="s">
        <v>104</v>
      </c>
      <c r="D71">
        <v>2</v>
      </c>
      <c r="E71">
        <v>100</v>
      </c>
      <c r="F71" t="s">
        <v>114</v>
      </c>
      <c r="G71">
        <v>40</v>
      </c>
      <c r="H71">
        <v>15</v>
      </c>
      <c r="I71">
        <v>33</v>
      </c>
      <c r="J71">
        <v>32</v>
      </c>
      <c r="K71">
        <v>25</v>
      </c>
      <c r="L71">
        <v>9</v>
      </c>
      <c r="M71">
        <v>6</v>
      </c>
      <c r="N71" t="s">
        <v>114</v>
      </c>
      <c r="Q71">
        <v>34</v>
      </c>
      <c r="R71" t="s">
        <v>164</v>
      </c>
    </row>
    <row r="72" spans="1:18" x14ac:dyDescent="0.25">
      <c r="A72">
        <v>15</v>
      </c>
      <c r="B72" t="s">
        <v>95</v>
      </c>
      <c r="C72" t="s">
        <v>104</v>
      </c>
      <c r="D72">
        <v>3</v>
      </c>
      <c r="E72">
        <v>155</v>
      </c>
      <c r="F72" t="s">
        <v>114</v>
      </c>
      <c r="G72">
        <v>55</v>
      </c>
      <c r="H72">
        <v>20</v>
      </c>
      <c r="I72">
        <v>40</v>
      </c>
      <c r="J72">
        <v>40</v>
      </c>
      <c r="K72">
        <v>35</v>
      </c>
      <c r="L72">
        <v>7</v>
      </c>
      <c r="M72">
        <v>5</v>
      </c>
      <c r="N72" t="s">
        <v>114</v>
      </c>
      <c r="Q72" t="s">
        <v>114</v>
      </c>
      <c r="R72" t="s">
        <v>18</v>
      </c>
    </row>
    <row r="73" spans="1:18" x14ac:dyDescent="0.25">
      <c r="A73">
        <v>15</v>
      </c>
      <c r="B73" t="s">
        <v>95</v>
      </c>
      <c r="C73" t="s">
        <v>104</v>
      </c>
      <c r="D73">
        <v>4</v>
      </c>
      <c r="E73">
        <v>125</v>
      </c>
      <c r="F73" t="s">
        <v>114</v>
      </c>
      <c r="G73">
        <v>40</v>
      </c>
      <c r="H73">
        <v>20</v>
      </c>
      <c r="I73">
        <v>75</v>
      </c>
      <c r="J73">
        <v>70</v>
      </c>
      <c r="K73">
        <v>40</v>
      </c>
      <c r="L73">
        <v>6</v>
      </c>
      <c r="M73">
        <v>5</v>
      </c>
      <c r="N73" t="s">
        <v>114</v>
      </c>
      <c r="Q73">
        <v>28</v>
      </c>
      <c r="R73" t="s">
        <v>18</v>
      </c>
    </row>
    <row r="74" spans="1:18" x14ac:dyDescent="0.25">
      <c r="A74">
        <v>15</v>
      </c>
      <c r="B74" t="s">
        <v>95</v>
      </c>
      <c r="C74" t="s">
        <v>104</v>
      </c>
      <c r="D74">
        <v>5</v>
      </c>
      <c r="E74">
        <v>120</v>
      </c>
      <c r="F74" t="s">
        <v>114</v>
      </c>
      <c r="G74">
        <v>45</v>
      </c>
      <c r="H74">
        <v>25</v>
      </c>
      <c r="I74">
        <v>50</v>
      </c>
      <c r="J74">
        <v>35</v>
      </c>
      <c r="K74">
        <v>30</v>
      </c>
      <c r="L74">
        <v>6</v>
      </c>
      <c r="M74">
        <v>4</v>
      </c>
      <c r="N74" t="s">
        <v>114</v>
      </c>
      <c r="Q74" t="s">
        <v>114</v>
      </c>
      <c r="R74" t="s">
        <v>18</v>
      </c>
    </row>
    <row r="75" spans="1:18" x14ac:dyDescent="0.25">
      <c r="A75">
        <v>15</v>
      </c>
      <c r="B75" t="s">
        <v>94</v>
      </c>
      <c r="C75" t="s">
        <v>111</v>
      </c>
      <c r="D75">
        <v>1</v>
      </c>
      <c r="E75">
        <v>220</v>
      </c>
      <c r="F75" t="s">
        <v>114</v>
      </c>
      <c r="G75">
        <v>110</v>
      </c>
      <c r="H75">
        <v>25</v>
      </c>
      <c r="I75">
        <v>45</v>
      </c>
      <c r="J75">
        <v>43</v>
      </c>
      <c r="K75">
        <v>25</v>
      </c>
      <c r="L75">
        <v>14</v>
      </c>
      <c r="M75">
        <v>3</v>
      </c>
      <c r="N75" t="s">
        <v>114</v>
      </c>
      <c r="Q75">
        <v>50</v>
      </c>
      <c r="R75" t="s">
        <v>28</v>
      </c>
    </row>
    <row r="76" spans="1:18" x14ac:dyDescent="0.25">
      <c r="A76">
        <v>15</v>
      </c>
      <c r="B76" t="s">
        <v>94</v>
      </c>
      <c r="C76" t="s">
        <v>111</v>
      </c>
      <c r="D76">
        <v>2</v>
      </c>
      <c r="E76">
        <v>215</v>
      </c>
      <c r="F76" t="s">
        <v>114</v>
      </c>
      <c r="G76">
        <v>60</v>
      </c>
      <c r="H76">
        <v>10</v>
      </c>
      <c r="I76">
        <v>60</v>
      </c>
      <c r="J76">
        <v>60</v>
      </c>
      <c r="K76">
        <v>58</v>
      </c>
      <c r="L76">
        <v>8</v>
      </c>
      <c r="M76">
        <v>5</v>
      </c>
      <c r="N76" t="s">
        <v>114</v>
      </c>
      <c r="Q76">
        <v>52</v>
      </c>
      <c r="R76" t="s">
        <v>22</v>
      </c>
    </row>
    <row r="77" spans="1:18" x14ac:dyDescent="0.25">
      <c r="A77">
        <v>15</v>
      </c>
      <c r="B77" t="s">
        <v>94</v>
      </c>
      <c r="C77" t="s">
        <v>111</v>
      </c>
      <c r="D77">
        <v>3</v>
      </c>
      <c r="E77">
        <v>370</v>
      </c>
      <c r="F77" t="s">
        <v>114</v>
      </c>
      <c r="G77">
        <v>110</v>
      </c>
      <c r="H77">
        <v>90</v>
      </c>
      <c r="I77">
        <v>95</v>
      </c>
      <c r="J77">
        <v>90</v>
      </c>
      <c r="K77">
        <v>85</v>
      </c>
      <c r="L77">
        <v>28</v>
      </c>
      <c r="M77">
        <v>16</v>
      </c>
      <c r="N77" t="s">
        <v>114</v>
      </c>
      <c r="Q77">
        <v>65</v>
      </c>
      <c r="R77" t="s">
        <v>30</v>
      </c>
    </row>
    <row r="78" spans="1:18" x14ac:dyDescent="0.25">
      <c r="A78">
        <v>15</v>
      </c>
      <c r="B78" t="s">
        <v>95</v>
      </c>
      <c r="C78" t="s">
        <v>111</v>
      </c>
      <c r="D78">
        <v>1</v>
      </c>
      <c r="E78">
        <v>350</v>
      </c>
      <c r="F78" t="s">
        <v>114</v>
      </c>
      <c r="G78">
        <v>120</v>
      </c>
      <c r="H78">
        <v>100</v>
      </c>
      <c r="I78">
        <v>90</v>
      </c>
      <c r="J78">
        <v>90</v>
      </c>
      <c r="K78">
        <v>80</v>
      </c>
      <c r="L78">
        <v>56</v>
      </c>
      <c r="M78">
        <v>39</v>
      </c>
      <c r="N78" t="s">
        <v>114</v>
      </c>
      <c r="Q78">
        <v>65</v>
      </c>
      <c r="R78" t="s">
        <v>30</v>
      </c>
    </row>
    <row r="79" spans="1:18" x14ac:dyDescent="0.25">
      <c r="A79">
        <v>15</v>
      </c>
      <c r="B79" t="s">
        <v>95</v>
      </c>
      <c r="C79" t="s">
        <v>111</v>
      </c>
      <c r="D79">
        <v>2</v>
      </c>
      <c r="E79">
        <v>310</v>
      </c>
      <c r="F79" t="s">
        <v>114</v>
      </c>
      <c r="G79">
        <v>110</v>
      </c>
      <c r="H79">
        <v>110</v>
      </c>
      <c r="I79">
        <v>70</v>
      </c>
      <c r="J79">
        <v>65</v>
      </c>
      <c r="K79">
        <v>65</v>
      </c>
      <c r="L79">
        <v>26</v>
      </c>
      <c r="M79">
        <v>13</v>
      </c>
      <c r="N79" t="s">
        <v>114</v>
      </c>
      <c r="Q79">
        <v>63</v>
      </c>
      <c r="R79" t="s">
        <v>165</v>
      </c>
    </row>
    <row r="80" spans="1:18" x14ac:dyDescent="0.25">
      <c r="A80">
        <v>15</v>
      </c>
      <c r="B80" t="s">
        <v>95</v>
      </c>
      <c r="C80" t="s">
        <v>111</v>
      </c>
      <c r="D80">
        <v>3</v>
      </c>
      <c r="E80">
        <v>320</v>
      </c>
      <c r="F80" t="s">
        <v>114</v>
      </c>
      <c r="G80">
        <v>70</v>
      </c>
      <c r="H80">
        <v>70</v>
      </c>
      <c r="I80">
        <v>90</v>
      </c>
      <c r="J80">
        <v>80</v>
      </c>
      <c r="K80">
        <v>65</v>
      </c>
      <c r="L80">
        <v>36</v>
      </c>
      <c r="M80">
        <v>25</v>
      </c>
      <c r="N80" t="s">
        <v>114</v>
      </c>
      <c r="Q80">
        <v>50</v>
      </c>
      <c r="R80" t="s">
        <v>166</v>
      </c>
    </row>
    <row r="81" spans="1:18" x14ac:dyDescent="0.25">
      <c r="A81">
        <v>15</v>
      </c>
      <c r="B81" t="s">
        <v>94</v>
      </c>
      <c r="C81" t="s">
        <v>162</v>
      </c>
      <c r="D81">
        <v>1</v>
      </c>
      <c r="E81">
        <v>90</v>
      </c>
      <c r="F81" t="s">
        <v>114</v>
      </c>
      <c r="G81">
        <v>140</v>
      </c>
      <c r="H81">
        <v>100</v>
      </c>
      <c r="I81">
        <v>20</v>
      </c>
      <c r="J81">
        <v>18</v>
      </c>
      <c r="K81">
        <v>15</v>
      </c>
      <c r="L81">
        <v>14</v>
      </c>
      <c r="M81">
        <v>1</v>
      </c>
      <c r="N81">
        <v>5</v>
      </c>
      <c r="Q81">
        <v>120</v>
      </c>
      <c r="R81" t="s">
        <v>22</v>
      </c>
    </row>
    <row r="82" spans="1:18" x14ac:dyDescent="0.25">
      <c r="A82">
        <v>15</v>
      </c>
      <c r="B82" t="s">
        <v>94</v>
      </c>
      <c r="C82" t="s">
        <v>110</v>
      </c>
      <c r="D82">
        <v>1</v>
      </c>
      <c r="E82">
        <v>40</v>
      </c>
      <c r="F82" t="s">
        <v>114</v>
      </c>
      <c r="G82">
        <v>45</v>
      </c>
      <c r="H82">
        <v>0</v>
      </c>
      <c r="I82">
        <v>10</v>
      </c>
      <c r="J82">
        <v>10</v>
      </c>
      <c r="K82">
        <v>8</v>
      </c>
      <c r="L82">
        <v>4</v>
      </c>
      <c r="M82">
        <v>1</v>
      </c>
      <c r="N82">
        <v>3</v>
      </c>
      <c r="Q82">
        <v>50</v>
      </c>
      <c r="R82" t="s">
        <v>14</v>
      </c>
    </row>
    <row r="83" spans="1:18" x14ac:dyDescent="0.25">
      <c r="A83">
        <v>15</v>
      </c>
      <c r="B83" t="s">
        <v>94</v>
      </c>
      <c r="C83" t="s">
        <v>110</v>
      </c>
      <c r="D83">
        <v>2</v>
      </c>
      <c r="E83">
        <v>30</v>
      </c>
      <c r="F83" t="s">
        <v>114</v>
      </c>
      <c r="G83">
        <v>90</v>
      </c>
      <c r="H83">
        <v>30</v>
      </c>
      <c r="I83">
        <v>11</v>
      </c>
      <c r="J83">
        <v>10</v>
      </c>
      <c r="K83">
        <v>9</v>
      </c>
      <c r="L83">
        <v>5</v>
      </c>
      <c r="M83">
        <v>1</v>
      </c>
      <c r="N83">
        <v>3</v>
      </c>
      <c r="Q83">
        <v>110</v>
      </c>
      <c r="R83" t="s">
        <v>20</v>
      </c>
    </row>
    <row r="84" spans="1:18" x14ac:dyDescent="0.25">
      <c r="A84">
        <v>15</v>
      </c>
      <c r="B84" t="s">
        <v>94</v>
      </c>
      <c r="C84" t="s">
        <v>110</v>
      </c>
      <c r="D84">
        <v>3</v>
      </c>
      <c r="E84">
        <v>40</v>
      </c>
      <c r="F84" t="s">
        <v>114</v>
      </c>
      <c r="G84">
        <v>60</v>
      </c>
      <c r="H84">
        <v>60</v>
      </c>
      <c r="I84">
        <v>12</v>
      </c>
      <c r="J84">
        <v>10</v>
      </c>
      <c r="K84">
        <v>10</v>
      </c>
      <c r="L84">
        <v>7</v>
      </c>
      <c r="M84">
        <v>1</v>
      </c>
      <c r="N84">
        <v>4</v>
      </c>
      <c r="Q84">
        <v>100</v>
      </c>
      <c r="R84" t="s">
        <v>167</v>
      </c>
    </row>
    <row r="85" spans="1:18" x14ac:dyDescent="0.25">
      <c r="A85">
        <v>15</v>
      </c>
      <c r="B85" t="s">
        <v>95</v>
      </c>
      <c r="C85" t="s">
        <v>110</v>
      </c>
      <c r="D85">
        <v>1</v>
      </c>
      <c r="E85">
        <v>120</v>
      </c>
      <c r="F85" t="s">
        <v>114</v>
      </c>
      <c r="G85">
        <v>20</v>
      </c>
      <c r="H85">
        <v>0</v>
      </c>
      <c r="I85">
        <v>15</v>
      </c>
      <c r="J85">
        <v>13</v>
      </c>
      <c r="K85">
        <v>10</v>
      </c>
      <c r="L85">
        <v>4</v>
      </c>
      <c r="M85">
        <v>1</v>
      </c>
      <c r="N85">
        <v>1</v>
      </c>
      <c r="Q85">
        <v>40</v>
      </c>
      <c r="R85" t="s">
        <v>36</v>
      </c>
    </row>
    <row r="86" spans="1:18" x14ac:dyDescent="0.25">
      <c r="A86">
        <v>15</v>
      </c>
      <c r="B86" t="s">
        <v>95</v>
      </c>
      <c r="C86" t="s">
        <v>110</v>
      </c>
      <c r="D86">
        <v>2</v>
      </c>
      <c r="E86">
        <v>190</v>
      </c>
      <c r="F86" t="s">
        <v>114</v>
      </c>
      <c r="G86">
        <v>100</v>
      </c>
      <c r="H86">
        <v>20</v>
      </c>
      <c r="I86">
        <v>17</v>
      </c>
      <c r="J86">
        <v>15</v>
      </c>
      <c r="K86">
        <v>15</v>
      </c>
      <c r="L86">
        <v>19</v>
      </c>
      <c r="M86">
        <v>1</v>
      </c>
      <c r="N86">
        <v>4</v>
      </c>
      <c r="Q86">
        <v>50</v>
      </c>
      <c r="R86" t="s">
        <v>36</v>
      </c>
    </row>
    <row r="87" spans="1:18" x14ac:dyDescent="0.25">
      <c r="A87">
        <v>15</v>
      </c>
      <c r="B87" t="s">
        <v>95</v>
      </c>
      <c r="C87" t="s">
        <v>110</v>
      </c>
      <c r="D87">
        <v>3</v>
      </c>
      <c r="E87">
        <v>200</v>
      </c>
      <c r="F87" t="s">
        <v>114</v>
      </c>
      <c r="G87">
        <v>190</v>
      </c>
      <c r="H87">
        <v>10</v>
      </c>
      <c r="I87">
        <v>13</v>
      </c>
      <c r="J87">
        <v>12</v>
      </c>
      <c r="K87">
        <v>12</v>
      </c>
      <c r="L87">
        <v>18</v>
      </c>
      <c r="M87">
        <v>1</v>
      </c>
      <c r="N87">
        <v>4</v>
      </c>
      <c r="Q87">
        <v>110</v>
      </c>
      <c r="R87" t="s">
        <v>36</v>
      </c>
    </row>
    <row r="88" spans="1:18" x14ac:dyDescent="0.25">
      <c r="A88">
        <v>15</v>
      </c>
      <c r="B88" t="s">
        <v>95</v>
      </c>
      <c r="C88" t="s">
        <v>162</v>
      </c>
      <c r="D88">
        <v>1</v>
      </c>
      <c r="E88">
        <v>130</v>
      </c>
      <c r="F88" t="s">
        <v>114</v>
      </c>
      <c r="G88">
        <v>20</v>
      </c>
      <c r="H88">
        <v>10</v>
      </c>
      <c r="I88">
        <v>30</v>
      </c>
      <c r="J88">
        <v>23</v>
      </c>
      <c r="K88">
        <v>20</v>
      </c>
      <c r="L88">
        <v>3</v>
      </c>
      <c r="M88">
        <v>1</v>
      </c>
      <c r="N88">
        <v>1</v>
      </c>
      <c r="Q88">
        <v>40</v>
      </c>
      <c r="R88" t="s">
        <v>36</v>
      </c>
    </row>
    <row r="89" spans="1:18" x14ac:dyDescent="0.25">
      <c r="A89">
        <v>15</v>
      </c>
      <c r="B89" t="s">
        <v>94</v>
      </c>
      <c r="C89" t="s">
        <v>105</v>
      </c>
      <c r="D89">
        <v>1</v>
      </c>
      <c r="E89">
        <v>20</v>
      </c>
      <c r="F89">
        <v>150</v>
      </c>
      <c r="G89">
        <v>85</v>
      </c>
      <c r="H89">
        <v>75</v>
      </c>
      <c r="I89">
        <v>85</v>
      </c>
      <c r="J89">
        <v>75</v>
      </c>
      <c r="K89" t="s">
        <v>114</v>
      </c>
      <c r="L89">
        <v>2</v>
      </c>
      <c r="M89">
        <v>2</v>
      </c>
      <c r="N89" t="s">
        <v>114</v>
      </c>
      <c r="Q89">
        <v>80</v>
      </c>
      <c r="R89" t="s">
        <v>24</v>
      </c>
    </row>
    <row r="90" spans="1:18" x14ac:dyDescent="0.25">
      <c r="A90">
        <v>15</v>
      </c>
      <c r="B90" t="s">
        <v>94</v>
      </c>
      <c r="C90" t="s">
        <v>105</v>
      </c>
      <c r="D90">
        <v>2</v>
      </c>
      <c r="E90">
        <v>20</v>
      </c>
      <c r="F90">
        <v>155</v>
      </c>
      <c r="G90">
        <v>60</v>
      </c>
      <c r="H90">
        <v>55</v>
      </c>
      <c r="I90">
        <v>60</v>
      </c>
      <c r="J90">
        <v>55</v>
      </c>
      <c r="K90" t="s">
        <v>114</v>
      </c>
      <c r="L90">
        <v>2</v>
      </c>
      <c r="M90">
        <v>1</v>
      </c>
      <c r="N90" t="s">
        <v>114</v>
      </c>
      <c r="Q90">
        <v>80</v>
      </c>
      <c r="R90" t="s">
        <v>168</v>
      </c>
    </row>
    <row r="91" spans="1:18" x14ac:dyDescent="0.25">
      <c r="A91">
        <v>15</v>
      </c>
      <c r="B91" t="s">
        <v>94</v>
      </c>
      <c r="C91" t="s">
        <v>105</v>
      </c>
      <c r="D91">
        <v>3</v>
      </c>
      <c r="E91">
        <v>10</v>
      </c>
      <c r="F91">
        <v>160</v>
      </c>
      <c r="G91">
        <v>70</v>
      </c>
      <c r="H91">
        <v>53</v>
      </c>
      <c r="I91">
        <v>70</v>
      </c>
      <c r="J91">
        <v>53</v>
      </c>
      <c r="K91" t="s">
        <v>114</v>
      </c>
      <c r="L91">
        <v>2</v>
      </c>
      <c r="M91">
        <v>1</v>
      </c>
      <c r="N91" t="s">
        <v>114</v>
      </c>
      <c r="Q91">
        <v>70</v>
      </c>
      <c r="R91" t="s">
        <v>10</v>
      </c>
    </row>
    <row r="92" spans="1:18" x14ac:dyDescent="0.25">
      <c r="A92">
        <v>15</v>
      </c>
      <c r="B92" t="s">
        <v>95</v>
      </c>
      <c r="C92" t="s">
        <v>105</v>
      </c>
      <c r="D92">
        <v>1</v>
      </c>
      <c r="E92">
        <v>70</v>
      </c>
      <c r="F92">
        <v>450</v>
      </c>
      <c r="G92">
        <v>100</v>
      </c>
      <c r="H92">
        <v>95</v>
      </c>
      <c r="I92">
        <v>100</v>
      </c>
      <c r="J92">
        <v>95</v>
      </c>
      <c r="K92" t="s">
        <v>114</v>
      </c>
      <c r="L92">
        <v>17</v>
      </c>
      <c r="M92">
        <v>7</v>
      </c>
      <c r="N92" t="s">
        <v>114</v>
      </c>
      <c r="Q92">
        <v>70</v>
      </c>
      <c r="R92" t="s">
        <v>168</v>
      </c>
    </row>
    <row r="93" spans="1:18" x14ac:dyDescent="0.25">
      <c r="A93">
        <v>15</v>
      </c>
      <c r="B93" t="s">
        <v>95</v>
      </c>
      <c r="C93" t="s">
        <v>105</v>
      </c>
      <c r="D93">
        <v>2</v>
      </c>
      <c r="E93">
        <v>40</v>
      </c>
      <c r="F93">
        <v>420</v>
      </c>
      <c r="G93">
        <v>90</v>
      </c>
      <c r="H93">
        <v>80</v>
      </c>
      <c r="I93">
        <v>90</v>
      </c>
      <c r="J93">
        <v>80</v>
      </c>
      <c r="K93" t="s">
        <v>114</v>
      </c>
      <c r="L93">
        <v>5</v>
      </c>
      <c r="M93">
        <v>2</v>
      </c>
      <c r="N93" t="s">
        <v>114</v>
      </c>
      <c r="Q93">
        <v>60</v>
      </c>
      <c r="R93" t="s">
        <v>24</v>
      </c>
    </row>
    <row r="94" spans="1:18" x14ac:dyDescent="0.25">
      <c r="A94">
        <v>15</v>
      </c>
      <c r="B94" t="s">
        <v>95</v>
      </c>
      <c r="C94" t="s">
        <v>105</v>
      </c>
      <c r="D94">
        <v>3</v>
      </c>
      <c r="E94">
        <v>10</v>
      </c>
      <c r="F94">
        <v>180</v>
      </c>
      <c r="G94">
        <v>60</v>
      </c>
      <c r="H94">
        <v>55</v>
      </c>
      <c r="I94">
        <v>60</v>
      </c>
      <c r="J94">
        <v>55</v>
      </c>
      <c r="K94" t="s">
        <v>114</v>
      </c>
      <c r="L94">
        <v>2</v>
      </c>
      <c r="M94">
        <v>1</v>
      </c>
      <c r="N94" t="s">
        <v>114</v>
      </c>
      <c r="Q94">
        <v>45</v>
      </c>
      <c r="R94" t="s">
        <v>24</v>
      </c>
    </row>
    <row r="95" spans="1:18" x14ac:dyDescent="0.25">
      <c r="A95">
        <v>2</v>
      </c>
      <c r="B95" t="s">
        <v>94</v>
      </c>
      <c r="C95" t="s">
        <v>104</v>
      </c>
      <c r="D95">
        <v>1</v>
      </c>
      <c r="E95">
        <v>115</v>
      </c>
      <c r="F95" t="s">
        <v>114</v>
      </c>
      <c r="G95">
        <v>110</v>
      </c>
      <c r="H95">
        <v>40</v>
      </c>
      <c r="I95">
        <v>45</v>
      </c>
      <c r="J95">
        <v>35</v>
      </c>
      <c r="K95">
        <v>42</v>
      </c>
      <c r="L95">
        <v>13</v>
      </c>
      <c r="M95">
        <v>8</v>
      </c>
      <c r="N95" t="s">
        <v>114</v>
      </c>
      <c r="Q95">
        <v>50</v>
      </c>
      <c r="R95" t="s">
        <v>40</v>
      </c>
    </row>
    <row r="96" spans="1:18" x14ac:dyDescent="0.25">
      <c r="A96">
        <v>2</v>
      </c>
      <c r="B96" t="s">
        <v>94</v>
      </c>
      <c r="C96" t="s">
        <v>104</v>
      </c>
      <c r="D96">
        <v>2</v>
      </c>
      <c r="E96">
        <v>90</v>
      </c>
      <c r="F96" t="s">
        <v>114</v>
      </c>
      <c r="G96">
        <v>60</v>
      </c>
      <c r="H96">
        <v>25</v>
      </c>
      <c r="I96">
        <v>47</v>
      </c>
      <c r="J96">
        <v>27</v>
      </c>
      <c r="K96">
        <v>27</v>
      </c>
      <c r="L96">
        <v>8</v>
      </c>
      <c r="M96">
        <v>6</v>
      </c>
      <c r="N96" t="s">
        <v>114</v>
      </c>
      <c r="Q96">
        <v>42</v>
      </c>
      <c r="R96" t="s">
        <v>40</v>
      </c>
    </row>
    <row r="97" spans="1:18" x14ac:dyDescent="0.25">
      <c r="A97">
        <v>2</v>
      </c>
      <c r="B97" t="s">
        <v>94</v>
      </c>
      <c r="C97" t="s">
        <v>104</v>
      </c>
      <c r="D97">
        <v>3</v>
      </c>
      <c r="E97">
        <v>110</v>
      </c>
      <c r="F97" t="s">
        <v>114</v>
      </c>
      <c r="G97">
        <v>110</v>
      </c>
      <c r="H97">
        <v>40</v>
      </c>
      <c r="I97">
        <v>45</v>
      </c>
      <c r="J97">
        <v>50</v>
      </c>
      <c r="K97">
        <v>37</v>
      </c>
      <c r="L97">
        <v>20</v>
      </c>
      <c r="M97">
        <v>13</v>
      </c>
      <c r="N97" t="s">
        <v>114</v>
      </c>
      <c r="Q97">
        <v>50</v>
      </c>
      <c r="R97" t="s">
        <v>40</v>
      </c>
    </row>
    <row r="98" spans="1:18" x14ac:dyDescent="0.25">
      <c r="A98">
        <v>2</v>
      </c>
      <c r="B98" t="s">
        <v>95</v>
      </c>
      <c r="C98" t="s">
        <v>104</v>
      </c>
      <c r="D98">
        <v>1</v>
      </c>
      <c r="E98">
        <v>90</v>
      </c>
      <c r="F98" t="s">
        <v>114</v>
      </c>
      <c r="G98">
        <v>15</v>
      </c>
      <c r="H98">
        <v>10</v>
      </c>
      <c r="I98">
        <v>20</v>
      </c>
      <c r="J98">
        <v>17</v>
      </c>
      <c r="K98">
        <v>16</v>
      </c>
      <c r="L98">
        <v>3</v>
      </c>
      <c r="M98">
        <v>2</v>
      </c>
      <c r="N98" t="s">
        <v>114</v>
      </c>
      <c r="Q98">
        <v>36</v>
      </c>
      <c r="R98" t="s">
        <v>40</v>
      </c>
    </row>
    <row r="99" spans="1:18" x14ac:dyDescent="0.25">
      <c r="A99">
        <v>2</v>
      </c>
      <c r="B99" t="s">
        <v>95</v>
      </c>
      <c r="C99" t="s">
        <v>104</v>
      </c>
      <c r="D99">
        <v>2</v>
      </c>
      <c r="E99">
        <v>70</v>
      </c>
      <c r="F99" t="s">
        <v>114</v>
      </c>
      <c r="G99">
        <v>10</v>
      </c>
      <c r="H99">
        <v>10</v>
      </c>
      <c r="I99">
        <v>25</v>
      </c>
      <c r="J99">
        <v>22</v>
      </c>
      <c r="K99">
        <v>22</v>
      </c>
      <c r="L99">
        <v>2</v>
      </c>
      <c r="M99">
        <v>1</v>
      </c>
      <c r="N99" t="s">
        <v>114</v>
      </c>
      <c r="Q99">
        <v>30</v>
      </c>
      <c r="R99" t="s">
        <v>40</v>
      </c>
    </row>
    <row r="100" spans="1:18" x14ac:dyDescent="0.25">
      <c r="A100">
        <v>2</v>
      </c>
      <c r="B100" t="s">
        <v>95</v>
      </c>
      <c r="C100" t="s">
        <v>104</v>
      </c>
      <c r="D100">
        <v>3</v>
      </c>
      <c r="E100">
        <v>120</v>
      </c>
      <c r="F100" t="s">
        <v>114</v>
      </c>
      <c r="G100">
        <v>30</v>
      </c>
      <c r="H100">
        <v>20</v>
      </c>
      <c r="I100">
        <v>30</v>
      </c>
      <c r="J100">
        <v>30</v>
      </c>
      <c r="K100">
        <v>30</v>
      </c>
      <c r="L100">
        <v>10</v>
      </c>
      <c r="M100">
        <v>7</v>
      </c>
      <c r="N100" t="s">
        <v>114</v>
      </c>
      <c r="Q100">
        <v>35</v>
      </c>
      <c r="R100" t="s">
        <v>40</v>
      </c>
    </row>
    <row r="101" spans="1:18" x14ac:dyDescent="0.25">
      <c r="A101">
        <v>2</v>
      </c>
      <c r="B101" t="s">
        <v>95</v>
      </c>
      <c r="C101" t="s">
        <v>111</v>
      </c>
      <c r="D101">
        <v>1</v>
      </c>
      <c r="E101">
        <v>250</v>
      </c>
      <c r="F101" t="s">
        <v>114</v>
      </c>
      <c r="G101">
        <v>40</v>
      </c>
      <c r="H101">
        <v>0</v>
      </c>
      <c r="I101">
        <v>80</v>
      </c>
      <c r="J101">
        <v>75</v>
      </c>
      <c r="K101">
        <v>70</v>
      </c>
      <c r="L101">
        <v>5</v>
      </c>
      <c r="M101">
        <v>4</v>
      </c>
      <c r="N101" t="s">
        <v>114</v>
      </c>
      <c r="Q101">
        <v>45</v>
      </c>
      <c r="R101" t="s">
        <v>169</v>
      </c>
    </row>
    <row r="102" spans="1:18" x14ac:dyDescent="0.25">
      <c r="A102">
        <v>2</v>
      </c>
      <c r="B102" t="s">
        <v>95</v>
      </c>
      <c r="C102" t="s">
        <v>111</v>
      </c>
      <c r="D102">
        <v>2</v>
      </c>
      <c r="E102">
        <v>400</v>
      </c>
      <c r="F102" t="s">
        <v>114</v>
      </c>
      <c r="G102">
        <v>140</v>
      </c>
      <c r="H102">
        <v>90</v>
      </c>
      <c r="I102">
        <v>90</v>
      </c>
      <c r="J102">
        <v>85</v>
      </c>
      <c r="K102">
        <v>85</v>
      </c>
      <c r="L102">
        <v>68</v>
      </c>
      <c r="M102">
        <v>32</v>
      </c>
      <c r="N102" t="s">
        <v>114</v>
      </c>
      <c r="Q102">
        <v>60</v>
      </c>
      <c r="R102" t="s">
        <v>170</v>
      </c>
    </row>
    <row r="103" spans="1:18" x14ac:dyDescent="0.25">
      <c r="A103">
        <v>2</v>
      </c>
      <c r="B103" t="s">
        <v>95</v>
      </c>
      <c r="C103" t="s">
        <v>111</v>
      </c>
      <c r="D103">
        <v>3</v>
      </c>
      <c r="E103">
        <v>400</v>
      </c>
      <c r="F103" t="s">
        <v>114</v>
      </c>
      <c r="G103">
        <v>200</v>
      </c>
      <c r="H103">
        <v>80</v>
      </c>
      <c r="I103">
        <v>85</v>
      </c>
      <c r="J103">
        <v>70</v>
      </c>
      <c r="K103">
        <v>60</v>
      </c>
      <c r="L103">
        <v>21</v>
      </c>
      <c r="M103">
        <v>13</v>
      </c>
      <c r="N103" t="s">
        <v>114</v>
      </c>
      <c r="Q103">
        <v>55</v>
      </c>
      <c r="R103" t="s">
        <v>171</v>
      </c>
    </row>
    <row r="104" spans="1:18" x14ac:dyDescent="0.25">
      <c r="A104">
        <v>2</v>
      </c>
      <c r="B104" t="s">
        <v>94</v>
      </c>
      <c r="C104" t="s">
        <v>111</v>
      </c>
      <c r="D104">
        <v>1</v>
      </c>
      <c r="E104">
        <v>270</v>
      </c>
      <c r="F104" t="s">
        <v>114</v>
      </c>
      <c r="G104">
        <v>60</v>
      </c>
      <c r="H104">
        <v>10</v>
      </c>
      <c r="I104">
        <v>75</v>
      </c>
      <c r="J104">
        <v>60</v>
      </c>
      <c r="K104">
        <v>55</v>
      </c>
      <c r="L104">
        <v>7</v>
      </c>
      <c r="M104">
        <v>5</v>
      </c>
      <c r="N104" t="s">
        <v>114</v>
      </c>
      <c r="Q104" t="s">
        <v>114</v>
      </c>
      <c r="R104" t="s">
        <v>40</v>
      </c>
    </row>
    <row r="105" spans="1:18" x14ac:dyDescent="0.25">
      <c r="A105">
        <v>2</v>
      </c>
      <c r="B105" t="s">
        <v>94</v>
      </c>
      <c r="C105" t="s">
        <v>111</v>
      </c>
      <c r="D105">
        <v>2</v>
      </c>
      <c r="E105">
        <v>150</v>
      </c>
      <c r="F105" t="s">
        <v>114</v>
      </c>
      <c r="G105">
        <v>40</v>
      </c>
      <c r="H105">
        <v>10</v>
      </c>
      <c r="I105">
        <v>40</v>
      </c>
      <c r="J105">
        <v>45</v>
      </c>
      <c r="K105">
        <v>45</v>
      </c>
      <c r="L105">
        <v>5</v>
      </c>
      <c r="M105">
        <v>3</v>
      </c>
      <c r="N105" t="s">
        <v>114</v>
      </c>
      <c r="Q105">
        <v>35</v>
      </c>
      <c r="R105" t="s">
        <v>172</v>
      </c>
    </row>
    <row r="106" spans="1:18" x14ac:dyDescent="0.25">
      <c r="A106">
        <v>2</v>
      </c>
      <c r="B106" t="s">
        <v>94</v>
      </c>
      <c r="C106" t="s">
        <v>111</v>
      </c>
      <c r="D106">
        <v>3</v>
      </c>
      <c r="E106">
        <v>225</v>
      </c>
      <c r="F106" t="s">
        <v>114</v>
      </c>
      <c r="G106">
        <v>100</v>
      </c>
      <c r="H106">
        <v>50</v>
      </c>
      <c r="I106">
        <v>50</v>
      </c>
      <c r="J106">
        <v>45</v>
      </c>
      <c r="K106">
        <v>40</v>
      </c>
      <c r="L106">
        <v>29</v>
      </c>
      <c r="M106">
        <v>13</v>
      </c>
      <c r="N106" t="s">
        <v>114</v>
      </c>
      <c r="Q106">
        <v>60</v>
      </c>
      <c r="R106" t="s">
        <v>172</v>
      </c>
    </row>
    <row r="107" spans="1:18" x14ac:dyDescent="0.25">
      <c r="A107">
        <v>2</v>
      </c>
      <c r="B107" t="s">
        <v>94</v>
      </c>
      <c r="C107" t="s">
        <v>111</v>
      </c>
      <c r="D107">
        <v>4</v>
      </c>
      <c r="E107">
        <v>220</v>
      </c>
      <c r="F107" t="s">
        <v>114</v>
      </c>
      <c r="G107">
        <v>90</v>
      </c>
      <c r="H107">
        <v>40</v>
      </c>
      <c r="I107">
        <v>55</v>
      </c>
      <c r="J107">
        <v>45</v>
      </c>
      <c r="K107">
        <v>45</v>
      </c>
      <c r="L107">
        <v>38</v>
      </c>
      <c r="M107">
        <v>26</v>
      </c>
      <c r="N107" t="s">
        <v>114</v>
      </c>
      <c r="Q107" t="s">
        <v>114</v>
      </c>
      <c r="R107" t="s">
        <v>172</v>
      </c>
    </row>
    <row r="108" spans="1:18" x14ac:dyDescent="0.25">
      <c r="A108">
        <v>2</v>
      </c>
      <c r="B108" t="s">
        <v>94</v>
      </c>
      <c r="C108" t="s">
        <v>110</v>
      </c>
      <c r="D108">
        <v>1</v>
      </c>
      <c r="E108">
        <v>80</v>
      </c>
      <c r="F108" t="s">
        <v>114</v>
      </c>
      <c r="G108">
        <v>65</v>
      </c>
      <c r="H108">
        <v>50</v>
      </c>
      <c r="I108">
        <v>15</v>
      </c>
      <c r="J108">
        <v>14</v>
      </c>
      <c r="K108">
        <v>12</v>
      </c>
      <c r="L108">
        <v>9</v>
      </c>
      <c r="M108">
        <v>1</v>
      </c>
      <c r="N108">
        <v>3</v>
      </c>
      <c r="Q108" t="s">
        <v>114</v>
      </c>
      <c r="R108" t="s">
        <v>47</v>
      </c>
    </row>
    <row r="109" spans="1:18" x14ac:dyDescent="0.25">
      <c r="A109">
        <v>2</v>
      </c>
      <c r="B109" t="s">
        <v>94</v>
      </c>
      <c r="C109" t="s">
        <v>110</v>
      </c>
      <c r="D109">
        <v>2</v>
      </c>
      <c r="E109">
        <v>90</v>
      </c>
      <c r="F109" t="s">
        <v>114</v>
      </c>
      <c r="G109">
        <v>110</v>
      </c>
      <c r="H109">
        <v>10</v>
      </c>
      <c r="I109">
        <v>13</v>
      </c>
      <c r="J109">
        <v>10</v>
      </c>
      <c r="K109">
        <v>8</v>
      </c>
      <c r="L109">
        <v>6</v>
      </c>
      <c r="M109">
        <v>1</v>
      </c>
      <c r="N109">
        <v>3</v>
      </c>
      <c r="Q109">
        <v>135</v>
      </c>
      <c r="R109" t="s">
        <v>47</v>
      </c>
    </row>
    <row r="110" spans="1:18" x14ac:dyDescent="0.25">
      <c r="A110">
        <v>2</v>
      </c>
      <c r="B110" t="s">
        <v>94</v>
      </c>
      <c r="C110" t="s">
        <v>110</v>
      </c>
      <c r="D110">
        <v>3</v>
      </c>
      <c r="E110">
        <v>50</v>
      </c>
      <c r="F110" t="s">
        <v>114</v>
      </c>
      <c r="G110">
        <v>50</v>
      </c>
      <c r="H110">
        <v>20</v>
      </c>
      <c r="I110">
        <v>12</v>
      </c>
      <c r="J110">
        <v>8</v>
      </c>
      <c r="K110">
        <v>8</v>
      </c>
      <c r="L110">
        <v>4</v>
      </c>
      <c r="M110">
        <v>1</v>
      </c>
      <c r="N110">
        <v>3</v>
      </c>
      <c r="Q110" t="s">
        <v>114</v>
      </c>
      <c r="R110" t="s">
        <v>47</v>
      </c>
    </row>
    <row r="111" spans="1:18" x14ac:dyDescent="0.25">
      <c r="A111">
        <v>2</v>
      </c>
      <c r="B111" t="s">
        <v>94</v>
      </c>
      <c r="C111" t="s">
        <v>110</v>
      </c>
      <c r="D111">
        <v>4</v>
      </c>
      <c r="E111">
        <v>60</v>
      </c>
      <c r="F111" t="s">
        <v>114</v>
      </c>
      <c r="G111">
        <v>50</v>
      </c>
      <c r="H111">
        <v>35</v>
      </c>
      <c r="I111">
        <v>11</v>
      </c>
      <c r="J111">
        <v>10</v>
      </c>
      <c r="K111">
        <v>9</v>
      </c>
      <c r="L111">
        <v>5</v>
      </c>
      <c r="M111">
        <v>1</v>
      </c>
      <c r="N111">
        <v>5</v>
      </c>
      <c r="Q111">
        <v>150</v>
      </c>
      <c r="R111" t="s">
        <v>47</v>
      </c>
    </row>
    <row r="112" spans="1:18" x14ac:dyDescent="0.25">
      <c r="A112">
        <v>2</v>
      </c>
      <c r="B112" t="s">
        <v>95</v>
      </c>
      <c r="C112" t="s">
        <v>110</v>
      </c>
      <c r="D112">
        <v>1</v>
      </c>
      <c r="E112">
        <v>190</v>
      </c>
      <c r="F112" t="s">
        <v>114</v>
      </c>
      <c r="G112">
        <v>30</v>
      </c>
      <c r="H112">
        <v>15</v>
      </c>
      <c r="I112">
        <v>15</v>
      </c>
      <c r="J112">
        <v>13</v>
      </c>
      <c r="K112">
        <v>12</v>
      </c>
      <c r="L112">
        <v>19</v>
      </c>
      <c r="M112">
        <v>1</v>
      </c>
      <c r="N112">
        <v>3</v>
      </c>
      <c r="Q112" t="s">
        <v>114</v>
      </c>
      <c r="R112" t="s">
        <v>48</v>
      </c>
    </row>
    <row r="113" spans="1:18" x14ac:dyDescent="0.25">
      <c r="A113">
        <v>2</v>
      </c>
      <c r="B113" t="s">
        <v>95</v>
      </c>
      <c r="C113" t="s">
        <v>110</v>
      </c>
      <c r="D113">
        <v>2</v>
      </c>
      <c r="E113">
        <v>90</v>
      </c>
      <c r="F113" t="s">
        <v>114</v>
      </c>
      <c r="G113">
        <v>15</v>
      </c>
      <c r="H113">
        <v>12</v>
      </c>
      <c r="I113">
        <v>11</v>
      </c>
      <c r="J113">
        <v>10</v>
      </c>
      <c r="K113">
        <v>9</v>
      </c>
      <c r="L113">
        <v>8</v>
      </c>
      <c r="M113">
        <v>1</v>
      </c>
      <c r="N113">
        <v>3</v>
      </c>
      <c r="Q113" t="s">
        <v>114</v>
      </c>
      <c r="R113" t="s">
        <v>48</v>
      </c>
    </row>
    <row r="114" spans="1:18" x14ac:dyDescent="0.25">
      <c r="A114">
        <v>2</v>
      </c>
      <c r="B114" t="s">
        <v>95</v>
      </c>
      <c r="C114" t="s">
        <v>110</v>
      </c>
      <c r="D114">
        <v>3</v>
      </c>
      <c r="E114">
        <v>100</v>
      </c>
      <c r="F114" t="s">
        <v>114</v>
      </c>
      <c r="G114">
        <v>10</v>
      </c>
      <c r="H114">
        <v>10</v>
      </c>
      <c r="I114">
        <v>13</v>
      </c>
      <c r="J114">
        <v>12</v>
      </c>
      <c r="K114">
        <v>12</v>
      </c>
      <c r="L114">
        <v>8</v>
      </c>
      <c r="M114">
        <v>1</v>
      </c>
      <c r="N114">
        <v>1</v>
      </c>
      <c r="Q114" t="s">
        <v>114</v>
      </c>
      <c r="R114" t="s">
        <v>48</v>
      </c>
    </row>
    <row r="115" spans="1:18" x14ac:dyDescent="0.25">
      <c r="A115">
        <v>2</v>
      </c>
      <c r="B115" t="s">
        <v>95</v>
      </c>
      <c r="C115" t="s">
        <v>110</v>
      </c>
      <c r="D115">
        <v>4</v>
      </c>
      <c r="E115">
        <v>60</v>
      </c>
      <c r="F115" t="s">
        <v>114</v>
      </c>
      <c r="G115">
        <v>20</v>
      </c>
      <c r="H115">
        <v>10</v>
      </c>
      <c r="I115">
        <v>11</v>
      </c>
      <c r="J115">
        <v>10</v>
      </c>
      <c r="K115">
        <v>10</v>
      </c>
      <c r="L115">
        <v>4</v>
      </c>
      <c r="M115">
        <v>1</v>
      </c>
      <c r="N115">
        <v>3</v>
      </c>
      <c r="Q115" t="s">
        <v>114</v>
      </c>
      <c r="R115" t="s">
        <v>48</v>
      </c>
    </row>
    <row r="116" spans="1:18" x14ac:dyDescent="0.25">
      <c r="A116">
        <v>2</v>
      </c>
      <c r="B116" t="s">
        <v>95</v>
      </c>
      <c r="C116" t="s">
        <v>110</v>
      </c>
      <c r="D116">
        <v>5</v>
      </c>
      <c r="E116">
        <v>160</v>
      </c>
      <c r="F116" t="s">
        <v>114</v>
      </c>
      <c r="G116">
        <v>15</v>
      </c>
      <c r="H116">
        <v>5</v>
      </c>
      <c r="I116">
        <v>12</v>
      </c>
      <c r="J116">
        <v>10</v>
      </c>
      <c r="K116">
        <v>10</v>
      </c>
      <c r="L116">
        <v>12</v>
      </c>
      <c r="M116">
        <v>1</v>
      </c>
      <c r="N116">
        <v>3</v>
      </c>
      <c r="Q116" t="s">
        <v>114</v>
      </c>
      <c r="R116" t="s">
        <v>48</v>
      </c>
    </row>
    <row r="117" spans="1:18" x14ac:dyDescent="0.25">
      <c r="A117">
        <v>2</v>
      </c>
      <c r="B117" t="s">
        <v>94</v>
      </c>
      <c r="C117" t="s">
        <v>105</v>
      </c>
      <c r="D117">
        <v>1</v>
      </c>
      <c r="E117">
        <v>10</v>
      </c>
      <c r="F117">
        <v>150</v>
      </c>
      <c r="G117">
        <v>70</v>
      </c>
      <c r="H117">
        <v>60</v>
      </c>
      <c r="I117">
        <v>70</v>
      </c>
      <c r="J117">
        <v>60</v>
      </c>
      <c r="K117" t="s">
        <v>114</v>
      </c>
      <c r="L117">
        <v>6</v>
      </c>
      <c r="M117">
        <v>3</v>
      </c>
      <c r="N117" t="s">
        <v>114</v>
      </c>
      <c r="Q117">
        <v>85</v>
      </c>
      <c r="R117" t="s">
        <v>40</v>
      </c>
    </row>
    <row r="118" spans="1:18" x14ac:dyDescent="0.25">
      <c r="A118">
        <v>2</v>
      </c>
      <c r="B118" t="s">
        <v>94</v>
      </c>
      <c r="C118" t="s">
        <v>105</v>
      </c>
      <c r="D118">
        <v>2</v>
      </c>
      <c r="E118">
        <v>20</v>
      </c>
      <c r="F118">
        <v>290</v>
      </c>
      <c r="G118">
        <v>105</v>
      </c>
      <c r="H118">
        <v>80</v>
      </c>
      <c r="I118">
        <v>105</v>
      </c>
      <c r="J118">
        <v>80</v>
      </c>
      <c r="K118" t="s">
        <v>114</v>
      </c>
      <c r="L118">
        <v>8</v>
      </c>
      <c r="M118">
        <v>3</v>
      </c>
      <c r="N118" t="s">
        <v>114</v>
      </c>
      <c r="Q118">
        <v>105</v>
      </c>
      <c r="R118" t="s">
        <v>40</v>
      </c>
    </row>
    <row r="119" spans="1:18" x14ac:dyDescent="0.25">
      <c r="A119">
        <v>2</v>
      </c>
      <c r="B119" t="s">
        <v>94</v>
      </c>
      <c r="C119" t="s">
        <v>105</v>
      </c>
      <c r="D119">
        <v>3</v>
      </c>
      <c r="E119">
        <v>20</v>
      </c>
      <c r="F119">
        <v>315</v>
      </c>
      <c r="G119">
        <v>100</v>
      </c>
      <c r="H119">
        <v>90</v>
      </c>
      <c r="I119">
        <v>100</v>
      </c>
      <c r="J119">
        <v>90</v>
      </c>
      <c r="K119" t="s">
        <v>114</v>
      </c>
      <c r="L119">
        <v>11</v>
      </c>
      <c r="M119">
        <v>5</v>
      </c>
      <c r="N119" t="s">
        <v>114</v>
      </c>
      <c r="Q119">
        <v>80</v>
      </c>
      <c r="R119" t="s">
        <v>40</v>
      </c>
    </row>
    <row r="120" spans="1:18" x14ac:dyDescent="0.25">
      <c r="A120">
        <v>2</v>
      </c>
      <c r="B120" t="s">
        <v>94</v>
      </c>
      <c r="C120" t="s">
        <v>105</v>
      </c>
      <c r="D120">
        <v>4</v>
      </c>
      <c r="E120">
        <v>10</v>
      </c>
      <c r="F120" t="s">
        <v>114</v>
      </c>
      <c r="G120">
        <v>40</v>
      </c>
      <c r="H120">
        <v>35</v>
      </c>
      <c r="I120">
        <v>40</v>
      </c>
      <c r="J120">
        <v>35</v>
      </c>
      <c r="K120" t="s">
        <v>114</v>
      </c>
      <c r="L120">
        <v>2</v>
      </c>
      <c r="M120">
        <v>1</v>
      </c>
      <c r="N120" t="s">
        <v>114</v>
      </c>
      <c r="Q120">
        <v>50</v>
      </c>
      <c r="R120" t="s">
        <v>40</v>
      </c>
    </row>
    <row r="121" spans="1:18" x14ac:dyDescent="0.25">
      <c r="A121">
        <v>2</v>
      </c>
      <c r="B121" t="s">
        <v>95</v>
      </c>
      <c r="C121" t="s">
        <v>105</v>
      </c>
      <c r="D121">
        <v>1</v>
      </c>
      <c r="E121">
        <v>60</v>
      </c>
      <c r="F121">
        <v>410</v>
      </c>
      <c r="G121">
        <v>170</v>
      </c>
      <c r="H121">
        <v>135</v>
      </c>
      <c r="I121">
        <v>170</v>
      </c>
      <c r="J121">
        <v>135</v>
      </c>
      <c r="K121" t="s">
        <v>114</v>
      </c>
      <c r="L121">
        <v>8</v>
      </c>
      <c r="M121">
        <v>8</v>
      </c>
      <c r="N121" t="s">
        <v>114</v>
      </c>
      <c r="Q121">
        <v>60</v>
      </c>
      <c r="R121" t="s">
        <v>173</v>
      </c>
    </row>
    <row r="122" spans="1:18" x14ac:dyDescent="0.25">
      <c r="A122">
        <v>2</v>
      </c>
      <c r="B122" t="s">
        <v>95</v>
      </c>
      <c r="C122" t="s">
        <v>105</v>
      </c>
      <c r="D122">
        <v>2</v>
      </c>
      <c r="E122">
        <v>55</v>
      </c>
      <c r="F122">
        <v>420</v>
      </c>
      <c r="G122">
        <v>135</v>
      </c>
      <c r="H122">
        <v>120</v>
      </c>
      <c r="I122">
        <v>135</v>
      </c>
      <c r="J122">
        <v>120</v>
      </c>
      <c r="K122" t="s">
        <v>114</v>
      </c>
      <c r="L122">
        <v>12</v>
      </c>
      <c r="M122">
        <v>12</v>
      </c>
      <c r="N122" t="s">
        <v>114</v>
      </c>
      <c r="Q122">
        <v>85</v>
      </c>
      <c r="R122" t="s">
        <v>169</v>
      </c>
    </row>
    <row r="123" spans="1:18" x14ac:dyDescent="0.25">
      <c r="A123">
        <v>2</v>
      </c>
      <c r="B123" t="s">
        <v>95</v>
      </c>
      <c r="C123" t="s">
        <v>105</v>
      </c>
      <c r="D123">
        <v>3</v>
      </c>
      <c r="E123">
        <v>40</v>
      </c>
      <c r="F123">
        <v>280</v>
      </c>
      <c r="G123">
        <v>85</v>
      </c>
      <c r="H123">
        <v>72</v>
      </c>
      <c r="I123">
        <v>85</v>
      </c>
      <c r="J123">
        <v>72</v>
      </c>
      <c r="K123" t="s">
        <v>114</v>
      </c>
      <c r="L123">
        <v>5</v>
      </c>
      <c r="M123">
        <v>5</v>
      </c>
      <c r="N123" t="s">
        <v>114</v>
      </c>
      <c r="Q123">
        <v>65</v>
      </c>
      <c r="R123" t="s">
        <v>169</v>
      </c>
    </row>
    <row r="124" spans="1:18" x14ac:dyDescent="0.25">
      <c r="A124">
        <v>6</v>
      </c>
      <c r="B124" t="s">
        <v>95</v>
      </c>
      <c r="C124" t="s">
        <v>104</v>
      </c>
      <c r="D124">
        <v>1</v>
      </c>
      <c r="E124">
        <v>80</v>
      </c>
      <c r="F124" t="s">
        <v>114</v>
      </c>
      <c r="G124">
        <v>55</v>
      </c>
      <c r="H124">
        <v>25</v>
      </c>
      <c r="I124">
        <v>35</v>
      </c>
      <c r="J124">
        <v>35</v>
      </c>
      <c r="K124">
        <v>20</v>
      </c>
      <c r="L124">
        <v>17</v>
      </c>
      <c r="M124">
        <v>6</v>
      </c>
      <c r="N124" t="s">
        <v>114</v>
      </c>
      <c r="Q124">
        <v>35</v>
      </c>
      <c r="R124" t="s">
        <v>89</v>
      </c>
    </row>
    <row r="125" spans="1:18" x14ac:dyDescent="0.25">
      <c r="A125">
        <v>6</v>
      </c>
      <c r="B125" t="s">
        <v>95</v>
      </c>
      <c r="C125" t="s">
        <v>104</v>
      </c>
      <c r="D125">
        <v>2</v>
      </c>
      <c r="E125">
        <v>70</v>
      </c>
      <c r="F125" t="s">
        <v>114</v>
      </c>
      <c r="G125">
        <v>25</v>
      </c>
      <c r="H125">
        <v>15</v>
      </c>
      <c r="I125">
        <v>35</v>
      </c>
      <c r="J125">
        <v>35</v>
      </c>
      <c r="K125">
        <v>26</v>
      </c>
      <c r="L125">
        <v>7</v>
      </c>
      <c r="M125">
        <v>4</v>
      </c>
      <c r="N125" t="s">
        <v>114</v>
      </c>
      <c r="Q125">
        <v>45</v>
      </c>
      <c r="R125" t="s">
        <v>89</v>
      </c>
    </row>
    <row r="126" spans="1:18" x14ac:dyDescent="0.25">
      <c r="A126">
        <v>6</v>
      </c>
      <c r="B126" t="s">
        <v>95</v>
      </c>
      <c r="C126" t="s">
        <v>104</v>
      </c>
      <c r="D126">
        <v>3</v>
      </c>
      <c r="E126">
        <v>70</v>
      </c>
      <c r="F126" t="s">
        <v>114</v>
      </c>
      <c r="G126">
        <v>50</v>
      </c>
      <c r="H126">
        <v>20</v>
      </c>
      <c r="I126">
        <v>35</v>
      </c>
      <c r="J126">
        <v>30</v>
      </c>
      <c r="K126">
        <v>30</v>
      </c>
      <c r="L126">
        <v>10</v>
      </c>
      <c r="M126">
        <v>4</v>
      </c>
      <c r="N126" t="s">
        <v>114</v>
      </c>
      <c r="Q126" t="s">
        <v>114</v>
      </c>
      <c r="R126" t="s">
        <v>93</v>
      </c>
    </row>
    <row r="127" spans="1:18" x14ac:dyDescent="0.25">
      <c r="A127">
        <v>6</v>
      </c>
      <c r="B127" t="s">
        <v>95</v>
      </c>
      <c r="C127" t="s">
        <v>161</v>
      </c>
      <c r="D127">
        <v>4</v>
      </c>
      <c r="E127">
        <v>220</v>
      </c>
      <c r="F127" t="s">
        <v>114</v>
      </c>
      <c r="G127">
        <v>75</v>
      </c>
      <c r="H127">
        <v>40</v>
      </c>
      <c r="I127">
        <v>60</v>
      </c>
      <c r="J127">
        <v>60</v>
      </c>
      <c r="K127">
        <v>50</v>
      </c>
      <c r="L127">
        <v>8</v>
      </c>
      <c r="M127">
        <v>7</v>
      </c>
      <c r="N127" t="s">
        <v>114</v>
      </c>
      <c r="Q127" t="s">
        <v>114</v>
      </c>
      <c r="R127" t="s">
        <v>82</v>
      </c>
    </row>
    <row r="128" spans="1:18" x14ac:dyDescent="0.25">
      <c r="A128">
        <v>6</v>
      </c>
      <c r="B128" t="s">
        <v>94</v>
      </c>
      <c r="C128" t="s">
        <v>104</v>
      </c>
      <c r="D128">
        <v>1</v>
      </c>
      <c r="E128">
        <v>50</v>
      </c>
      <c r="F128" t="s">
        <v>114</v>
      </c>
      <c r="G128">
        <v>40</v>
      </c>
      <c r="H128">
        <v>20</v>
      </c>
      <c r="I128">
        <v>40</v>
      </c>
      <c r="J128">
        <v>35</v>
      </c>
      <c r="K128">
        <v>25</v>
      </c>
      <c r="L128">
        <v>6</v>
      </c>
      <c r="M128">
        <v>4</v>
      </c>
      <c r="N128" t="s">
        <v>114</v>
      </c>
      <c r="Q128">
        <v>40</v>
      </c>
      <c r="R128" t="s">
        <v>174</v>
      </c>
    </row>
    <row r="129" spans="1:18" x14ac:dyDescent="0.25">
      <c r="A129">
        <v>6</v>
      </c>
      <c r="B129" t="s">
        <v>94</v>
      </c>
      <c r="C129" t="s">
        <v>104</v>
      </c>
      <c r="D129">
        <v>2</v>
      </c>
      <c r="E129">
        <v>45</v>
      </c>
      <c r="F129" t="s">
        <v>114</v>
      </c>
      <c r="G129">
        <v>30</v>
      </c>
      <c r="H129">
        <v>15</v>
      </c>
      <c r="I129">
        <v>40</v>
      </c>
      <c r="J129">
        <v>40</v>
      </c>
      <c r="K129">
        <v>30</v>
      </c>
      <c r="L129">
        <v>4</v>
      </c>
      <c r="M129">
        <v>4</v>
      </c>
      <c r="N129" t="s">
        <v>114</v>
      </c>
      <c r="Q129" t="s">
        <v>114</v>
      </c>
      <c r="R129" t="s">
        <v>174</v>
      </c>
    </row>
    <row r="130" spans="1:18" x14ac:dyDescent="0.25">
      <c r="A130">
        <v>6</v>
      </c>
      <c r="B130" t="s">
        <v>94</v>
      </c>
      <c r="C130" t="s">
        <v>104</v>
      </c>
      <c r="D130">
        <v>3</v>
      </c>
      <c r="E130">
        <v>55</v>
      </c>
      <c r="F130" t="s">
        <v>114</v>
      </c>
      <c r="G130">
        <v>25</v>
      </c>
      <c r="H130">
        <v>15</v>
      </c>
      <c r="I130">
        <v>35</v>
      </c>
      <c r="J130">
        <v>35</v>
      </c>
      <c r="K130">
        <v>35</v>
      </c>
      <c r="L130">
        <v>5</v>
      </c>
      <c r="M130">
        <v>3</v>
      </c>
      <c r="N130" t="s">
        <v>114</v>
      </c>
      <c r="Q130" t="s">
        <v>114</v>
      </c>
      <c r="R130" t="s">
        <v>93</v>
      </c>
    </row>
    <row r="131" spans="1:18" x14ac:dyDescent="0.25">
      <c r="A131">
        <v>6</v>
      </c>
      <c r="B131" t="s">
        <v>94</v>
      </c>
      <c r="C131" t="s">
        <v>104</v>
      </c>
      <c r="D131">
        <v>4</v>
      </c>
      <c r="E131">
        <v>135</v>
      </c>
      <c r="F131" t="s">
        <v>114</v>
      </c>
      <c r="G131">
        <v>70</v>
      </c>
      <c r="H131">
        <v>20</v>
      </c>
      <c r="I131">
        <v>30</v>
      </c>
      <c r="J131">
        <v>25</v>
      </c>
      <c r="K131">
        <v>30</v>
      </c>
      <c r="L131">
        <v>9</v>
      </c>
      <c r="M131">
        <v>6</v>
      </c>
      <c r="N131" t="s">
        <v>114</v>
      </c>
      <c r="Q131" t="s">
        <v>114</v>
      </c>
      <c r="R131" t="s">
        <v>83</v>
      </c>
    </row>
    <row r="132" spans="1:18" x14ac:dyDescent="0.25">
      <c r="A132">
        <v>6</v>
      </c>
      <c r="B132" t="s">
        <v>94</v>
      </c>
      <c r="C132" t="s">
        <v>111</v>
      </c>
      <c r="D132">
        <v>1</v>
      </c>
      <c r="E132">
        <v>330</v>
      </c>
      <c r="F132" t="s">
        <v>114</v>
      </c>
      <c r="G132">
        <v>300</v>
      </c>
      <c r="H132">
        <v>100</v>
      </c>
      <c r="I132">
        <v>85</v>
      </c>
      <c r="J132">
        <v>75</v>
      </c>
      <c r="K132">
        <v>50</v>
      </c>
      <c r="L132">
        <v>70</v>
      </c>
      <c r="M132">
        <v>59</v>
      </c>
      <c r="N132" t="s">
        <v>114</v>
      </c>
      <c r="Q132">
        <v>100</v>
      </c>
      <c r="R132" t="s">
        <v>83</v>
      </c>
    </row>
    <row r="133" spans="1:18" x14ac:dyDescent="0.25">
      <c r="A133">
        <v>6</v>
      </c>
      <c r="B133" t="s">
        <v>94</v>
      </c>
      <c r="C133" t="s">
        <v>111</v>
      </c>
      <c r="D133">
        <v>2</v>
      </c>
      <c r="E133">
        <v>360</v>
      </c>
      <c r="F133" t="s">
        <v>114</v>
      </c>
      <c r="G133">
        <v>100</v>
      </c>
      <c r="H133">
        <v>40</v>
      </c>
      <c r="I133">
        <v>100</v>
      </c>
      <c r="J133">
        <v>90</v>
      </c>
      <c r="K133">
        <v>85</v>
      </c>
      <c r="L133">
        <v>17</v>
      </c>
      <c r="M133">
        <v>11</v>
      </c>
      <c r="N133" t="s">
        <v>114</v>
      </c>
      <c r="Q133">
        <v>60</v>
      </c>
      <c r="R133" t="s">
        <v>83</v>
      </c>
    </row>
    <row r="134" spans="1:18" x14ac:dyDescent="0.25">
      <c r="A134">
        <v>6</v>
      </c>
      <c r="B134" t="s">
        <v>94</v>
      </c>
      <c r="C134" t="s">
        <v>111</v>
      </c>
      <c r="D134">
        <v>3</v>
      </c>
      <c r="E134">
        <v>280</v>
      </c>
      <c r="F134" t="s">
        <v>114</v>
      </c>
      <c r="G134">
        <v>160</v>
      </c>
      <c r="H134">
        <v>90</v>
      </c>
      <c r="I134">
        <v>60</v>
      </c>
      <c r="J134">
        <v>58</v>
      </c>
      <c r="K134">
        <v>55</v>
      </c>
      <c r="L134">
        <v>19</v>
      </c>
      <c r="M134">
        <v>13</v>
      </c>
      <c r="N134" t="s">
        <v>114</v>
      </c>
      <c r="Q134" t="s">
        <v>114</v>
      </c>
      <c r="R134" t="s">
        <v>85</v>
      </c>
    </row>
    <row r="135" spans="1:18" x14ac:dyDescent="0.25">
      <c r="A135">
        <v>6</v>
      </c>
      <c r="B135" t="s">
        <v>95</v>
      </c>
      <c r="C135" t="s">
        <v>111</v>
      </c>
      <c r="D135">
        <v>1</v>
      </c>
      <c r="E135">
        <v>280</v>
      </c>
      <c r="F135" t="s">
        <v>114</v>
      </c>
      <c r="G135">
        <v>120</v>
      </c>
      <c r="H135">
        <v>0</v>
      </c>
      <c r="I135">
        <v>55</v>
      </c>
      <c r="J135">
        <v>50</v>
      </c>
      <c r="K135">
        <v>45</v>
      </c>
      <c r="L135">
        <v>29</v>
      </c>
      <c r="M135">
        <v>20</v>
      </c>
      <c r="N135" t="s">
        <v>114</v>
      </c>
      <c r="Q135">
        <v>65</v>
      </c>
      <c r="R135" t="s">
        <v>84</v>
      </c>
    </row>
    <row r="136" spans="1:18" x14ac:dyDescent="0.25">
      <c r="A136">
        <v>6</v>
      </c>
      <c r="B136" t="s">
        <v>95</v>
      </c>
      <c r="C136" t="s">
        <v>111</v>
      </c>
      <c r="D136">
        <v>2</v>
      </c>
      <c r="E136">
        <v>240</v>
      </c>
      <c r="F136" t="s">
        <v>114</v>
      </c>
      <c r="G136">
        <v>60</v>
      </c>
      <c r="H136">
        <v>60</v>
      </c>
      <c r="I136">
        <v>70</v>
      </c>
      <c r="J136">
        <v>55</v>
      </c>
      <c r="K136">
        <v>50</v>
      </c>
      <c r="L136">
        <v>28</v>
      </c>
      <c r="M136">
        <v>13</v>
      </c>
      <c r="N136" t="s">
        <v>114</v>
      </c>
      <c r="Q136">
        <v>55</v>
      </c>
      <c r="R136" t="s">
        <v>84</v>
      </c>
    </row>
    <row r="137" spans="1:18" x14ac:dyDescent="0.25">
      <c r="A137">
        <v>6</v>
      </c>
      <c r="B137" t="s">
        <v>95</v>
      </c>
      <c r="C137" t="s">
        <v>111</v>
      </c>
      <c r="D137">
        <v>3</v>
      </c>
      <c r="E137">
        <v>280</v>
      </c>
      <c r="F137" t="s">
        <v>114</v>
      </c>
      <c r="G137">
        <v>150</v>
      </c>
      <c r="H137">
        <v>20</v>
      </c>
      <c r="I137">
        <v>68</v>
      </c>
      <c r="J137">
        <v>55</v>
      </c>
      <c r="K137">
        <v>55</v>
      </c>
      <c r="L137">
        <v>59</v>
      </c>
      <c r="M137">
        <v>51</v>
      </c>
      <c r="N137" t="s">
        <v>114</v>
      </c>
      <c r="Q137">
        <v>77</v>
      </c>
      <c r="R137" t="s">
        <v>175</v>
      </c>
    </row>
    <row r="138" spans="1:18" x14ac:dyDescent="0.25">
      <c r="A138">
        <v>6</v>
      </c>
      <c r="B138" t="s">
        <v>94</v>
      </c>
      <c r="C138" t="s">
        <v>105</v>
      </c>
      <c r="D138">
        <v>1</v>
      </c>
      <c r="E138">
        <v>15</v>
      </c>
      <c r="F138">
        <v>170</v>
      </c>
      <c r="G138">
        <v>30</v>
      </c>
      <c r="H138">
        <v>23</v>
      </c>
      <c r="I138">
        <v>30</v>
      </c>
      <c r="J138">
        <v>23</v>
      </c>
      <c r="K138" t="s">
        <v>114</v>
      </c>
      <c r="L138">
        <v>5</v>
      </c>
      <c r="M138">
        <v>1</v>
      </c>
      <c r="N138" t="s">
        <v>114</v>
      </c>
      <c r="Q138">
        <v>30</v>
      </c>
      <c r="R138" t="s">
        <v>81</v>
      </c>
    </row>
    <row r="139" spans="1:18" x14ac:dyDescent="0.25">
      <c r="A139">
        <v>6</v>
      </c>
      <c r="B139" t="s">
        <v>94</v>
      </c>
      <c r="C139" t="s">
        <v>105</v>
      </c>
      <c r="D139">
        <v>2</v>
      </c>
      <c r="E139">
        <v>20</v>
      </c>
      <c r="F139">
        <v>300</v>
      </c>
      <c r="G139">
        <v>50</v>
      </c>
      <c r="H139">
        <v>30</v>
      </c>
      <c r="I139">
        <v>50</v>
      </c>
      <c r="J139">
        <v>30</v>
      </c>
      <c r="K139" t="s">
        <v>114</v>
      </c>
      <c r="L139">
        <v>6</v>
      </c>
      <c r="M139">
        <v>1</v>
      </c>
      <c r="N139" t="s">
        <v>114</v>
      </c>
      <c r="Q139">
        <v>70</v>
      </c>
      <c r="R139" t="s">
        <v>81</v>
      </c>
    </row>
    <row r="140" spans="1:18" x14ac:dyDescent="0.25">
      <c r="A140">
        <v>6</v>
      </c>
      <c r="B140" t="s">
        <v>94</v>
      </c>
      <c r="C140" t="s">
        <v>105</v>
      </c>
      <c r="D140">
        <v>3</v>
      </c>
      <c r="E140">
        <v>50</v>
      </c>
      <c r="F140">
        <v>390</v>
      </c>
      <c r="G140">
        <v>70</v>
      </c>
      <c r="H140">
        <v>55</v>
      </c>
      <c r="I140">
        <v>70</v>
      </c>
      <c r="J140">
        <v>55</v>
      </c>
      <c r="K140" t="s">
        <v>114</v>
      </c>
      <c r="L140">
        <v>11</v>
      </c>
      <c r="M140">
        <v>3</v>
      </c>
      <c r="N140" t="s">
        <v>114</v>
      </c>
      <c r="Q140">
        <v>50</v>
      </c>
      <c r="R140" t="s">
        <v>81</v>
      </c>
    </row>
    <row r="141" spans="1:18" x14ac:dyDescent="0.25">
      <c r="A141">
        <v>6</v>
      </c>
      <c r="B141" t="s">
        <v>95</v>
      </c>
      <c r="C141" t="s">
        <v>105</v>
      </c>
      <c r="D141">
        <v>1</v>
      </c>
      <c r="E141">
        <v>20</v>
      </c>
      <c r="F141">
        <v>500</v>
      </c>
      <c r="G141">
        <v>110</v>
      </c>
      <c r="H141">
        <v>95</v>
      </c>
      <c r="I141">
        <v>110</v>
      </c>
      <c r="J141">
        <v>95</v>
      </c>
      <c r="K141" t="s">
        <v>114</v>
      </c>
      <c r="L141">
        <v>8</v>
      </c>
      <c r="M141">
        <v>2</v>
      </c>
      <c r="N141" t="s">
        <v>114</v>
      </c>
      <c r="Q141">
        <v>90</v>
      </c>
      <c r="R141" t="s">
        <v>89</v>
      </c>
    </row>
    <row r="142" spans="1:18" x14ac:dyDescent="0.25">
      <c r="A142">
        <v>6</v>
      </c>
      <c r="B142" t="s">
        <v>95</v>
      </c>
      <c r="C142" t="s">
        <v>105</v>
      </c>
      <c r="D142">
        <v>2</v>
      </c>
      <c r="E142">
        <v>40</v>
      </c>
      <c r="F142">
        <v>290</v>
      </c>
      <c r="G142">
        <v>55</v>
      </c>
      <c r="H142">
        <v>35</v>
      </c>
      <c r="I142">
        <v>55</v>
      </c>
      <c r="J142">
        <v>35</v>
      </c>
      <c r="K142" t="s">
        <v>114</v>
      </c>
      <c r="L142">
        <v>10</v>
      </c>
      <c r="M142">
        <v>4</v>
      </c>
      <c r="N142" t="s">
        <v>114</v>
      </c>
      <c r="Q142">
        <v>60</v>
      </c>
      <c r="R142" t="s">
        <v>89</v>
      </c>
    </row>
    <row r="143" spans="1:18" x14ac:dyDescent="0.25">
      <c r="A143">
        <v>6</v>
      </c>
      <c r="B143" t="s">
        <v>95</v>
      </c>
      <c r="C143" t="s">
        <v>105</v>
      </c>
      <c r="D143">
        <v>3</v>
      </c>
      <c r="E143">
        <v>55</v>
      </c>
      <c r="F143">
        <v>320</v>
      </c>
      <c r="G143">
        <v>90</v>
      </c>
      <c r="H143">
        <v>85</v>
      </c>
      <c r="I143">
        <v>90</v>
      </c>
      <c r="J143">
        <v>85</v>
      </c>
      <c r="K143" t="s">
        <v>114</v>
      </c>
      <c r="L143">
        <v>2</v>
      </c>
      <c r="M143">
        <v>1</v>
      </c>
      <c r="N143" t="s">
        <v>114</v>
      </c>
      <c r="Q143">
        <v>65</v>
      </c>
      <c r="R143" t="s">
        <v>89</v>
      </c>
    </row>
    <row r="144" spans="1:18" x14ac:dyDescent="0.25">
      <c r="A144">
        <v>6</v>
      </c>
      <c r="B144" t="s">
        <v>94</v>
      </c>
      <c r="C144" t="s">
        <v>110</v>
      </c>
      <c r="D144">
        <v>1</v>
      </c>
      <c r="E144">
        <v>40</v>
      </c>
      <c r="F144" t="s">
        <v>114</v>
      </c>
      <c r="G144">
        <v>150</v>
      </c>
      <c r="H144">
        <v>50</v>
      </c>
      <c r="I144">
        <v>12</v>
      </c>
      <c r="J144">
        <v>10</v>
      </c>
      <c r="K144">
        <v>8</v>
      </c>
      <c r="L144">
        <v>35</v>
      </c>
      <c r="M144">
        <v>1</v>
      </c>
      <c r="N144">
        <v>6</v>
      </c>
      <c r="Q144">
        <v>130</v>
      </c>
      <c r="R144" t="s">
        <v>81</v>
      </c>
    </row>
    <row r="145" spans="1:18" x14ac:dyDescent="0.25">
      <c r="A145">
        <v>6</v>
      </c>
      <c r="B145" t="s">
        <v>94</v>
      </c>
      <c r="C145" t="s">
        <v>110</v>
      </c>
      <c r="D145">
        <v>2</v>
      </c>
      <c r="E145">
        <v>30</v>
      </c>
      <c r="F145" t="s">
        <v>114</v>
      </c>
      <c r="G145">
        <v>150</v>
      </c>
      <c r="H145">
        <v>50</v>
      </c>
      <c r="I145">
        <v>10</v>
      </c>
      <c r="J145">
        <v>8</v>
      </c>
      <c r="K145">
        <v>8</v>
      </c>
      <c r="L145">
        <v>22</v>
      </c>
      <c r="M145">
        <v>1</v>
      </c>
      <c r="N145">
        <v>6</v>
      </c>
      <c r="Q145">
        <v>100</v>
      </c>
      <c r="R145" t="s">
        <v>81</v>
      </c>
    </row>
    <row r="146" spans="1:18" x14ac:dyDescent="0.25">
      <c r="A146">
        <v>6</v>
      </c>
      <c r="B146" t="s">
        <v>94</v>
      </c>
      <c r="C146" t="s">
        <v>110</v>
      </c>
      <c r="D146">
        <v>3</v>
      </c>
      <c r="E146">
        <v>80</v>
      </c>
      <c r="F146" t="s">
        <v>114</v>
      </c>
      <c r="G146">
        <v>40</v>
      </c>
      <c r="H146">
        <v>5</v>
      </c>
      <c r="I146">
        <v>12</v>
      </c>
      <c r="J146">
        <v>8</v>
      </c>
      <c r="K146">
        <v>8</v>
      </c>
      <c r="L146">
        <v>8</v>
      </c>
      <c r="M146">
        <v>1</v>
      </c>
      <c r="N146">
        <v>3</v>
      </c>
      <c r="Q146">
        <v>80</v>
      </c>
      <c r="R146" t="s">
        <v>81</v>
      </c>
    </row>
    <row r="147" spans="1:18" x14ac:dyDescent="0.25">
      <c r="A147">
        <v>6</v>
      </c>
      <c r="B147" t="s">
        <v>94</v>
      </c>
      <c r="C147" t="s">
        <v>110</v>
      </c>
      <c r="D147">
        <v>4</v>
      </c>
      <c r="E147">
        <v>50</v>
      </c>
      <c r="F147" t="s">
        <v>114</v>
      </c>
      <c r="G147">
        <v>190</v>
      </c>
      <c r="H147">
        <v>0</v>
      </c>
      <c r="I147">
        <v>12</v>
      </c>
      <c r="J147">
        <v>10</v>
      </c>
      <c r="K147">
        <v>10</v>
      </c>
      <c r="L147">
        <v>25</v>
      </c>
      <c r="M147">
        <v>1</v>
      </c>
      <c r="N147">
        <v>5</v>
      </c>
      <c r="Q147" t="s">
        <v>114</v>
      </c>
      <c r="R147" t="s">
        <v>81</v>
      </c>
    </row>
    <row r="148" spans="1:18" x14ac:dyDescent="0.25">
      <c r="A148">
        <v>6</v>
      </c>
      <c r="B148" t="s">
        <v>95</v>
      </c>
      <c r="C148" t="s">
        <v>110</v>
      </c>
      <c r="D148">
        <v>1</v>
      </c>
      <c r="E148">
        <v>50</v>
      </c>
      <c r="F148" t="s">
        <v>114</v>
      </c>
      <c r="G148">
        <v>30</v>
      </c>
      <c r="H148">
        <v>10</v>
      </c>
      <c r="I148">
        <v>13</v>
      </c>
      <c r="J148">
        <v>12</v>
      </c>
      <c r="K148">
        <v>11</v>
      </c>
      <c r="L148">
        <v>5</v>
      </c>
      <c r="M148">
        <v>1</v>
      </c>
      <c r="N148">
        <v>2</v>
      </c>
      <c r="Q148">
        <v>70</v>
      </c>
      <c r="R148" t="s">
        <v>87</v>
      </c>
    </row>
    <row r="149" spans="1:18" x14ac:dyDescent="0.25">
      <c r="A149">
        <v>6</v>
      </c>
      <c r="B149" t="s">
        <v>95</v>
      </c>
      <c r="C149" t="s">
        <v>110</v>
      </c>
      <c r="D149">
        <v>2</v>
      </c>
      <c r="E149">
        <v>55</v>
      </c>
      <c r="F149" t="s">
        <v>114</v>
      </c>
      <c r="G149">
        <v>50</v>
      </c>
      <c r="H149">
        <v>10</v>
      </c>
      <c r="I149">
        <v>15</v>
      </c>
      <c r="J149">
        <v>13</v>
      </c>
      <c r="K149">
        <v>10</v>
      </c>
      <c r="L149">
        <v>8</v>
      </c>
      <c r="M149">
        <v>1</v>
      </c>
      <c r="N149">
        <v>2</v>
      </c>
      <c r="Q149">
        <v>50</v>
      </c>
      <c r="R149" t="s">
        <v>81</v>
      </c>
    </row>
    <row r="150" spans="1:18" x14ac:dyDescent="0.25">
      <c r="A150">
        <v>6</v>
      </c>
      <c r="B150" t="s">
        <v>95</v>
      </c>
      <c r="C150" t="s">
        <v>110</v>
      </c>
      <c r="D150">
        <v>3</v>
      </c>
      <c r="E150">
        <v>50</v>
      </c>
      <c r="F150" t="s">
        <v>114</v>
      </c>
      <c r="G150">
        <v>30</v>
      </c>
      <c r="H150">
        <v>10</v>
      </c>
      <c r="I150">
        <v>15</v>
      </c>
      <c r="J150">
        <v>8</v>
      </c>
      <c r="K150">
        <v>8</v>
      </c>
      <c r="L150">
        <v>6</v>
      </c>
      <c r="M150">
        <v>1</v>
      </c>
      <c r="N150">
        <v>2</v>
      </c>
      <c r="Q150" t="s">
        <v>114</v>
      </c>
      <c r="R150" t="s">
        <v>87</v>
      </c>
    </row>
    <row r="151" spans="1:18" x14ac:dyDescent="0.25">
      <c r="A151">
        <v>6</v>
      </c>
      <c r="B151" t="s">
        <v>95</v>
      </c>
      <c r="C151" t="s">
        <v>110</v>
      </c>
      <c r="D151">
        <v>4</v>
      </c>
      <c r="E151">
        <v>110</v>
      </c>
      <c r="F151" t="s">
        <v>114</v>
      </c>
      <c r="G151">
        <v>50</v>
      </c>
      <c r="H151">
        <v>10</v>
      </c>
      <c r="I151">
        <v>13</v>
      </c>
      <c r="J151">
        <v>12</v>
      </c>
      <c r="K151">
        <v>10</v>
      </c>
      <c r="L151">
        <v>10</v>
      </c>
      <c r="M151">
        <v>2</v>
      </c>
      <c r="N151">
        <v>4</v>
      </c>
      <c r="Q151" t="s">
        <v>114</v>
      </c>
      <c r="R151" t="s">
        <v>87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88"/>
  <sheetViews>
    <sheetView workbookViewId="0">
      <selection activeCell="Q10" sqref="Q10"/>
    </sheetView>
  </sheetViews>
  <sheetFormatPr defaultRowHeight="15" x14ac:dyDescent="0.25"/>
  <sheetData>
    <row r="1" spans="1:15" x14ac:dyDescent="0.25">
      <c r="A1" t="s">
        <v>96</v>
      </c>
      <c r="B1" t="s">
        <v>146</v>
      </c>
      <c r="C1" t="s">
        <v>1</v>
      </c>
      <c r="D1" t="s">
        <v>2</v>
      </c>
      <c r="E1" t="s">
        <v>97</v>
      </c>
      <c r="F1" t="s">
        <v>144</v>
      </c>
      <c r="G1" t="s">
        <v>143</v>
      </c>
      <c r="H1" t="s">
        <v>754</v>
      </c>
      <c r="I1" t="s">
        <v>664</v>
      </c>
      <c r="J1" t="s">
        <v>275</v>
      </c>
      <c r="K1" t="s">
        <v>98</v>
      </c>
      <c r="L1" t="s">
        <v>99</v>
      </c>
      <c r="M1" t="s">
        <v>791</v>
      </c>
      <c r="N1" t="s">
        <v>149</v>
      </c>
      <c r="O1" t="s">
        <v>150</v>
      </c>
    </row>
    <row r="2" spans="1:15" x14ac:dyDescent="0.25">
      <c r="A2" t="s">
        <v>69</v>
      </c>
      <c r="B2">
        <v>10</v>
      </c>
      <c r="C2" t="s">
        <v>17</v>
      </c>
      <c r="D2" t="s">
        <v>95</v>
      </c>
      <c r="E2" t="s">
        <v>102</v>
      </c>
      <c r="F2" t="s">
        <v>145</v>
      </c>
      <c r="G2" t="s">
        <v>265</v>
      </c>
      <c r="H2" t="s">
        <v>756</v>
      </c>
      <c r="I2" t="s">
        <v>673</v>
      </c>
      <c r="J2" t="s">
        <v>283</v>
      </c>
      <c r="K2">
        <v>120</v>
      </c>
      <c r="L2">
        <v>110</v>
      </c>
      <c r="M2">
        <v>140</v>
      </c>
      <c r="N2">
        <v>135</v>
      </c>
      <c r="O2">
        <v>105</v>
      </c>
    </row>
    <row r="3" spans="1:15" x14ac:dyDescent="0.25">
      <c r="A3" t="s">
        <v>70</v>
      </c>
      <c r="B3">
        <v>10</v>
      </c>
      <c r="C3" t="s">
        <v>19</v>
      </c>
      <c r="D3" t="s">
        <v>95</v>
      </c>
      <c r="E3" t="s">
        <v>102</v>
      </c>
      <c r="F3" t="s">
        <v>145</v>
      </c>
      <c r="G3" t="s">
        <v>265</v>
      </c>
      <c r="H3" t="s">
        <v>756</v>
      </c>
      <c r="I3" t="s">
        <v>673</v>
      </c>
      <c r="J3" t="s">
        <v>288</v>
      </c>
      <c r="K3">
        <v>90</v>
      </c>
      <c r="L3">
        <v>100</v>
      </c>
      <c r="M3">
        <v>105</v>
      </c>
      <c r="N3">
        <v>95</v>
      </c>
      <c r="O3">
        <v>20</v>
      </c>
    </row>
    <row r="4" spans="1:15" x14ac:dyDescent="0.25">
      <c r="A4" t="s">
        <v>71</v>
      </c>
      <c r="B4">
        <v>10</v>
      </c>
      <c r="C4" t="s">
        <v>21</v>
      </c>
      <c r="D4" t="s">
        <v>94</v>
      </c>
      <c r="E4" t="s">
        <v>102</v>
      </c>
      <c r="F4" t="s">
        <v>145</v>
      </c>
      <c r="G4" t="s">
        <v>265</v>
      </c>
      <c r="H4" t="s">
        <v>755</v>
      </c>
      <c r="I4" t="s">
        <v>677</v>
      </c>
      <c r="J4" t="s">
        <v>291</v>
      </c>
      <c r="K4">
        <v>160</v>
      </c>
      <c r="L4">
        <v>115</v>
      </c>
      <c r="M4">
        <v>180</v>
      </c>
      <c r="N4">
        <v>160</v>
      </c>
      <c r="O4">
        <v>110</v>
      </c>
    </row>
    <row r="5" spans="1:15" x14ac:dyDescent="0.25">
      <c r="A5" t="s">
        <v>74</v>
      </c>
      <c r="B5">
        <v>10</v>
      </c>
      <c r="C5" t="s">
        <v>27</v>
      </c>
      <c r="D5" t="s">
        <v>95</v>
      </c>
      <c r="E5" t="s">
        <v>102</v>
      </c>
      <c r="F5" t="s">
        <v>145</v>
      </c>
      <c r="G5" t="s">
        <v>265</v>
      </c>
      <c r="H5" t="s">
        <v>756</v>
      </c>
      <c r="I5" t="s">
        <v>673</v>
      </c>
      <c r="J5" t="s">
        <v>302</v>
      </c>
      <c r="K5">
        <v>140</v>
      </c>
      <c r="L5">
        <v>110</v>
      </c>
      <c r="M5">
        <v>170</v>
      </c>
      <c r="N5">
        <v>160</v>
      </c>
      <c r="O5">
        <v>110</v>
      </c>
    </row>
    <row r="6" spans="1:15" x14ac:dyDescent="0.25">
      <c r="A6" t="s">
        <v>77</v>
      </c>
      <c r="B6">
        <v>10</v>
      </c>
      <c r="C6" t="s">
        <v>33</v>
      </c>
      <c r="D6" t="s">
        <v>94</v>
      </c>
      <c r="E6" t="s">
        <v>102</v>
      </c>
      <c r="F6" t="s">
        <v>145</v>
      </c>
      <c r="G6" t="s">
        <v>265</v>
      </c>
      <c r="H6" t="s">
        <v>755</v>
      </c>
      <c r="I6" t="s">
        <v>677</v>
      </c>
      <c r="J6" t="s">
        <v>309</v>
      </c>
      <c r="K6">
        <v>140</v>
      </c>
      <c r="L6">
        <v>80</v>
      </c>
      <c r="M6">
        <v>190</v>
      </c>
      <c r="N6">
        <v>190</v>
      </c>
      <c r="O6">
        <v>120</v>
      </c>
    </row>
    <row r="7" spans="1:15" x14ac:dyDescent="0.25">
      <c r="A7" t="s">
        <v>52</v>
      </c>
      <c r="B7">
        <v>12</v>
      </c>
      <c r="C7" t="s">
        <v>17</v>
      </c>
      <c r="D7" t="s">
        <v>95</v>
      </c>
      <c r="E7" t="s">
        <v>102</v>
      </c>
      <c r="F7" t="s">
        <v>145</v>
      </c>
      <c r="G7" t="s">
        <v>265</v>
      </c>
      <c r="H7" t="s">
        <v>756</v>
      </c>
      <c r="I7" t="s">
        <v>689</v>
      </c>
      <c r="J7" t="s">
        <v>319</v>
      </c>
      <c r="K7">
        <v>110</v>
      </c>
      <c r="L7">
        <v>120</v>
      </c>
      <c r="M7">
        <v>150</v>
      </c>
      <c r="N7">
        <v>140</v>
      </c>
      <c r="O7">
        <v>140</v>
      </c>
    </row>
    <row r="8" spans="1:15" x14ac:dyDescent="0.25">
      <c r="A8" t="s">
        <v>53</v>
      </c>
      <c r="B8">
        <v>12</v>
      </c>
      <c r="C8" t="s">
        <v>19</v>
      </c>
      <c r="D8" t="s">
        <v>94</v>
      </c>
      <c r="E8" t="s">
        <v>102</v>
      </c>
      <c r="F8" t="s">
        <v>145</v>
      </c>
      <c r="G8" t="s">
        <v>265</v>
      </c>
      <c r="H8" t="s">
        <v>755</v>
      </c>
      <c r="I8" t="s">
        <v>691</v>
      </c>
      <c r="J8" t="s">
        <v>323</v>
      </c>
      <c r="K8" t="s">
        <v>114</v>
      </c>
      <c r="L8" t="s">
        <v>114</v>
      </c>
      <c r="M8" t="s">
        <v>114</v>
      </c>
      <c r="N8" t="s">
        <v>114</v>
      </c>
      <c r="O8" t="s">
        <v>114</v>
      </c>
    </row>
    <row r="9" spans="1:15" x14ac:dyDescent="0.25">
      <c r="A9" t="s">
        <v>58</v>
      </c>
      <c r="B9">
        <v>12</v>
      </c>
      <c r="C9" t="s">
        <v>29</v>
      </c>
      <c r="D9" t="s">
        <v>95</v>
      </c>
      <c r="E9" t="s">
        <v>102</v>
      </c>
      <c r="F9" t="s">
        <v>145</v>
      </c>
      <c r="G9" t="s">
        <v>265</v>
      </c>
      <c r="H9" t="s">
        <v>756</v>
      </c>
      <c r="I9" t="s">
        <v>689</v>
      </c>
      <c r="J9" t="s">
        <v>341</v>
      </c>
      <c r="K9">
        <v>200</v>
      </c>
      <c r="L9">
        <v>85</v>
      </c>
      <c r="M9">
        <v>220</v>
      </c>
      <c r="N9">
        <v>220</v>
      </c>
      <c r="O9">
        <v>160</v>
      </c>
    </row>
    <row r="10" spans="1:15" x14ac:dyDescent="0.25">
      <c r="A10" t="s">
        <v>60</v>
      </c>
      <c r="B10">
        <v>12</v>
      </c>
      <c r="C10" t="s">
        <v>33</v>
      </c>
      <c r="D10" t="s">
        <v>95</v>
      </c>
      <c r="E10" t="s">
        <v>102</v>
      </c>
      <c r="F10" t="s">
        <v>145</v>
      </c>
      <c r="G10" t="s">
        <v>265</v>
      </c>
      <c r="H10" t="s">
        <v>756</v>
      </c>
      <c r="I10" t="s">
        <v>689</v>
      </c>
      <c r="J10" t="s">
        <v>346</v>
      </c>
      <c r="K10">
        <v>130</v>
      </c>
      <c r="L10">
        <v>80</v>
      </c>
      <c r="M10">
        <v>250</v>
      </c>
      <c r="N10">
        <v>250</v>
      </c>
      <c r="O10">
        <v>90</v>
      </c>
    </row>
    <row r="11" spans="1:15" x14ac:dyDescent="0.25">
      <c r="A11" t="s">
        <v>62</v>
      </c>
      <c r="B11">
        <v>12</v>
      </c>
      <c r="C11" t="s">
        <v>37</v>
      </c>
      <c r="D11" t="s">
        <v>95</v>
      </c>
      <c r="E11" t="s">
        <v>102</v>
      </c>
      <c r="F11" t="s">
        <v>145</v>
      </c>
      <c r="G11" t="s">
        <v>265</v>
      </c>
      <c r="H11" t="s">
        <v>756</v>
      </c>
      <c r="I11" t="s">
        <v>689</v>
      </c>
      <c r="J11" t="s">
        <v>353</v>
      </c>
      <c r="K11">
        <v>80</v>
      </c>
      <c r="L11">
        <v>160</v>
      </c>
      <c r="M11">
        <v>125</v>
      </c>
      <c r="N11">
        <v>125</v>
      </c>
      <c r="O11">
        <v>100</v>
      </c>
    </row>
    <row r="12" spans="1:15" x14ac:dyDescent="0.25">
      <c r="A12" t="s">
        <v>10</v>
      </c>
      <c r="B12">
        <v>15</v>
      </c>
      <c r="C12" t="s">
        <v>11</v>
      </c>
      <c r="D12" t="s">
        <v>94</v>
      </c>
      <c r="E12" t="s">
        <v>102</v>
      </c>
      <c r="F12" t="s">
        <v>145</v>
      </c>
      <c r="G12" t="s">
        <v>265</v>
      </c>
      <c r="H12" t="s">
        <v>755</v>
      </c>
      <c r="I12" t="s">
        <v>698</v>
      </c>
      <c r="J12" t="s">
        <v>357</v>
      </c>
      <c r="K12">
        <v>120</v>
      </c>
      <c r="L12">
        <v>100</v>
      </c>
      <c r="M12">
        <v>120</v>
      </c>
      <c r="N12">
        <v>120</v>
      </c>
      <c r="O12">
        <v>75</v>
      </c>
    </row>
    <row r="13" spans="1:15" x14ac:dyDescent="0.25">
      <c r="A13" t="s">
        <v>14</v>
      </c>
      <c r="B13">
        <v>15</v>
      </c>
      <c r="C13" t="s">
        <v>15</v>
      </c>
      <c r="D13" t="s">
        <v>94</v>
      </c>
      <c r="E13" t="s">
        <v>102</v>
      </c>
      <c r="F13" t="s">
        <v>145</v>
      </c>
      <c r="G13" t="s">
        <v>265</v>
      </c>
      <c r="H13" t="s">
        <v>755</v>
      </c>
      <c r="I13" t="s">
        <v>698</v>
      </c>
      <c r="J13" t="s">
        <v>361</v>
      </c>
      <c r="K13">
        <v>40</v>
      </c>
      <c r="L13">
        <v>30</v>
      </c>
      <c r="M13">
        <v>110</v>
      </c>
      <c r="N13">
        <v>110</v>
      </c>
      <c r="O13">
        <v>70</v>
      </c>
    </row>
    <row r="14" spans="1:15" x14ac:dyDescent="0.25">
      <c r="A14" t="s">
        <v>20</v>
      </c>
      <c r="B14">
        <v>15</v>
      </c>
      <c r="C14" t="s">
        <v>21</v>
      </c>
      <c r="D14" t="s">
        <v>94</v>
      </c>
      <c r="E14" t="s">
        <v>102</v>
      </c>
      <c r="F14" t="s">
        <v>145</v>
      </c>
      <c r="G14" t="s">
        <v>265</v>
      </c>
      <c r="H14" t="s">
        <v>755</v>
      </c>
      <c r="I14" t="s">
        <v>698</v>
      </c>
      <c r="J14" t="s">
        <v>373</v>
      </c>
      <c r="K14">
        <v>100</v>
      </c>
      <c r="L14">
        <v>70</v>
      </c>
      <c r="M14">
        <v>130</v>
      </c>
      <c r="N14">
        <v>130</v>
      </c>
      <c r="O14">
        <v>80</v>
      </c>
    </row>
    <row r="15" spans="1:15" x14ac:dyDescent="0.25">
      <c r="A15" t="s">
        <v>22</v>
      </c>
      <c r="B15">
        <v>15</v>
      </c>
      <c r="C15" t="s">
        <v>23</v>
      </c>
      <c r="D15" t="s">
        <v>95</v>
      </c>
      <c r="E15" t="s">
        <v>102</v>
      </c>
      <c r="F15" t="s">
        <v>145</v>
      </c>
      <c r="G15" t="s">
        <v>265</v>
      </c>
      <c r="H15" t="s">
        <v>756</v>
      </c>
      <c r="I15" t="s">
        <v>710</v>
      </c>
      <c r="J15" t="s">
        <v>377</v>
      </c>
      <c r="K15">
        <v>170</v>
      </c>
      <c r="L15">
        <v>130</v>
      </c>
      <c r="M15">
        <v>190</v>
      </c>
      <c r="N15">
        <v>190</v>
      </c>
      <c r="O15">
        <v>140</v>
      </c>
    </row>
    <row r="16" spans="1:15" x14ac:dyDescent="0.25">
      <c r="A16" t="s">
        <v>39</v>
      </c>
      <c r="B16">
        <v>2</v>
      </c>
      <c r="C16" t="s">
        <v>15</v>
      </c>
      <c r="D16" t="s">
        <v>94</v>
      </c>
      <c r="E16" t="s">
        <v>102</v>
      </c>
      <c r="F16" t="s">
        <v>145</v>
      </c>
      <c r="G16" t="s">
        <v>265</v>
      </c>
      <c r="H16" t="s">
        <v>755</v>
      </c>
      <c r="I16" t="s">
        <v>717</v>
      </c>
      <c r="J16" t="s">
        <v>401</v>
      </c>
      <c r="K16">
        <v>70</v>
      </c>
      <c r="L16">
        <v>90</v>
      </c>
      <c r="M16">
        <v>90</v>
      </c>
      <c r="N16">
        <v>90</v>
      </c>
      <c r="O16">
        <v>0</v>
      </c>
    </row>
    <row r="17" spans="1:15" x14ac:dyDescent="0.25">
      <c r="A17" t="s">
        <v>44</v>
      </c>
      <c r="B17">
        <v>2</v>
      </c>
      <c r="C17" t="s">
        <v>25</v>
      </c>
      <c r="D17" t="s">
        <v>95</v>
      </c>
      <c r="E17" t="s">
        <v>102</v>
      </c>
      <c r="F17" t="s">
        <v>145</v>
      </c>
      <c r="G17" t="s">
        <v>265</v>
      </c>
      <c r="H17" t="s">
        <v>756</v>
      </c>
      <c r="I17" t="s">
        <v>725</v>
      </c>
      <c r="J17" t="s">
        <v>420</v>
      </c>
      <c r="K17">
        <v>170</v>
      </c>
      <c r="L17">
        <v>210</v>
      </c>
      <c r="M17">
        <v>35</v>
      </c>
      <c r="N17">
        <v>75</v>
      </c>
      <c r="O17">
        <v>30</v>
      </c>
    </row>
    <row r="18" spans="1:15" x14ac:dyDescent="0.25">
      <c r="A18" t="s">
        <v>45</v>
      </c>
      <c r="B18">
        <v>2</v>
      </c>
      <c r="C18" t="s">
        <v>27</v>
      </c>
      <c r="D18" t="s">
        <v>95</v>
      </c>
      <c r="E18" t="s">
        <v>102</v>
      </c>
      <c r="F18" t="s">
        <v>145</v>
      </c>
      <c r="G18" t="s">
        <v>265</v>
      </c>
      <c r="H18" t="s">
        <v>756</v>
      </c>
      <c r="I18" t="s">
        <v>725</v>
      </c>
      <c r="J18" t="s">
        <v>424</v>
      </c>
      <c r="K18">
        <v>170</v>
      </c>
      <c r="L18">
        <v>145</v>
      </c>
      <c r="M18">
        <v>160</v>
      </c>
      <c r="N18">
        <v>160</v>
      </c>
      <c r="O18">
        <v>105</v>
      </c>
    </row>
    <row r="19" spans="1:15" x14ac:dyDescent="0.25">
      <c r="A19" t="s">
        <v>46</v>
      </c>
      <c r="B19">
        <v>2</v>
      </c>
      <c r="C19" t="s">
        <v>29</v>
      </c>
      <c r="D19" t="s">
        <v>95</v>
      </c>
      <c r="E19" t="s">
        <v>102</v>
      </c>
      <c r="F19" t="s">
        <v>145</v>
      </c>
      <c r="G19" t="s">
        <v>265</v>
      </c>
      <c r="H19" t="s">
        <v>756</v>
      </c>
      <c r="I19" t="s">
        <v>725</v>
      </c>
      <c r="J19" t="s">
        <v>427</v>
      </c>
      <c r="K19">
        <v>100</v>
      </c>
      <c r="L19">
        <v>110</v>
      </c>
      <c r="M19">
        <v>200</v>
      </c>
      <c r="N19">
        <v>200</v>
      </c>
      <c r="O19">
        <v>180</v>
      </c>
    </row>
    <row r="20" spans="1:15" x14ac:dyDescent="0.25">
      <c r="A20" t="s">
        <v>49</v>
      </c>
      <c r="B20">
        <v>2</v>
      </c>
      <c r="C20" t="s">
        <v>35</v>
      </c>
      <c r="D20" t="s">
        <v>94</v>
      </c>
      <c r="E20" t="s">
        <v>102</v>
      </c>
      <c r="F20" t="s">
        <v>145</v>
      </c>
      <c r="G20" t="s">
        <v>265</v>
      </c>
      <c r="H20" t="s">
        <v>755</v>
      </c>
      <c r="I20" t="s">
        <v>717</v>
      </c>
      <c r="J20" t="s">
        <v>434</v>
      </c>
      <c r="K20">
        <v>90</v>
      </c>
      <c r="L20">
        <v>60</v>
      </c>
      <c r="M20">
        <v>75</v>
      </c>
      <c r="N20">
        <v>75</v>
      </c>
      <c r="O20">
        <v>40</v>
      </c>
    </row>
    <row r="21" spans="1:15" x14ac:dyDescent="0.25">
      <c r="A21" t="s">
        <v>82</v>
      </c>
      <c r="B21">
        <v>6</v>
      </c>
      <c r="C21" t="s">
        <v>19</v>
      </c>
      <c r="D21" t="s">
        <v>94</v>
      </c>
      <c r="E21" t="s">
        <v>102</v>
      </c>
      <c r="F21" t="s">
        <v>145</v>
      </c>
      <c r="G21" t="s">
        <v>265</v>
      </c>
      <c r="H21" t="s">
        <v>755</v>
      </c>
      <c r="I21" t="s">
        <v>737</v>
      </c>
      <c r="J21" t="s">
        <v>445</v>
      </c>
      <c r="K21">
        <v>90</v>
      </c>
      <c r="L21">
        <v>70</v>
      </c>
      <c r="M21">
        <v>110</v>
      </c>
      <c r="N21">
        <v>110</v>
      </c>
      <c r="O21">
        <v>55</v>
      </c>
    </row>
    <row r="22" spans="1:15" x14ac:dyDescent="0.25">
      <c r="A22" t="s">
        <v>83</v>
      </c>
      <c r="B22">
        <v>6</v>
      </c>
      <c r="C22" t="s">
        <v>21</v>
      </c>
      <c r="D22" t="s">
        <v>94</v>
      </c>
      <c r="E22" t="s">
        <v>102</v>
      </c>
      <c r="F22" t="s">
        <v>145</v>
      </c>
      <c r="G22" t="s">
        <v>265</v>
      </c>
      <c r="H22" t="s">
        <v>755</v>
      </c>
      <c r="I22" t="s">
        <v>737</v>
      </c>
      <c r="J22" t="s">
        <v>448</v>
      </c>
      <c r="K22">
        <v>180</v>
      </c>
      <c r="L22">
        <v>150</v>
      </c>
      <c r="M22">
        <v>180</v>
      </c>
      <c r="N22">
        <v>160</v>
      </c>
      <c r="O22">
        <v>110</v>
      </c>
    </row>
    <row r="23" spans="1:15" x14ac:dyDescent="0.25">
      <c r="A23" t="s">
        <v>84</v>
      </c>
      <c r="B23">
        <v>6</v>
      </c>
      <c r="C23" t="s">
        <v>23</v>
      </c>
      <c r="D23" t="s">
        <v>95</v>
      </c>
      <c r="E23" t="s">
        <v>102</v>
      </c>
      <c r="F23" t="s">
        <v>145</v>
      </c>
      <c r="G23" t="s">
        <v>265</v>
      </c>
      <c r="H23" t="s">
        <v>756</v>
      </c>
      <c r="I23" t="s">
        <v>740</v>
      </c>
      <c r="J23" t="s">
        <v>451</v>
      </c>
      <c r="K23">
        <v>120</v>
      </c>
      <c r="L23">
        <v>200</v>
      </c>
      <c r="M23">
        <v>65</v>
      </c>
      <c r="N23">
        <v>60</v>
      </c>
      <c r="O23">
        <v>30</v>
      </c>
    </row>
    <row r="24" spans="1:15" x14ac:dyDescent="0.25">
      <c r="A24" t="s">
        <v>87</v>
      </c>
      <c r="B24">
        <v>6</v>
      </c>
      <c r="C24" t="s">
        <v>29</v>
      </c>
      <c r="D24" t="s">
        <v>95</v>
      </c>
      <c r="E24" t="s">
        <v>102</v>
      </c>
      <c r="F24" t="s">
        <v>145</v>
      </c>
      <c r="G24" t="s">
        <v>265</v>
      </c>
      <c r="H24" t="s">
        <v>756</v>
      </c>
      <c r="I24" t="s">
        <v>740</v>
      </c>
      <c r="J24" t="s">
        <v>459</v>
      </c>
      <c r="K24">
        <v>140</v>
      </c>
      <c r="L24">
        <v>140</v>
      </c>
      <c r="M24">
        <v>160</v>
      </c>
      <c r="N24">
        <v>160</v>
      </c>
      <c r="O24">
        <v>110</v>
      </c>
    </row>
    <row r="25" spans="1:15" x14ac:dyDescent="0.25">
      <c r="A25" t="s">
        <v>70</v>
      </c>
      <c r="B25">
        <v>10</v>
      </c>
      <c r="C25" t="s">
        <v>19</v>
      </c>
      <c r="D25" t="s">
        <v>95</v>
      </c>
      <c r="E25" t="s">
        <v>105</v>
      </c>
      <c r="F25" t="s">
        <v>145</v>
      </c>
      <c r="G25" t="s">
        <v>266</v>
      </c>
      <c r="H25" t="s">
        <v>760</v>
      </c>
      <c r="I25" t="s">
        <v>676</v>
      </c>
      <c r="J25" t="s">
        <v>289</v>
      </c>
      <c r="K25">
        <v>15</v>
      </c>
      <c r="L25">
        <v>50</v>
      </c>
      <c r="M25">
        <v>25</v>
      </c>
      <c r="N25">
        <v>25</v>
      </c>
      <c r="O25">
        <v>15</v>
      </c>
    </row>
    <row r="26" spans="1:15" x14ac:dyDescent="0.25">
      <c r="A26" t="s">
        <v>72</v>
      </c>
      <c r="B26">
        <v>10</v>
      </c>
      <c r="C26" t="s">
        <v>23</v>
      </c>
      <c r="D26" t="s">
        <v>95</v>
      </c>
      <c r="E26" t="s">
        <v>105</v>
      </c>
      <c r="F26" t="s">
        <v>145</v>
      </c>
      <c r="G26" t="s">
        <v>266</v>
      </c>
      <c r="H26" t="s">
        <v>760</v>
      </c>
      <c r="I26" t="s">
        <v>676</v>
      </c>
      <c r="J26" t="s">
        <v>294</v>
      </c>
      <c r="K26">
        <v>60</v>
      </c>
      <c r="L26">
        <v>35</v>
      </c>
      <c r="M26">
        <v>150</v>
      </c>
      <c r="N26">
        <v>150</v>
      </c>
      <c r="O26">
        <v>120</v>
      </c>
    </row>
    <row r="27" spans="1:15" x14ac:dyDescent="0.25">
      <c r="A27" t="s">
        <v>73</v>
      </c>
      <c r="B27">
        <v>10</v>
      </c>
      <c r="C27" t="s">
        <v>25</v>
      </c>
      <c r="D27" t="s">
        <v>94</v>
      </c>
      <c r="E27" t="s">
        <v>105</v>
      </c>
      <c r="F27" t="s">
        <v>145</v>
      </c>
      <c r="G27" t="s">
        <v>266</v>
      </c>
      <c r="H27" t="s">
        <v>759</v>
      </c>
      <c r="I27" t="s">
        <v>680</v>
      </c>
      <c r="J27" t="s">
        <v>298</v>
      </c>
      <c r="K27">
        <v>30</v>
      </c>
      <c r="L27">
        <v>45</v>
      </c>
      <c r="M27">
        <v>70</v>
      </c>
      <c r="N27">
        <v>70</v>
      </c>
      <c r="O27">
        <v>20</v>
      </c>
    </row>
    <row r="28" spans="1:15" x14ac:dyDescent="0.25">
      <c r="A28" t="s">
        <v>75</v>
      </c>
      <c r="B28">
        <v>10</v>
      </c>
      <c r="C28" t="s">
        <v>29</v>
      </c>
      <c r="D28" t="s">
        <v>94</v>
      </c>
      <c r="E28" t="s">
        <v>105</v>
      </c>
      <c r="F28" t="s">
        <v>145</v>
      </c>
      <c r="G28" t="s">
        <v>266</v>
      </c>
      <c r="H28" t="s">
        <v>759</v>
      </c>
      <c r="I28" t="s">
        <v>680</v>
      </c>
      <c r="J28" t="s">
        <v>305</v>
      </c>
      <c r="K28">
        <v>40</v>
      </c>
      <c r="L28">
        <v>45</v>
      </c>
      <c r="M28">
        <v>90</v>
      </c>
      <c r="N28">
        <v>90</v>
      </c>
      <c r="O28">
        <v>85</v>
      </c>
    </row>
    <row r="29" spans="1:15" x14ac:dyDescent="0.25">
      <c r="A29" t="s">
        <v>51</v>
      </c>
      <c r="B29">
        <v>12</v>
      </c>
      <c r="C29" t="s">
        <v>15</v>
      </c>
      <c r="D29" t="s">
        <v>94</v>
      </c>
      <c r="E29" t="s">
        <v>105</v>
      </c>
      <c r="F29" t="s">
        <v>145</v>
      </c>
      <c r="G29" t="s">
        <v>266</v>
      </c>
      <c r="H29" t="s">
        <v>759</v>
      </c>
      <c r="I29" t="s">
        <v>686</v>
      </c>
      <c r="J29" t="s">
        <v>316</v>
      </c>
      <c r="K29">
        <v>50</v>
      </c>
      <c r="L29">
        <v>50</v>
      </c>
      <c r="M29">
        <v>120</v>
      </c>
      <c r="N29">
        <v>120</v>
      </c>
      <c r="O29">
        <v>100</v>
      </c>
    </row>
    <row r="30" spans="1:15" x14ac:dyDescent="0.25">
      <c r="A30" t="s">
        <v>57</v>
      </c>
      <c r="B30">
        <v>12</v>
      </c>
      <c r="C30" t="s">
        <v>27</v>
      </c>
      <c r="D30" t="s">
        <v>94</v>
      </c>
      <c r="E30" t="s">
        <v>105</v>
      </c>
      <c r="F30" t="s">
        <v>145</v>
      </c>
      <c r="G30" t="s">
        <v>266</v>
      </c>
      <c r="H30" t="s">
        <v>759</v>
      </c>
      <c r="I30" t="s">
        <v>686</v>
      </c>
      <c r="J30" t="s">
        <v>338</v>
      </c>
      <c r="K30">
        <v>40</v>
      </c>
      <c r="L30">
        <v>30</v>
      </c>
      <c r="M30">
        <v>80</v>
      </c>
      <c r="N30">
        <v>80</v>
      </c>
      <c r="O30">
        <v>65</v>
      </c>
    </row>
    <row r="31" spans="1:15" x14ac:dyDescent="0.25">
      <c r="A31" t="s">
        <v>59</v>
      </c>
      <c r="B31">
        <v>12</v>
      </c>
      <c r="C31" t="s">
        <v>31</v>
      </c>
      <c r="D31" t="s">
        <v>94</v>
      </c>
      <c r="E31" t="s">
        <v>105</v>
      </c>
      <c r="F31" t="s">
        <v>145</v>
      </c>
      <c r="G31" t="s">
        <v>266</v>
      </c>
      <c r="H31" t="s">
        <v>759</v>
      </c>
      <c r="I31" t="s">
        <v>686</v>
      </c>
      <c r="J31" t="s">
        <v>344</v>
      </c>
      <c r="K31">
        <v>80</v>
      </c>
      <c r="L31">
        <v>20</v>
      </c>
      <c r="M31">
        <v>70</v>
      </c>
      <c r="N31">
        <v>70</v>
      </c>
      <c r="O31">
        <v>60</v>
      </c>
    </row>
    <row r="32" spans="1:15" x14ac:dyDescent="0.25">
      <c r="A32" t="s">
        <v>65</v>
      </c>
      <c r="B32">
        <v>12</v>
      </c>
      <c r="C32" t="s">
        <v>66</v>
      </c>
      <c r="D32" t="s">
        <v>95</v>
      </c>
      <c r="E32" t="s">
        <v>105</v>
      </c>
      <c r="F32" t="s">
        <v>145</v>
      </c>
      <c r="G32" t="s">
        <v>266</v>
      </c>
      <c r="H32" t="s">
        <v>760</v>
      </c>
      <c r="I32" t="s">
        <v>697</v>
      </c>
      <c r="J32" t="s">
        <v>356</v>
      </c>
      <c r="K32">
        <v>50</v>
      </c>
      <c r="L32">
        <v>80</v>
      </c>
      <c r="M32">
        <v>75</v>
      </c>
      <c r="N32">
        <v>75</v>
      </c>
      <c r="O32">
        <v>70</v>
      </c>
    </row>
    <row r="33" spans="1:15" x14ac:dyDescent="0.25">
      <c r="A33" t="s">
        <v>10</v>
      </c>
      <c r="B33">
        <v>15</v>
      </c>
      <c r="C33" t="s">
        <v>11</v>
      </c>
      <c r="D33" t="s">
        <v>94</v>
      </c>
      <c r="E33" t="s">
        <v>105</v>
      </c>
      <c r="F33" t="s">
        <v>145</v>
      </c>
      <c r="G33" t="s">
        <v>266</v>
      </c>
      <c r="H33" t="s">
        <v>759</v>
      </c>
      <c r="I33" t="s">
        <v>699</v>
      </c>
      <c r="J33" t="s">
        <v>358</v>
      </c>
      <c r="K33">
        <v>10</v>
      </c>
      <c r="L33">
        <v>20</v>
      </c>
      <c r="M33">
        <v>65</v>
      </c>
      <c r="N33">
        <v>65</v>
      </c>
      <c r="O33">
        <v>60</v>
      </c>
    </row>
    <row r="34" spans="1:15" x14ac:dyDescent="0.25">
      <c r="A34" t="s">
        <v>22</v>
      </c>
      <c r="B34">
        <v>15</v>
      </c>
      <c r="C34" t="s">
        <v>23</v>
      </c>
      <c r="D34" t="s">
        <v>95</v>
      </c>
      <c r="E34" t="s">
        <v>105</v>
      </c>
      <c r="F34" t="s">
        <v>145</v>
      </c>
      <c r="G34" t="s">
        <v>266</v>
      </c>
      <c r="H34" t="s">
        <v>760</v>
      </c>
      <c r="I34" t="s">
        <v>711</v>
      </c>
      <c r="J34" t="s">
        <v>378</v>
      </c>
      <c r="K34">
        <v>35</v>
      </c>
      <c r="L34">
        <v>30</v>
      </c>
      <c r="M34">
        <v>45</v>
      </c>
      <c r="N34">
        <v>45</v>
      </c>
      <c r="O34">
        <v>20</v>
      </c>
    </row>
    <row r="35" spans="1:15" x14ac:dyDescent="0.25">
      <c r="A35" t="s">
        <v>24</v>
      </c>
      <c r="B35">
        <v>15</v>
      </c>
      <c r="C35" t="s">
        <v>25</v>
      </c>
      <c r="D35" t="s">
        <v>95</v>
      </c>
      <c r="E35" t="s">
        <v>105</v>
      </c>
      <c r="F35" t="s">
        <v>145</v>
      </c>
      <c r="G35" t="s">
        <v>266</v>
      </c>
      <c r="H35" t="s">
        <v>760</v>
      </c>
      <c r="I35" t="s">
        <v>711</v>
      </c>
      <c r="J35" t="s">
        <v>382</v>
      </c>
      <c r="K35">
        <v>20</v>
      </c>
      <c r="L35">
        <v>20</v>
      </c>
      <c r="M35">
        <v>50</v>
      </c>
      <c r="N35">
        <v>50</v>
      </c>
      <c r="O35">
        <v>20</v>
      </c>
    </row>
    <row r="36" spans="1:15" x14ac:dyDescent="0.25">
      <c r="A36" t="s">
        <v>26</v>
      </c>
      <c r="B36">
        <v>15</v>
      </c>
      <c r="C36" t="s">
        <v>27</v>
      </c>
      <c r="D36" t="s">
        <v>95</v>
      </c>
      <c r="E36" t="s">
        <v>105</v>
      </c>
      <c r="F36" t="s">
        <v>145</v>
      </c>
      <c r="G36" t="s">
        <v>266</v>
      </c>
      <c r="H36" t="s">
        <v>760</v>
      </c>
      <c r="I36" t="s">
        <v>711</v>
      </c>
      <c r="J36" t="s">
        <v>384</v>
      </c>
      <c r="K36">
        <v>60</v>
      </c>
      <c r="L36">
        <v>40</v>
      </c>
      <c r="M36">
        <v>65</v>
      </c>
      <c r="N36">
        <v>65</v>
      </c>
      <c r="O36">
        <v>60</v>
      </c>
    </row>
    <row r="37" spans="1:15" x14ac:dyDescent="0.25">
      <c r="A37" t="s">
        <v>32</v>
      </c>
      <c r="B37">
        <v>15</v>
      </c>
      <c r="C37" t="s">
        <v>33</v>
      </c>
      <c r="D37" t="s">
        <v>94</v>
      </c>
      <c r="E37" t="s">
        <v>105</v>
      </c>
      <c r="F37" t="s">
        <v>145</v>
      </c>
      <c r="G37" t="s">
        <v>266</v>
      </c>
      <c r="H37" t="s">
        <v>759</v>
      </c>
      <c r="I37" t="s">
        <v>699</v>
      </c>
      <c r="J37" t="s">
        <v>394</v>
      </c>
      <c r="K37">
        <v>40</v>
      </c>
      <c r="L37">
        <v>30</v>
      </c>
      <c r="M37">
        <v>80</v>
      </c>
      <c r="N37">
        <v>80</v>
      </c>
      <c r="O37">
        <v>60</v>
      </c>
    </row>
    <row r="38" spans="1:15" x14ac:dyDescent="0.25">
      <c r="A38" t="s">
        <v>41</v>
      </c>
      <c r="B38">
        <v>2</v>
      </c>
      <c r="C38" t="s">
        <v>19</v>
      </c>
      <c r="D38" t="s">
        <v>94</v>
      </c>
      <c r="E38" t="s">
        <v>105</v>
      </c>
      <c r="F38" t="s">
        <v>145</v>
      </c>
      <c r="G38" t="s">
        <v>266</v>
      </c>
      <c r="H38" t="s">
        <v>759</v>
      </c>
      <c r="I38" t="s">
        <v>723</v>
      </c>
      <c r="J38" t="s">
        <v>409</v>
      </c>
      <c r="K38">
        <v>30</v>
      </c>
      <c r="L38">
        <v>25</v>
      </c>
      <c r="M38">
        <v>40</v>
      </c>
      <c r="N38">
        <v>40</v>
      </c>
      <c r="O38">
        <v>35</v>
      </c>
    </row>
    <row r="39" spans="1:15" x14ac:dyDescent="0.25">
      <c r="A39" t="s">
        <v>42</v>
      </c>
      <c r="B39">
        <v>2</v>
      </c>
      <c r="C39" t="s">
        <v>21</v>
      </c>
      <c r="D39" t="s">
        <v>94</v>
      </c>
      <c r="E39" t="s">
        <v>105</v>
      </c>
      <c r="F39" t="s">
        <v>145</v>
      </c>
      <c r="G39" t="s">
        <v>266</v>
      </c>
      <c r="H39" t="s">
        <v>759</v>
      </c>
      <c r="I39" t="s">
        <v>723</v>
      </c>
      <c r="J39" t="s">
        <v>412</v>
      </c>
      <c r="K39">
        <v>40</v>
      </c>
      <c r="L39">
        <v>30</v>
      </c>
      <c r="M39">
        <v>70</v>
      </c>
      <c r="N39">
        <v>70</v>
      </c>
      <c r="O39">
        <v>40</v>
      </c>
    </row>
    <row r="40" spans="1:15" x14ac:dyDescent="0.25">
      <c r="A40" t="s">
        <v>43</v>
      </c>
      <c r="B40">
        <v>2</v>
      </c>
      <c r="C40" t="s">
        <v>23</v>
      </c>
      <c r="D40" t="s">
        <v>94</v>
      </c>
      <c r="E40" t="s">
        <v>105</v>
      </c>
      <c r="F40" t="s">
        <v>145</v>
      </c>
      <c r="G40" t="s">
        <v>266</v>
      </c>
      <c r="H40" t="s">
        <v>759</v>
      </c>
      <c r="I40" t="s">
        <v>723</v>
      </c>
      <c r="J40" t="s">
        <v>416</v>
      </c>
      <c r="K40">
        <v>40</v>
      </c>
      <c r="L40">
        <v>50</v>
      </c>
      <c r="M40">
        <v>80</v>
      </c>
      <c r="N40">
        <v>80</v>
      </c>
      <c r="O40">
        <v>50</v>
      </c>
    </row>
    <row r="41" spans="1:15" x14ac:dyDescent="0.25">
      <c r="A41" t="s">
        <v>45</v>
      </c>
      <c r="B41">
        <v>2</v>
      </c>
      <c r="C41" t="s">
        <v>27</v>
      </c>
      <c r="D41" t="s">
        <v>95</v>
      </c>
      <c r="E41" t="s">
        <v>105</v>
      </c>
      <c r="F41" t="s">
        <v>145</v>
      </c>
      <c r="G41" t="s">
        <v>266</v>
      </c>
      <c r="H41" t="s">
        <v>760</v>
      </c>
      <c r="I41" t="s">
        <v>728</v>
      </c>
      <c r="J41" t="s">
        <v>425</v>
      </c>
      <c r="K41">
        <v>20</v>
      </c>
      <c r="L41">
        <v>80</v>
      </c>
      <c r="M41">
        <v>37</v>
      </c>
      <c r="N41">
        <v>37</v>
      </c>
      <c r="O41">
        <v>17</v>
      </c>
    </row>
    <row r="42" spans="1:15" x14ac:dyDescent="0.25">
      <c r="A42" t="s">
        <v>48</v>
      </c>
      <c r="B42">
        <v>2</v>
      </c>
      <c r="C42" t="s">
        <v>33</v>
      </c>
      <c r="D42" t="s">
        <v>95</v>
      </c>
      <c r="E42" t="s">
        <v>105</v>
      </c>
      <c r="F42" t="s">
        <v>145</v>
      </c>
      <c r="G42" t="s">
        <v>266</v>
      </c>
      <c r="H42" t="s">
        <v>760</v>
      </c>
      <c r="I42" t="s">
        <v>728</v>
      </c>
      <c r="J42" t="s">
        <v>431</v>
      </c>
      <c r="K42">
        <v>30</v>
      </c>
      <c r="L42">
        <v>45</v>
      </c>
      <c r="M42">
        <v>80</v>
      </c>
      <c r="N42">
        <v>80</v>
      </c>
      <c r="O42">
        <v>60</v>
      </c>
    </row>
    <row r="43" spans="1:15" x14ac:dyDescent="0.25">
      <c r="A43" t="s">
        <v>80</v>
      </c>
      <c r="B43">
        <v>6</v>
      </c>
      <c r="C43" t="s">
        <v>15</v>
      </c>
      <c r="D43" t="s">
        <v>95</v>
      </c>
      <c r="E43" t="s">
        <v>105</v>
      </c>
      <c r="F43" t="s">
        <v>145</v>
      </c>
      <c r="G43" t="s">
        <v>266</v>
      </c>
      <c r="H43" t="s">
        <v>760</v>
      </c>
      <c r="I43" t="s">
        <v>733</v>
      </c>
      <c r="J43" t="s">
        <v>439</v>
      </c>
      <c r="K43">
        <v>60</v>
      </c>
      <c r="L43">
        <v>45</v>
      </c>
      <c r="M43">
        <v>80</v>
      </c>
      <c r="N43">
        <v>50</v>
      </c>
      <c r="O43">
        <v>0</v>
      </c>
    </row>
    <row r="44" spans="1:15" x14ac:dyDescent="0.25">
      <c r="A44" t="s">
        <v>81</v>
      </c>
      <c r="B44">
        <v>6</v>
      </c>
      <c r="C44" t="s">
        <v>17</v>
      </c>
      <c r="D44" t="s">
        <v>94</v>
      </c>
      <c r="E44" t="s">
        <v>105</v>
      </c>
      <c r="F44" t="s">
        <v>145</v>
      </c>
      <c r="G44" t="s">
        <v>266</v>
      </c>
      <c r="H44" t="s">
        <v>759</v>
      </c>
      <c r="I44" t="s">
        <v>734</v>
      </c>
      <c r="J44" t="s">
        <v>442</v>
      </c>
      <c r="K44">
        <v>30</v>
      </c>
      <c r="L44">
        <v>40</v>
      </c>
      <c r="M44">
        <v>55</v>
      </c>
      <c r="N44">
        <v>55</v>
      </c>
      <c r="O44">
        <v>55</v>
      </c>
    </row>
    <row r="45" spans="1:15" x14ac:dyDescent="0.25">
      <c r="A45" t="s">
        <v>84</v>
      </c>
      <c r="B45">
        <v>6</v>
      </c>
      <c r="C45" t="s">
        <v>23</v>
      </c>
      <c r="D45" t="s">
        <v>95</v>
      </c>
      <c r="E45" t="s">
        <v>105</v>
      </c>
      <c r="F45" t="s">
        <v>145</v>
      </c>
      <c r="G45" t="s">
        <v>266</v>
      </c>
      <c r="H45" t="s">
        <v>760</v>
      </c>
      <c r="I45" t="s">
        <v>733</v>
      </c>
      <c r="J45" t="s">
        <v>452</v>
      </c>
      <c r="K45">
        <v>30</v>
      </c>
      <c r="L45">
        <v>60</v>
      </c>
      <c r="M45">
        <v>50</v>
      </c>
      <c r="N45">
        <v>60</v>
      </c>
      <c r="O45">
        <v>50</v>
      </c>
    </row>
    <row r="46" spans="1:15" x14ac:dyDescent="0.25">
      <c r="A46" t="s">
        <v>85</v>
      </c>
      <c r="B46">
        <v>6</v>
      </c>
      <c r="C46" t="s">
        <v>25</v>
      </c>
      <c r="D46" t="s">
        <v>94</v>
      </c>
      <c r="E46" t="s">
        <v>105</v>
      </c>
      <c r="F46" t="s">
        <v>145</v>
      </c>
      <c r="G46" t="s">
        <v>266</v>
      </c>
      <c r="H46" t="s">
        <v>759</v>
      </c>
      <c r="I46" t="s">
        <v>734</v>
      </c>
      <c r="J46" t="s">
        <v>455</v>
      </c>
      <c r="K46">
        <v>45</v>
      </c>
      <c r="L46">
        <v>15</v>
      </c>
      <c r="M46">
        <v>60</v>
      </c>
      <c r="N46">
        <v>60</v>
      </c>
      <c r="O46">
        <v>40</v>
      </c>
    </row>
    <row r="47" spans="1:15" x14ac:dyDescent="0.25">
      <c r="A47" t="s">
        <v>67</v>
      </c>
      <c r="B47">
        <v>10</v>
      </c>
      <c r="C47" t="s">
        <v>11</v>
      </c>
      <c r="D47" t="s">
        <v>94</v>
      </c>
      <c r="E47" t="s">
        <v>113</v>
      </c>
      <c r="F47" t="s">
        <v>145</v>
      </c>
      <c r="G47" t="s">
        <v>259</v>
      </c>
      <c r="H47" t="s">
        <v>763</v>
      </c>
      <c r="I47" t="s">
        <v>666</v>
      </c>
      <c r="J47" t="s">
        <v>276</v>
      </c>
      <c r="K47">
        <v>40</v>
      </c>
      <c r="L47">
        <v>35</v>
      </c>
      <c r="M47">
        <v>5</v>
      </c>
      <c r="N47">
        <v>10</v>
      </c>
      <c r="O47">
        <v>5</v>
      </c>
    </row>
    <row r="48" spans="1:15" x14ac:dyDescent="0.25">
      <c r="A48" t="s">
        <v>68</v>
      </c>
      <c r="B48">
        <v>10</v>
      </c>
      <c r="C48" t="s">
        <v>15</v>
      </c>
      <c r="D48" t="s">
        <v>95</v>
      </c>
      <c r="E48" t="s">
        <v>113</v>
      </c>
      <c r="F48" t="s">
        <v>145</v>
      </c>
      <c r="G48" t="s">
        <v>259</v>
      </c>
      <c r="H48" t="s">
        <v>764</v>
      </c>
      <c r="I48" t="s">
        <v>669</v>
      </c>
      <c r="J48" t="s">
        <v>279</v>
      </c>
      <c r="K48">
        <v>120</v>
      </c>
      <c r="L48">
        <v>35</v>
      </c>
      <c r="M48">
        <v>10</v>
      </c>
      <c r="N48">
        <v>25</v>
      </c>
      <c r="O48">
        <v>15</v>
      </c>
    </row>
    <row r="49" spans="1:15" x14ac:dyDescent="0.25">
      <c r="A49" t="s">
        <v>69</v>
      </c>
      <c r="B49">
        <v>10</v>
      </c>
      <c r="C49" t="s">
        <v>17</v>
      </c>
      <c r="D49" t="s">
        <v>95</v>
      </c>
      <c r="E49" t="s">
        <v>113</v>
      </c>
      <c r="F49" t="s">
        <v>145</v>
      </c>
      <c r="G49" t="s">
        <v>259</v>
      </c>
      <c r="H49" t="s">
        <v>764</v>
      </c>
      <c r="I49" t="s">
        <v>669</v>
      </c>
      <c r="J49" t="s">
        <v>284</v>
      </c>
      <c r="K49">
        <v>35</v>
      </c>
      <c r="L49">
        <v>5</v>
      </c>
      <c r="M49">
        <v>9</v>
      </c>
      <c r="N49">
        <v>30</v>
      </c>
      <c r="O49">
        <v>0</v>
      </c>
    </row>
    <row r="50" spans="1:15" x14ac:dyDescent="0.25">
      <c r="A50" t="s">
        <v>74</v>
      </c>
      <c r="B50">
        <v>10</v>
      </c>
      <c r="C50" t="s">
        <v>27</v>
      </c>
      <c r="D50" t="s">
        <v>95</v>
      </c>
      <c r="E50" t="s">
        <v>113</v>
      </c>
      <c r="F50" t="s">
        <v>145</v>
      </c>
      <c r="G50" t="s">
        <v>259</v>
      </c>
      <c r="H50" t="s">
        <v>764</v>
      </c>
      <c r="I50" t="s">
        <v>669</v>
      </c>
      <c r="J50" t="s">
        <v>303</v>
      </c>
      <c r="K50">
        <v>80</v>
      </c>
      <c r="L50">
        <v>40</v>
      </c>
      <c r="M50">
        <v>7</v>
      </c>
      <c r="N50">
        <v>7</v>
      </c>
      <c r="O50">
        <v>5</v>
      </c>
    </row>
    <row r="51" spans="1:15" x14ac:dyDescent="0.25">
      <c r="A51" t="s">
        <v>76</v>
      </c>
      <c r="B51">
        <v>10</v>
      </c>
      <c r="C51" t="s">
        <v>31</v>
      </c>
      <c r="D51" t="s">
        <v>94</v>
      </c>
      <c r="E51" t="s">
        <v>113</v>
      </c>
      <c r="F51" t="s">
        <v>145</v>
      </c>
      <c r="G51" t="s">
        <v>259</v>
      </c>
      <c r="H51" t="s">
        <v>763</v>
      </c>
      <c r="I51" t="s">
        <v>666</v>
      </c>
      <c r="J51" t="s">
        <v>308</v>
      </c>
      <c r="K51">
        <v>90</v>
      </c>
      <c r="L51">
        <v>20</v>
      </c>
      <c r="M51">
        <v>20</v>
      </c>
      <c r="N51">
        <v>13</v>
      </c>
      <c r="O51">
        <v>8</v>
      </c>
    </row>
    <row r="52" spans="1:15" x14ac:dyDescent="0.25">
      <c r="A52" t="s">
        <v>50</v>
      </c>
      <c r="B52">
        <v>12</v>
      </c>
      <c r="C52" t="s">
        <v>11</v>
      </c>
      <c r="D52" t="s">
        <v>95</v>
      </c>
      <c r="E52" t="s">
        <v>113</v>
      </c>
      <c r="F52" t="s">
        <v>145</v>
      </c>
      <c r="G52" t="s">
        <v>259</v>
      </c>
      <c r="H52" t="s">
        <v>764</v>
      </c>
      <c r="I52" t="s">
        <v>682</v>
      </c>
      <c r="J52" t="s">
        <v>312</v>
      </c>
      <c r="K52">
        <v>100</v>
      </c>
      <c r="L52">
        <v>120</v>
      </c>
      <c r="M52">
        <v>10</v>
      </c>
      <c r="N52">
        <v>20</v>
      </c>
      <c r="O52">
        <v>15</v>
      </c>
    </row>
    <row r="53" spans="1:15" x14ac:dyDescent="0.25">
      <c r="A53" t="s">
        <v>53</v>
      </c>
      <c r="B53">
        <v>12</v>
      </c>
      <c r="C53" t="s">
        <v>19</v>
      </c>
      <c r="D53" t="s">
        <v>94</v>
      </c>
      <c r="E53" t="s">
        <v>113</v>
      </c>
      <c r="F53" t="s">
        <v>145</v>
      </c>
      <c r="G53" t="s">
        <v>259</v>
      </c>
      <c r="H53" t="s">
        <v>763</v>
      </c>
      <c r="I53" t="s">
        <v>692</v>
      </c>
      <c r="J53" t="s">
        <v>324</v>
      </c>
      <c r="K53">
        <v>40</v>
      </c>
      <c r="L53">
        <v>10</v>
      </c>
      <c r="M53">
        <v>8</v>
      </c>
      <c r="N53">
        <v>5</v>
      </c>
      <c r="O53">
        <v>3</v>
      </c>
    </row>
    <row r="54" spans="1:15" x14ac:dyDescent="0.25">
      <c r="A54" t="s">
        <v>54</v>
      </c>
      <c r="B54">
        <v>12</v>
      </c>
      <c r="C54" t="s">
        <v>21</v>
      </c>
      <c r="D54" t="s">
        <v>95</v>
      </c>
      <c r="E54" t="s">
        <v>113</v>
      </c>
      <c r="F54" t="s">
        <v>145</v>
      </c>
      <c r="G54" t="s">
        <v>259</v>
      </c>
      <c r="H54" t="s">
        <v>764</v>
      </c>
      <c r="I54" t="s">
        <v>682</v>
      </c>
      <c r="J54" t="s">
        <v>327</v>
      </c>
      <c r="K54">
        <v>35</v>
      </c>
      <c r="L54">
        <v>90</v>
      </c>
      <c r="M54">
        <v>10</v>
      </c>
      <c r="N54">
        <v>15</v>
      </c>
      <c r="O54">
        <v>5</v>
      </c>
    </row>
    <row r="55" spans="1:15" x14ac:dyDescent="0.25">
      <c r="A55" t="s">
        <v>55</v>
      </c>
      <c r="B55">
        <v>12</v>
      </c>
      <c r="C55" t="s">
        <v>23</v>
      </c>
      <c r="D55" t="s">
        <v>94</v>
      </c>
      <c r="E55" t="s">
        <v>113</v>
      </c>
      <c r="F55" t="s">
        <v>145</v>
      </c>
      <c r="G55" t="s">
        <v>259</v>
      </c>
      <c r="H55" t="s">
        <v>763</v>
      </c>
      <c r="I55" t="s">
        <v>692</v>
      </c>
      <c r="J55" t="s">
        <v>330</v>
      </c>
      <c r="K55">
        <v>110</v>
      </c>
      <c r="L55">
        <v>50</v>
      </c>
      <c r="M55">
        <v>10</v>
      </c>
      <c r="N55">
        <v>50</v>
      </c>
      <c r="O55">
        <v>35</v>
      </c>
    </row>
    <row r="56" spans="1:15" x14ac:dyDescent="0.25">
      <c r="A56" t="s">
        <v>56</v>
      </c>
      <c r="B56">
        <v>12</v>
      </c>
      <c r="C56" t="s">
        <v>25</v>
      </c>
      <c r="D56" t="s">
        <v>94</v>
      </c>
      <c r="E56" t="s">
        <v>113</v>
      </c>
      <c r="F56" t="s">
        <v>145</v>
      </c>
      <c r="G56" t="s">
        <v>259</v>
      </c>
      <c r="H56" t="s">
        <v>763</v>
      </c>
      <c r="I56" t="s">
        <v>692</v>
      </c>
      <c r="J56" t="s">
        <v>334</v>
      </c>
      <c r="K56">
        <v>80</v>
      </c>
      <c r="L56">
        <v>40</v>
      </c>
      <c r="M56">
        <v>8</v>
      </c>
      <c r="N56">
        <v>10</v>
      </c>
      <c r="O56">
        <v>5</v>
      </c>
    </row>
    <row r="57" spans="1:15" x14ac:dyDescent="0.25">
      <c r="A57" t="s">
        <v>57</v>
      </c>
      <c r="B57">
        <v>12</v>
      </c>
      <c r="C57" t="s">
        <v>27</v>
      </c>
      <c r="D57" t="s">
        <v>94</v>
      </c>
      <c r="E57" t="s">
        <v>113</v>
      </c>
      <c r="F57" t="s">
        <v>145</v>
      </c>
      <c r="G57" t="s">
        <v>259</v>
      </c>
      <c r="H57" t="s">
        <v>763</v>
      </c>
      <c r="I57" t="s">
        <v>692</v>
      </c>
      <c r="J57" t="s">
        <v>339</v>
      </c>
      <c r="K57">
        <v>40</v>
      </c>
      <c r="L57">
        <v>65</v>
      </c>
      <c r="M57">
        <v>8</v>
      </c>
      <c r="N57">
        <v>10</v>
      </c>
      <c r="O57">
        <v>2</v>
      </c>
    </row>
    <row r="58" spans="1:15" x14ac:dyDescent="0.25">
      <c r="A58" t="s">
        <v>16</v>
      </c>
      <c r="B58">
        <v>15</v>
      </c>
      <c r="C58" t="s">
        <v>17</v>
      </c>
      <c r="D58" t="s">
        <v>95</v>
      </c>
      <c r="E58" t="s">
        <v>113</v>
      </c>
      <c r="F58" t="s">
        <v>145</v>
      </c>
      <c r="G58" t="s">
        <v>259</v>
      </c>
      <c r="H58" t="s">
        <v>764</v>
      </c>
      <c r="I58" t="s">
        <v>704</v>
      </c>
      <c r="J58" t="s">
        <v>365</v>
      </c>
      <c r="K58">
        <v>100</v>
      </c>
      <c r="L58">
        <v>90</v>
      </c>
      <c r="M58">
        <v>8</v>
      </c>
      <c r="N58">
        <v>20</v>
      </c>
      <c r="O58">
        <v>5</v>
      </c>
    </row>
    <row r="59" spans="1:15" x14ac:dyDescent="0.25">
      <c r="A59" t="s">
        <v>18</v>
      </c>
      <c r="B59">
        <v>15</v>
      </c>
      <c r="C59" t="s">
        <v>19</v>
      </c>
      <c r="D59" t="s">
        <v>95</v>
      </c>
      <c r="E59" t="s">
        <v>113</v>
      </c>
      <c r="F59" t="s">
        <v>145</v>
      </c>
      <c r="G59" t="s">
        <v>259</v>
      </c>
      <c r="H59" t="s">
        <v>764</v>
      </c>
      <c r="I59" t="s">
        <v>704</v>
      </c>
      <c r="J59" t="s">
        <v>369</v>
      </c>
      <c r="K59">
        <v>75</v>
      </c>
      <c r="L59">
        <v>45</v>
      </c>
      <c r="M59">
        <v>5</v>
      </c>
      <c r="N59">
        <v>20</v>
      </c>
      <c r="O59">
        <v>10</v>
      </c>
    </row>
    <row r="60" spans="1:15" x14ac:dyDescent="0.25">
      <c r="A60" t="s">
        <v>20</v>
      </c>
      <c r="B60">
        <v>15</v>
      </c>
      <c r="C60" t="s">
        <v>21</v>
      </c>
      <c r="D60" t="s">
        <v>94</v>
      </c>
      <c r="E60" t="s">
        <v>113</v>
      </c>
      <c r="F60" t="s">
        <v>145</v>
      </c>
      <c r="G60" t="s">
        <v>259</v>
      </c>
      <c r="H60" t="s">
        <v>763</v>
      </c>
      <c r="I60" t="s">
        <v>709</v>
      </c>
      <c r="J60" t="s">
        <v>374</v>
      </c>
      <c r="K60">
        <v>90</v>
      </c>
      <c r="L60">
        <v>10</v>
      </c>
      <c r="M60">
        <v>10</v>
      </c>
      <c r="N60">
        <v>80</v>
      </c>
      <c r="O60">
        <v>20</v>
      </c>
    </row>
    <row r="61" spans="1:15" x14ac:dyDescent="0.25">
      <c r="A61" t="s">
        <v>28</v>
      </c>
      <c r="B61">
        <v>15</v>
      </c>
      <c r="C61" t="s">
        <v>29</v>
      </c>
      <c r="D61" t="s">
        <v>94</v>
      </c>
      <c r="E61" t="s">
        <v>113</v>
      </c>
      <c r="F61" t="s">
        <v>145</v>
      </c>
      <c r="G61" t="s">
        <v>259</v>
      </c>
      <c r="H61" t="s">
        <v>763</v>
      </c>
      <c r="I61" t="s">
        <v>709</v>
      </c>
      <c r="J61" t="s">
        <v>387</v>
      </c>
      <c r="K61">
        <v>60</v>
      </c>
      <c r="L61">
        <v>60</v>
      </c>
      <c r="M61">
        <v>4</v>
      </c>
      <c r="N61">
        <v>4</v>
      </c>
      <c r="O61">
        <v>2</v>
      </c>
    </row>
    <row r="62" spans="1:15" x14ac:dyDescent="0.25">
      <c r="A62" t="s">
        <v>30</v>
      </c>
      <c r="B62">
        <v>15</v>
      </c>
      <c r="C62" t="s">
        <v>31</v>
      </c>
      <c r="D62" t="s">
        <v>95</v>
      </c>
      <c r="E62" t="s">
        <v>113</v>
      </c>
      <c r="F62" t="s">
        <v>145</v>
      </c>
      <c r="G62" t="s">
        <v>259</v>
      </c>
      <c r="H62" t="s">
        <v>764</v>
      </c>
      <c r="I62" t="s">
        <v>704</v>
      </c>
      <c r="J62" t="s">
        <v>391</v>
      </c>
      <c r="K62">
        <v>100</v>
      </c>
      <c r="L62">
        <v>70</v>
      </c>
      <c r="M62">
        <v>10</v>
      </c>
      <c r="N62">
        <v>10</v>
      </c>
      <c r="O62">
        <v>10</v>
      </c>
    </row>
    <row r="63" spans="1:15" x14ac:dyDescent="0.25">
      <c r="A63" t="s">
        <v>38</v>
      </c>
      <c r="B63">
        <v>2</v>
      </c>
      <c r="C63" t="s">
        <v>11</v>
      </c>
      <c r="D63" t="s">
        <v>95</v>
      </c>
      <c r="E63" t="s">
        <v>113</v>
      </c>
      <c r="F63" t="s">
        <v>145</v>
      </c>
      <c r="G63" t="s">
        <v>259</v>
      </c>
      <c r="H63" t="s">
        <v>764</v>
      </c>
      <c r="I63" t="s">
        <v>714</v>
      </c>
      <c r="J63" t="s">
        <v>398</v>
      </c>
      <c r="K63">
        <v>50</v>
      </c>
      <c r="L63">
        <v>70</v>
      </c>
      <c r="M63">
        <v>9</v>
      </c>
      <c r="N63">
        <v>7</v>
      </c>
      <c r="O63">
        <v>5</v>
      </c>
    </row>
    <row r="64" spans="1:15" x14ac:dyDescent="0.25">
      <c r="A64" t="s">
        <v>39</v>
      </c>
      <c r="B64">
        <v>2</v>
      </c>
      <c r="C64" t="s">
        <v>15</v>
      </c>
      <c r="D64" t="s">
        <v>94</v>
      </c>
      <c r="E64" t="s">
        <v>113</v>
      </c>
      <c r="F64" t="s">
        <v>145</v>
      </c>
      <c r="G64" t="s">
        <v>259</v>
      </c>
      <c r="H64" t="s">
        <v>763</v>
      </c>
      <c r="I64" t="s">
        <v>718</v>
      </c>
      <c r="J64" t="s">
        <v>402</v>
      </c>
      <c r="K64">
        <v>60</v>
      </c>
      <c r="L64">
        <v>70</v>
      </c>
      <c r="M64">
        <v>3</v>
      </c>
      <c r="N64">
        <v>25</v>
      </c>
      <c r="O64">
        <v>25</v>
      </c>
    </row>
    <row r="65" spans="1:15" x14ac:dyDescent="0.25">
      <c r="A65" t="s">
        <v>40</v>
      </c>
      <c r="B65">
        <v>2</v>
      </c>
      <c r="C65" t="s">
        <v>17</v>
      </c>
      <c r="D65" t="s">
        <v>95</v>
      </c>
      <c r="E65" t="s">
        <v>113</v>
      </c>
      <c r="F65" t="s">
        <v>145</v>
      </c>
      <c r="G65" t="s">
        <v>259</v>
      </c>
      <c r="H65" t="s">
        <v>764</v>
      </c>
      <c r="I65" t="s">
        <v>714</v>
      </c>
      <c r="J65" t="s">
        <v>406</v>
      </c>
      <c r="K65">
        <v>60</v>
      </c>
      <c r="L65">
        <v>70</v>
      </c>
      <c r="M65">
        <v>8</v>
      </c>
      <c r="N65">
        <v>20</v>
      </c>
      <c r="O65">
        <v>8</v>
      </c>
    </row>
    <row r="66" spans="1:15" x14ac:dyDescent="0.25">
      <c r="A66" t="s">
        <v>41</v>
      </c>
      <c r="B66">
        <v>2</v>
      </c>
      <c r="C66" t="s">
        <v>19</v>
      </c>
      <c r="D66" t="s">
        <v>94</v>
      </c>
      <c r="E66" t="s">
        <v>113</v>
      </c>
      <c r="F66" t="s">
        <v>145</v>
      </c>
      <c r="G66" t="s">
        <v>259</v>
      </c>
      <c r="H66" t="s">
        <v>763</v>
      </c>
      <c r="I66" t="s">
        <v>718</v>
      </c>
      <c r="J66" t="s">
        <v>410</v>
      </c>
      <c r="K66">
        <v>60</v>
      </c>
      <c r="L66">
        <v>55</v>
      </c>
      <c r="M66">
        <v>5</v>
      </c>
      <c r="N66">
        <v>3</v>
      </c>
      <c r="O66">
        <v>2</v>
      </c>
    </row>
    <row r="67" spans="1:15" x14ac:dyDescent="0.25">
      <c r="A67" t="s">
        <v>79</v>
      </c>
      <c r="B67">
        <v>6</v>
      </c>
      <c r="C67" t="s">
        <v>11</v>
      </c>
      <c r="D67" t="s">
        <v>95</v>
      </c>
      <c r="E67" t="s">
        <v>113</v>
      </c>
      <c r="F67" t="s">
        <v>145</v>
      </c>
      <c r="G67" t="s">
        <v>259</v>
      </c>
      <c r="H67" t="s">
        <v>764</v>
      </c>
      <c r="I67" t="s">
        <v>730</v>
      </c>
      <c r="J67" t="s">
        <v>436</v>
      </c>
      <c r="K67">
        <v>50</v>
      </c>
      <c r="L67">
        <v>30</v>
      </c>
      <c r="M67">
        <v>7</v>
      </c>
      <c r="N67">
        <v>7</v>
      </c>
      <c r="O67">
        <v>3</v>
      </c>
    </row>
    <row r="68" spans="1:15" x14ac:dyDescent="0.25">
      <c r="A68" t="s">
        <v>80</v>
      </c>
      <c r="B68">
        <v>6</v>
      </c>
      <c r="C68" t="s">
        <v>15</v>
      </c>
      <c r="D68" t="s">
        <v>95</v>
      </c>
      <c r="E68" t="s">
        <v>113</v>
      </c>
      <c r="F68" t="s">
        <v>145</v>
      </c>
      <c r="G68" t="s">
        <v>259</v>
      </c>
      <c r="H68" t="s">
        <v>764</v>
      </c>
      <c r="I68" t="s">
        <v>730</v>
      </c>
      <c r="J68" t="s">
        <v>440</v>
      </c>
      <c r="K68">
        <v>60</v>
      </c>
      <c r="L68">
        <v>30</v>
      </c>
      <c r="M68">
        <v>4</v>
      </c>
      <c r="N68">
        <v>2</v>
      </c>
      <c r="O68">
        <v>2</v>
      </c>
    </row>
    <row r="69" spans="1:15" x14ac:dyDescent="0.25">
      <c r="A69" t="s">
        <v>81</v>
      </c>
      <c r="B69">
        <v>6</v>
      </c>
      <c r="C69" t="s">
        <v>17</v>
      </c>
      <c r="D69" t="s">
        <v>94</v>
      </c>
      <c r="E69" t="s">
        <v>113</v>
      </c>
      <c r="F69" t="s">
        <v>145</v>
      </c>
      <c r="G69" t="s">
        <v>259</v>
      </c>
      <c r="H69" t="s">
        <v>763</v>
      </c>
      <c r="I69" t="s">
        <v>735</v>
      </c>
      <c r="J69" t="s">
        <v>443</v>
      </c>
      <c r="K69">
        <v>70</v>
      </c>
      <c r="L69">
        <v>110</v>
      </c>
      <c r="M69">
        <v>5</v>
      </c>
      <c r="N69">
        <v>25</v>
      </c>
      <c r="O69">
        <v>15</v>
      </c>
    </row>
    <row r="70" spans="1:15" x14ac:dyDescent="0.25">
      <c r="A70" t="s">
        <v>82</v>
      </c>
      <c r="B70">
        <v>6</v>
      </c>
      <c r="C70" t="s">
        <v>19</v>
      </c>
      <c r="D70" t="s">
        <v>94</v>
      </c>
      <c r="E70" t="s">
        <v>113</v>
      </c>
      <c r="F70" t="s">
        <v>145</v>
      </c>
      <c r="G70" t="s">
        <v>259</v>
      </c>
      <c r="H70" t="s">
        <v>763</v>
      </c>
      <c r="I70" t="s">
        <v>735</v>
      </c>
      <c r="J70" t="s">
        <v>446</v>
      </c>
      <c r="K70">
        <v>90</v>
      </c>
      <c r="L70">
        <v>40</v>
      </c>
      <c r="M70">
        <v>3</v>
      </c>
      <c r="N70">
        <v>4</v>
      </c>
      <c r="O70">
        <v>2</v>
      </c>
    </row>
    <row r="71" spans="1:15" x14ac:dyDescent="0.25">
      <c r="A71" t="s">
        <v>68</v>
      </c>
      <c r="B71">
        <v>10</v>
      </c>
      <c r="C71" t="s">
        <v>15</v>
      </c>
      <c r="D71" t="s">
        <v>95</v>
      </c>
      <c r="E71" t="s">
        <v>110</v>
      </c>
      <c r="F71" t="s">
        <v>145</v>
      </c>
      <c r="G71" t="s">
        <v>262</v>
      </c>
      <c r="H71" t="s">
        <v>768</v>
      </c>
      <c r="I71" t="s">
        <v>670</v>
      </c>
      <c r="J71" t="s">
        <v>280</v>
      </c>
      <c r="K71">
        <v>45</v>
      </c>
      <c r="L71">
        <v>55</v>
      </c>
      <c r="M71">
        <v>12</v>
      </c>
      <c r="N71">
        <v>10</v>
      </c>
      <c r="O71">
        <v>7</v>
      </c>
    </row>
    <row r="72" spans="1:15" x14ac:dyDescent="0.25">
      <c r="A72" t="s">
        <v>73</v>
      </c>
      <c r="B72">
        <v>10</v>
      </c>
      <c r="C72" t="s">
        <v>25</v>
      </c>
      <c r="D72" t="s">
        <v>94</v>
      </c>
      <c r="E72" t="s">
        <v>110</v>
      </c>
      <c r="F72" t="s">
        <v>145</v>
      </c>
      <c r="G72" t="s">
        <v>262</v>
      </c>
      <c r="H72" t="s">
        <v>767</v>
      </c>
      <c r="I72" t="s">
        <v>681</v>
      </c>
      <c r="J72" t="s">
        <v>299</v>
      </c>
      <c r="K72">
        <v>25</v>
      </c>
      <c r="L72">
        <v>25</v>
      </c>
      <c r="M72">
        <v>6</v>
      </c>
      <c r="N72">
        <v>4</v>
      </c>
      <c r="O72">
        <v>3</v>
      </c>
    </row>
    <row r="73" spans="1:15" x14ac:dyDescent="0.25">
      <c r="A73" t="s">
        <v>75</v>
      </c>
      <c r="B73">
        <v>10</v>
      </c>
      <c r="C73" t="s">
        <v>29</v>
      </c>
      <c r="D73" t="s">
        <v>94</v>
      </c>
      <c r="E73" t="s">
        <v>110</v>
      </c>
      <c r="F73" t="s">
        <v>145</v>
      </c>
      <c r="G73" t="s">
        <v>262</v>
      </c>
      <c r="H73" t="s">
        <v>767</v>
      </c>
      <c r="I73" t="s">
        <v>681</v>
      </c>
      <c r="J73" t="s">
        <v>306</v>
      </c>
      <c r="K73">
        <v>120</v>
      </c>
      <c r="L73">
        <v>40</v>
      </c>
      <c r="M73">
        <v>10</v>
      </c>
      <c r="N73">
        <v>200</v>
      </c>
      <c r="O73">
        <v>0</v>
      </c>
    </row>
    <row r="74" spans="1:15" x14ac:dyDescent="0.25">
      <c r="A74" t="s">
        <v>77</v>
      </c>
      <c r="B74">
        <v>10</v>
      </c>
      <c r="C74" t="s">
        <v>33</v>
      </c>
      <c r="D74" t="s">
        <v>94</v>
      </c>
      <c r="E74" t="s">
        <v>110</v>
      </c>
      <c r="F74" t="s">
        <v>145</v>
      </c>
      <c r="G74" t="s">
        <v>262</v>
      </c>
      <c r="H74" t="s">
        <v>767</v>
      </c>
      <c r="I74" t="s">
        <v>681</v>
      </c>
      <c r="J74" t="s">
        <v>310</v>
      </c>
      <c r="K74">
        <v>85</v>
      </c>
      <c r="L74">
        <v>50</v>
      </c>
      <c r="M74">
        <v>15</v>
      </c>
      <c r="N74">
        <v>10</v>
      </c>
      <c r="O74">
        <v>10</v>
      </c>
    </row>
    <row r="75" spans="1:15" x14ac:dyDescent="0.25">
      <c r="A75" t="s">
        <v>54</v>
      </c>
      <c r="B75">
        <v>12</v>
      </c>
      <c r="C75" t="s">
        <v>21</v>
      </c>
      <c r="D75" t="s">
        <v>95</v>
      </c>
      <c r="E75" t="s">
        <v>110</v>
      </c>
      <c r="F75" t="s">
        <v>145</v>
      </c>
      <c r="G75" t="s">
        <v>262</v>
      </c>
      <c r="H75" t="s">
        <v>768</v>
      </c>
      <c r="I75" t="s">
        <v>694</v>
      </c>
      <c r="J75" t="s">
        <v>328</v>
      </c>
      <c r="K75">
        <v>70</v>
      </c>
      <c r="L75">
        <v>90</v>
      </c>
      <c r="M75">
        <v>18</v>
      </c>
      <c r="N75">
        <v>20</v>
      </c>
      <c r="O75">
        <v>10</v>
      </c>
    </row>
    <row r="76" spans="1:15" x14ac:dyDescent="0.25">
      <c r="A76" t="s">
        <v>55</v>
      </c>
      <c r="B76">
        <v>12</v>
      </c>
      <c r="C76" t="s">
        <v>23</v>
      </c>
      <c r="D76" t="s">
        <v>94</v>
      </c>
      <c r="E76" t="s">
        <v>110</v>
      </c>
      <c r="F76" t="s">
        <v>145</v>
      </c>
      <c r="G76" t="s">
        <v>262</v>
      </c>
      <c r="H76" t="s">
        <v>767</v>
      </c>
      <c r="I76" t="s">
        <v>695</v>
      </c>
      <c r="J76" t="s">
        <v>331</v>
      </c>
      <c r="K76">
        <v>80</v>
      </c>
      <c r="L76">
        <v>30</v>
      </c>
      <c r="M76">
        <v>12</v>
      </c>
      <c r="N76">
        <v>65</v>
      </c>
      <c r="O76">
        <v>0</v>
      </c>
    </row>
    <row r="77" spans="1:15" x14ac:dyDescent="0.25">
      <c r="A77" t="s">
        <v>59</v>
      </c>
      <c r="B77">
        <v>12</v>
      </c>
      <c r="C77" t="s">
        <v>31</v>
      </c>
      <c r="D77" t="s">
        <v>94</v>
      </c>
      <c r="E77" t="s">
        <v>110</v>
      </c>
      <c r="F77" t="s">
        <v>145</v>
      </c>
      <c r="G77" t="s">
        <v>262</v>
      </c>
      <c r="H77" t="s">
        <v>767</v>
      </c>
      <c r="I77" t="s">
        <v>695</v>
      </c>
      <c r="J77" t="s">
        <v>345</v>
      </c>
      <c r="K77">
        <v>130</v>
      </c>
      <c r="L77">
        <v>130</v>
      </c>
      <c r="M77">
        <v>10</v>
      </c>
      <c r="N77">
        <v>80</v>
      </c>
      <c r="O77">
        <v>0</v>
      </c>
    </row>
    <row r="78" spans="1:15" x14ac:dyDescent="0.25">
      <c r="A78" t="s">
        <v>60</v>
      </c>
      <c r="B78">
        <v>12</v>
      </c>
      <c r="C78" t="s">
        <v>33</v>
      </c>
      <c r="D78" t="s">
        <v>95</v>
      </c>
      <c r="E78" t="s">
        <v>110</v>
      </c>
      <c r="F78" t="s">
        <v>145</v>
      </c>
      <c r="G78" t="s">
        <v>262</v>
      </c>
      <c r="H78" t="s">
        <v>768</v>
      </c>
      <c r="I78" t="s">
        <v>694</v>
      </c>
      <c r="J78" t="s">
        <v>347</v>
      </c>
      <c r="K78">
        <v>80</v>
      </c>
      <c r="L78">
        <v>120</v>
      </c>
      <c r="M78">
        <v>14</v>
      </c>
      <c r="N78">
        <v>150</v>
      </c>
      <c r="O78">
        <v>20</v>
      </c>
    </row>
    <row r="79" spans="1:15" x14ac:dyDescent="0.25">
      <c r="A79" t="s">
        <v>61</v>
      </c>
      <c r="B79">
        <v>12</v>
      </c>
      <c r="C79" t="s">
        <v>35</v>
      </c>
      <c r="D79" t="s">
        <v>94</v>
      </c>
      <c r="E79" t="s">
        <v>110</v>
      </c>
      <c r="F79" t="s">
        <v>145</v>
      </c>
      <c r="G79" t="s">
        <v>262</v>
      </c>
      <c r="H79" t="s">
        <v>767</v>
      </c>
      <c r="I79" t="s">
        <v>695</v>
      </c>
      <c r="J79" t="s">
        <v>351</v>
      </c>
      <c r="K79">
        <v>20</v>
      </c>
      <c r="L79">
        <v>35</v>
      </c>
      <c r="M79">
        <v>15</v>
      </c>
      <c r="N79">
        <v>70</v>
      </c>
      <c r="O79">
        <v>10</v>
      </c>
    </row>
    <row r="80" spans="1:15" x14ac:dyDescent="0.25">
      <c r="A80" t="s">
        <v>14</v>
      </c>
      <c r="B80">
        <v>15</v>
      </c>
      <c r="C80" t="s">
        <v>15</v>
      </c>
      <c r="D80" t="s">
        <v>94</v>
      </c>
      <c r="E80" t="s">
        <v>110</v>
      </c>
      <c r="F80" t="s">
        <v>145</v>
      </c>
      <c r="G80" t="s">
        <v>262</v>
      </c>
      <c r="H80" t="s">
        <v>767</v>
      </c>
      <c r="I80" t="s">
        <v>702</v>
      </c>
      <c r="J80" t="s">
        <v>362</v>
      </c>
      <c r="K80">
        <v>35</v>
      </c>
      <c r="L80">
        <v>20</v>
      </c>
      <c r="M80">
        <v>20</v>
      </c>
      <c r="N80">
        <v>20</v>
      </c>
      <c r="O80">
        <v>0</v>
      </c>
    </row>
    <row r="81" spans="1:15" x14ac:dyDescent="0.25">
      <c r="A81" t="s">
        <v>16</v>
      </c>
      <c r="B81">
        <v>15</v>
      </c>
      <c r="C81" t="s">
        <v>17</v>
      </c>
      <c r="D81" t="s">
        <v>95</v>
      </c>
      <c r="E81" t="s">
        <v>110</v>
      </c>
      <c r="F81" t="s">
        <v>145</v>
      </c>
      <c r="G81" t="s">
        <v>262</v>
      </c>
      <c r="H81" t="s">
        <v>768</v>
      </c>
      <c r="I81" t="s">
        <v>705</v>
      </c>
      <c r="J81" t="s">
        <v>366</v>
      </c>
      <c r="K81">
        <v>80</v>
      </c>
      <c r="L81">
        <v>40</v>
      </c>
      <c r="M81">
        <v>10</v>
      </c>
      <c r="N81">
        <v>170</v>
      </c>
      <c r="O81">
        <v>70</v>
      </c>
    </row>
    <row r="82" spans="1:15" x14ac:dyDescent="0.25">
      <c r="A82" t="s">
        <v>20</v>
      </c>
      <c r="B82">
        <v>15</v>
      </c>
      <c r="C82" t="s">
        <v>21</v>
      </c>
      <c r="D82" t="s">
        <v>94</v>
      </c>
      <c r="E82" t="s">
        <v>110</v>
      </c>
      <c r="F82" t="s">
        <v>145</v>
      </c>
      <c r="G82" t="s">
        <v>262</v>
      </c>
      <c r="H82" t="s">
        <v>767</v>
      </c>
      <c r="I82" t="s">
        <v>702</v>
      </c>
      <c r="J82" t="s">
        <v>375</v>
      </c>
      <c r="K82">
        <v>30</v>
      </c>
      <c r="L82">
        <v>20</v>
      </c>
      <c r="M82">
        <v>5</v>
      </c>
      <c r="N82">
        <v>55</v>
      </c>
      <c r="O82">
        <v>22</v>
      </c>
    </row>
    <row r="83" spans="1:15" x14ac:dyDescent="0.25">
      <c r="A83" t="s">
        <v>26</v>
      </c>
      <c r="B83">
        <v>15</v>
      </c>
      <c r="C83" t="s">
        <v>27</v>
      </c>
      <c r="D83" t="s">
        <v>95</v>
      </c>
      <c r="E83" t="s">
        <v>110</v>
      </c>
      <c r="F83" t="s">
        <v>145</v>
      </c>
      <c r="G83" t="s">
        <v>262</v>
      </c>
      <c r="H83" t="s">
        <v>768</v>
      </c>
      <c r="I83" t="s">
        <v>705</v>
      </c>
      <c r="J83" t="s">
        <v>385</v>
      </c>
      <c r="K83">
        <v>100</v>
      </c>
      <c r="L83">
        <v>60</v>
      </c>
      <c r="M83">
        <v>12</v>
      </c>
      <c r="N83">
        <v>60</v>
      </c>
      <c r="O83">
        <v>40</v>
      </c>
    </row>
    <row r="84" spans="1:15" x14ac:dyDescent="0.25">
      <c r="A84" t="s">
        <v>36</v>
      </c>
      <c r="B84">
        <v>15</v>
      </c>
      <c r="C84" t="s">
        <v>37</v>
      </c>
      <c r="D84" t="s">
        <v>95</v>
      </c>
      <c r="E84" t="s">
        <v>110</v>
      </c>
      <c r="F84" t="s">
        <v>145</v>
      </c>
      <c r="G84" t="s">
        <v>262</v>
      </c>
      <c r="H84" t="s">
        <v>768</v>
      </c>
      <c r="I84" t="s">
        <v>705</v>
      </c>
      <c r="J84" t="s">
        <v>396</v>
      </c>
      <c r="K84">
        <v>120</v>
      </c>
      <c r="L84">
        <v>55</v>
      </c>
      <c r="M84">
        <v>10</v>
      </c>
      <c r="N84">
        <v>30</v>
      </c>
      <c r="O84">
        <v>10</v>
      </c>
    </row>
    <row r="85" spans="1:15" x14ac:dyDescent="0.25">
      <c r="A85" t="s">
        <v>42</v>
      </c>
      <c r="B85">
        <v>2</v>
      </c>
      <c r="C85" t="s">
        <v>21</v>
      </c>
      <c r="D85" t="s">
        <v>94</v>
      </c>
      <c r="E85" t="s">
        <v>110</v>
      </c>
      <c r="F85" t="s">
        <v>145</v>
      </c>
      <c r="G85" t="s">
        <v>262</v>
      </c>
      <c r="H85" t="s">
        <v>767</v>
      </c>
      <c r="I85" t="s">
        <v>724</v>
      </c>
      <c r="J85" t="s">
        <v>413</v>
      </c>
      <c r="K85">
        <v>70</v>
      </c>
      <c r="L85">
        <v>40</v>
      </c>
      <c r="M85">
        <v>15</v>
      </c>
      <c r="N85">
        <v>20</v>
      </c>
      <c r="O85">
        <v>15</v>
      </c>
    </row>
    <row r="86" spans="1:15" x14ac:dyDescent="0.25">
      <c r="A86" t="s">
        <v>43</v>
      </c>
      <c r="B86">
        <v>2</v>
      </c>
      <c r="C86" t="s">
        <v>23</v>
      </c>
      <c r="D86" t="s">
        <v>94</v>
      </c>
      <c r="E86" t="s">
        <v>110</v>
      </c>
      <c r="F86" t="s">
        <v>145</v>
      </c>
      <c r="G86" t="s">
        <v>262</v>
      </c>
      <c r="H86" t="s">
        <v>767</v>
      </c>
      <c r="I86" t="s">
        <v>724</v>
      </c>
      <c r="J86" t="s">
        <v>417</v>
      </c>
      <c r="K86">
        <v>95</v>
      </c>
      <c r="L86">
        <v>20</v>
      </c>
      <c r="M86">
        <v>15</v>
      </c>
      <c r="N86">
        <v>70</v>
      </c>
      <c r="O86">
        <v>0</v>
      </c>
    </row>
    <row r="87" spans="1:15" x14ac:dyDescent="0.25">
      <c r="A87" t="s">
        <v>46</v>
      </c>
      <c r="B87">
        <v>2</v>
      </c>
      <c r="C87" t="s">
        <v>29</v>
      </c>
      <c r="D87" t="s">
        <v>95</v>
      </c>
      <c r="E87" t="s">
        <v>110</v>
      </c>
      <c r="F87" t="s">
        <v>145</v>
      </c>
      <c r="G87" t="s">
        <v>262</v>
      </c>
      <c r="H87" t="s">
        <v>768</v>
      </c>
      <c r="I87" t="s">
        <v>726</v>
      </c>
      <c r="J87" t="s">
        <v>428</v>
      </c>
      <c r="K87">
        <v>50</v>
      </c>
      <c r="L87">
        <v>65</v>
      </c>
      <c r="M87">
        <v>13</v>
      </c>
      <c r="N87">
        <v>10</v>
      </c>
      <c r="O87">
        <v>6</v>
      </c>
    </row>
    <row r="88" spans="1:15" x14ac:dyDescent="0.25">
      <c r="A88" t="s">
        <v>85</v>
      </c>
      <c r="B88">
        <v>6</v>
      </c>
      <c r="C88" t="s">
        <v>25</v>
      </c>
      <c r="D88" t="s">
        <v>94</v>
      </c>
      <c r="E88" t="s">
        <v>110</v>
      </c>
      <c r="F88" t="s">
        <v>145</v>
      </c>
      <c r="G88" t="s">
        <v>262</v>
      </c>
      <c r="H88" t="s">
        <v>767</v>
      </c>
      <c r="I88" t="s">
        <v>742</v>
      </c>
      <c r="J88" t="s">
        <v>456</v>
      </c>
      <c r="K88">
        <v>90</v>
      </c>
      <c r="L88">
        <v>50</v>
      </c>
      <c r="M88">
        <v>10</v>
      </c>
      <c r="N88">
        <v>45</v>
      </c>
      <c r="O88">
        <v>5</v>
      </c>
    </row>
    <row r="89" spans="1:15" x14ac:dyDescent="0.25">
      <c r="A89" t="s">
        <v>86</v>
      </c>
      <c r="B89">
        <v>6</v>
      </c>
      <c r="C89" t="s">
        <v>27</v>
      </c>
      <c r="D89" t="s">
        <v>94</v>
      </c>
      <c r="E89" t="s">
        <v>110</v>
      </c>
      <c r="F89" t="s">
        <v>145</v>
      </c>
      <c r="G89" t="s">
        <v>262</v>
      </c>
      <c r="H89" t="s">
        <v>767</v>
      </c>
      <c r="I89" t="s">
        <v>742</v>
      </c>
      <c r="J89" t="s">
        <v>457</v>
      </c>
      <c r="K89">
        <v>30</v>
      </c>
      <c r="L89">
        <v>70</v>
      </c>
      <c r="M89">
        <v>20</v>
      </c>
      <c r="N89">
        <v>25</v>
      </c>
      <c r="O89">
        <v>5</v>
      </c>
    </row>
    <row r="90" spans="1:15" x14ac:dyDescent="0.25">
      <c r="A90" t="s">
        <v>87</v>
      </c>
      <c r="B90">
        <v>6</v>
      </c>
      <c r="C90" t="s">
        <v>29</v>
      </c>
      <c r="D90" t="s">
        <v>95</v>
      </c>
      <c r="E90" t="s">
        <v>110</v>
      </c>
      <c r="F90" t="s">
        <v>145</v>
      </c>
      <c r="G90" t="s">
        <v>262</v>
      </c>
      <c r="H90" t="s">
        <v>768</v>
      </c>
      <c r="I90" t="s">
        <v>744</v>
      </c>
      <c r="J90" t="s">
        <v>460</v>
      </c>
      <c r="K90">
        <v>10</v>
      </c>
      <c r="L90">
        <v>50</v>
      </c>
      <c r="M90">
        <v>8</v>
      </c>
      <c r="N90">
        <v>14</v>
      </c>
      <c r="O90">
        <v>5</v>
      </c>
    </row>
    <row r="91" spans="1:15" x14ac:dyDescent="0.25">
      <c r="A91" t="s">
        <v>88</v>
      </c>
      <c r="B91">
        <v>6</v>
      </c>
      <c r="C91" t="s">
        <v>31</v>
      </c>
      <c r="D91" t="s">
        <v>95</v>
      </c>
      <c r="E91" t="s">
        <v>110</v>
      </c>
      <c r="F91" t="s">
        <v>145</v>
      </c>
      <c r="G91" t="s">
        <v>262</v>
      </c>
      <c r="H91" t="s">
        <v>768</v>
      </c>
      <c r="I91" t="s">
        <v>744</v>
      </c>
      <c r="J91" t="s">
        <v>461</v>
      </c>
      <c r="K91">
        <v>180</v>
      </c>
      <c r="L91">
        <v>30</v>
      </c>
      <c r="M91">
        <v>16</v>
      </c>
      <c r="N91">
        <v>25</v>
      </c>
      <c r="O91">
        <v>0</v>
      </c>
    </row>
    <row r="92" spans="1:15" x14ac:dyDescent="0.25">
      <c r="A92" t="s">
        <v>67</v>
      </c>
      <c r="B92">
        <v>10</v>
      </c>
      <c r="C92" t="s">
        <v>11</v>
      </c>
      <c r="D92" t="s">
        <v>94</v>
      </c>
      <c r="E92" t="s">
        <v>103</v>
      </c>
      <c r="F92" t="s">
        <v>145</v>
      </c>
      <c r="G92" t="s">
        <v>260</v>
      </c>
      <c r="H92" t="s">
        <v>771</v>
      </c>
      <c r="I92" t="s">
        <v>667</v>
      </c>
      <c r="J92" t="s">
        <v>277</v>
      </c>
      <c r="K92">
        <v>70</v>
      </c>
      <c r="L92">
        <v>35</v>
      </c>
      <c r="M92">
        <v>25</v>
      </c>
      <c r="N92">
        <v>10</v>
      </c>
      <c r="O92">
        <v>0</v>
      </c>
    </row>
    <row r="93" spans="1:15" x14ac:dyDescent="0.25">
      <c r="A93" t="s">
        <v>69</v>
      </c>
      <c r="B93">
        <v>10</v>
      </c>
      <c r="C93" t="s">
        <v>17</v>
      </c>
      <c r="D93" t="s">
        <v>95</v>
      </c>
      <c r="E93" t="s">
        <v>103</v>
      </c>
      <c r="F93" t="s">
        <v>145</v>
      </c>
      <c r="G93" t="s">
        <v>260</v>
      </c>
      <c r="H93" t="s">
        <v>772</v>
      </c>
      <c r="I93" t="s">
        <v>674</v>
      </c>
      <c r="J93" t="s">
        <v>285</v>
      </c>
      <c r="K93">
        <v>110</v>
      </c>
      <c r="L93">
        <v>30</v>
      </c>
      <c r="M93">
        <v>30</v>
      </c>
      <c r="N93">
        <v>30</v>
      </c>
      <c r="O93">
        <v>20</v>
      </c>
    </row>
    <row r="94" spans="1:15" x14ac:dyDescent="0.25">
      <c r="A94" t="s">
        <v>74</v>
      </c>
      <c r="B94">
        <v>10</v>
      </c>
      <c r="C94" t="s">
        <v>27</v>
      </c>
      <c r="D94" t="s">
        <v>95</v>
      </c>
      <c r="E94" t="s">
        <v>103</v>
      </c>
      <c r="F94" t="s">
        <v>145</v>
      </c>
      <c r="G94" t="s">
        <v>260</v>
      </c>
      <c r="H94" t="s">
        <v>772</v>
      </c>
      <c r="I94" t="s">
        <v>674</v>
      </c>
      <c r="J94" t="s">
        <v>304</v>
      </c>
      <c r="K94">
        <v>50</v>
      </c>
      <c r="L94">
        <v>60</v>
      </c>
      <c r="M94">
        <v>23</v>
      </c>
      <c r="N94">
        <v>25</v>
      </c>
      <c r="O94">
        <v>10</v>
      </c>
    </row>
    <row r="95" spans="1:15" x14ac:dyDescent="0.25">
      <c r="A95" t="s">
        <v>75</v>
      </c>
      <c r="B95">
        <v>10</v>
      </c>
      <c r="C95" t="s">
        <v>29</v>
      </c>
      <c r="D95" t="s">
        <v>94</v>
      </c>
      <c r="E95" t="s">
        <v>103</v>
      </c>
      <c r="F95" t="s">
        <v>145</v>
      </c>
      <c r="G95" t="s">
        <v>260</v>
      </c>
      <c r="H95" t="s">
        <v>771</v>
      </c>
      <c r="I95" t="s">
        <v>667</v>
      </c>
      <c r="J95" t="s">
        <v>307</v>
      </c>
      <c r="K95">
        <v>45</v>
      </c>
      <c r="L95">
        <v>70</v>
      </c>
      <c r="M95">
        <v>35</v>
      </c>
      <c r="N95">
        <v>25</v>
      </c>
      <c r="O95">
        <v>20</v>
      </c>
    </row>
    <row r="96" spans="1:15" x14ac:dyDescent="0.25">
      <c r="A96" t="s">
        <v>50</v>
      </c>
      <c r="B96">
        <v>12</v>
      </c>
      <c r="C96" t="s">
        <v>11</v>
      </c>
      <c r="D96" t="s">
        <v>95</v>
      </c>
      <c r="E96" t="s">
        <v>103</v>
      </c>
      <c r="F96" t="s">
        <v>145</v>
      </c>
      <c r="G96" t="s">
        <v>260</v>
      </c>
      <c r="H96" t="s">
        <v>772</v>
      </c>
      <c r="I96" t="s">
        <v>683</v>
      </c>
      <c r="J96" t="s">
        <v>313</v>
      </c>
      <c r="K96">
        <v>100</v>
      </c>
      <c r="L96">
        <v>60</v>
      </c>
      <c r="M96">
        <v>35</v>
      </c>
      <c r="N96">
        <v>40</v>
      </c>
      <c r="O96">
        <v>15</v>
      </c>
    </row>
    <row r="97" spans="1:15" x14ac:dyDescent="0.25">
      <c r="A97" t="s">
        <v>52</v>
      </c>
      <c r="B97">
        <v>12</v>
      </c>
      <c r="C97" t="s">
        <v>17</v>
      </c>
      <c r="D97" t="s">
        <v>95</v>
      </c>
      <c r="E97" t="s">
        <v>103</v>
      </c>
      <c r="F97" t="s">
        <v>145</v>
      </c>
      <c r="G97" t="s">
        <v>260</v>
      </c>
      <c r="H97" t="s">
        <v>772</v>
      </c>
      <c r="I97" t="s">
        <v>683</v>
      </c>
      <c r="J97" t="s">
        <v>320</v>
      </c>
      <c r="K97">
        <v>40</v>
      </c>
      <c r="L97">
        <v>60</v>
      </c>
      <c r="M97">
        <v>38</v>
      </c>
      <c r="N97">
        <v>40</v>
      </c>
      <c r="O97">
        <v>30</v>
      </c>
    </row>
    <row r="98" spans="1:15" x14ac:dyDescent="0.25">
      <c r="A98" t="s">
        <v>53</v>
      </c>
      <c r="B98">
        <v>12</v>
      </c>
      <c r="C98" t="s">
        <v>19</v>
      </c>
      <c r="D98" t="s">
        <v>94</v>
      </c>
      <c r="E98" t="s">
        <v>103</v>
      </c>
      <c r="F98" t="s">
        <v>145</v>
      </c>
      <c r="G98" t="s">
        <v>260</v>
      </c>
      <c r="H98" t="s">
        <v>771</v>
      </c>
      <c r="I98" t="s">
        <v>693</v>
      </c>
      <c r="J98" t="s">
        <v>325</v>
      </c>
      <c r="K98">
        <v>20</v>
      </c>
      <c r="L98">
        <v>60</v>
      </c>
      <c r="M98">
        <v>12</v>
      </c>
      <c r="N98">
        <v>5</v>
      </c>
      <c r="O98">
        <v>2</v>
      </c>
    </row>
    <row r="99" spans="1:15" x14ac:dyDescent="0.25">
      <c r="A99" t="s">
        <v>55</v>
      </c>
      <c r="B99">
        <v>12</v>
      </c>
      <c r="C99" t="s">
        <v>23</v>
      </c>
      <c r="D99" t="s">
        <v>94</v>
      </c>
      <c r="E99" t="s">
        <v>103</v>
      </c>
      <c r="F99" t="s">
        <v>145</v>
      </c>
      <c r="G99" t="s">
        <v>260</v>
      </c>
      <c r="H99" t="s">
        <v>771</v>
      </c>
      <c r="I99" t="s">
        <v>693</v>
      </c>
      <c r="J99" t="s">
        <v>332</v>
      </c>
      <c r="K99">
        <v>50</v>
      </c>
      <c r="L99">
        <v>50</v>
      </c>
      <c r="M99">
        <v>30</v>
      </c>
      <c r="N99">
        <v>15</v>
      </c>
      <c r="O99">
        <v>10</v>
      </c>
    </row>
    <row r="100" spans="1:15" x14ac:dyDescent="0.25">
      <c r="A100" t="s">
        <v>58</v>
      </c>
      <c r="B100">
        <v>12</v>
      </c>
      <c r="C100" t="s">
        <v>29</v>
      </c>
      <c r="D100" t="s">
        <v>95</v>
      </c>
      <c r="E100" t="s">
        <v>103</v>
      </c>
      <c r="F100" t="s">
        <v>145</v>
      </c>
      <c r="G100" t="s">
        <v>260</v>
      </c>
      <c r="H100" t="s">
        <v>772</v>
      </c>
      <c r="I100" t="s">
        <v>683</v>
      </c>
      <c r="J100" t="s">
        <v>343</v>
      </c>
      <c r="K100">
        <v>60</v>
      </c>
      <c r="L100">
        <v>75</v>
      </c>
      <c r="M100">
        <v>30</v>
      </c>
      <c r="N100">
        <v>15</v>
      </c>
      <c r="O100">
        <v>12</v>
      </c>
    </row>
    <row r="101" spans="1:15" x14ac:dyDescent="0.25">
      <c r="A101" t="s">
        <v>62</v>
      </c>
      <c r="B101">
        <v>12</v>
      </c>
      <c r="C101" t="s">
        <v>37</v>
      </c>
      <c r="D101" t="s">
        <v>95</v>
      </c>
      <c r="E101" t="s">
        <v>103</v>
      </c>
      <c r="F101" t="s">
        <v>145</v>
      </c>
      <c r="G101" t="s">
        <v>260</v>
      </c>
      <c r="H101" t="s">
        <v>772</v>
      </c>
      <c r="I101" t="s">
        <v>683</v>
      </c>
      <c r="J101" t="s">
        <v>354</v>
      </c>
      <c r="K101">
        <v>60</v>
      </c>
      <c r="L101">
        <v>50</v>
      </c>
      <c r="M101">
        <v>30</v>
      </c>
      <c r="N101">
        <v>20</v>
      </c>
      <c r="O101">
        <v>10</v>
      </c>
    </row>
    <row r="102" spans="1:15" x14ac:dyDescent="0.25">
      <c r="A102" t="s">
        <v>10</v>
      </c>
      <c r="B102">
        <v>15</v>
      </c>
      <c r="C102" t="s">
        <v>11</v>
      </c>
      <c r="D102" t="s">
        <v>94</v>
      </c>
      <c r="E102" t="s">
        <v>103</v>
      </c>
      <c r="F102" t="s">
        <v>145</v>
      </c>
      <c r="G102" t="s">
        <v>260</v>
      </c>
      <c r="H102" t="s">
        <v>771</v>
      </c>
      <c r="I102" t="s">
        <v>700</v>
      </c>
      <c r="J102" t="s">
        <v>359</v>
      </c>
      <c r="K102">
        <v>50</v>
      </c>
      <c r="L102">
        <v>60</v>
      </c>
      <c r="M102">
        <v>20</v>
      </c>
      <c r="N102">
        <v>20</v>
      </c>
      <c r="O102">
        <v>13</v>
      </c>
    </row>
    <row r="103" spans="1:15" x14ac:dyDescent="0.25">
      <c r="A103" t="s">
        <v>22</v>
      </c>
      <c r="B103">
        <v>15</v>
      </c>
      <c r="C103" t="s">
        <v>23</v>
      </c>
      <c r="D103" t="s">
        <v>95</v>
      </c>
      <c r="E103" t="s">
        <v>103</v>
      </c>
      <c r="F103" t="s">
        <v>145</v>
      </c>
      <c r="G103" t="s">
        <v>260</v>
      </c>
      <c r="H103" t="s">
        <v>772</v>
      </c>
      <c r="I103" t="s">
        <v>712</v>
      </c>
      <c r="J103" t="s">
        <v>379</v>
      </c>
      <c r="K103">
        <v>70</v>
      </c>
      <c r="L103">
        <v>170</v>
      </c>
      <c r="M103">
        <v>20</v>
      </c>
      <c r="N103">
        <v>20</v>
      </c>
      <c r="O103">
        <v>3</v>
      </c>
    </row>
    <row r="104" spans="1:15" x14ac:dyDescent="0.25">
      <c r="A104" t="s">
        <v>28</v>
      </c>
      <c r="B104">
        <v>15</v>
      </c>
      <c r="C104" t="s">
        <v>29</v>
      </c>
      <c r="D104" t="s">
        <v>94</v>
      </c>
      <c r="E104" t="s">
        <v>103</v>
      </c>
      <c r="F104" t="s">
        <v>145</v>
      </c>
      <c r="G104" t="s">
        <v>260</v>
      </c>
      <c r="H104" t="s">
        <v>771</v>
      </c>
      <c r="I104" t="s">
        <v>700</v>
      </c>
      <c r="J104" t="s">
        <v>388</v>
      </c>
      <c r="K104">
        <v>75</v>
      </c>
      <c r="L104">
        <v>25</v>
      </c>
      <c r="M104">
        <v>20</v>
      </c>
      <c r="N104">
        <v>10</v>
      </c>
      <c r="O104">
        <v>0</v>
      </c>
    </row>
    <row r="105" spans="1:15" x14ac:dyDescent="0.25">
      <c r="A105" t="s">
        <v>30</v>
      </c>
      <c r="B105">
        <v>15</v>
      </c>
      <c r="C105" t="s">
        <v>31</v>
      </c>
      <c r="D105" t="s">
        <v>95</v>
      </c>
      <c r="E105" t="s">
        <v>103</v>
      </c>
      <c r="F105" t="s">
        <v>145</v>
      </c>
      <c r="G105" t="s">
        <v>260</v>
      </c>
      <c r="H105" t="s">
        <v>772</v>
      </c>
      <c r="I105" t="s">
        <v>712</v>
      </c>
      <c r="J105" t="s">
        <v>392</v>
      </c>
      <c r="K105">
        <v>90</v>
      </c>
      <c r="L105">
        <v>20</v>
      </c>
      <c r="M105">
        <v>30</v>
      </c>
      <c r="N105">
        <v>25</v>
      </c>
      <c r="O105">
        <v>10</v>
      </c>
    </row>
    <row r="106" spans="1:15" x14ac:dyDescent="0.25">
      <c r="A106" t="s">
        <v>38</v>
      </c>
      <c r="B106">
        <v>2</v>
      </c>
      <c r="C106" t="s">
        <v>11</v>
      </c>
      <c r="D106" t="s">
        <v>95</v>
      </c>
      <c r="E106" t="s">
        <v>103</v>
      </c>
      <c r="F106" t="s">
        <v>145</v>
      </c>
      <c r="G106" t="s">
        <v>260</v>
      </c>
      <c r="H106" t="s">
        <v>772</v>
      </c>
      <c r="I106" t="s">
        <v>715</v>
      </c>
      <c r="J106" t="s">
        <v>399</v>
      </c>
      <c r="K106">
        <v>90</v>
      </c>
      <c r="L106">
        <v>35</v>
      </c>
      <c r="M106">
        <v>23</v>
      </c>
      <c r="N106">
        <v>25</v>
      </c>
      <c r="O106">
        <v>25</v>
      </c>
    </row>
    <row r="107" spans="1:15" x14ac:dyDescent="0.25">
      <c r="A107" t="s">
        <v>39</v>
      </c>
      <c r="B107">
        <v>2</v>
      </c>
      <c r="C107" t="s">
        <v>15</v>
      </c>
      <c r="D107" t="s">
        <v>94</v>
      </c>
      <c r="E107" t="s">
        <v>103</v>
      </c>
      <c r="F107" t="s">
        <v>145</v>
      </c>
      <c r="G107" t="s">
        <v>260</v>
      </c>
      <c r="H107" t="s">
        <v>771</v>
      </c>
      <c r="I107" t="s">
        <v>719</v>
      </c>
      <c r="J107" t="s">
        <v>403</v>
      </c>
      <c r="K107">
        <v>40</v>
      </c>
      <c r="L107">
        <v>50</v>
      </c>
      <c r="M107">
        <v>15</v>
      </c>
      <c r="N107">
        <v>18</v>
      </c>
      <c r="O107">
        <v>10</v>
      </c>
    </row>
    <row r="108" spans="1:15" x14ac:dyDescent="0.25">
      <c r="A108" t="s">
        <v>40</v>
      </c>
      <c r="B108">
        <v>2</v>
      </c>
      <c r="C108" t="s">
        <v>17</v>
      </c>
      <c r="D108" t="s">
        <v>95</v>
      </c>
      <c r="E108" t="s">
        <v>103</v>
      </c>
      <c r="F108" t="s">
        <v>145</v>
      </c>
      <c r="G108" t="s">
        <v>260</v>
      </c>
      <c r="H108" t="s">
        <v>772</v>
      </c>
      <c r="I108" t="s">
        <v>715</v>
      </c>
      <c r="J108" t="s">
        <v>407</v>
      </c>
      <c r="K108">
        <v>90</v>
      </c>
      <c r="L108">
        <v>40</v>
      </c>
      <c r="M108">
        <v>22</v>
      </c>
      <c r="N108">
        <v>20</v>
      </c>
      <c r="O108">
        <v>0</v>
      </c>
    </row>
    <row r="109" spans="1:15" x14ac:dyDescent="0.25">
      <c r="A109" t="s">
        <v>41</v>
      </c>
      <c r="B109">
        <v>2</v>
      </c>
      <c r="C109" t="s">
        <v>19</v>
      </c>
      <c r="D109" t="s">
        <v>94</v>
      </c>
      <c r="E109" t="s">
        <v>103</v>
      </c>
      <c r="F109" t="s">
        <v>145</v>
      </c>
      <c r="G109" t="s">
        <v>260</v>
      </c>
      <c r="H109" t="s">
        <v>771</v>
      </c>
      <c r="I109" t="s">
        <v>719</v>
      </c>
      <c r="J109" t="s">
        <v>411</v>
      </c>
      <c r="K109">
        <v>50</v>
      </c>
      <c r="L109">
        <v>40</v>
      </c>
      <c r="M109">
        <v>12</v>
      </c>
      <c r="N109">
        <v>10</v>
      </c>
      <c r="O109">
        <v>10</v>
      </c>
    </row>
    <row r="110" spans="1:15" x14ac:dyDescent="0.25">
      <c r="A110" t="s">
        <v>79</v>
      </c>
      <c r="B110">
        <v>6</v>
      </c>
      <c r="C110" t="s">
        <v>11</v>
      </c>
      <c r="D110" t="s">
        <v>95</v>
      </c>
      <c r="E110" t="s">
        <v>103</v>
      </c>
      <c r="F110" t="s">
        <v>145</v>
      </c>
      <c r="G110" t="s">
        <v>260</v>
      </c>
      <c r="H110" t="s">
        <v>772</v>
      </c>
      <c r="I110" t="s">
        <v>731</v>
      </c>
      <c r="J110" t="s">
        <v>437</v>
      </c>
      <c r="K110">
        <v>55</v>
      </c>
      <c r="L110">
        <v>70</v>
      </c>
      <c r="M110">
        <v>25</v>
      </c>
      <c r="N110">
        <v>20</v>
      </c>
      <c r="O110">
        <v>10</v>
      </c>
    </row>
    <row r="111" spans="1:15" x14ac:dyDescent="0.25">
      <c r="A111" t="s">
        <v>80</v>
      </c>
      <c r="B111">
        <v>6</v>
      </c>
      <c r="C111" t="s">
        <v>15</v>
      </c>
      <c r="D111" t="s">
        <v>95</v>
      </c>
      <c r="E111" t="s">
        <v>103</v>
      </c>
      <c r="F111" t="s">
        <v>145</v>
      </c>
      <c r="G111" t="s">
        <v>260</v>
      </c>
      <c r="H111" t="s">
        <v>772</v>
      </c>
      <c r="I111" t="s">
        <v>731</v>
      </c>
      <c r="J111" t="s">
        <v>441</v>
      </c>
      <c r="K111">
        <v>40</v>
      </c>
      <c r="L111">
        <v>70</v>
      </c>
      <c r="M111">
        <v>32</v>
      </c>
      <c r="N111">
        <v>26</v>
      </c>
      <c r="O111">
        <v>3</v>
      </c>
    </row>
    <row r="112" spans="1:15" x14ac:dyDescent="0.25">
      <c r="A112" t="s">
        <v>81</v>
      </c>
      <c r="B112">
        <v>6</v>
      </c>
      <c r="C112" t="s">
        <v>17</v>
      </c>
      <c r="D112" t="s">
        <v>94</v>
      </c>
      <c r="E112" t="s">
        <v>103</v>
      </c>
      <c r="F112" t="s">
        <v>145</v>
      </c>
      <c r="G112" t="s">
        <v>260</v>
      </c>
      <c r="H112" t="s">
        <v>771</v>
      </c>
      <c r="I112" t="s">
        <v>736</v>
      </c>
      <c r="J112" t="s">
        <v>444</v>
      </c>
      <c r="K112">
        <v>100</v>
      </c>
      <c r="L112">
        <v>50</v>
      </c>
      <c r="M112">
        <v>30</v>
      </c>
      <c r="N112">
        <v>15</v>
      </c>
      <c r="O112">
        <v>10</v>
      </c>
    </row>
    <row r="113" spans="1:15" x14ac:dyDescent="0.25">
      <c r="A113" t="s">
        <v>83</v>
      </c>
      <c r="B113">
        <v>6</v>
      </c>
      <c r="C113" t="s">
        <v>21</v>
      </c>
      <c r="D113" t="s">
        <v>94</v>
      </c>
      <c r="E113" t="s">
        <v>103</v>
      </c>
      <c r="F113" t="s">
        <v>145</v>
      </c>
      <c r="G113" t="s">
        <v>260</v>
      </c>
      <c r="H113" t="s">
        <v>771</v>
      </c>
      <c r="I113" t="s">
        <v>736</v>
      </c>
      <c r="J113" t="s">
        <v>449</v>
      </c>
      <c r="K113">
        <v>60</v>
      </c>
      <c r="L113">
        <v>40</v>
      </c>
      <c r="M113">
        <v>30</v>
      </c>
      <c r="N113">
        <v>55</v>
      </c>
      <c r="O113">
        <v>30</v>
      </c>
    </row>
    <row r="114" spans="1:15" x14ac:dyDescent="0.25">
      <c r="A114" t="s">
        <v>68</v>
      </c>
      <c r="B114">
        <v>10</v>
      </c>
      <c r="C114" t="s">
        <v>15</v>
      </c>
      <c r="D114" t="s">
        <v>95</v>
      </c>
      <c r="E114" t="s">
        <v>111</v>
      </c>
      <c r="F114" t="s">
        <v>145</v>
      </c>
      <c r="G114" t="s">
        <v>263</v>
      </c>
      <c r="H114" t="s">
        <v>776</v>
      </c>
      <c r="I114" t="s">
        <v>671</v>
      </c>
      <c r="J114" t="s">
        <v>281</v>
      </c>
      <c r="K114">
        <v>250</v>
      </c>
      <c r="L114">
        <v>260</v>
      </c>
      <c r="M114">
        <v>75</v>
      </c>
      <c r="N114">
        <v>110</v>
      </c>
      <c r="O114">
        <v>30</v>
      </c>
    </row>
    <row r="115" spans="1:15" x14ac:dyDescent="0.25">
      <c r="A115" t="s">
        <v>69</v>
      </c>
      <c r="B115">
        <v>10</v>
      </c>
      <c r="C115" t="s">
        <v>17</v>
      </c>
      <c r="D115" t="s">
        <v>95</v>
      </c>
      <c r="E115" t="s">
        <v>111</v>
      </c>
      <c r="F115" t="s">
        <v>145</v>
      </c>
      <c r="G115" t="s">
        <v>263</v>
      </c>
      <c r="H115" t="s">
        <v>776</v>
      </c>
      <c r="I115" t="s">
        <v>671</v>
      </c>
      <c r="J115" t="s">
        <v>286</v>
      </c>
      <c r="K115">
        <v>150</v>
      </c>
      <c r="L115">
        <v>210</v>
      </c>
      <c r="M115">
        <v>45</v>
      </c>
      <c r="N115">
        <v>40</v>
      </c>
      <c r="O115">
        <v>30</v>
      </c>
    </row>
    <row r="116" spans="1:15" x14ac:dyDescent="0.25">
      <c r="A116" t="s">
        <v>70</v>
      </c>
      <c r="B116">
        <v>10</v>
      </c>
      <c r="C116" t="s">
        <v>19</v>
      </c>
      <c r="D116" t="s">
        <v>95</v>
      </c>
      <c r="E116" t="s">
        <v>111</v>
      </c>
      <c r="F116" t="s">
        <v>145</v>
      </c>
      <c r="G116" t="s">
        <v>263</v>
      </c>
      <c r="H116" t="s">
        <v>776</v>
      </c>
      <c r="I116" t="s">
        <v>671</v>
      </c>
      <c r="J116" t="s">
        <v>290</v>
      </c>
      <c r="K116">
        <v>290</v>
      </c>
      <c r="L116">
        <v>205</v>
      </c>
      <c r="M116">
        <v>75</v>
      </c>
      <c r="N116">
        <v>140</v>
      </c>
      <c r="O116">
        <v>50</v>
      </c>
    </row>
    <row r="117" spans="1:15" x14ac:dyDescent="0.25">
      <c r="A117" t="s">
        <v>71</v>
      </c>
      <c r="B117">
        <v>10</v>
      </c>
      <c r="C117" t="s">
        <v>21</v>
      </c>
      <c r="D117" t="s">
        <v>94</v>
      </c>
      <c r="E117" t="s">
        <v>111</v>
      </c>
      <c r="F117" t="s">
        <v>145</v>
      </c>
      <c r="G117" t="s">
        <v>263</v>
      </c>
      <c r="H117" t="s">
        <v>775</v>
      </c>
      <c r="I117" t="s">
        <v>678</v>
      </c>
      <c r="J117" t="s">
        <v>292</v>
      </c>
      <c r="K117">
        <v>330</v>
      </c>
      <c r="L117">
        <v>190</v>
      </c>
      <c r="M117">
        <v>110</v>
      </c>
      <c r="N117">
        <v>200</v>
      </c>
      <c r="O117">
        <v>50</v>
      </c>
    </row>
    <row r="118" spans="1:15" x14ac:dyDescent="0.25">
      <c r="A118" t="s">
        <v>72</v>
      </c>
      <c r="B118">
        <v>10</v>
      </c>
      <c r="C118" t="s">
        <v>23</v>
      </c>
      <c r="D118" t="s">
        <v>95</v>
      </c>
      <c r="E118" t="s">
        <v>111</v>
      </c>
      <c r="F118" t="s">
        <v>145</v>
      </c>
      <c r="G118" t="s">
        <v>263</v>
      </c>
      <c r="H118" t="s">
        <v>776</v>
      </c>
      <c r="I118" t="s">
        <v>671</v>
      </c>
      <c r="J118" t="s">
        <v>295</v>
      </c>
      <c r="K118">
        <v>80</v>
      </c>
      <c r="L118">
        <v>280</v>
      </c>
      <c r="M118">
        <v>70</v>
      </c>
      <c r="N118">
        <v>70</v>
      </c>
      <c r="O118">
        <v>45</v>
      </c>
    </row>
    <row r="119" spans="1:15" x14ac:dyDescent="0.25">
      <c r="A119" t="s">
        <v>78</v>
      </c>
      <c r="B119">
        <v>10</v>
      </c>
      <c r="C119" t="s">
        <v>35</v>
      </c>
      <c r="D119" t="s">
        <v>94</v>
      </c>
      <c r="E119" t="s">
        <v>111</v>
      </c>
      <c r="F119" t="s">
        <v>145</v>
      </c>
      <c r="G119" t="s">
        <v>263</v>
      </c>
      <c r="H119" t="s">
        <v>775</v>
      </c>
      <c r="I119" t="s">
        <v>678</v>
      </c>
      <c r="J119" t="s">
        <v>311</v>
      </c>
      <c r="K119">
        <v>250</v>
      </c>
      <c r="L119">
        <v>300</v>
      </c>
      <c r="M119">
        <v>90</v>
      </c>
      <c r="N119">
        <v>100</v>
      </c>
      <c r="O119">
        <v>70</v>
      </c>
    </row>
    <row r="120" spans="1:15" x14ac:dyDescent="0.25">
      <c r="A120" t="s">
        <v>50</v>
      </c>
      <c r="B120">
        <v>12</v>
      </c>
      <c r="C120" t="s">
        <v>11</v>
      </c>
      <c r="D120" t="s">
        <v>95</v>
      </c>
      <c r="E120" t="s">
        <v>111</v>
      </c>
      <c r="F120" t="s">
        <v>145</v>
      </c>
      <c r="G120" t="s">
        <v>263</v>
      </c>
      <c r="H120" t="s">
        <v>776</v>
      </c>
      <c r="I120" t="s">
        <v>684</v>
      </c>
      <c r="J120" t="s">
        <v>314</v>
      </c>
      <c r="K120">
        <v>290</v>
      </c>
      <c r="L120">
        <v>270</v>
      </c>
      <c r="M120">
        <v>60</v>
      </c>
      <c r="N120">
        <v>200</v>
      </c>
      <c r="O120">
        <v>90</v>
      </c>
    </row>
    <row r="121" spans="1:15" x14ac:dyDescent="0.25">
      <c r="A121" t="s">
        <v>51</v>
      </c>
      <c r="B121">
        <v>12</v>
      </c>
      <c r="C121" t="s">
        <v>15</v>
      </c>
      <c r="D121" t="s">
        <v>94</v>
      </c>
      <c r="E121" t="s">
        <v>111</v>
      </c>
      <c r="F121" t="s">
        <v>145</v>
      </c>
      <c r="G121" t="s">
        <v>263</v>
      </c>
      <c r="H121" t="s">
        <v>775</v>
      </c>
      <c r="I121" t="s">
        <v>687</v>
      </c>
      <c r="J121" t="s">
        <v>317</v>
      </c>
      <c r="K121">
        <v>180</v>
      </c>
      <c r="L121">
        <v>250</v>
      </c>
      <c r="M121">
        <v>70</v>
      </c>
      <c r="N121">
        <v>110</v>
      </c>
      <c r="O121">
        <v>60</v>
      </c>
    </row>
    <row r="122" spans="1:15" x14ac:dyDescent="0.25">
      <c r="A122" t="s">
        <v>52</v>
      </c>
      <c r="B122">
        <v>12</v>
      </c>
      <c r="C122" t="s">
        <v>17</v>
      </c>
      <c r="D122" t="s">
        <v>95</v>
      </c>
      <c r="E122" t="s">
        <v>111</v>
      </c>
      <c r="F122" t="s">
        <v>145</v>
      </c>
      <c r="G122" t="s">
        <v>263</v>
      </c>
      <c r="H122" t="s">
        <v>776</v>
      </c>
      <c r="I122" t="s">
        <v>684</v>
      </c>
      <c r="J122" t="s">
        <v>321</v>
      </c>
      <c r="K122">
        <v>300</v>
      </c>
      <c r="L122">
        <v>290</v>
      </c>
      <c r="M122">
        <v>70</v>
      </c>
      <c r="N122">
        <v>55</v>
      </c>
      <c r="O122">
        <v>10</v>
      </c>
    </row>
    <row r="123" spans="1:15" x14ac:dyDescent="0.25">
      <c r="A123" t="s">
        <v>54</v>
      </c>
      <c r="B123">
        <v>12</v>
      </c>
      <c r="C123" t="s">
        <v>21</v>
      </c>
      <c r="D123" t="s">
        <v>95</v>
      </c>
      <c r="E123" t="s">
        <v>111</v>
      </c>
      <c r="F123" t="s">
        <v>145</v>
      </c>
      <c r="G123" t="s">
        <v>263</v>
      </c>
      <c r="H123" t="s">
        <v>776</v>
      </c>
      <c r="I123" t="s">
        <v>684</v>
      </c>
      <c r="J123" t="s">
        <v>329</v>
      </c>
      <c r="K123">
        <v>360</v>
      </c>
      <c r="L123">
        <v>280</v>
      </c>
      <c r="M123">
        <v>100</v>
      </c>
      <c r="N123">
        <v>260</v>
      </c>
      <c r="O123">
        <v>100</v>
      </c>
    </row>
    <row r="124" spans="1:15" x14ac:dyDescent="0.25">
      <c r="A124" t="s">
        <v>55</v>
      </c>
      <c r="B124">
        <v>12</v>
      </c>
      <c r="C124" t="s">
        <v>23</v>
      </c>
      <c r="D124" t="s">
        <v>94</v>
      </c>
      <c r="E124" t="s">
        <v>111</v>
      </c>
      <c r="F124" t="s">
        <v>145</v>
      </c>
      <c r="G124" t="s">
        <v>263</v>
      </c>
      <c r="H124" t="s">
        <v>775</v>
      </c>
      <c r="I124" t="s">
        <v>687</v>
      </c>
      <c r="J124" t="s">
        <v>333</v>
      </c>
      <c r="K124">
        <v>290</v>
      </c>
      <c r="L124">
        <v>290</v>
      </c>
      <c r="M124">
        <v>60</v>
      </c>
      <c r="N124">
        <v>70</v>
      </c>
      <c r="O124">
        <v>0</v>
      </c>
    </row>
    <row r="125" spans="1:15" x14ac:dyDescent="0.25">
      <c r="A125" t="s">
        <v>56</v>
      </c>
      <c r="B125">
        <v>12</v>
      </c>
      <c r="C125" t="s">
        <v>25</v>
      </c>
      <c r="D125" t="s">
        <v>94</v>
      </c>
      <c r="E125" t="s">
        <v>111</v>
      </c>
      <c r="F125" t="s">
        <v>145</v>
      </c>
      <c r="G125" t="s">
        <v>263</v>
      </c>
      <c r="H125" t="s">
        <v>775</v>
      </c>
      <c r="I125" t="s">
        <v>687</v>
      </c>
      <c r="J125" t="s">
        <v>335</v>
      </c>
      <c r="K125">
        <v>180</v>
      </c>
      <c r="L125">
        <v>240</v>
      </c>
      <c r="M125">
        <v>50</v>
      </c>
      <c r="N125">
        <v>35</v>
      </c>
      <c r="O125">
        <v>10</v>
      </c>
    </row>
    <row r="126" spans="1:15" x14ac:dyDescent="0.25">
      <c r="A126" t="s">
        <v>14</v>
      </c>
      <c r="B126">
        <v>15</v>
      </c>
      <c r="C126" t="s">
        <v>15</v>
      </c>
      <c r="D126" t="s">
        <v>94</v>
      </c>
      <c r="E126" t="s">
        <v>111</v>
      </c>
      <c r="F126" t="s">
        <v>145</v>
      </c>
      <c r="G126" t="s">
        <v>263</v>
      </c>
      <c r="H126" t="s">
        <v>775</v>
      </c>
      <c r="I126" t="s">
        <v>703</v>
      </c>
      <c r="J126" t="s">
        <v>363</v>
      </c>
      <c r="K126">
        <v>240</v>
      </c>
      <c r="L126">
        <v>260</v>
      </c>
      <c r="M126">
        <v>82</v>
      </c>
      <c r="N126">
        <v>170</v>
      </c>
      <c r="O126">
        <v>110</v>
      </c>
    </row>
    <row r="127" spans="1:15" x14ac:dyDescent="0.25">
      <c r="A127" t="s">
        <v>16</v>
      </c>
      <c r="B127">
        <v>15</v>
      </c>
      <c r="C127" t="s">
        <v>17</v>
      </c>
      <c r="D127" t="s">
        <v>95</v>
      </c>
      <c r="E127" t="s">
        <v>111</v>
      </c>
      <c r="F127" t="s">
        <v>145</v>
      </c>
      <c r="G127" t="s">
        <v>263</v>
      </c>
      <c r="H127" t="s">
        <v>776</v>
      </c>
      <c r="I127" t="s">
        <v>706</v>
      </c>
      <c r="J127" t="s">
        <v>367</v>
      </c>
      <c r="K127">
        <v>320</v>
      </c>
      <c r="L127">
        <v>210</v>
      </c>
      <c r="M127">
        <v>60</v>
      </c>
      <c r="N127">
        <v>230</v>
      </c>
      <c r="O127">
        <v>100</v>
      </c>
    </row>
    <row r="128" spans="1:15" x14ac:dyDescent="0.25">
      <c r="A128" t="s">
        <v>18</v>
      </c>
      <c r="B128">
        <v>15</v>
      </c>
      <c r="C128" t="s">
        <v>19</v>
      </c>
      <c r="D128" t="s">
        <v>95</v>
      </c>
      <c r="E128" t="s">
        <v>111</v>
      </c>
      <c r="F128" t="s">
        <v>145</v>
      </c>
      <c r="G128" t="s">
        <v>263</v>
      </c>
      <c r="H128" t="s">
        <v>776</v>
      </c>
      <c r="I128" t="s">
        <v>706</v>
      </c>
      <c r="J128" t="s">
        <v>370</v>
      </c>
      <c r="K128">
        <v>230</v>
      </c>
      <c r="L128">
        <v>230</v>
      </c>
      <c r="M128">
        <v>65</v>
      </c>
      <c r="N128">
        <v>80</v>
      </c>
      <c r="O128">
        <v>40</v>
      </c>
    </row>
    <row r="129" spans="1:15" x14ac:dyDescent="0.25">
      <c r="A129" t="s">
        <v>20</v>
      </c>
      <c r="B129">
        <v>15</v>
      </c>
      <c r="C129" t="s">
        <v>21</v>
      </c>
      <c r="D129" t="s">
        <v>94</v>
      </c>
      <c r="E129" t="s">
        <v>111</v>
      </c>
      <c r="F129" t="s">
        <v>145</v>
      </c>
      <c r="G129" t="s">
        <v>263</v>
      </c>
      <c r="H129" t="s">
        <v>775</v>
      </c>
      <c r="I129" t="s">
        <v>703</v>
      </c>
      <c r="J129" t="s">
        <v>376</v>
      </c>
      <c r="K129">
        <v>250</v>
      </c>
      <c r="L129">
        <v>180</v>
      </c>
      <c r="M129">
        <v>90</v>
      </c>
      <c r="N129">
        <v>200</v>
      </c>
      <c r="O129">
        <v>150</v>
      </c>
    </row>
    <row r="130" spans="1:15" x14ac:dyDescent="0.25">
      <c r="A130" t="s">
        <v>26</v>
      </c>
      <c r="B130">
        <v>15</v>
      </c>
      <c r="C130" t="s">
        <v>27</v>
      </c>
      <c r="D130" t="s">
        <v>95</v>
      </c>
      <c r="E130" t="s">
        <v>111</v>
      </c>
      <c r="F130" t="s">
        <v>145</v>
      </c>
      <c r="G130" t="s">
        <v>263</v>
      </c>
      <c r="H130" t="s">
        <v>776</v>
      </c>
      <c r="I130" t="s">
        <v>706</v>
      </c>
      <c r="J130" t="s">
        <v>386</v>
      </c>
      <c r="K130">
        <v>190</v>
      </c>
      <c r="L130">
        <v>180</v>
      </c>
      <c r="M130">
        <v>60</v>
      </c>
      <c r="N130">
        <v>60</v>
      </c>
      <c r="O130">
        <v>30</v>
      </c>
    </row>
    <row r="131" spans="1:15" x14ac:dyDescent="0.25">
      <c r="A131" t="s">
        <v>28</v>
      </c>
      <c r="B131">
        <v>15</v>
      </c>
      <c r="C131" t="s">
        <v>29</v>
      </c>
      <c r="D131" t="s">
        <v>94</v>
      </c>
      <c r="E131" t="s">
        <v>111</v>
      </c>
      <c r="F131" t="s">
        <v>145</v>
      </c>
      <c r="G131" t="s">
        <v>263</v>
      </c>
      <c r="H131" t="s">
        <v>775</v>
      </c>
      <c r="I131" t="s">
        <v>703</v>
      </c>
      <c r="J131" t="s">
        <v>389</v>
      </c>
      <c r="K131">
        <v>320</v>
      </c>
      <c r="L131">
        <v>200</v>
      </c>
      <c r="M131">
        <v>110</v>
      </c>
      <c r="N131">
        <v>250</v>
      </c>
      <c r="O131">
        <v>200</v>
      </c>
    </row>
    <row r="132" spans="1:15" x14ac:dyDescent="0.25">
      <c r="A132" t="s">
        <v>38</v>
      </c>
      <c r="B132">
        <v>2</v>
      </c>
      <c r="C132" t="s">
        <v>11</v>
      </c>
      <c r="D132" t="s">
        <v>95</v>
      </c>
      <c r="E132" t="s">
        <v>111</v>
      </c>
      <c r="F132" t="s">
        <v>145</v>
      </c>
      <c r="G132" t="s">
        <v>263</v>
      </c>
      <c r="H132" t="s">
        <v>776</v>
      </c>
      <c r="I132" t="s">
        <v>716</v>
      </c>
      <c r="J132" t="s">
        <v>400</v>
      </c>
      <c r="K132">
        <v>270</v>
      </c>
      <c r="L132">
        <v>230</v>
      </c>
      <c r="M132">
        <v>75</v>
      </c>
      <c r="N132">
        <v>200</v>
      </c>
      <c r="O132">
        <v>60</v>
      </c>
    </row>
    <row r="133" spans="1:15" x14ac:dyDescent="0.25">
      <c r="A133" t="s">
        <v>39</v>
      </c>
      <c r="B133">
        <v>2</v>
      </c>
      <c r="C133" t="s">
        <v>15</v>
      </c>
      <c r="D133" t="s">
        <v>94</v>
      </c>
      <c r="E133" t="s">
        <v>111</v>
      </c>
      <c r="F133" t="s">
        <v>145</v>
      </c>
      <c r="G133" t="s">
        <v>263</v>
      </c>
      <c r="H133" t="s">
        <v>775</v>
      </c>
      <c r="I133" t="s">
        <v>720</v>
      </c>
      <c r="J133" t="s">
        <v>404</v>
      </c>
      <c r="K133">
        <v>400</v>
      </c>
      <c r="L133">
        <v>210</v>
      </c>
      <c r="M133">
        <v>75</v>
      </c>
      <c r="N133">
        <v>220</v>
      </c>
      <c r="O133">
        <v>20</v>
      </c>
    </row>
    <row r="134" spans="1:15" x14ac:dyDescent="0.25">
      <c r="A134" t="s">
        <v>42</v>
      </c>
      <c r="B134">
        <v>2</v>
      </c>
      <c r="C134" t="s">
        <v>21</v>
      </c>
      <c r="D134" t="s">
        <v>94</v>
      </c>
      <c r="E134" t="s">
        <v>111</v>
      </c>
      <c r="F134" t="s">
        <v>145</v>
      </c>
      <c r="G134" t="s">
        <v>263</v>
      </c>
      <c r="H134" t="s">
        <v>775</v>
      </c>
      <c r="I134" t="s">
        <v>720</v>
      </c>
      <c r="J134" t="s">
        <v>414</v>
      </c>
      <c r="K134">
        <v>290</v>
      </c>
      <c r="L134">
        <v>250</v>
      </c>
      <c r="M134">
        <v>85</v>
      </c>
      <c r="N134">
        <v>140</v>
      </c>
      <c r="O134">
        <v>35</v>
      </c>
    </row>
    <row r="135" spans="1:15" x14ac:dyDescent="0.25">
      <c r="A135" t="s">
        <v>43</v>
      </c>
      <c r="B135">
        <v>2</v>
      </c>
      <c r="C135" t="s">
        <v>23</v>
      </c>
      <c r="D135" t="s">
        <v>94</v>
      </c>
      <c r="E135" t="s">
        <v>111</v>
      </c>
      <c r="F135" t="s">
        <v>145</v>
      </c>
      <c r="G135" t="s">
        <v>263</v>
      </c>
      <c r="H135" t="s">
        <v>775</v>
      </c>
      <c r="I135" t="s">
        <v>720</v>
      </c>
      <c r="J135" t="s">
        <v>418</v>
      </c>
      <c r="K135">
        <v>280</v>
      </c>
      <c r="L135">
        <v>260</v>
      </c>
      <c r="M135">
        <v>110</v>
      </c>
      <c r="N135">
        <v>170</v>
      </c>
      <c r="O135">
        <v>80</v>
      </c>
    </row>
    <row r="136" spans="1:15" x14ac:dyDescent="0.25">
      <c r="A136" t="s">
        <v>48</v>
      </c>
      <c r="B136">
        <v>2</v>
      </c>
      <c r="C136" t="s">
        <v>33</v>
      </c>
      <c r="D136" t="s">
        <v>95</v>
      </c>
      <c r="E136" t="s">
        <v>111</v>
      </c>
      <c r="F136" t="s">
        <v>145</v>
      </c>
      <c r="G136" t="s">
        <v>263</v>
      </c>
      <c r="H136" t="s">
        <v>776</v>
      </c>
      <c r="I136" t="s">
        <v>716</v>
      </c>
      <c r="J136" t="s">
        <v>432</v>
      </c>
      <c r="K136">
        <v>270</v>
      </c>
      <c r="L136">
        <v>78</v>
      </c>
      <c r="M136">
        <v>70</v>
      </c>
      <c r="N136">
        <v>80</v>
      </c>
      <c r="O136">
        <v>50</v>
      </c>
    </row>
    <row r="137" spans="1:15" x14ac:dyDescent="0.25">
      <c r="A137" t="s">
        <v>79</v>
      </c>
      <c r="B137">
        <v>6</v>
      </c>
      <c r="C137" t="s">
        <v>11</v>
      </c>
      <c r="D137" t="s">
        <v>95</v>
      </c>
      <c r="E137" t="s">
        <v>111</v>
      </c>
      <c r="F137" t="s">
        <v>145</v>
      </c>
      <c r="G137" t="s">
        <v>263</v>
      </c>
      <c r="H137" t="s">
        <v>776</v>
      </c>
      <c r="I137" t="s">
        <v>732</v>
      </c>
      <c r="J137" t="s">
        <v>438</v>
      </c>
      <c r="K137">
        <v>380</v>
      </c>
      <c r="L137">
        <v>280</v>
      </c>
      <c r="M137">
        <v>110</v>
      </c>
      <c r="N137">
        <v>280</v>
      </c>
      <c r="O137">
        <v>160</v>
      </c>
    </row>
    <row r="138" spans="1:15" x14ac:dyDescent="0.25">
      <c r="A138" t="s">
        <v>83</v>
      </c>
      <c r="B138">
        <v>6</v>
      </c>
      <c r="C138" t="s">
        <v>21</v>
      </c>
      <c r="D138" t="s">
        <v>94</v>
      </c>
      <c r="E138" t="s">
        <v>111</v>
      </c>
      <c r="F138" t="s">
        <v>145</v>
      </c>
      <c r="G138" t="s">
        <v>263</v>
      </c>
      <c r="H138" t="s">
        <v>775</v>
      </c>
      <c r="I138" t="s">
        <v>739</v>
      </c>
      <c r="J138" t="s">
        <v>450</v>
      </c>
      <c r="K138">
        <v>150</v>
      </c>
      <c r="L138">
        <v>220</v>
      </c>
      <c r="M138">
        <v>60</v>
      </c>
      <c r="N138">
        <v>140</v>
      </c>
      <c r="O138">
        <v>50</v>
      </c>
    </row>
    <row r="139" spans="1:15" x14ac:dyDescent="0.25">
      <c r="A139" t="s">
        <v>84</v>
      </c>
      <c r="B139">
        <v>6</v>
      </c>
      <c r="C139" t="s">
        <v>23</v>
      </c>
      <c r="D139" t="s">
        <v>95</v>
      </c>
      <c r="E139" t="s">
        <v>111</v>
      </c>
      <c r="F139" t="s">
        <v>145</v>
      </c>
      <c r="G139" t="s">
        <v>263</v>
      </c>
      <c r="H139" t="s">
        <v>776</v>
      </c>
      <c r="I139" t="s">
        <v>732</v>
      </c>
      <c r="J139" t="s">
        <v>453</v>
      </c>
      <c r="K139">
        <v>350</v>
      </c>
      <c r="L139">
        <v>340</v>
      </c>
      <c r="M139">
        <v>75</v>
      </c>
      <c r="N139">
        <v>300</v>
      </c>
      <c r="O139">
        <v>50</v>
      </c>
    </row>
    <row r="140" spans="1:15" x14ac:dyDescent="0.25">
      <c r="A140" t="s">
        <v>90</v>
      </c>
      <c r="B140">
        <v>6</v>
      </c>
      <c r="C140" t="s">
        <v>35</v>
      </c>
      <c r="D140" t="s">
        <v>94</v>
      </c>
      <c r="E140" t="s">
        <v>111</v>
      </c>
      <c r="F140" t="s">
        <v>145</v>
      </c>
      <c r="G140" t="s">
        <v>263</v>
      </c>
      <c r="H140" t="s">
        <v>775</v>
      </c>
      <c r="I140" t="s">
        <v>739</v>
      </c>
      <c r="J140" t="s">
        <v>465</v>
      </c>
      <c r="K140">
        <v>310</v>
      </c>
      <c r="L140">
        <v>490</v>
      </c>
      <c r="M140">
        <v>75</v>
      </c>
      <c r="N140">
        <v>100</v>
      </c>
      <c r="O140">
        <v>70</v>
      </c>
    </row>
    <row r="141" spans="1:15" x14ac:dyDescent="0.25">
      <c r="A141" t="s">
        <v>68</v>
      </c>
      <c r="B141">
        <v>10</v>
      </c>
      <c r="C141" t="s">
        <v>15</v>
      </c>
      <c r="D141" t="s">
        <v>95</v>
      </c>
      <c r="E141" t="s">
        <v>104</v>
      </c>
      <c r="F141" t="s">
        <v>145</v>
      </c>
      <c r="G141" t="s">
        <v>264</v>
      </c>
      <c r="H141" t="s">
        <v>780</v>
      </c>
      <c r="I141" t="s">
        <v>672</v>
      </c>
      <c r="J141" t="s">
        <v>282</v>
      </c>
      <c r="K141" t="s">
        <v>114</v>
      </c>
      <c r="L141" t="s">
        <v>114</v>
      </c>
      <c r="M141" t="s">
        <v>114</v>
      </c>
      <c r="N141" t="s">
        <v>114</v>
      </c>
      <c r="O141" t="s">
        <v>114</v>
      </c>
    </row>
    <row r="142" spans="1:15" x14ac:dyDescent="0.25">
      <c r="A142" t="s">
        <v>71</v>
      </c>
      <c r="B142">
        <v>10</v>
      </c>
      <c r="C142" t="s">
        <v>21</v>
      </c>
      <c r="D142" t="s">
        <v>94</v>
      </c>
      <c r="E142" t="s">
        <v>104</v>
      </c>
      <c r="F142" t="s">
        <v>145</v>
      </c>
      <c r="G142" t="s">
        <v>264</v>
      </c>
      <c r="H142" t="s">
        <v>779</v>
      </c>
      <c r="I142" t="s">
        <v>679</v>
      </c>
      <c r="J142" t="s">
        <v>293</v>
      </c>
      <c r="K142">
        <v>25</v>
      </c>
      <c r="L142">
        <v>140</v>
      </c>
      <c r="M142">
        <v>20</v>
      </c>
      <c r="N142">
        <v>15</v>
      </c>
      <c r="O142">
        <v>5</v>
      </c>
    </row>
    <row r="143" spans="1:15" x14ac:dyDescent="0.25">
      <c r="A143" t="s">
        <v>72</v>
      </c>
      <c r="B143">
        <v>10</v>
      </c>
      <c r="C143" t="s">
        <v>23</v>
      </c>
      <c r="D143" t="s">
        <v>95</v>
      </c>
      <c r="E143" t="s">
        <v>104</v>
      </c>
      <c r="F143" t="s">
        <v>145</v>
      </c>
      <c r="G143" t="s">
        <v>264</v>
      </c>
      <c r="H143" t="s">
        <v>780</v>
      </c>
      <c r="I143" t="s">
        <v>672</v>
      </c>
      <c r="J143" t="s">
        <v>296</v>
      </c>
      <c r="K143">
        <v>20</v>
      </c>
      <c r="L143">
        <v>120</v>
      </c>
      <c r="M143">
        <v>13</v>
      </c>
      <c r="N143">
        <v>12</v>
      </c>
      <c r="O143">
        <v>5</v>
      </c>
    </row>
    <row r="144" spans="1:15" x14ac:dyDescent="0.25">
      <c r="A144" t="s">
        <v>73</v>
      </c>
      <c r="B144">
        <v>10</v>
      </c>
      <c r="C144" t="s">
        <v>25</v>
      </c>
      <c r="D144" t="s">
        <v>94</v>
      </c>
      <c r="E144" t="s">
        <v>104</v>
      </c>
      <c r="F144" t="s">
        <v>145</v>
      </c>
      <c r="G144" t="s">
        <v>264</v>
      </c>
      <c r="H144" t="s">
        <v>779</v>
      </c>
      <c r="I144" t="s">
        <v>679</v>
      </c>
      <c r="J144" t="s">
        <v>300</v>
      </c>
      <c r="K144">
        <v>30</v>
      </c>
      <c r="L144">
        <v>45</v>
      </c>
      <c r="M144">
        <v>24</v>
      </c>
      <c r="N144">
        <v>20</v>
      </c>
      <c r="O144">
        <v>10</v>
      </c>
    </row>
    <row r="145" spans="1:15" x14ac:dyDescent="0.25">
      <c r="A145" t="s">
        <v>50</v>
      </c>
      <c r="B145">
        <v>12</v>
      </c>
      <c r="C145" t="s">
        <v>11</v>
      </c>
      <c r="D145" t="s">
        <v>95</v>
      </c>
      <c r="E145" t="s">
        <v>104</v>
      </c>
      <c r="F145" t="s">
        <v>145</v>
      </c>
      <c r="G145" t="s">
        <v>264</v>
      </c>
      <c r="H145" t="s">
        <v>780</v>
      </c>
      <c r="I145" t="s">
        <v>685</v>
      </c>
      <c r="J145" t="s">
        <v>315</v>
      </c>
      <c r="K145">
        <v>40</v>
      </c>
      <c r="L145">
        <v>40</v>
      </c>
      <c r="M145">
        <v>20</v>
      </c>
      <c r="N145">
        <v>15</v>
      </c>
      <c r="O145">
        <v>10</v>
      </c>
    </row>
    <row r="146" spans="1:15" x14ac:dyDescent="0.25">
      <c r="A146" t="s">
        <v>56</v>
      </c>
      <c r="B146">
        <v>12</v>
      </c>
      <c r="C146" t="s">
        <v>25</v>
      </c>
      <c r="D146" t="s">
        <v>94</v>
      </c>
      <c r="E146" t="s">
        <v>104</v>
      </c>
      <c r="F146" t="s">
        <v>145</v>
      </c>
      <c r="G146" t="s">
        <v>264</v>
      </c>
      <c r="H146" t="s">
        <v>779</v>
      </c>
      <c r="I146" t="s">
        <v>696</v>
      </c>
      <c r="J146" t="s">
        <v>336</v>
      </c>
      <c r="K146">
        <v>25</v>
      </c>
      <c r="L146">
        <v>55</v>
      </c>
      <c r="M146">
        <v>15</v>
      </c>
      <c r="N146">
        <v>15</v>
      </c>
      <c r="O146">
        <v>5</v>
      </c>
    </row>
    <row r="147" spans="1:15" x14ac:dyDescent="0.25">
      <c r="A147" t="s">
        <v>60</v>
      </c>
      <c r="B147">
        <v>12</v>
      </c>
      <c r="C147" t="s">
        <v>33</v>
      </c>
      <c r="D147" t="s">
        <v>95</v>
      </c>
      <c r="E147" t="s">
        <v>104</v>
      </c>
      <c r="F147" t="s">
        <v>145</v>
      </c>
      <c r="G147" t="s">
        <v>264</v>
      </c>
      <c r="H147" t="s">
        <v>780</v>
      </c>
      <c r="I147" t="s">
        <v>685</v>
      </c>
      <c r="J147" t="s">
        <v>348</v>
      </c>
      <c r="K147">
        <v>25</v>
      </c>
      <c r="L147">
        <v>40</v>
      </c>
      <c r="M147">
        <v>18</v>
      </c>
      <c r="N147">
        <v>10</v>
      </c>
      <c r="O147">
        <v>5</v>
      </c>
    </row>
    <row r="148" spans="1:15" x14ac:dyDescent="0.25">
      <c r="A148" t="s">
        <v>63</v>
      </c>
      <c r="B148">
        <v>12</v>
      </c>
      <c r="C148" t="s">
        <v>64</v>
      </c>
      <c r="D148" t="s">
        <v>94</v>
      </c>
      <c r="E148" t="s">
        <v>104</v>
      </c>
      <c r="F148" t="s">
        <v>145</v>
      </c>
      <c r="G148" t="s">
        <v>264</v>
      </c>
      <c r="H148" t="s">
        <v>779</v>
      </c>
      <c r="I148" t="s">
        <v>696</v>
      </c>
      <c r="J148" t="s">
        <v>355</v>
      </c>
      <c r="K148">
        <v>60</v>
      </c>
      <c r="L148">
        <v>70</v>
      </c>
      <c r="M148">
        <v>30</v>
      </c>
      <c r="N148">
        <v>20</v>
      </c>
      <c r="O148">
        <v>20</v>
      </c>
    </row>
    <row r="149" spans="1:15" x14ac:dyDescent="0.25">
      <c r="A149" t="s">
        <v>10</v>
      </c>
      <c r="B149">
        <v>15</v>
      </c>
      <c r="C149" t="s">
        <v>11</v>
      </c>
      <c r="D149" t="s">
        <v>94</v>
      </c>
      <c r="E149" t="s">
        <v>104</v>
      </c>
      <c r="F149" t="s">
        <v>145</v>
      </c>
      <c r="G149" t="s">
        <v>264</v>
      </c>
      <c r="H149" t="s">
        <v>779</v>
      </c>
      <c r="I149" t="s">
        <v>701</v>
      </c>
      <c r="J149" t="s">
        <v>360</v>
      </c>
      <c r="K149">
        <v>40</v>
      </c>
      <c r="L149">
        <v>20</v>
      </c>
      <c r="M149">
        <v>7</v>
      </c>
      <c r="N149">
        <v>7</v>
      </c>
      <c r="O149">
        <v>5</v>
      </c>
    </row>
    <row r="150" spans="1:15" x14ac:dyDescent="0.25">
      <c r="A150" t="s">
        <v>14</v>
      </c>
      <c r="B150">
        <v>15</v>
      </c>
      <c r="C150" t="s">
        <v>15</v>
      </c>
      <c r="D150" t="s">
        <v>94</v>
      </c>
      <c r="E150" t="s">
        <v>104</v>
      </c>
      <c r="F150" t="s">
        <v>145</v>
      </c>
      <c r="G150" t="s">
        <v>264</v>
      </c>
      <c r="H150" t="s">
        <v>779</v>
      </c>
      <c r="I150" t="s">
        <v>701</v>
      </c>
      <c r="J150" t="s">
        <v>364</v>
      </c>
      <c r="K150">
        <v>55</v>
      </c>
      <c r="L150">
        <v>70</v>
      </c>
      <c r="M150">
        <v>20</v>
      </c>
      <c r="N150">
        <v>20</v>
      </c>
      <c r="O150">
        <v>10</v>
      </c>
    </row>
    <row r="151" spans="1:15" x14ac:dyDescent="0.25">
      <c r="A151" t="s">
        <v>16</v>
      </c>
      <c r="B151">
        <v>15</v>
      </c>
      <c r="C151" t="s">
        <v>17</v>
      </c>
      <c r="D151" t="s">
        <v>95</v>
      </c>
      <c r="E151" t="s">
        <v>104</v>
      </c>
      <c r="F151" t="s">
        <v>145</v>
      </c>
      <c r="G151" t="s">
        <v>264</v>
      </c>
      <c r="H151" t="s">
        <v>780</v>
      </c>
      <c r="I151" t="s">
        <v>707</v>
      </c>
      <c r="J151" t="s">
        <v>368</v>
      </c>
      <c r="K151">
        <v>65</v>
      </c>
      <c r="L151">
        <v>110</v>
      </c>
      <c r="M151">
        <v>15</v>
      </c>
      <c r="N151">
        <v>20</v>
      </c>
      <c r="O151">
        <v>10</v>
      </c>
    </row>
    <row r="152" spans="1:15" x14ac:dyDescent="0.25">
      <c r="A152" t="s">
        <v>18</v>
      </c>
      <c r="B152">
        <v>15</v>
      </c>
      <c r="C152" t="s">
        <v>19</v>
      </c>
      <c r="D152" t="s">
        <v>95</v>
      </c>
      <c r="E152" t="s">
        <v>104</v>
      </c>
      <c r="F152" t="s">
        <v>145</v>
      </c>
      <c r="G152" t="s">
        <v>264</v>
      </c>
      <c r="H152" t="s">
        <v>780</v>
      </c>
      <c r="I152" t="s">
        <v>707</v>
      </c>
      <c r="J152" t="s">
        <v>371</v>
      </c>
      <c r="K152">
        <v>110</v>
      </c>
      <c r="L152">
        <v>90</v>
      </c>
      <c r="M152">
        <v>20</v>
      </c>
      <c r="N152">
        <v>30</v>
      </c>
      <c r="O152">
        <v>10</v>
      </c>
    </row>
    <row r="153" spans="1:15" x14ac:dyDescent="0.25">
      <c r="A153" t="s">
        <v>36</v>
      </c>
      <c r="B153">
        <v>15</v>
      </c>
      <c r="C153" t="s">
        <v>37</v>
      </c>
      <c r="D153" t="s">
        <v>95</v>
      </c>
      <c r="E153" t="s">
        <v>104</v>
      </c>
      <c r="F153" t="s">
        <v>145</v>
      </c>
      <c r="G153" t="s">
        <v>264</v>
      </c>
      <c r="H153" t="s">
        <v>780</v>
      </c>
      <c r="I153" t="s">
        <v>707</v>
      </c>
      <c r="J153" t="s">
        <v>397</v>
      </c>
      <c r="K153">
        <v>55</v>
      </c>
      <c r="L153">
        <v>80</v>
      </c>
      <c r="M153">
        <v>15</v>
      </c>
      <c r="N153">
        <v>30</v>
      </c>
      <c r="O153">
        <v>15</v>
      </c>
    </row>
    <row r="154" spans="1:15" x14ac:dyDescent="0.25">
      <c r="A154" t="s">
        <v>39</v>
      </c>
      <c r="B154">
        <v>2</v>
      </c>
      <c r="C154" t="s">
        <v>15</v>
      </c>
      <c r="D154" t="s">
        <v>94</v>
      </c>
      <c r="E154" t="s">
        <v>104</v>
      </c>
      <c r="F154" t="s">
        <v>145</v>
      </c>
      <c r="G154" t="s">
        <v>264</v>
      </c>
      <c r="H154" t="s">
        <v>779</v>
      </c>
      <c r="I154" t="s">
        <v>721</v>
      </c>
      <c r="J154" t="s">
        <v>405</v>
      </c>
      <c r="K154">
        <v>70</v>
      </c>
      <c r="L154">
        <v>35</v>
      </c>
      <c r="M154">
        <v>25</v>
      </c>
      <c r="N154">
        <v>20</v>
      </c>
      <c r="O154">
        <v>20</v>
      </c>
    </row>
    <row r="155" spans="1:15" x14ac:dyDescent="0.25">
      <c r="A155" t="s">
        <v>43</v>
      </c>
      <c r="B155">
        <v>2</v>
      </c>
      <c r="C155" t="s">
        <v>23</v>
      </c>
      <c r="D155" t="s">
        <v>94</v>
      </c>
      <c r="E155" t="s">
        <v>104</v>
      </c>
      <c r="F155" t="s">
        <v>145</v>
      </c>
      <c r="G155" t="s">
        <v>264</v>
      </c>
      <c r="H155" t="s">
        <v>779</v>
      </c>
      <c r="I155" t="s">
        <v>721</v>
      </c>
      <c r="J155" t="s">
        <v>419</v>
      </c>
      <c r="K155">
        <v>70</v>
      </c>
      <c r="L155">
        <v>50</v>
      </c>
      <c r="M155">
        <v>40</v>
      </c>
      <c r="N155">
        <v>35</v>
      </c>
      <c r="O155">
        <v>20</v>
      </c>
    </row>
    <row r="156" spans="1:15" x14ac:dyDescent="0.25">
      <c r="A156" t="s">
        <v>44</v>
      </c>
      <c r="B156">
        <v>2</v>
      </c>
      <c r="C156" t="s">
        <v>25</v>
      </c>
      <c r="D156" t="s">
        <v>95</v>
      </c>
      <c r="E156" t="s">
        <v>104</v>
      </c>
      <c r="F156" t="s">
        <v>145</v>
      </c>
      <c r="G156" t="s">
        <v>264</v>
      </c>
      <c r="H156" t="s">
        <v>780</v>
      </c>
      <c r="I156" t="s">
        <v>727</v>
      </c>
      <c r="J156" t="s">
        <v>422</v>
      </c>
      <c r="K156">
        <v>130</v>
      </c>
      <c r="L156">
        <v>140</v>
      </c>
      <c r="M156">
        <v>40</v>
      </c>
      <c r="N156">
        <v>35</v>
      </c>
      <c r="O156">
        <v>20</v>
      </c>
    </row>
    <row r="157" spans="1:15" x14ac:dyDescent="0.25">
      <c r="A157" t="s">
        <v>48</v>
      </c>
      <c r="B157">
        <v>2</v>
      </c>
      <c r="C157" t="s">
        <v>33</v>
      </c>
      <c r="D157" t="s">
        <v>95</v>
      </c>
      <c r="E157" t="s">
        <v>104</v>
      </c>
      <c r="F157" t="s">
        <v>145</v>
      </c>
      <c r="G157" t="s">
        <v>264</v>
      </c>
      <c r="H157" t="s">
        <v>780</v>
      </c>
      <c r="I157" t="s">
        <v>727</v>
      </c>
      <c r="J157" t="s">
        <v>433</v>
      </c>
      <c r="K157">
        <v>45</v>
      </c>
      <c r="L157">
        <v>90</v>
      </c>
      <c r="M157">
        <v>40</v>
      </c>
      <c r="N157">
        <v>35</v>
      </c>
      <c r="O157">
        <v>30</v>
      </c>
    </row>
    <row r="158" spans="1:15" x14ac:dyDescent="0.25">
      <c r="A158" t="s">
        <v>82</v>
      </c>
      <c r="B158">
        <v>6</v>
      </c>
      <c r="C158" t="s">
        <v>19</v>
      </c>
      <c r="D158" t="s">
        <v>94</v>
      </c>
      <c r="E158" t="s">
        <v>104</v>
      </c>
      <c r="F158" t="s">
        <v>145</v>
      </c>
      <c r="G158" t="s">
        <v>264</v>
      </c>
      <c r="H158" t="s">
        <v>779</v>
      </c>
      <c r="I158" t="s">
        <v>738</v>
      </c>
      <c r="J158" t="s">
        <v>447</v>
      </c>
      <c r="K158">
        <v>50</v>
      </c>
      <c r="L158">
        <v>80</v>
      </c>
      <c r="M158">
        <v>16</v>
      </c>
      <c r="N158">
        <v>10</v>
      </c>
      <c r="O158">
        <v>10</v>
      </c>
    </row>
    <row r="159" spans="1:15" x14ac:dyDescent="0.25">
      <c r="A159" t="s">
        <v>89</v>
      </c>
      <c r="B159">
        <v>6</v>
      </c>
      <c r="C159" t="s">
        <v>33</v>
      </c>
      <c r="D159" t="s">
        <v>95</v>
      </c>
      <c r="E159" t="s">
        <v>104</v>
      </c>
      <c r="F159" t="s">
        <v>145</v>
      </c>
      <c r="G159" t="s">
        <v>264</v>
      </c>
      <c r="H159" t="s">
        <v>780</v>
      </c>
      <c r="I159" t="s">
        <v>745</v>
      </c>
      <c r="J159" t="s">
        <v>463</v>
      </c>
      <c r="K159">
        <v>45</v>
      </c>
      <c r="L159">
        <v>150</v>
      </c>
      <c r="M159">
        <v>40</v>
      </c>
      <c r="N159">
        <v>20</v>
      </c>
      <c r="O159">
        <v>10</v>
      </c>
    </row>
    <row r="160" spans="1:15" x14ac:dyDescent="0.25">
      <c r="A160" t="s">
        <v>93</v>
      </c>
      <c r="B160">
        <v>6</v>
      </c>
      <c r="C160" t="s">
        <v>66</v>
      </c>
      <c r="D160" t="s">
        <v>95</v>
      </c>
      <c r="E160" t="s">
        <v>104</v>
      </c>
      <c r="F160" t="s">
        <v>145</v>
      </c>
      <c r="G160" t="s">
        <v>264</v>
      </c>
      <c r="H160" t="s">
        <v>780</v>
      </c>
      <c r="I160" t="s">
        <v>745</v>
      </c>
      <c r="J160" t="s">
        <v>469</v>
      </c>
      <c r="K160">
        <v>45</v>
      </c>
      <c r="L160">
        <v>30</v>
      </c>
      <c r="M160">
        <v>25</v>
      </c>
      <c r="N160">
        <v>15</v>
      </c>
      <c r="O160">
        <v>10</v>
      </c>
    </row>
    <row r="161" spans="1:15" x14ac:dyDescent="0.25">
      <c r="A161" t="s">
        <v>67</v>
      </c>
      <c r="B161">
        <v>10</v>
      </c>
      <c r="C161" t="s">
        <v>11</v>
      </c>
      <c r="D161" t="s">
        <v>94</v>
      </c>
      <c r="E161" t="s">
        <v>112</v>
      </c>
      <c r="F161" t="s">
        <v>145</v>
      </c>
      <c r="G161" t="s">
        <v>261</v>
      </c>
      <c r="H161" t="s">
        <v>783</v>
      </c>
      <c r="I161" t="s">
        <v>668</v>
      </c>
      <c r="J161" t="s">
        <v>278</v>
      </c>
      <c r="K161">
        <v>25</v>
      </c>
      <c r="L161">
        <v>70</v>
      </c>
      <c r="M161">
        <v>45</v>
      </c>
      <c r="N161">
        <v>150</v>
      </c>
      <c r="O161">
        <v>40</v>
      </c>
    </row>
    <row r="162" spans="1:15" x14ac:dyDescent="0.25">
      <c r="A162" t="s">
        <v>72</v>
      </c>
      <c r="B162">
        <v>10</v>
      </c>
      <c r="C162" t="s">
        <v>23</v>
      </c>
      <c r="D162" t="s">
        <v>95</v>
      </c>
      <c r="E162" t="s">
        <v>112</v>
      </c>
      <c r="F162" t="s">
        <v>145</v>
      </c>
      <c r="G162" t="s">
        <v>261</v>
      </c>
      <c r="H162" t="s">
        <v>784</v>
      </c>
      <c r="I162" t="s">
        <v>675</v>
      </c>
      <c r="J162" t="s">
        <v>297</v>
      </c>
      <c r="K162">
        <v>40</v>
      </c>
      <c r="L162">
        <v>100</v>
      </c>
      <c r="M162">
        <v>50</v>
      </c>
      <c r="N162">
        <v>140</v>
      </c>
      <c r="O162">
        <v>80</v>
      </c>
    </row>
    <row r="163" spans="1:15" x14ac:dyDescent="0.25">
      <c r="A163" t="s">
        <v>73</v>
      </c>
      <c r="B163">
        <v>10</v>
      </c>
      <c r="C163" t="s">
        <v>25</v>
      </c>
      <c r="D163" t="s">
        <v>94</v>
      </c>
      <c r="E163" t="s">
        <v>112</v>
      </c>
      <c r="F163" t="s">
        <v>145</v>
      </c>
      <c r="G163" t="s">
        <v>261</v>
      </c>
      <c r="H163" t="s">
        <v>783</v>
      </c>
      <c r="I163" t="s">
        <v>668</v>
      </c>
      <c r="J163" t="s">
        <v>301</v>
      </c>
      <c r="K163">
        <v>60</v>
      </c>
      <c r="L163">
        <v>70</v>
      </c>
      <c r="M163">
        <v>40</v>
      </c>
      <c r="N163">
        <v>120</v>
      </c>
      <c r="O163">
        <v>40</v>
      </c>
    </row>
    <row r="164" spans="1:15" x14ac:dyDescent="0.25">
      <c r="A164" t="s">
        <v>51</v>
      </c>
      <c r="B164">
        <v>12</v>
      </c>
      <c r="C164" t="s">
        <v>15</v>
      </c>
      <c r="D164" t="s">
        <v>94</v>
      </c>
      <c r="E164" t="s">
        <v>112</v>
      </c>
      <c r="F164" t="s">
        <v>145</v>
      </c>
      <c r="G164" t="s">
        <v>261</v>
      </c>
      <c r="H164" t="s">
        <v>783</v>
      </c>
      <c r="I164" t="s">
        <v>688</v>
      </c>
      <c r="J164" t="s">
        <v>318</v>
      </c>
      <c r="K164">
        <v>120</v>
      </c>
      <c r="L164">
        <v>50</v>
      </c>
      <c r="M164">
        <v>60</v>
      </c>
      <c r="N164">
        <v>280</v>
      </c>
      <c r="O164">
        <v>160</v>
      </c>
    </row>
    <row r="165" spans="1:15" x14ac:dyDescent="0.25">
      <c r="A165" t="s">
        <v>52</v>
      </c>
      <c r="B165">
        <v>12</v>
      </c>
      <c r="C165" t="s">
        <v>17</v>
      </c>
      <c r="D165" t="s">
        <v>95</v>
      </c>
      <c r="E165" t="s">
        <v>112</v>
      </c>
      <c r="F165" t="s">
        <v>145</v>
      </c>
      <c r="G165" t="s">
        <v>261</v>
      </c>
      <c r="H165" t="s">
        <v>784</v>
      </c>
      <c r="I165" t="s">
        <v>690</v>
      </c>
      <c r="J165" t="s">
        <v>322</v>
      </c>
      <c r="K165">
        <v>65</v>
      </c>
      <c r="L165">
        <v>85</v>
      </c>
      <c r="M165">
        <v>65</v>
      </c>
      <c r="N165">
        <v>200</v>
      </c>
      <c r="O165">
        <v>45</v>
      </c>
    </row>
    <row r="166" spans="1:15" x14ac:dyDescent="0.25">
      <c r="A166" t="s">
        <v>53</v>
      </c>
      <c r="B166">
        <v>12</v>
      </c>
      <c r="C166" t="s">
        <v>19</v>
      </c>
      <c r="D166" t="s">
        <v>94</v>
      </c>
      <c r="E166" t="s">
        <v>112</v>
      </c>
      <c r="F166" t="s">
        <v>145</v>
      </c>
      <c r="G166" t="s">
        <v>261</v>
      </c>
      <c r="H166" t="s">
        <v>783</v>
      </c>
      <c r="I166" t="s">
        <v>688</v>
      </c>
      <c r="J166" t="s">
        <v>326</v>
      </c>
      <c r="K166">
        <v>40</v>
      </c>
      <c r="L166">
        <v>40</v>
      </c>
      <c r="M166">
        <v>40</v>
      </c>
      <c r="N166">
        <v>90</v>
      </c>
      <c r="O166">
        <v>80</v>
      </c>
    </row>
    <row r="167" spans="1:15" x14ac:dyDescent="0.25">
      <c r="A167" t="s">
        <v>56</v>
      </c>
      <c r="B167">
        <v>12</v>
      </c>
      <c r="C167" t="s">
        <v>25</v>
      </c>
      <c r="D167" t="s">
        <v>94</v>
      </c>
      <c r="E167" t="s">
        <v>112</v>
      </c>
      <c r="F167" t="s">
        <v>145</v>
      </c>
      <c r="G167" t="s">
        <v>261</v>
      </c>
      <c r="H167" t="s">
        <v>783</v>
      </c>
      <c r="I167" t="s">
        <v>688</v>
      </c>
      <c r="J167" t="s">
        <v>337</v>
      </c>
      <c r="K167">
        <v>35</v>
      </c>
      <c r="L167">
        <v>60</v>
      </c>
      <c r="M167">
        <v>40</v>
      </c>
      <c r="N167">
        <v>70</v>
      </c>
      <c r="O167">
        <v>10</v>
      </c>
    </row>
    <row r="168" spans="1:15" x14ac:dyDescent="0.25">
      <c r="A168" t="s">
        <v>57</v>
      </c>
      <c r="B168">
        <v>12</v>
      </c>
      <c r="C168" t="s">
        <v>27</v>
      </c>
      <c r="D168" t="s">
        <v>94</v>
      </c>
      <c r="E168" t="s">
        <v>112</v>
      </c>
      <c r="F168" t="s">
        <v>145</v>
      </c>
      <c r="G168" t="s">
        <v>261</v>
      </c>
      <c r="H168" t="s">
        <v>783</v>
      </c>
      <c r="I168" t="s">
        <v>688</v>
      </c>
      <c r="J168" t="s">
        <v>340</v>
      </c>
      <c r="K168">
        <v>35</v>
      </c>
      <c r="L168">
        <v>100</v>
      </c>
      <c r="M168">
        <v>45</v>
      </c>
      <c r="N168">
        <v>120</v>
      </c>
      <c r="O168">
        <v>95</v>
      </c>
    </row>
    <row r="169" spans="1:15" x14ac:dyDescent="0.25">
      <c r="A169" t="s">
        <v>60</v>
      </c>
      <c r="B169">
        <v>12</v>
      </c>
      <c r="C169" t="s">
        <v>33</v>
      </c>
      <c r="D169" t="s">
        <v>95</v>
      </c>
      <c r="E169" t="s">
        <v>112</v>
      </c>
      <c r="F169" t="s">
        <v>145</v>
      </c>
      <c r="G169" t="s">
        <v>261</v>
      </c>
      <c r="H169" t="s">
        <v>784</v>
      </c>
      <c r="I169" t="s">
        <v>690</v>
      </c>
      <c r="J169" t="s">
        <v>349</v>
      </c>
      <c r="K169">
        <v>40</v>
      </c>
      <c r="L169">
        <v>70</v>
      </c>
      <c r="M169">
        <v>80</v>
      </c>
      <c r="N169">
        <v>170</v>
      </c>
      <c r="O169">
        <v>60</v>
      </c>
    </row>
    <row r="170" spans="1:15" x14ac:dyDescent="0.25">
      <c r="A170" t="s">
        <v>61</v>
      </c>
      <c r="B170">
        <v>12</v>
      </c>
      <c r="C170" t="s">
        <v>35</v>
      </c>
      <c r="D170" t="s">
        <v>94</v>
      </c>
      <c r="E170" t="s">
        <v>112</v>
      </c>
      <c r="F170" t="s">
        <v>145</v>
      </c>
      <c r="G170" t="s">
        <v>261</v>
      </c>
      <c r="H170" t="s">
        <v>783</v>
      </c>
      <c r="I170" t="s">
        <v>688</v>
      </c>
      <c r="J170" t="s">
        <v>352</v>
      </c>
      <c r="K170">
        <v>50</v>
      </c>
      <c r="L170">
        <v>45</v>
      </c>
      <c r="M170">
        <v>50</v>
      </c>
      <c r="N170">
        <v>170</v>
      </c>
      <c r="O170">
        <v>140</v>
      </c>
    </row>
    <row r="171" spans="1:15" x14ac:dyDescent="0.25">
      <c r="A171" t="s">
        <v>18</v>
      </c>
      <c r="B171">
        <v>15</v>
      </c>
      <c r="C171" t="s">
        <v>19</v>
      </c>
      <c r="D171" t="s">
        <v>95</v>
      </c>
      <c r="E171" t="s">
        <v>112</v>
      </c>
      <c r="F171" t="s">
        <v>145</v>
      </c>
      <c r="G171" t="s">
        <v>261</v>
      </c>
      <c r="H171" t="s">
        <v>784</v>
      </c>
      <c r="I171" t="s">
        <v>708</v>
      </c>
      <c r="J171" t="s">
        <v>372</v>
      </c>
      <c r="K171">
        <v>30</v>
      </c>
      <c r="L171">
        <v>70</v>
      </c>
      <c r="M171">
        <v>20</v>
      </c>
      <c r="N171">
        <v>20</v>
      </c>
      <c r="O171">
        <v>20</v>
      </c>
    </row>
    <row r="172" spans="1:15" x14ac:dyDescent="0.25">
      <c r="A172" t="s">
        <v>22</v>
      </c>
      <c r="B172">
        <v>15</v>
      </c>
      <c r="C172" t="s">
        <v>23</v>
      </c>
      <c r="D172" t="s">
        <v>95</v>
      </c>
      <c r="E172" t="s">
        <v>112</v>
      </c>
      <c r="F172" t="s">
        <v>145</v>
      </c>
      <c r="G172" t="s">
        <v>261</v>
      </c>
      <c r="H172" t="s">
        <v>784</v>
      </c>
      <c r="I172" t="s">
        <v>708</v>
      </c>
      <c r="J172" t="s">
        <v>381</v>
      </c>
      <c r="K172">
        <v>50</v>
      </c>
      <c r="L172">
        <v>60</v>
      </c>
      <c r="M172">
        <v>25</v>
      </c>
      <c r="N172">
        <v>25</v>
      </c>
      <c r="O172">
        <v>20</v>
      </c>
    </row>
    <row r="173" spans="1:15" x14ac:dyDescent="0.25">
      <c r="A173" t="s">
        <v>24</v>
      </c>
      <c r="B173">
        <v>15</v>
      </c>
      <c r="C173" t="s">
        <v>25</v>
      </c>
      <c r="D173" t="s">
        <v>95</v>
      </c>
      <c r="E173" t="s">
        <v>112</v>
      </c>
      <c r="F173" t="s">
        <v>145</v>
      </c>
      <c r="G173" t="s">
        <v>261</v>
      </c>
      <c r="H173" t="s">
        <v>784</v>
      </c>
      <c r="I173" t="s">
        <v>708</v>
      </c>
      <c r="J173" t="s">
        <v>383</v>
      </c>
      <c r="K173">
        <v>80</v>
      </c>
      <c r="L173">
        <v>40</v>
      </c>
      <c r="M173">
        <v>70</v>
      </c>
      <c r="N173">
        <v>120</v>
      </c>
      <c r="O173">
        <v>110</v>
      </c>
    </row>
    <row r="174" spans="1:15" x14ac:dyDescent="0.25">
      <c r="A174" t="s">
        <v>28</v>
      </c>
      <c r="B174">
        <v>15</v>
      </c>
      <c r="C174" t="s">
        <v>29</v>
      </c>
      <c r="D174" t="s">
        <v>94</v>
      </c>
      <c r="E174" t="s">
        <v>112</v>
      </c>
      <c r="F174" t="s">
        <v>145</v>
      </c>
      <c r="G174" t="s">
        <v>261</v>
      </c>
      <c r="H174" t="s">
        <v>783</v>
      </c>
      <c r="I174" t="s">
        <v>713</v>
      </c>
      <c r="J174" t="s">
        <v>390</v>
      </c>
      <c r="K174">
        <v>110</v>
      </c>
      <c r="L174">
        <v>40</v>
      </c>
      <c r="M174">
        <v>60</v>
      </c>
      <c r="N174">
        <v>130</v>
      </c>
      <c r="O174">
        <v>120</v>
      </c>
    </row>
    <row r="175" spans="1:15" x14ac:dyDescent="0.25">
      <c r="A175" t="s">
        <v>30</v>
      </c>
      <c r="B175">
        <v>15</v>
      </c>
      <c r="C175" t="s">
        <v>31</v>
      </c>
      <c r="D175" t="s">
        <v>95</v>
      </c>
      <c r="E175" t="s">
        <v>112</v>
      </c>
      <c r="F175" t="s">
        <v>145</v>
      </c>
      <c r="G175" t="s">
        <v>261</v>
      </c>
      <c r="H175" t="s">
        <v>784</v>
      </c>
      <c r="I175" t="s">
        <v>708</v>
      </c>
      <c r="J175" t="s">
        <v>393</v>
      </c>
      <c r="K175">
        <v>60</v>
      </c>
      <c r="L175">
        <v>100</v>
      </c>
      <c r="M175">
        <v>60</v>
      </c>
      <c r="N175">
        <v>35</v>
      </c>
      <c r="O175">
        <v>20</v>
      </c>
    </row>
    <row r="176" spans="1:15" x14ac:dyDescent="0.25">
      <c r="A176" t="s">
        <v>34</v>
      </c>
      <c r="B176">
        <v>15</v>
      </c>
      <c r="C176" t="s">
        <v>35</v>
      </c>
      <c r="D176" t="s">
        <v>94</v>
      </c>
      <c r="E176" t="s">
        <v>112</v>
      </c>
      <c r="F176" t="s">
        <v>145</v>
      </c>
      <c r="G176" t="s">
        <v>261</v>
      </c>
      <c r="H176" t="s">
        <v>783</v>
      </c>
      <c r="I176" t="s">
        <v>713</v>
      </c>
      <c r="J176" t="s">
        <v>395</v>
      </c>
      <c r="K176">
        <v>35</v>
      </c>
      <c r="L176">
        <v>10</v>
      </c>
      <c r="M176">
        <v>35</v>
      </c>
      <c r="N176">
        <v>35</v>
      </c>
      <c r="O176">
        <v>20</v>
      </c>
    </row>
    <row r="177" spans="1:15" x14ac:dyDescent="0.25">
      <c r="A177" t="s">
        <v>40</v>
      </c>
      <c r="B177">
        <v>2</v>
      </c>
      <c r="C177" t="s">
        <v>17</v>
      </c>
      <c r="D177" t="s">
        <v>95</v>
      </c>
      <c r="E177" t="s">
        <v>112</v>
      </c>
      <c r="F177" t="s">
        <v>145</v>
      </c>
      <c r="G177" t="s">
        <v>261</v>
      </c>
      <c r="H177" t="s">
        <v>784</v>
      </c>
      <c r="I177" t="s">
        <v>722</v>
      </c>
      <c r="J177" t="s">
        <v>408</v>
      </c>
      <c r="K177">
        <v>100</v>
      </c>
      <c r="L177">
        <v>60</v>
      </c>
      <c r="M177">
        <v>70</v>
      </c>
      <c r="N177">
        <v>190</v>
      </c>
      <c r="O177">
        <v>50</v>
      </c>
    </row>
    <row r="178" spans="1:15" x14ac:dyDescent="0.25">
      <c r="A178" t="s">
        <v>44</v>
      </c>
      <c r="B178">
        <v>2</v>
      </c>
      <c r="C178" t="s">
        <v>25</v>
      </c>
      <c r="D178" t="s">
        <v>95</v>
      </c>
      <c r="E178" t="s">
        <v>112</v>
      </c>
      <c r="F178" t="s">
        <v>145</v>
      </c>
      <c r="G178" t="s">
        <v>261</v>
      </c>
      <c r="H178" t="s">
        <v>784</v>
      </c>
      <c r="I178" t="s">
        <v>722</v>
      </c>
      <c r="J178" t="s">
        <v>423</v>
      </c>
      <c r="K178">
        <v>120</v>
      </c>
      <c r="L178">
        <v>70</v>
      </c>
      <c r="M178">
        <v>65</v>
      </c>
      <c r="N178">
        <v>150</v>
      </c>
      <c r="O178">
        <v>45</v>
      </c>
    </row>
    <row r="179" spans="1:15" x14ac:dyDescent="0.25">
      <c r="A179" t="s">
        <v>45</v>
      </c>
      <c r="B179">
        <v>2</v>
      </c>
      <c r="C179" t="s">
        <v>27</v>
      </c>
      <c r="D179" t="s">
        <v>95</v>
      </c>
      <c r="E179" t="s">
        <v>112</v>
      </c>
      <c r="F179" t="s">
        <v>145</v>
      </c>
      <c r="G179" t="s">
        <v>261</v>
      </c>
      <c r="H179" t="s">
        <v>784</v>
      </c>
      <c r="I179" t="s">
        <v>722</v>
      </c>
      <c r="J179" t="s">
        <v>426</v>
      </c>
      <c r="K179">
        <v>90</v>
      </c>
      <c r="L179">
        <v>30</v>
      </c>
      <c r="M179">
        <v>45</v>
      </c>
      <c r="N179">
        <v>90</v>
      </c>
      <c r="O179">
        <v>20</v>
      </c>
    </row>
    <row r="180" spans="1:15" x14ac:dyDescent="0.25">
      <c r="A180" t="s">
        <v>46</v>
      </c>
      <c r="B180">
        <v>2</v>
      </c>
      <c r="C180" t="s">
        <v>29</v>
      </c>
      <c r="D180" t="s">
        <v>95</v>
      </c>
      <c r="E180" t="s">
        <v>112</v>
      </c>
      <c r="F180" t="s">
        <v>145</v>
      </c>
      <c r="G180" t="s">
        <v>261</v>
      </c>
      <c r="H180" t="s">
        <v>784</v>
      </c>
      <c r="I180" t="s">
        <v>722</v>
      </c>
      <c r="J180" t="s">
        <v>429</v>
      </c>
      <c r="K180">
        <v>60</v>
      </c>
      <c r="L180">
        <v>45</v>
      </c>
      <c r="M180">
        <v>65</v>
      </c>
      <c r="N180">
        <v>210</v>
      </c>
      <c r="O180">
        <v>50</v>
      </c>
    </row>
    <row r="181" spans="1:15" x14ac:dyDescent="0.25">
      <c r="A181" t="s">
        <v>47</v>
      </c>
      <c r="B181">
        <v>2</v>
      </c>
      <c r="C181" t="s">
        <v>31</v>
      </c>
      <c r="D181" t="s">
        <v>94</v>
      </c>
      <c r="E181" t="s">
        <v>112</v>
      </c>
      <c r="F181" t="s">
        <v>145</v>
      </c>
      <c r="G181" t="s">
        <v>261</v>
      </c>
      <c r="H181" t="s">
        <v>783</v>
      </c>
      <c r="I181" t="s">
        <v>729</v>
      </c>
      <c r="J181" t="s">
        <v>430</v>
      </c>
      <c r="K181">
        <v>65</v>
      </c>
      <c r="L181">
        <v>40</v>
      </c>
      <c r="M181">
        <v>60</v>
      </c>
      <c r="N181">
        <v>270</v>
      </c>
      <c r="O181">
        <v>140</v>
      </c>
    </row>
    <row r="182" spans="1:15" x14ac:dyDescent="0.25">
      <c r="A182" t="s">
        <v>49</v>
      </c>
      <c r="B182">
        <v>2</v>
      </c>
      <c r="C182" t="s">
        <v>35</v>
      </c>
      <c r="D182" t="s">
        <v>94</v>
      </c>
      <c r="E182" t="s">
        <v>112</v>
      </c>
      <c r="F182" t="s">
        <v>145</v>
      </c>
      <c r="G182" t="s">
        <v>261</v>
      </c>
      <c r="H182" t="s">
        <v>783</v>
      </c>
      <c r="I182" t="s">
        <v>729</v>
      </c>
      <c r="J182" t="s">
        <v>435</v>
      </c>
      <c r="K182">
        <v>80</v>
      </c>
      <c r="L182">
        <v>45</v>
      </c>
      <c r="M182">
        <v>60</v>
      </c>
      <c r="N182">
        <v>80</v>
      </c>
      <c r="O182">
        <v>35</v>
      </c>
    </row>
    <row r="183" spans="1:15" x14ac:dyDescent="0.25">
      <c r="A183" t="s">
        <v>84</v>
      </c>
      <c r="B183">
        <v>6</v>
      </c>
      <c r="C183" t="s">
        <v>23</v>
      </c>
      <c r="D183" t="s">
        <v>95</v>
      </c>
      <c r="E183" t="s">
        <v>112</v>
      </c>
      <c r="F183" t="s">
        <v>145</v>
      </c>
      <c r="G183" t="s">
        <v>261</v>
      </c>
      <c r="H183" t="s">
        <v>784</v>
      </c>
      <c r="I183" t="s">
        <v>741</v>
      </c>
      <c r="J183" t="s">
        <v>454</v>
      </c>
      <c r="K183">
        <v>60</v>
      </c>
      <c r="L183">
        <v>60</v>
      </c>
      <c r="M183">
        <v>35</v>
      </c>
      <c r="N183">
        <v>45</v>
      </c>
      <c r="O183">
        <v>45</v>
      </c>
    </row>
    <row r="184" spans="1:15" x14ac:dyDescent="0.25">
      <c r="A184" t="s">
        <v>86</v>
      </c>
      <c r="B184">
        <v>6</v>
      </c>
      <c r="C184" t="s">
        <v>27</v>
      </c>
      <c r="D184" t="s">
        <v>94</v>
      </c>
      <c r="E184" t="s">
        <v>112</v>
      </c>
      <c r="F184" t="s">
        <v>145</v>
      </c>
      <c r="G184" t="s">
        <v>261</v>
      </c>
      <c r="H184" t="s">
        <v>783</v>
      </c>
      <c r="I184" t="s">
        <v>743</v>
      </c>
      <c r="J184" t="s">
        <v>458</v>
      </c>
      <c r="K184">
        <v>80</v>
      </c>
      <c r="L184">
        <v>50</v>
      </c>
      <c r="M184">
        <v>90</v>
      </c>
      <c r="N184">
        <v>290</v>
      </c>
      <c r="O184">
        <v>200</v>
      </c>
    </row>
    <row r="185" spans="1:15" x14ac:dyDescent="0.25">
      <c r="A185" t="s">
        <v>88</v>
      </c>
      <c r="B185">
        <v>6</v>
      </c>
      <c r="C185" t="s">
        <v>31</v>
      </c>
      <c r="D185" t="s">
        <v>95</v>
      </c>
      <c r="E185" t="s">
        <v>112</v>
      </c>
      <c r="F185" t="s">
        <v>145</v>
      </c>
      <c r="G185" t="s">
        <v>261</v>
      </c>
      <c r="H185" t="s">
        <v>784</v>
      </c>
      <c r="I185" t="s">
        <v>741</v>
      </c>
      <c r="J185" t="s">
        <v>462</v>
      </c>
      <c r="K185">
        <v>100</v>
      </c>
      <c r="L185">
        <v>70</v>
      </c>
      <c r="M185">
        <v>60</v>
      </c>
      <c r="N185">
        <v>170</v>
      </c>
      <c r="O185">
        <v>45</v>
      </c>
    </row>
    <row r="186" spans="1:15" x14ac:dyDescent="0.25">
      <c r="A186" t="s">
        <v>89</v>
      </c>
      <c r="B186">
        <v>6</v>
      </c>
      <c r="C186" t="s">
        <v>33</v>
      </c>
      <c r="D186" t="s">
        <v>95</v>
      </c>
      <c r="E186" t="s">
        <v>112</v>
      </c>
      <c r="F186" t="s">
        <v>145</v>
      </c>
      <c r="G186" t="s">
        <v>261</v>
      </c>
      <c r="H186" t="s">
        <v>784</v>
      </c>
      <c r="I186" t="s">
        <v>741</v>
      </c>
      <c r="J186" t="s">
        <v>464</v>
      </c>
      <c r="K186">
        <v>45</v>
      </c>
      <c r="L186">
        <v>120</v>
      </c>
      <c r="M186">
        <v>30</v>
      </c>
      <c r="N186">
        <v>80</v>
      </c>
      <c r="O186">
        <v>25</v>
      </c>
    </row>
    <row r="187" spans="1:15" x14ac:dyDescent="0.25">
      <c r="A187" t="s">
        <v>91</v>
      </c>
      <c r="B187">
        <v>6</v>
      </c>
      <c r="C187" t="s">
        <v>37</v>
      </c>
      <c r="D187" t="s">
        <v>94</v>
      </c>
      <c r="E187" t="s">
        <v>112</v>
      </c>
      <c r="F187" t="s">
        <v>145</v>
      </c>
      <c r="G187" t="s">
        <v>261</v>
      </c>
      <c r="H187" t="s">
        <v>783</v>
      </c>
      <c r="I187" t="s">
        <v>743</v>
      </c>
      <c r="J187" t="s">
        <v>467</v>
      </c>
      <c r="K187">
        <v>60</v>
      </c>
      <c r="L187">
        <v>50</v>
      </c>
      <c r="M187">
        <v>55</v>
      </c>
      <c r="N187">
        <v>220</v>
      </c>
      <c r="O187">
        <v>190</v>
      </c>
    </row>
    <row r="188" spans="1:15" x14ac:dyDescent="0.25">
      <c r="A188" t="s">
        <v>92</v>
      </c>
      <c r="B188">
        <v>6</v>
      </c>
      <c r="C188" t="s">
        <v>64</v>
      </c>
      <c r="D188" t="s">
        <v>94</v>
      </c>
      <c r="E188" t="s">
        <v>112</v>
      </c>
      <c r="F188" t="s">
        <v>145</v>
      </c>
      <c r="G188" t="s">
        <v>261</v>
      </c>
      <c r="H188" t="s">
        <v>783</v>
      </c>
      <c r="I188" t="s">
        <v>743</v>
      </c>
      <c r="J188" t="s">
        <v>468</v>
      </c>
      <c r="K188">
        <v>70</v>
      </c>
      <c r="L188">
        <v>60</v>
      </c>
      <c r="M188">
        <v>70</v>
      </c>
      <c r="N188">
        <v>200</v>
      </c>
      <c r="O188">
        <v>60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3"/>
  <sheetViews>
    <sheetView workbookViewId="0">
      <selection activeCell="K32" sqref="K32"/>
    </sheetView>
  </sheetViews>
  <sheetFormatPr defaultRowHeight="15" x14ac:dyDescent="0.25"/>
  <cols>
    <col min="1" max="1" width="14.28515625" bestFit="1" customWidth="1"/>
    <col min="2" max="2" width="26.7109375" customWidth="1"/>
    <col min="4" max="4" width="20.42578125" customWidth="1"/>
    <col min="5" max="5" width="22.85546875" customWidth="1"/>
    <col min="7" max="7" width="14" customWidth="1"/>
    <col min="8" max="8" width="11.7109375" customWidth="1"/>
  </cols>
  <sheetData>
    <row r="1" spans="1:8" x14ac:dyDescent="0.25">
      <c r="A1" t="s">
        <v>798</v>
      </c>
      <c r="B1" t="s">
        <v>220</v>
      </c>
      <c r="C1" t="s">
        <v>122</v>
      </c>
      <c r="D1" t="s">
        <v>800</v>
      </c>
      <c r="E1" t="s">
        <v>801</v>
      </c>
      <c r="F1" t="s">
        <v>802</v>
      </c>
      <c r="G1" t="s">
        <v>803</v>
      </c>
      <c r="H1" t="s">
        <v>799</v>
      </c>
    </row>
    <row r="2" spans="1:8" x14ac:dyDescent="0.25">
      <c r="A2" t="s">
        <v>102</v>
      </c>
      <c r="B2" t="s">
        <v>221</v>
      </c>
      <c r="C2" s="2">
        <v>84.740740740740748</v>
      </c>
      <c r="D2">
        <v>1.1571499000000001</v>
      </c>
      <c r="F2">
        <v>29.167014049999999</v>
      </c>
      <c r="G2">
        <v>1.1169849999999999</v>
      </c>
      <c r="H2" t="s">
        <v>804</v>
      </c>
    </row>
    <row r="3" spans="1:8" x14ac:dyDescent="0.25">
      <c r="A3" t="s">
        <v>810</v>
      </c>
      <c r="B3" t="s">
        <v>222</v>
      </c>
      <c r="C3" s="2">
        <v>77.055555555555557</v>
      </c>
      <c r="D3" t="s">
        <v>114</v>
      </c>
      <c r="F3">
        <v>18.389110710000001</v>
      </c>
      <c r="G3">
        <v>1.5559800079999999</v>
      </c>
      <c r="H3" t="s">
        <v>805</v>
      </c>
    </row>
    <row r="4" spans="1:8" x14ac:dyDescent="0.25">
      <c r="A4" t="s">
        <v>251</v>
      </c>
      <c r="B4" t="s">
        <v>222</v>
      </c>
      <c r="C4" s="2">
        <v>85</v>
      </c>
      <c r="D4" t="s">
        <v>114</v>
      </c>
      <c r="F4">
        <v>37.099157669999997</v>
      </c>
      <c r="G4">
        <v>0.65291888899999995</v>
      </c>
      <c r="H4" t="s">
        <v>804</v>
      </c>
    </row>
    <row r="5" spans="1:8" x14ac:dyDescent="0.25">
      <c r="A5" t="s">
        <v>248</v>
      </c>
      <c r="B5" t="s">
        <v>222</v>
      </c>
      <c r="C5" s="2">
        <v>83.92307692307692</v>
      </c>
      <c r="D5">
        <v>0.18017928</v>
      </c>
      <c r="F5">
        <v>44.319135699999997</v>
      </c>
      <c r="G5">
        <v>5.9548609999999997E-3</v>
      </c>
      <c r="H5" t="s">
        <v>804</v>
      </c>
    </row>
    <row r="6" spans="1:8" x14ac:dyDescent="0.25">
      <c r="A6" t="s">
        <v>233</v>
      </c>
      <c r="B6" t="s">
        <v>222</v>
      </c>
      <c r="C6" s="2">
        <v>106.05405405405405</v>
      </c>
      <c r="D6">
        <v>0.44888888999999998</v>
      </c>
      <c r="F6">
        <v>52.690533369999997</v>
      </c>
      <c r="G6">
        <v>7.6058968000000005E-2</v>
      </c>
      <c r="H6" t="s">
        <v>804</v>
      </c>
    </row>
    <row r="7" spans="1:8" x14ac:dyDescent="0.25">
      <c r="A7" t="s">
        <v>239</v>
      </c>
      <c r="B7" t="s">
        <v>222</v>
      </c>
      <c r="C7" s="2">
        <v>100.45454545454545</v>
      </c>
      <c r="D7">
        <v>0.40907861000000001</v>
      </c>
      <c r="F7">
        <v>26.754810689999999</v>
      </c>
      <c r="G7">
        <v>0.75829999999999997</v>
      </c>
      <c r="H7" t="s">
        <v>804</v>
      </c>
    </row>
    <row r="8" spans="1:8" x14ac:dyDescent="0.25">
      <c r="A8" t="s">
        <v>234</v>
      </c>
      <c r="B8" t="s">
        <v>222</v>
      </c>
      <c r="C8" s="2">
        <v>89.8125</v>
      </c>
      <c r="D8">
        <v>2.4791666700000001</v>
      </c>
      <c r="F8">
        <v>34.754706650000003</v>
      </c>
      <c r="G8">
        <v>2.3065078999999999E-2</v>
      </c>
      <c r="H8" t="s">
        <v>804</v>
      </c>
    </row>
    <row r="9" spans="1:8" x14ac:dyDescent="0.25">
      <c r="A9" t="s">
        <v>242</v>
      </c>
      <c r="B9" t="s">
        <v>222</v>
      </c>
      <c r="C9">
        <v>139.375</v>
      </c>
      <c r="D9" t="s">
        <v>114</v>
      </c>
      <c r="F9">
        <v>23.713465920000001</v>
      </c>
      <c r="G9" t="s">
        <v>114</v>
      </c>
      <c r="H9" s="2" t="s">
        <v>807</v>
      </c>
    </row>
    <row r="10" spans="1:8" x14ac:dyDescent="0.25">
      <c r="A10" t="s">
        <v>236</v>
      </c>
      <c r="B10" t="s">
        <v>222</v>
      </c>
      <c r="C10" s="2">
        <v>113.33333333333333</v>
      </c>
      <c r="D10">
        <v>8.9285710000000004E-2</v>
      </c>
      <c r="F10">
        <v>26.41632581</v>
      </c>
      <c r="G10">
        <v>1.6844570160000001</v>
      </c>
      <c r="H10" t="s">
        <v>804</v>
      </c>
    </row>
    <row r="11" spans="1:8" x14ac:dyDescent="0.25">
      <c r="A11" t="s">
        <v>245</v>
      </c>
      <c r="B11" t="s">
        <v>222</v>
      </c>
      <c r="C11" s="2" t="s">
        <v>114</v>
      </c>
      <c r="D11" s="2" t="s">
        <v>114</v>
      </c>
      <c r="F11" t="s">
        <v>114</v>
      </c>
      <c r="G11" t="s">
        <v>114</v>
      </c>
      <c r="H11" t="s">
        <v>804</v>
      </c>
    </row>
    <row r="12" spans="1:8" x14ac:dyDescent="0.25">
      <c r="A12" t="s">
        <v>808</v>
      </c>
      <c r="B12" t="s">
        <v>222</v>
      </c>
      <c r="C12" s="2">
        <v>102.79166666666667</v>
      </c>
      <c r="D12" t="s">
        <v>114</v>
      </c>
      <c r="F12">
        <v>27.057373470000002</v>
      </c>
      <c r="G12">
        <v>6.3567849939999999</v>
      </c>
      <c r="H12" t="s">
        <v>804</v>
      </c>
    </row>
    <row r="13" spans="1:8" x14ac:dyDescent="0.25">
      <c r="A13" t="s">
        <v>244</v>
      </c>
      <c r="B13" t="s">
        <v>222</v>
      </c>
      <c r="C13" s="2">
        <v>75</v>
      </c>
      <c r="D13">
        <v>0.26400832000000002</v>
      </c>
      <c r="F13">
        <v>28.80614499</v>
      </c>
      <c r="G13">
        <v>2.3860428570000001</v>
      </c>
      <c r="H13" t="s">
        <v>804</v>
      </c>
    </row>
    <row r="14" spans="1:8" x14ac:dyDescent="0.25">
      <c r="A14" t="s">
        <v>237</v>
      </c>
      <c r="B14" t="s">
        <v>222</v>
      </c>
      <c r="C14" s="2">
        <v>83.888888888888886</v>
      </c>
      <c r="D14">
        <v>0.24845418999999999</v>
      </c>
      <c r="F14">
        <v>31.026943280000001</v>
      </c>
      <c r="G14">
        <v>0.53083999999999998</v>
      </c>
      <c r="H14" t="s">
        <v>804</v>
      </c>
    </row>
    <row r="15" spans="1:8" x14ac:dyDescent="0.25">
      <c r="A15" t="s">
        <v>105</v>
      </c>
      <c r="B15" t="s">
        <v>221</v>
      </c>
      <c r="C15" s="2">
        <v>67.5</v>
      </c>
      <c r="D15">
        <v>2.0950346999999998</v>
      </c>
      <c r="F15">
        <v>47.937235809999997</v>
      </c>
      <c r="G15">
        <v>0.41599678000000001</v>
      </c>
      <c r="H15" t="s">
        <v>804</v>
      </c>
    </row>
    <row r="16" spans="1:8" x14ac:dyDescent="0.25">
      <c r="A16" t="s">
        <v>113</v>
      </c>
      <c r="B16" t="s">
        <v>222</v>
      </c>
      <c r="C16" s="2">
        <v>83.757575757575751</v>
      </c>
      <c r="D16">
        <v>0.21301339999999999</v>
      </c>
      <c r="F16">
        <v>22.60997987</v>
      </c>
      <c r="G16">
        <v>0.72884000000000004</v>
      </c>
      <c r="H16" t="s">
        <v>804</v>
      </c>
    </row>
    <row r="17" spans="1:8" x14ac:dyDescent="0.25">
      <c r="A17" s="2" t="s">
        <v>110</v>
      </c>
      <c r="B17" t="s">
        <v>221</v>
      </c>
      <c r="C17">
        <v>73.260869565217391</v>
      </c>
      <c r="D17">
        <v>0.90897070000000002</v>
      </c>
      <c r="F17">
        <v>34.453830549999999</v>
      </c>
      <c r="G17">
        <v>1.058333333</v>
      </c>
      <c r="H17" t="s">
        <v>804</v>
      </c>
    </row>
    <row r="18" spans="1:8" x14ac:dyDescent="0.25">
      <c r="A18" t="s">
        <v>162</v>
      </c>
      <c r="B18" t="s">
        <v>221</v>
      </c>
      <c r="C18" s="2">
        <v>82.538461538461533</v>
      </c>
      <c r="D18" t="s">
        <v>114</v>
      </c>
      <c r="F18">
        <v>35.660530039999998</v>
      </c>
      <c r="G18">
        <v>3.3754499999999998</v>
      </c>
      <c r="H18" t="s">
        <v>804</v>
      </c>
    </row>
    <row r="19" spans="1:8" x14ac:dyDescent="0.25">
      <c r="A19" t="s">
        <v>249</v>
      </c>
      <c r="B19" t="s">
        <v>222</v>
      </c>
      <c r="C19" s="2">
        <v>81.666666666666671</v>
      </c>
      <c r="D19" t="s">
        <v>114</v>
      </c>
      <c r="F19">
        <v>48.056268459999998</v>
      </c>
      <c r="G19">
        <v>0.120291364</v>
      </c>
      <c r="H19" t="s">
        <v>804</v>
      </c>
    </row>
    <row r="20" spans="1:8" x14ac:dyDescent="0.25">
      <c r="A20" t="s">
        <v>103</v>
      </c>
      <c r="B20" t="s">
        <v>221</v>
      </c>
      <c r="C20" s="2">
        <v>98.291666666666671</v>
      </c>
      <c r="D20">
        <v>0.42866070000000001</v>
      </c>
      <c r="F20">
        <v>30.315130790000001</v>
      </c>
      <c r="G20">
        <v>5.0803484000000003E-2</v>
      </c>
      <c r="H20" t="s">
        <v>806</v>
      </c>
    </row>
    <row r="21" spans="1:8" x14ac:dyDescent="0.25">
      <c r="A21" t="s">
        <v>111</v>
      </c>
      <c r="B21" t="s">
        <v>222</v>
      </c>
      <c r="C21" s="2">
        <v>94.971428571428575</v>
      </c>
      <c r="D21">
        <v>0.39050790000000002</v>
      </c>
      <c r="F21">
        <v>24.31591813</v>
      </c>
      <c r="G21">
        <v>0.122951111</v>
      </c>
      <c r="H21" t="s">
        <v>804</v>
      </c>
    </row>
    <row r="22" spans="1:8" x14ac:dyDescent="0.25">
      <c r="A22" t="s">
        <v>241</v>
      </c>
      <c r="B22" t="s">
        <v>222</v>
      </c>
      <c r="C22" s="2">
        <v>114</v>
      </c>
      <c r="D22">
        <v>0.28333332999999999</v>
      </c>
      <c r="F22">
        <v>30.43077242</v>
      </c>
      <c r="G22">
        <v>0.53383111100000002</v>
      </c>
      <c r="H22" t="s">
        <v>804</v>
      </c>
    </row>
    <row r="23" spans="1:8" x14ac:dyDescent="0.25">
      <c r="A23" t="s">
        <v>253</v>
      </c>
      <c r="B23" t="s">
        <v>221</v>
      </c>
      <c r="C23" s="2">
        <v>172.08823529411765</v>
      </c>
      <c r="D23" t="s">
        <v>114</v>
      </c>
      <c r="F23">
        <v>29.581605960000001</v>
      </c>
      <c r="G23">
        <v>0.24280444400000001</v>
      </c>
      <c r="H23" t="s">
        <v>804</v>
      </c>
    </row>
    <row r="24" spans="1:8" x14ac:dyDescent="0.25">
      <c r="A24" t="s">
        <v>246</v>
      </c>
      <c r="B24" t="s">
        <v>222</v>
      </c>
      <c r="C24" s="2">
        <v>120.25</v>
      </c>
      <c r="D24" t="s">
        <v>114</v>
      </c>
      <c r="F24">
        <v>30.670450110000001</v>
      </c>
      <c r="G24">
        <v>0.91037498500000003</v>
      </c>
      <c r="H24" t="s">
        <v>804</v>
      </c>
    </row>
    <row r="25" spans="1:8" x14ac:dyDescent="0.25">
      <c r="A25" t="s">
        <v>238</v>
      </c>
      <c r="B25" t="s">
        <v>222</v>
      </c>
      <c r="C25" s="2">
        <v>87.5</v>
      </c>
      <c r="D25">
        <v>0.12931835</v>
      </c>
      <c r="F25">
        <v>29.478311600000001</v>
      </c>
      <c r="G25">
        <v>3.0797751000000002E-2</v>
      </c>
      <c r="H25" t="s">
        <v>804</v>
      </c>
    </row>
    <row r="26" spans="1:8" x14ac:dyDescent="0.25">
      <c r="A26" t="s">
        <v>235</v>
      </c>
      <c r="B26" t="s">
        <v>222</v>
      </c>
      <c r="C26" s="2">
        <v>132.27272727272728</v>
      </c>
      <c r="D26">
        <v>0.41404401000000002</v>
      </c>
      <c r="F26">
        <v>20.180448590000001</v>
      </c>
      <c r="G26">
        <v>3.7813451999999997E-2</v>
      </c>
      <c r="H26" t="s">
        <v>804</v>
      </c>
    </row>
    <row r="27" spans="1:8" x14ac:dyDescent="0.25">
      <c r="A27" t="s">
        <v>797</v>
      </c>
      <c r="B27" t="s">
        <v>222</v>
      </c>
      <c r="C27" s="2">
        <v>179.45454545454547</v>
      </c>
      <c r="D27">
        <v>0.18833116</v>
      </c>
      <c r="F27">
        <v>26.326869609999999</v>
      </c>
      <c r="G27">
        <v>2.3456094639999998</v>
      </c>
      <c r="H27" t="s">
        <v>804</v>
      </c>
    </row>
    <row r="28" spans="1:8" x14ac:dyDescent="0.25">
      <c r="A28" t="s">
        <v>250</v>
      </c>
      <c r="B28" t="s">
        <v>222</v>
      </c>
      <c r="C28" s="2">
        <v>157.14285714285714</v>
      </c>
      <c r="D28" t="s">
        <v>114</v>
      </c>
      <c r="F28">
        <v>28.969081320000001</v>
      </c>
      <c r="G28">
        <v>0.55164111100000002</v>
      </c>
      <c r="H28" t="s">
        <v>804</v>
      </c>
    </row>
    <row r="29" spans="1:8" x14ac:dyDescent="0.25">
      <c r="A29" t="s">
        <v>104</v>
      </c>
      <c r="B29" t="s">
        <v>222</v>
      </c>
      <c r="C29" s="2">
        <v>113.9375</v>
      </c>
      <c r="D29">
        <v>0.40692159999999999</v>
      </c>
      <c r="F29">
        <v>33.375507550000002</v>
      </c>
      <c r="G29">
        <v>2.4262999999999999</v>
      </c>
      <c r="H29" t="s">
        <v>804</v>
      </c>
    </row>
    <row r="30" spans="1:8" x14ac:dyDescent="0.25">
      <c r="A30" t="s">
        <v>112</v>
      </c>
      <c r="B30" t="s">
        <v>222</v>
      </c>
      <c r="C30" s="2">
        <v>65.09375</v>
      </c>
      <c r="D30">
        <v>2.2111774</v>
      </c>
      <c r="F30">
        <v>37.895352600000002</v>
      </c>
      <c r="G30">
        <v>2.2882677779999998</v>
      </c>
      <c r="H30" t="s">
        <v>804</v>
      </c>
    </row>
    <row r="31" spans="1:8" x14ac:dyDescent="0.25">
      <c r="A31" t="s">
        <v>809</v>
      </c>
      <c r="B31" t="s">
        <v>221</v>
      </c>
      <c r="C31" s="2">
        <v>150.70629370629371</v>
      </c>
      <c r="D31" t="s">
        <v>114</v>
      </c>
      <c r="F31">
        <v>33.058113900000002</v>
      </c>
      <c r="G31">
        <v>0.27817999999999998</v>
      </c>
      <c r="H31" t="s">
        <v>806</v>
      </c>
    </row>
    <row r="32" spans="1:8" x14ac:dyDescent="0.25">
      <c r="A32" t="s">
        <v>247</v>
      </c>
      <c r="B32" t="s">
        <v>222</v>
      </c>
      <c r="C32" s="2">
        <v>65.791044776119406</v>
      </c>
      <c r="D32">
        <v>0.17285655</v>
      </c>
      <c r="F32">
        <v>22.94519201</v>
      </c>
      <c r="G32">
        <v>8.1320334999999994E-2</v>
      </c>
      <c r="H32" t="s">
        <v>804</v>
      </c>
    </row>
    <row r="33" spans="1:8" x14ac:dyDescent="0.25">
      <c r="A33" t="s">
        <v>240</v>
      </c>
      <c r="B33" t="s">
        <v>222</v>
      </c>
      <c r="C33" s="2">
        <v>104.83333333333333</v>
      </c>
      <c r="D33" t="s">
        <v>114</v>
      </c>
      <c r="F33">
        <v>43.798647680000002</v>
      </c>
      <c r="G33">
        <v>7.7741939999999999E-3</v>
      </c>
      <c r="H33" t="s">
        <v>804</v>
      </c>
    </row>
  </sheetData>
  <pageMargins left="0.7" right="0.7" top="0.75" bottom="0.75" header="0.3" footer="0.3"/>
  <pageSetup paperSize="9" orientation="portrait" horizontalDpi="4294967293" verticalDpi="4294967293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4"/>
  <sheetViews>
    <sheetView workbookViewId="0">
      <selection activeCell="N13" sqref="N13"/>
    </sheetView>
  </sheetViews>
  <sheetFormatPr defaultRowHeight="15" x14ac:dyDescent="0.25"/>
  <sheetData>
    <row r="1" spans="1:1" x14ac:dyDescent="0.25">
      <c r="A1" t="s">
        <v>812</v>
      </c>
    </row>
    <row r="2" spans="1:1" x14ac:dyDescent="0.25">
      <c r="A2" t="s">
        <v>811</v>
      </c>
    </row>
    <row r="3" spans="1:1" x14ac:dyDescent="0.25">
      <c r="A3" t="s">
        <v>813</v>
      </c>
    </row>
    <row r="4" spans="1:1" x14ac:dyDescent="0.25">
      <c r="A4" t="s">
        <v>1037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372"/>
  <sheetViews>
    <sheetView workbookViewId="0">
      <selection activeCell="K28" sqref="A1:AA372"/>
    </sheetView>
  </sheetViews>
  <sheetFormatPr defaultRowHeight="15" x14ac:dyDescent="0.25"/>
  <cols>
    <col min="1" max="1" width="13.42578125" bestFit="1" customWidth="1"/>
    <col min="2" max="2" width="17.85546875" bestFit="1" customWidth="1"/>
    <col min="3" max="3" width="10.140625" bestFit="1" customWidth="1"/>
    <col min="4" max="4" width="10.28515625" bestFit="1" customWidth="1"/>
    <col min="5" max="5" width="8.140625" bestFit="1" customWidth="1"/>
    <col min="6" max="6" width="20.5703125" bestFit="1" customWidth="1"/>
    <col min="7" max="7" width="16.42578125" bestFit="1" customWidth="1"/>
    <col min="8" max="8" width="24.42578125" bestFit="1" customWidth="1"/>
    <col min="9" max="9" width="20.5703125" bestFit="1" customWidth="1"/>
    <col min="10" max="10" width="17.85546875" bestFit="1" customWidth="1"/>
    <col min="11" max="11" width="17" bestFit="1" customWidth="1"/>
    <col min="12" max="12" width="12" bestFit="1" customWidth="1"/>
    <col min="13" max="13" width="15" bestFit="1" customWidth="1"/>
    <col min="14" max="14" width="22.140625" bestFit="1" customWidth="1"/>
    <col min="15" max="15" width="23.28515625" bestFit="1" customWidth="1"/>
    <col min="16" max="16" width="14.28515625" bestFit="1" customWidth="1"/>
    <col min="17" max="17" width="20" bestFit="1" customWidth="1"/>
    <col min="18" max="18" width="20.140625" bestFit="1" customWidth="1"/>
    <col min="19" max="19" width="11" bestFit="1" customWidth="1"/>
    <col min="20" max="20" width="19.28515625" bestFit="1" customWidth="1"/>
    <col min="21" max="21" width="17.5703125" bestFit="1" customWidth="1"/>
    <col min="22" max="22" width="16.5703125" bestFit="1" customWidth="1"/>
    <col min="23" max="23" width="23.28515625" bestFit="1" customWidth="1"/>
    <col min="24" max="24" width="22.42578125" bestFit="1" customWidth="1"/>
    <col min="25" max="25" width="18.5703125" bestFit="1" customWidth="1"/>
  </cols>
  <sheetData>
    <row r="1" spans="1:27" x14ac:dyDescent="0.25">
      <c r="A1" t="s">
        <v>96</v>
      </c>
      <c r="B1" t="s">
        <v>796</v>
      </c>
      <c r="C1" t="s">
        <v>146</v>
      </c>
      <c r="D1" t="s">
        <v>1</v>
      </c>
      <c r="E1" t="s">
        <v>2</v>
      </c>
      <c r="F1" t="s">
        <v>97</v>
      </c>
      <c r="G1" t="s">
        <v>101</v>
      </c>
      <c r="H1" t="s">
        <v>231</v>
      </c>
      <c r="I1" t="s">
        <v>8</v>
      </c>
      <c r="J1" t="s">
        <v>230</v>
      </c>
      <c r="K1" t="s">
        <v>232</v>
      </c>
      <c r="L1" t="s">
        <v>814</v>
      </c>
      <c r="M1" t="s">
        <v>815</v>
      </c>
      <c r="N1" t="s">
        <v>816</v>
      </c>
      <c r="O1" t="s">
        <v>1038</v>
      </c>
      <c r="P1" t="s">
        <v>817</v>
      </c>
      <c r="Q1" t="s">
        <v>818</v>
      </c>
      <c r="R1" t="s">
        <v>819</v>
      </c>
      <c r="S1" t="s">
        <v>1039</v>
      </c>
      <c r="T1" t="s">
        <v>1014</v>
      </c>
      <c r="U1" t="s">
        <v>1015</v>
      </c>
      <c r="V1" t="s">
        <v>1016</v>
      </c>
      <c r="W1" t="s">
        <v>1017</v>
      </c>
      <c r="X1" t="s">
        <v>1018</v>
      </c>
      <c r="Y1" t="s">
        <v>1019</v>
      </c>
      <c r="Z1" t="s">
        <v>1040</v>
      </c>
      <c r="AA1" t="s">
        <v>1041</v>
      </c>
    </row>
    <row r="2" spans="1:27" x14ac:dyDescent="0.25">
      <c r="A2" t="s">
        <v>67</v>
      </c>
      <c r="B2" t="s">
        <v>820</v>
      </c>
      <c r="C2">
        <v>10</v>
      </c>
      <c r="D2" t="s">
        <v>11</v>
      </c>
      <c r="E2" t="s">
        <v>94</v>
      </c>
      <c r="F2" t="s">
        <v>113</v>
      </c>
      <c r="G2" t="s">
        <v>121</v>
      </c>
      <c r="H2" t="s">
        <v>113</v>
      </c>
      <c r="J2">
        <v>0</v>
      </c>
      <c r="K2">
        <v>2</v>
      </c>
      <c r="L2">
        <v>83.757575759999995</v>
      </c>
      <c r="M2">
        <v>22.60997987</v>
      </c>
      <c r="N2">
        <v>0.72884000000000004</v>
      </c>
      <c r="O2">
        <v>0.21301339999999999</v>
      </c>
      <c r="P2">
        <v>83.757575759999995</v>
      </c>
      <c r="Q2">
        <v>22.60997987</v>
      </c>
      <c r="R2">
        <v>0.72884000000000004</v>
      </c>
      <c r="S2">
        <v>0.21301339999999999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</row>
    <row r="3" spans="1:27" x14ac:dyDescent="0.25">
      <c r="A3" t="s">
        <v>67</v>
      </c>
      <c r="B3" t="s">
        <v>820</v>
      </c>
      <c r="C3">
        <v>10</v>
      </c>
      <c r="D3" t="s">
        <v>11</v>
      </c>
      <c r="E3" t="s">
        <v>94</v>
      </c>
      <c r="F3" t="s">
        <v>113</v>
      </c>
      <c r="G3" t="s">
        <v>121</v>
      </c>
      <c r="H3" t="s">
        <v>248</v>
      </c>
      <c r="J3">
        <v>0</v>
      </c>
      <c r="K3">
        <v>1</v>
      </c>
      <c r="L3">
        <v>83.757575759999995</v>
      </c>
      <c r="M3">
        <v>22.60997987</v>
      </c>
      <c r="N3">
        <v>0.72884000000000004</v>
      </c>
      <c r="O3">
        <v>0.21301339999999999</v>
      </c>
      <c r="P3">
        <v>83.92307692</v>
      </c>
      <c r="Q3">
        <v>44.319135699999997</v>
      </c>
      <c r="R3">
        <v>5.9548609999999997E-3</v>
      </c>
      <c r="S3">
        <v>0.18017928</v>
      </c>
      <c r="T3">
        <v>-0.16550116000000001</v>
      </c>
      <c r="U3">
        <v>0.16550116000000001</v>
      </c>
      <c r="V3">
        <v>-21.70915583</v>
      </c>
      <c r="W3">
        <v>21.70915583</v>
      </c>
      <c r="X3">
        <v>0.72288513899999995</v>
      </c>
      <c r="Y3">
        <v>0.72288513899999995</v>
      </c>
      <c r="Z3">
        <v>3.2834119999999994E-2</v>
      </c>
      <c r="AA3">
        <v>3.2834119999999994E-2</v>
      </c>
    </row>
    <row r="4" spans="1:27" x14ac:dyDescent="0.25">
      <c r="A4" t="s">
        <v>67</v>
      </c>
      <c r="B4" t="s">
        <v>821</v>
      </c>
      <c r="C4">
        <v>10</v>
      </c>
      <c r="D4" t="s">
        <v>11</v>
      </c>
      <c r="E4" t="s">
        <v>94</v>
      </c>
      <c r="F4" t="s">
        <v>103</v>
      </c>
      <c r="G4" t="s">
        <v>121</v>
      </c>
      <c r="H4" t="s">
        <v>103</v>
      </c>
      <c r="J4">
        <v>0</v>
      </c>
      <c r="K4">
        <v>1</v>
      </c>
      <c r="L4">
        <v>98.291666669999998</v>
      </c>
      <c r="M4">
        <v>30.315130790000001</v>
      </c>
      <c r="N4">
        <v>5.0803484000000003E-2</v>
      </c>
      <c r="O4">
        <v>0.42866070000000001</v>
      </c>
      <c r="P4">
        <v>98.291666669999998</v>
      </c>
      <c r="Q4">
        <v>30.315130790000001</v>
      </c>
      <c r="R4">
        <v>5.0803484000000003E-2</v>
      </c>
      <c r="S4">
        <v>0.42866070000000001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</row>
    <row r="5" spans="1:27" x14ac:dyDescent="0.25">
      <c r="A5" t="s">
        <v>67</v>
      </c>
      <c r="B5" t="s">
        <v>822</v>
      </c>
      <c r="C5">
        <v>10</v>
      </c>
      <c r="D5" t="s">
        <v>11</v>
      </c>
      <c r="E5" t="s">
        <v>94</v>
      </c>
      <c r="F5" t="s">
        <v>112</v>
      </c>
      <c r="G5" t="s">
        <v>121</v>
      </c>
      <c r="H5" t="s">
        <v>235</v>
      </c>
      <c r="J5">
        <v>0</v>
      </c>
      <c r="K5">
        <v>1</v>
      </c>
      <c r="L5">
        <v>65.09375</v>
      </c>
      <c r="M5">
        <v>37.895352600000002</v>
      </c>
      <c r="N5">
        <v>2.2882677779999998</v>
      </c>
      <c r="O5">
        <v>2.2111774</v>
      </c>
      <c r="P5">
        <v>132.27272730000001</v>
      </c>
      <c r="Q5">
        <v>20.180448590000001</v>
      </c>
      <c r="R5">
        <v>3.7813451999999997E-2</v>
      </c>
      <c r="S5">
        <v>0.41404401000000002</v>
      </c>
      <c r="T5">
        <v>-67.1789773</v>
      </c>
      <c r="U5">
        <v>67.1789773</v>
      </c>
      <c r="V5">
        <v>17.714904010000001</v>
      </c>
      <c r="W5">
        <v>17.714904010000001</v>
      </c>
      <c r="X5">
        <v>2.2504543259999998</v>
      </c>
      <c r="Y5">
        <v>2.2504543259999998</v>
      </c>
      <c r="Z5">
        <v>1.7971333899999999</v>
      </c>
      <c r="AA5">
        <v>1.7971333899999999</v>
      </c>
    </row>
    <row r="6" spans="1:27" x14ac:dyDescent="0.25">
      <c r="A6" t="s">
        <v>67</v>
      </c>
      <c r="B6" t="s">
        <v>822</v>
      </c>
      <c r="C6">
        <v>10</v>
      </c>
      <c r="D6" t="s">
        <v>11</v>
      </c>
      <c r="E6" t="s">
        <v>94</v>
      </c>
      <c r="F6" t="s">
        <v>112</v>
      </c>
      <c r="G6" t="s">
        <v>121</v>
      </c>
      <c r="H6" t="s">
        <v>248</v>
      </c>
      <c r="J6">
        <v>0</v>
      </c>
      <c r="K6">
        <v>2</v>
      </c>
      <c r="L6">
        <v>65.09375</v>
      </c>
      <c r="M6">
        <v>37.895352600000002</v>
      </c>
      <c r="N6">
        <v>2.2882677779999998</v>
      </c>
      <c r="O6">
        <v>2.2111774</v>
      </c>
      <c r="P6">
        <v>83.92307692</v>
      </c>
      <c r="Q6">
        <v>44.319135699999997</v>
      </c>
      <c r="R6">
        <v>5.9548609999999997E-3</v>
      </c>
      <c r="S6">
        <v>0.18017928</v>
      </c>
      <c r="T6">
        <v>-18.82932692</v>
      </c>
      <c r="U6">
        <v>18.82932692</v>
      </c>
      <c r="V6">
        <v>-6.4237830999999996</v>
      </c>
      <c r="W6">
        <v>6.4237830999999996</v>
      </c>
      <c r="X6">
        <v>2.2823129170000001</v>
      </c>
      <c r="Y6">
        <v>2.2823129170000001</v>
      </c>
      <c r="Z6">
        <v>2.03099812</v>
      </c>
      <c r="AA6">
        <v>2.03099812</v>
      </c>
    </row>
    <row r="7" spans="1:27" x14ac:dyDescent="0.25">
      <c r="A7" t="s">
        <v>68</v>
      </c>
      <c r="B7" t="s">
        <v>823</v>
      </c>
      <c r="C7">
        <v>10</v>
      </c>
      <c r="D7" t="s">
        <v>15</v>
      </c>
      <c r="E7" t="s">
        <v>95</v>
      </c>
      <c r="F7" t="s">
        <v>113</v>
      </c>
      <c r="G7" t="s">
        <v>121</v>
      </c>
      <c r="H7" t="s">
        <v>113</v>
      </c>
      <c r="J7">
        <v>0</v>
      </c>
      <c r="K7">
        <v>1</v>
      </c>
      <c r="L7">
        <v>83.757575759999995</v>
      </c>
      <c r="M7">
        <v>22.60997987</v>
      </c>
      <c r="N7">
        <v>0.72884000000000004</v>
      </c>
      <c r="O7">
        <v>0.21301339999999999</v>
      </c>
      <c r="P7">
        <v>83.757575759999995</v>
      </c>
      <c r="Q7">
        <v>22.60997987</v>
      </c>
      <c r="R7">
        <v>0.72884000000000004</v>
      </c>
      <c r="S7">
        <v>0.21301339999999999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</row>
    <row r="8" spans="1:27" x14ac:dyDescent="0.25">
      <c r="A8" t="s">
        <v>68</v>
      </c>
      <c r="B8" t="s">
        <v>824</v>
      </c>
      <c r="C8">
        <v>10</v>
      </c>
      <c r="D8" t="s">
        <v>15</v>
      </c>
      <c r="E8" t="s">
        <v>95</v>
      </c>
      <c r="F8" t="s">
        <v>110</v>
      </c>
      <c r="G8" t="s">
        <v>113</v>
      </c>
      <c r="H8" t="s">
        <v>113</v>
      </c>
      <c r="J8">
        <v>0</v>
      </c>
      <c r="K8">
        <v>2</v>
      </c>
      <c r="L8">
        <v>73.260869569999997</v>
      </c>
      <c r="M8">
        <v>34.453830549999999</v>
      </c>
      <c r="N8">
        <v>1.058333333</v>
      </c>
      <c r="O8">
        <v>0.90897070000000002</v>
      </c>
      <c r="P8">
        <v>83.757575759999995</v>
      </c>
      <c r="Q8">
        <v>22.60997987</v>
      </c>
      <c r="R8">
        <v>0.72884000000000004</v>
      </c>
      <c r="S8">
        <v>0.21301339999999999</v>
      </c>
      <c r="T8">
        <v>-10.496706189999999</v>
      </c>
      <c r="U8">
        <v>10.496706189999999</v>
      </c>
      <c r="V8">
        <v>11.843850679999999</v>
      </c>
      <c r="W8">
        <v>11.843850679999999</v>
      </c>
      <c r="X8">
        <v>0.329493333</v>
      </c>
      <c r="Y8">
        <v>0.329493333</v>
      </c>
      <c r="Z8">
        <v>0.6959573</v>
      </c>
      <c r="AA8">
        <v>0.6959573</v>
      </c>
    </row>
    <row r="9" spans="1:27" x14ac:dyDescent="0.25">
      <c r="A9" t="s">
        <v>68</v>
      </c>
      <c r="B9" t="s">
        <v>825</v>
      </c>
      <c r="C9">
        <v>10</v>
      </c>
      <c r="D9" t="s">
        <v>15</v>
      </c>
      <c r="E9" t="s">
        <v>95</v>
      </c>
      <c r="F9" t="s">
        <v>111</v>
      </c>
      <c r="G9" t="s">
        <v>121</v>
      </c>
      <c r="H9" t="s">
        <v>239</v>
      </c>
      <c r="J9">
        <v>0</v>
      </c>
      <c r="K9">
        <v>1</v>
      </c>
      <c r="L9">
        <v>94.97142857</v>
      </c>
      <c r="M9">
        <v>24.31591813</v>
      </c>
      <c r="N9">
        <v>0.122951111</v>
      </c>
      <c r="O9">
        <v>0.39050790000000002</v>
      </c>
      <c r="P9">
        <v>100.45454549999999</v>
      </c>
      <c r="Q9">
        <v>26.754810689999999</v>
      </c>
      <c r="R9">
        <v>0.75829999999999997</v>
      </c>
      <c r="S9">
        <v>0.40907861000000001</v>
      </c>
      <c r="T9">
        <v>-5.4831169299999996</v>
      </c>
      <c r="U9">
        <v>5.4831169299999996</v>
      </c>
      <c r="V9">
        <v>-2.4388925600000002</v>
      </c>
      <c r="W9">
        <v>2.4388925600000002</v>
      </c>
      <c r="X9">
        <v>-0.63534888899999997</v>
      </c>
      <c r="Y9">
        <v>0.63534888899999997</v>
      </c>
      <c r="Z9">
        <v>-1.857070999999999E-2</v>
      </c>
      <c r="AA9">
        <v>1.857070999999999E-2</v>
      </c>
    </row>
    <row r="10" spans="1:27" x14ac:dyDescent="0.25">
      <c r="A10" t="s">
        <v>68</v>
      </c>
      <c r="B10" t="s">
        <v>826</v>
      </c>
      <c r="C10">
        <v>10</v>
      </c>
      <c r="D10" t="s">
        <v>15</v>
      </c>
      <c r="E10" t="s">
        <v>95</v>
      </c>
      <c r="F10" t="s">
        <v>104</v>
      </c>
      <c r="G10" t="s">
        <v>121</v>
      </c>
      <c r="H10" t="s">
        <v>114</v>
      </c>
      <c r="I10" t="s">
        <v>161</v>
      </c>
      <c r="J10">
        <v>1</v>
      </c>
      <c r="K10">
        <v>0</v>
      </c>
      <c r="L10">
        <v>113.9375</v>
      </c>
      <c r="M10">
        <v>33.375507550000002</v>
      </c>
      <c r="N10">
        <v>2.4262999999999999</v>
      </c>
      <c r="O10">
        <v>0.40692159999999999</v>
      </c>
      <c r="P10" t="s">
        <v>114</v>
      </c>
      <c r="Q10" t="s">
        <v>114</v>
      </c>
      <c r="R10" t="s">
        <v>114</v>
      </c>
      <c r="S10" t="s">
        <v>114</v>
      </c>
      <c r="T10" t="s">
        <v>114</v>
      </c>
      <c r="U10" t="s">
        <v>114</v>
      </c>
      <c r="V10" t="s">
        <v>114</v>
      </c>
      <c r="W10" t="s">
        <v>114</v>
      </c>
      <c r="X10" t="s">
        <v>114</v>
      </c>
      <c r="Y10" t="s">
        <v>114</v>
      </c>
      <c r="Z10" t="s">
        <v>114</v>
      </c>
      <c r="AA10" t="s">
        <v>114</v>
      </c>
    </row>
    <row r="11" spans="1:27" x14ac:dyDescent="0.25">
      <c r="A11" t="s">
        <v>69</v>
      </c>
      <c r="B11" t="s">
        <v>827</v>
      </c>
      <c r="C11">
        <v>10</v>
      </c>
      <c r="D11" t="s">
        <v>17</v>
      </c>
      <c r="E11" t="s">
        <v>95</v>
      </c>
      <c r="F11" t="s">
        <v>102</v>
      </c>
      <c r="G11" t="s">
        <v>102</v>
      </c>
      <c r="H11" t="s">
        <v>102</v>
      </c>
      <c r="J11">
        <v>0</v>
      </c>
      <c r="K11">
        <v>1</v>
      </c>
      <c r="L11">
        <v>84.740740740000007</v>
      </c>
      <c r="M11">
        <v>29.167014049999999</v>
      </c>
      <c r="N11">
        <v>1.1169849999999999</v>
      </c>
      <c r="O11">
        <v>1.1571499000000001</v>
      </c>
      <c r="P11">
        <v>84.740740740000007</v>
      </c>
      <c r="Q11">
        <v>29.167014049999999</v>
      </c>
      <c r="R11">
        <v>1.1169849999999999</v>
      </c>
      <c r="S11">
        <v>1.1571499000000001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</row>
    <row r="12" spans="1:27" x14ac:dyDescent="0.25">
      <c r="A12" t="s">
        <v>69</v>
      </c>
      <c r="B12" t="s">
        <v>827</v>
      </c>
      <c r="C12">
        <v>10</v>
      </c>
      <c r="D12" t="s">
        <v>17</v>
      </c>
      <c r="E12" t="s">
        <v>95</v>
      </c>
      <c r="F12" t="s">
        <v>102</v>
      </c>
      <c r="G12" t="s">
        <v>102</v>
      </c>
      <c r="H12" t="s">
        <v>235</v>
      </c>
      <c r="J12">
        <v>0</v>
      </c>
      <c r="K12">
        <v>2</v>
      </c>
      <c r="L12">
        <v>84.740740740000007</v>
      </c>
      <c r="M12">
        <v>29.167014049999999</v>
      </c>
      <c r="N12">
        <v>1.1169849999999999</v>
      </c>
      <c r="O12">
        <v>1.1571499000000001</v>
      </c>
      <c r="P12">
        <v>132.27272730000001</v>
      </c>
      <c r="Q12">
        <v>20.180448590000001</v>
      </c>
      <c r="R12">
        <v>3.7813451999999997E-2</v>
      </c>
      <c r="S12">
        <v>0.41404401000000002</v>
      </c>
      <c r="T12">
        <v>-47.53198656</v>
      </c>
      <c r="U12">
        <v>47.53198656</v>
      </c>
      <c r="V12">
        <v>8.9865654599999996</v>
      </c>
      <c r="W12">
        <v>8.9865654599999996</v>
      </c>
      <c r="X12">
        <v>1.0791715479999999</v>
      </c>
      <c r="Y12">
        <v>1.0791715479999999</v>
      </c>
      <c r="Z12">
        <v>0.74310589000000005</v>
      </c>
      <c r="AA12">
        <v>0.74310589000000005</v>
      </c>
    </row>
    <row r="13" spans="1:27" x14ac:dyDescent="0.25">
      <c r="A13" t="s">
        <v>69</v>
      </c>
      <c r="B13" t="s">
        <v>828</v>
      </c>
      <c r="C13">
        <v>10</v>
      </c>
      <c r="D13" t="s">
        <v>17</v>
      </c>
      <c r="E13" t="s">
        <v>95</v>
      </c>
      <c r="F13" t="s">
        <v>113</v>
      </c>
      <c r="G13" t="s">
        <v>113</v>
      </c>
      <c r="H13" t="s">
        <v>113</v>
      </c>
      <c r="J13">
        <v>0</v>
      </c>
      <c r="K13">
        <v>1</v>
      </c>
      <c r="L13">
        <v>83.757575759999995</v>
      </c>
      <c r="M13">
        <v>22.60997987</v>
      </c>
      <c r="N13">
        <v>0.72884000000000004</v>
      </c>
      <c r="O13">
        <v>0.21301339999999999</v>
      </c>
      <c r="P13">
        <v>83.757575759999995</v>
      </c>
      <c r="Q13">
        <v>22.60997987</v>
      </c>
      <c r="R13">
        <v>0.72884000000000004</v>
      </c>
      <c r="S13">
        <v>0.21301339999999999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</row>
    <row r="14" spans="1:27" x14ac:dyDescent="0.25">
      <c r="A14" t="s">
        <v>69</v>
      </c>
      <c r="B14" t="s">
        <v>828</v>
      </c>
      <c r="C14">
        <v>10</v>
      </c>
      <c r="D14" t="s">
        <v>17</v>
      </c>
      <c r="E14" t="s">
        <v>95</v>
      </c>
      <c r="F14" t="s">
        <v>113</v>
      </c>
      <c r="G14" t="s">
        <v>113</v>
      </c>
      <c r="H14" t="s">
        <v>235</v>
      </c>
      <c r="J14">
        <v>0</v>
      </c>
      <c r="K14">
        <v>2</v>
      </c>
      <c r="L14">
        <v>83.757575759999995</v>
      </c>
      <c r="M14">
        <v>22.60997987</v>
      </c>
      <c r="N14">
        <v>0.72884000000000004</v>
      </c>
      <c r="O14">
        <v>0.21301339999999999</v>
      </c>
      <c r="P14">
        <v>132.27272730000001</v>
      </c>
      <c r="Q14">
        <v>20.180448590000001</v>
      </c>
      <c r="R14">
        <v>3.7813451999999997E-2</v>
      </c>
      <c r="S14">
        <v>0.41404401000000002</v>
      </c>
      <c r="T14">
        <v>-48.515151539999998</v>
      </c>
      <c r="U14">
        <v>48.515151539999998</v>
      </c>
      <c r="V14">
        <v>2.42953128</v>
      </c>
      <c r="W14">
        <v>2.42953128</v>
      </c>
      <c r="X14">
        <v>0.69102654799999996</v>
      </c>
      <c r="Y14">
        <v>0.69102654799999996</v>
      </c>
      <c r="Z14">
        <v>-0.20103061000000003</v>
      </c>
      <c r="AA14">
        <v>0.20103061000000003</v>
      </c>
    </row>
    <row r="15" spans="1:27" x14ac:dyDescent="0.25">
      <c r="A15" t="s">
        <v>69</v>
      </c>
      <c r="B15" t="s">
        <v>829</v>
      </c>
      <c r="C15">
        <v>10</v>
      </c>
      <c r="D15" t="s">
        <v>17</v>
      </c>
      <c r="E15" t="s">
        <v>95</v>
      </c>
      <c r="F15" t="s">
        <v>103</v>
      </c>
      <c r="G15" t="s">
        <v>103</v>
      </c>
      <c r="H15" t="s">
        <v>103</v>
      </c>
      <c r="J15">
        <v>0</v>
      </c>
      <c r="K15">
        <v>1</v>
      </c>
      <c r="L15">
        <v>98.291666669999998</v>
      </c>
      <c r="M15">
        <v>30.315130790000001</v>
      </c>
      <c r="N15">
        <v>5.0803484000000003E-2</v>
      </c>
      <c r="O15">
        <v>0.42866070000000001</v>
      </c>
      <c r="P15">
        <v>98.291666669999998</v>
      </c>
      <c r="Q15">
        <v>30.315130790000001</v>
      </c>
      <c r="R15">
        <v>5.0803484000000003E-2</v>
      </c>
      <c r="S15">
        <v>0.42866070000000001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</row>
    <row r="16" spans="1:27" x14ac:dyDescent="0.25">
      <c r="A16" t="s">
        <v>69</v>
      </c>
      <c r="B16" t="s">
        <v>829</v>
      </c>
      <c r="C16">
        <v>10</v>
      </c>
      <c r="D16" t="s">
        <v>17</v>
      </c>
      <c r="E16" t="s">
        <v>95</v>
      </c>
      <c r="F16" t="s">
        <v>103</v>
      </c>
      <c r="G16" t="s">
        <v>103</v>
      </c>
      <c r="H16" t="s">
        <v>241</v>
      </c>
      <c r="J16">
        <v>0</v>
      </c>
      <c r="K16">
        <v>1</v>
      </c>
      <c r="L16">
        <v>98.291666669999998</v>
      </c>
      <c r="M16">
        <v>30.315130790000001</v>
      </c>
      <c r="N16">
        <v>5.0803484000000003E-2</v>
      </c>
      <c r="O16">
        <v>0.42866070000000001</v>
      </c>
      <c r="P16">
        <v>114</v>
      </c>
      <c r="Q16">
        <v>30.43077242</v>
      </c>
      <c r="R16">
        <v>0.53383111100000002</v>
      </c>
      <c r="S16">
        <v>0.28333332999999999</v>
      </c>
      <c r="T16">
        <v>-15.70833333</v>
      </c>
      <c r="U16">
        <v>15.70833333</v>
      </c>
      <c r="V16">
        <v>-0.11564163</v>
      </c>
      <c r="W16">
        <v>0.11564163</v>
      </c>
      <c r="X16">
        <v>-0.48302762700000001</v>
      </c>
      <c r="Y16">
        <v>0.48302762700000001</v>
      </c>
      <c r="Z16">
        <v>0.14532737000000001</v>
      </c>
      <c r="AA16">
        <v>0.14532737000000001</v>
      </c>
    </row>
    <row r="17" spans="1:27" x14ac:dyDescent="0.25">
      <c r="A17" t="s">
        <v>69</v>
      </c>
      <c r="B17" t="s">
        <v>829</v>
      </c>
      <c r="C17">
        <v>10</v>
      </c>
      <c r="D17" t="s">
        <v>17</v>
      </c>
      <c r="E17" t="s">
        <v>95</v>
      </c>
      <c r="F17" t="s">
        <v>103</v>
      </c>
      <c r="G17" t="s">
        <v>103</v>
      </c>
      <c r="H17" t="s">
        <v>235</v>
      </c>
      <c r="J17">
        <v>0</v>
      </c>
      <c r="K17">
        <v>1</v>
      </c>
      <c r="L17">
        <v>98.291666669999998</v>
      </c>
      <c r="M17">
        <v>30.315130790000001</v>
      </c>
      <c r="N17">
        <v>5.0803484000000003E-2</v>
      </c>
      <c r="O17">
        <v>0.42866070000000001</v>
      </c>
      <c r="P17">
        <v>132.27272730000001</v>
      </c>
      <c r="Q17">
        <v>20.180448590000001</v>
      </c>
      <c r="R17">
        <v>3.7813451999999997E-2</v>
      </c>
      <c r="S17">
        <v>0.41404401000000002</v>
      </c>
      <c r="T17">
        <v>-33.981060630000002</v>
      </c>
      <c r="U17">
        <v>33.981060630000002</v>
      </c>
      <c r="V17">
        <v>10.1346822</v>
      </c>
      <c r="W17">
        <v>10.1346822</v>
      </c>
      <c r="X17">
        <v>1.2990032E-2</v>
      </c>
      <c r="Y17">
        <v>1.2990032E-2</v>
      </c>
      <c r="Z17">
        <v>1.4616689999999988E-2</v>
      </c>
      <c r="AA17">
        <v>1.4616689999999988E-2</v>
      </c>
    </row>
    <row r="18" spans="1:27" x14ac:dyDescent="0.25">
      <c r="A18" t="s">
        <v>69</v>
      </c>
      <c r="B18" t="s">
        <v>830</v>
      </c>
      <c r="C18">
        <v>10</v>
      </c>
      <c r="D18" t="s">
        <v>17</v>
      </c>
      <c r="E18" t="s">
        <v>95</v>
      </c>
      <c r="F18" t="s">
        <v>111</v>
      </c>
      <c r="G18" t="s">
        <v>121</v>
      </c>
      <c r="H18" t="s">
        <v>235</v>
      </c>
      <c r="J18">
        <v>0</v>
      </c>
      <c r="K18">
        <v>3</v>
      </c>
      <c r="L18">
        <v>94.97142857</v>
      </c>
      <c r="M18">
        <v>24.31591813</v>
      </c>
      <c r="N18">
        <v>0.122951111</v>
      </c>
      <c r="O18">
        <v>0.39050790000000002</v>
      </c>
      <c r="P18">
        <v>132.27272730000001</v>
      </c>
      <c r="Q18">
        <v>20.180448590000001</v>
      </c>
      <c r="R18">
        <v>3.7813451999999997E-2</v>
      </c>
      <c r="S18">
        <v>0.41404401000000002</v>
      </c>
      <c r="T18">
        <v>-37.301298729999999</v>
      </c>
      <c r="U18">
        <v>37.301298729999999</v>
      </c>
      <c r="V18">
        <v>4.1354695399999999</v>
      </c>
      <c r="W18">
        <v>4.1354695399999999</v>
      </c>
      <c r="X18">
        <v>8.5137659000000004E-2</v>
      </c>
      <c r="Y18">
        <v>8.5137659000000004E-2</v>
      </c>
      <c r="Z18">
        <v>-2.3536109999999999E-2</v>
      </c>
      <c r="AA18">
        <v>2.3536109999999999E-2</v>
      </c>
    </row>
    <row r="19" spans="1:27" x14ac:dyDescent="0.25">
      <c r="A19" t="s">
        <v>69</v>
      </c>
      <c r="B19" t="s">
        <v>831</v>
      </c>
      <c r="C19">
        <v>10</v>
      </c>
      <c r="D19" t="s">
        <v>17</v>
      </c>
      <c r="E19" t="s">
        <v>95</v>
      </c>
      <c r="F19" t="s">
        <v>112</v>
      </c>
      <c r="G19" t="s">
        <v>121</v>
      </c>
      <c r="H19" t="s">
        <v>235</v>
      </c>
      <c r="I19" t="s">
        <v>252</v>
      </c>
      <c r="J19">
        <v>1</v>
      </c>
      <c r="K19">
        <v>2</v>
      </c>
      <c r="L19">
        <v>65.09375</v>
      </c>
      <c r="M19">
        <v>37.895352600000002</v>
      </c>
      <c r="N19">
        <v>2.2882677779999998</v>
      </c>
      <c r="O19">
        <v>2.2111774</v>
      </c>
      <c r="P19">
        <v>132.27272730000001</v>
      </c>
      <c r="Q19">
        <v>20.180448590000001</v>
      </c>
      <c r="R19">
        <v>3.7813451999999997E-2</v>
      </c>
      <c r="S19">
        <v>0.41404401000000002</v>
      </c>
      <c r="T19">
        <v>-67.1789773</v>
      </c>
      <c r="U19">
        <v>67.1789773</v>
      </c>
      <c r="V19">
        <v>17.714904010000001</v>
      </c>
      <c r="W19">
        <v>17.714904010000001</v>
      </c>
      <c r="X19">
        <v>2.2504543259999998</v>
      </c>
      <c r="Y19">
        <v>2.2504543259999998</v>
      </c>
      <c r="Z19">
        <v>1.7971333899999999</v>
      </c>
      <c r="AA19">
        <v>1.7971333899999999</v>
      </c>
    </row>
    <row r="20" spans="1:27" x14ac:dyDescent="0.25">
      <c r="A20" t="s">
        <v>70</v>
      </c>
      <c r="B20" t="s">
        <v>832</v>
      </c>
      <c r="C20">
        <v>10</v>
      </c>
      <c r="D20" t="s">
        <v>19</v>
      </c>
      <c r="E20" t="s">
        <v>95</v>
      </c>
      <c r="F20" t="s">
        <v>102</v>
      </c>
      <c r="G20" t="s">
        <v>121</v>
      </c>
      <c r="H20" t="s">
        <v>102</v>
      </c>
      <c r="J20">
        <v>0</v>
      </c>
      <c r="K20">
        <v>1</v>
      </c>
      <c r="L20">
        <v>84.740740740000007</v>
      </c>
      <c r="M20">
        <v>29.167014049999999</v>
      </c>
      <c r="N20">
        <v>1.1169849999999999</v>
      </c>
      <c r="O20">
        <v>1.1571499000000001</v>
      </c>
      <c r="P20">
        <v>84.740740740000007</v>
      </c>
      <c r="Q20">
        <v>29.167014049999999</v>
      </c>
      <c r="R20">
        <v>1.1169849999999999</v>
      </c>
      <c r="S20">
        <v>1.1571499000000001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</row>
    <row r="21" spans="1:27" x14ac:dyDescent="0.25">
      <c r="A21" t="s">
        <v>70</v>
      </c>
      <c r="B21" t="s">
        <v>832</v>
      </c>
      <c r="C21">
        <v>10</v>
      </c>
      <c r="D21" t="s">
        <v>19</v>
      </c>
      <c r="E21" t="s">
        <v>95</v>
      </c>
      <c r="F21" t="s">
        <v>102</v>
      </c>
      <c r="G21" t="s">
        <v>121</v>
      </c>
      <c r="H21" t="s">
        <v>236</v>
      </c>
      <c r="J21">
        <v>0</v>
      </c>
      <c r="K21">
        <v>1</v>
      </c>
      <c r="L21">
        <v>84.740740740000007</v>
      </c>
      <c r="M21">
        <v>29.167014049999999</v>
      </c>
      <c r="N21">
        <v>1.1169849999999999</v>
      </c>
      <c r="O21">
        <v>1.1571499000000001</v>
      </c>
      <c r="P21">
        <v>113.33333330000001</v>
      </c>
      <c r="Q21">
        <v>26.41632581</v>
      </c>
      <c r="R21">
        <v>1.6844570160000001</v>
      </c>
      <c r="S21">
        <v>8.9285710000000004E-2</v>
      </c>
      <c r="T21">
        <v>-28.59259256</v>
      </c>
      <c r="U21">
        <v>28.59259256</v>
      </c>
      <c r="V21">
        <v>2.7506882400000001</v>
      </c>
      <c r="W21">
        <v>2.7506882400000001</v>
      </c>
      <c r="X21">
        <v>-0.56747201599999997</v>
      </c>
      <c r="Y21">
        <v>0.56747201599999997</v>
      </c>
      <c r="Z21">
        <v>1.0678641900000001</v>
      </c>
      <c r="AA21">
        <v>1.0678641900000001</v>
      </c>
    </row>
    <row r="22" spans="1:27" x14ac:dyDescent="0.25">
      <c r="A22" t="s">
        <v>70</v>
      </c>
      <c r="B22" t="s">
        <v>833</v>
      </c>
      <c r="C22">
        <v>10</v>
      </c>
      <c r="D22" t="s">
        <v>19</v>
      </c>
      <c r="E22" t="s">
        <v>95</v>
      </c>
      <c r="F22" t="s">
        <v>105</v>
      </c>
      <c r="G22" t="s">
        <v>121</v>
      </c>
      <c r="H22" t="s">
        <v>235</v>
      </c>
      <c r="J22">
        <v>0</v>
      </c>
      <c r="K22">
        <v>1</v>
      </c>
      <c r="L22">
        <v>67.5</v>
      </c>
      <c r="M22">
        <v>47.937235809999997</v>
      </c>
      <c r="N22">
        <v>0.41599678000000001</v>
      </c>
      <c r="O22">
        <v>2.0950346999999998</v>
      </c>
      <c r="P22">
        <v>132.27272730000001</v>
      </c>
      <c r="Q22">
        <v>20.180448590000001</v>
      </c>
      <c r="R22">
        <v>3.7813451999999997E-2</v>
      </c>
      <c r="S22">
        <v>0.41404401000000002</v>
      </c>
      <c r="T22">
        <v>-64.7727273</v>
      </c>
      <c r="U22">
        <v>64.7727273</v>
      </c>
      <c r="V22">
        <v>27.75678722</v>
      </c>
      <c r="W22">
        <v>27.75678722</v>
      </c>
      <c r="X22">
        <v>0.37818332799999999</v>
      </c>
      <c r="Y22">
        <v>0.37818332799999999</v>
      </c>
      <c r="Z22">
        <v>1.6809906899999998</v>
      </c>
      <c r="AA22">
        <v>1.6809906899999998</v>
      </c>
    </row>
    <row r="23" spans="1:27" x14ac:dyDescent="0.25">
      <c r="A23" t="s">
        <v>70</v>
      </c>
      <c r="B23" t="s">
        <v>833</v>
      </c>
      <c r="C23">
        <v>10</v>
      </c>
      <c r="D23" t="s">
        <v>19</v>
      </c>
      <c r="E23" t="s">
        <v>95</v>
      </c>
      <c r="F23" t="s">
        <v>105</v>
      </c>
      <c r="G23" t="s">
        <v>121</v>
      </c>
      <c r="H23" t="s">
        <v>236</v>
      </c>
      <c r="J23">
        <v>0</v>
      </c>
      <c r="K23">
        <v>2</v>
      </c>
      <c r="L23">
        <v>67.5</v>
      </c>
      <c r="M23">
        <v>47.937235809999997</v>
      </c>
      <c r="N23">
        <v>0.41599678000000001</v>
      </c>
      <c r="O23">
        <v>2.0950346999999998</v>
      </c>
      <c r="P23">
        <v>113.33333330000001</v>
      </c>
      <c r="Q23">
        <v>26.41632581</v>
      </c>
      <c r="R23">
        <v>1.6844570160000001</v>
      </c>
      <c r="S23">
        <v>8.9285710000000004E-2</v>
      </c>
      <c r="T23">
        <v>-45.8333333</v>
      </c>
      <c r="U23">
        <v>45.8333333</v>
      </c>
      <c r="V23">
        <v>21.520910000000001</v>
      </c>
      <c r="W23">
        <v>21.520910000000001</v>
      </c>
      <c r="X23">
        <v>-1.2684602359999999</v>
      </c>
      <c r="Y23">
        <v>1.2684602359999999</v>
      </c>
      <c r="Z23">
        <v>2.0057489899999998</v>
      </c>
      <c r="AA23">
        <v>2.0057489899999998</v>
      </c>
    </row>
    <row r="24" spans="1:27" x14ac:dyDescent="0.25">
      <c r="A24" t="s">
        <v>70</v>
      </c>
      <c r="B24" t="s">
        <v>833</v>
      </c>
      <c r="C24">
        <v>10</v>
      </c>
      <c r="D24" t="s">
        <v>19</v>
      </c>
      <c r="E24" t="s">
        <v>95</v>
      </c>
      <c r="F24" t="s">
        <v>105</v>
      </c>
      <c r="G24" t="s">
        <v>121</v>
      </c>
      <c r="H24" t="s">
        <v>162</v>
      </c>
      <c r="J24">
        <v>0</v>
      </c>
      <c r="K24">
        <v>1</v>
      </c>
      <c r="L24">
        <v>67.5</v>
      </c>
      <c r="M24">
        <v>47.937235809999997</v>
      </c>
      <c r="N24">
        <v>0.41599678000000001</v>
      </c>
      <c r="O24">
        <v>2.0950346999999998</v>
      </c>
      <c r="P24">
        <v>82.53846154</v>
      </c>
      <c r="Q24">
        <v>35.660530039999998</v>
      </c>
      <c r="R24">
        <v>3.3754499999999998</v>
      </c>
      <c r="S24" t="s">
        <v>114</v>
      </c>
      <c r="T24">
        <v>-15.03846154</v>
      </c>
      <c r="U24">
        <v>15.03846154</v>
      </c>
      <c r="V24">
        <v>12.27670577</v>
      </c>
      <c r="W24">
        <v>12.27670577</v>
      </c>
      <c r="X24">
        <v>-2.9594532199999999</v>
      </c>
      <c r="Y24">
        <v>2.9594532199999999</v>
      </c>
      <c r="Z24" t="s">
        <v>114</v>
      </c>
      <c r="AA24" t="s">
        <v>114</v>
      </c>
    </row>
    <row r="25" spans="1:27" x14ac:dyDescent="0.25">
      <c r="A25" t="s">
        <v>70</v>
      </c>
      <c r="B25" t="s">
        <v>834</v>
      </c>
      <c r="C25">
        <v>10</v>
      </c>
      <c r="D25" t="s">
        <v>19</v>
      </c>
      <c r="E25" t="s">
        <v>95</v>
      </c>
      <c r="F25" t="s">
        <v>111</v>
      </c>
      <c r="G25" t="s">
        <v>121</v>
      </c>
      <c r="H25" t="s">
        <v>235</v>
      </c>
      <c r="J25">
        <v>0</v>
      </c>
      <c r="K25">
        <v>1</v>
      </c>
      <c r="L25">
        <v>94.97142857</v>
      </c>
      <c r="M25">
        <v>24.31591813</v>
      </c>
      <c r="N25">
        <v>0.122951111</v>
      </c>
      <c r="O25">
        <v>0.39050790000000002</v>
      </c>
      <c r="P25">
        <v>132.27272730000001</v>
      </c>
      <c r="Q25">
        <v>20.180448590000001</v>
      </c>
      <c r="R25">
        <v>3.7813451999999997E-2</v>
      </c>
      <c r="S25">
        <v>0.41404401000000002</v>
      </c>
      <c r="T25">
        <v>-37.301298729999999</v>
      </c>
      <c r="U25">
        <v>37.301298729999999</v>
      </c>
      <c r="V25">
        <v>4.1354695399999999</v>
      </c>
      <c r="W25">
        <v>4.1354695399999999</v>
      </c>
      <c r="X25">
        <v>8.5137659000000004E-2</v>
      </c>
      <c r="Y25">
        <v>8.5137659000000004E-2</v>
      </c>
      <c r="Z25">
        <v>-2.3536109999999999E-2</v>
      </c>
      <c r="AA25">
        <v>2.3536109999999999E-2</v>
      </c>
    </row>
    <row r="26" spans="1:27" x14ac:dyDescent="0.25">
      <c r="A26" t="s">
        <v>71</v>
      </c>
      <c r="B26" t="s">
        <v>835</v>
      </c>
      <c r="C26">
        <v>10</v>
      </c>
      <c r="D26" t="s">
        <v>21</v>
      </c>
      <c r="E26" t="s">
        <v>94</v>
      </c>
      <c r="F26" t="s">
        <v>102</v>
      </c>
      <c r="G26" t="s">
        <v>121</v>
      </c>
      <c r="H26" t="s">
        <v>114</v>
      </c>
      <c r="J26">
        <v>0</v>
      </c>
      <c r="K26" t="s">
        <v>114</v>
      </c>
      <c r="L26">
        <v>84.740740740000007</v>
      </c>
      <c r="M26">
        <v>29.167014049999999</v>
      </c>
      <c r="N26">
        <v>1.1169849999999999</v>
      </c>
      <c r="O26">
        <v>1.1571499000000001</v>
      </c>
      <c r="P26" t="s">
        <v>114</v>
      </c>
      <c r="Q26" t="s">
        <v>114</v>
      </c>
      <c r="R26" t="s">
        <v>114</v>
      </c>
      <c r="S26" t="s">
        <v>114</v>
      </c>
      <c r="T26" t="s">
        <v>114</v>
      </c>
      <c r="U26" t="s">
        <v>114</v>
      </c>
      <c r="V26" t="s">
        <v>114</v>
      </c>
      <c r="W26" t="s">
        <v>114</v>
      </c>
      <c r="X26" t="s">
        <v>114</v>
      </c>
      <c r="Y26" t="s">
        <v>114</v>
      </c>
      <c r="Z26" t="s">
        <v>114</v>
      </c>
      <c r="AA26" t="s">
        <v>114</v>
      </c>
    </row>
    <row r="27" spans="1:27" x14ac:dyDescent="0.25">
      <c r="A27" t="s">
        <v>71</v>
      </c>
      <c r="B27" t="s">
        <v>836</v>
      </c>
      <c r="C27">
        <v>10</v>
      </c>
      <c r="D27" t="s">
        <v>21</v>
      </c>
      <c r="E27" t="s">
        <v>94</v>
      </c>
      <c r="F27" t="s">
        <v>111</v>
      </c>
      <c r="G27" t="s">
        <v>111</v>
      </c>
      <c r="H27" t="s">
        <v>111</v>
      </c>
      <c r="J27">
        <v>0</v>
      </c>
      <c r="K27">
        <v>1</v>
      </c>
      <c r="L27">
        <v>94.97142857</v>
      </c>
      <c r="M27">
        <v>24.31591813</v>
      </c>
      <c r="N27">
        <v>0.122951111</v>
      </c>
      <c r="O27">
        <v>0.39050790000000002</v>
      </c>
      <c r="P27">
        <v>94.97142857</v>
      </c>
      <c r="Q27">
        <v>24.31591813</v>
      </c>
      <c r="R27">
        <v>0.122951111</v>
      </c>
      <c r="S27">
        <v>0.39050790000000002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</row>
    <row r="28" spans="1:27" x14ac:dyDescent="0.25">
      <c r="A28" t="s">
        <v>71</v>
      </c>
      <c r="B28" t="s">
        <v>836</v>
      </c>
      <c r="C28">
        <v>10</v>
      </c>
      <c r="D28" t="s">
        <v>21</v>
      </c>
      <c r="E28" t="s">
        <v>94</v>
      </c>
      <c r="F28" t="s">
        <v>111</v>
      </c>
      <c r="G28" t="s">
        <v>111</v>
      </c>
      <c r="H28" t="s">
        <v>250</v>
      </c>
      <c r="J28">
        <v>0</v>
      </c>
      <c r="K28">
        <v>1</v>
      </c>
      <c r="L28">
        <v>94.97142857</v>
      </c>
      <c r="M28">
        <v>24.31591813</v>
      </c>
      <c r="N28">
        <v>0.122951111</v>
      </c>
      <c r="O28">
        <v>0.39050790000000002</v>
      </c>
      <c r="P28">
        <v>157.14285709999999</v>
      </c>
      <c r="Q28">
        <v>28.969081320000001</v>
      </c>
      <c r="R28">
        <v>0.55164111100000002</v>
      </c>
      <c r="S28" t="s">
        <v>114</v>
      </c>
      <c r="T28">
        <v>-62.17142853</v>
      </c>
      <c r="U28">
        <v>62.17142853</v>
      </c>
      <c r="V28">
        <v>-4.6531631899999999</v>
      </c>
      <c r="W28">
        <v>4.6531631899999999</v>
      </c>
      <c r="X28">
        <v>-0.42869000000000002</v>
      </c>
      <c r="Y28">
        <v>0.42869000000000002</v>
      </c>
      <c r="Z28" t="s">
        <v>114</v>
      </c>
      <c r="AA28" t="s">
        <v>114</v>
      </c>
    </row>
    <row r="29" spans="1:27" x14ac:dyDescent="0.25">
      <c r="A29" t="s">
        <v>71</v>
      </c>
      <c r="B29" t="s">
        <v>837</v>
      </c>
      <c r="C29">
        <v>10</v>
      </c>
      <c r="D29" t="s">
        <v>21</v>
      </c>
      <c r="E29" t="s">
        <v>94</v>
      </c>
      <c r="F29" t="s">
        <v>104</v>
      </c>
      <c r="G29" t="s">
        <v>104</v>
      </c>
      <c r="H29" t="s">
        <v>104</v>
      </c>
      <c r="J29">
        <v>0</v>
      </c>
      <c r="K29">
        <v>1</v>
      </c>
      <c r="L29">
        <v>113.9375</v>
      </c>
      <c r="M29">
        <v>33.375507550000002</v>
      </c>
      <c r="N29">
        <v>2.4262999999999999</v>
      </c>
      <c r="O29">
        <v>0.40692159999999999</v>
      </c>
      <c r="P29">
        <v>113.9375</v>
      </c>
      <c r="Q29">
        <v>33.375507550000002</v>
      </c>
      <c r="R29">
        <v>2.4262999999999999</v>
      </c>
      <c r="S29">
        <v>0.40692159999999999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</row>
    <row r="30" spans="1:27" x14ac:dyDescent="0.25">
      <c r="A30" t="s">
        <v>72</v>
      </c>
      <c r="B30" t="s">
        <v>838</v>
      </c>
      <c r="C30">
        <v>10</v>
      </c>
      <c r="D30" t="s">
        <v>23</v>
      </c>
      <c r="E30" t="s">
        <v>95</v>
      </c>
      <c r="F30" t="s">
        <v>105</v>
      </c>
      <c r="G30" t="s">
        <v>121</v>
      </c>
      <c r="H30" t="s">
        <v>238</v>
      </c>
      <c r="J30">
        <v>0</v>
      </c>
      <c r="K30">
        <v>1</v>
      </c>
      <c r="L30">
        <v>67.5</v>
      </c>
      <c r="M30">
        <v>47.937235809999997</v>
      </c>
      <c r="N30">
        <v>0.41599678000000001</v>
      </c>
      <c r="O30">
        <v>2.0950346999999998</v>
      </c>
      <c r="P30">
        <v>87.5</v>
      </c>
      <c r="Q30">
        <v>29.478311600000001</v>
      </c>
      <c r="R30">
        <v>3.0797751000000002E-2</v>
      </c>
      <c r="S30">
        <v>0.12931835</v>
      </c>
      <c r="T30">
        <v>-20</v>
      </c>
      <c r="U30">
        <v>20</v>
      </c>
      <c r="V30">
        <v>18.458924209999999</v>
      </c>
      <c r="W30">
        <v>18.458924209999999</v>
      </c>
      <c r="X30">
        <v>0.38519902900000003</v>
      </c>
      <c r="Y30">
        <v>0.38519902900000003</v>
      </c>
      <c r="Z30">
        <v>1.9657163499999999</v>
      </c>
      <c r="AA30">
        <v>1.9657163499999999</v>
      </c>
    </row>
    <row r="31" spans="1:27" x14ac:dyDescent="0.25">
      <c r="A31" t="s">
        <v>72</v>
      </c>
      <c r="B31" t="s">
        <v>839</v>
      </c>
      <c r="C31">
        <v>10</v>
      </c>
      <c r="D31" t="s">
        <v>23</v>
      </c>
      <c r="E31" t="s">
        <v>95</v>
      </c>
      <c r="F31" t="s">
        <v>111</v>
      </c>
      <c r="G31" t="s">
        <v>121</v>
      </c>
      <c r="H31" t="s">
        <v>114</v>
      </c>
      <c r="J31">
        <v>0</v>
      </c>
      <c r="K31">
        <v>0</v>
      </c>
      <c r="L31">
        <v>94.97142857</v>
      </c>
      <c r="M31">
        <v>24.31591813</v>
      </c>
      <c r="N31">
        <v>0.122951111</v>
      </c>
      <c r="O31">
        <v>0.39050790000000002</v>
      </c>
      <c r="P31" t="s">
        <v>114</v>
      </c>
      <c r="Q31" t="s">
        <v>114</v>
      </c>
      <c r="R31" t="s">
        <v>114</v>
      </c>
      <c r="S31" t="s">
        <v>114</v>
      </c>
      <c r="T31" t="s">
        <v>114</v>
      </c>
      <c r="U31" t="s">
        <v>114</v>
      </c>
      <c r="V31" t="s">
        <v>114</v>
      </c>
      <c r="W31" t="s">
        <v>114</v>
      </c>
      <c r="X31" t="s">
        <v>114</v>
      </c>
      <c r="Y31" t="s">
        <v>114</v>
      </c>
      <c r="Z31" t="s">
        <v>114</v>
      </c>
      <c r="AA31" t="s">
        <v>114</v>
      </c>
    </row>
    <row r="32" spans="1:27" x14ac:dyDescent="0.25">
      <c r="A32" t="s">
        <v>72</v>
      </c>
      <c r="B32" t="s">
        <v>840</v>
      </c>
      <c r="C32">
        <v>10</v>
      </c>
      <c r="D32" t="s">
        <v>23</v>
      </c>
      <c r="E32" t="s">
        <v>95</v>
      </c>
      <c r="F32" t="s">
        <v>104</v>
      </c>
      <c r="G32" t="s">
        <v>104</v>
      </c>
      <c r="H32" t="s">
        <v>104</v>
      </c>
      <c r="J32">
        <v>0</v>
      </c>
      <c r="K32">
        <v>1</v>
      </c>
      <c r="L32">
        <v>113.9375</v>
      </c>
      <c r="M32">
        <v>33.375507550000002</v>
      </c>
      <c r="N32">
        <v>2.4262999999999999</v>
      </c>
      <c r="O32">
        <v>0.40692159999999999</v>
      </c>
      <c r="P32">
        <v>113.9375</v>
      </c>
      <c r="Q32">
        <v>33.375507550000002</v>
      </c>
      <c r="R32">
        <v>2.4262999999999999</v>
      </c>
      <c r="S32">
        <v>0.40692159999999999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</row>
    <row r="33" spans="1:27" x14ac:dyDescent="0.25">
      <c r="A33" t="s">
        <v>72</v>
      </c>
      <c r="B33" t="s">
        <v>840</v>
      </c>
      <c r="C33">
        <v>10</v>
      </c>
      <c r="D33" t="s">
        <v>23</v>
      </c>
      <c r="E33" t="s">
        <v>95</v>
      </c>
      <c r="F33" t="s">
        <v>104</v>
      </c>
      <c r="G33" t="s">
        <v>104</v>
      </c>
      <c r="H33" t="s">
        <v>244</v>
      </c>
      <c r="J33">
        <v>0</v>
      </c>
      <c r="K33">
        <v>1</v>
      </c>
      <c r="L33">
        <v>113.9375</v>
      </c>
      <c r="M33">
        <v>33.375507550000002</v>
      </c>
      <c r="N33">
        <v>2.4262999999999999</v>
      </c>
      <c r="O33">
        <v>0.40692159999999999</v>
      </c>
      <c r="P33">
        <v>75</v>
      </c>
      <c r="Q33">
        <v>28.80614499</v>
      </c>
      <c r="R33">
        <v>2.3860428570000001</v>
      </c>
      <c r="S33">
        <v>0.26400832000000002</v>
      </c>
      <c r="T33">
        <v>38.9375</v>
      </c>
      <c r="U33">
        <v>38.9375</v>
      </c>
      <c r="V33">
        <v>4.5693625600000001</v>
      </c>
      <c r="W33">
        <v>4.5693625600000001</v>
      </c>
      <c r="X33">
        <v>4.0257143000000002E-2</v>
      </c>
      <c r="Y33">
        <v>4.0257143000000002E-2</v>
      </c>
      <c r="Z33">
        <v>0.14291327999999998</v>
      </c>
      <c r="AA33">
        <v>0.14291327999999998</v>
      </c>
    </row>
    <row r="34" spans="1:27" x14ac:dyDescent="0.25">
      <c r="A34" t="s">
        <v>72</v>
      </c>
      <c r="B34" t="s">
        <v>841</v>
      </c>
      <c r="C34">
        <v>10</v>
      </c>
      <c r="D34" t="s">
        <v>23</v>
      </c>
      <c r="E34" t="s">
        <v>95</v>
      </c>
      <c r="F34" t="s">
        <v>112</v>
      </c>
      <c r="G34" t="s">
        <v>121</v>
      </c>
      <c r="H34" t="s">
        <v>238</v>
      </c>
      <c r="J34">
        <v>0</v>
      </c>
      <c r="K34">
        <v>1</v>
      </c>
      <c r="L34">
        <v>65.09375</v>
      </c>
      <c r="M34">
        <v>37.895352600000002</v>
      </c>
      <c r="N34">
        <v>2.2882677779999998</v>
      </c>
      <c r="O34">
        <v>2.2111774</v>
      </c>
      <c r="P34">
        <v>87.5</v>
      </c>
      <c r="Q34">
        <v>29.478311600000001</v>
      </c>
      <c r="R34">
        <v>3.0797751000000002E-2</v>
      </c>
      <c r="S34">
        <v>0.12931835</v>
      </c>
      <c r="T34">
        <v>-22.40625</v>
      </c>
      <c r="U34">
        <v>22.40625</v>
      </c>
      <c r="V34">
        <v>8.4170409999999993</v>
      </c>
      <c r="W34">
        <v>8.4170409999999993</v>
      </c>
      <c r="X34">
        <v>2.2574700270000001</v>
      </c>
      <c r="Y34">
        <v>2.2574700270000001</v>
      </c>
      <c r="Z34">
        <v>2.0818590499999998</v>
      </c>
      <c r="AA34">
        <v>2.0818590499999998</v>
      </c>
    </row>
    <row r="35" spans="1:27" x14ac:dyDescent="0.25">
      <c r="A35" t="s">
        <v>73</v>
      </c>
      <c r="B35" t="s">
        <v>842</v>
      </c>
      <c r="C35">
        <v>10</v>
      </c>
      <c r="D35" t="s">
        <v>25</v>
      </c>
      <c r="E35" t="s">
        <v>94</v>
      </c>
      <c r="F35" t="s">
        <v>105</v>
      </c>
      <c r="G35" t="s">
        <v>112</v>
      </c>
      <c r="H35" t="s">
        <v>112</v>
      </c>
      <c r="J35">
        <v>0</v>
      </c>
      <c r="K35">
        <v>1</v>
      </c>
      <c r="L35">
        <v>67.5</v>
      </c>
      <c r="M35">
        <v>47.937235809999997</v>
      </c>
      <c r="N35">
        <v>0.41599678000000001</v>
      </c>
      <c r="O35">
        <v>2.0950346999999998</v>
      </c>
      <c r="P35">
        <v>65.09375</v>
      </c>
      <c r="Q35">
        <v>37.895352600000002</v>
      </c>
      <c r="R35">
        <v>2.2882677779999998</v>
      </c>
      <c r="S35">
        <v>2.2111774</v>
      </c>
      <c r="T35">
        <v>2.40625</v>
      </c>
      <c r="U35">
        <v>2.40625</v>
      </c>
      <c r="V35">
        <v>10.04188321</v>
      </c>
      <c r="W35">
        <v>10.04188321</v>
      </c>
      <c r="X35">
        <v>-1.8722709980000001</v>
      </c>
      <c r="Y35">
        <v>1.8722709980000001</v>
      </c>
      <c r="Z35">
        <v>-0.11614270000000015</v>
      </c>
      <c r="AA35">
        <v>0.11614270000000015</v>
      </c>
    </row>
    <row r="36" spans="1:27" x14ac:dyDescent="0.25">
      <c r="A36" t="s">
        <v>73</v>
      </c>
      <c r="B36" t="s">
        <v>843</v>
      </c>
      <c r="C36">
        <v>10</v>
      </c>
      <c r="D36" t="s">
        <v>25</v>
      </c>
      <c r="E36" t="s">
        <v>94</v>
      </c>
      <c r="F36" t="s">
        <v>110</v>
      </c>
      <c r="G36" t="s">
        <v>110</v>
      </c>
      <c r="H36" t="s">
        <v>110</v>
      </c>
      <c r="J36">
        <v>0</v>
      </c>
      <c r="K36">
        <v>3</v>
      </c>
      <c r="L36">
        <v>73.260869569999997</v>
      </c>
      <c r="M36">
        <v>34.453830549999999</v>
      </c>
      <c r="N36">
        <v>1.058333333</v>
      </c>
      <c r="O36">
        <v>0.90897070000000002</v>
      </c>
      <c r="P36">
        <v>73.260869569999997</v>
      </c>
      <c r="Q36">
        <v>34.453830549999999</v>
      </c>
      <c r="R36">
        <v>1.058333333</v>
      </c>
      <c r="S36">
        <v>0.90897070000000002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</row>
    <row r="37" spans="1:27" x14ac:dyDescent="0.25">
      <c r="A37" t="s">
        <v>73</v>
      </c>
      <c r="B37" t="s">
        <v>843</v>
      </c>
      <c r="C37">
        <v>10</v>
      </c>
      <c r="D37" t="s">
        <v>25</v>
      </c>
      <c r="E37" t="s">
        <v>94</v>
      </c>
      <c r="F37" t="s">
        <v>110</v>
      </c>
      <c r="G37" t="s">
        <v>110</v>
      </c>
      <c r="H37" t="s">
        <v>251</v>
      </c>
      <c r="J37">
        <v>0</v>
      </c>
      <c r="K37">
        <v>1</v>
      </c>
      <c r="L37">
        <v>73.260869569999997</v>
      </c>
      <c r="M37">
        <v>34.453830549999999</v>
      </c>
      <c r="N37">
        <v>1.058333333</v>
      </c>
      <c r="O37">
        <v>0.90897070000000002</v>
      </c>
      <c r="P37">
        <v>85</v>
      </c>
      <c r="Q37">
        <v>37.099157669999997</v>
      </c>
      <c r="R37">
        <v>0.65291888899999995</v>
      </c>
      <c r="S37" t="s">
        <v>114</v>
      </c>
      <c r="T37">
        <v>-11.739130429999999</v>
      </c>
      <c r="U37">
        <v>11.739130429999999</v>
      </c>
      <c r="V37">
        <v>-2.6453271200000001</v>
      </c>
      <c r="W37">
        <v>2.6453271200000001</v>
      </c>
      <c r="X37">
        <v>0.40541444399999998</v>
      </c>
      <c r="Y37">
        <v>0.40541444399999998</v>
      </c>
      <c r="Z37" t="s">
        <v>114</v>
      </c>
      <c r="AA37" t="s">
        <v>114</v>
      </c>
    </row>
    <row r="38" spans="1:27" x14ac:dyDescent="0.25">
      <c r="A38" t="s">
        <v>73</v>
      </c>
      <c r="B38" t="s">
        <v>843</v>
      </c>
      <c r="C38">
        <v>10</v>
      </c>
      <c r="D38" t="s">
        <v>25</v>
      </c>
      <c r="E38" t="s">
        <v>94</v>
      </c>
      <c r="F38" t="s">
        <v>110</v>
      </c>
      <c r="G38" t="s">
        <v>110</v>
      </c>
      <c r="H38" t="s">
        <v>246</v>
      </c>
      <c r="J38">
        <v>0</v>
      </c>
      <c r="K38">
        <v>1</v>
      </c>
      <c r="L38">
        <v>73.260869569999997</v>
      </c>
      <c r="M38">
        <v>34.453830549999999</v>
      </c>
      <c r="N38">
        <v>1.058333333</v>
      </c>
      <c r="O38">
        <v>0.90897070000000002</v>
      </c>
      <c r="P38">
        <v>120.25</v>
      </c>
      <c r="Q38">
        <v>30.670450110000001</v>
      </c>
      <c r="R38">
        <v>0.91037498500000003</v>
      </c>
      <c r="S38" t="s">
        <v>114</v>
      </c>
      <c r="T38">
        <v>-46.989130430000003</v>
      </c>
      <c r="U38">
        <v>46.989130430000003</v>
      </c>
      <c r="V38">
        <v>3.7833804400000002</v>
      </c>
      <c r="W38">
        <v>3.7833804400000002</v>
      </c>
      <c r="X38">
        <v>0.14795834799999999</v>
      </c>
      <c r="Y38">
        <v>0.14795834799999999</v>
      </c>
      <c r="Z38" t="s">
        <v>114</v>
      </c>
      <c r="AA38" t="s">
        <v>114</v>
      </c>
    </row>
    <row r="39" spans="1:27" x14ac:dyDescent="0.25">
      <c r="A39" t="s">
        <v>73</v>
      </c>
      <c r="B39" t="s">
        <v>844</v>
      </c>
      <c r="C39">
        <v>10</v>
      </c>
      <c r="D39" t="s">
        <v>25</v>
      </c>
      <c r="E39" t="s">
        <v>94</v>
      </c>
      <c r="F39" t="s">
        <v>104</v>
      </c>
      <c r="G39" t="s">
        <v>104</v>
      </c>
      <c r="H39" t="s">
        <v>104</v>
      </c>
      <c r="J39">
        <v>0</v>
      </c>
      <c r="K39">
        <v>1</v>
      </c>
      <c r="L39">
        <v>113.9375</v>
      </c>
      <c r="M39">
        <v>33.375507550000002</v>
      </c>
      <c r="N39">
        <v>2.4262999999999999</v>
      </c>
      <c r="O39">
        <v>0.40692159999999999</v>
      </c>
      <c r="P39">
        <v>113.9375</v>
      </c>
      <c r="Q39">
        <v>33.375507550000002</v>
      </c>
      <c r="R39">
        <v>2.4262999999999999</v>
      </c>
      <c r="S39">
        <v>0.40692159999999999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</row>
    <row r="40" spans="1:27" x14ac:dyDescent="0.25">
      <c r="A40" t="s">
        <v>73</v>
      </c>
      <c r="B40" t="s">
        <v>845</v>
      </c>
      <c r="C40">
        <v>10</v>
      </c>
      <c r="D40" t="s">
        <v>25</v>
      </c>
      <c r="E40" t="s">
        <v>94</v>
      </c>
      <c r="F40" t="s">
        <v>112</v>
      </c>
      <c r="G40" t="s">
        <v>121</v>
      </c>
      <c r="H40" t="s">
        <v>114</v>
      </c>
      <c r="J40">
        <v>0</v>
      </c>
      <c r="K40" t="s">
        <v>114</v>
      </c>
      <c r="L40">
        <v>65.09375</v>
      </c>
      <c r="M40">
        <v>37.895352600000002</v>
      </c>
      <c r="N40">
        <v>2.2882677779999998</v>
      </c>
      <c r="O40">
        <v>2.2111774</v>
      </c>
      <c r="P40" t="s">
        <v>114</v>
      </c>
      <c r="Q40" t="s">
        <v>114</v>
      </c>
      <c r="R40" t="s">
        <v>114</v>
      </c>
      <c r="S40" t="s">
        <v>114</v>
      </c>
      <c r="T40" t="s">
        <v>114</v>
      </c>
      <c r="U40" t="s">
        <v>114</v>
      </c>
      <c r="V40" t="s">
        <v>114</v>
      </c>
      <c r="W40" t="s">
        <v>114</v>
      </c>
      <c r="X40" t="s">
        <v>114</v>
      </c>
      <c r="Y40" t="s">
        <v>114</v>
      </c>
      <c r="Z40" t="s">
        <v>114</v>
      </c>
      <c r="AA40" t="s">
        <v>114</v>
      </c>
    </row>
    <row r="41" spans="1:27" x14ac:dyDescent="0.25">
      <c r="A41" t="s">
        <v>74</v>
      </c>
      <c r="B41" t="s">
        <v>846</v>
      </c>
      <c r="C41">
        <v>10</v>
      </c>
      <c r="D41" t="s">
        <v>27</v>
      </c>
      <c r="E41" t="s">
        <v>95</v>
      </c>
      <c r="F41" t="s">
        <v>102</v>
      </c>
      <c r="G41" t="s">
        <v>113</v>
      </c>
      <c r="H41" t="s">
        <v>113</v>
      </c>
      <c r="J41">
        <v>0</v>
      </c>
      <c r="K41">
        <v>3</v>
      </c>
      <c r="L41">
        <v>84.740740740000007</v>
      </c>
      <c r="M41">
        <v>29.167014049999999</v>
      </c>
      <c r="N41">
        <v>1.1169849999999999</v>
      </c>
      <c r="O41">
        <v>1.1571499000000001</v>
      </c>
      <c r="P41">
        <v>83.757575759999995</v>
      </c>
      <c r="Q41">
        <v>22.60997987</v>
      </c>
      <c r="R41">
        <v>0.72884000000000004</v>
      </c>
      <c r="S41">
        <v>0.21301339999999999</v>
      </c>
      <c r="T41">
        <v>0.98316497999999997</v>
      </c>
      <c r="U41">
        <v>0.98316497999999997</v>
      </c>
      <c r="V41">
        <v>6.5570341799999996</v>
      </c>
      <c r="W41">
        <v>6.5570341799999996</v>
      </c>
      <c r="X41">
        <v>0.38814500000000002</v>
      </c>
      <c r="Y41">
        <v>0.38814500000000002</v>
      </c>
      <c r="Z41">
        <v>0.94413650000000005</v>
      </c>
      <c r="AA41">
        <v>0.94413650000000005</v>
      </c>
    </row>
    <row r="42" spans="1:27" x14ac:dyDescent="0.25">
      <c r="A42" t="s">
        <v>74</v>
      </c>
      <c r="B42" t="s">
        <v>846</v>
      </c>
      <c r="C42">
        <v>10</v>
      </c>
      <c r="D42" t="s">
        <v>27</v>
      </c>
      <c r="E42" t="s">
        <v>95</v>
      </c>
      <c r="F42" t="s">
        <v>102</v>
      </c>
      <c r="G42" t="s">
        <v>113</v>
      </c>
      <c r="H42" t="s">
        <v>103</v>
      </c>
      <c r="J42">
        <v>0</v>
      </c>
      <c r="K42">
        <v>1</v>
      </c>
      <c r="L42">
        <v>84.740740740000007</v>
      </c>
      <c r="M42">
        <v>29.167014049999999</v>
      </c>
      <c r="N42">
        <v>1.1169849999999999</v>
      </c>
      <c r="O42">
        <v>1.1571499000000001</v>
      </c>
      <c r="P42">
        <v>98.291666669999998</v>
      </c>
      <c r="Q42">
        <v>30.315130790000001</v>
      </c>
      <c r="R42">
        <v>5.0803484000000003E-2</v>
      </c>
      <c r="S42">
        <v>0.42866070000000001</v>
      </c>
      <c r="T42">
        <v>-13.55092593</v>
      </c>
      <c r="U42">
        <v>13.55092593</v>
      </c>
      <c r="V42">
        <v>-1.1481167400000001</v>
      </c>
      <c r="W42">
        <v>1.1481167400000001</v>
      </c>
      <c r="X42">
        <v>1.0661815160000001</v>
      </c>
      <c r="Y42">
        <v>1.0661815160000001</v>
      </c>
      <c r="Z42">
        <v>0.72848920000000006</v>
      </c>
      <c r="AA42">
        <v>0.72848920000000006</v>
      </c>
    </row>
    <row r="43" spans="1:27" x14ac:dyDescent="0.25">
      <c r="A43" t="s">
        <v>74</v>
      </c>
      <c r="B43" t="s">
        <v>847</v>
      </c>
      <c r="C43">
        <v>10</v>
      </c>
      <c r="D43" t="s">
        <v>27</v>
      </c>
      <c r="E43" t="s">
        <v>95</v>
      </c>
      <c r="F43" t="s">
        <v>113</v>
      </c>
      <c r="G43" t="s">
        <v>113</v>
      </c>
      <c r="H43" t="s">
        <v>113</v>
      </c>
      <c r="J43">
        <v>0</v>
      </c>
      <c r="K43">
        <v>1</v>
      </c>
      <c r="L43">
        <v>83.757575759999995</v>
      </c>
      <c r="M43">
        <v>22.60997987</v>
      </c>
      <c r="N43">
        <v>0.72884000000000004</v>
      </c>
      <c r="O43">
        <v>0.21301339999999999</v>
      </c>
      <c r="P43">
        <v>83.757575759999995</v>
      </c>
      <c r="Q43">
        <v>22.60997987</v>
      </c>
      <c r="R43">
        <v>0.72884000000000004</v>
      </c>
      <c r="S43">
        <v>0.21301339999999999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</row>
    <row r="44" spans="1:27" x14ac:dyDescent="0.25">
      <c r="A44" t="s">
        <v>74</v>
      </c>
      <c r="B44" t="s">
        <v>847</v>
      </c>
      <c r="C44">
        <v>10</v>
      </c>
      <c r="D44" t="s">
        <v>27</v>
      </c>
      <c r="E44" t="s">
        <v>95</v>
      </c>
      <c r="F44" t="s">
        <v>113</v>
      </c>
      <c r="G44" t="s">
        <v>113</v>
      </c>
      <c r="H44" t="s">
        <v>248</v>
      </c>
      <c r="J44">
        <v>0</v>
      </c>
      <c r="K44">
        <v>2</v>
      </c>
      <c r="L44">
        <v>83.757575759999995</v>
      </c>
      <c r="M44">
        <v>22.60997987</v>
      </c>
      <c r="N44">
        <v>0.72884000000000004</v>
      </c>
      <c r="O44">
        <v>0.21301339999999999</v>
      </c>
      <c r="P44">
        <v>83.92307692</v>
      </c>
      <c r="Q44">
        <v>44.319135699999997</v>
      </c>
      <c r="R44">
        <v>5.9548609999999997E-3</v>
      </c>
      <c r="S44">
        <v>0.18017928</v>
      </c>
      <c r="T44">
        <v>-0.16550116000000001</v>
      </c>
      <c r="U44">
        <v>0.16550116000000001</v>
      </c>
      <c r="V44">
        <v>-21.70915583</v>
      </c>
      <c r="W44">
        <v>21.70915583</v>
      </c>
      <c r="X44">
        <v>0.72288513899999995</v>
      </c>
      <c r="Y44">
        <v>0.72288513899999995</v>
      </c>
      <c r="Z44">
        <v>3.2834119999999994E-2</v>
      </c>
      <c r="AA44">
        <v>3.2834119999999994E-2</v>
      </c>
    </row>
    <row r="45" spans="1:27" x14ac:dyDescent="0.25">
      <c r="A45" t="s">
        <v>74</v>
      </c>
      <c r="B45" t="s">
        <v>848</v>
      </c>
      <c r="C45">
        <v>10</v>
      </c>
      <c r="D45" t="s">
        <v>27</v>
      </c>
      <c r="E45" t="s">
        <v>95</v>
      </c>
      <c r="F45" t="s">
        <v>103</v>
      </c>
      <c r="G45" t="s">
        <v>113</v>
      </c>
      <c r="H45" t="s">
        <v>113</v>
      </c>
      <c r="J45">
        <v>0</v>
      </c>
      <c r="K45">
        <v>1</v>
      </c>
      <c r="L45">
        <v>98.291666669999998</v>
      </c>
      <c r="M45">
        <v>30.315130790000001</v>
      </c>
      <c r="N45">
        <v>5.0803484000000003E-2</v>
      </c>
      <c r="O45">
        <v>0.42866070000000001</v>
      </c>
      <c r="P45">
        <v>83.757575759999995</v>
      </c>
      <c r="Q45">
        <v>22.60997987</v>
      </c>
      <c r="R45">
        <v>0.72884000000000004</v>
      </c>
      <c r="S45">
        <v>0.21301339999999999</v>
      </c>
      <c r="T45">
        <v>14.53409091</v>
      </c>
      <c r="U45">
        <v>14.53409091</v>
      </c>
      <c r="V45">
        <v>7.7051509200000003</v>
      </c>
      <c r="W45">
        <v>7.7051509200000003</v>
      </c>
      <c r="X45">
        <v>-0.67803651600000003</v>
      </c>
      <c r="Y45">
        <v>0.67803651600000003</v>
      </c>
      <c r="Z45">
        <v>0.21564730000000001</v>
      </c>
      <c r="AA45">
        <v>0.21564730000000001</v>
      </c>
    </row>
    <row r="46" spans="1:27" x14ac:dyDescent="0.25">
      <c r="A46" t="s">
        <v>75</v>
      </c>
      <c r="B46" t="s">
        <v>849</v>
      </c>
      <c r="C46">
        <v>10</v>
      </c>
      <c r="D46" t="s">
        <v>29</v>
      </c>
      <c r="E46" t="s">
        <v>94</v>
      </c>
      <c r="F46" t="s">
        <v>105</v>
      </c>
      <c r="G46" t="s">
        <v>121</v>
      </c>
      <c r="H46" t="s">
        <v>251</v>
      </c>
      <c r="J46">
        <v>0</v>
      </c>
      <c r="K46">
        <v>1</v>
      </c>
      <c r="L46">
        <v>67.5</v>
      </c>
      <c r="M46">
        <v>47.937235809999997</v>
      </c>
      <c r="N46">
        <v>0.41599678000000001</v>
      </c>
      <c r="O46">
        <v>2.0950346999999998</v>
      </c>
      <c r="P46">
        <v>85</v>
      </c>
      <c r="Q46">
        <v>37.099157669999997</v>
      </c>
      <c r="R46">
        <v>0.65291888899999995</v>
      </c>
      <c r="S46" t="s">
        <v>114</v>
      </c>
      <c r="T46">
        <v>-17.5</v>
      </c>
      <c r="U46">
        <v>17.5</v>
      </c>
      <c r="V46">
        <v>10.83807814</v>
      </c>
      <c r="W46">
        <v>10.83807814</v>
      </c>
      <c r="X46">
        <v>-0.23692210899999999</v>
      </c>
      <c r="Y46">
        <v>0.23692210899999999</v>
      </c>
      <c r="Z46" t="s">
        <v>114</v>
      </c>
      <c r="AA46" t="s">
        <v>114</v>
      </c>
    </row>
    <row r="47" spans="1:27" x14ac:dyDescent="0.25">
      <c r="A47" t="s">
        <v>75</v>
      </c>
      <c r="B47" t="s">
        <v>849</v>
      </c>
      <c r="C47">
        <v>10</v>
      </c>
      <c r="D47" t="s">
        <v>29</v>
      </c>
      <c r="E47" t="s">
        <v>94</v>
      </c>
      <c r="F47" t="s">
        <v>105</v>
      </c>
      <c r="G47" t="s">
        <v>121</v>
      </c>
      <c r="H47" t="s">
        <v>244</v>
      </c>
      <c r="J47">
        <v>0</v>
      </c>
      <c r="K47">
        <v>1</v>
      </c>
      <c r="L47">
        <v>67.5</v>
      </c>
      <c r="M47">
        <v>47.937235809999997</v>
      </c>
      <c r="N47">
        <v>0.41599678000000001</v>
      </c>
      <c r="O47">
        <v>2.0950346999999998</v>
      </c>
      <c r="P47">
        <v>75</v>
      </c>
      <c r="Q47">
        <v>28.80614499</v>
      </c>
      <c r="R47">
        <v>2.3860428570000001</v>
      </c>
      <c r="S47">
        <v>0.26400832000000002</v>
      </c>
      <c r="T47">
        <v>-7.5</v>
      </c>
      <c r="U47">
        <v>7.5</v>
      </c>
      <c r="V47">
        <v>19.131090820000001</v>
      </c>
      <c r="W47">
        <v>19.131090820000001</v>
      </c>
      <c r="X47">
        <v>-1.9700460769999999</v>
      </c>
      <c r="Y47">
        <v>1.9700460769999999</v>
      </c>
      <c r="Z47">
        <v>1.8310263799999997</v>
      </c>
      <c r="AA47">
        <v>1.8310263799999997</v>
      </c>
    </row>
    <row r="48" spans="1:27" x14ac:dyDescent="0.25">
      <c r="A48" t="s">
        <v>75</v>
      </c>
      <c r="B48" t="s">
        <v>850</v>
      </c>
      <c r="C48">
        <v>10</v>
      </c>
      <c r="D48" t="s">
        <v>29</v>
      </c>
      <c r="E48" t="s">
        <v>94</v>
      </c>
      <c r="F48" t="s">
        <v>110</v>
      </c>
      <c r="G48" t="s">
        <v>104</v>
      </c>
      <c r="H48" t="s">
        <v>104</v>
      </c>
      <c r="J48">
        <v>0</v>
      </c>
      <c r="K48">
        <v>2</v>
      </c>
      <c r="L48">
        <v>73.260869569999997</v>
      </c>
      <c r="M48">
        <v>34.453830549999999</v>
      </c>
      <c r="N48">
        <v>1.058333333</v>
      </c>
      <c r="O48">
        <v>0.90897070000000002</v>
      </c>
      <c r="P48">
        <v>113.9375</v>
      </c>
      <c r="Q48">
        <v>33.375507550000002</v>
      </c>
      <c r="R48">
        <v>2.4262999999999999</v>
      </c>
      <c r="S48">
        <v>0.40692159999999999</v>
      </c>
      <c r="T48">
        <v>-40.676630430000003</v>
      </c>
      <c r="U48">
        <v>40.676630430000003</v>
      </c>
      <c r="V48">
        <v>1.0783229999999999</v>
      </c>
      <c r="W48">
        <v>1.0783229999999999</v>
      </c>
      <c r="X48">
        <v>-1.3679666669999999</v>
      </c>
      <c r="Y48">
        <v>1.3679666669999999</v>
      </c>
      <c r="Z48">
        <v>0.50204910000000003</v>
      </c>
      <c r="AA48">
        <v>0.50204910000000003</v>
      </c>
    </row>
    <row r="49" spans="1:27" x14ac:dyDescent="0.25">
      <c r="A49" t="s">
        <v>75</v>
      </c>
      <c r="B49" t="s">
        <v>851</v>
      </c>
      <c r="C49">
        <v>10</v>
      </c>
      <c r="D49" t="s">
        <v>29</v>
      </c>
      <c r="E49" t="s">
        <v>94</v>
      </c>
      <c r="F49" t="s">
        <v>103</v>
      </c>
      <c r="G49" t="s">
        <v>121</v>
      </c>
      <c r="H49" t="s">
        <v>251</v>
      </c>
      <c r="J49">
        <v>0</v>
      </c>
      <c r="K49">
        <v>1</v>
      </c>
      <c r="L49">
        <v>98.291666669999998</v>
      </c>
      <c r="M49">
        <v>30.315130790000001</v>
      </c>
      <c r="N49">
        <v>5.0803484000000003E-2</v>
      </c>
      <c r="O49">
        <v>0.42866070000000001</v>
      </c>
      <c r="P49">
        <v>85</v>
      </c>
      <c r="Q49">
        <v>37.099157669999997</v>
      </c>
      <c r="R49">
        <v>0.65291888899999995</v>
      </c>
      <c r="S49" t="s">
        <v>114</v>
      </c>
      <c r="T49">
        <v>13.29166667</v>
      </c>
      <c r="U49">
        <v>13.29166667</v>
      </c>
      <c r="V49">
        <v>-6.7840268799999999</v>
      </c>
      <c r="W49">
        <v>6.7840268799999999</v>
      </c>
      <c r="X49">
        <v>-0.60211540500000005</v>
      </c>
      <c r="Y49">
        <v>0.60211540500000005</v>
      </c>
      <c r="Z49" t="s">
        <v>114</v>
      </c>
      <c r="AA49" t="s">
        <v>114</v>
      </c>
    </row>
    <row r="50" spans="1:27" x14ac:dyDescent="0.25">
      <c r="A50" t="s">
        <v>75</v>
      </c>
      <c r="B50" t="s">
        <v>851</v>
      </c>
      <c r="C50">
        <v>10</v>
      </c>
      <c r="D50" t="s">
        <v>29</v>
      </c>
      <c r="E50" t="s">
        <v>94</v>
      </c>
      <c r="F50" t="s">
        <v>103</v>
      </c>
      <c r="G50" t="s">
        <v>121</v>
      </c>
      <c r="H50" t="s">
        <v>233</v>
      </c>
      <c r="J50">
        <v>0</v>
      </c>
      <c r="K50">
        <v>1</v>
      </c>
      <c r="L50">
        <v>98.291666669999998</v>
      </c>
      <c r="M50">
        <v>30.315130790000001</v>
      </c>
      <c r="N50">
        <v>5.0803484000000003E-2</v>
      </c>
      <c r="O50">
        <v>0.42866070000000001</v>
      </c>
      <c r="P50">
        <v>106.0540541</v>
      </c>
      <c r="Q50">
        <v>52.690533369999997</v>
      </c>
      <c r="R50">
        <v>7.6058968000000005E-2</v>
      </c>
      <c r="S50">
        <v>0.44888888999999998</v>
      </c>
      <c r="T50">
        <v>-7.7623874300000004</v>
      </c>
      <c r="U50">
        <v>7.7623874300000004</v>
      </c>
      <c r="V50">
        <v>-22.375402579999999</v>
      </c>
      <c r="W50">
        <v>22.375402579999999</v>
      </c>
      <c r="X50">
        <v>-2.5255484000000002E-2</v>
      </c>
      <c r="Y50">
        <v>2.5255484000000002E-2</v>
      </c>
      <c r="Z50">
        <v>-2.0228189999999979E-2</v>
      </c>
      <c r="AA50">
        <v>2.0228189999999979E-2</v>
      </c>
    </row>
    <row r="51" spans="1:27" x14ac:dyDescent="0.25">
      <c r="A51" t="s">
        <v>75</v>
      </c>
      <c r="B51" t="s">
        <v>851</v>
      </c>
      <c r="C51">
        <v>10</v>
      </c>
      <c r="D51" t="s">
        <v>29</v>
      </c>
      <c r="E51" t="s">
        <v>94</v>
      </c>
      <c r="F51" t="s">
        <v>103</v>
      </c>
      <c r="G51" t="s">
        <v>121</v>
      </c>
      <c r="H51" t="s">
        <v>105</v>
      </c>
      <c r="J51">
        <v>0</v>
      </c>
      <c r="K51">
        <v>1</v>
      </c>
      <c r="L51">
        <v>98.291666669999998</v>
      </c>
      <c r="M51">
        <v>30.315130790000001</v>
      </c>
      <c r="N51">
        <v>5.0803484000000003E-2</v>
      </c>
      <c r="O51">
        <v>0.42866070000000001</v>
      </c>
      <c r="P51">
        <v>67.5</v>
      </c>
      <c r="Q51">
        <v>47.937235809999997</v>
      </c>
      <c r="R51">
        <v>0.41599678000000001</v>
      </c>
      <c r="S51">
        <v>2.0950346999999998</v>
      </c>
      <c r="T51">
        <v>30.791666670000001</v>
      </c>
      <c r="U51">
        <v>30.791666670000001</v>
      </c>
      <c r="V51">
        <v>-17.622105019999999</v>
      </c>
      <c r="W51">
        <v>17.622105019999999</v>
      </c>
      <c r="X51">
        <v>-0.365193296</v>
      </c>
      <c r="Y51">
        <v>0.365193296</v>
      </c>
      <c r="Z51">
        <v>-1.6663739999999998</v>
      </c>
      <c r="AA51">
        <v>1.6663739999999998</v>
      </c>
    </row>
    <row r="52" spans="1:27" x14ac:dyDescent="0.25">
      <c r="A52" t="s">
        <v>76</v>
      </c>
      <c r="B52" t="s">
        <v>852</v>
      </c>
      <c r="C52">
        <v>10</v>
      </c>
      <c r="D52" t="s">
        <v>31</v>
      </c>
      <c r="E52" t="s">
        <v>94</v>
      </c>
      <c r="F52" t="s">
        <v>113</v>
      </c>
      <c r="G52" t="s">
        <v>113</v>
      </c>
      <c r="H52" t="s">
        <v>113</v>
      </c>
      <c r="J52">
        <v>0</v>
      </c>
      <c r="K52">
        <v>2</v>
      </c>
      <c r="L52">
        <v>83.757575759999995</v>
      </c>
      <c r="M52">
        <v>22.60997987</v>
      </c>
      <c r="N52">
        <v>0.72884000000000004</v>
      </c>
      <c r="O52">
        <v>0.21301339999999999</v>
      </c>
      <c r="P52">
        <v>83.757575759999995</v>
      </c>
      <c r="Q52">
        <v>22.60997987</v>
      </c>
      <c r="R52">
        <v>0.72884000000000004</v>
      </c>
      <c r="S52">
        <v>0.21301339999999999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</row>
    <row r="53" spans="1:27" x14ac:dyDescent="0.25">
      <c r="A53" t="s">
        <v>76</v>
      </c>
      <c r="B53" t="s">
        <v>852</v>
      </c>
      <c r="C53">
        <v>10</v>
      </c>
      <c r="D53" t="s">
        <v>31</v>
      </c>
      <c r="E53" t="s">
        <v>94</v>
      </c>
      <c r="F53" t="s">
        <v>113</v>
      </c>
      <c r="G53" t="s">
        <v>113</v>
      </c>
      <c r="H53" t="s">
        <v>238</v>
      </c>
      <c r="J53">
        <v>0</v>
      </c>
      <c r="K53">
        <v>1</v>
      </c>
      <c r="L53">
        <v>83.757575759999995</v>
      </c>
      <c r="M53">
        <v>22.60997987</v>
      </c>
      <c r="N53">
        <v>0.72884000000000004</v>
      </c>
      <c r="O53">
        <v>0.21301339999999999</v>
      </c>
      <c r="P53">
        <v>87.5</v>
      </c>
      <c r="Q53">
        <v>29.478311600000001</v>
      </c>
      <c r="R53">
        <v>3.0797751000000002E-2</v>
      </c>
      <c r="S53">
        <v>0.12931835</v>
      </c>
      <c r="T53">
        <v>-3.7424242400000001</v>
      </c>
      <c r="U53">
        <v>3.7424242400000001</v>
      </c>
      <c r="V53">
        <v>-6.8683317300000004</v>
      </c>
      <c r="W53">
        <v>6.8683317300000004</v>
      </c>
      <c r="X53">
        <v>0.698042249</v>
      </c>
      <c r="Y53">
        <v>0.698042249</v>
      </c>
      <c r="Z53">
        <v>8.3695049999999993E-2</v>
      </c>
      <c r="AA53">
        <v>8.3695049999999993E-2</v>
      </c>
    </row>
    <row r="54" spans="1:27" x14ac:dyDescent="0.25">
      <c r="A54" t="s">
        <v>76</v>
      </c>
      <c r="B54" t="s">
        <v>852</v>
      </c>
      <c r="C54">
        <v>10</v>
      </c>
      <c r="D54" t="s">
        <v>31</v>
      </c>
      <c r="E54" t="s">
        <v>94</v>
      </c>
      <c r="F54" t="s">
        <v>113</v>
      </c>
      <c r="G54" t="s">
        <v>113</v>
      </c>
      <c r="H54" t="s">
        <v>235</v>
      </c>
      <c r="J54">
        <v>0</v>
      </c>
      <c r="K54">
        <v>5</v>
      </c>
      <c r="L54">
        <v>83.757575759999995</v>
      </c>
      <c r="M54">
        <v>22.60997987</v>
      </c>
      <c r="N54">
        <v>0.72884000000000004</v>
      </c>
      <c r="O54">
        <v>0.21301339999999999</v>
      </c>
      <c r="P54">
        <v>132.27272730000001</v>
      </c>
      <c r="Q54">
        <v>20.180448590000001</v>
      </c>
      <c r="R54">
        <v>3.7813451999999997E-2</v>
      </c>
      <c r="S54">
        <v>0.41404401000000002</v>
      </c>
      <c r="T54">
        <v>-48.515151539999998</v>
      </c>
      <c r="U54">
        <v>48.515151539999998</v>
      </c>
      <c r="V54">
        <v>2.42953128</v>
      </c>
      <c r="W54">
        <v>2.42953128</v>
      </c>
      <c r="X54">
        <v>0.69102654799999996</v>
      </c>
      <c r="Y54">
        <v>0.69102654799999996</v>
      </c>
      <c r="Z54">
        <v>-0.20103061000000003</v>
      </c>
      <c r="AA54">
        <v>0.20103061000000003</v>
      </c>
    </row>
    <row r="55" spans="1:27" x14ac:dyDescent="0.25">
      <c r="A55" t="s">
        <v>77</v>
      </c>
      <c r="B55" t="s">
        <v>853</v>
      </c>
      <c r="C55">
        <v>10</v>
      </c>
      <c r="D55" t="s">
        <v>33</v>
      </c>
      <c r="E55" t="s">
        <v>94</v>
      </c>
      <c r="F55" t="s">
        <v>102</v>
      </c>
      <c r="G55" t="s">
        <v>110</v>
      </c>
      <c r="H55" t="s">
        <v>110</v>
      </c>
      <c r="J55">
        <v>0</v>
      </c>
      <c r="K55">
        <v>1</v>
      </c>
      <c r="L55">
        <v>84.740740740000007</v>
      </c>
      <c r="M55">
        <v>29.167014049999999</v>
      </c>
      <c r="N55">
        <v>1.1169849999999999</v>
      </c>
      <c r="O55">
        <v>1.1571499000000001</v>
      </c>
      <c r="P55">
        <v>73.260869569999997</v>
      </c>
      <c r="Q55">
        <v>34.453830549999999</v>
      </c>
      <c r="R55">
        <v>1.058333333</v>
      </c>
      <c r="S55">
        <v>0.90897070000000002</v>
      </c>
      <c r="T55">
        <v>11.479871169999999</v>
      </c>
      <c r="U55">
        <v>11.479871169999999</v>
      </c>
      <c r="V55">
        <v>-5.2868164999999996</v>
      </c>
      <c r="W55">
        <v>5.2868164999999996</v>
      </c>
      <c r="X55">
        <v>5.8651666999999998E-2</v>
      </c>
      <c r="Y55">
        <v>5.8651666999999998E-2</v>
      </c>
      <c r="Z55">
        <v>0.24817920000000004</v>
      </c>
      <c r="AA55">
        <v>0.24817920000000004</v>
      </c>
    </row>
    <row r="56" spans="1:27" x14ac:dyDescent="0.25">
      <c r="A56" t="s">
        <v>77</v>
      </c>
      <c r="B56" t="s">
        <v>853</v>
      </c>
      <c r="C56">
        <v>10</v>
      </c>
      <c r="D56" t="s">
        <v>33</v>
      </c>
      <c r="E56" t="s">
        <v>94</v>
      </c>
      <c r="F56" t="s">
        <v>102</v>
      </c>
      <c r="G56" t="s">
        <v>110</v>
      </c>
      <c r="H56" t="s">
        <v>162</v>
      </c>
      <c r="J56">
        <v>0</v>
      </c>
      <c r="K56">
        <v>1</v>
      </c>
      <c r="L56">
        <v>84.740740740000007</v>
      </c>
      <c r="M56">
        <v>29.167014049999999</v>
      </c>
      <c r="N56">
        <v>1.1169849999999999</v>
      </c>
      <c r="O56">
        <v>1.1571499000000001</v>
      </c>
      <c r="P56">
        <v>82.53846154</v>
      </c>
      <c r="Q56">
        <v>35.660530039999998</v>
      </c>
      <c r="R56">
        <v>3.3754499999999998</v>
      </c>
      <c r="S56" t="s">
        <v>114</v>
      </c>
      <c r="T56">
        <v>2.2022792</v>
      </c>
      <c r="U56">
        <v>2.2022792</v>
      </c>
      <c r="V56">
        <v>-6.4935159899999997</v>
      </c>
      <c r="W56">
        <v>6.4935159899999997</v>
      </c>
      <c r="X56">
        <v>-2.2584650000000002</v>
      </c>
      <c r="Y56">
        <v>2.2584650000000002</v>
      </c>
      <c r="Z56" t="s">
        <v>114</v>
      </c>
      <c r="AA56" t="s">
        <v>114</v>
      </c>
    </row>
    <row r="57" spans="1:27" x14ac:dyDescent="0.25">
      <c r="A57" t="s">
        <v>77</v>
      </c>
      <c r="B57" t="s">
        <v>854</v>
      </c>
      <c r="C57">
        <v>10</v>
      </c>
      <c r="D57" t="s">
        <v>33</v>
      </c>
      <c r="E57" t="s">
        <v>94</v>
      </c>
      <c r="F57" t="s">
        <v>110</v>
      </c>
      <c r="G57" t="s">
        <v>110</v>
      </c>
      <c r="H57" t="s">
        <v>110</v>
      </c>
      <c r="J57">
        <v>0</v>
      </c>
      <c r="K57">
        <v>3</v>
      </c>
      <c r="L57">
        <v>73.260869569999997</v>
      </c>
      <c r="M57">
        <v>34.453830549999999</v>
      </c>
      <c r="N57">
        <v>1.058333333</v>
      </c>
      <c r="O57">
        <v>0.90897070000000002</v>
      </c>
      <c r="P57">
        <v>73.260869569999997</v>
      </c>
      <c r="Q57">
        <v>34.453830549999999</v>
      </c>
      <c r="R57">
        <v>1.058333333</v>
      </c>
      <c r="S57">
        <v>0.90897070000000002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</row>
    <row r="58" spans="1:27" x14ac:dyDescent="0.25">
      <c r="A58" t="s">
        <v>78</v>
      </c>
      <c r="B58" t="s">
        <v>855</v>
      </c>
      <c r="C58">
        <v>10</v>
      </c>
      <c r="D58" t="s">
        <v>35</v>
      </c>
      <c r="E58" t="s">
        <v>94</v>
      </c>
      <c r="F58" t="s">
        <v>111</v>
      </c>
      <c r="G58" t="s">
        <v>121</v>
      </c>
      <c r="H58" t="s">
        <v>114</v>
      </c>
      <c r="J58">
        <v>0</v>
      </c>
      <c r="K58">
        <v>0</v>
      </c>
      <c r="L58">
        <v>94.97142857</v>
      </c>
      <c r="M58">
        <v>24.31591813</v>
      </c>
      <c r="N58">
        <v>0.122951111</v>
      </c>
      <c r="O58">
        <v>0.39050790000000002</v>
      </c>
      <c r="P58" t="s">
        <v>114</v>
      </c>
      <c r="Q58" t="s">
        <v>114</v>
      </c>
      <c r="R58" t="s">
        <v>114</v>
      </c>
      <c r="S58" t="s">
        <v>114</v>
      </c>
      <c r="T58" t="s">
        <v>114</v>
      </c>
      <c r="U58" t="s">
        <v>114</v>
      </c>
      <c r="V58" t="s">
        <v>114</v>
      </c>
      <c r="W58" t="s">
        <v>114</v>
      </c>
      <c r="X58" t="s">
        <v>114</v>
      </c>
      <c r="Y58" t="s">
        <v>114</v>
      </c>
      <c r="Z58" t="s">
        <v>114</v>
      </c>
      <c r="AA58" t="s">
        <v>114</v>
      </c>
    </row>
    <row r="59" spans="1:27" x14ac:dyDescent="0.25">
      <c r="A59" t="s">
        <v>50</v>
      </c>
      <c r="B59" t="s">
        <v>856</v>
      </c>
      <c r="C59">
        <v>12</v>
      </c>
      <c r="D59" t="s">
        <v>11</v>
      </c>
      <c r="E59" t="s">
        <v>95</v>
      </c>
      <c r="F59" t="s">
        <v>113</v>
      </c>
      <c r="G59" t="s">
        <v>113</v>
      </c>
      <c r="H59" t="s">
        <v>113</v>
      </c>
      <c r="J59">
        <v>0</v>
      </c>
      <c r="K59">
        <v>6</v>
      </c>
      <c r="L59">
        <v>83.757575759999995</v>
      </c>
      <c r="M59">
        <v>22.60997987</v>
      </c>
      <c r="N59">
        <v>0.72884000000000004</v>
      </c>
      <c r="O59">
        <v>0.21301339999999999</v>
      </c>
      <c r="P59">
        <v>83.757575759999995</v>
      </c>
      <c r="Q59">
        <v>22.60997987</v>
      </c>
      <c r="R59">
        <v>0.72884000000000004</v>
      </c>
      <c r="S59">
        <v>0.21301339999999999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</row>
    <row r="60" spans="1:27" x14ac:dyDescent="0.25">
      <c r="A60" t="s">
        <v>50</v>
      </c>
      <c r="B60" t="s">
        <v>856</v>
      </c>
      <c r="C60">
        <v>12</v>
      </c>
      <c r="D60" t="s">
        <v>11</v>
      </c>
      <c r="E60" t="s">
        <v>95</v>
      </c>
      <c r="F60" t="s">
        <v>113</v>
      </c>
      <c r="G60" t="s">
        <v>113</v>
      </c>
      <c r="H60" t="s">
        <v>238</v>
      </c>
      <c r="J60">
        <v>0</v>
      </c>
      <c r="K60">
        <v>1</v>
      </c>
      <c r="L60">
        <v>83.757575759999995</v>
      </c>
      <c r="M60">
        <v>22.60997987</v>
      </c>
      <c r="N60">
        <v>0.72884000000000004</v>
      </c>
      <c r="O60">
        <v>0.21301339999999999</v>
      </c>
      <c r="P60">
        <v>87.5</v>
      </c>
      <c r="Q60">
        <v>29.478311600000001</v>
      </c>
      <c r="R60">
        <v>3.0797751000000002E-2</v>
      </c>
      <c r="S60">
        <v>0.12931835</v>
      </c>
      <c r="T60">
        <v>-3.7424242400000001</v>
      </c>
      <c r="U60">
        <v>3.7424242400000001</v>
      </c>
      <c r="V60">
        <v>-6.8683317300000004</v>
      </c>
      <c r="W60">
        <v>6.8683317300000004</v>
      </c>
      <c r="X60">
        <v>0.698042249</v>
      </c>
      <c r="Y60">
        <v>0.698042249</v>
      </c>
      <c r="Z60">
        <v>8.3695049999999993E-2</v>
      </c>
      <c r="AA60">
        <v>8.3695049999999993E-2</v>
      </c>
    </row>
    <row r="61" spans="1:27" x14ac:dyDescent="0.25">
      <c r="A61" t="s">
        <v>50</v>
      </c>
      <c r="B61" t="s">
        <v>857</v>
      </c>
      <c r="C61">
        <v>12</v>
      </c>
      <c r="D61" t="s">
        <v>11</v>
      </c>
      <c r="E61" t="s">
        <v>95</v>
      </c>
      <c r="F61" t="s">
        <v>103</v>
      </c>
      <c r="G61" t="s">
        <v>113</v>
      </c>
      <c r="H61" t="s">
        <v>113</v>
      </c>
      <c r="J61">
        <v>0</v>
      </c>
      <c r="K61">
        <v>4</v>
      </c>
      <c r="L61">
        <v>98.291666669999998</v>
      </c>
      <c r="M61">
        <v>30.315130790000001</v>
      </c>
      <c r="N61">
        <v>5.0803484000000003E-2</v>
      </c>
      <c r="O61">
        <v>0.42866070000000001</v>
      </c>
      <c r="P61">
        <v>83.757575759999995</v>
      </c>
      <c r="Q61">
        <v>22.60997987</v>
      </c>
      <c r="R61">
        <v>0.72884000000000004</v>
      </c>
      <c r="S61">
        <v>0.21301339999999999</v>
      </c>
      <c r="T61">
        <v>14.53409091</v>
      </c>
      <c r="U61">
        <v>14.53409091</v>
      </c>
      <c r="V61">
        <v>7.7051509200000003</v>
      </c>
      <c r="W61">
        <v>7.7051509200000003</v>
      </c>
      <c r="X61">
        <v>-0.67803651600000003</v>
      </c>
      <c r="Y61">
        <v>0.67803651600000003</v>
      </c>
      <c r="Z61">
        <v>0.21564730000000001</v>
      </c>
      <c r="AA61">
        <v>0.21564730000000001</v>
      </c>
    </row>
    <row r="62" spans="1:27" x14ac:dyDescent="0.25">
      <c r="A62" t="s">
        <v>50</v>
      </c>
      <c r="B62" t="s">
        <v>857</v>
      </c>
      <c r="C62">
        <v>12</v>
      </c>
      <c r="D62" t="s">
        <v>11</v>
      </c>
      <c r="E62" t="s">
        <v>95</v>
      </c>
      <c r="F62" t="s">
        <v>103</v>
      </c>
      <c r="G62" t="s">
        <v>113</v>
      </c>
      <c r="H62" t="s">
        <v>242</v>
      </c>
      <c r="J62">
        <v>0</v>
      </c>
      <c r="K62">
        <v>3</v>
      </c>
      <c r="L62">
        <v>98.291666669999998</v>
      </c>
      <c r="M62">
        <v>30.315130790000001</v>
      </c>
      <c r="N62">
        <v>5.0803484000000003E-2</v>
      </c>
      <c r="O62">
        <v>0.42866070000000001</v>
      </c>
      <c r="P62">
        <v>139.375</v>
      </c>
      <c r="Q62">
        <v>23.713465920000001</v>
      </c>
      <c r="R62" t="s">
        <v>114</v>
      </c>
      <c r="S62" t="s">
        <v>114</v>
      </c>
      <c r="T62">
        <v>-41.083333330000002</v>
      </c>
      <c r="U62">
        <v>41.083333330000002</v>
      </c>
      <c r="V62">
        <v>6.6016648699999996</v>
      </c>
      <c r="W62">
        <v>6.6016648699999996</v>
      </c>
      <c r="X62" t="s">
        <v>114</v>
      </c>
      <c r="Y62" t="s">
        <v>114</v>
      </c>
      <c r="Z62" t="s">
        <v>114</v>
      </c>
      <c r="AA62" t="s">
        <v>114</v>
      </c>
    </row>
    <row r="63" spans="1:27" x14ac:dyDescent="0.25">
      <c r="A63" t="s">
        <v>50</v>
      </c>
      <c r="B63" t="s">
        <v>858</v>
      </c>
      <c r="C63">
        <v>12</v>
      </c>
      <c r="D63" t="s">
        <v>11</v>
      </c>
      <c r="E63" t="s">
        <v>95</v>
      </c>
      <c r="F63" t="s">
        <v>111</v>
      </c>
      <c r="G63" t="s">
        <v>113</v>
      </c>
      <c r="H63" t="s">
        <v>113</v>
      </c>
      <c r="J63">
        <v>0</v>
      </c>
      <c r="K63">
        <v>3</v>
      </c>
      <c r="L63">
        <v>94.97142857</v>
      </c>
      <c r="M63">
        <v>24.31591813</v>
      </c>
      <c r="N63">
        <v>0.122951111</v>
      </c>
      <c r="O63">
        <v>0.39050790000000002</v>
      </c>
      <c r="P63">
        <v>83.757575759999995</v>
      </c>
      <c r="Q63">
        <v>22.60997987</v>
      </c>
      <c r="R63">
        <v>0.72884000000000004</v>
      </c>
      <c r="S63">
        <v>0.21301339999999999</v>
      </c>
      <c r="T63">
        <v>11.213852810000001</v>
      </c>
      <c r="U63">
        <v>11.213852810000001</v>
      </c>
      <c r="V63">
        <v>1.7059382599999999</v>
      </c>
      <c r="W63">
        <v>1.7059382599999999</v>
      </c>
      <c r="X63">
        <v>-0.60588888900000004</v>
      </c>
      <c r="Y63">
        <v>0.60588888900000004</v>
      </c>
      <c r="Z63">
        <v>0.17749450000000003</v>
      </c>
      <c r="AA63">
        <v>0.17749450000000003</v>
      </c>
    </row>
    <row r="64" spans="1:27" x14ac:dyDescent="0.25">
      <c r="A64" t="s">
        <v>50</v>
      </c>
      <c r="B64" t="s">
        <v>858</v>
      </c>
      <c r="C64">
        <v>12</v>
      </c>
      <c r="D64" t="s">
        <v>11</v>
      </c>
      <c r="E64" t="s">
        <v>95</v>
      </c>
      <c r="F64" t="s">
        <v>111</v>
      </c>
      <c r="G64" t="s">
        <v>113</v>
      </c>
      <c r="H64" t="s">
        <v>242</v>
      </c>
      <c r="J64">
        <v>0</v>
      </c>
      <c r="K64">
        <v>2</v>
      </c>
      <c r="L64">
        <v>94.97142857</v>
      </c>
      <c r="M64">
        <v>24.31591813</v>
      </c>
      <c r="N64">
        <v>0.122951111</v>
      </c>
      <c r="O64">
        <v>0.39050790000000002</v>
      </c>
      <c r="P64">
        <v>139.375</v>
      </c>
      <c r="Q64">
        <v>23.713465920000001</v>
      </c>
      <c r="R64" t="s">
        <v>114</v>
      </c>
      <c r="S64" t="s">
        <v>114</v>
      </c>
      <c r="T64">
        <v>-44.40357143</v>
      </c>
      <c r="U64">
        <v>44.40357143</v>
      </c>
      <c r="V64">
        <v>0.60245221000000004</v>
      </c>
      <c r="W64">
        <v>0.60245221000000004</v>
      </c>
      <c r="X64" t="s">
        <v>114</v>
      </c>
      <c r="Y64" t="s">
        <v>114</v>
      </c>
      <c r="Z64" t="s">
        <v>114</v>
      </c>
      <c r="AA64" t="s">
        <v>114</v>
      </c>
    </row>
    <row r="65" spans="1:27" x14ac:dyDescent="0.25">
      <c r="A65" t="s">
        <v>50</v>
      </c>
      <c r="B65" t="s">
        <v>859</v>
      </c>
      <c r="C65">
        <v>12</v>
      </c>
      <c r="D65" t="s">
        <v>11</v>
      </c>
      <c r="E65" t="s">
        <v>95</v>
      </c>
      <c r="F65" t="s">
        <v>104</v>
      </c>
      <c r="G65" t="s">
        <v>121</v>
      </c>
      <c r="H65" t="s">
        <v>103</v>
      </c>
      <c r="J65">
        <v>0</v>
      </c>
      <c r="K65">
        <v>1</v>
      </c>
      <c r="L65">
        <v>113.9375</v>
      </c>
      <c r="M65">
        <v>33.375507550000002</v>
      </c>
      <c r="N65">
        <v>2.4262999999999999</v>
      </c>
      <c r="O65">
        <v>0.40692159999999999</v>
      </c>
      <c r="P65">
        <v>98.291666669999998</v>
      </c>
      <c r="Q65">
        <v>30.315130790000001</v>
      </c>
      <c r="R65">
        <v>5.0803484000000003E-2</v>
      </c>
      <c r="S65">
        <v>0.42866070000000001</v>
      </c>
      <c r="T65">
        <v>15.64583333</v>
      </c>
      <c r="U65">
        <v>15.64583333</v>
      </c>
      <c r="V65">
        <v>3.06037676</v>
      </c>
      <c r="W65">
        <v>3.06037676</v>
      </c>
      <c r="X65">
        <v>2.3754965160000001</v>
      </c>
      <c r="Y65">
        <v>2.3754965160000001</v>
      </c>
      <c r="Z65">
        <v>-2.1739100000000011E-2</v>
      </c>
      <c r="AA65">
        <v>2.1739100000000011E-2</v>
      </c>
    </row>
    <row r="66" spans="1:27" x14ac:dyDescent="0.25">
      <c r="A66" t="s">
        <v>50</v>
      </c>
      <c r="B66" t="s">
        <v>859</v>
      </c>
      <c r="C66">
        <v>12</v>
      </c>
      <c r="D66" t="s">
        <v>11</v>
      </c>
      <c r="E66" t="s">
        <v>95</v>
      </c>
      <c r="F66" t="s">
        <v>104</v>
      </c>
      <c r="G66" t="s">
        <v>121</v>
      </c>
      <c r="H66" t="s">
        <v>238</v>
      </c>
      <c r="J66">
        <v>0</v>
      </c>
      <c r="K66">
        <v>1</v>
      </c>
      <c r="L66">
        <v>113.9375</v>
      </c>
      <c r="M66">
        <v>33.375507550000002</v>
      </c>
      <c r="N66">
        <v>2.4262999999999999</v>
      </c>
      <c r="O66">
        <v>0.40692159999999999</v>
      </c>
      <c r="P66">
        <v>87.5</v>
      </c>
      <c r="Q66">
        <v>29.478311600000001</v>
      </c>
      <c r="R66">
        <v>3.0797751000000002E-2</v>
      </c>
      <c r="S66">
        <v>0.12931835</v>
      </c>
      <c r="T66">
        <v>26.4375</v>
      </c>
      <c r="U66">
        <v>26.4375</v>
      </c>
      <c r="V66">
        <v>3.89719595</v>
      </c>
      <c r="W66">
        <v>3.89719595</v>
      </c>
      <c r="X66">
        <v>2.3955022490000002</v>
      </c>
      <c r="Y66">
        <v>2.3955022490000002</v>
      </c>
      <c r="Z66">
        <v>0.27760324999999997</v>
      </c>
      <c r="AA66">
        <v>0.27760324999999997</v>
      </c>
    </row>
    <row r="67" spans="1:27" x14ac:dyDescent="0.25">
      <c r="A67" t="s">
        <v>51</v>
      </c>
      <c r="B67" t="s">
        <v>860</v>
      </c>
      <c r="C67">
        <v>12</v>
      </c>
      <c r="D67" t="s">
        <v>15</v>
      </c>
      <c r="E67" t="s">
        <v>94</v>
      </c>
      <c r="F67" t="s">
        <v>105</v>
      </c>
      <c r="G67" t="s">
        <v>104</v>
      </c>
      <c r="H67" t="s">
        <v>104</v>
      </c>
      <c r="J67">
        <v>0</v>
      </c>
      <c r="K67">
        <v>2</v>
      </c>
      <c r="L67">
        <v>67.5</v>
      </c>
      <c r="M67">
        <v>47.937235809999997</v>
      </c>
      <c r="N67">
        <v>0.41599678000000001</v>
      </c>
      <c r="O67">
        <v>2.0950346999999998</v>
      </c>
      <c r="P67">
        <v>113.9375</v>
      </c>
      <c r="Q67">
        <v>33.375507550000002</v>
      </c>
      <c r="R67">
        <v>2.4262999999999999</v>
      </c>
      <c r="S67">
        <v>0.40692159999999999</v>
      </c>
      <c r="T67">
        <v>-46.4375</v>
      </c>
      <c r="U67">
        <v>46.4375</v>
      </c>
      <c r="V67">
        <v>14.561728260000001</v>
      </c>
      <c r="W67">
        <v>14.561728260000001</v>
      </c>
      <c r="X67">
        <v>-2.0103032199999999</v>
      </c>
      <c r="Y67">
        <v>2.0103032199999999</v>
      </c>
      <c r="Z67">
        <v>1.6881130999999998</v>
      </c>
      <c r="AA67">
        <v>1.6881130999999998</v>
      </c>
    </row>
    <row r="68" spans="1:27" x14ac:dyDescent="0.25">
      <c r="A68" t="s">
        <v>51</v>
      </c>
      <c r="B68" t="s">
        <v>861</v>
      </c>
      <c r="C68">
        <v>12</v>
      </c>
      <c r="D68" t="s">
        <v>15</v>
      </c>
      <c r="E68" t="s">
        <v>94</v>
      </c>
      <c r="F68" t="s">
        <v>111</v>
      </c>
      <c r="G68" t="s">
        <v>121</v>
      </c>
      <c r="H68" t="s">
        <v>241</v>
      </c>
      <c r="J68">
        <v>0</v>
      </c>
      <c r="K68">
        <v>1</v>
      </c>
      <c r="L68">
        <v>94.97142857</v>
      </c>
      <c r="M68">
        <v>24.31591813</v>
      </c>
      <c r="N68">
        <v>0.122951111</v>
      </c>
      <c r="O68">
        <v>0.39050790000000002</v>
      </c>
      <c r="P68">
        <v>114</v>
      </c>
      <c r="Q68">
        <v>30.43077242</v>
      </c>
      <c r="R68">
        <v>0.53383111100000002</v>
      </c>
      <c r="S68">
        <v>0.28333332999999999</v>
      </c>
      <c r="T68">
        <v>-19.02857143</v>
      </c>
      <c r="U68">
        <v>19.02857143</v>
      </c>
      <c r="V68">
        <v>-6.1148542900000002</v>
      </c>
      <c r="W68">
        <v>6.1148542900000002</v>
      </c>
      <c r="X68">
        <v>-0.41088000000000002</v>
      </c>
      <c r="Y68">
        <v>0.41088000000000002</v>
      </c>
      <c r="Z68">
        <v>0.10717457000000002</v>
      </c>
      <c r="AA68">
        <v>0.10717457000000002</v>
      </c>
    </row>
    <row r="69" spans="1:27" x14ac:dyDescent="0.25">
      <c r="A69" t="s">
        <v>51</v>
      </c>
      <c r="B69" t="s">
        <v>862</v>
      </c>
      <c r="C69">
        <v>12</v>
      </c>
      <c r="D69" t="s">
        <v>15</v>
      </c>
      <c r="E69" t="s">
        <v>94</v>
      </c>
      <c r="F69" t="s">
        <v>112</v>
      </c>
      <c r="G69" t="s">
        <v>112</v>
      </c>
      <c r="H69" t="s">
        <v>112</v>
      </c>
      <c r="J69">
        <v>0</v>
      </c>
      <c r="K69">
        <v>2</v>
      </c>
      <c r="L69">
        <v>65.09375</v>
      </c>
      <c r="M69">
        <v>37.895352600000002</v>
      </c>
      <c r="N69">
        <v>2.2882677779999998</v>
      </c>
      <c r="O69">
        <v>2.2111774</v>
      </c>
      <c r="P69">
        <v>65.09375</v>
      </c>
      <c r="Q69">
        <v>37.895352600000002</v>
      </c>
      <c r="R69">
        <v>2.2882677779999998</v>
      </c>
      <c r="S69">
        <v>2.2111774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</row>
    <row r="70" spans="1:27" x14ac:dyDescent="0.25">
      <c r="A70" t="s">
        <v>52</v>
      </c>
      <c r="B70" t="s">
        <v>863</v>
      </c>
      <c r="C70">
        <v>12</v>
      </c>
      <c r="D70" t="s">
        <v>17</v>
      </c>
      <c r="E70" t="s">
        <v>95</v>
      </c>
      <c r="F70" t="s">
        <v>102</v>
      </c>
      <c r="G70" t="s">
        <v>121</v>
      </c>
      <c r="H70" t="s">
        <v>238</v>
      </c>
      <c r="J70">
        <v>0</v>
      </c>
      <c r="K70">
        <v>1</v>
      </c>
      <c r="L70">
        <v>84.740740740000007</v>
      </c>
      <c r="M70">
        <v>29.167014049999999</v>
      </c>
      <c r="N70">
        <v>1.1169849999999999</v>
      </c>
      <c r="O70">
        <v>1.1571499000000001</v>
      </c>
      <c r="P70">
        <v>87.5</v>
      </c>
      <c r="Q70">
        <v>29.478311600000001</v>
      </c>
      <c r="R70">
        <v>3.0797751000000002E-2</v>
      </c>
      <c r="S70">
        <v>0.12931835</v>
      </c>
      <c r="T70">
        <v>-2.7592592599999999</v>
      </c>
      <c r="U70">
        <v>2.7592592599999999</v>
      </c>
      <c r="V70">
        <v>-0.31129754999999998</v>
      </c>
      <c r="W70">
        <v>0.31129754999999998</v>
      </c>
      <c r="X70">
        <v>1.086187249</v>
      </c>
      <c r="Y70">
        <v>1.086187249</v>
      </c>
      <c r="Z70">
        <v>1.0278315500000001</v>
      </c>
      <c r="AA70">
        <v>1.0278315500000001</v>
      </c>
    </row>
    <row r="71" spans="1:27" x14ac:dyDescent="0.25">
      <c r="A71" t="s">
        <v>52</v>
      </c>
      <c r="B71" t="s">
        <v>863</v>
      </c>
      <c r="C71">
        <v>12</v>
      </c>
      <c r="D71" t="s">
        <v>17</v>
      </c>
      <c r="E71" t="s">
        <v>95</v>
      </c>
      <c r="F71" t="s">
        <v>102</v>
      </c>
      <c r="G71" t="s">
        <v>121</v>
      </c>
      <c r="H71" t="s">
        <v>113</v>
      </c>
      <c r="J71">
        <v>0</v>
      </c>
      <c r="K71">
        <v>1</v>
      </c>
      <c r="L71">
        <v>84.740740740000007</v>
      </c>
      <c r="M71">
        <v>29.167014049999999</v>
      </c>
      <c r="N71">
        <v>1.1169849999999999</v>
      </c>
      <c r="O71">
        <v>1.1571499000000001</v>
      </c>
      <c r="P71">
        <v>83.757575759999995</v>
      </c>
      <c r="Q71">
        <v>22.60997987</v>
      </c>
      <c r="R71">
        <v>0.72884000000000004</v>
      </c>
      <c r="S71">
        <v>0.21301339999999999</v>
      </c>
      <c r="T71">
        <v>0.98316497999999997</v>
      </c>
      <c r="U71">
        <v>0.98316497999999997</v>
      </c>
      <c r="V71">
        <v>6.5570341799999996</v>
      </c>
      <c r="W71">
        <v>6.5570341799999996</v>
      </c>
      <c r="X71">
        <v>0.38814500000000002</v>
      </c>
      <c r="Y71">
        <v>0.38814500000000002</v>
      </c>
      <c r="Z71">
        <v>0.94413650000000005</v>
      </c>
      <c r="AA71">
        <v>0.94413650000000005</v>
      </c>
    </row>
    <row r="72" spans="1:27" x14ac:dyDescent="0.25">
      <c r="A72" t="s">
        <v>52</v>
      </c>
      <c r="B72" t="s">
        <v>864</v>
      </c>
      <c r="C72">
        <v>12</v>
      </c>
      <c r="D72" t="s">
        <v>17</v>
      </c>
      <c r="E72" t="s">
        <v>95</v>
      </c>
      <c r="F72" t="s">
        <v>103</v>
      </c>
      <c r="G72" t="s">
        <v>121</v>
      </c>
      <c r="H72" t="s">
        <v>234</v>
      </c>
      <c r="J72">
        <v>0</v>
      </c>
      <c r="K72">
        <v>5</v>
      </c>
      <c r="L72">
        <v>98.291666669999998</v>
      </c>
      <c r="M72">
        <v>30.315130790000001</v>
      </c>
      <c r="N72">
        <v>5.0803484000000003E-2</v>
      </c>
      <c r="O72">
        <v>0.42866070000000001</v>
      </c>
      <c r="P72">
        <v>89.8125</v>
      </c>
      <c r="Q72">
        <v>34.754706650000003</v>
      </c>
      <c r="R72">
        <v>2.3065078999999999E-2</v>
      </c>
      <c r="S72">
        <v>2.4791666700000001</v>
      </c>
      <c r="T72">
        <v>8.4791666699999997</v>
      </c>
      <c r="U72">
        <v>8.4791666699999997</v>
      </c>
      <c r="V72">
        <v>-4.4395758599999997</v>
      </c>
      <c r="W72">
        <v>4.4395758599999997</v>
      </c>
      <c r="X72">
        <v>2.7738405000000001E-2</v>
      </c>
      <c r="Y72">
        <v>2.7738405000000001E-2</v>
      </c>
      <c r="Z72">
        <v>-2.0505059700000001</v>
      </c>
      <c r="AA72">
        <v>2.0505059700000001</v>
      </c>
    </row>
    <row r="73" spans="1:27" x14ac:dyDescent="0.25">
      <c r="A73" t="s">
        <v>52</v>
      </c>
      <c r="B73" t="s">
        <v>865</v>
      </c>
      <c r="C73">
        <v>12</v>
      </c>
      <c r="D73" t="s">
        <v>17</v>
      </c>
      <c r="E73" t="s">
        <v>95</v>
      </c>
      <c r="F73" t="s">
        <v>111</v>
      </c>
      <c r="G73" t="s">
        <v>103</v>
      </c>
      <c r="H73" t="s">
        <v>103</v>
      </c>
      <c r="J73">
        <v>0</v>
      </c>
      <c r="K73">
        <v>1</v>
      </c>
      <c r="L73">
        <v>94.97142857</v>
      </c>
      <c r="M73">
        <v>24.31591813</v>
      </c>
      <c r="N73">
        <v>0.122951111</v>
      </c>
      <c r="O73">
        <v>0.39050790000000002</v>
      </c>
      <c r="P73">
        <v>98.291666669999998</v>
      </c>
      <c r="Q73">
        <v>30.315130790000001</v>
      </c>
      <c r="R73">
        <v>5.0803484000000003E-2</v>
      </c>
      <c r="S73">
        <v>0.42866070000000001</v>
      </c>
      <c r="T73">
        <v>-3.3202381000000001</v>
      </c>
      <c r="U73">
        <v>3.3202381000000001</v>
      </c>
      <c r="V73">
        <v>-5.9992126600000004</v>
      </c>
      <c r="W73">
        <v>5.9992126600000004</v>
      </c>
      <c r="X73">
        <v>7.2147627000000006E-2</v>
      </c>
      <c r="Y73">
        <v>7.2147627000000006E-2</v>
      </c>
      <c r="Z73">
        <v>-3.8152799999999987E-2</v>
      </c>
      <c r="AA73">
        <v>3.8152799999999987E-2</v>
      </c>
    </row>
    <row r="74" spans="1:27" x14ac:dyDescent="0.25">
      <c r="A74" t="s">
        <v>52</v>
      </c>
      <c r="B74" t="s">
        <v>866</v>
      </c>
      <c r="C74">
        <v>12</v>
      </c>
      <c r="D74" t="s">
        <v>17</v>
      </c>
      <c r="E74" t="s">
        <v>95</v>
      </c>
      <c r="F74" t="s">
        <v>112</v>
      </c>
      <c r="G74" t="s">
        <v>121</v>
      </c>
      <c r="H74" t="s">
        <v>235</v>
      </c>
      <c r="J74">
        <v>0</v>
      </c>
      <c r="K74">
        <v>1</v>
      </c>
      <c r="L74">
        <v>65.09375</v>
      </c>
      <c r="M74">
        <v>37.895352600000002</v>
      </c>
      <c r="N74">
        <v>2.2882677779999998</v>
      </c>
      <c r="O74">
        <v>2.2111774</v>
      </c>
      <c r="P74">
        <v>132.27272730000001</v>
      </c>
      <c r="Q74">
        <v>20.180448590000001</v>
      </c>
      <c r="R74">
        <v>3.7813451999999997E-2</v>
      </c>
      <c r="S74">
        <v>0.41404401000000002</v>
      </c>
      <c r="T74">
        <v>-67.1789773</v>
      </c>
      <c r="U74">
        <v>67.1789773</v>
      </c>
      <c r="V74">
        <v>17.714904010000001</v>
      </c>
      <c r="W74">
        <v>17.714904010000001</v>
      </c>
      <c r="X74">
        <v>2.2504543259999998</v>
      </c>
      <c r="Y74">
        <v>2.2504543259999998</v>
      </c>
      <c r="Z74">
        <v>1.7971333899999999</v>
      </c>
      <c r="AA74">
        <v>1.7971333899999999</v>
      </c>
    </row>
    <row r="75" spans="1:27" x14ac:dyDescent="0.25">
      <c r="A75" t="s">
        <v>53</v>
      </c>
      <c r="B75" t="s">
        <v>867</v>
      </c>
      <c r="C75">
        <v>12</v>
      </c>
      <c r="D75" t="s">
        <v>19</v>
      </c>
      <c r="E75" t="s">
        <v>94</v>
      </c>
      <c r="F75" t="s">
        <v>102</v>
      </c>
      <c r="G75" t="s">
        <v>121</v>
      </c>
      <c r="H75" t="s">
        <v>808</v>
      </c>
      <c r="J75">
        <v>0</v>
      </c>
      <c r="K75">
        <v>1</v>
      </c>
      <c r="L75">
        <v>84.740740740000007</v>
      </c>
      <c r="M75">
        <v>29.167014049999999</v>
      </c>
      <c r="N75">
        <v>1.1169849999999999</v>
      </c>
      <c r="O75">
        <v>1.1571499000000001</v>
      </c>
      <c r="P75">
        <v>102.79166669999999</v>
      </c>
      <c r="Q75">
        <v>27.057373470000002</v>
      </c>
      <c r="R75">
        <v>6.3567849939999999</v>
      </c>
      <c r="S75" t="s">
        <v>114</v>
      </c>
      <c r="T75">
        <v>-18.050925960000001</v>
      </c>
      <c r="U75">
        <v>18.050925960000001</v>
      </c>
      <c r="V75">
        <v>2.1096405800000002</v>
      </c>
      <c r="W75">
        <v>2.1096405800000002</v>
      </c>
      <c r="X75">
        <v>-5.2397999940000002</v>
      </c>
      <c r="Y75">
        <v>5.2397999940000002</v>
      </c>
      <c r="Z75" t="s">
        <v>114</v>
      </c>
      <c r="AA75" t="s">
        <v>114</v>
      </c>
    </row>
    <row r="76" spans="1:27" x14ac:dyDescent="0.25">
      <c r="A76" t="s">
        <v>53</v>
      </c>
      <c r="B76" t="s">
        <v>867</v>
      </c>
      <c r="C76">
        <v>12</v>
      </c>
      <c r="D76" t="s">
        <v>19</v>
      </c>
      <c r="E76" t="s">
        <v>94</v>
      </c>
      <c r="F76" t="s">
        <v>102</v>
      </c>
      <c r="G76" t="s">
        <v>121</v>
      </c>
      <c r="H76" t="s">
        <v>241</v>
      </c>
      <c r="J76">
        <v>0</v>
      </c>
      <c r="K76">
        <v>1</v>
      </c>
      <c r="L76">
        <v>84.740740740000007</v>
      </c>
      <c r="M76">
        <v>29.167014049999999</v>
      </c>
      <c r="N76">
        <v>1.1169849999999999</v>
      </c>
      <c r="O76">
        <v>1.1571499000000001</v>
      </c>
      <c r="P76">
        <v>114</v>
      </c>
      <c r="Q76">
        <v>30.43077242</v>
      </c>
      <c r="R76">
        <v>0.53383111100000002</v>
      </c>
      <c r="S76">
        <v>0.28333332999999999</v>
      </c>
      <c r="T76">
        <v>-29.25925926</v>
      </c>
      <c r="U76">
        <v>29.25925926</v>
      </c>
      <c r="V76">
        <v>-1.2637583699999999</v>
      </c>
      <c r="W76">
        <v>1.2637583699999999</v>
      </c>
      <c r="X76">
        <v>0.58315388899999998</v>
      </c>
      <c r="Y76">
        <v>0.58315388899999998</v>
      </c>
      <c r="Z76">
        <v>0.87381657000000001</v>
      </c>
      <c r="AA76">
        <v>0.87381657000000001</v>
      </c>
    </row>
    <row r="77" spans="1:27" x14ac:dyDescent="0.25">
      <c r="A77" t="s">
        <v>53</v>
      </c>
      <c r="B77" t="s">
        <v>868</v>
      </c>
      <c r="C77">
        <v>12</v>
      </c>
      <c r="D77" t="s">
        <v>19</v>
      </c>
      <c r="E77" t="s">
        <v>94</v>
      </c>
      <c r="F77" t="s">
        <v>113</v>
      </c>
      <c r="G77" t="s">
        <v>121</v>
      </c>
      <c r="H77" t="s">
        <v>103</v>
      </c>
      <c r="J77">
        <v>0</v>
      </c>
      <c r="K77">
        <v>1</v>
      </c>
      <c r="L77">
        <v>83.757575759999995</v>
      </c>
      <c r="M77">
        <v>22.60997987</v>
      </c>
      <c r="N77">
        <v>0.72884000000000004</v>
      </c>
      <c r="O77">
        <v>0.21301339999999999</v>
      </c>
      <c r="P77">
        <v>98.291666669999998</v>
      </c>
      <c r="Q77">
        <v>30.315130790000001</v>
      </c>
      <c r="R77">
        <v>5.0803484000000003E-2</v>
      </c>
      <c r="S77">
        <v>0.42866070000000001</v>
      </c>
      <c r="T77">
        <v>-14.53409091</v>
      </c>
      <c r="U77">
        <v>14.53409091</v>
      </c>
      <c r="V77">
        <v>-7.7051509200000003</v>
      </c>
      <c r="W77">
        <v>7.7051509200000003</v>
      </c>
      <c r="X77">
        <v>0.67803651600000003</v>
      </c>
      <c r="Y77">
        <v>0.67803651600000003</v>
      </c>
      <c r="Z77">
        <v>-0.21564730000000001</v>
      </c>
      <c r="AA77">
        <v>0.21564730000000001</v>
      </c>
    </row>
    <row r="78" spans="1:27" x14ac:dyDescent="0.25">
      <c r="A78" t="s">
        <v>53</v>
      </c>
      <c r="B78" t="s">
        <v>868</v>
      </c>
      <c r="C78">
        <v>12</v>
      </c>
      <c r="D78" t="s">
        <v>19</v>
      </c>
      <c r="E78" t="s">
        <v>94</v>
      </c>
      <c r="F78" t="s">
        <v>113</v>
      </c>
      <c r="G78" t="s">
        <v>121</v>
      </c>
      <c r="H78" t="s">
        <v>238</v>
      </c>
      <c r="J78">
        <v>0</v>
      </c>
      <c r="K78">
        <v>1</v>
      </c>
      <c r="L78">
        <v>83.757575759999995</v>
      </c>
      <c r="M78">
        <v>22.60997987</v>
      </c>
      <c r="N78">
        <v>0.72884000000000004</v>
      </c>
      <c r="O78">
        <v>0.21301339999999999</v>
      </c>
      <c r="P78">
        <v>87.5</v>
      </c>
      <c r="Q78">
        <v>29.478311600000001</v>
      </c>
      <c r="R78">
        <v>3.0797751000000002E-2</v>
      </c>
      <c r="S78">
        <v>0.12931835</v>
      </c>
      <c r="T78">
        <v>-3.7424242400000001</v>
      </c>
      <c r="U78">
        <v>3.7424242400000001</v>
      </c>
      <c r="V78">
        <v>-6.8683317300000004</v>
      </c>
      <c r="W78">
        <v>6.8683317300000004</v>
      </c>
      <c r="X78">
        <v>0.698042249</v>
      </c>
      <c r="Y78">
        <v>0.698042249</v>
      </c>
      <c r="Z78">
        <v>8.3695049999999993E-2</v>
      </c>
      <c r="AA78">
        <v>8.3695049999999993E-2</v>
      </c>
    </row>
    <row r="79" spans="1:27" x14ac:dyDescent="0.25">
      <c r="A79" t="s">
        <v>53</v>
      </c>
      <c r="B79" t="s">
        <v>868</v>
      </c>
      <c r="C79">
        <v>12</v>
      </c>
      <c r="D79" t="s">
        <v>19</v>
      </c>
      <c r="E79" t="s">
        <v>94</v>
      </c>
      <c r="F79" t="s">
        <v>113</v>
      </c>
      <c r="G79" t="s">
        <v>121</v>
      </c>
      <c r="H79" t="s">
        <v>235</v>
      </c>
      <c r="J79">
        <v>0</v>
      </c>
      <c r="K79">
        <v>1</v>
      </c>
      <c r="L79">
        <v>83.757575759999995</v>
      </c>
      <c r="M79">
        <v>22.60997987</v>
      </c>
      <c r="N79">
        <v>0.72884000000000004</v>
      </c>
      <c r="O79">
        <v>0.21301339999999999</v>
      </c>
      <c r="P79">
        <v>132.27272730000001</v>
      </c>
      <c r="Q79">
        <v>20.180448590000001</v>
      </c>
      <c r="R79">
        <v>3.7813451999999997E-2</v>
      </c>
      <c r="S79">
        <v>0.41404401000000002</v>
      </c>
      <c r="T79">
        <v>-48.515151539999998</v>
      </c>
      <c r="U79">
        <v>48.515151539999998</v>
      </c>
      <c r="V79">
        <v>2.42953128</v>
      </c>
      <c r="W79">
        <v>2.42953128</v>
      </c>
      <c r="X79">
        <v>0.69102654799999996</v>
      </c>
      <c r="Y79">
        <v>0.69102654799999996</v>
      </c>
      <c r="Z79">
        <v>-0.20103061000000003</v>
      </c>
      <c r="AA79">
        <v>0.20103061000000003</v>
      </c>
    </row>
    <row r="80" spans="1:27" x14ac:dyDescent="0.25">
      <c r="A80" t="s">
        <v>53</v>
      </c>
      <c r="B80" t="s">
        <v>868</v>
      </c>
      <c r="C80">
        <v>12</v>
      </c>
      <c r="D80" t="s">
        <v>19</v>
      </c>
      <c r="E80" t="s">
        <v>94</v>
      </c>
      <c r="F80" t="s">
        <v>113</v>
      </c>
      <c r="G80" t="s">
        <v>121</v>
      </c>
      <c r="H80" t="s">
        <v>241</v>
      </c>
      <c r="J80">
        <v>0</v>
      </c>
      <c r="K80">
        <v>2</v>
      </c>
      <c r="L80">
        <v>83.757575759999995</v>
      </c>
      <c r="M80">
        <v>22.60997987</v>
      </c>
      <c r="N80">
        <v>0.72884000000000004</v>
      </c>
      <c r="O80">
        <v>0.21301339999999999</v>
      </c>
      <c r="P80">
        <v>114</v>
      </c>
      <c r="Q80">
        <v>30.43077242</v>
      </c>
      <c r="R80">
        <v>0.53383111100000002</v>
      </c>
      <c r="S80">
        <v>0.28333332999999999</v>
      </c>
      <c r="T80">
        <v>-30.242424239999998</v>
      </c>
      <c r="U80">
        <v>30.242424239999998</v>
      </c>
      <c r="V80">
        <v>-7.8207925500000002</v>
      </c>
      <c r="W80">
        <v>7.8207925500000002</v>
      </c>
      <c r="X80">
        <v>0.19500888899999999</v>
      </c>
      <c r="Y80">
        <v>0.19500888899999999</v>
      </c>
      <c r="Z80">
        <v>-7.0319930000000003E-2</v>
      </c>
      <c r="AA80">
        <v>7.0319930000000003E-2</v>
      </c>
    </row>
    <row r="81" spans="1:27" x14ac:dyDescent="0.25">
      <c r="A81" t="s">
        <v>53</v>
      </c>
      <c r="B81" t="s">
        <v>868</v>
      </c>
      <c r="C81">
        <v>12</v>
      </c>
      <c r="D81" t="s">
        <v>19</v>
      </c>
      <c r="E81" t="s">
        <v>94</v>
      </c>
      <c r="F81" t="s">
        <v>113</v>
      </c>
      <c r="G81" t="s">
        <v>121</v>
      </c>
      <c r="H81" t="s">
        <v>242</v>
      </c>
      <c r="J81">
        <v>0</v>
      </c>
      <c r="K81">
        <v>1</v>
      </c>
      <c r="L81">
        <v>83.757575759999995</v>
      </c>
      <c r="M81">
        <v>22.60997987</v>
      </c>
      <c r="N81">
        <v>0.72884000000000004</v>
      </c>
      <c r="O81">
        <v>0.21301339999999999</v>
      </c>
      <c r="P81">
        <v>139.375</v>
      </c>
      <c r="Q81">
        <v>23.713465920000001</v>
      </c>
      <c r="R81" t="s">
        <v>114</v>
      </c>
      <c r="S81" t="s">
        <v>114</v>
      </c>
      <c r="T81">
        <v>-55.617424239999998</v>
      </c>
      <c r="U81">
        <v>55.617424239999998</v>
      </c>
      <c r="V81">
        <v>-1.1034860500000001</v>
      </c>
      <c r="W81">
        <v>1.1034860500000001</v>
      </c>
      <c r="X81" t="s">
        <v>114</v>
      </c>
      <c r="Y81" t="s">
        <v>114</v>
      </c>
      <c r="Z81" t="s">
        <v>114</v>
      </c>
      <c r="AA81" t="s">
        <v>114</v>
      </c>
    </row>
    <row r="82" spans="1:27" x14ac:dyDescent="0.25">
      <c r="A82" t="s">
        <v>53</v>
      </c>
      <c r="B82" t="s">
        <v>868</v>
      </c>
      <c r="C82">
        <v>12</v>
      </c>
      <c r="D82" t="s">
        <v>19</v>
      </c>
      <c r="E82" t="s">
        <v>94</v>
      </c>
      <c r="F82" t="s">
        <v>113</v>
      </c>
      <c r="G82" t="s">
        <v>121</v>
      </c>
      <c r="H82" t="s">
        <v>112</v>
      </c>
      <c r="J82">
        <v>0</v>
      </c>
      <c r="K82">
        <v>1</v>
      </c>
      <c r="L82">
        <v>83.757575759999995</v>
      </c>
      <c r="M82">
        <v>22.60997987</v>
      </c>
      <c r="N82">
        <v>0.72884000000000004</v>
      </c>
      <c r="O82">
        <v>0.21301339999999999</v>
      </c>
      <c r="P82">
        <v>65.09375</v>
      </c>
      <c r="Q82">
        <v>37.895352600000002</v>
      </c>
      <c r="R82">
        <v>2.2882677779999998</v>
      </c>
      <c r="S82">
        <v>2.2111774</v>
      </c>
      <c r="T82">
        <v>18.663825760000002</v>
      </c>
      <c r="U82">
        <v>18.663825760000002</v>
      </c>
      <c r="V82">
        <v>-15.285372730000001</v>
      </c>
      <c r="W82">
        <v>15.285372730000001</v>
      </c>
      <c r="X82">
        <v>-1.5594277780000001</v>
      </c>
      <c r="Y82">
        <v>1.5594277780000001</v>
      </c>
      <c r="Z82">
        <v>-1.9981640000000001</v>
      </c>
      <c r="AA82">
        <v>1.9981640000000001</v>
      </c>
    </row>
    <row r="83" spans="1:27" x14ac:dyDescent="0.25">
      <c r="A83" t="s">
        <v>53</v>
      </c>
      <c r="B83" t="s">
        <v>869</v>
      </c>
      <c r="C83">
        <v>12</v>
      </c>
      <c r="D83" t="s">
        <v>19</v>
      </c>
      <c r="E83" t="s">
        <v>94</v>
      </c>
      <c r="F83" t="s">
        <v>103</v>
      </c>
      <c r="G83" t="s">
        <v>121</v>
      </c>
      <c r="H83" t="s">
        <v>103</v>
      </c>
      <c r="J83">
        <v>0</v>
      </c>
      <c r="K83">
        <v>1</v>
      </c>
      <c r="L83">
        <v>98.291666669999998</v>
      </c>
      <c r="M83">
        <v>30.315130790000001</v>
      </c>
      <c r="N83">
        <v>5.0803484000000003E-2</v>
      </c>
      <c r="O83">
        <v>0.42866070000000001</v>
      </c>
      <c r="P83">
        <v>98.291666669999998</v>
      </c>
      <c r="Q83">
        <v>30.315130790000001</v>
      </c>
      <c r="R83">
        <v>5.0803484000000003E-2</v>
      </c>
      <c r="S83">
        <v>0.42866070000000001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</row>
    <row r="84" spans="1:27" x14ac:dyDescent="0.25">
      <c r="A84" t="s">
        <v>53</v>
      </c>
      <c r="B84" t="s">
        <v>869</v>
      </c>
      <c r="C84">
        <v>12</v>
      </c>
      <c r="D84" t="s">
        <v>19</v>
      </c>
      <c r="E84" t="s">
        <v>94</v>
      </c>
      <c r="F84" t="s">
        <v>103</v>
      </c>
      <c r="G84" t="s">
        <v>121</v>
      </c>
      <c r="H84" t="s">
        <v>241</v>
      </c>
      <c r="J84">
        <v>0</v>
      </c>
      <c r="K84">
        <v>1</v>
      </c>
      <c r="L84">
        <v>98.291666669999998</v>
      </c>
      <c r="M84">
        <v>30.315130790000001</v>
      </c>
      <c r="N84">
        <v>5.0803484000000003E-2</v>
      </c>
      <c r="O84">
        <v>0.42866070000000001</v>
      </c>
      <c r="P84">
        <v>114</v>
      </c>
      <c r="Q84">
        <v>30.43077242</v>
      </c>
      <c r="R84">
        <v>0.53383111100000002</v>
      </c>
      <c r="S84">
        <v>0.28333332999999999</v>
      </c>
      <c r="T84">
        <v>-15.70833333</v>
      </c>
      <c r="U84">
        <v>15.70833333</v>
      </c>
      <c r="V84">
        <v>-0.11564163</v>
      </c>
      <c r="W84">
        <v>0.11564163</v>
      </c>
      <c r="X84">
        <v>-0.48302762700000001</v>
      </c>
      <c r="Y84">
        <v>0.48302762700000001</v>
      </c>
      <c r="Z84">
        <v>0.14532737000000001</v>
      </c>
      <c r="AA84">
        <v>0.14532737000000001</v>
      </c>
    </row>
    <row r="85" spans="1:27" x14ac:dyDescent="0.25">
      <c r="A85" t="s">
        <v>53</v>
      </c>
      <c r="B85" t="s">
        <v>870</v>
      </c>
      <c r="C85">
        <v>12</v>
      </c>
      <c r="D85" t="s">
        <v>19</v>
      </c>
      <c r="E85" t="s">
        <v>94</v>
      </c>
      <c r="F85" t="s">
        <v>112</v>
      </c>
      <c r="G85" t="s">
        <v>121</v>
      </c>
      <c r="H85" t="s">
        <v>114</v>
      </c>
      <c r="J85">
        <v>0</v>
      </c>
      <c r="K85">
        <v>0</v>
      </c>
      <c r="L85">
        <v>65.09375</v>
      </c>
      <c r="M85">
        <v>37.895352600000002</v>
      </c>
      <c r="N85">
        <v>2.2882677779999998</v>
      </c>
      <c r="O85">
        <v>2.2111774</v>
      </c>
      <c r="P85" t="s">
        <v>114</v>
      </c>
      <c r="Q85" t="s">
        <v>114</v>
      </c>
      <c r="R85" t="s">
        <v>114</v>
      </c>
      <c r="S85" t="s">
        <v>114</v>
      </c>
      <c r="T85" t="s">
        <v>114</v>
      </c>
      <c r="U85" t="s">
        <v>114</v>
      </c>
      <c r="V85" t="s">
        <v>114</v>
      </c>
      <c r="W85" t="s">
        <v>114</v>
      </c>
      <c r="X85" t="s">
        <v>114</v>
      </c>
      <c r="Y85" t="s">
        <v>114</v>
      </c>
      <c r="Z85" t="s">
        <v>114</v>
      </c>
      <c r="AA85" t="s">
        <v>114</v>
      </c>
    </row>
    <row r="86" spans="1:27" x14ac:dyDescent="0.25">
      <c r="A86" t="s">
        <v>54</v>
      </c>
      <c r="B86" t="s">
        <v>871</v>
      </c>
      <c r="C86">
        <v>12</v>
      </c>
      <c r="D86" t="s">
        <v>21</v>
      </c>
      <c r="E86" t="s">
        <v>95</v>
      </c>
      <c r="F86" t="s">
        <v>113</v>
      </c>
      <c r="G86" t="s">
        <v>121</v>
      </c>
      <c r="H86" t="s">
        <v>241</v>
      </c>
      <c r="J86">
        <v>0</v>
      </c>
      <c r="K86">
        <v>2</v>
      </c>
      <c r="L86">
        <v>83.757575759999995</v>
      </c>
      <c r="M86">
        <v>22.60997987</v>
      </c>
      <c r="N86">
        <v>0.72884000000000004</v>
      </c>
      <c r="O86">
        <v>0.21301339999999999</v>
      </c>
      <c r="P86">
        <v>114</v>
      </c>
      <c r="Q86">
        <v>30.43077242</v>
      </c>
      <c r="R86">
        <v>0.53383111100000002</v>
      </c>
      <c r="S86">
        <v>0.28333332999999999</v>
      </c>
      <c r="T86">
        <v>-30.242424239999998</v>
      </c>
      <c r="U86">
        <v>30.242424239999998</v>
      </c>
      <c r="V86">
        <v>-7.8207925500000002</v>
      </c>
      <c r="W86">
        <v>7.8207925500000002</v>
      </c>
      <c r="X86">
        <v>0.19500888899999999</v>
      </c>
      <c r="Y86">
        <v>0.19500888899999999</v>
      </c>
      <c r="Z86">
        <v>-7.0319930000000003E-2</v>
      </c>
      <c r="AA86">
        <v>7.0319930000000003E-2</v>
      </c>
    </row>
    <row r="87" spans="1:27" x14ac:dyDescent="0.25">
      <c r="A87" t="s">
        <v>54</v>
      </c>
      <c r="B87" t="s">
        <v>872</v>
      </c>
      <c r="C87">
        <v>12</v>
      </c>
      <c r="D87" t="s">
        <v>21</v>
      </c>
      <c r="E87" t="s">
        <v>95</v>
      </c>
      <c r="F87" t="s">
        <v>110</v>
      </c>
      <c r="G87" t="s">
        <v>121</v>
      </c>
      <c r="H87" t="s">
        <v>241</v>
      </c>
      <c r="I87" t="s">
        <v>162</v>
      </c>
      <c r="J87">
        <v>1</v>
      </c>
      <c r="K87">
        <v>2</v>
      </c>
      <c r="L87">
        <v>73.260869569999997</v>
      </c>
      <c r="M87">
        <v>34.453830549999999</v>
      </c>
      <c r="N87">
        <v>1.058333333</v>
      </c>
      <c r="O87">
        <v>0.90897070000000002</v>
      </c>
      <c r="P87">
        <v>114</v>
      </c>
      <c r="Q87">
        <v>30.43077242</v>
      </c>
      <c r="R87">
        <v>0.53383111100000002</v>
      </c>
      <c r="S87">
        <v>0.28333332999999999</v>
      </c>
      <c r="T87">
        <v>-40.739130430000003</v>
      </c>
      <c r="U87">
        <v>40.739130430000003</v>
      </c>
      <c r="V87">
        <v>4.0230581299999999</v>
      </c>
      <c r="W87">
        <v>4.0230581299999999</v>
      </c>
      <c r="X87">
        <v>0.52450222199999996</v>
      </c>
      <c r="Y87">
        <v>0.52450222199999996</v>
      </c>
      <c r="Z87">
        <v>0.62563736999999997</v>
      </c>
      <c r="AA87">
        <v>0.62563736999999997</v>
      </c>
    </row>
    <row r="88" spans="1:27" x14ac:dyDescent="0.25">
      <c r="A88" t="s">
        <v>54</v>
      </c>
      <c r="B88" t="s">
        <v>873</v>
      </c>
      <c r="C88">
        <v>12</v>
      </c>
      <c r="D88" t="s">
        <v>21</v>
      </c>
      <c r="E88" t="s">
        <v>95</v>
      </c>
      <c r="F88" t="s">
        <v>111</v>
      </c>
      <c r="G88" t="s">
        <v>121</v>
      </c>
      <c r="H88" t="s">
        <v>162</v>
      </c>
      <c r="J88">
        <v>0</v>
      </c>
      <c r="K88">
        <v>1</v>
      </c>
      <c r="L88">
        <v>94.97142857</v>
      </c>
      <c r="M88">
        <v>24.31591813</v>
      </c>
      <c r="N88">
        <v>0.122951111</v>
      </c>
      <c r="O88">
        <v>0.39050790000000002</v>
      </c>
      <c r="P88">
        <v>82.53846154</v>
      </c>
      <c r="Q88">
        <v>35.660530039999998</v>
      </c>
      <c r="R88">
        <v>3.3754499999999998</v>
      </c>
      <c r="S88" t="s">
        <v>114</v>
      </c>
      <c r="T88">
        <v>12.43296703</v>
      </c>
      <c r="U88">
        <v>12.43296703</v>
      </c>
      <c r="V88">
        <v>-11.344611909999999</v>
      </c>
      <c r="W88">
        <v>11.344611909999999</v>
      </c>
      <c r="X88">
        <v>-3.2524988889999999</v>
      </c>
      <c r="Y88">
        <v>3.2524988889999999</v>
      </c>
      <c r="Z88" t="s">
        <v>114</v>
      </c>
      <c r="AA88" t="s">
        <v>114</v>
      </c>
    </row>
    <row r="89" spans="1:27" x14ac:dyDescent="0.25">
      <c r="A89" t="s">
        <v>55</v>
      </c>
      <c r="B89" t="s">
        <v>874</v>
      </c>
      <c r="C89">
        <v>12</v>
      </c>
      <c r="D89" t="s">
        <v>23</v>
      </c>
      <c r="E89" t="s">
        <v>94</v>
      </c>
      <c r="F89" t="s">
        <v>113</v>
      </c>
      <c r="G89" t="s">
        <v>110</v>
      </c>
      <c r="H89" t="s">
        <v>238</v>
      </c>
      <c r="J89">
        <v>0</v>
      </c>
      <c r="K89">
        <v>1</v>
      </c>
      <c r="L89">
        <v>83.757575759999995</v>
      </c>
      <c r="M89">
        <v>22.60997987</v>
      </c>
      <c r="N89">
        <v>0.72884000000000004</v>
      </c>
      <c r="O89">
        <v>0.21301339999999999</v>
      </c>
      <c r="P89">
        <v>87.5</v>
      </c>
      <c r="Q89">
        <v>29.478311600000001</v>
      </c>
      <c r="R89">
        <v>3.0797751000000002E-2</v>
      </c>
      <c r="S89">
        <v>0.12931835</v>
      </c>
      <c r="T89">
        <v>-3.7424242400000001</v>
      </c>
      <c r="U89">
        <v>3.7424242400000001</v>
      </c>
      <c r="V89">
        <v>-6.8683317300000004</v>
      </c>
      <c r="W89">
        <v>6.8683317300000004</v>
      </c>
      <c r="X89">
        <v>0.698042249</v>
      </c>
      <c r="Y89">
        <v>0.698042249</v>
      </c>
      <c r="Z89">
        <v>8.3695049999999993E-2</v>
      </c>
      <c r="AA89">
        <v>8.3695049999999993E-2</v>
      </c>
    </row>
    <row r="90" spans="1:27" x14ac:dyDescent="0.25">
      <c r="A90" t="s">
        <v>55</v>
      </c>
      <c r="B90" t="s">
        <v>874</v>
      </c>
      <c r="C90">
        <v>12</v>
      </c>
      <c r="D90" t="s">
        <v>23</v>
      </c>
      <c r="E90" t="s">
        <v>94</v>
      </c>
      <c r="F90" t="s">
        <v>113</v>
      </c>
      <c r="G90" t="s">
        <v>110</v>
      </c>
      <c r="H90" t="s">
        <v>103</v>
      </c>
      <c r="J90">
        <v>0</v>
      </c>
      <c r="K90">
        <v>1</v>
      </c>
      <c r="L90">
        <v>83.757575759999995</v>
      </c>
      <c r="M90">
        <v>22.60997987</v>
      </c>
      <c r="N90">
        <v>0.72884000000000004</v>
      </c>
      <c r="O90">
        <v>0.21301339999999999</v>
      </c>
      <c r="P90">
        <v>98.291666669999998</v>
      </c>
      <c r="Q90">
        <v>30.315130790000001</v>
      </c>
      <c r="R90">
        <v>5.0803484000000003E-2</v>
      </c>
      <c r="S90">
        <v>0.42866070000000001</v>
      </c>
      <c r="T90">
        <v>-14.53409091</v>
      </c>
      <c r="U90">
        <v>14.53409091</v>
      </c>
      <c r="V90">
        <v>-7.7051509200000003</v>
      </c>
      <c r="W90">
        <v>7.7051509200000003</v>
      </c>
      <c r="X90">
        <v>0.67803651600000003</v>
      </c>
      <c r="Y90">
        <v>0.67803651600000003</v>
      </c>
      <c r="Z90">
        <v>-0.21564730000000001</v>
      </c>
      <c r="AA90">
        <v>0.21564730000000001</v>
      </c>
    </row>
    <row r="91" spans="1:27" x14ac:dyDescent="0.25">
      <c r="A91" t="s">
        <v>55</v>
      </c>
      <c r="B91" t="s">
        <v>874</v>
      </c>
      <c r="C91">
        <v>12</v>
      </c>
      <c r="D91" t="s">
        <v>23</v>
      </c>
      <c r="E91" t="s">
        <v>94</v>
      </c>
      <c r="F91" t="s">
        <v>113</v>
      </c>
      <c r="G91" t="s">
        <v>110</v>
      </c>
      <c r="H91" t="s">
        <v>808</v>
      </c>
      <c r="J91">
        <v>0</v>
      </c>
      <c r="K91">
        <v>1</v>
      </c>
      <c r="L91">
        <v>83.757575759999995</v>
      </c>
      <c r="M91">
        <v>22.60997987</v>
      </c>
      <c r="N91">
        <v>0.72884000000000004</v>
      </c>
      <c r="O91">
        <v>0.21301339999999999</v>
      </c>
      <c r="P91">
        <v>102.79166669999999</v>
      </c>
      <c r="Q91">
        <v>27.057373470000002</v>
      </c>
      <c r="R91">
        <v>6.3567849939999999</v>
      </c>
      <c r="S91" t="s">
        <v>114</v>
      </c>
      <c r="T91">
        <v>-19.034090939999999</v>
      </c>
      <c r="U91">
        <v>19.034090939999999</v>
      </c>
      <c r="V91">
        <v>-4.4473935999999998</v>
      </c>
      <c r="W91">
        <v>4.4473935999999998</v>
      </c>
      <c r="X91">
        <v>-5.6279449939999999</v>
      </c>
      <c r="Y91">
        <v>5.6279449939999999</v>
      </c>
      <c r="Z91" t="s">
        <v>114</v>
      </c>
      <c r="AA91" t="s">
        <v>114</v>
      </c>
    </row>
    <row r="92" spans="1:27" x14ac:dyDescent="0.25">
      <c r="A92" t="s">
        <v>55</v>
      </c>
      <c r="B92" t="s">
        <v>874</v>
      </c>
      <c r="C92">
        <v>12</v>
      </c>
      <c r="D92" t="s">
        <v>23</v>
      </c>
      <c r="E92" t="s">
        <v>94</v>
      </c>
      <c r="F92" t="s">
        <v>113</v>
      </c>
      <c r="G92" t="s">
        <v>110</v>
      </c>
      <c r="H92" t="s">
        <v>113</v>
      </c>
      <c r="J92">
        <v>0</v>
      </c>
      <c r="K92">
        <v>1</v>
      </c>
      <c r="L92">
        <v>83.757575759999995</v>
      </c>
      <c r="M92">
        <v>22.60997987</v>
      </c>
      <c r="N92">
        <v>0.72884000000000004</v>
      </c>
      <c r="O92">
        <v>0.21301339999999999</v>
      </c>
      <c r="P92">
        <v>83.757575759999995</v>
      </c>
      <c r="Q92">
        <v>22.60997987</v>
      </c>
      <c r="R92">
        <v>0.72884000000000004</v>
      </c>
      <c r="S92">
        <v>0.21301339999999999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</row>
    <row r="93" spans="1:27" x14ac:dyDescent="0.25">
      <c r="A93" t="s">
        <v>55</v>
      </c>
      <c r="B93" t="s">
        <v>875</v>
      </c>
      <c r="C93">
        <v>12</v>
      </c>
      <c r="D93" t="s">
        <v>23</v>
      </c>
      <c r="E93" t="s">
        <v>94</v>
      </c>
      <c r="F93" t="s">
        <v>110</v>
      </c>
      <c r="G93" t="s">
        <v>103</v>
      </c>
      <c r="H93" t="s">
        <v>114</v>
      </c>
      <c r="J93">
        <v>0</v>
      </c>
      <c r="K93" t="s">
        <v>114</v>
      </c>
      <c r="L93">
        <v>73.260869569999997</v>
      </c>
      <c r="M93">
        <v>34.453830549999999</v>
      </c>
      <c r="N93">
        <v>1.058333333</v>
      </c>
      <c r="O93">
        <v>0.90897070000000002</v>
      </c>
      <c r="P93" t="s">
        <v>114</v>
      </c>
      <c r="Q93" t="s">
        <v>114</v>
      </c>
      <c r="R93" t="s">
        <v>114</v>
      </c>
      <c r="S93" t="s">
        <v>114</v>
      </c>
      <c r="T93" t="s">
        <v>114</v>
      </c>
      <c r="U93" t="s">
        <v>114</v>
      </c>
      <c r="V93" t="s">
        <v>114</v>
      </c>
      <c r="W93" t="s">
        <v>114</v>
      </c>
      <c r="X93" t="s">
        <v>114</v>
      </c>
      <c r="Y93" t="s">
        <v>114</v>
      </c>
      <c r="Z93" t="s">
        <v>114</v>
      </c>
      <c r="AA93" t="s">
        <v>114</v>
      </c>
    </row>
    <row r="94" spans="1:27" x14ac:dyDescent="0.25">
      <c r="A94" t="s">
        <v>55</v>
      </c>
      <c r="B94" t="s">
        <v>876</v>
      </c>
      <c r="C94">
        <v>12</v>
      </c>
      <c r="D94" t="s">
        <v>23</v>
      </c>
      <c r="E94" t="s">
        <v>94</v>
      </c>
      <c r="F94" t="s">
        <v>103</v>
      </c>
      <c r="G94" t="s">
        <v>103</v>
      </c>
      <c r="H94" t="s">
        <v>114</v>
      </c>
      <c r="J94">
        <v>0</v>
      </c>
      <c r="K94" t="s">
        <v>114</v>
      </c>
      <c r="L94">
        <v>98.291666669999998</v>
      </c>
      <c r="M94">
        <v>30.315130790000001</v>
      </c>
      <c r="N94">
        <v>5.0803484000000003E-2</v>
      </c>
      <c r="O94">
        <v>0.42866070000000001</v>
      </c>
      <c r="P94" t="s">
        <v>114</v>
      </c>
      <c r="Q94" t="s">
        <v>114</v>
      </c>
      <c r="R94" t="s">
        <v>114</v>
      </c>
      <c r="S94" t="s">
        <v>114</v>
      </c>
      <c r="T94" t="s">
        <v>114</v>
      </c>
      <c r="U94" t="s">
        <v>114</v>
      </c>
      <c r="V94" t="s">
        <v>114</v>
      </c>
      <c r="W94" t="s">
        <v>114</v>
      </c>
      <c r="X94" t="s">
        <v>114</v>
      </c>
      <c r="Y94" t="s">
        <v>114</v>
      </c>
      <c r="Z94" t="s">
        <v>114</v>
      </c>
      <c r="AA94" t="s">
        <v>114</v>
      </c>
    </row>
    <row r="95" spans="1:27" x14ac:dyDescent="0.25">
      <c r="A95" t="s">
        <v>55</v>
      </c>
      <c r="B95" t="s">
        <v>877</v>
      </c>
      <c r="C95">
        <v>12</v>
      </c>
      <c r="D95" t="s">
        <v>23</v>
      </c>
      <c r="E95" t="s">
        <v>94</v>
      </c>
      <c r="F95" t="s">
        <v>111</v>
      </c>
      <c r="G95" t="s">
        <v>113</v>
      </c>
      <c r="H95" t="s">
        <v>113</v>
      </c>
      <c r="J95">
        <v>0</v>
      </c>
      <c r="K95">
        <v>2</v>
      </c>
      <c r="L95">
        <v>94.97142857</v>
      </c>
      <c r="M95">
        <v>24.31591813</v>
      </c>
      <c r="N95">
        <v>0.122951111</v>
      </c>
      <c r="O95">
        <v>0.39050790000000002</v>
      </c>
      <c r="P95">
        <v>83.757575759999995</v>
      </c>
      <c r="Q95">
        <v>22.60997987</v>
      </c>
      <c r="R95">
        <v>0.72884000000000004</v>
      </c>
      <c r="S95">
        <v>0.21301339999999999</v>
      </c>
      <c r="T95">
        <v>11.213852810000001</v>
      </c>
      <c r="U95">
        <v>11.213852810000001</v>
      </c>
      <c r="V95">
        <v>1.7059382599999999</v>
      </c>
      <c r="W95">
        <v>1.7059382599999999</v>
      </c>
      <c r="X95">
        <v>-0.60588888900000004</v>
      </c>
      <c r="Y95">
        <v>0.60588888900000004</v>
      </c>
      <c r="Z95">
        <v>0.17749450000000003</v>
      </c>
      <c r="AA95">
        <v>0.17749450000000003</v>
      </c>
    </row>
    <row r="96" spans="1:27" x14ac:dyDescent="0.25">
      <c r="A96" t="s">
        <v>55</v>
      </c>
      <c r="B96" t="s">
        <v>877</v>
      </c>
      <c r="C96">
        <v>12</v>
      </c>
      <c r="D96" t="s">
        <v>23</v>
      </c>
      <c r="E96" t="s">
        <v>94</v>
      </c>
      <c r="F96" t="s">
        <v>111</v>
      </c>
      <c r="G96" t="s">
        <v>113</v>
      </c>
      <c r="H96" t="s">
        <v>797</v>
      </c>
      <c r="J96">
        <v>0</v>
      </c>
      <c r="K96">
        <v>1</v>
      </c>
      <c r="L96">
        <v>94.97142857</v>
      </c>
      <c r="M96">
        <v>24.31591813</v>
      </c>
      <c r="N96">
        <v>0.122951111</v>
      </c>
      <c r="O96">
        <v>0.39050790000000002</v>
      </c>
      <c r="P96">
        <v>179.45454549999999</v>
      </c>
      <c r="Q96">
        <v>26.326869609999999</v>
      </c>
      <c r="R96">
        <v>2.3456094639999998</v>
      </c>
      <c r="S96">
        <v>0.18833116</v>
      </c>
      <c r="T96">
        <v>-84.483116929999994</v>
      </c>
      <c r="U96">
        <v>84.483116929999994</v>
      </c>
      <c r="V96">
        <v>-2.0109514800000001</v>
      </c>
      <c r="W96">
        <v>2.0109514800000001</v>
      </c>
      <c r="X96">
        <v>-2.2226583529999999</v>
      </c>
      <c r="Y96">
        <v>2.2226583529999999</v>
      </c>
      <c r="Z96">
        <v>0.20217674000000002</v>
      </c>
      <c r="AA96">
        <v>0.20217674000000002</v>
      </c>
    </row>
    <row r="97" spans="1:27" x14ac:dyDescent="0.25">
      <c r="A97" t="s">
        <v>56</v>
      </c>
      <c r="B97" t="s">
        <v>878</v>
      </c>
      <c r="C97">
        <v>12</v>
      </c>
      <c r="D97" t="s">
        <v>25</v>
      </c>
      <c r="E97" t="s">
        <v>94</v>
      </c>
      <c r="F97" t="s">
        <v>113</v>
      </c>
      <c r="G97" t="s">
        <v>113</v>
      </c>
      <c r="H97" t="s">
        <v>113</v>
      </c>
      <c r="J97">
        <v>0</v>
      </c>
      <c r="K97">
        <v>3</v>
      </c>
      <c r="L97">
        <v>83.757575759999995</v>
      </c>
      <c r="M97">
        <v>22.60997987</v>
      </c>
      <c r="N97">
        <v>0.72884000000000004</v>
      </c>
      <c r="O97">
        <v>0.21301339999999999</v>
      </c>
      <c r="P97">
        <v>83.757575759999995</v>
      </c>
      <c r="Q97">
        <v>22.60997987</v>
      </c>
      <c r="R97">
        <v>0.72884000000000004</v>
      </c>
      <c r="S97">
        <v>0.21301339999999999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</row>
    <row r="98" spans="1:27" x14ac:dyDescent="0.25">
      <c r="A98" t="s">
        <v>56</v>
      </c>
      <c r="B98" t="s">
        <v>879</v>
      </c>
      <c r="C98">
        <v>12</v>
      </c>
      <c r="D98" t="s">
        <v>25</v>
      </c>
      <c r="E98" t="s">
        <v>94</v>
      </c>
      <c r="F98" t="s">
        <v>111</v>
      </c>
      <c r="G98" t="s">
        <v>121</v>
      </c>
      <c r="H98" t="s">
        <v>112</v>
      </c>
      <c r="J98">
        <v>0</v>
      </c>
      <c r="K98">
        <v>1</v>
      </c>
      <c r="L98">
        <v>94.97142857</v>
      </c>
      <c r="M98">
        <v>24.31591813</v>
      </c>
      <c r="N98">
        <v>0.122951111</v>
      </c>
      <c r="O98">
        <v>0.39050790000000002</v>
      </c>
      <c r="P98">
        <v>65.09375</v>
      </c>
      <c r="Q98">
        <v>37.895352600000002</v>
      </c>
      <c r="R98">
        <v>2.2882677779999998</v>
      </c>
      <c r="S98">
        <v>2.2111774</v>
      </c>
      <c r="T98">
        <v>29.87767857</v>
      </c>
      <c r="U98">
        <v>29.87767857</v>
      </c>
      <c r="V98">
        <v>-13.579434470000001</v>
      </c>
      <c r="W98">
        <v>13.579434470000001</v>
      </c>
      <c r="X98">
        <v>-2.1653166669999999</v>
      </c>
      <c r="Y98">
        <v>2.1653166669999999</v>
      </c>
      <c r="Z98">
        <v>-1.8206694999999999</v>
      </c>
      <c r="AA98">
        <v>1.8206694999999999</v>
      </c>
    </row>
    <row r="99" spans="1:27" x14ac:dyDescent="0.25">
      <c r="A99" t="s">
        <v>56</v>
      </c>
      <c r="B99" t="s">
        <v>880</v>
      </c>
      <c r="C99">
        <v>12</v>
      </c>
      <c r="D99" t="s">
        <v>25</v>
      </c>
      <c r="E99" t="s">
        <v>94</v>
      </c>
      <c r="F99" t="s">
        <v>104</v>
      </c>
      <c r="G99" t="s">
        <v>121</v>
      </c>
      <c r="H99" t="s">
        <v>104</v>
      </c>
      <c r="J99">
        <v>0</v>
      </c>
      <c r="K99">
        <v>1</v>
      </c>
      <c r="L99">
        <v>113.9375</v>
      </c>
      <c r="M99">
        <v>33.375507550000002</v>
      </c>
      <c r="N99">
        <v>2.4262999999999999</v>
      </c>
      <c r="O99">
        <v>0.40692159999999999</v>
      </c>
      <c r="P99">
        <v>113.9375</v>
      </c>
      <c r="Q99">
        <v>33.375507550000002</v>
      </c>
      <c r="R99">
        <v>2.4262999999999999</v>
      </c>
      <c r="S99">
        <v>0.40692159999999999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</row>
    <row r="100" spans="1:27" x14ac:dyDescent="0.25">
      <c r="A100" t="s">
        <v>56</v>
      </c>
      <c r="B100" t="s">
        <v>881</v>
      </c>
      <c r="C100">
        <v>12</v>
      </c>
      <c r="D100" t="s">
        <v>25</v>
      </c>
      <c r="E100" t="s">
        <v>94</v>
      </c>
      <c r="F100" t="s">
        <v>112</v>
      </c>
      <c r="G100" t="s">
        <v>121</v>
      </c>
      <c r="H100" t="s">
        <v>241</v>
      </c>
      <c r="J100">
        <v>0</v>
      </c>
      <c r="K100">
        <v>4</v>
      </c>
      <c r="L100">
        <v>65.09375</v>
      </c>
      <c r="M100">
        <v>37.895352600000002</v>
      </c>
      <c r="N100">
        <v>2.2882677779999998</v>
      </c>
      <c r="O100">
        <v>2.2111774</v>
      </c>
      <c r="P100">
        <v>114</v>
      </c>
      <c r="Q100">
        <v>30.43077242</v>
      </c>
      <c r="R100">
        <v>0.53383111100000002</v>
      </c>
      <c r="S100">
        <v>0.28333332999999999</v>
      </c>
      <c r="T100">
        <v>-48.90625</v>
      </c>
      <c r="U100">
        <v>48.90625</v>
      </c>
      <c r="V100">
        <v>7.4645801799999996</v>
      </c>
      <c r="W100">
        <v>7.4645801799999996</v>
      </c>
      <c r="X100">
        <v>1.754436667</v>
      </c>
      <c r="Y100">
        <v>1.754436667</v>
      </c>
      <c r="Z100">
        <v>1.9278440699999999</v>
      </c>
      <c r="AA100">
        <v>1.9278440699999999</v>
      </c>
    </row>
    <row r="101" spans="1:27" x14ac:dyDescent="0.25">
      <c r="A101" t="s">
        <v>57</v>
      </c>
      <c r="B101" t="s">
        <v>882</v>
      </c>
      <c r="C101">
        <v>12</v>
      </c>
      <c r="D101" t="s">
        <v>27</v>
      </c>
      <c r="E101" t="s">
        <v>94</v>
      </c>
      <c r="F101" t="s">
        <v>105</v>
      </c>
      <c r="G101" t="s">
        <v>121</v>
      </c>
      <c r="H101" t="s">
        <v>247</v>
      </c>
      <c r="J101">
        <v>0</v>
      </c>
      <c r="K101">
        <v>1</v>
      </c>
      <c r="L101">
        <v>67.5</v>
      </c>
      <c r="M101">
        <v>47.937235809999997</v>
      </c>
      <c r="N101">
        <v>0.41599678000000001</v>
      </c>
      <c r="O101">
        <v>2.0950346999999998</v>
      </c>
      <c r="P101">
        <v>65.791044779999993</v>
      </c>
      <c r="Q101">
        <v>22.94519201</v>
      </c>
      <c r="R101">
        <v>8.1320334999999994E-2</v>
      </c>
      <c r="S101">
        <v>0.17285655</v>
      </c>
      <c r="T101">
        <v>1.70895522</v>
      </c>
      <c r="U101">
        <v>1.70895522</v>
      </c>
      <c r="V101">
        <v>24.992043800000001</v>
      </c>
      <c r="W101">
        <v>24.992043800000001</v>
      </c>
      <c r="X101">
        <v>0.33467644499999999</v>
      </c>
      <c r="Y101">
        <v>0.33467644499999999</v>
      </c>
      <c r="Z101">
        <v>1.9221781499999997</v>
      </c>
      <c r="AA101">
        <v>1.9221781499999997</v>
      </c>
    </row>
    <row r="102" spans="1:27" x14ac:dyDescent="0.25">
      <c r="A102" t="s">
        <v>57</v>
      </c>
      <c r="B102" t="s">
        <v>882</v>
      </c>
      <c r="C102">
        <v>12</v>
      </c>
      <c r="D102" t="s">
        <v>27</v>
      </c>
      <c r="E102" t="s">
        <v>94</v>
      </c>
      <c r="F102" t="s">
        <v>105</v>
      </c>
      <c r="G102" t="s">
        <v>121</v>
      </c>
      <c r="H102" t="s">
        <v>103</v>
      </c>
      <c r="J102">
        <v>0</v>
      </c>
      <c r="K102">
        <v>1</v>
      </c>
      <c r="L102">
        <v>67.5</v>
      </c>
      <c r="M102">
        <v>47.937235809999997</v>
      </c>
      <c r="N102">
        <v>0.41599678000000001</v>
      </c>
      <c r="O102">
        <v>2.0950346999999998</v>
      </c>
      <c r="P102">
        <v>98.291666669999998</v>
      </c>
      <c r="Q102">
        <v>30.315130790000001</v>
      </c>
      <c r="R102">
        <v>5.0803484000000003E-2</v>
      </c>
      <c r="S102">
        <v>0.42866070000000001</v>
      </c>
      <c r="T102">
        <v>-30.791666670000001</v>
      </c>
      <c r="U102">
        <v>30.791666670000001</v>
      </c>
      <c r="V102">
        <v>17.622105019999999</v>
      </c>
      <c r="W102">
        <v>17.622105019999999</v>
      </c>
      <c r="X102">
        <v>0.365193296</v>
      </c>
      <c r="Y102">
        <v>0.365193296</v>
      </c>
      <c r="Z102">
        <v>1.6663739999999998</v>
      </c>
      <c r="AA102">
        <v>1.6663739999999998</v>
      </c>
    </row>
    <row r="103" spans="1:27" x14ac:dyDescent="0.25">
      <c r="A103" t="s">
        <v>57</v>
      </c>
      <c r="B103" t="s">
        <v>882</v>
      </c>
      <c r="C103">
        <v>12</v>
      </c>
      <c r="D103" t="s">
        <v>27</v>
      </c>
      <c r="E103" t="s">
        <v>94</v>
      </c>
      <c r="F103" t="s">
        <v>105</v>
      </c>
      <c r="G103" t="s">
        <v>121</v>
      </c>
      <c r="H103" t="s">
        <v>233</v>
      </c>
      <c r="J103">
        <v>0</v>
      </c>
      <c r="K103">
        <v>6</v>
      </c>
      <c r="L103">
        <v>67.5</v>
      </c>
      <c r="M103">
        <v>47.937235809999997</v>
      </c>
      <c r="N103">
        <v>0.41599678000000001</v>
      </c>
      <c r="O103">
        <v>2.0950346999999998</v>
      </c>
      <c r="P103">
        <v>106.0540541</v>
      </c>
      <c r="Q103">
        <v>52.690533369999997</v>
      </c>
      <c r="R103">
        <v>7.6058968000000005E-2</v>
      </c>
      <c r="S103">
        <v>0.44888888999999998</v>
      </c>
      <c r="T103">
        <v>-38.554054100000002</v>
      </c>
      <c r="U103">
        <v>38.554054100000002</v>
      </c>
      <c r="V103">
        <v>-4.75329756</v>
      </c>
      <c r="W103">
        <v>4.75329756</v>
      </c>
      <c r="X103">
        <v>0.33993781200000001</v>
      </c>
      <c r="Y103">
        <v>0.33993781200000001</v>
      </c>
      <c r="Z103">
        <v>1.6461458099999997</v>
      </c>
      <c r="AA103">
        <v>1.6461458099999997</v>
      </c>
    </row>
    <row r="104" spans="1:27" x14ac:dyDescent="0.25">
      <c r="A104" t="s">
        <v>57</v>
      </c>
      <c r="B104" t="s">
        <v>883</v>
      </c>
      <c r="C104">
        <v>12</v>
      </c>
      <c r="D104" t="s">
        <v>27</v>
      </c>
      <c r="E104" t="s">
        <v>94</v>
      </c>
      <c r="F104" t="s">
        <v>113</v>
      </c>
      <c r="G104" t="s">
        <v>121</v>
      </c>
      <c r="H104" t="s">
        <v>114</v>
      </c>
      <c r="J104">
        <v>0</v>
      </c>
      <c r="K104" t="s">
        <v>114</v>
      </c>
      <c r="L104">
        <v>83.757575759999995</v>
      </c>
      <c r="M104">
        <v>22.60997987</v>
      </c>
      <c r="N104">
        <v>0.72884000000000004</v>
      </c>
      <c r="O104">
        <v>0.21301339999999999</v>
      </c>
      <c r="P104" t="s">
        <v>114</v>
      </c>
      <c r="Q104" t="s">
        <v>114</v>
      </c>
      <c r="R104" t="s">
        <v>114</v>
      </c>
      <c r="S104" t="s">
        <v>114</v>
      </c>
      <c r="T104" t="s">
        <v>114</v>
      </c>
      <c r="U104" t="s">
        <v>114</v>
      </c>
      <c r="V104" t="s">
        <v>114</v>
      </c>
      <c r="W104" t="s">
        <v>114</v>
      </c>
      <c r="X104" t="s">
        <v>114</v>
      </c>
      <c r="Y104" t="s">
        <v>114</v>
      </c>
      <c r="Z104" t="s">
        <v>114</v>
      </c>
      <c r="AA104" t="s">
        <v>114</v>
      </c>
    </row>
    <row r="105" spans="1:27" x14ac:dyDescent="0.25">
      <c r="A105" t="s">
        <v>57</v>
      </c>
      <c r="B105" t="s">
        <v>884</v>
      </c>
      <c r="C105">
        <v>12</v>
      </c>
      <c r="D105" t="s">
        <v>27</v>
      </c>
      <c r="E105" t="s">
        <v>94</v>
      </c>
      <c r="F105" t="s">
        <v>112</v>
      </c>
      <c r="G105" t="s">
        <v>112</v>
      </c>
      <c r="H105" t="s">
        <v>112</v>
      </c>
      <c r="J105">
        <v>0</v>
      </c>
      <c r="K105">
        <v>2</v>
      </c>
      <c r="L105">
        <v>65.09375</v>
      </c>
      <c r="M105">
        <v>37.895352600000002</v>
      </c>
      <c r="N105">
        <v>2.2882677779999998</v>
      </c>
      <c r="O105">
        <v>2.2111774</v>
      </c>
      <c r="P105">
        <v>65.09375</v>
      </c>
      <c r="Q105">
        <v>37.895352600000002</v>
      </c>
      <c r="R105">
        <v>2.2882677779999998</v>
      </c>
      <c r="S105">
        <v>2.2111774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</row>
    <row r="106" spans="1:27" x14ac:dyDescent="0.25">
      <c r="A106" t="s">
        <v>57</v>
      </c>
      <c r="B106" t="s">
        <v>884</v>
      </c>
      <c r="C106">
        <v>12</v>
      </c>
      <c r="D106" t="s">
        <v>27</v>
      </c>
      <c r="E106" t="s">
        <v>94</v>
      </c>
      <c r="F106" t="s">
        <v>112</v>
      </c>
      <c r="G106" t="s">
        <v>112</v>
      </c>
      <c r="H106" t="s">
        <v>247</v>
      </c>
      <c r="J106">
        <v>0</v>
      </c>
      <c r="K106">
        <v>1</v>
      </c>
      <c r="L106">
        <v>65.09375</v>
      </c>
      <c r="M106">
        <v>37.895352600000002</v>
      </c>
      <c r="N106">
        <v>2.2882677779999998</v>
      </c>
      <c r="O106">
        <v>2.2111774</v>
      </c>
      <c r="P106">
        <v>65.791044779999993</v>
      </c>
      <c r="Q106">
        <v>22.94519201</v>
      </c>
      <c r="R106">
        <v>8.1320334999999994E-2</v>
      </c>
      <c r="S106">
        <v>0.17285655</v>
      </c>
      <c r="T106">
        <v>-0.69729478</v>
      </c>
      <c r="U106">
        <v>0.69729478</v>
      </c>
      <c r="V106">
        <v>14.950160589999999</v>
      </c>
      <c r="W106">
        <v>14.950160589999999</v>
      </c>
      <c r="X106">
        <v>2.2069474429999998</v>
      </c>
      <c r="Y106">
        <v>2.2069474429999998</v>
      </c>
      <c r="Z106">
        <v>2.0383208499999999</v>
      </c>
      <c r="AA106">
        <v>2.0383208499999999</v>
      </c>
    </row>
    <row r="107" spans="1:27" x14ac:dyDescent="0.25">
      <c r="A107" t="s">
        <v>58</v>
      </c>
      <c r="B107" t="s">
        <v>885</v>
      </c>
      <c r="C107">
        <v>12</v>
      </c>
      <c r="D107" t="s">
        <v>29</v>
      </c>
      <c r="E107" t="s">
        <v>95</v>
      </c>
      <c r="F107" t="s">
        <v>102</v>
      </c>
      <c r="G107" t="s">
        <v>104</v>
      </c>
      <c r="H107" t="s">
        <v>104</v>
      </c>
      <c r="J107">
        <v>0</v>
      </c>
      <c r="K107">
        <v>1</v>
      </c>
      <c r="L107">
        <v>84.740740740000007</v>
      </c>
      <c r="M107">
        <v>29.167014049999999</v>
      </c>
      <c r="N107">
        <v>1.1169849999999999</v>
      </c>
      <c r="O107">
        <v>1.1571499000000001</v>
      </c>
      <c r="P107">
        <v>113.9375</v>
      </c>
      <c r="Q107">
        <v>33.375507550000002</v>
      </c>
      <c r="R107">
        <v>2.4262999999999999</v>
      </c>
      <c r="S107">
        <v>0.40692159999999999</v>
      </c>
      <c r="T107">
        <v>-29.19675926</v>
      </c>
      <c r="U107">
        <v>29.19675926</v>
      </c>
      <c r="V107">
        <v>-4.2084935000000003</v>
      </c>
      <c r="W107">
        <v>4.2084935000000003</v>
      </c>
      <c r="X107">
        <v>-1.309315</v>
      </c>
      <c r="Y107">
        <v>1.309315</v>
      </c>
      <c r="Z107">
        <v>0.75022830000000007</v>
      </c>
      <c r="AA107">
        <v>0.75022830000000007</v>
      </c>
    </row>
    <row r="108" spans="1:27" x14ac:dyDescent="0.25">
      <c r="A108" t="s">
        <v>58</v>
      </c>
      <c r="B108" t="s">
        <v>885</v>
      </c>
      <c r="C108">
        <v>12</v>
      </c>
      <c r="D108" t="s">
        <v>29</v>
      </c>
      <c r="E108" t="s">
        <v>95</v>
      </c>
      <c r="F108" t="s">
        <v>102</v>
      </c>
      <c r="G108" t="s">
        <v>104</v>
      </c>
      <c r="H108" t="s">
        <v>246</v>
      </c>
      <c r="J108">
        <v>0</v>
      </c>
      <c r="K108">
        <v>1</v>
      </c>
      <c r="L108">
        <v>84.740740740000007</v>
      </c>
      <c r="M108">
        <v>29.167014049999999</v>
      </c>
      <c r="N108">
        <v>1.1169849999999999</v>
      </c>
      <c r="O108">
        <v>1.1571499000000001</v>
      </c>
      <c r="P108">
        <v>120.25</v>
      </c>
      <c r="Q108">
        <v>30.670450110000001</v>
      </c>
      <c r="R108">
        <v>0.91037498500000003</v>
      </c>
      <c r="S108" t="s">
        <v>114</v>
      </c>
      <c r="T108">
        <v>-35.50925926</v>
      </c>
      <c r="U108">
        <v>35.50925926</v>
      </c>
      <c r="V108">
        <v>-1.5034360600000001</v>
      </c>
      <c r="W108">
        <v>1.5034360600000001</v>
      </c>
      <c r="X108">
        <v>0.20661001500000001</v>
      </c>
      <c r="Y108">
        <v>0.20661001500000001</v>
      </c>
      <c r="Z108" t="s">
        <v>114</v>
      </c>
      <c r="AA108" t="s">
        <v>114</v>
      </c>
    </row>
    <row r="109" spans="1:27" x14ac:dyDescent="0.25">
      <c r="A109" t="s">
        <v>58</v>
      </c>
      <c r="B109" t="s">
        <v>886</v>
      </c>
      <c r="C109">
        <v>12</v>
      </c>
      <c r="D109" t="s">
        <v>29</v>
      </c>
      <c r="E109" t="s">
        <v>95</v>
      </c>
      <c r="F109" t="s">
        <v>110</v>
      </c>
      <c r="G109" t="s">
        <v>121</v>
      </c>
      <c r="H109" t="s">
        <v>246</v>
      </c>
      <c r="I109" t="s">
        <v>162</v>
      </c>
      <c r="J109">
        <v>1</v>
      </c>
      <c r="K109">
        <v>1</v>
      </c>
      <c r="L109">
        <v>73.260869569999997</v>
      </c>
      <c r="M109">
        <v>34.453830549999999</v>
      </c>
      <c r="N109">
        <v>1.058333333</v>
      </c>
      <c r="O109">
        <v>0.90897070000000002</v>
      </c>
      <c r="P109">
        <v>120.25</v>
      </c>
      <c r="Q109">
        <v>30.670450110000001</v>
      </c>
      <c r="R109">
        <v>0.91037498500000003</v>
      </c>
      <c r="S109" t="s">
        <v>114</v>
      </c>
      <c r="T109">
        <v>-46.989130430000003</v>
      </c>
      <c r="U109">
        <v>46.989130430000003</v>
      </c>
      <c r="V109">
        <v>3.7833804400000002</v>
      </c>
      <c r="W109">
        <v>3.7833804400000002</v>
      </c>
      <c r="X109">
        <v>0.14795834799999999</v>
      </c>
      <c r="Y109">
        <v>0.14795834799999999</v>
      </c>
      <c r="Z109" t="s">
        <v>114</v>
      </c>
      <c r="AA109" t="s">
        <v>114</v>
      </c>
    </row>
    <row r="110" spans="1:27" x14ac:dyDescent="0.25">
      <c r="A110" t="s">
        <v>58</v>
      </c>
      <c r="B110" t="s">
        <v>886</v>
      </c>
      <c r="C110">
        <v>12</v>
      </c>
      <c r="D110" t="s">
        <v>29</v>
      </c>
      <c r="E110" t="s">
        <v>95</v>
      </c>
      <c r="F110" t="s">
        <v>110</v>
      </c>
      <c r="G110" t="s">
        <v>121</v>
      </c>
      <c r="H110" t="s">
        <v>239</v>
      </c>
      <c r="J110">
        <v>1</v>
      </c>
      <c r="K110">
        <v>1</v>
      </c>
      <c r="L110">
        <v>73.260869569999997</v>
      </c>
      <c r="M110">
        <v>34.453830549999999</v>
      </c>
      <c r="N110">
        <v>1.058333333</v>
      </c>
      <c r="O110">
        <v>0.90897070000000002</v>
      </c>
      <c r="P110">
        <v>100.45454549999999</v>
      </c>
      <c r="Q110">
        <v>26.754810689999999</v>
      </c>
      <c r="R110">
        <v>0.75829999999999997</v>
      </c>
      <c r="S110">
        <v>0.40907861000000001</v>
      </c>
      <c r="T110">
        <v>-27.193675930000001</v>
      </c>
      <c r="U110">
        <v>27.193675930000001</v>
      </c>
      <c r="V110">
        <v>7.6990198599999999</v>
      </c>
      <c r="W110">
        <v>7.6990198599999999</v>
      </c>
      <c r="X110">
        <v>0.30003333300000001</v>
      </c>
      <c r="Y110">
        <v>0.30003333300000001</v>
      </c>
      <c r="Z110">
        <v>0.49989209000000001</v>
      </c>
      <c r="AA110">
        <v>0.49989209000000001</v>
      </c>
    </row>
    <row r="111" spans="1:27" x14ac:dyDescent="0.25">
      <c r="A111" t="s">
        <v>58</v>
      </c>
      <c r="B111" t="s">
        <v>887</v>
      </c>
      <c r="C111">
        <v>12</v>
      </c>
      <c r="D111" t="s">
        <v>29</v>
      </c>
      <c r="E111" t="s">
        <v>95</v>
      </c>
      <c r="F111" t="s">
        <v>103</v>
      </c>
      <c r="G111" t="s">
        <v>121</v>
      </c>
      <c r="H111" t="s">
        <v>249</v>
      </c>
      <c r="J111">
        <v>0</v>
      </c>
      <c r="K111">
        <v>1</v>
      </c>
      <c r="L111">
        <v>98.291666669999998</v>
      </c>
      <c r="M111">
        <v>30.315130790000001</v>
      </c>
      <c r="N111">
        <v>5.0803484000000003E-2</v>
      </c>
      <c r="O111">
        <v>0.42866070000000001</v>
      </c>
      <c r="P111">
        <v>81.666666669999998</v>
      </c>
      <c r="Q111">
        <v>48.056268459999998</v>
      </c>
      <c r="R111">
        <v>0.120291364</v>
      </c>
      <c r="S111" t="s">
        <v>114</v>
      </c>
      <c r="T111">
        <v>16.625</v>
      </c>
      <c r="U111">
        <v>16.625</v>
      </c>
      <c r="V111">
        <v>-17.741137670000001</v>
      </c>
      <c r="W111">
        <v>17.741137670000001</v>
      </c>
      <c r="X111">
        <v>-6.9487880000000002E-2</v>
      </c>
      <c r="Y111">
        <v>6.9487880000000002E-2</v>
      </c>
      <c r="Z111" t="s">
        <v>114</v>
      </c>
      <c r="AA111" t="s">
        <v>114</v>
      </c>
    </row>
    <row r="112" spans="1:27" x14ac:dyDescent="0.25">
      <c r="A112" t="s">
        <v>58</v>
      </c>
      <c r="B112" t="s">
        <v>887</v>
      </c>
      <c r="C112">
        <v>12</v>
      </c>
      <c r="D112" t="s">
        <v>29</v>
      </c>
      <c r="E112" t="s">
        <v>95</v>
      </c>
      <c r="F112" t="s">
        <v>103</v>
      </c>
      <c r="G112" t="s">
        <v>121</v>
      </c>
      <c r="H112" t="s">
        <v>238</v>
      </c>
      <c r="J112">
        <v>0</v>
      </c>
      <c r="K112">
        <v>1</v>
      </c>
      <c r="L112">
        <v>98.291666669999998</v>
      </c>
      <c r="M112">
        <v>30.315130790000001</v>
      </c>
      <c r="N112">
        <v>5.0803484000000003E-2</v>
      </c>
      <c r="O112">
        <v>0.42866070000000001</v>
      </c>
      <c r="P112">
        <v>87.5</v>
      </c>
      <c r="Q112">
        <v>29.478311600000001</v>
      </c>
      <c r="R112">
        <v>3.0797751000000002E-2</v>
      </c>
      <c r="S112">
        <v>0.12931835</v>
      </c>
      <c r="T112">
        <v>10.79166667</v>
      </c>
      <c r="U112">
        <v>10.79166667</v>
      </c>
      <c r="V112">
        <v>0.83681919000000005</v>
      </c>
      <c r="W112">
        <v>0.83681919000000005</v>
      </c>
      <c r="X112">
        <v>2.0005733000000001E-2</v>
      </c>
      <c r="Y112">
        <v>2.0005733000000001E-2</v>
      </c>
      <c r="Z112">
        <v>0.29934234999999998</v>
      </c>
      <c r="AA112">
        <v>0.29934234999999998</v>
      </c>
    </row>
    <row r="113" spans="1:27" x14ac:dyDescent="0.25">
      <c r="A113" t="s">
        <v>59</v>
      </c>
      <c r="B113" t="s">
        <v>888</v>
      </c>
      <c r="C113">
        <v>12</v>
      </c>
      <c r="D113" t="s">
        <v>31</v>
      </c>
      <c r="E113" t="s">
        <v>94</v>
      </c>
      <c r="F113" t="s">
        <v>105</v>
      </c>
      <c r="G113" t="s">
        <v>121</v>
      </c>
      <c r="H113" t="s">
        <v>241</v>
      </c>
      <c r="J113">
        <v>0</v>
      </c>
      <c r="K113">
        <v>1</v>
      </c>
      <c r="L113">
        <v>67.5</v>
      </c>
      <c r="M113">
        <v>47.937235809999997</v>
      </c>
      <c r="N113">
        <v>0.41599678000000001</v>
      </c>
      <c r="O113">
        <v>2.0950346999999998</v>
      </c>
      <c r="P113">
        <v>114</v>
      </c>
      <c r="Q113">
        <v>30.43077242</v>
      </c>
      <c r="R113">
        <v>0.53383111100000002</v>
      </c>
      <c r="S113">
        <v>0.28333332999999999</v>
      </c>
      <c r="T113">
        <v>-46.5</v>
      </c>
      <c r="U113">
        <v>46.5</v>
      </c>
      <c r="V113">
        <v>17.50646339</v>
      </c>
      <c r="W113">
        <v>17.50646339</v>
      </c>
      <c r="X113">
        <v>-0.117834331</v>
      </c>
      <c r="Y113">
        <v>0.117834331</v>
      </c>
      <c r="Z113">
        <v>1.8117013699999998</v>
      </c>
      <c r="AA113">
        <v>1.8117013699999998</v>
      </c>
    </row>
    <row r="114" spans="1:27" x14ac:dyDescent="0.25">
      <c r="A114" t="s">
        <v>59</v>
      </c>
      <c r="B114" t="s">
        <v>889</v>
      </c>
      <c r="C114">
        <v>12</v>
      </c>
      <c r="D114" t="s">
        <v>31</v>
      </c>
      <c r="E114" t="s">
        <v>94</v>
      </c>
      <c r="F114" t="s">
        <v>110</v>
      </c>
      <c r="G114" t="s">
        <v>121</v>
      </c>
      <c r="H114" t="s">
        <v>241</v>
      </c>
      <c r="J114">
        <v>0</v>
      </c>
      <c r="K114">
        <v>2</v>
      </c>
      <c r="L114">
        <v>73.260869569999997</v>
      </c>
      <c r="M114">
        <v>34.453830549999999</v>
      </c>
      <c r="N114">
        <v>1.058333333</v>
      </c>
      <c r="O114">
        <v>0.90897070000000002</v>
      </c>
      <c r="P114">
        <v>114</v>
      </c>
      <c r="Q114">
        <v>30.43077242</v>
      </c>
      <c r="R114">
        <v>0.53383111100000002</v>
      </c>
      <c r="S114">
        <v>0.28333332999999999</v>
      </c>
      <c r="T114">
        <v>-40.739130430000003</v>
      </c>
      <c r="U114">
        <v>40.739130430000003</v>
      </c>
      <c r="V114">
        <v>4.0230581299999999</v>
      </c>
      <c r="W114">
        <v>4.0230581299999999</v>
      </c>
      <c r="X114">
        <v>0.52450222199999996</v>
      </c>
      <c r="Y114">
        <v>0.52450222199999996</v>
      </c>
      <c r="Z114">
        <v>0.62563736999999997</v>
      </c>
      <c r="AA114">
        <v>0.62563736999999997</v>
      </c>
    </row>
    <row r="115" spans="1:27" x14ac:dyDescent="0.25">
      <c r="A115" t="s">
        <v>60</v>
      </c>
      <c r="B115" t="s">
        <v>890</v>
      </c>
      <c r="C115">
        <v>12</v>
      </c>
      <c r="D115" t="s">
        <v>33</v>
      </c>
      <c r="E115" t="s">
        <v>95</v>
      </c>
      <c r="F115" t="s">
        <v>102</v>
      </c>
      <c r="G115" t="s">
        <v>104</v>
      </c>
      <c r="H115" t="s">
        <v>104</v>
      </c>
      <c r="J115">
        <v>0</v>
      </c>
      <c r="K115">
        <v>1</v>
      </c>
      <c r="L115">
        <v>84.740740740000007</v>
      </c>
      <c r="M115">
        <v>29.167014049999999</v>
      </c>
      <c r="N115">
        <v>1.1169849999999999</v>
      </c>
      <c r="O115">
        <v>1.1571499000000001</v>
      </c>
      <c r="P115">
        <v>113.9375</v>
      </c>
      <c r="Q115">
        <v>33.375507550000002</v>
      </c>
      <c r="R115">
        <v>2.4262999999999999</v>
      </c>
      <c r="S115">
        <v>0.40692159999999999</v>
      </c>
      <c r="T115">
        <v>-29.19675926</v>
      </c>
      <c r="U115">
        <v>29.19675926</v>
      </c>
      <c r="V115">
        <v>-4.2084935000000003</v>
      </c>
      <c r="W115">
        <v>4.2084935000000003</v>
      </c>
      <c r="X115">
        <v>-1.309315</v>
      </c>
      <c r="Y115">
        <v>1.309315</v>
      </c>
      <c r="Z115">
        <v>0.75022830000000007</v>
      </c>
      <c r="AA115">
        <v>0.75022830000000007</v>
      </c>
    </row>
    <row r="116" spans="1:27" x14ac:dyDescent="0.25">
      <c r="A116" t="s">
        <v>60</v>
      </c>
      <c r="B116" t="s">
        <v>891</v>
      </c>
      <c r="C116">
        <v>12</v>
      </c>
      <c r="D116" t="s">
        <v>33</v>
      </c>
      <c r="E116" t="s">
        <v>95</v>
      </c>
      <c r="F116" t="s">
        <v>110</v>
      </c>
      <c r="G116" t="s">
        <v>121</v>
      </c>
      <c r="H116" t="s">
        <v>241</v>
      </c>
      <c r="J116">
        <v>0</v>
      </c>
      <c r="K116">
        <v>2</v>
      </c>
      <c r="L116">
        <v>73.260869569999997</v>
      </c>
      <c r="M116">
        <v>34.453830549999999</v>
      </c>
      <c r="N116">
        <v>1.058333333</v>
      </c>
      <c r="O116">
        <v>0.90897070000000002</v>
      </c>
      <c r="P116">
        <v>114</v>
      </c>
      <c r="Q116">
        <v>30.43077242</v>
      </c>
      <c r="R116">
        <v>0.53383111100000002</v>
      </c>
      <c r="S116">
        <v>0.28333332999999999</v>
      </c>
      <c r="T116">
        <v>-40.739130430000003</v>
      </c>
      <c r="U116">
        <v>40.739130430000003</v>
      </c>
      <c r="V116">
        <v>4.0230581299999999</v>
      </c>
      <c r="W116">
        <v>4.0230581299999999</v>
      </c>
      <c r="X116">
        <v>0.52450222199999996</v>
      </c>
      <c r="Y116">
        <v>0.52450222199999996</v>
      </c>
      <c r="Z116">
        <v>0.62563736999999997</v>
      </c>
      <c r="AA116">
        <v>0.62563736999999997</v>
      </c>
    </row>
    <row r="117" spans="1:27" x14ac:dyDescent="0.25">
      <c r="A117" t="s">
        <v>60</v>
      </c>
      <c r="B117" t="s">
        <v>891</v>
      </c>
      <c r="C117">
        <v>12</v>
      </c>
      <c r="D117" t="s">
        <v>33</v>
      </c>
      <c r="E117" t="s">
        <v>95</v>
      </c>
      <c r="F117" t="s">
        <v>110</v>
      </c>
      <c r="G117" t="s">
        <v>121</v>
      </c>
      <c r="H117" t="s">
        <v>246</v>
      </c>
      <c r="J117">
        <v>0</v>
      </c>
      <c r="K117">
        <v>2</v>
      </c>
      <c r="L117">
        <v>73.260869569999997</v>
      </c>
      <c r="M117">
        <v>34.453830549999999</v>
      </c>
      <c r="N117">
        <v>1.058333333</v>
      </c>
      <c r="O117">
        <v>0.90897070000000002</v>
      </c>
      <c r="P117">
        <v>120.25</v>
      </c>
      <c r="Q117">
        <v>30.670450110000001</v>
      </c>
      <c r="R117">
        <v>0.91037498500000003</v>
      </c>
      <c r="S117" t="s">
        <v>114</v>
      </c>
      <c r="T117">
        <v>-46.989130430000003</v>
      </c>
      <c r="U117">
        <v>46.989130430000003</v>
      </c>
      <c r="V117">
        <v>3.7833804400000002</v>
      </c>
      <c r="W117">
        <v>3.7833804400000002</v>
      </c>
      <c r="X117">
        <v>0.14795834799999999</v>
      </c>
      <c r="Y117">
        <v>0.14795834799999999</v>
      </c>
      <c r="Z117" t="s">
        <v>114</v>
      </c>
      <c r="AA117" t="s">
        <v>114</v>
      </c>
    </row>
    <row r="118" spans="1:27" x14ac:dyDescent="0.25">
      <c r="A118" t="s">
        <v>60</v>
      </c>
      <c r="B118" t="s">
        <v>892</v>
      </c>
      <c r="C118">
        <v>12</v>
      </c>
      <c r="D118" t="s">
        <v>33</v>
      </c>
      <c r="E118" t="s">
        <v>95</v>
      </c>
      <c r="F118" t="s">
        <v>104</v>
      </c>
      <c r="G118" t="s">
        <v>104</v>
      </c>
      <c r="H118" t="s">
        <v>104</v>
      </c>
      <c r="J118">
        <v>0</v>
      </c>
      <c r="K118">
        <v>1</v>
      </c>
      <c r="L118">
        <v>113.9375</v>
      </c>
      <c r="M118">
        <v>33.375507550000002</v>
      </c>
      <c r="N118">
        <v>2.4262999999999999</v>
      </c>
      <c r="O118">
        <v>0.40692159999999999</v>
      </c>
      <c r="P118">
        <v>113.9375</v>
      </c>
      <c r="Q118">
        <v>33.375507550000002</v>
      </c>
      <c r="R118">
        <v>2.4262999999999999</v>
      </c>
      <c r="S118">
        <v>0.40692159999999999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</row>
    <row r="119" spans="1:27" x14ac:dyDescent="0.25">
      <c r="A119" t="s">
        <v>60</v>
      </c>
      <c r="B119" t="s">
        <v>892</v>
      </c>
      <c r="C119">
        <v>12</v>
      </c>
      <c r="D119" t="s">
        <v>33</v>
      </c>
      <c r="E119" t="s">
        <v>95</v>
      </c>
      <c r="F119" t="s">
        <v>104</v>
      </c>
      <c r="G119" t="s">
        <v>104</v>
      </c>
      <c r="H119" t="s">
        <v>246</v>
      </c>
      <c r="J119">
        <v>0</v>
      </c>
      <c r="K119">
        <v>2</v>
      </c>
      <c r="L119">
        <v>113.9375</v>
      </c>
      <c r="M119">
        <v>33.375507550000002</v>
      </c>
      <c r="N119">
        <v>2.4262999999999999</v>
      </c>
      <c r="O119">
        <v>0.40692159999999999</v>
      </c>
      <c r="P119">
        <v>120.25</v>
      </c>
      <c r="Q119">
        <v>30.670450110000001</v>
      </c>
      <c r="R119">
        <v>0.91037498500000003</v>
      </c>
      <c r="S119" t="s">
        <v>114</v>
      </c>
      <c r="T119">
        <v>-6.3125</v>
      </c>
      <c r="U119">
        <v>6.3125</v>
      </c>
      <c r="V119">
        <v>2.70505744</v>
      </c>
      <c r="W119">
        <v>2.70505744</v>
      </c>
      <c r="X119">
        <v>1.5159250150000001</v>
      </c>
      <c r="Y119">
        <v>1.5159250150000001</v>
      </c>
      <c r="Z119" t="s">
        <v>114</v>
      </c>
      <c r="AA119" t="s">
        <v>114</v>
      </c>
    </row>
    <row r="120" spans="1:27" x14ac:dyDescent="0.25">
      <c r="A120" t="s">
        <v>60</v>
      </c>
      <c r="B120" t="s">
        <v>892</v>
      </c>
      <c r="C120">
        <v>12</v>
      </c>
      <c r="D120" t="s">
        <v>33</v>
      </c>
      <c r="E120" t="s">
        <v>95</v>
      </c>
      <c r="F120" t="s">
        <v>104</v>
      </c>
      <c r="G120" t="s">
        <v>104</v>
      </c>
      <c r="H120" t="s">
        <v>797</v>
      </c>
      <c r="J120">
        <v>0</v>
      </c>
      <c r="K120">
        <v>1</v>
      </c>
      <c r="L120">
        <v>113.9375</v>
      </c>
      <c r="M120">
        <v>33.375507550000002</v>
      </c>
      <c r="N120">
        <v>2.4262999999999999</v>
      </c>
      <c r="O120">
        <v>0.40692159999999999</v>
      </c>
      <c r="P120">
        <v>179.45454549999999</v>
      </c>
      <c r="Q120">
        <v>26.326869609999999</v>
      </c>
      <c r="R120">
        <v>2.3456094639999998</v>
      </c>
      <c r="S120">
        <v>0.18833116</v>
      </c>
      <c r="T120">
        <v>-65.517045499999995</v>
      </c>
      <c r="U120">
        <v>65.517045499999995</v>
      </c>
      <c r="V120">
        <v>7.0486379399999999</v>
      </c>
      <c r="W120">
        <v>7.0486379399999999</v>
      </c>
      <c r="X120">
        <v>8.0690535999999993E-2</v>
      </c>
      <c r="Y120">
        <v>8.0690535999999993E-2</v>
      </c>
      <c r="Z120">
        <v>0.21859044</v>
      </c>
      <c r="AA120">
        <v>0.21859044</v>
      </c>
    </row>
    <row r="121" spans="1:27" x14ac:dyDescent="0.25">
      <c r="A121" t="s">
        <v>60</v>
      </c>
      <c r="B121" t="s">
        <v>892</v>
      </c>
      <c r="C121">
        <v>12</v>
      </c>
      <c r="D121" t="s">
        <v>33</v>
      </c>
      <c r="E121" t="s">
        <v>95</v>
      </c>
      <c r="F121" t="s">
        <v>104</v>
      </c>
      <c r="G121" t="s">
        <v>104</v>
      </c>
      <c r="H121" t="s">
        <v>247</v>
      </c>
      <c r="J121">
        <v>0</v>
      </c>
      <c r="K121">
        <v>1</v>
      </c>
      <c r="L121">
        <v>113.9375</v>
      </c>
      <c r="M121">
        <v>33.375507550000002</v>
      </c>
      <c r="N121">
        <v>2.4262999999999999</v>
      </c>
      <c r="O121">
        <v>0.40692159999999999</v>
      </c>
      <c r="P121">
        <v>65.791044779999993</v>
      </c>
      <c r="Q121">
        <v>22.94519201</v>
      </c>
      <c r="R121">
        <v>8.1320334999999994E-2</v>
      </c>
      <c r="S121">
        <v>0.17285655</v>
      </c>
      <c r="T121">
        <v>48.14645522</v>
      </c>
      <c r="U121">
        <v>48.14645522</v>
      </c>
      <c r="V121">
        <v>10.43031554</v>
      </c>
      <c r="W121">
        <v>10.43031554</v>
      </c>
      <c r="X121">
        <v>2.3449796649999999</v>
      </c>
      <c r="Y121">
        <v>2.3449796649999999</v>
      </c>
      <c r="Z121">
        <v>0.23406505</v>
      </c>
      <c r="AA121">
        <v>0.23406505</v>
      </c>
    </row>
    <row r="122" spans="1:27" x14ac:dyDescent="0.25">
      <c r="A122" t="s">
        <v>60</v>
      </c>
      <c r="B122" t="s">
        <v>893</v>
      </c>
      <c r="C122">
        <v>12</v>
      </c>
      <c r="D122" t="s">
        <v>33</v>
      </c>
      <c r="E122" t="s">
        <v>95</v>
      </c>
      <c r="F122" t="s">
        <v>112</v>
      </c>
      <c r="G122" t="s">
        <v>121</v>
      </c>
      <c r="H122" t="s">
        <v>114</v>
      </c>
      <c r="J122">
        <v>0</v>
      </c>
      <c r="K122">
        <v>0</v>
      </c>
      <c r="L122">
        <v>65.09375</v>
      </c>
      <c r="M122">
        <v>37.895352600000002</v>
      </c>
      <c r="N122">
        <v>2.2882677779999998</v>
      </c>
      <c r="O122">
        <v>2.2111774</v>
      </c>
      <c r="P122" t="s">
        <v>114</v>
      </c>
      <c r="Q122" t="s">
        <v>114</v>
      </c>
      <c r="R122" t="s">
        <v>114</v>
      </c>
      <c r="S122" t="s">
        <v>114</v>
      </c>
      <c r="T122" t="s">
        <v>114</v>
      </c>
      <c r="U122" t="s">
        <v>114</v>
      </c>
      <c r="V122" t="s">
        <v>114</v>
      </c>
      <c r="W122" t="s">
        <v>114</v>
      </c>
      <c r="X122" t="s">
        <v>114</v>
      </c>
      <c r="Y122" t="s">
        <v>114</v>
      </c>
      <c r="Z122" t="s">
        <v>114</v>
      </c>
      <c r="AA122" t="s">
        <v>114</v>
      </c>
    </row>
    <row r="123" spans="1:27" x14ac:dyDescent="0.25">
      <c r="A123" t="s">
        <v>61</v>
      </c>
      <c r="B123" t="s">
        <v>894</v>
      </c>
      <c r="C123">
        <v>12</v>
      </c>
      <c r="D123" t="s">
        <v>35</v>
      </c>
      <c r="E123" t="s">
        <v>94</v>
      </c>
      <c r="F123" t="s">
        <v>102</v>
      </c>
      <c r="G123" t="s">
        <v>121</v>
      </c>
      <c r="H123" t="s">
        <v>162</v>
      </c>
      <c r="J123">
        <v>1</v>
      </c>
      <c r="K123">
        <v>1</v>
      </c>
      <c r="L123">
        <v>84.740740740000007</v>
      </c>
      <c r="M123">
        <v>29.167014049999999</v>
      </c>
      <c r="N123">
        <v>1.1169849999999999</v>
      </c>
      <c r="O123">
        <v>1.1571499000000001</v>
      </c>
      <c r="P123">
        <v>82.53846154</v>
      </c>
      <c r="Q123">
        <v>35.660530039999998</v>
      </c>
      <c r="R123">
        <v>3.3754499999999998</v>
      </c>
      <c r="S123" t="s">
        <v>114</v>
      </c>
      <c r="T123">
        <v>2.2022792</v>
      </c>
      <c r="U123">
        <v>2.2022792</v>
      </c>
      <c r="V123">
        <v>-6.4935159899999997</v>
      </c>
      <c r="W123">
        <v>6.4935159899999997</v>
      </c>
      <c r="X123">
        <v>-2.2584650000000002</v>
      </c>
      <c r="Y123">
        <v>2.2584650000000002</v>
      </c>
      <c r="Z123" t="s">
        <v>114</v>
      </c>
      <c r="AA123" t="s">
        <v>114</v>
      </c>
    </row>
    <row r="124" spans="1:27" x14ac:dyDescent="0.25">
      <c r="A124" t="s">
        <v>61</v>
      </c>
      <c r="B124" t="s">
        <v>895</v>
      </c>
      <c r="C124">
        <v>12</v>
      </c>
      <c r="D124" t="s">
        <v>35</v>
      </c>
      <c r="E124" t="s">
        <v>94</v>
      </c>
      <c r="F124" t="s">
        <v>110</v>
      </c>
      <c r="G124" t="s">
        <v>121</v>
      </c>
      <c r="H124" t="s">
        <v>162</v>
      </c>
      <c r="J124">
        <v>0</v>
      </c>
      <c r="K124">
        <v>1</v>
      </c>
      <c r="L124">
        <v>73.260869569999997</v>
      </c>
      <c r="M124">
        <v>34.453830549999999</v>
      </c>
      <c r="N124">
        <v>1.058333333</v>
      </c>
      <c r="O124">
        <v>0.90897070000000002</v>
      </c>
      <c r="P124">
        <v>82.53846154</v>
      </c>
      <c r="Q124">
        <v>35.660530039999998</v>
      </c>
      <c r="R124">
        <v>3.3754499999999998</v>
      </c>
      <c r="S124" t="s">
        <v>114</v>
      </c>
      <c r="T124">
        <v>-9.2775919699999996</v>
      </c>
      <c r="U124">
        <v>9.2775919699999996</v>
      </c>
      <c r="V124">
        <v>-1.2066994900000001</v>
      </c>
      <c r="W124">
        <v>1.2066994900000001</v>
      </c>
      <c r="X124">
        <v>-2.3171166670000001</v>
      </c>
      <c r="Y124">
        <v>2.3171166670000001</v>
      </c>
      <c r="Z124" t="s">
        <v>114</v>
      </c>
      <c r="AA124" t="s">
        <v>114</v>
      </c>
    </row>
    <row r="125" spans="1:27" x14ac:dyDescent="0.25">
      <c r="A125" t="s">
        <v>61</v>
      </c>
      <c r="B125" t="s">
        <v>895</v>
      </c>
      <c r="C125">
        <v>12</v>
      </c>
      <c r="D125" t="s">
        <v>35</v>
      </c>
      <c r="E125" t="s">
        <v>94</v>
      </c>
      <c r="F125" t="s">
        <v>110</v>
      </c>
      <c r="G125" t="s">
        <v>121</v>
      </c>
      <c r="H125" t="s">
        <v>102</v>
      </c>
      <c r="J125">
        <v>0</v>
      </c>
      <c r="K125">
        <v>1</v>
      </c>
      <c r="L125">
        <v>73.260869569999997</v>
      </c>
      <c r="M125">
        <v>34.453830549999999</v>
      </c>
      <c r="N125">
        <v>1.058333333</v>
      </c>
      <c r="O125">
        <v>0.90897070000000002</v>
      </c>
      <c r="P125">
        <v>84.740740740000007</v>
      </c>
      <c r="Q125">
        <v>29.167014049999999</v>
      </c>
      <c r="R125">
        <v>1.1169849999999999</v>
      </c>
      <c r="S125">
        <v>1.1571499000000001</v>
      </c>
      <c r="T125">
        <v>-11.479871169999999</v>
      </c>
      <c r="U125">
        <v>11.479871169999999</v>
      </c>
      <c r="V125">
        <v>5.2868164999999996</v>
      </c>
      <c r="W125">
        <v>5.2868164999999996</v>
      </c>
      <c r="X125">
        <v>-5.8651666999999998E-2</v>
      </c>
      <c r="Y125">
        <v>5.8651666999999998E-2</v>
      </c>
      <c r="Z125">
        <v>-0.24817920000000004</v>
      </c>
      <c r="AA125">
        <v>0.24817920000000004</v>
      </c>
    </row>
    <row r="126" spans="1:27" x14ac:dyDescent="0.25">
      <c r="A126" t="s">
        <v>61</v>
      </c>
      <c r="B126" t="s">
        <v>896</v>
      </c>
      <c r="C126">
        <v>12</v>
      </c>
      <c r="D126" t="s">
        <v>35</v>
      </c>
      <c r="E126" t="s">
        <v>94</v>
      </c>
      <c r="F126" t="s">
        <v>112</v>
      </c>
      <c r="G126" t="s">
        <v>121</v>
      </c>
      <c r="H126" t="s">
        <v>162</v>
      </c>
      <c r="J126">
        <v>0</v>
      </c>
      <c r="K126">
        <v>1</v>
      </c>
      <c r="L126">
        <v>65.09375</v>
      </c>
      <c r="M126">
        <v>37.895352600000002</v>
      </c>
      <c r="N126">
        <v>2.2882677779999998</v>
      </c>
      <c r="O126">
        <v>2.2111774</v>
      </c>
      <c r="P126">
        <v>82.53846154</v>
      </c>
      <c r="Q126">
        <v>35.660530039999998</v>
      </c>
      <c r="R126">
        <v>3.3754499999999998</v>
      </c>
      <c r="S126" t="s">
        <v>114</v>
      </c>
      <c r="T126">
        <v>-17.44471154</v>
      </c>
      <c r="U126">
        <v>17.44471154</v>
      </c>
      <c r="V126">
        <v>2.23482256</v>
      </c>
      <c r="W126">
        <v>2.23482256</v>
      </c>
      <c r="X126">
        <v>-1.087182222</v>
      </c>
      <c r="Y126">
        <v>1.087182222</v>
      </c>
      <c r="Z126" t="s">
        <v>114</v>
      </c>
      <c r="AA126" t="s">
        <v>114</v>
      </c>
    </row>
    <row r="127" spans="1:27" x14ac:dyDescent="0.25">
      <c r="A127" t="s">
        <v>62</v>
      </c>
      <c r="B127" t="s">
        <v>897</v>
      </c>
      <c r="C127">
        <v>12</v>
      </c>
      <c r="D127" t="s">
        <v>37</v>
      </c>
      <c r="E127" t="s">
        <v>95</v>
      </c>
      <c r="F127" t="s">
        <v>102</v>
      </c>
      <c r="G127" t="s">
        <v>121</v>
      </c>
      <c r="H127" t="s">
        <v>114</v>
      </c>
      <c r="J127">
        <v>0</v>
      </c>
      <c r="K127">
        <v>0</v>
      </c>
      <c r="L127">
        <v>84.740740740000007</v>
      </c>
      <c r="M127">
        <v>29.167014049999999</v>
      </c>
      <c r="N127">
        <v>1.1169849999999999</v>
      </c>
      <c r="O127">
        <v>1.1571499000000001</v>
      </c>
      <c r="P127" t="s">
        <v>114</v>
      </c>
      <c r="Q127" t="s">
        <v>114</v>
      </c>
      <c r="R127" t="s">
        <v>114</v>
      </c>
      <c r="S127" t="s">
        <v>114</v>
      </c>
      <c r="T127" t="s">
        <v>114</v>
      </c>
      <c r="U127" t="s">
        <v>114</v>
      </c>
      <c r="V127" t="s">
        <v>114</v>
      </c>
      <c r="W127" t="s">
        <v>114</v>
      </c>
      <c r="X127" t="s">
        <v>114</v>
      </c>
      <c r="Y127" t="s">
        <v>114</v>
      </c>
      <c r="Z127" t="s">
        <v>114</v>
      </c>
      <c r="AA127" t="s">
        <v>114</v>
      </c>
    </row>
    <row r="128" spans="1:27" x14ac:dyDescent="0.25">
      <c r="A128" t="s">
        <v>62</v>
      </c>
      <c r="B128" t="s">
        <v>898</v>
      </c>
      <c r="C128">
        <v>12</v>
      </c>
      <c r="D128" t="s">
        <v>37</v>
      </c>
      <c r="E128" t="s">
        <v>95</v>
      </c>
      <c r="F128" t="s">
        <v>103</v>
      </c>
      <c r="G128" t="s">
        <v>121</v>
      </c>
      <c r="H128" t="s">
        <v>233</v>
      </c>
      <c r="J128">
        <v>0</v>
      </c>
      <c r="K128">
        <v>1</v>
      </c>
      <c r="L128">
        <v>98.291666669999998</v>
      </c>
      <c r="M128">
        <v>30.315130790000001</v>
      </c>
      <c r="N128">
        <v>5.0803484000000003E-2</v>
      </c>
      <c r="O128">
        <v>0.42866070000000001</v>
      </c>
      <c r="P128">
        <v>106.0540541</v>
      </c>
      <c r="Q128">
        <v>52.690533369999997</v>
      </c>
      <c r="R128">
        <v>7.6058968000000005E-2</v>
      </c>
      <c r="S128">
        <v>0.44888888999999998</v>
      </c>
      <c r="T128">
        <v>-7.7623874300000004</v>
      </c>
      <c r="U128">
        <v>7.7623874300000004</v>
      </c>
      <c r="V128">
        <v>-22.375402579999999</v>
      </c>
      <c r="W128">
        <v>22.375402579999999</v>
      </c>
      <c r="X128">
        <v>-2.5255484000000002E-2</v>
      </c>
      <c r="Y128">
        <v>2.5255484000000002E-2</v>
      </c>
      <c r="Z128">
        <v>-2.0228189999999979E-2</v>
      </c>
      <c r="AA128">
        <v>2.0228189999999979E-2</v>
      </c>
    </row>
    <row r="129" spans="1:27" x14ac:dyDescent="0.25">
      <c r="A129" t="s">
        <v>62</v>
      </c>
      <c r="B129" t="s">
        <v>898</v>
      </c>
      <c r="C129">
        <v>12</v>
      </c>
      <c r="D129" t="s">
        <v>37</v>
      </c>
      <c r="E129" t="s">
        <v>95</v>
      </c>
      <c r="F129" t="s">
        <v>103</v>
      </c>
      <c r="G129" t="s">
        <v>121</v>
      </c>
      <c r="H129" t="s">
        <v>234</v>
      </c>
      <c r="J129">
        <v>0</v>
      </c>
      <c r="K129">
        <v>1</v>
      </c>
      <c r="L129">
        <v>98.291666669999998</v>
      </c>
      <c r="M129">
        <v>30.315130790000001</v>
      </c>
      <c r="N129">
        <v>5.0803484000000003E-2</v>
      </c>
      <c r="O129">
        <v>0.42866070000000001</v>
      </c>
      <c r="P129">
        <v>89.8125</v>
      </c>
      <c r="Q129">
        <v>34.754706650000003</v>
      </c>
      <c r="R129">
        <v>2.3065078999999999E-2</v>
      </c>
      <c r="S129">
        <v>2.4791666700000001</v>
      </c>
      <c r="T129">
        <v>8.4791666699999997</v>
      </c>
      <c r="U129">
        <v>8.4791666699999997</v>
      </c>
      <c r="V129">
        <v>-4.4395758599999997</v>
      </c>
      <c r="W129">
        <v>4.4395758599999997</v>
      </c>
      <c r="X129">
        <v>2.7738405000000001E-2</v>
      </c>
      <c r="Y129">
        <v>2.7738405000000001E-2</v>
      </c>
      <c r="Z129">
        <v>-2.0505059700000001</v>
      </c>
      <c r="AA129">
        <v>2.0505059700000001</v>
      </c>
    </row>
    <row r="130" spans="1:27" x14ac:dyDescent="0.25">
      <c r="A130" t="s">
        <v>62</v>
      </c>
      <c r="B130" t="s">
        <v>898</v>
      </c>
      <c r="C130">
        <v>12</v>
      </c>
      <c r="D130" t="s">
        <v>37</v>
      </c>
      <c r="E130" t="s">
        <v>95</v>
      </c>
      <c r="F130" t="s">
        <v>103</v>
      </c>
      <c r="G130" t="s">
        <v>121</v>
      </c>
      <c r="H130" t="s">
        <v>241</v>
      </c>
      <c r="J130">
        <v>0</v>
      </c>
      <c r="K130">
        <v>1</v>
      </c>
      <c r="L130">
        <v>98.291666669999998</v>
      </c>
      <c r="M130">
        <v>30.315130790000001</v>
      </c>
      <c r="N130">
        <v>5.0803484000000003E-2</v>
      </c>
      <c r="O130">
        <v>0.42866070000000001</v>
      </c>
      <c r="P130">
        <v>114</v>
      </c>
      <c r="Q130">
        <v>30.43077242</v>
      </c>
      <c r="R130">
        <v>0.53383111100000002</v>
      </c>
      <c r="S130">
        <v>0.28333332999999999</v>
      </c>
      <c r="T130">
        <v>-15.70833333</v>
      </c>
      <c r="U130">
        <v>15.70833333</v>
      </c>
      <c r="V130">
        <v>-0.11564163</v>
      </c>
      <c r="W130">
        <v>0.11564163</v>
      </c>
      <c r="X130">
        <v>-0.48302762700000001</v>
      </c>
      <c r="Y130">
        <v>0.48302762700000001</v>
      </c>
      <c r="Z130">
        <v>0.14532737000000001</v>
      </c>
      <c r="AA130">
        <v>0.14532737000000001</v>
      </c>
    </row>
    <row r="131" spans="1:27" x14ac:dyDescent="0.25">
      <c r="A131" t="s">
        <v>63</v>
      </c>
      <c r="B131" t="s">
        <v>899</v>
      </c>
      <c r="C131">
        <v>12</v>
      </c>
      <c r="D131" t="s">
        <v>64</v>
      </c>
      <c r="E131" t="s">
        <v>94</v>
      </c>
      <c r="F131" t="s">
        <v>104</v>
      </c>
      <c r="G131" t="s">
        <v>121</v>
      </c>
      <c r="H131" t="s">
        <v>238</v>
      </c>
      <c r="J131">
        <v>0</v>
      </c>
      <c r="K131">
        <v>2</v>
      </c>
      <c r="L131">
        <v>113.9375</v>
      </c>
      <c r="M131">
        <v>33.375507550000002</v>
      </c>
      <c r="N131">
        <v>2.4262999999999999</v>
      </c>
      <c r="O131">
        <v>0.40692159999999999</v>
      </c>
      <c r="P131">
        <v>87.5</v>
      </c>
      <c r="Q131">
        <v>29.478311600000001</v>
      </c>
      <c r="R131">
        <v>3.0797751000000002E-2</v>
      </c>
      <c r="S131">
        <v>0.12931835</v>
      </c>
      <c r="T131">
        <v>26.4375</v>
      </c>
      <c r="U131">
        <v>26.4375</v>
      </c>
      <c r="V131">
        <v>3.89719595</v>
      </c>
      <c r="W131">
        <v>3.89719595</v>
      </c>
      <c r="X131">
        <v>2.3955022490000002</v>
      </c>
      <c r="Y131">
        <v>2.3955022490000002</v>
      </c>
      <c r="Z131">
        <v>0.27760324999999997</v>
      </c>
      <c r="AA131">
        <v>0.27760324999999997</v>
      </c>
    </row>
    <row r="132" spans="1:27" x14ac:dyDescent="0.25">
      <c r="A132" t="s">
        <v>63</v>
      </c>
      <c r="B132" t="s">
        <v>899</v>
      </c>
      <c r="C132">
        <v>12</v>
      </c>
      <c r="D132" t="s">
        <v>64</v>
      </c>
      <c r="E132" t="s">
        <v>94</v>
      </c>
      <c r="F132" t="s">
        <v>104</v>
      </c>
      <c r="G132" t="s">
        <v>121</v>
      </c>
      <c r="H132" t="s">
        <v>103</v>
      </c>
      <c r="J132">
        <v>0</v>
      </c>
      <c r="K132">
        <v>1</v>
      </c>
      <c r="L132">
        <v>113.9375</v>
      </c>
      <c r="M132">
        <v>33.375507550000002</v>
      </c>
      <c r="N132">
        <v>2.4262999999999999</v>
      </c>
      <c r="O132">
        <v>0.40692159999999999</v>
      </c>
      <c r="P132">
        <v>98.291666669999998</v>
      </c>
      <c r="Q132">
        <v>30.315130790000001</v>
      </c>
      <c r="R132">
        <v>5.0803484000000003E-2</v>
      </c>
      <c r="S132">
        <v>0.42866070000000001</v>
      </c>
      <c r="T132">
        <v>15.64583333</v>
      </c>
      <c r="U132">
        <v>15.64583333</v>
      </c>
      <c r="V132">
        <v>3.06037676</v>
      </c>
      <c r="W132">
        <v>3.06037676</v>
      </c>
      <c r="X132">
        <v>2.3754965160000001</v>
      </c>
      <c r="Y132">
        <v>2.3754965160000001</v>
      </c>
      <c r="Z132">
        <v>-2.1739100000000011E-2</v>
      </c>
      <c r="AA132">
        <v>2.1739100000000011E-2</v>
      </c>
    </row>
    <row r="133" spans="1:27" x14ac:dyDescent="0.25">
      <c r="A133" t="s">
        <v>63</v>
      </c>
      <c r="B133" t="s">
        <v>899</v>
      </c>
      <c r="C133">
        <v>12</v>
      </c>
      <c r="D133" t="s">
        <v>64</v>
      </c>
      <c r="E133" t="s">
        <v>94</v>
      </c>
      <c r="F133" t="s">
        <v>104</v>
      </c>
      <c r="G133" t="s">
        <v>121</v>
      </c>
      <c r="H133" t="s">
        <v>248</v>
      </c>
      <c r="J133">
        <v>0</v>
      </c>
      <c r="K133">
        <v>2</v>
      </c>
      <c r="L133">
        <v>113.9375</v>
      </c>
      <c r="M133">
        <v>33.375507550000002</v>
      </c>
      <c r="N133">
        <v>2.4262999999999999</v>
      </c>
      <c r="O133">
        <v>0.40692159999999999</v>
      </c>
      <c r="P133">
        <v>83.92307692</v>
      </c>
      <c r="Q133">
        <v>44.319135699999997</v>
      </c>
      <c r="R133">
        <v>5.9548609999999997E-3</v>
      </c>
      <c r="S133">
        <v>0.18017928</v>
      </c>
      <c r="T133">
        <v>30.01442308</v>
      </c>
      <c r="U133">
        <v>30.01442308</v>
      </c>
      <c r="V133">
        <v>-10.94362815</v>
      </c>
      <c r="W133">
        <v>10.94362815</v>
      </c>
      <c r="X133">
        <v>2.4203451390000001</v>
      </c>
      <c r="Y133">
        <v>2.4203451390000001</v>
      </c>
      <c r="Z133">
        <v>0.22674232</v>
      </c>
      <c r="AA133">
        <v>0.22674232</v>
      </c>
    </row>
    <row r="134" spans="1:27" x14ac:dyDescent="0.25">
      <c r="A134" t="s">
        <v>65</v>
      </c>
      <c r="B134" t="s">
        <v>900</v>
      </c>
      <c r="C134">
        <v>12</v>
      </c>
      <c r="D134" t="s">
        <v>66</v>
      </c>
      <c r="E134" t="s">
        <v>95</v>
      </c>
      <c r="F134" t="s">
        <v>105</v>
      </c>
      <c r="G134" t="s">
        <v>121</v>
      </c>
      <c r="H134" t="s">
        <v>111</v>
      </c>
      <c r="J134">
        <v>0</v>
      </c>
      <c r="K134">
        <v>1</v>
      </c>
      <c r="L134">
        <v>67.5</v>
      </c>
      <c r="M134">
        <v>47.937235809999997</v>
      </c>
      <c r="N134">
        <v>0.41599678000000001</v>
      </c>
      <c r="O134">
        <v>2.0950346999999998</v>
      </c>
      <c r="P134">
        <v>94.97142857</v>
      </c>
      <c r="Q134">
        <v>24.31591813</v>
      </c>
      <c r="R134">
        <v>0.122951111</v>
      </c>
      <c r="S134">
        <v>0.39050790000000002</v>
      </c>
      <c r="T134">
        <v>-27.47142857</v>
      </c>
      <c r="U134">
        <v>27.47142857</v>
      </c>
      <c r="V134">
        <v>23.621317680000001</v>
      </c>
      <c r="W134">
        <v>23.621317680000001</v>
      </c>
      <c r="X134">
        <v>0.29304566900000001</v>
      </c>
      <c r="Y134">
        <v>0.29304566900000001</v>
      </c>
      <c r="Z134">
        <v>1.7045267999999998</v>
      </c>
      <c r="AA134">
        <v>1.7045267999999998</v>
      </c>
    </row>
    <row r="135" spans="1:27" x14ac:dyDescent="0.25">
      <c r="A135" t="s">
        <v>65</v>
      </c>
      <c r="B135" t="s">
        <v>900</v>
      </c>
      <c r="C135">
        <v>12</v>
      </c>
      <c r="D135" t="s">
        <v>66</v>
      </c>
      <c r="E135" t="s">
        <v>95</v>
      </c>
      <c r="F135" t="s">
        <v>105</v>
      </c>
      <c r="G135" t="s">
        <v>121</v>
      </c>
      <c r="H135" t="s">
        <v>808</v>
      </c>
      <c r="J135">
        <v>0</v>
      </c>
      <c r="K135">
        <v>1</v>
      </c>
      <c r="L135">
        <v>67.5</v>
      </c>
      <c r="M135">
        <v>47.937235809999997</v>
      </c>
      <c r="N135">
        <v>0.41599678000000001</v>
      </c>
      <c r="O135">
        <v>2.0950346999999998</v>
      </c>
      <c r="P135">
        <v>102.79166669999999</v>
      </c>
      <c r="Q135">
        <v>27.057373470000002</v>
      </c>
      <c r="R135">
        <v>6.3567849939999999</v>
      </c>
      <c r="S135" t="s">
        <v>114</v>
      </c>
      <c r="T135">
        <v>-35.2916667</v>
      </c>
      <c r="U135">
        <v>35.2916667</v>
      </c>
      <c r="V135">
        <v>20.879862339999999</v>
      </c>
      <c r="W135">
        <v>20.879862339999999</v>
      </c>
      <c r="X135">
        <v>-5.9407882140000003</v>
      </c>
      <c r="Y135">
        <v>5.9407882140000003</v>
      </c>
      <c r="Z135" t="s">
        <v>114</v>
      </c>
      <c r="AA135" t="s">
        <v>114</v>
      </c>
    </row>
    <row r="136" spans="1:27" x14ac:dyDescent="0.25">
      <c r="A136" t="s">
        <v>65</v>
      </c>
      <c r="B136" t="s">
        <v>900</v>
      </c>
      <c r="C136">
        <v>12</v>
      </c>
      <c r="D136" t="s">
        <v>66</v>
      </c>
      <c r="E136" t="s">
        <v>95</v>
      </c>
      <c r="F136" t="s">
        <v>105</v>
      </c>
      <c r="G136" t="s">
        <v>121</v>
      </c>
      <c r="H136" t="s">
        <v>247</v>
      </c>
      <c r="J136">
        <v>0</v>
      </c>
      <c r="K136">
        <v>1</v>
      </c>
      <c r="L136">
        <v>67.5</v>
      </c>
      <c r="M136">
        <v>47.937235809999997</v>
      </c>
      <c r="N136">
        <v>0.41599678000000001</v>
      </c>
      <c r="O136">
        <v>2.0950346999999998</v>
      </c>
      <c r="P136">
        <v>65.791044779999993</v>
      </c>
      <c r="Q136">
        <v>22.94519201</v>
      </c>
      <c r="R136">
        <v>8.1320334999999994E-2</v>
      </c>
      <c r="S136">
        <v>0.17285655</v>
      </c>
      <c r="T136">
        <v>1.70895522</v>
      </c>
      <c r="U136">
        <v>1.70895522</v>
      </c>
      <c r="V136">
        <v>24.992043800000001</v>
      </c>
      <c r="W136">
        <v>24.992043800000001</v>
      </c>
      <c r="X136">
        <v>0.33467644499999999</v>
      </c>
      <c r="Y136">
        <v>0.33467644499999999</v>
      </c>
      <c r="Z136">
        <v>1.9221781499999997</v>
      </c>
      <c r="AA136">
        <v>1.9221781499999997</v>
      </c>
    </row>
    <row r="137" spans="1:27" x14ac:dyDescent="0.25">
      <c r="A137" t="s">
        <v>65</v>
      </c>
      <c r="B137" t="s">
        <v>900</v>
      </c>
      <c r="C137">
        <v>12</v>
      </c>
      <c r="D137" t="s">
        <v>66</v>
      </c>
      <c r="E137" t="s">
        <v>95</v>
      </c>
      <c r="F137" t="s">
        <v>105</v>
      </c>
      <c r="G137" t="s">
        <v>121</v>
      </c>
      <c r="H137" t="s">
        <v>248</v>
      </c>
      <c r="J137">
        <v>0</v>
      </c>
      <c r="K137">
        <v>2</v>
      </c>
      <c r="L137">
        <v>67.5</v>
      </c>
      <c r="M137">
        <v>47.937235809999997</v>
      </c>
      <c r="N137">
        <v>0.41599678000000001</v>
      </c>
      <c r="O137">
        <v>2.0950346999999998</v>
      </c>
      <c r="P137">
        <v>83.92307692</v>
      </c>
      <c r="Q137">
        <v>44.319135699999997</v>
      </c>
      <c r="R137">
        <v>5.9548609999999997E-3</v>
      </c>
      <c r="S137">
        <v>0.18017928</v>
      </c>
      <c r="T137">
        <v>-16.42307692</v>
      </c>
      <c r="U137">
        <v>16.42307692</v>
      </c>
      <c r="V137">
        <v>3.6181001099999999</v>
      </c>
      <c r="W137">
        <v>3.6181001099999999</v>
      </c>
      <c r="X137">
        <v>0.41004191899999998</v>
      </c>
      <c r="Y137">
        <v>0.41004191899999998</v>
      </c>
      <c r="Z137">
        <v>1.9148554199999999</v>
      </c>
      <c r="AA137">
        <v>1.9148554199999999</v>
      </c>
    </row>
    <row r="138" spans="1:27" x14ac:dyDescent="0.25">
      <c r="A138" t="s">
        <v>10</v>
      </c>
      <c r="B138" t="s">
        <v>901</v>
      </c>
      <c r="C138">
        <v>15</v>
      </c>
      <c r="D138" t="s">
        <v>11</v>
      </c>
      <c r="E138" t="s">
        <v>94</v>
      </c>
      <c r="F138" t="s">
        <v>102</v>
      </c>
      <c r="G138" t="s">
        <v>102</v>
      </c>
      <c r="H138" t="s">
        <v>102</v>
      </c>
      <c r="J138">
        <v>0</v>
      </c>
      <c r="K138">
        <v>1</v>
      </c>
      <c r="L138">
        <v>84.740740740000007</v>
      </c>
      <c r="M138">
        <v>29.167014049999999</v>
      </c>
      <c r="N138">
        <v>1.1169849999999999</v>
      </c>
      <c r="O138">
        <v>1.1571499000000001</v>
      </c>
      <c r="P138">
        <v>84.740740740000007</v>
      </c>
      <c r="Q138">
        <v>29.167014049999999</v>
      </c>
      <c r="R138">
        <v>1.1169849999999999</v>
      </c>
      <c r="S138">
        <v>1.1571499000000001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</row>
    <row r="139" spans="1:27" x14ac:dyDescent="0.25">
      <c r="A139" t="s">
        <v>10</v>
      </c>
      <c r="B139" t="s">
        <v>901</v>
      </c>
      <c r="C139">
        <v>16</v>
      </c>
      <c r="D139" t="s">
        <v>11</v>
      </c>
      <c r="E139" t="s">
        <v>94</v>
      </c>
      <c r="F139" t="s">
        <v>102</v>
      </c>
      <c r="G139" t="s">
        <v>102</v>
      </c>
      <c r="H139" t="s">
        <v>111</v>
      </c>
      <c r="J139">
        <v>0</v>
      </c>
      <c r="K139">
        <v>1</v>
      </c>
      <c r="L139">
        <v>84.740740740000007</v>
      </c>
      <c r="M139">
        <v>29.167014049999999</v>
      </c>
      <c r="N139">
        <v>1.1169849999999999</v>
      </c>
      <c r="O139">
        <v>1.1571499000000001</v>
      </c>
      <c r="P139">
        <v>94.97142857</v>
      </c>
      <c r="Q139">
        <v>24.31591813</v>
      </c>
      <c r="R139">
        <v>0.122951111</v>
      </c>
      <c r="S139">
        <v>0.39050790000000002</v>
      </c>
      <c r="T139">
        <v>-10.230687830000001</v>
      </c>
      <c r="U139">
        <v>10.230687830000001</v>
      </c>
      <c r="V139">
        <v>4.8510959199999997</v>
      </c>
      <c r="W139">
        <v>4.8510959199999997</v>
      </c>
      <c r="X139">
        <v>0.994033889</v>
      </c>
      <c r="Y139">
        <v>0.994033889</v>
      </c>
      <c r="Z139">
        <v>0.76664200000000005</v>
      </c>
      <c r="AA139">
        <v>0.76664200000000005</v>
      </c>
    </row>
    <row r="140" spans="1:27" x14ac:dyDescent="0.25">
      <c r="A140" t="s">
        <v>10</v>
      </c>
      <c r="B140" t="s">
        <v>902</v>
      </c>
      <c r="C140">
        <v>15</v>
      </c>
      <c r="D140" t="s">
        <v>11</v>
      </c>
      <c r="E140" t="s">
        <v>94</v>
      </c>
      <c r="F140" t="s">
        <v>105</v>
      </c>
      <c r="G140" t="s">
        <v>121</v>
      </c>
      <c r="H140" t="s">
        <v>244</v>
      </c>
      <c r="J140">
        <v>0</v>
      </c>
      <c r="K140">
        <v>2</v>
      </c>
      <c r="L140">
        <v>67.5</v>
      </c>
      <c r="M140">
        <v>47.937235809999997</v>
      </c>
      <c r="N140">
        <v>0.41599678000000001</v>
      </c>
      <c r="O140">
        <v>2.0950346999999998</v>
      </c>
      <c r="P140">
        <v>75</v>
      </c>
      <c r="Q140">
        <v>28.80614499</v>
      </c>
      <c r="R140">
        <v>2.3860428570000001</v>
      </c>
      <c r="S140">
        <v>0.26400832000000002</v>
      </c>
      <c r="T140">
        <v>-7.5</v>
      </c>
      <c r="U140">
        <v>7.5</v>
      </c>
      <c r="V140">
        <v>19.131090820000001</v>
      </c>
      <c r="W140">
        <v>19.131090820000001</v>
      </c>
      <c r="X140">
        <v>-1.9700460769999999</v>
      </c>
      <c r="Y140">
        <v>1.9700460769999999</v>
      </c>
      <c r="Z140">
        <v>1.8310263799999997</v>
      </c>
      <c r="AA140">
        <v>1.8310263799999997</v>
      </c>
    </row>
    <row r="141" spans="1:27" x14ac:dyDescent="0.25">
      <c r="A141" t="s">
        <v>10</v>
      </c>
      <c r="B141" t="s">
        <v>902</v>
      </c>
      <c r="C141">
        <v>16</v>
      </c>
      <c r="D141" t="s">
        <v>11</v>
      </c>
      <c r="E141" t="s">
        <v>94</v>
      </c>
      <c r="F141" t="s">
        <v>105</v>
      </c>
      <c r="G141" t="s">
        <v>121</v>
      </c>
      <c r="H141" t="s">
        <v>104</v>
      </c>
      <c r="J141">
        <v>0</v>
      </c>
      <c r="K141">
        <v>1</v>
      </c>
      <c r="L141">
        <v>67.5</v>
      </c>
      <c r="M141">
        <v>47.937235809999997</v>
      </c>
      <c r="N141">
        <v>0.41599678000000001</v>
      </c>
      <c r="O141">
        <v>2.0950346999999998</v>
      </c>
      <c r="P141">
        <v>113.9375</v>
      </c>
      <c r="Q141">
        <v>33.375507550000002</v>
      </c>
      <c r="R141">
        <v>2.4262999999999999</v>
      </c>
      <c r="S141">
        <v>0.40692159999999999</v>
      </c>
      <c r="T141">
        <v>-46.4375</v>
      </c>
      <c r="U141">
        <v>46.4375</v>
      </c>
      <c r="V141">
        <v>14.561728260000001</v>
      </c>
      <c r="W141">
        <v>14.561728260000001</v>
      </c>
      <c r="X141">
        <v>-2.0103032199999999</v>
      </c>
      <c r="Y141">
        <v>2.0103032199999999</v>
      </c>
      <c r="Z141">
        <v>1.6881130999999998</v>
      </c>
      <c r="AA141">
        <v>1.6881130999999998</v>
      </c>
    </row>
    <row r="142" spans="1:27" x14ac:dyDescent="0.25">
      <c r="A142" t="s">
        <v>10</v>
      </c>
      <c r="B142" t="s">
        <v>903</v>
      </c>
      <c r="C142">
        <v>15</v>
      </c>
      <c r="D142" t="s">
        <v>11</v>
      </c>
      <c r="E142" t="s">
        <v>94</v>
      </c>
      <c r="F142" t="s">
        <v>103</v>
      </c>
      <c r="G142" t="s">
        <v>121</v>
      </c>
      <c r="H142" t="s">
        <v>245</v>
      </c>
      <c r="J142">
        <v>0</v>
      </c>
      <c r="K142">
        <v>1</v>
      </c>
      <c r="L142">
        <v>98.291666669999998</v>
      </c>
      <c r="M142">
        <v>30.315130790000001</v>
      </c>
      <c r="N142">
        <v>5.0803484000000003E-2</v>
      </c>
      <c r="O142">
        <v>0.42866070000000001</v>
      </c>
      <c r="P142" t="s">
        <v>114</v>
      </c>
      <c r="Q142" t="s">
        <v>114</v>
      </c>
      <c r="R142" t="s">
        <v>114</v>
      </c>
      <c r="S142" t="s">
        <v>114</v>
      </c>
      <c r="T142" t="s">
        <v>114</v>
      </c>
      <c r="U142" t="s">
        <v>114</v>
      </c>
      <c r="V142" t="s">
        <v>114</v>
      </c>
      <c r="W142" t="s">
        <v>114</v>
      </c>
      <c r="X142" t="s">
        <v>114</v>
      </c>
      <c r="Y142" t="s">
        <v>114</v>
      </c>
      <c r="Z142" t="s">
        <v>114</v>
      </c>
      <c r="AA142" t="s">
        <v>114</v>
      </c>
    </row>
    <row r="143" spans="1:27" x14ac:dyDescent="0.25">
      <c r="A143" t="s">
        <v>10</v>
      </c>
      <c r="B143" t="s">
        <v>904</v>
      </c>
      <c r="C143">
        <v>15</v>
      </c>
      <c r="D143" t="s">
        <v>11</v>
      </c>
      <c r="E143" t="s">
        <v>94</v>
      </c>
      <c r="F143" t="s">
        <v>104</v>
      </c>
      <c r="G143" t="s">
        <v>121</v>
      </c>
      <c r="H143" t="s">
        <v>242</v>
      </c>
      <c r="J143">
        <v>0</v>
      </c>
      <c r="K143">
        <v>6</v>
      </c>
      <c r="L143">
        <v>113.9375</v>
      </c>
      <c r="M143">
        <v>33.375507550000002</v>
      </c>
      <c r="N143">
        <v>2.4262999999999999</v>
      </c>
      <c r="O143">
        <v>0.40692159999999999</v>
      </c>
      <c r="P143">
        <v>139.375</v>
      </c>
      <c r="Q143">
        <v>23.713465920000001</v>
      </c>
      <c r="R143" t="s">
        <v>114</v>
      </c>
      <c r="S143" t="s">
        <v>114</v>
      </c>
      <c r="T143">
        <v>-25.4375</v>
      </c>
      <c r="U143">
        <v>25.4375</v>
      </c>
      <c r="V143">
        <v>9.6620416299999992</v>
      </c>
      <c r="W143">
        <v>9.6620416299999992</v>
      </c>
      <c r="X143" t="s">
        <v>114</v>
      </c>
      <c r="Y143" t="s">
        <v>114</v>
      </c>
      <c r="Z143" t="s">
        <v>114</v>
      </c>
      <c r="AA143" t="s">
        <v>114</v>
      </c>
    </row>
    <row r="144" spans="1:27" x14ac:dyDescent="0.25">
      <c r="A144" t="s">
        <v>14</v>
      </c>
      <c r="B144" t="s">
        <v>905</v>
      </c>
      <c r="C144">
        <v>15</v>
      </c>
      <c r="D144" t="s">
        <v>15</v>
      </c>
      <c r="E144" t="s">
        <v>94</v>
      </c>
      <c r="F144" t="s">
        <v>102</v>
      </c>
      <c r="G144" t="s">
        <v>121</v>
      </c>
      <c r="H144" t="s">
        <v>114</v>
      </c>
      <c r="J144">
        <v>0</v>
      </c>
      <c r="K144" t="s">
        <v>114</v>
      </c>
      <c r="L144">
        <v>84.740740740000007</v>
      </c>
      <c r="M144">
        <v>29.167014049999999</v>
      </c>
      <c r="N144">
        <v>1.1169849999999999</v>
      </c>
      <c r="O144">
        <v>1.1571499000000001</v>
      </c>
      <c r="P144" t="s">
        <v>114</v>
      </c>
      <c r="Q144" t="s">
        <v>114</v>
      </c>
      <c r="R144" t="s">
        <v>114</v>
      </c>
      <c r="S144" t="s">
        <v>114</v>
      </c>
      <c r="T144" t="s">
        <v>114</v>
      </c>
      <c r="U144" t="s">
        <v>114</v>
      </c>
      <c r="V144" t="s">
        <v>114</v>
      </c>
      <c r="W144" t="s">
        <v>114</v>
      </c>
      <c r="X144" t="s">
        <v>114</v>
      </c>
      <c r="Y144" t="s">
        <v>114</v>
      </c>
      <c r="Z144" t="s">
        <v>114</v>
      </c>
      <c r="AA144" t="s">
        <v>114</v>
      </c>
    </row>
    <row r="145" spans="1:27" x14ac:dyDescent="0.25">
      <c r="A145" t="s">
        <v>14</v>
      </c>
      <c r="B145" t="s">
        <v>906</v>
      </c>
      <c r="C145">
        <v>15</v>
      </c>
      <c r="D145" t="s">
        <v>15</v>
      </c>
      <c r="E145" t="s">
        <v>94</v>
      </c>
      <c r="F145" t="s">
        <v>110</v>
      </c>
      <c r="G145" t="s">
        <v>121</v>
      </c>
      <c r="H145" t="s">
        <v>114</v>
      </c>
      <c r="J145">
        <v>0</v>
      </c>
      <c r="K145" t="s">
        <v>114</v>
      </c>
      <c r="L145">
        <v>73.260869569999997</v>
      </c>
      <c r="M145">
        <v>34.453830549999999</v>
      </c>
      <c r="N145">
        <v>1.058333333</v>
      </c>
      <c r="O145">
        <v>0.90897070000000002</v>
      </c>
      <c r="P145" t="s">
        <v>114</v>
      </c>
      <c r="Q145" t="s">
        <v>114</v>
      </c>
      <c r="R145" t="s">
        <v>114</v>
      </c>
      <c r="S145" t="s">
        <v>114</v>
      </c>
      <c r="T145" t="s">
        <v>114</v>
      </c>
      <c r="U145" t="s">
        <v>114</v>
      </c>
      <c r="V145" t="s">
        <v>114</v>
      </c>
      <c r="W145" t="s">
        <v>114</v>
      </c>
      <c r="X145" t="s">
        <v>114</v>
      </c>
      <c r="Y145" t="s">
        <v>114</v>
      </c>
      <c r="Z145" t="s">
        <v>114</v>
      </c>
      <c r="AA145" t="s">
        <v>114</v>
      </c>
    </row>
    <row r="146" spans="1:27" x14ac:dyDescent="0.25">
      <c r="A146" t="s">
        <v>14</v>
      </c>
      <c r="B146" t="s">
        <v>907</v>
      </c>
      <c r="C146">
        <v>15</v>
      </c>
      <c r="D146" t="s">
        <v>15</v>
      </c>
      <c r="E146" t="s">
        <v>94</v>
      </c>
      <c r="F146" t="s">
        <v>111</v>
      </c>
      <c r="G146" t="s">
        <v>110</v>
      </c>
      <c r="H146" t="s">
        <v>110</v>
      </c>
      <c r="J146">
        <v>0</v>
      </c>
      <c r="K146">
        <v>1</v>
      </c>
      <c r="L146">
        <v>94.97142857</v>
      </c>
      <c r="M146">
        <v>24.31591813</v>
      </c>
      <c r="N146">
        <v>0.122951111</v>
      </c>
      <c r="O146">
        <v>0.39050790000000002</v>
      </c>
      <c r="P146">
        <v>73.260869569999997</v>
      </c>
      <c r="Q146">
        <v>34.453830549999999</v>
      </c>
      <c r="R146">
        <v>1.058333333</v>
      </c>
      <c r="S146">
        <v>0.90897070000000002</v>
      </c>
      <c r="T146">
        <v>21.710559</v>
      </c>
      <c r="U146">
        <v>21.710559</v>
      </c>
      <c r="V146">
        <v>-10.137912419999999</v>
      </c>
      <c r="W146">
        <v>10.137912419999999</v>
      </c>
      <c r="X146">
        <v>-0.93538222199999999</v>
      </c>
      <c r="Y146">
        <v>0.93538222199999999</v>
      </c>
      <c r="Z146">
        <v>-0.5184628</v>
      </c>
      <c r="AA146">
        <v>0.5184628</v>
      </c>
    </row>
    <row r="147" spans="1:27" x14ac:dyDescent="0.25">
      <c r="A147" t="s">
        <v>14</v>
      </c>
      <c r="B147" t="s">
        <v>908</v>
      </c>
      <c r="C147">
        <v>15</v>
      </c>
      <c r="D147" t="s">
        <v>15</v>
      </c>
      <c r="E147" t="s">
        <v>94</v>
      </c>
      <c r="F147" t="s">
        <v>104</v>
      </c>
      <c r="G147" t="s">
        <v>110</v>
      </c>
      <c r="H147" t="s">
        <v>110</v>
      </c>
      <c r="J147">
        <v>0</v>
      </c>
      <c r="K147">
        <v>1</v>
      </c>
      <c r="L147">
        <v>113.9375</v>
      </c>
      <c r="M147">
        <v>33.375507550000002</v>
      </c>
      <c r="N147">
        <v>2.4262999999999999</v>
      </c>
      <c r="O147">
        <v>0.40692159999999999</v>
      </c>
      <c r="P147">
        <v>73.260869569999997</v>
      </c>
      <c r="Q147">
        <v>34.453830549999999</v>
      </c>
      <c r="R147">
        <v>1.058333333</v>
      </c>
      <c r="S147">
        <v>0.90897070000000002</v>
      </c>
      <c r="T147">
        <v>40.676630430000003</v>
      </c>
      <c r="U147">
        <v>40.676630430000003</v>
      </c>
      <c r="V147">
        <v>-1.0783229999999999</v>
      </c>
      <c r="W147">
        <v>1.0783229999999999</v>
      </c>
      <c r="X147">
        <v>1.3679666669999999</v>
      </c>
      <c r="Y147">
        <v>1.3679666669999999</v>
      </c>
      <c r="Z147">
        <v>-0.50204910000000003</v>
      </c>
      <c r="AA147">
        <v>0.50204910000000003</v>
      </c>
    </row>
    <row r="148" spans="1:27" x14ac:dyDescent="0.25">
      <c r="A148" t="s">
        <v>14</v>
      </c>
      <c r="B148" t="s">
        <v>908</v>
      </c>
      <c r="C148">
        <v>16</v>
      </c>
      <c r="D148" t="s">
        <v>15</v>
      </c>
      <c r="E148" t="s">
        <v>94</v>
      </c>
      <c r="F148" t="s">
        <v>104</v>
      </c>
      <c r="G148" t="s">
        <v>110</v>
      </c>
      <c r="H148" t="s">
        <v>104</v>
      </c>
      <c r="J148">
        <v>0</v>
      </c>
      <c r="K148">
        <v>2</v>
      </c>
      <c r="L148">
        <v>113.9375</v>
      </c>
      <c r="M148">
        <v>33.375507550000002</v>
      </c>
      <c r="N148">
        <v>2.4262999999999999</v>
      </c>
      <c r="O148">
        <v>0.40692159999999999</v>
      </c>
      <c r="P148">
        <v>113.9375</v>
      </c>
      <c r="Q148">
        <v>33.375507550000002</v>
      </c>
      <c r="R148">
        <v>2.4262999999999999</v>
      </c>
      <c r="S148">
        <v>0.40692159999999999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</row>
    <row r="149" spans="1:27" x14ac:dyDescent="0.25">
      <c r="A149" t="s">
        <v>16</v>
      </c>
      <c r="B149" t="s">
        <v>909</v>
      </c>
      <c r="C149">
        <v>15</v>
      </c>
      <c r="D149" t="s">
        <v>17</v>
      </c>
      <c r="E149" t="s">
        <v>95</v>
      </c>
      <c r="F149" t="s">
        <v>113</v>
      </c>
      <c r="G149" t="s">
        <v>104</v>
      </c>
      <c r="H149" t="s">
        <v>104</v>
      </c>
      <c r="J149">
        <v>0</v>
      </c>
      <c r="K149">
        <v>1</v>
      </c>
      <c r="L149">
        <v>83.757575759999995</v>
      </c>
      <c r="M149">
        <v>22.60997987</v>
      </c>
      <c r="N149">
        <v>0.72884000000000004</v>
      </c>
      <c r="O149">
        <v>0.21301339999999999</v>
      </c>
      <c r="P149">
        <v>113.9375</v>
      </c>
      <c r="Q149">
        <v>33.375507550000002</v>
      </c>
      <c r="R149">
        <v>2.4262999999999999</v>
      </c>
      <c r="S149">
        <v>0.40692159999999999</v>
      </c>
      <c r="T149">
        <v>-30.179924239999998</v>
      </c>
      <c r="U149">
        <v>30.179924239999998</v>
      </c>
      <c r="V149">
        <v>-10.76552768</v>
      </c>
      <c r="W149">
        <v>10.76552768</v>
      </c>
      <c r="X149">
        <v>-1.69746</v>
      </c>
      <c r="Y149">
        <v>1.69746</v>
      </c>
      <c r="Z149">
        <v>-0.1939082</v>
      </c>
      <c r="AA149">
        <v>0.1939082</v>
      </c>
    </row>
    <row r="150" spans="1:27" x14ac:dyDescent="0.25">
      <c r="A150" t="s">
        <v>16</v>
      </c>
      <c r="B150" t="s">
        <v>909</v>
      </c>
      <c r="C150">
        <v>16</v>
      </c>
      <c r="D150" t="s">
        <v>17</v>
      </c>
      <c r="E150" t="s">
        <v>95</v>
      </c>
      <c r="F150" t="s">
        <v>113</v>
      </c>
      <c r="G150" t="s">
        <v>104</v>
      </c>
      <c r="H150" t="s">
        <v>113</v>
      </c>
      <c r="J150">
        <v>0</v>
      </c>
      <c r="K150">
        <v>3</v>
      </c>
      <c r="L150">
        <v>83.757575759999995</v>
      </c>
      <c r="M150">
        <v>22.60997987</v>
      </c>
      <c r="N150">
        <v>0.72884000000000004</v>
      </c>
      <c r="O150">
        <v>0.21301339999999999</v>
      </c>
      <c r="P150">
        <v>83.757575759999995</v>
      </c>
      <c r="Q150">
        <v>22.60997987</v>
      </c>
      <c r="R150">
        <v>0.72884000000000004</v>
      </c>
      <c r="S150">
        <v>0.21301339999999999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</row>
    <row r="151" spans="1:27" x14ac:dyDescent="0.25">
      <c r="A151" t="s">
        <v>16</v>
      </c>
      <c r="B151" t="s">
        <v>910</v>
      </c>
      <c r="C151">
        <v>15</v>
      </c>
      <c r="D151" t="s">
        <v>17</v>
      </c>
      <c r="E151" t="s">
        <v>95</v>
      </c>
      <c r="F151" t="s">
        <v>110</v>
      </c>
      <c r="G151" t="s">
        <v>121</v>
      </c>
      <c r="H151" t="s">
        <v>104</v>
      </c>
      <c r="J151">
        <v>0</v>
      </c>
      <c r="K151">
        <v>1</v>
      </c>
      <c r="L151">
        <v>73.260869569999997</v>
      </c>
      <c r="M151">
        <v>34.453830549999999</v>
      </c>
      <c r="N151">
        <v>1.058333333</v>
      </c>
      <c r="O151">
        <v>0.90897070000000002</v>
      </c>
      <c r="P151">
        <v>113.9375</v>
      </c>
      <c r="Q151">
        <v>33.375507550000002</v>
      </c>
      <c r="R151">
        <v>2.4262999999999999</v>
      </c>
      <c r="S151">
        <v>0.40692159999999999</v>
      </c>
      <c r="T151">
        <v>-40.676630430000003</v>
      </c>
      <c r="U151">
        <v>40.676630430000003</v>
      </c>
      <c r="V151">
        <v>1.0783229999999999</v>
      </c>
      <c r="W151">
        <v>1.0783229999999999</v>
      </c>
      <c r="X151">
        <v>-1.3679666669999999</v>
      </c>
      <c r="Y151">
        <v>1.3679666669999999</v>
      </c>
      <c r="Z151">
        <v>0.50204910000000003</v>
      </c>
      <c r="AA151">
        <v>0.50204910000000003</v>
      </c>
    </row>
    <row r="152" spans="1:27" x14ac:dyDescent="0.25">
      <c r="A152" t="s">
        <v>16</v>
      </c>
      <c r="B152" t="s">
        <v>910</v>
      </c>
      <c r="C152">
        <v>16</v>
      </c>
      <c r="D152" t="s">
        <v>17</v>
      </c>
      <c r="E152" t="s">
        <v>95</v>
      </c>
      <c r="F152" t="s">
        <v>110</v>
      </c>
      <c r="G152" t="s">
        <v>121</v>
      </c>
      <c r="H152" t="s">
        <v>241</v>
      </c>
      <c r="J152">
        <v>0</v>
      </c>
      <c r="K152">
        <v>1</v>
      </c>
      <c r="L152">
        <v>73.260869569999997</v>
      </c>
      <c r="M152">
        <v>34.453830549999999</v>
      </c>
      <c r="N152">
        <v>1.058333333</v>
      </c>
      <c r="O152">
        <v>0.90897070000000002</v>
      </c>
      <c r="P152">
        <v>114</v>
      </c>
      <c r="Q152">
        <v>30.43077242</v>
      </c>
      <c r="R152">
        <v>0.53383111100000002</v>
      </c>
      <c r="S152">
        <v>0.28333332999999999</v>
      </c>
      <c r="T152">
        <v>-40.739130430000003</v>
      </c>
      <c r="U152">
        <v>40.739130430000003</v>
      </c>
      <c r="V152">
        <v>4.0230581299999999</v>
      </c>
      <c r="W152">
        <v>4.0230581299999999</v>
      </c>
      <c r="X152">
        <v>0.52450222199999996</v>
      </c>
      <c r="Y152">
        <v>0.52450222199999996</v>
      </c>
      <c r="Z152">
        <v>0.62563736999999997</v>
      </c>
      <c r="AA152">
        <v>0.62563736999999997</v>
      </c>
    </row>
    <row r="153" spans="1:27" x14ac:dyDescent="0.25">
      <c r="A153" t="s">
        <v>16</v>
      </c>
      <c r="B153" t="s">
        <v>911</v>
      </c>
      <c r="C153">
        <v>15</v>
      </c>
      <c r="D153" t="s">
        <v>17</v>
      </c>
      <c r="E153" t="s">
        <v>95</v>
      </c>
      <c r="F153" t="s">
        <v>111</v>
      </c>
      <c r="G153" t="s">
        <v>113</v>
      </c>
      <c r="H153" t="s">
        <v>113</v>
      </c>
      <c r="J153">
        <v>0</v>
      </c>
      <c r="K153">
        <v>2</v>
      </c>
      <c r="L153">
        <v>94.97142857</v>
      </c>
      <c r="M153">
        <v>24.31591813</v>
      </c>
      <c r="N153">
        <v>0.122951111</v>
      </c>
      <c r="O153">
        <v>0.39050790000000002</v>
      </c>
      <c r="P153">
        <v>83.757575759999995</v>
      </c>
      <c r="Q153">
        <v>22.60997987</v>
      </c>
      <c r="R153">
        <v>0.72884000000000004</v>
      </c>
      <c r="S153">
        <v>0.21301339999999999</v>
      </c>
      <c r="T153">
        <v>11.213852810000001</v>
      </c>
      <c r="U153">
        <v>11.213852810000001</v>
      </c>
      <c r="V153">
        <v>1.7059382599999999</v>
      </c>
      <c r="W153">
        <v>1.7059382599999999</v>
      </c>
      <c r="X153">
        <v>-0.60588888900000004</v>
      </c>
      <c r="Y153">
        <v>0.60588888900000004</v>
      </c>
      <c r="Z153">
        <v>0.17749450000000003</v>
      </c>
      <c r="AA153">
        <v>0.17749450000000003</v>
      </c>
    </row>
    <row r="154" spans="1:27" x14ac:dyDescent="0.25">
      <c r="A154" t="s">
        <v>16</v>
      </c>
      <c r="B154" t="s">
        <v>911</v>
      </c>
      <c r="C154">
        <v>16</v>
      </c>
      <c r="D154" t="s">
        <v>17</v>
      </c>
      <c r="E154" t="s">
        <v>95</v>
      </c>
      <c r="F154" t="s">
        <v>111</v>
      </c>
      <c r="G154" t="s">
        <v>113</v>
      </c>
      <c r="H154" t="s">
        <v>247</v>
      </c>
      <c r="J154">
        <v>0</v>
      </c>
      <c r="K154">
        <v>3</v>
      </c>
      <c r="L154">
        <v>94.97142857</v>
      </c>
      <c r="M154">
        <v>24.31591813</v>
      </c>
      <c r="N154">
        <v>0.122951111</v>
      </c>
      <c r="O154">
        <v>0.39050790000000002</v>
      </c>
      <c r="P154">
        <v>65.791044779999993</v>
      </c>
      <c r="Q154">
        <v>22.94519201</v>
      </c>
      <c r="R154">
        <v>8.1320334999999994E-2</v>
      </c>
      <c r="S154">
        <v>0.17285655</v>
      </c>
      <c r="T154">
        <v>29.18038379</v>
      </c>
      <c r="U154">
        <v>29.18038379</v>
      </c>
      <c r="V154">
        <v>1.37072612</v>
      </c>
      <c r="W154">
        <v>1.37072612</v>
      </c>
      <c r="X154">
        <v>4.1630776000000001E-2</v>
      </c>
      <c r="Y154">
        <v>4.1630776000000001E-2</v>
      </c>
      <c r="Z154">
        <v>0.21765135000000002</v>
      </c>
      <c r="AA154">
        <v>0.21765135000000002</v>
      </c>
    </row>
    <row r="155" spans="1:27" x14ac:dyDescent="0.25">
      <c r="A155" t="s">
        <v>16</v>
      </c>
      <c r="B155" t="s">
        <v>912</v>
      </c>
      <c r="C155">
        <v>15</v>
      </c>
      <c r="D155" t="s">
        <v>17</v>
      </c>
      <c r="E155" t="s">
        <v>95</v>
      </c>
      <c r="F155" t="s">
        <v>104</v>
      </c>
      <c r="G155" t="s">
        <v>121</v>
      </c>
      <c r="H155" t="s">
        <v>247</v>
      </c>
      <c r="J155">
        <v>0</v>
      </c>
      <c r="K155">
        <v>1</v>
      </c>
      <c r="L155">
        <v>113.9375</v>
      </c>
      <c r="M155">
        <v>33.375507550000002</v>
      </c>
      <c r="N155">
        <v>2.4262999999999999</v>
      </c>
      <c r="O155">
        <v>0.40692159999999999</v>
      </c>
      <c r="P155">
        <v>65.791044779999993</v>
      </c>
      <c r="Q155">
        <v>22.94519201</v>
      </c>
      <c r="R155">
        <v>8.1320334999999994E-2</v>
      </c>
      <c r="S155">
        <v>0.17285655</v>
      </c>
      <c r="T155">
        <v>48.14645522</v>
      </c>
      <c r="U155">
        <v>48.14645522</v>
      </c>
      <c r="V155">
        <v>10.43031554</v>
      </c>
      <c r="W155">
        <v>10.43031554</v>
      </c>
      <c r="X155">
        <v>2.3449796649999999</v>
      </c>
      <c r="Y155">
        <v>2.3449796649999999</v>
      </c>
      <c r="Z155">
        <v>0.23406505</v>
      </c>
      <c r="AA155">
        <v>0.23406505</v>
      </c>
    </row>
    <row r="156" spans="1:27" x14ac:dyDescent="0.25">
      <c r="A156" t="s">
        <v>16</v>
      </c>
      <c r="B156" t="s">
        <v>912</v>
      </c>
      <c r="C156">
        <v>16</v>
      </c>
      <c r="D156" t="s">
        <v>17</v>
      </c>
      <c r="E156" t="s">
        <v>95</v>
      </c>
      <c r="F156" t="s">
        <v>104</v>
      </c>
      <c r="G156" t="s">
        <v>121</v>
      </c>
      <c r="H156" t="s">
        <v>111</v>
      </c>
      <c r="J156">
        <v>0</v>
      </c>
      <c r="K156">
        <v>1</v>
      </c>
      <c r="L156">
        <v>113.9375</v>
      </c>
      <c r="M156">
        <v>33.375507550000002</v>
      </c>
      <c r="N156">
        <v>2.4262999999999999</v>
      </c>
      <c r="O156">
        <v>0.40692159999999999</v>
      </c>
      <c r="P156">
        <v>94.97142857</v>
      </c>
      <c r="Q156">
        <v>24.31591813</v>
      </c>
      <c r="R156">
        <v>0.122951111</v>
      </c>
      <c r="S156">
        <v>0.39050790000000002</v>
      </c>
      <c r="T156">
        <v>18.96607143</v>
      </c>
      <c r="U156">
        <v>18.96607143</v>
      </c>
      <c r="V156">
        <v>9.05958942</v>
      </c>
      <c r="W156">
        <v>9.05958942</v>
      </c>
      <c r="X156">
        <v>2.303348889</v>
      </c>
      <c r="Y156">
        <v>2.303348889</v>
      </c>
      <c r="Z156">
        <v>1.6413699999999976E-2</v>
      </c>
      <c r="AA156">
        <v>1.6413699999999976E-2</v>
      </c>
    </row>
    <row r="157" spans="1:27" x14ac:dyDescent="0.25">
      <c r="A157" t="s">
        <v>18</v>
      </c>
      <c r="B157" t="s">
        <v>913</v>
      </c>
      <c r="C157">
        <v>15</v>
      </c>
      <c r="D157" t="s">
        <v>19</v>
      </c>
      <c r="E157" t="s">
        <v>95</v>
      </c>
      <c r="F157" t="s">
        <v>113</v>
      </c>
      <c r="G157" t="s">
        <v>121</v>
      </c>
      <c r="H157" t="s">
        <v>113</v>
      </c>
      <c r="J157">
        <v>0</v>
      </c>
      <c r="K157">
        <v>3</v>
      </c>
      <c r="L157">
        <v>83.757575759999995</v>
      </c>
      <c r="M157">
        <v>22.60997987</v>
      </c>
      <c r="N157">
        <v>0.72884000000000004</v>
      </c>
      <c r="O157">
        <v>0.21301339999999999</v>
      </c>
      <c r="P157">
        <v>83.757575759999995</v>
      </c>
      <c r="Q157">
        <v>22.60997987</v>
      </c>
      <c r="R157">
        <v>0.72884000000000004</v>
      </c>
      <c r="S157">
        <v>0.21301339999999999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</row>
    <row r="158" spans="1:27" x14ac:dyDescent="0.25">
      <c r="A158" t="s">
        <v>18</v>
      </c>
      <c r="B158" t="s">
        <v>913</v>
      </c>
      <c r="C158">
        <v>16</v>
      </c>
      <c r="D158" t="s">
        <v>19</v>
      </c>
      <c r="E158" t="s">
        <v>95</v>
      </c>
      <c r="F158" t="s">
        <v>113</v>
      </c>
      <c r="G158" t="s">
        <v>121</v>
      </c>
      <c r="H158" t="s">
        <v>808</v>
      </c>
      <c r="J158">
        <v>0</v>
      </c>
      <c r="K158">
        <v>1</v>
      </c>
      <c r="L158">
        <v>83.757575759999995</v>
      </c>
      <c r="M158">
        <v>22.60997987</v>
      </c>
      <c r="N158">
        <v>0.72884000000000004</v>
      </c>
      <c r="O158">
        <v>0.21301339999999999</v>
      </c>
      <c r="P158">
        <v>102.79166669999999</v>
      </c>
      <c r="Q158">
        <v>27.057373470000002</v>
      </c>
      <c r="R158">
        <v>6.3567849939999999</v>
      </c>
      <c r="S158" t="s">
        <v>114</v>
      </c>
      <c r="T158">
        <v>-19.034090939999999</v>
      </c>
      <c r="U158">
        <v>19.034090939999999</v>
      </c>
      <c r="V158">
        <v>-4.4473935999999998</v>
      </c>
      <c r="W158">
        <v>4.4473935999999998</v>
      </c>
      <c r="X158">
        <v>-5.6279449939999999</v>
      </c>
      <c r="Y158">
        <v>5.6279449939999999</v>
      </c>
      <c r="Z158" t="s">
        <v>114</v>
      </c>
      <c r="AA158" t="s">
        <v>114</v>
      </c>
    </row>
    <row r="159" spans="1:27" x14ac:dyDescent="0.25">
      <c r="A159" t="s">
        <v>18</v>
      </c>
      <c r="B159" t="s">
        <v>913</v>
      </c>
      <c r="C159">
        <v>17</v>
      </c>
      <c r="D159" t="s">
        <v>19</v>
      </c>
      <c r="E159" t="s">
        <v>95</v>
      </c>
      <c r="F159" t="s">
        <v>113</v>
      </c>
      <c r="G159" t="s">
        <v>121</v>
      </c>
      <c r="H159" t="s">
        <v>242</v>
      </c>
      <c r="J159">
        <v>0</v>
      </c>
      <c r="K159">
        <v>15</v>
      </c>
      <c r="L159">
        <v>83.757575759999995</v>
      </c>
      <c r="M159">
        <v>22.60997987</v>
      </c>
      <c r="N159">
        <v>0.72884000000000004</v>
      </c>
      <c r="O159">
        <v>0.21301339999999999</v>
      </c>
      <c r="P159">
        <v>139.375</v>
      </c>
      <c r="Q159">
        <v>23.713465920000001</v>
      </c>
      <c r="R159" t="s">
        <v>114</v>
      </c>
      <c r="S159" t="s">
        <v>114</v>
      </c>
      <c r="T159">
        <v>-55.617424239999998</v>
      </c>
      <c r="U159">
        <v>55.617424239999998</v>
      </c>
      <c r="V159">
        <v>-1.1034860500000001</v>
      </c>
      <c r="W159">
        <v>1.1034860500000001</v>
      </c>
      <c r="X159" t="s">
        <v>114</v>
      </c>
      <c r="Y159" t="s">
        <v>114</v>
      </c>
      <c r="Z159" t="s">
        <v>114</v>
      </c>
      <c r="AA159" t="s">
        <v>114</v>
      </c>
    </row>
    <row r="160" spans="1:27" x14ac:dyDescent="0.25">
      <c r="A160" t="s">
        <v>18</v>
      </c>
      <c r="B160" t="s">
        <v>914</v>
      </c>
      <c r="C160">
        <v>15</v>
      </c>
      <c r="D160" t="s">
        <v>19</v>
      </c>
      <c r="E160" t="s">
        <v>95</v>
      </c>
      <c r="F160" t="s">
        <v>111</v>
      </c>
      <c r="G160" t="s">
        <v>121</v>
      </c>
      <c r="H160" t="s">
        <v>113</v>
      </c>
      <c r="J160">
        <v>0</v>
      </c>
      <c r="K160">
        <v>2</v>
      </c>
      <c r="L160">
        <v>94.97142857</v>
      </c>
      <c r="M160">
        <v>24.31591813</v>
      </c>
      <c r="N160">
        <v>0.122951111</v>
      </c>
      <c r="O160">
        <v>0.39050790000000002</v>
      </c>
      <c r="P160">
        <v>83.757575759999995</v>
      </c>
      <c r="Q160">
        <v>22.60997987</v>
      </c>
      <c r="R160">
        <v>0.72884000000000004</v>
      </c>
      <c r="S160">
        <v>0.21301339999999999</v>
      </c>
      <c r="T160">
        <v>11.213852810000001</v>
      </c>
      <c r="U160">
        <v>11.213852810000001</v>
      </c>
      <c r="V160">
        <v>1.7059382599999999</v>
      </c>
      <c r="W160">
        <v>1.7059382599999999</v>
      </c>
      <c r="X160">
        <v>-0.60588888900000004</v>
      </c>
      <c r="Y160">
        <v>0.60588888900000004</v>
      </c>
      <c r="Z160">
        <v>0.17749450000000003</v>
      </c>
      <c r="AA160">
        <v>0.17749450000000003</v>
      </c>
    </row>
    <row r="161" spans="1:27" x14ac:dyDescent="0.25">
      <c r="A161" t="s">
        <v>18</v>
      </c>
      <c r="B161" t="s">
        <v>914</v>
      </c>
      <c r="C161">
        <v>16</v>
      </c>
      <c r="D161" t="s">
        <v>19</v>
      </c>
      <c r="E161" t="s">
        <v>95</v>
      </c>
      <c r="F161" t="s">
        <v>111</v>
      </c>
      <c r="G161" t="s">
        <v>121</v>
      </c>
      <c r="H161" t="s">
        <v>242</v>
      </c>
      <c r="J161">
        <v>0</v>
      </c>
      <c r="K161">
        <v>2</v>
      </c>
      <c r="L161">
        <v>94.97142857</v>
      </c>
      <c r="M161">
        <v>24.31591813</v>
      </c>
      <c r="N161">
        <v>0.122951111</v>
      </c>
      <c r="O161">
        <v>0.39050790000000002</v>
      </c>
      <c r="P161">
        <v>139.375</v>
      </c>
      <c r="Q161">
        <v>23.713465920000001</v>
      </c>
      <c r="R161" t="s">
        <v>114</v>
      </c>
      <c r="S161" t="s">
        <v>114</v>
      </c>
      <c r="T161">
        <v>-44.40357143</v>
      </c>
      <c r="U161">
        <v>44.40357143</v>
      </c>
      <c r="V161">
        <v>0.60245221000000004</v>
      </c>
      <c r="W161">
        <v>0.60245221000000004</v>
      </c>
      <c r="X161" t="s">
        <v>114</v>
      </c>
      <c r="Y161" t="s">
        <v>114</v>
      </c>
      <c r="Z161" t="s">
        <v>114</v>
      </c>
      <c r="AA161" t="s">
        <v>114</v>
      </c>
    </row>
    <row r="162" spans="1:27" x14ac:dyDescent="0.25">
      <c r="A162" t="s">
        <v>18</v>
      </c>
      <c r="B162" t="s">
        <v>915</v>
      </c>
      <c r="C162">
        <v>15</v>
      </c>
      <c r="D162" t="s">
        <v>19</v>
      </c>
      <c r="E162" t="s">
        <v>95</v>
      </c>
      <c r="F162" t="s">
        <v>104</v>
      </c>
      <c r="G162" t="s">
        <v>121</v>
      </c>
      <c r="H162" t="s">
        <v>247</v>
      </c>
      <c r="J162">
        <v>0</v>
      </c>
      <c r="K162">
        <v>1</v>
      </c>
      <c r="L162">
        <v>113.9375</v>
      </c>
      <c r="M162">
        <v>33.375507550000002</v>
      </c>
      <c r="N162">
        <v>2.4262999999999999</v>
      </c>
      <c r="O162">
        <v>0.40692159999999999</v>
      </c>
      <c r="P162">
        <v>65.791044779999993</v>
      </c>
      <c r="Q162">
        <v>22.94519201</v>
      </c>
      <c r="R162">
        <v>8.1320334999999994E-2</v>
      </c>
      <c r="S162">
        <v>0.17285655</v>
      </c>
      <c r="T162">
        <v>48.14645522</v>
      </c>
      <c r="U162">
        <v>48.14645522</v>
      </c>
      <c r="V162">
        <v>10.43031554</v>
      </c>
      <c r="W162">
        <v>10.43031554</v>
      </c>
      <c r="X162">
        <v>2.3449796649999999</v>
      </c>
      <c r="Y162">
        <v>2.3449796649999999</v>
      </c>
      <c r="Z162">
        <v>0.23406505</v>
      </c>
      <c r="AA162">
        <v>0.23406505</v>
      </c>
    </row>
    <row r="163" spans="1:27" x14ac:dyDescent="0.25">
      <c r="A163" t="s">
        <v>18</v>
      </c>
      <c r="B163" t="s">
        <v>915</v>
      </c>
      <c r="C163">
        <v>16</v>
      </c>
      <c r="D163" t="s">
        <v>19</v>
      </c>
      <c r="E163" t="s">
        <v>95</v>
      </c>
      <c r="F163" t="s">
        <v>104</v>
      </c>
      <c r="G163" t="s">
        <v>121</v>
      </c>
      <c r="H163" t="s">
        <v>113</v>
      </c>
      <c r="J163">
        <v>0</v>
      </c>
      <c r="K163">
        <v>3</v>
      </c>
      <c r="L163">
        <v>113.9375</v>
      </c>
      <c r="M163">
        <v>33.375507550000002</v>
      </c>
      <c r="N163">
        <v>2.4262999999999999</v>
      </c>
      <c r="O163">
        <v>0.40692159999999999</v>
      </c>
      <c r="P163">
        <v>83.757575759999995</v>
      </c>
      <c r="Q163">
        <v>22.60997987</v>
      </c>
      <c r="R163">
        <v>0.72884000000000004</v>
      </c>
      <c r="S163">
        <v>0.21301339999999999</v>
      </c>
      <c r="T163">
        <v>30.179924239999998</v>
      </c>
      <c r="U163">
        <v>30.179924239999998</v>
      </c>
      <c r="V163">
        <v>10.76552768</v>
      </c>
      <c r="W163">
        <v>10.76552768</v>
      </c>
      <c r="X163">
        <v>1.69746</v>
      </c>
      <c r="Y163">
        <v>1.69746</v>
      </c>
      <c r="Z163">
        <v>0.1939082</v>
      </c>
      <c r="AA163">
        <v>0.1939082</v>
      </c>
    </row>
    <row r="164" spans="1:27" x14ac:dyDescent="0.25">
      <c r="A164" t="s">
        <v>18</v>
      </c>
      <c r="B164" t="s">
        <v>916</v>
      </c>
      <c r="C164">
        <v>15</v>
      </c>
      <c r="D164" t="s">
        <v>19</v>
      </c>
      <c r="E164" t="s">
        <v>95</v>
      </c>
      <c r="F164" t="s">
        <v>112</v>
      </c>
      <c r="G164" t="s">
        <v>113</v>
      </c>
      <c r="H164" t="s">
        <v>113</v>
      </c>
      <c r="J164">
        <v>0</v>
      </c>
      <c r="K164">
        <v>1</v>
      </c>
      <c r="L164">
        <v>65.09375</v>
      </c>
      <c r="M164">
        <v>37.895352600000002</v>
      </c>
      <c r="N164">
        <v>2.2882677779999998</v>
      </c>
      <c r="O164">
        <v>2.2111774</v>
      </c>
      <c r="P164">
        <v>83.757575759999995</v>
      </c>
      <c r="Q164">
        <v>22.60997987</v>
      </c>
      <c r="R164">
        <v>0.72884000000000004</v>
      </c>
      <c r="S164">
        <v>0.21301339999999999</v>
      </c>
      <c r="T164">
        <v>-18.663825760000002</v>
      </c>
      <c r="U164">
        <v>18.663825760000002</v>
      </c>
      <c r="V164">
        <v>15.285372730000001</v>
      </c>
      <c r="W164">
        <v>15.285372730000001</v>
      </c>
      <c r="X164">
        <v>1.5594277780000001</v>
      </c>
      <c r="Y164">
        <v>1.5594277780000001</v>
      </c>
      <c r="Z164">
        <v>1.9981640000000001</v>
      </c>
      <c r="AA164">
        <v>1.9981640000000001</v>
      </c>
    </row>
    <row r="165" spans="1:27" x14ac:dyDescent="0.25">
      <c r="A165" t="s">
        <v>20</v>
      </c>
      <c r="B165" t="s">
        <v>917</v>
      </c>
      <c r="C165">
        <v>15</v>
      </c>
      <c r="D165" t="s">
        <v>21</v>
      </c>
      <c r="E165" t="s">
        <v>94</v>
      </c>
      <c r="F165" t="s">
        <v>102</v>
      </c>
      <c r="G165" t="s">
        <v>121</v>
      </c>
      <c r="H165" t="s">
        <v>246</v>
      </c>
      <c r="J165">
        <v>0</v>
      </c>
      <c r="K165">
        <v>1</v>
      </c>
      <c r="L165">
        <v>84.740740740000007</v>
      </c>
      <c r="M165">
        <v>29.167014049999999</v>
      </c>
      <c r="N165">
        <v>1.1169849999999999</v>
      </c>
      <c r="O165">
        <v>1.1571499000000001</v>
      </c>
      <c r="P165">
        <v>120.25</v>
      </c>
      <c r="Q165">
        <v>30.670450110000001</v>
      </c>
      <c r="R165">
        <v>0.91037498500000003</v>
      </c>
      <c r="S165" t="s">
        <v>114</v>
      </c>
      <c r="T165">
        <v>-35.50925926</v>
      </c>
      <c r="U165">
        <v>35.50925926</v>
      </c>
      <c r="V165">
        <v>-1.5034360600000001</v>
      </c>
      <c r="W165">
        <v>1.5034360600000001</v>
      </c>
      <c r="X165">
        <v>0.20661001500000001</v>
      </c>
      <c r="Y165">
        <v>0.20661001500000001</v>
      </c>
      <c r="Z165" t="s">
        <v>114</v>
      </c>
      <c r="AA165" t="s">
        <v>114</v>
      </c>
    </row>
    <row r="166" spans="1:27" x14ac:dyDescent="0.25">
      <c r="A166" t="s">
        <v>20</v>
      </c>
      <c r="B166" t="s">
        <v>918</v>
      </c>
      <c r="C166">
        <v>15</v>
      </c>
      <c r="D166" t="s">
        <v>21</v>
      </c>
      <c r="E166" t="s">
        <v>94</v>
      </c>
      <c r="F166" t="s">
        <v>113</v>
      </c>
      <c r="G166" t="s">
        <v>113</v>
      </c>
      <c r="H166" t="s">
        <v>113</v>
      </c>
      <c r="J166">
        <v>0</v>
      </c>
      <c r="K166">
        <v>1</v>
      </c>
      <c r="L166">
        <v>83.757575759999995</v>
      </c>
      <c r="M166">
        <v>22.60997987</v>
      </c>
      <c r="N166">
        <v>0.72884000000000004</v>
      </c>
      <c r="O166">
        <v>0.21301339999999999</v>
      </c>
      <c r="P166">
        <v>83.757575759999995</v>
      </c>
      <c r="Q166">
        <v>22.60997987</v>
      </c>
      <c r="R166">
        <v>0.72884000000000004</v>
      </c>
      <c r="S166">
        <v>0.21301339999999999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</row>
    <row r="167" spans="1:27" x14ac:dyDescent="0.25">
      <c r="A167" t="s">
        <v>20</v>
      </c>
      <c r="B167" t="s">
        <v>919</v>
      </c>
      <c r="C167">
        <v>15</v>
      </c>
      <c r="D167" t="s">
        <v>21</v>
      </c>
      <c r="E167" t="s">
        <v>94</v>
      </c>
      <c r="F167" t="s">
        <v>110</v>
      </c>
      <c r="G167" t="s">
        <v>121</v>
      </c>
      <c r="H167" t="s">
        <v>113</v>
      </c>
      <c r="J167">
        <v>0</v>
      </c>
      <c r="K167">
        <v>2</v>
      </c>
      <c r="L167">
        <v>73.260869569999997</v>
      </c>
      <c r="M167">
        <v>34.453830549999999</v>
      </c>
      <c r="N167">
        <v>1.058333333</v>
      </c>
      <c r="O167">
        <v>0.90897070000000002</v>
      </c>
      <c r="P167">
        <v>83.757575759999995</v>
      </c>
      <c r="Q167">
        <v>22.60997987</v>
      </c>
      <c r="R167">
        <v>0.72884000000000004</v>
      </c>
      <c r="S167">
        <v>0.21301339999999999</v>
      </c>
      <c r="T167">
        <v>-10.496706189999999</v>
      </c>
      <c r="U167">
        <v>10.496706189999999</v>
      </c>
      <c r="V167">
        <v>11.843850679999999</v>
      </c>
      <c r="W167">
        <v>11.843850679999999</v>
      </c>
      <c r="X167">
        <v>0.329493333</v>
      </c>
      <c r="Y167">
        <v>0.329493333</v>
      </c>
      <c r="Z167">
        <v>0.6959573</v>
      </c>
      <c r="AA167">
        <v>0.6959573</v>
      </c>
    </row>
    <row r="168" spans="1:27" x14ac:dyDescent="0.25">
      <c r="A168" t="s">
        <v>20</v>
      </c>
      <c r="B168" t="s">
        <v>919</v>
      </c>
      <c r="C168">
        <v>16</v>
      </c>
      <c r="D168" t="s">
        <v>21</v>
      </c>
      <c r="E168" t="s">
        <v>94</v>
      </c>
      <c r="F168" t="s">
        <v>110</v>
      </c>
      <c r="G168" t="s">
        <v>121</v>
      </c>
      <c r="H168" t="s">
        <v>102</v>
      </c>
      <c r="J168">
        <v>0</v>
      </c>
      <c r="K168">
        <v>1</v>
      </c>
      <c r="L168">
        <v>73.260869569999997</v>
      </c>
      <c r="M168">
        <v>34.453830549999999</v>
      </c>
      <c r="N168">
        <v>1.058333333</v>
      </c>
      <c r="O168">
        <v>0.90897070000000002</v>
      </c>
      <c r="P168">
        <v>84.740740740000007</v>
      </c>
      <c r="Q168">
        <v>29.167014049999999</v>
      </c>
      <c r="R168">
        <v>1.1169849999999999</v>
      </c>
      <c r="S168">
        <v>1.1571499000000001</v>
      </c>
      <c r="T168">
        <v>-11.479871169999999</v>
      </c>
      <c r="U168">
        <v>11.479871169999999</v>
      </c>
      <c r="V168">
        <v>5.2868164999999996</v>
      </c>
      <c r="W168">
        <v>5.2868164999999996</v>
      </c>
      <c r="X168">
        <v>-5.8651666999999998E-2</v>
      </c>
      <c r="Y168">
        <v>5.8651666999999998E-2</v>
      </c>
      <c r="Z168">
        <v>-0.24817920000000004</v>
      </c>
      <c r="AA168">
        <v>0.24817920000000004</v>
      </c>
    </row>
    <row r="169" spans="1:27" x14ac:dyDescent="0.25">
      <c r="A169" t="s">
        <v>20</v>
      </c>
      <c r="B169" t="s">
        <v>920</v>
      </c>
      <c r="C169">
        <v>15</v>
      </c>
      <c r="D169" t="s">
        <v>21</v>
      </c>
      <c r="E169" t="s">
        <v>94</v>
      </c>
      <c r="F169" t="s">
        <v>111</v>
      </c>
      <c r="G169" t="s">
        <v>121</v>
      </c>
      <c r="H169" t="s">
        <v>110</v>
      </c>
      <c r="J169">
        <v>0</v>
      </c>
      <c r="K169">
        <v>1</v>
      </c>
      <c r="L169">
        <v>94.97142857</v>
      </c>
      <c r="M169">
        <v>24.31591813</v>
      </c>
      <c r="N169">
        <v>0.122951111</v>
      </c>
      <c r="O169">
        <v>0.39050790000000002</v>
      </c>
      <c r="P169">
        <v>73.260869569999997</v>
      </c>
      <c r="Q169">
        <v>34.453830549999999</v>
      </c>
      <c r="R169">
        <v>1.058333333</v>
      </c>
      <c r="S169">
        <v>0.90897070000000002</v>
      </c>
      <c r="T169">
        <v>21.710559</v>
      </c>
      <c r="U169">
        <v>21.710559</v>
      </c>
      <c r="V169">
        <v>-10.137912419999999</v>
      </c>
      <c r="W169">
        <v>10.137912419999999</v>
      </c>
      <c r="X169">
        <v>-0.93538222199999999</v>
      </c>
      <c r="Y169">
        <v>0.93538222199999999</v>
      </c>
      <c r="Z169">
        <v>-0.5184628</v>
      </c>
      <c r="AA169">
        <v>0.5184628</v>
      </c>
    </row>
    <row r="170" spans="1:27" x14ac:dyDescent="0.25">
      <c r="A170" t="s">
        <v>22</v>
      </c>
      <c r="B170" t="s">
        <v>921</v>
      </c>
      <c r="C170">
        <v>15</v>
      </c>
      <c r="D170" t="s">
        <v>23</v>
      </c>
      <c r="E170" t="s">
        <v>95</v>
      </c>
      <c r="F170" t="s">
        <v>102</v>
      </c>
      <c r="G170" t="s">
        <v>121</v>
      </c>
      <c r="H170" t="s">
        <v>236</v>
      </c>
      <c r="J170">
        <v>0</v>
      </c>
      <c r="K170">
        <v>1</v>
      </c>
      <c r="L170">
        <v>84.740740740000007</v>
      </c>
      <c r="M170">
        <v>29.167014049999999</v>
      </c>
      <c r="N170">
        <v>1.1169849999999999</v>
      </c>
      <c r="O170">
        <v>1.1571499000000001</v>
      </c>
      <c r="P170">
        <v>113.33333330000001</v>
      </c>
      <c r="Q170">
        <v>26.41632581</v>
      </c>
      <c r="R170">
        <v>1.6844570160000001</v>
      </c>
      <c r="S170">
        <v>8.9285710000000004E-2</v>
      </c>
      <c r="T170">
        <v>-28.59259256</v>
      </c>
      <c r="U170">
        <v>28.59259256</v>
      </c>
      <c r="V170">
        <v>2.7506882400000001</v>
      </c>
      <c r="W170">
        <v>2.7506882400000001</v>
      </c>
      <c r="X170">
        <v>-0.56747201599999997</v>
      </c>
      <c r="Y170">
        <v>0.56747201599999997</v>
      </c>
      <c r="Z170">
        <v>1.0678641900000001</v>
      </c>
      <c r="AA170">
        <v>1.0678641900000001</v>
      </c>
    </row>
    <row r="171" spans="1:27" x14ac:dyDescent="0.25">
      <c r="A171" t="s">
        <v>22</v>
      </c>
      <c r="B171" t="s">
        <v>922</v>
      </c>
      <c r="C171">
        <v>15</v>
      </c>
      <c r="D171" t="s">
        <v>23</v>
      </c>
      <c r="E171" t="s">
        <v>95</v>
      </c>
      <c r="F171" t="s">
        <v>105</v>
      </c>
      <c r="G171" t="s">
        <v>121</v>
      </c>
      <c r="H171" t="s">
        <v>113</v>
      </c>
      <c r="J171">
        <v>0</v>
      </c>
      <c r="K171">
        <v>4</v>
      </c>
      <c r="L171">
        <v>67.5</v>
      </c>
      <c r="M171">
        <v>47.937235809999997</v>
      </c>
      <c r="N171">
        <v>0.41599678000000001</v>
      </c>
      <c r="O171">
        <v>2.0950346999999998</v>
      </c>
      <c r="P171">
        <v>83.757575759999995</v>
      </c>
      <c r="Q171">
        <v>22.60997987</v>
      </c>
      <c r="R171">
        <v>0.72884000000000004</v>
      </c>
      <c r="S171">
        <v>0.21301339999999999</v>
      </c>
      <c r="T171">
        <v>-16.257575760000002</v>
      </c>
      <c r="U171">
        <v>16.257575760000002</v>
      </c>
      <c r="V171">
        <v>25.327255940000001</v>
      </c>
      <c r="W171">
        <v>25.327255940000001</v>
      </c>
      <c r="X171">
        <v>-0.31284321999999998</v>
      </c>
      <c r="Y171">
        <v>0.31284321999999998</v>
      </c>
      <c r="Z171">
        <v>1.8820212999999999</v>
      </c>
      <c r="AA171">
        <v>1.8820212999999999</v>
      </c>
    </row>
    <row r="172" spans="1:27" x14ac:dyDescent="0.25">
      <c r="A172" t="s">
        <v>22</v>
      </c>
      <c r="B172" t="s">
        <v>922</v>
      </c>
      <c r="C172">
        <v>16</v>
      </c>
      <c r="D172" t="s">
        <v>23</v>
      </c>
      <c r="E172" t="s">
        <v>95</v>
      </c>
      <c r="F172" t="s">
        <v>105</v>
      </c>
      <c r="G172" t="s">
        <v>121</v>
      </c>
      <c r="H172" t="s">
        <v>103</v>
      </c>
      <c r="J172">
        <v>0</v>
      </c>
      <c r="K172">
        <v>1</v>
      </c>
      <c r="L172">
        <v>67.5</v>
      </c>
      <c r="M172">
        <v>47.937235809999997</v>
      </c>
      <c r="N172">
        <v>0.41599678000000001</v>
      </c>
      <c r="O172">
        <v>2.0950346999999998</v>
      </c>
      <c r="P172">
        <v>98.291666669999998</v>
      </c>
      <c r="Q172">
        <v>30.315130790000001</v>
      </c>
      <c r="R172">
        <v>5.0803484000000003E-2</v>
      </c>
      <c r="S172">
        <v>0.42866070000000001</v>
      </c>
      <c r="T172">
        <v>-30.791666670000001</v>
      </c>
      <c r="U172">
        <v>30.791666670000001</v>
      </c>
      <c r="V172">
        <v>17.622105019999999</v>
      </c>
      <c r="W172">
        <v>17.622105019999999</v>
      </c>
      <c r="X172">
        <v>0.365193296</v>
      </c>
      <c r="Y172">
        <v>0.365193296</v>
      </c>
      <c r="Z172">
        <v>1.6663739999999998</v>
      </c>
      <c r="AA172">
        <v>1.6663739999999998</v>
      </c>
    </row>
    <row r="173" spans="1:27" x14ac:dyDescent="0.25">
      <c r="A173" t="s">
        <v>22</v>
      </c>
      <c r="B173" t="s">
        <v>922</v>
      </c>
      <c r="C173">
        <v>17</v>
      </c>
      <c r="D173" t="s">
        <v>23</v>
      </c>
      <c r="E173" t="s">
        <v>95</v>
      </c>
      <c r="F173" t="s">
        <v>105</v>
      </c>
      <c r="G173" t="s">
        <v>121</v>
      </c>
      <c r="H173" t="s">
        <v>234</v>
      </c>
      <c r="J173">
        <v>0</v>
      </c>
      <c r="K173">
        <v>1</v>
      </c>
      <c r="L173">
        <v>67.5</v>
      </c>
      <c r="M173">
        <v>47.937235809999997</v>
      </c>
      <c r="N173">
        <v>0.41599678000000001</v>
      </c>
      <c r="O173">
        <v>2.0950346999999998</v>
      </c>
      <c r="P173">
        <v>89.8125</v>
      </c>
      <c r="Q173">
        <v>34.754706650000003</v>
      </c>
      <c r="R173">
        <v>2.3065078999999999E-2</v>
      </c>
      <c r="S173">
        <v>2.4791666700000001</v>
      </c>
      <c r="T173">
        <v>-22.3125</v>
      </c>
      <c r="U173">
        <v>22.3125</v>
      </c>
      <c r="V173">
        <v>13.18252916</v>
      </c>
      <c r="W173">
        <v>13.18252916</v>
      </c>
      <c r="X173">
        <v>0.39293170100000002</v>
      </c>
      <c r="Y173">
        <v>0.39293170100000002</v>
      </c>
      <c r="Z173">
        <v>-0.38413197000000032</v>
      </c>
      <c r="AA173">
        <v>0.38413197000000032</v>
      </c>
    </row>
    <row r="174" spans="1:27" x14ac:dyDescent="0.25">
      <c r="A174" t="s">
        <v>22</v>
      </c>
      <c r="B174" t="s">
        <v>923</v>
      </c>
      <c r="C174">
        <v>15</v>
      </c>
      <c r="D174" t="s">
        <v>23</v>
      </c>
      <c r="E174" t="s">
        <v>95</v>
      </c>
      <c r="F174" t="s">
        <v>103</v>
      </c>
      <c r="G174" t="s">
        <v>103</v>
      </c>
      <c r="H174" t="s">
        <v>103</v>
      </c>
      <c r="J174">
        <v>0</v>
      </c>
      <c r="K174">
        <v>6</v>
      </c>
      <c r="L174">
        <v>98.291666669999998</v>
      </c>
      <c r="M174">
        <v>30.315130790000001</v>
      </c>
      <c r="N174">
        <v>5.0803484000000003E-2</v>
      </c>
      <c r="O174">
        <v>0.42866070000000001</v>
      </c>
      <c r="P174">
        <v>98.291666669999998</v>
      </c>
      <c r="Q174">
        <v>30.315130790000001</v>
      </c>
      <c r="R174">
        <v>5.0803484000000003E-2</v>
      </c>
      <c r="S174">
        <v>0.42866070000000001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</row>
    <row r="175" spans="1:27" x14ac:dyDescent="0.25">
      <c r="A175" t="s">
        <v>22</v>
      </c>
      <c r="B175" t="s">
        <v>923</v>
      </c>
      <c r="C175">
        <v>16</v>
      </c>
      <c r="D175" t="s">
        <v>23</v>
      </c>
      <c r="E175" t="s">
        <v>95</v>
      </c>
      <c r="F175" t="s">
        <v>103</v>
      </c>
      <c r="G175" t="s">
        <v>103</v>
      </c>
      <c r="H175" t="s">
        <v>248</v>
      </c>
      <c r="J175">
        <v>0</v>
      </c>
      <c r="K175">
        <v>4</v>
      </c>
      <c r="L175">
        <v>98.291666669999998</v>
      </c>
      <c r="M175">
        <v>30.315130790000001</v>
      </c>
      <c r="N175">
        <v>5.0803484000000003E-2</v>
      </c>
      <c r="O175">
        <v>0.42866070000000001</v>
      </c>
      <c r="P175">
        <v>83.92307692</v>
      </c>
      <c r="Q175">
        <v>44.319135699999997</v>
      </c>
      <c r="R175">
        <v>5.9548609999999997E-3</v>
      </c>
      <c r="S175">
        <v>0.18017928</v>
      </c>
      <c r="T175">
        <v>14.36858975</v>
      </c>
      <c r="U175">
        <v>14.36858975</v>
      </c>
      <c r="V175">
        <v>-14.004004910000001</v>
      </c>
      <c r="W175">
        <v>14.004004910000001</v>
      </c>
      <c r="X175">
        <v>4.4848622999999997E-2</v>
      </c>
      <c r="Y175">
        <v>4.4848622999999997E-2</v>
      </c>
      <c r="Z175">
        <v>0.24848142000000001</v>
      </c>
      <c r="AA175">
        <v>0.24848142000000001</v>
      </c>
    </row>
    <row r="176" spans="1:27" x14ac:dyDescent="0.25">
      <c r="A176" t="s">
        <v>22</v>
      </c>
      <c r="B176" t="s">
        <v>924</v>
      </c>
      <c r="C176">
        <v>15</v>
      </c>
      <c r="D176" t="s">
        <v>23</v>
      </c>
      <c r="E176" t="s">
        <v>95</v>
      </c>
      <c r="F176" t="s">
        <v>111</v>
      </c>
      <c r="G176" t="s">
        <v>121</v>
      </c>
      <c r="H176" t="s">
        <v>112</v>
      </c>
      <c r="J176">
        <v>1</v>
      </c>
      <c r="K176">
        <v>1</v>
      </c>
      <c r="L176">
        <v>94.97142857</v>
      </c>
      <c r="M176">
        <v>24.31591813</v>
      </c>
      <c r="N176">
        <v>0.122951111</v>
      </c>
      <c r="O176">
        <v>0.39050790000000002</v>
      </c>
      <c r="P176">
        <v>65.09375</v>
      </c>
      <c r="Q176">
        <v>37.895352600000002</v>
      </c>
      <c r="R176">
        <v>2.2882677779999998</v>
      </c>
      <c r="S176">
        <v>2.2111774</v>
      </c>
      <c r="T176">
        <v>29.87767857</v>
      </c>
      <c r="U176">
        <v>29.87767857</v>
      </c>
      <c r="V176">
        <v>-13.579434470000001</v>
      </c>
      <c r="W176">
        <v>13.579434470000001</v>
      </c>
      <c r="X176">
        <v>-2.1653166669999999</v>
      </c>
      <c r="Y176">
        <v>2.1653166669999999</v>
      </c>
      <c r="Z176">
        <v>-1.8206694999999999</v>
      </c>
      <c r="AA176">
        <v>1.8206694999999999</v>
      </c>
    </row>
    <row r="177" spans="1:27" x14ac:dyDescent="0.25">
      <c r="A177" t="s">
        <v>22</v>
      </c>
      <c r="B177" t="s">
        <v>924</v>
      </c>
      <c r="C177">
        <v>16</v>
      </c>
      <c r="D177" t="s">
        <v>23</v>
      </c>
      <c r="E177" t="s">
        <v>95</v>
      </c>
      <c r="F177" t="s">
        <v>111</v>
      </c>
      <c r="G177" t="s">
        <v>121</v>
      </c>
      <c r="H177" t="s">
        <v>239</v>
      </c>
      <c r="J177">
        <v>1</v>
      </c>
      <c r="K177">
        <v>1</v>
      </c>
      <c r="L177">
        <v>94.97142857</v>
      </c>
      <c r="M177">
        <v>24.31591813</v>
      </c>
      <c r="N177">
        <v>0.122951111</v>
      </c>
      <c r="O177">
        <v>0.39050790000000002</v>
      </c>
      <c r="P177">
        <v>100.45454549999999</v>
      </c>
      <c r="Q177">
        <v>26.754810689999999</v>
      </c>
      <c r="R177">
        <v>0.75829999999999997</v>
      </c>
      <c r="S177">
        <v>0.40907861000000001</v>
      </c>
      <c r="T177">
        <v>-5.4831169299999996</v>
      </c>
      <c r="U177">
        <v>5.4831169299999996</v>
      </c>
      <c r="V177">
        <v>-2.4388925600000002</v>
      </c>
      <c r="W177">
        <v>2.4388925600000002</v>
      </c>
      <c r="X177">
        <v>-0.63534888899999997</v>
      </c>
      <c r="Y177">
        <v>0.63534888899999997</v>
      </c>
      <c r="Z177">
        <v>-1.857070999999999E-2</v>
      </c>
      <c r="AA177">
        <v>1.857070999999999E-2</v>
      </c>
    </row>
    <row r="178" spans="1:27" x14ac:dyDescent="0.25">
      <c r="A178" t="s">
        <v>22</v>
      </c>
      <c r="B178" t="s">
        <v>924</v>
      </c>
      <c r="C178">
        <v>17</v>
      </c>
      <c r="D178" t="s">
        <v>23</v>
      </c>
      <c r="E178" t="s">
        <v>95</v>
      </c>
      <c r="F178" t="s">
        <v>111</v>
      </c>
      <c r="G178" t="s">
        <v>121</v>
      </c>
      <c r="H178" t="s">
        <v>248</v>
      </c>
      <c r="J178">
        <v>1</v>
      </c>
      <c r="K178">
        <v>5</v>
      </c>
      <c r="L178">
        <v>94.97142857</v>
      </c>
      <c r="M178">
        <v>24.31591813</v>
      </c>
      <c r="N178">
        <v>0.122951111</v>
      </c>
      <c r="O178">
        <v>0.39050790000000002</v>
      </c>
      <c r="P178">
        <v>83.92307692</v>
      </c>
      <c r="Q178">
        <v>44.319135699999997</v>
      </c>
      <c r="R178">
        <v>5.9548609999999997E-3</v>
      </c>
      <c r="S178">
        <v>0.18017928</v>
      </c>
      <c r="T178">
        <v>11.048351650000001</v>
      </c>
      <c r="U178">
        <v>11.048351650000001</v>
      </c>
      <c r="V178">
        <v>-20.00321757</v>
      </c>
      <c r="W178">
        <v>20.00321757</v>
      </c>
      <c r="X178">
        <v>0.11699625</v>
      </c>
      <c r="Y178">
        <v>0.11699625</v>
      </c>
      <c r="Z178">
        <v>0.21032862000000002</v>
      </c>
      <c r="AA178">
        <v>0.21032862000000002</v>
      </c>
    </row>
    <row r="179" spans="1:27" x14ac:dyDescent="0.25">
      <c r="A179" t="s">
        <v>22</v>
      </c>
      <c r="B179" t="s">
        <v>925</v>
      </c>
      <c r="C179">
        <v>15</v>
      </c>
      <c r="D179" t="s">
        <v>23</v>
      </c>
      <c r="E179" t="s">
        <v>95</v>
      </c>
      <c r="F179" t="s">
        <v>112</v>
      </c>
      <c r="G179" t="s">
        <v>103</v>
      </c>
      <c r="H179" t="s">
        <v>103</v>
      </c>
      <c r="J179">
        <v>0</v>
      </c>
      <c r="K179">
        <v>3</v>
      </c>
      <c r="L179">
        <v>65.09375</v>
      </c>
      <c r="M179">
        <v>37.895352600000002</v>
      </c>
      <c r="N179">
        <v>2.2882677779999998</v>
      </c>
      <c r="O179">
        <v>2.2111774</v>
      </c>
      <c r="P179">
        <v>98.291666669999998</v>
      </c>
      <c r="Q179">
        <v>30.315130790000001</v>
      </c>
      <c r="R179">
        <v>5.0803484000000003E-2</v>
      </c>
      <c r="S179">
        <v>0.42866070000000001</v>
      </c>
      <c r="T179">
        <v>-33.197916669999998</v>
      </c>
      <c r="U179">
        <v>33.197916669999998</v>
      </c>
      <c r="V179">
        <v>7.5802218100000003</v>
      </c>
      <c r="W179">
        <v>7.5802218100000003</v>
      </c>
      <c r="X179">
        <v>2.237464294</v>
      </c>
      <c r="Y179">
        <v>2.237464294</v>
      </c>
      <c r="Z179">
        <v>1.7825167</v>
      </c>
      <c r="AA179">
        <v>1.7825167</v>
      </c>
    </row>
    <row r="180" spans="1:27" x14ac:dyDescent="0.25">
      <c r="A180" t="s">
        <v>22</v>
      </c>
      <c r="B180" t="s">
        <v>925</v>
      </c>
      <c r="C180">
        <v>16</v>
      </c>
      <c r="D180" t="s">
        <v>23</v>
      </c>
      <c r="E180" t="s">
        <v>95</v>
      </c>
      <c r="F180" t="s">
        <v>112</v>
      </c>
      <c r="G180" t="s">
        <v>103</v>
      </c>
      <c r="H180" t="s">
        <v>113</v>
      </c>
      <c r="J180">
        <v>0</v>
      </c>
      <c r="K180">
        <v>2</v>
      </c>
      <c r="L180">
        <v>65.09375</v>
      </c>
      <c r="M180">
        <v>37.895352600000002</v>
      </c>
      <c r="N180">
        <v>2.2882677779999998</v>
      </c>
      <c r="O180">
        <v>2.2111774</v>
      </c>
      <c r="P180">
        <v>83.757575759999995</v>
      </c>
      <c r="Q180">
        <v>22.60997987</v>
      </c>
      <c r="R180">
        <v>0.72884000000000004</v>
      </c>
      <c r="S180">
        <v>0.21301339999999999</v>
      </c>
      <c r="T180">
        <v>-18.663825760000002</v>
      </c>
      <c r="U180">
        <v>18.663825760000002</v>
      </c>
      <c r="V180">
        <v>15.285372730000001</v>
      </c>
      <c r="W180">
        <v>15.285372730000001</v>
      </c>
      <c r="X180">
        <v>1.5594277780000001</v>
      </c>
      <c r="Y180">
        <v>1.5594277780000001</v>
      </c>
      <c r="Z180">
        <v>1.9981640000000001</v>
      </c>
      <c r="AA180">
        <v>1.9981640000000001</v>
      </c>
    </row>
    <row r="181" spans="1:27" x14ac:dyDescent="0.25">
      <c r="A181" t="s">
        <v>22</v>
      </c>
      <c r="B181" t="s">
        <v>925</v>
      </c>
      <c r="C181">
        <v>17</v>
      </c>
      <c r="D181" t="s">
        <v>23</v>
      </c>
      <c r="E181" t="s">
        <v>95</v>
      </c>
      <c r="F181" t="s">
        <v>112</v>
      </c>
      <c r="G181" t="s">
        <v>103</v>
      </c>
      <c r="H181" t="s">
        <v>247</v>
      </c>
      <c r="J181">
        <v>0</v>
      </c>
      <c r="K181">
        <v>1</v>
      </c>
      <c r="L181">
        <v>65.09375</v>
      </c>
      <c r="M181">
        <v>37.895352600000002</v>
      </c>
      <c r="N181">
        <v>2.2882677779999998</v>
      </c>
      <c r="O181">
        <v>2.2111774</v>
      </c>
      <c r="P181">
        <v>65.791044779999993</v>
      </c>
      <c r="Q181">
        <v>22.94519201</v>
      </c>
      <c r="R181">
        <v>8.1320334999999994E-2</v>
      </c>
      <c r="S181">
        <v>0.17285655</v>
      </c>
      <c r="T181">
        <v>-0.69729478</v>
      </c>
      <c r="U181">
        <v>0.69729478</v>
      </c>
      <c r="V181">
        <v>14.950160589999999</v>
      </c>
      <c r="W181">
        <v>14.950160589999999</v>
      </c>
      <c r="X181">
        <v>2.2069474429999998</v>
      </c>
      <c r="Y181">
        <v>2.2069474429999998</v>
      </c>
      <c r="Z181">
        <v>2.0383208499999999</v>
      </c>
      <c r="AA181">
        <v>2.0383208499999999</v>
      </c>
    </row>
    <row r="182" spans="1:27" x14ac:dyDescent="0.25">
      <c r="A182" t="s">
        <v>22</v>
      </c>
      <c r="B182" t="s">
        <v>925</v>
      </c>
      <c r="C182">
        <v>18</v>
      </c>
      <c r="D182" t="s">
        <v>23</v>
      </c>
      <c r="E182" t="s">
        <v>95</v>
      </c>
      <c r="F182" t="s">
        <v>112</v>
      </c>
      <c r="G182" t="s">
        <v>103</v>
      </c>
      <c r="H182" t="s">
        <v>248</v>
      </c>
      <c r="J182">
        <v>0</v>
      </c>
      <c r="K182">
        <v>3</v>
      </c>
      <c r="L182">
        <v>65.09375</v>
      </c>
      <c r="M182">
        <v>37.895352600000002</v>
      </c>
      <c r="N182">
        <v>2.2882677779999998</v>
      </c>
      <c r="O182">
        <v>2.2111774</v>
      </c>
      <c r="P182">
        <v>83.92307692</v>
      </c>
      <c r="Q182">
        <v>44.319135699999997</v>
      </c>
      <c r="R182">
        <v>5.9548609999999997E-3</v>
      </c>
      <c r="S182">
        <v>0.18017928</v>
      </c>
      <c r="T182">
        <v>-18.82932692</v>
      </c>
      <c r="U182">
        <v>18.82932692</v>
      </c>
      <c r="V182">
        <v>-6.4237830999999996</v>
      </c>
      <c r="W182">
        <v>6.4237830999999996</v>
      </c>
      <c r="X182">
        <v>2.2823129170000001</v>
      </c>
      <c r="Y182">
        <v>2.2823129170000001</v>
      </c>
      <c r="Z182">
        <v>2.03099812</v>
      </c>
      <c r="AA182">
        <v>2.03099812</v>
      </c>
    </row>
    <row r="183" spans="1:27" x14ac:dyDescent="0.25">
      <c r="A183" t="s">
        <v>24</v>
      </c>
      <c r="B183" t="s">
        <v>926</v>
      </c>
      <c r="C183">
        <v>15</v>
      </c>
      <c r="D183" t="s">
        <v>25</v>
      </c>
      <c r="E183" t="s">
        <v>95</v>
      </c>
      <c r="F183" t="s">
        <v>105</v>
      </c>
      <c r="G183" t="s">
        <v>121</v>
      </c>
      <c r="H183" t="s">
        <v>111</v>
      </c>
      <c r="J183">
        <v>0</v>
      </c>
      <c r="K183">
        <v>1</v>
      </c>
      <c r="L183">
        <v>67.5</v>
      </c>
      <c r="M183">
        <v>47.937235809999997</v>
      </c>
      <c r="N183">
        <v>0.41599678000000001</v>
      </c>
      <c r="O183">
        <v>2.0950346999999998</v>
      </c>
      <c r="P183">
        <v>94.97142857</v>
      </c>
      <c r="Q183">
        <v>24.31591813</v>
      </c>
      <c r="R183">
        <v>0.122951111</v>
      </c>
      <c r="S183">
        <v>0.39050790000000002</v>
      </c>
      <c r="T183">
        <v>-27.47142857</v>
      </c>
      <c r="U183">
        <v>27.47142857</v>
      </c>
      <c r="V183">
        <v>23.621317680000001</v>
      </c>
      <c r="W183">
        <v>23.621317680000001</v>
      </c>
      <c r="X183">
        <v>0.29304566900000001</v>
      </c>
      <c r="Y183">
        <v>0.29304566900000001</v>
      </c>
      <c r="Z183">
        <v>1.7045267999999998</v>
      </c>
      <c r="AA183">
        <v>1.7045267999999998</v>
      </c>
    </row>
    <row r="184" spans="1:27" x14ac:dyDescent="0.25">
      <c r="A184" t="s">
        <v>24</v>
      </c>
      <c r="B184" t="s">
        <v>926</v>
      </c>
      <c r="C184">
        <v>16</v>
      </c>
      <c r="D184" t="s">
        <v>25</v>
      </c>
      <c r="E184" t="s">
        <v>95</v>
      </c>
      <c r="F184" t="s">
        <v>105</v>
      </c>
      <c r="G184" t="s">
        <v>121</v>
      </c>
      <c r="H184" t="s">
        <v>104</v>
      </c>
      <c r="J184">
        <v>0</v>
      </c>
      <c r="K184">
        <v>1</v>
      </c>
      <c r="L184">
        <v>67.5</v>
      </c>
      <c r="M184">
        <v>47.937235809999997</v>
      </c>
      <c r="N184">
        <v>0.41599678000000001</v>
      </c>
      <c r="O184">
        <v>2.0950346999999998</v>
      </c>
      <c r="P184">
        <v>113.9375</v>
      </c>
      <c r="Q184">
        <v>33.375507550000002</v>
      </c>
      <c r="R184">
        <v>2.4262999999999999</v>
      </c>
      <c r="S184">
        <v>0.40692159999999999</v>
      </c>
      <c r="T184">
        <v>-46.4375</v>
      </c>
      <c r="U184">
        <v>46.4375</v>
      </c>
      <c r="V184">
        <v>14.561728260000001</v>
      </c>
      <c r="W184">
        <v>14.561728260000001</v>
      </c>
      <c r="X184">
        <v>-2.0103032199999999</v>
      </c>
      <c r="Y184">
        <v>2.0103032199999999</v>
      </c>
      <c r="Z184">
        <v>1.6881130999999998</v>
      </c>
      <c r="AA184">
        <v>1.6881130999999998</v>
      </c>
    </row>
    <row r="185" spans="1:27" x14ac:dyDescent="0.25">
      <c r="A185" t="s">
        <v>24</v>
      </c>
      <c r="B185" t="s">
        <v>927</v>
      </c>
      <c r="C185">
        <v>15</v>
      </c>
      <c r="D185" t="s">
        <v>25</v>
      </c>
      <c r="E185" t="s">
        <v>95</v>
      </c>
      <c r="F185" t="s">
        <v>112</v>
      </c>
      <c r="G185" t="s">
        <v>112</v>
      </c>
      <c r="H185" t="s">
        <v>112</v>
      </c>
      <c r="J185">
        <v>0</v>
      </c>
      <c r="K185">
        <v>1</v>
      </c>
      <c r="L185">
        <v>65.09375</v>
      </c>
      <c r="M185">
        <v>37.895352600000002</v>
      </c>
      <c r="N185">
        <v>2.2882677779999998</v>
      </c>
      <c r="O185">
        <v>2.2111774</v>
      </c>
      <c r="P185">
        <v>65.09375</v>
      </c>
      <c r="Q185">
        <v>37.895352600000002</v>
      </c>
      <c r="R185">
        <v>2.2882677779999998</v>
      </c>
      <c r="S185">
        <v>2.2111774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</row>
    <row r="186" spans="1:27" x14ac:dyDescent="0.25">
      <c r="A186" t="s">
        <v>26</v>
      </c>
      <c r="B186" t="s">
        <v>928</v>
      </c>
      <c r="C186">
        <v>15</v>
      </c>
      <c r="D186" t="s">
        <v>27</v>
      </c>
      <c r="E186" t="s">
        <v>95</v>
      </c>
      <c r="F186" t="s">
        <v>105</v>
      </c>
      <c r="G186" t="s">
        <v>102</v>
      </c>
      <c r="H186" t="s">
        <v>102</v>
      </c>
      <c r="J186">
        <v>0</v>
      </c>
      <c r="K186">
        <v>1</v>
      </c>
      <c r="L186">
        <v>67.5</v>
      </c>
      <c r="M186">
        <v>47.937235809999997</v>
      </c>
      <c r="N186">
        <v>0.41599678000000001</v>
      </c>
      <c r="O186">
        <v>2.0950346999999998</v>
      </c>
      <c r="P186">
        <v>84.740740740000007</v>
      </c>
      <c r="Q186">
        <v>29.167014049999999</v>
      </c>
      <c r="R186">
        <v>1.1169849999999999</v>
      </c>
      <c r="S186">
        <v>1.1571499000000001</v>
      </c>
      <c r="T186">
        <v>-17.24074074</v>
      </c>
      <c r="U186">
        <v>17.24074074</v>
      </c>
      <c r="V186">
        <v>18.770221759999998</v>
      </c>
      <c r="W186">
        <v>18.770221759999998</v>
      </c>
      <c r="X186">
        <v>-0.70098822000000005</v>
      </c>
      <c r="Y186">
        <v>0.70098822000000005</v>
      </c>
      <c r="Z186">
        <v>0.93788479999999974</v>
      </c>
      <c r="AA186">
        <v>0.93788479999999974</v>
      </c>
    </row>
    <row r="187" spans="1:27" x14ac:dyDescent="0.25">
      <c r="A187" t="s">
        <v>26</v>
      </c>
      <c r="B187" t="s">
        <v>928</v>
      </c>
      <c r="C187">
        <v>16</v>
      </c>
      <c r="D187" t="s">
        <v>27</v>
      </c>
      <c r="E187" t="s">
        <v>95</v>
      </c>
      <c r="F187" t="s">
        <v>105</v>
      </c>
      <c r="G187" t="s">
        <v>102</v>
      </c>
      <c r="H187" t="s">
        <v>111</v>
      </c>
      <c r="J187">
        <v>0</v>
      </c>
      <c r="K187">
        <v>1</v>
      </c>
      <c r="L187">
        <v>67.5</v>
      </c>
      <c r="M187">
        <v>47.937235809999997</v>
      </c>
      <c r="N187">
        <v>0.41599678000000001</v>
      </c>
      <c r="O187">
        <v>2.0950346999999998</v>
      </c>
      <c r="P187">
        <v>94.97142857</v>
      </c>
      <c r="Q187">
        <v>24.31591813</v>
      </c>
      <c r="R187">
        <v>0.122951111</v>
      </c>
      <c r="S187">
        <v>0.39050790000000002</v>
      </c>
      <c r="T187">
        <v>-27.47142857</v>
      </c>
      <c r="U187">
        <v>27.47142857</v>
      </c>
      <c r="V187">
        <v>23.621317680000001</v>
      </c>
      <c r="W187">
        <v>23.621317680000001</v>
      </c>
      <c r="X187">
        <v>0.29304566900000001</v>
      </c>
      <c r="Y187">
        <v>0.29304566900000001</v>
      </c>
      <c r="Z187">
        <v>1.7045267999999998</v>
      </c>
      <c r="AA187">
        <v>1.7045267999999998</v>
      </c>
    </row>
    <row r="188" spans="1:27" x14ac:dyDescent="0.25">
      <c r="A188" t="s">
        <v>26</v>
      </c>
      <c r="B188" t="s">
        <v>928</v>
      </c>
      <c r="C188">
        <v>17</v>
      </c>
      <c r="D188" t="s">
        <v>27</v>
      </c>
      <c r="E188" t="s">
        <v>95</v>
      </c>
      <c r="F188" t="s">
        <v>105</v>
      </c>
      <c r="G188" t="s">
        <v>102</v>
      </c>
      <c r="H188" t="s">
        <v>242</v>
      </c>
      <c r="J188">
        <v>0</v>
      </c>
      <c r="K188">
        <v>1</v>
      </c>
      <c r="L188">
        <v>67.5</v>
      </c>
      <c r="M188">
        <v>47.937235809999997</v>
      </c>
      <c r="N188">
        <v>0.41599678000000001</v>
      </c>
      <c r="O188">
        <v>2.0950346999999998</v>
      </c>
      <c r="P188">
        <v>139.375</v>
      </c>
      <c r="Q188">
        <v>23.713465920000001</v>
      </c>
      <c r="R188" t="s">
        <v>114</v>
      </c>
      <c r="S188" t="s">
        <v>114</v>
      </c>
      <c r="T188">
        <v>-71.875</v>
      </c>
      <c r="U188">
        <v>71.875</v>
      </c>
      <c r="V188">
        <v>24.22376989</v>
      </c>
      <c r="W188">
        <v>24.22376989</v>
      </c>
      <c r="X188" t="s">
        <v>114</v>
      </c>
      <c r="Y188" t="s">
        <v>114</v>
      </c>
      <c r="Z188" t="s">
        <v>114</v>
      </c>
      <c r="AA188" t="s">
        <v>114</v>
      </c>
    </row>
    <row r="189" spans="1:27" x14ac:dyDescent="0.25">
      <c r="A189" t="s">
        <v>26</v>
      </c>
      <c r="B189" t="s">
        <v>929</v>
      </c>
      <c r="C189">
        <v>15</v>
      </c>
      <c r="D189" t="s">
        <v>27</v>
      </c>
      <c r="E189" t="s">
        <v>95</v>
      </c>
      <c r="F189" t="s">
        <v>110</v>
      </c>
      <c r="G189" t="s">
        <v>111</v>
      </c>
      <c r="H189" t="s">
        <v>111</v>
      </c>
      <c r="J189">
        <v>0</v>
      </c>
      <c r="K189">
        <v>1</v>
      </c>
      <c r="L189">
        <v>73.260869569999997</v>
      </c>
      <c r="M189">
        <v>34.453830549999999</v>
      </c>
      <c r="N189">
        <v>1.058333333</v>
      </c>
      <c r="O189">
        <v>0.90897070000000002</v>
      </c>
      <c r="P189">
        <v>94.97142857</v>
      </c>
      <c r="Q189">
        <v>24.31591813</v>
      </c>
      <c r="R189">
        <v>0.122951111</v>
      </c>
      <c r="S189">
        <v>0.39050790000000002</v>
      </c>
      <c r="T189">
        <v>-21.710559</v>
      </c>
      <c r="U189">
        <v>21.710559</v>
      </c>
      <c r="V189">
        <v>10.137912419999999</v>
      </c>
      <c r="W189">
        <v>10.137912419999999</v>
      </c>
      <c r="X189">
        <v>0.93538222199999999</v>
      </c>
      <c r="Y189">
        <v>0.93538222199999999</v>
      </c>
      <c r="Z189">
        <v>0.5184628</v>
      </c>
      <c r="AA189">
        <v>0.5184628</v>
      </c>
    </row>
    <row r="190" spans="1:27" x14ac:dyDescent="0.25">
      <c r="A190" t="s">
        <v>26</v>
      </c>
      <c r="B190" t="s">
        <v>929</v>
      </c>
      <c r="C190">
        <v>16</v>
      </c>
      <c r="D190" t="s">
        <v>27</v>
      </c>
      <c r="E190" t="s">
        <v>95</v>
      </c>
      <c r="F190" t="s">
        <v>110</v>
      </c>
      <c r="G190" t="s">
        <v>111</v>
      </c>
      <c r="H190" t="s">
        <v>242</v>
      </c>
      <c r="J190">
        <v>0</v>
      </c>
      <c r="K190">
        <v>8</v>
      </c>
      <c r="L190">
        <v>73.260869569999997</v>
      </c>
      <c r="M190">
        <v>34.453830549999999</v>
      </c>
      <c r="N190">
        <v>1.058333333</v>
      </c>
      <c r="O190">
        <v>0.90897070000000002</v>
      </c>
      <c r="P190">
        <v>139.375</v>
      </c>
      <c r="Q190">
        <v>23.713465920000001</v>
      </c>
      <c r="R190" t="s">
        <v>114</v>
      </c>
      <c r="S190" t="s">
        <v>114</v>
      </c>
      <c r="T190">
        <v>-66.114130430000003</v>
      </c>
      <c r="U190">
        <v>66.114130430000003</v>
      </c>
      <c r="V190">
        <v>10.74036463</v>
      </c>
      <c r="W190">
        <v>10.74036463</v>
      </c>
      <c r="X190" t="s">
        <v>114</v>
      </c>
      <c r="Y190" t="s">
        <v>114</v>
      </c>
      <c r="Z190" t="s">
        <v>114</v>
      </c>
      <c r="AA190" t="s">
        <v>114</v>
      </c>
    </row>
    <row r="191" spans="1:27" x14ac:dyDescent="0.25">
      <c r="A191" t="s">
        <v>26</v>
      </c>
      <c r="B191" t="s">
        <v>930</v>
      </c>
      <c r="C191">
        <v>15</v>
      </c>
      <c r="D191" t="s">
        <v>27</v>
      </c>
      <c r="E191" t="s">
        <v>95</v>
      </c>
      <c r="F191" t="s">
        <v>111</v>
      </c>
      <c r="G191" t="s">
        <v>102</v>
      </c>
      <c r="H191" t="s">
        <v>244</v>
      </c>
      <c r="J191">
        <v>0</v>
      </c>
      <c r="K191">
        <v>1</v>
      </c>
      <c r="L191">
        <v>94.97142857</v>
      </c>
      <c r="M191">
        <v>24.31591813</v>
      </c>
      <c r="N191">
        <v>0.122951111</v>
      </c>
      <c r="O191">
        <v>0.39050790000000002</v>
      </c>
      <c r="P191">
        <v>75</v>
      </c>
      <c r="Q191">
        <v>28.80614499</v>
      </c>
      <c r="R191">
        <v>2.3860428570000001</v>
      </c>
      <c r="S191">
        <v>0.26400832000000002</v>
      </c>
      <c r="T191">
        <v>19.97142857</v>
      </c>
      <c r="U191">
        <v>19.97142857</v>
      </c>
      <c r="V191">
        <v>-4.4902268599999999</v>
      </c>
      <c r="W191">
        <v>4.4902268599999999</v>
      </c>
      <c r="X191">
        <v>-2.2630917460000002</v>
      </c>
      <c r="Y191">
        <v>2.2630917460000002</v>
      </c>
      <c r="Z191">
        <v>0.12649958</v>
      </c>
      <c r="AA191">
        <v>0.12649958</v>
      </c>
    </row>
    <row r="192" spans="1:27" x14ac:dyDescent="0.25">
      <c r="A192" t="s">
        <v>26</v>
      </c>
      <c r="B192" t="s">
        <v>930</v>
      </c>
      <c r="C192">
        <v>16</v>
      </c>
      <c r="D192" t="s">
        <v>27</v>
      </c>
      <c r="E192" t="s">
        <v>95</v>
      </c>
      <c r="F192" t="s">
        <v>111</v>
      </c>
      <c r="G192" t="s">
        <v>102</v>
      </c>
      <c r="H192" t="s">
        <v>236</v>
      </c>
      <c r="J192">
        <v>0</v>
      </c>
      <c r="K192">
        <v>1</v>
      </c>
      <c r="L192">
        <v>94.97142857</v>
      </c>
      <c r="M192">
        <v>24.31591813</v>
      </c>
      <c r="N192">
        <v>0.122951111</v>
      </c>
      <c r="O192">
        <v>0.39050790000000002</v>
      </c>
      <c r="P192">
        <v>113.33333330000001</v>
      </c>
      <c r="Q192">
        <v>26.41632581</v>
      </c>
      <c r="R192">
        <v>1.6844570160000001</v>
      </c>
      <c r="S192">
        <v>8.9285710000000004E-2</v>
      </c>
      <c r="T192">
        <v>-18.361904729999999</v>
      </c>
      <c r="U192">
        <v>18.361904729999999</v>
      </c>
      <c r="V192">
        <v>-2.10040768</v>
      </c>
      <c r="W192">
        <v>2.10040768</v>
      </c>
      <c r="X192">
        <v>-1.561505905</v>
      </c>
      <c r="Y192">
        <v>1.561505905</v>
      </c>
      <c r="Z192">
        <v>0.30122219</v>
      </c>
      <c r="AA192">
        <v>0.30122219</v>
      </c>
    </row>
    <row r="193" spans="1:27" x14ac:dyDescent="0.25">
      <c r="A193" t="s">
        <v>26</v>
      </c>
      <c r="B193" t="s">
        <v>930</v>
      </c>
      <c r="C193">
        <v>17</v>
      </c>
      <c r="D193" t="s">
        <v>27</v>
      </c>
      <c r="E193" t="s">
        <v>95</v>
      </c>
      <c r="F193" t="s">
        <v>111</v>
      </c>
      <c r="G193" t="s">
        <v>102</v>
      </c>
      <c r="H193" t="s">
        <v>102</v>
      </c>
      <c r="J193">
        <v>0</v>
      </c>
      <c r="K193">
        <v>1</v>
      </c>
      <c r="L193">
        <v>94.97142857</v>
      </c>
      <c r="M193">
        <v>24.31591813</v>
      </c>
      <c r="N193">
        <v>0.122951111</v>
      </c>
      <c r="O193">
        <v>0.39050790000000002</v>
      </c>
      <c r="P193">
        <v>84.740740740000007</v>
      </c>
      <c r="Q193">
        <v>29.167014049999999</v>
      </c>
      <c r="R193">
        <v>1.1169849999999999</v>
      </c>
      <c r="S193">
        <v>1.1571499000000001</v>
      </c>
      <c r="T193">
        <v>10.230687830000001</v>
      </c>
      <c r="U193">
        <v>10.230687830000001</v>
      </c>
      <c r="V193">
        <v>-4.8510959199999997</v>
      </c>
      <c r="W193">
        <v>4.8510959199999997</v>
      </c>
      <c r="X193">
        <v>-0.994033889</v>
      </c>
      <c r="Y193">
        <v>0.994033889</v>
      </c>
      <c r="Z193">
        <v>-0.76664200000000005</v>
      </c>
      <c r="AA193">
        <v>0.76664200000000005</v>
      </c>
    </row>
    <row r="194" spans="1:27" x14ac:dyDescent="0.25">
      <c r="A194" t="s">
        <v>26</v>
      </c>
      <c r="B194" t="s">
        <v>930</v>
      </c>
      <c r="C194">
        <v>18</v>
      </c>
      <c r="D194" t="s">
        <v>27</v>
      </c>
      <c r="E194" t="s">
        <v>95</v>
      </c>
      <c r="F194" t="s">
        <v>111</v>
      </c>
      <c r="G194" t="s">
        <v>102</v>
      </c>
      <c r="H194" t="s">
        <v>242</v>
      </c>
      <c r="J194">
        <v>0</v>
      </c>
      <c r="K194">
        <v>3</v>
      </c>
      <c r="L194">
        <v>94.97142857</v>
      </c>
      <c r="M194">
        <v>24.31591813</v>
      </c>
      <c r="N194">
        <v>0.122951111</v>
      </c>
      <c r="O194">
        <v>0.39050790000000002</v>
      </c>
      <c r="P194">
        <v>139.375</v>
      </c>
      <c r="Q194">
        <v>23.713465920000001</v>
      </c>
      <c r="R194" t="s">
        <v>114</v>
      </c>
      <c r="S194" t="s">
        <v>114</v>
      </c>
      <c r="T194">
        <v>-44.40357143</v>
      </c>
      <c r="U194">
        <v>44.40357143</v>
      </c>
      <c r="V194">
        <v>0.60245221000000004</v>
      </c>
      <c r="W194">
        <v>0.60245221000000004</v>
      </c>
      <c r="X194" t="s">
        <v>114</v>
      </c>
      <c r="Y194" t="s">
        <v>114</v>
      </c>
      <c r="Z194" t="s">
        <v>114</v>
      </c>
      <c r="AA194" t="s">
        <v>114</v>
      </c>
    </row>
    <row r="195" spans="1:27" x14ac:dyDescent="0.25">
      <c r="A195" t="s">
        <v>28</v>
      </c>
      <c r="B195" t="s">
        <v>931</v>
      </c>
      <c r="C195">
        <v>15</v>
      </c>
      <c r="D195" t="s">
        <v>29</v>
      </c>
      <c r="E195" t="s">
        <v>94</v>
      </c>
      <c r="F195" t="s">
        <v>113</v>
      </c>
      <c r="G195" t="s">
        <v>113</v>
      </c>
      <c r="H195" t="s">
        <v>113</v>
      </c>
      <c r="J195">
        <v>0</v>
      </c>
      <c r="K195">
        <v>2</v>
      </c>
      <c r="L195">
        <v>83.757575759999995</v>
      </c>
      <c r="M195">
        <v>22.60997987</v>
      </c>
      <c r="N195">
        <v>0.72884000000000004</v>
      </c>
      <c r="O195">
        <v>0.21301339999999999</v>
      </c>
      <c r="P195">
        <v>83.757575759999995</v>
      </c>
      <c r="Q195">
        <v>22.60997987</v>
      </c>
      <c r="R195">
        <v>0.72884000000000004</v>
      </c>
      <c r="S195">
        <v>0.21301339999999999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</row>
    <row r="196" spans="1:27" x14ac:dyDescent="0.25">
      <c r="A196" t="s">
        <v>28</v>
      </c>
      <c r="B196" t="s">
        <v>931</v>
      </c>
      <c r="C196">
        <v>16</v>
      </c>
      <c r="D196" t="s">
        <v>29</v>
      </c>
      <c r="E196" t="s">
        <v>94</v>
      </c>
      <c r="F196" t="s">
        <v>113</v>
      </c>
      <c r="G196" t="s">
        <v>113</v>
      </c>
      <c r="H196" t="s">
        <v>248</v>
      </c>
      <c r="J196">
        <v>0</v>
      </c>
      <c r="K196">
        <v>12</v>
      </c>
      <c r="L196">
        <v>83.757575759999995</v>
      </c>
      <c r="M196">
        <v>22.60997987</v>
      </c>
      <c r="N196">
        <v>0.72884000000000004</v>
      </c>
      <c r="O196">
        <v>0.21301339999999999</v>
      </c>
      <c r="P196">
        <v>83.92307692</v>
      </c>
      <c r="Q196">
        <v>44.319135699999997</v>
      </c>
      <c r="R196">
        <v>5.9548609999999997E-3</v>
      </c>
      <c r="S196">
        <v>0.18017928</v>
      </c>
      <c r="T196">
        <v>-0.16550116000000001</v>
      </c>
      <c r="U196">
        <v>0.16550116000000001</v>
      </c>
      <c r="V196">
        <v>-21.70915583</v>
      </c>
      <c r="W196">
        <v>21.70915583</v>
      </c>
      <c r="X196">
        <v>0.72288513899999995</v>
      </c>
      <c r="Y196">
        <v>0.72288513899999995</v>
      </c>
      <c r="Z196">
        <v>3.2834119999999994E-2</v>
      </c>
      <c r="AA196">
        <v>3.2834119999999994E-2</v>
      </c>
    </row>
    <row r="197" spans="1:27" x14ac:dyDescent="0.25">
      <c r="A197" t="s">
        <v>28</v>
      </c>
      <c r="B197" t="s">
        <v>931</v>
      </c>
      <c r="C197">
        <v>17</v>
      </c>
      <c r="D197" t="s">
        <v>29</v>
      </c>
      <c r="E197" t="s">
        <v>94</v>
      </c>
      <c r="F197" t="s">
        <v>113</v>
      </c>
      <c r="G197" t="s">
        <v>113</v>
      </c>
      <c r="H197" t="s">
        <v>247</v>
      </c>
      <c r="J197">
        <v>0</v>
      </c>
      <c r="K197">
        <v>1</v>
      </c>
      <c r="L197">
        <v>83.757575759999995</v>
      </c>
      <c r="M197">
        <v>22.60997987</v>
      </c>
      <c r="N197">
        <v>0.72884000000000004</v>
      </c>
      <c r="O197">
        <v>0.21301339999999999</v>
      </c>
      <c r="P197">
        <v>65.791044779999993</v>
      </c>
      <c r="Q197">
        <v>22.94519201</v>
      </c>
      <c r="R197">
        <v>8.1320334999999994E-2</v>
      </c>
      <c r="S197">
        <v>0.17285655</v>
      </c>
      <c r="T197">
        <v>17.966530980000002</v>
      </c>
      <c r="U197">
        <v>17.966530980000002</v>
      </c>
      <c r="V197">
        <v>-0.33521213999999999</v>
      </c>
      <c r="W197">
        <v>0.33521213999999999</v>
      </c>
      <c r="X197">
        <v>0.64751966500000002</v>
      </c>
      <c r="Y197">
        <v>0.64751966500000002</v>
      </c>
      <c r="Z197">
        <v>4.0156849999999994E-2</v>
      </c>
      <c r="AA197">
        <v>4.0156849999999994E-2</v>
      </c>
    </row>
    <row r="198" spans="1:27" x14ac:dyDescent="0.25">
      <c r="A198" t="s">
        <v>28</v>
      </c>
      <c r="B198" t="s">
        <v>931</v>
      </c>
      <c r="C198">
        <v>18</v>
      </c>
      <c r="D198" t="s">
        <v>29</v>
      </c>
      <c r="E198" t="s">
        <v>94</v>
      </c>
      <c r="F198" t="s">
        <v>113</v>
      </c>
      <c r="G198" t="s">
        <v>113</v>
      </c>
      <c r="H198" t="s">
        <v>239</v>
      </c>
      <c r="J198">
        <v>0</v>
      </c>
      <c r="K198">
        <v>1</v>
      </c>
      <c r="L198">
        <v>83.757575759999995</v>
      </c>
      <c r="M198">
        <v>22.60997987</v>
      </c>
      <c r="N198">
        <v>0.72884000000000004</v>
      </c>
      <c r="O198">
        <v>0.21301339999999999</v>
      </c>
      <c r="P198">
        <v>100.45454549999999</v>
      </c>
      <c r="Q198">
        <v>26.754810689999999</v>
      </c>
      <c r="R198">
        <v>0.75829999999999997</v>
      </c>
      <c r="S198">
        <v>0.40907861000000001</v>
      </c>
      <c r="T198">
        <v>-16.69696974</v>
      </c>
      <c r="U198">
        <v>16.69696974</v>
      </c>
      <c r="V198">
        <v>-4.1448308200000001</v>
      </c>
      <c r="W198">
        <v>4.1448308200000001</v>
      </c>
      <c r="X198">
        <v>-2.946E-2</v>
      </c>
      <c r="Y198">
        <v>2.946E-2</v>
      </c>
      <c r="Z198">
        <v>-0.19606521000000002</v>
      </c>
      <c r="AA198">
        <v>0.19606521000000002</v>
      </c>
    </row>
    <row r="199" spans="1:27" x14ac:dyDescent="0.25">
      <c r="A199" t="s">
        <v>28</v>
      </c>
      <c r="B199" t="s">
        <v>932</v>
      </c>
      <c r="C199">
        <v>15</v>
      </c>
      <c r="D199" t="s">
        <v>29</v>
      </c>
      <c r="E199" t="s">
        <v>94</v>
      </c>
      <c r="F199" t="s">
        <v>103</v>
      </c>
      <c r="G199" t="s">
        <v>102</v>
      </c>
      <c r="H199" t="s">
        <v>102</v>
      </c>
      <c r="J199">
        <v>0</v>
      </c>
      <c r="K199">
        <v>1</v>
      </c>
      <c r="L199">
        <v>98.291666669999998</v>
      </c>
      <c r="M199">
        <v>30.315130790000001</v>
      </c>
      <c r="N199">
        <v>5.0803484000000003E-2</v>
      </c>
      <c r="O199">
        <v>0.42866070000000001</v>
      </c>
      <c r="P199">
        <v>84.740740740000007</v>
      </c>
      <c r="Q199">
        <v>29.167014049999999</v>
      </c>
      <c r="R199">
        <v>1.1169849999999999</v>
      </c>
      <c r="S199">
        <v>1.1571499000000001</v>
      </c>
      <c r="T199">
        <v>13.55092593</v>
      </c>
      <c r="U199">
        <v>13.55092593</v>
      </c>
      <c r="V199">
        <v>1.1481167400000001</v>
      </c>
      <c r="W199">
        <v>1.1481167400000001</v>
      </c>
      <c r="X199">
        <v>-1.0661815160000001</v>
      </c>
      <c r="Y199">
        <v>1.0661815160000001</v>
      </c>
      <c r="Z199">
        <v>-0.72848920000000006</v>
      </c>
      <c r="AA199">
        <v>0.72848920000000006</v>
      </c>
    </row>
    <row r="200" spans="1:27" x14ac:dyDescent="0.25">
      <c r="A200" t="s">
        <v>28</v>
      </c>
      <c r="B200" t="s">
        <v>932</v>
      </c>
      <c r="C200">
        <v>16</v>
      </c>
      <c r="D200" t="s">
        <v>29</v>
      </c>
      <c r="E200" t="s">
        <v>94</v>
      </c>
      <c r="F200" t="s">
        <v>103</v>
      </c>
      <c r="G200" t="s">
        <v>102</v>
      </c>
      <c r="H200" t="s">
        <v>103</v>
      </c>
      <c r="J200">
        <v>0</v>
      </c>
      <c r="K200">
        <v>2</v>
      </c>
      <c r="L200">
        <v>98.291666669999998</v>
      </c>
      <c r="M200">
        <v>30.315130790000001</v>
      </c>
      <c r="N200">
        <v>5.0803484000000003E-2</v>
      </c>
      <c r="O200">
        <v>0.42866070000000001</v>
      </c>
      <c r="P200">
        <v>98.291666669999998</v>
      </c>
      <c r="Q200">
        <v>30.315130790000001</v>
      </c>
      <c r="R200">
        <v>5.0803484000000003E-2</v>
      </c>
      <c r="S200">
        <v>0.42866070000000001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</row>
    <row r="201" spans="1:27" x14ac:dyDescent="0.25">
      <c r="A201" t="s">
        <v>28</v>
      </c>
      <c r="B201" t="s">
        <v>933</v>
      </c>
      <c r="C201">
        <v>15</v>
      </c>
      <c r="D201" t="s">
        <v>29</v>
      </c>
      <c r="E201" t="s">
        <v>94</v>
      </c>
      <c r="F201" t="s">
        <v>111</v>
      </c>
      <c r="G201" t="s">
        <v>121</v>
      </c>
      <c r="H201" t="s">
        <v>247</v>
      </c>
      <c r="J201">
        <v>0</v>
      </c>
      <c r="K201">
        <v>1</v>
      </c>
      <c r="L201">
        <v>94.97142857</v>
      </c>
      <c r="M201">
        <v>24.31591813</v>
      </c>
      <c r="N201">
        <v>0.122951111</v>
      </c>
      <c r="O201">
        <v>0.39050790000000002</v>
      </c>
      <c r="P201">
        <v>65.791044779999993</v>
      </c>
      <c r="Q201">
        <v>22.94519201</v>
      </c>
      <c r="R201">
        <v>8.1320334999999994E-2</v>
      </c>
      <c r="S201">
        <v>0.17285655</v>
      </c>
      <c r="T201">
        <v>29.18038379</v>
      </c>
      <c r="U201">
        <v>29.18038379</v>
      </c>
      <c r="V201">
        <v>1.37072612</v>
      </c>
      <c r="W201">
        <v>1.37072612</v>
      </c>
      <c r="X201">
        <v>4.1630776000000001E-2</v>
      </c>
      <c r="Y201">
        <v>4.1630776000000001E-2</v>
      </c>
      <c r="Z201">
        <v>0.21765135000000002</v>
      </c>
      <c r="AA201">
        <v>0.21765135000000002</v>
      </c>
    </row>
    <row r="202" spans="1:27" x14ac:dyDescent="0.25">
      <c r="A202" t="s">
        <v>28</v>
      </c>
      <c r="B202" t="s">
        <v>933</v>
      </c>
      <c r="C202">
        <v>16</v>
      </c>
      <c r="D202" t="s">
        <v>29</v>
      </c>
      <c r="E202" t="s">
        <v>94</v>
      </c>
      <c r="F202" t="s">
        <v>111</v>
      </c>
      <c r="G202" t="s">
        <v>121</v>
      </c>
      <c r="H202" t="s">
        <v>113</v>
      </c>
      <c r="J202">
        <v>0</v>
      </c>
      <c r="K202">
        <v>3</v>
      </c>
      <c r="L202">
        <v>94.97142857</v>
      </c>
      <c r="M202">
        <v>24.31591813</v>
      </c>
      <c r="N202">
        <v>0.122951111</v>
      </c>
      <c r="O202">
        <v>0.39050790000000002</v>
      </c>
      <c r="P202">
        <v>83.757575759999995</v>
      </c>
      <c r="Q202">
        <v>22.60997987</v>
      </c>
      <c r="R202">
        <v>0.72884000000000004</v>
      </c>
      <c r="S202">
        <v>0.21301339999999999</v>
      </c>
      <c r="T202">
        <v>11.213852810000001</v>
      </c>
      <c r="U202">
        <v>11.213852810000001</v>
      </c>
      <c r="V202">
        <v>1.7059382599999999</v>
      </c>
      <c r="W202">
        <v>1.7059382599999999</v>
      </c>
      <c r="X202">
        <v>-0.60588888900000004</v>
      </c>
      <c r="Y202">
        <v>0.60588888900000004</v>
      </c>
      <c r="Z202">
        <v>0.17749450000000003</v>
      </c>
      <c r="AA202">
        <v>0.17749450000000003</v>
      </c>
    </row>
    <row r="203" spans="1:27" x14ac:dyDescent="0.25">
      <c r="A203" t="s">
        <v>28</v>
      </c>
      <c r="B203" t="s">
        <v>933</v>
      </c>
      <c r="C203">
        <v>17</v>
      </c>
      <c r="D203" t="s">
        <v>29</v>
      </c>
      <c r="E203" t="s">
        <v>94</v>
      </c>
      <c r="F203" t="s">
        <v>111</v>
      </c>
      <c r="G203" t="s">
        <v>121</v>
      </c>
      <c r="H203" t="s">
        <v>248</v>
      </c>
      <c r="J203">
        <v>0</v>
      </c>
      <c r="K203">
        <v>1</v>
      </c>
      <c r="L203">
        <v>94.97142857</v>
      </c>
      <c r="M203">
        <v>24.31591813</v>
      </c>
      <c r="N203">
        <v>0.122951111</v>
      </c>
      <c r="O203">
        <v>0.39050790000000002</v>
      </c>
      <c r="P203">
        <v>83.92307692</v>
      </c>
      <c r="Q203">
        <v>44.319135699999997</v>
      </c>
      <c r="R203">
        <v>5.9548609999999997E-3</v>
      </c>
      <c r="S203">
        <v>0.18017928</v>
      </c>
      <c r="T203">
        <v>11.048351650000001</v>
      </c>
      <c r="U203">
        <v>11.048351650000001</v>
      </c>
      <c r="V203">
        <v>-20.00321757</v>
      </c>
      <c r="W203">
        <v>20.00321757</v>
      </c>
      <c r="X203">
        <v>0.11699625</v>
      </c>
      <c r="Y203">
        <v>0.11699625</v>
      </c>
      <c r="Z203">
        <v>0.21032862000000002</v>
      </c>
      <c r="AA203">
        <v>0.21032862000000002</v>
      </c>
    </row>
    <row r="204" spans="1:27" x14ac:dyDescent="0.25">
      <c r="A204" t="s">
        <v>28</v>
      </c>
      <c r="B204" t="s">
        <v>934</v>
      </c>
      <c r="C204">
        <v>15</v>
      </c>
      <c r="D204" t="s">
        <v>29</v>
      </c>
      <c r="E204" t="s">
        <v>94</v>
      </c>
      <c r="F204" t="s">
        <v>112</v>
      </c>
      <c r="G204" t="s">
        <v>121</v>
      </c>
      <c r="H204" t="s">
        <v>103</v>
      </c>
      <c r="J204">
        <v>0</v>
      </c>
      <c r="K204">
        <v>4</v>
      </c>
      <c r="L204">
        <v>65.09375</v>
      </c>
      <c r="M204">
        <v>37.895352600000002</v>
      </c>
      <c r="N204">
        <v>2.2882677779999998</v>
      </c>
      <c r="O204">
        <v>2.2111774</v>
      </c>
      <c r="P204">
        <v>98.291666669999998</v>
      </c>
      <c r="Q204">
        <v>30.315130790000001</v>
      </c>
      <c r="R204">
        <v>5.0803484000000003E-2</v>
      </c>
      <c r="S204">
        <v>0.42866070000000001</v>
      </c>
      <c r="T204">
        <v>-33.197916669999998</v>
      </c>
      <c r="U204">
        <v>33.197916669999998</v>
      </c>
      <c r="V204">
        <v>7.5802218100000003</v>
      </c>
      <c r="W204">
        <v>7.5802218100000003</v>
      </c>
      <c r="X204">
        <v>2.237464294</v>
      </c>
      <c r="Y204">
        <v>2.237464294</v>
      </c>
      <c r="Z204">
        <v>1.7825167</v>
      </c>
      <c r="AA204">
        <v>1.7825167</v>
      </c>
    </row>
    <row r="205" spans="1:27" x14ac:dyDescent="0.25">
      <c r="A205" t="s">
        <v>28</v>
      </c>
      <c r="B205" t="s">
        <v>934</v>
      </c>
      <c r="C205">
        <v>16</v>
      </c>
      <c r="D205" t="s">
        <v>29</v>
      </c>
      <c r="E205" t="s">
        <v>94</v>
      </c>
      <c r="F205" t="s">
        <v>112</v>
      </c>
      <c r="G205" t="s">
        <v>121</v>
      </c>
      <c r="H205" t="s">
        <v>113</v>
      </c>
      <c r="J205">
        <v>0</v>
      </c>
      <c r="K205">
        <v>6</v>
      </c>
      <c r="L205">
        <v>65.09375</v>
      </c>
      <c r="M205">
        <v>37.895352600000002</v>
      </c>
      <c r="N205">
        <v>2.2882677779999998</v>
      </c>
      <c r="O205">
        <v>2.2111774</v>
      </c>
      <c r="P205">
        <v>83.757575759999995</v>
      </c>
      <c r="Q205">
        <v>22.60997987</v>
      </c>
      <c r="R205">
        <v>0.72884000000000004</v>
      </c>
      <c r="S205">
        <v>0.21301339999999999</v>
      </c>
      <c r="T205">
        <v>-18.663825760000002</v>
      </c>
      <c r="U205">
        <v>18.663825760000002</v>
      </c>
      <c r="V205">
        <v>15.285372730000001</v>
      </c>
      <c r="W205">
        <v>15.285372730000001</v>
      </c>
      <c r="X205">
        <v>1.5594277780000001</v>
      </c>
      <c r="Y205">
        <v>1.5594277780000001</v>
      </c>
      <c r="Z205">
        <v>1.9981640000000001</v>
      </c>
      <c r="AA205">
        <v>1.9981640000000001</v>
      </c>
    </row>
    <row r="206" spans="1:27" x14ac:dyDescent="0.25">
      <c r="A206" t="s">
        <v>28</v>
      </c>
      <c r="B206" t="s">
        <v>934</v>
      </c>
      <c r="C206">
        <v>17</v>
      </c>
      <c r="D206" t="s">
        <v>29</v>
      </c>
      <c r="E206" t="s">
        <v>94</v>
      </c>
      <c r="F206" t="s">
        <v>112</v>
      </c>
      <c r="G206" t="s">
        <v>121</v>
      </c>
      <c r="H206" t="s">
        <v>248</v>
      </c>
      <c r="J206">
        <v>0</v>
      </c>
      <c r="K206">
        <v>3</v>
      </c>
      <c r="L206">
        <v>65.09375</v>
      </c>
      <c r="M206">
        <v>37.895352600000002</v>
      </c>
      <c r="N206">
        <v>2.2882677779999998</v>
      </c>
      <c r="O206">
        <v>2.2111774</v>
      </c>
      <c r="P206">
        <v>83.92307692</v>
      </c>
      <c r="Q206">
        <v>44.319135699999997</v>
      </c>
      <c r="R206">
        <v>5.9548609999999997E-3</v>
      </c>
      <c r="S206">
        <v>0.18017928</v>
      </c>
      <c r="T206">
        <v>-18.82932692</v>
      </c>
      <c r="U206">
        <v>18.82932692</v>
      </c>
      <c r="V206">
        <v>-6.4237830999999996</v>
      </c>
      <c r="W206">
        <v>6.4237830999999996</v>
      </c>
      <c r="X206">
        <v>2.2823129170000001</v>
      </c>
      <c r="Y206">
        <v>2.2823129170000001</v>
      </c>
      <c r="Z206">
        <v>2.03099812</v>
      </c>
      <c r="AA206">
        <v>2.03099812</v>
      </c>
    </row>
    <row r="207" spans="1:27" x14ac:dyDescent="0.25">
      <c r="A207" t="s">
        <v>30</v>
      </c>
      <c r="B207" t="s">
        <v>935</v>
      </c>
      <c r="C207">
        <v>15</v>
      </c>
      <c r="D207" t="s">
        <v>31</v>
      </c>
      <c r="E207" t="s">
        <v>95</v>
      </c>
      <c r="F207" t="s">
        <v>113</v>
      </c>
      <c r="G207" t="s">
        <v>121</v>
      </c>
      <c r="H207" t="s">
        <v>113</v>
      </c>
      <c r="J207">
        <v>0</v>
      </c>
      <c r="K207">
        <v>1</v>
      </c>
      <c r="L207">
        <v>83.757575759999995</v>
      </c>
      <c r="M207">
        <v>22.60997987</v>
      </c>
      <c r="N207">
        <v>0.72884000000000004</v>
      </c>
      <c r="O207">
        <v>0.21301339999999999</v>
      </c>
      <c r="P207">
        <v>83.757575759999995</v>
      </c>
      <c r="Q207">
        <v>22.60997987</v>
      </c>
      <c r="R207">
        <v>0.72884000000000004</v>
      </c>
      <c r="S207">
        <v>0.21301339999999999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</row>
    <row r="208" spans="1:27" x14ac:dyDescent="0.25">
      <c r="A208" t="s">
        <v>30</v>
      </c>
      <c r="B208" t="s">
        <v>935</v>
      </c>
      <c r="C208">
        <v>16</v>
      </c>
      <c r="D208" t="s">
        <v>31</v>
      </c>
      <c r="E208" t="s">
        <v>95</v>
      </c>
      <c r="F208" t="s">
        <v>113</v>
      </c>
      <c r="G208" t="s">
        <v>121</v>
      </c>
      <c r="H208" t="s">
        <v>103</v>
      </c>
      <c r="J208">
        <v>0</v>
      </c>
      <c r="K208">
        <v>2</v>
      </c>
      <c r="L208">
        <v>83.757575759999995</v>
      </c>
      <c r="M208">
        <v>22.60997987</v>
      </c>
      <c r="N208">
        <v>0.72884000000000004</v>
      </c>
      <c r="O208">
        <v>0.21301339999999999</v>
      </c>
      <c r="P208">
        <v>98.291666669999998</v>
      </c>
      <c r="Q208">
        <v>30.315130790000001</v>
      </c>
      <c r="R208">
        <v>5.0803484000000003E-2</v>
      </c>
      <c r="S208">
        <v>0.42866070000000001</v>
      </c>
      <c r="T208">
        <v>-14.53409091</v>
      </c>
      <c r="U208">
        <v>14.53409091</v>
      </c>
      <c r="V208">
        <v>-7.7051509200000003</v>
      </c>
      <c r="W208">
        <v>7.7051509200000003</v>
      </c>
      <c r="X208">
        <v>0.67803651600000003</v>
      </c>
      <c r="Y208">
        <v>0.67803651600000003</v>
      </c>
      <c r="Z208">
        <v>-0.21564730000000001</v>
      </c>
      <c r="AA208">
        <v>0.21564730000000001</v>
      </c>
    </row>
    <row r="209" spans="1:27" x14ac:dyDescent="0.25">
      <c r="A209" t="s">
        <v>30</v>
      </c>
      <c r="B209" t="s">
        <v>935</v>
      </c>
      <c r="C209">
        <v>17</v>
      </c>
      <c r="D209" t="s">
        <v>31</v>
      </c>
      <c r="E209" t="s">
        <v>95</v>
      </c>
      <c r="F209" t="s">
        <v>113</v>
      </c>
      <c r="G209" t="s">
        <v>121</v>
      </c>
      <c r="H209" t="s">
        <v>248</v>
      </c>
      <c r="J209">
        <v>0</v>
      </c>
      <c r="K209">
        <v>9</v>
      </c>
      <c r="L209">
        <v>83.757575759999995</v>
      </c>
      <c r="M209">
        <v>22.60997987</v>
      </c>
      <c r="N209">
        <v>0.72884000000000004</v>
      </c>
      <c r="O209">
        <v>0.21301339999999999</v>
      </c>
      <c r="P209">
        <v>83.92307692</v>
      </c>
      <c r="Q209">
        <v>44.319135699999997</v>
      </c>
      <c r="R209">
        <v>5.9548609999999997E-3</v>
      </c>
      <c r="S209">
        <v>0.18017928</v>
      </c>
      <c r="T209">
        <v>-0.16550116000000001</v>
      </c>
      <c r="U209">
        <v>0.16550116000000001</v>
      </c>
      <c r="V209">
        <v>-21.70915583</v>
      </c>
      <c r="W209">
        <v>21.70915583</v>
      </c>
      <c r="X209">
        <v>0.72288513899999995</v>
      </c>
      <c r="Y209">
        <v>0.72288513899999995</v>
      </c>
      <c r="Z209">
        <v>3.2834119999999994E-2</v>
      </c>
      <c r="AA209">
        <v>3.2834119999999994E-2</v>
      </c>
    </row>
    <row r="210" spans="1:27" x14ac:dyDescent="0.25">
      <c r="A210" t="s">
        <v>30</v>
      </c>
      <c r="B210" t="s">
        <v>935</v>
      </c>
      <c r="C210">
        <v>18</v>
      </c>
      <c r="D210" t="s">
        <v>31</v>
      </c>
      <c r="E210" t="s">
        <v>95</v>
      </c>
      <c r="F210" t="s">
        <v>113</v>
      </c>
      <c r="G210" t="s">
        <v>121</v>
      </c>
      <c r="H210" t="s">
        <v>111</v>
      </c>
      <c r="J210">
        <v>0</v>
      </c>
      <c r="K210">
        <v>1</v>
      </c>
      <c r="L210">
        <v>83.757575759999995</v>
      </c>
      <c r="M210">
        <v>22.60997987</v>
      </c>
      <c r="N210">
        <v>0.72884000000000004</v>
      </c>
      <c r="O210">
        <v>0.21301339999999999</v>
      </c>
      <c r="P210">
        <v>94.97142857</v>
      </c>
      <c r="Q210">
        <v>24.31591813</v>
      </c>
      <c r="R210">
        <v>0.122951111</v>
      </c>
      <c r="S210">
        <v>0.39050790000000002</v>
      </c>
      <c r="T210">
        <v>-11.213852810000001</v>
      </c>
      <c r="U210">
        <v>11.213852810000001</v>
      </c>
      <c r="V210">
        <v>-1.7059382599999999</v>
      </c>
      <c r="W210">
        <v>1.7059382599999999</v>
      </c>
      <c r="X210">
        <v>0.60588888900000004</v>
      </c>
      <c r="Y210">
        <v>0.60588888900000004</v>
      </c>
      <c r="Z210">
        <v>-0.17749450000000003</v>
      </c>
      <c r="AA210">
        <v>0.17749450000000003</v>
      </c>
    </row>
    <row r="211" spans="1:27" x14ac:dyDescent="0.25">
      <c r="A211" t="s">
        <v>30</v>
      </c>
      <c r="B211" t="s">
        <v>936</v>
      </c>
      <c r="C211">
        <v>15</v>
      </c>
      <c r="D211" t="s">
        <v>31</v>
      </c>
      <c r="E211" t="s">
        <v>95</v>
      </c>
      <c r="F211" t="s">
        <v>103</v>
      </c>
      <c r="G211" t="s">
        <v>113</v>
      </c>
      <c r="H211" t="s">
        <v>113</v>
      </c>
      <c r="J211">
        <v>0</v>
      </c>
      <c r="K211">
        <v>3</v>
      </c>
      <c r="L211">
        <v>98.291666669999998</v>
      </c>
      <c r="M211">
        <v>30.315130790000001</v>
      </c>
      <c r="N211">
        <v>5.0803484000000003E-2</v>
      </c>
      <c r="O211">
        <v>0.42866070000000001</v>
      </c>
      <c r="P211">
        <v>83.757575759999995</v>
      </c>
      <c r="Q211">
        <v>22.60997987</v>
      </c>
      <c r="R211">
        <v>0.72884000000000004</v>
      </c>
      <c r="S211">
        <v>0.21301339999999999</v>
      </c>
      <c r="T211">
        <v>14.53409091</v>
      </c>
      <c r="U211">
        <v>14.53409091</v>
      </c>
      <c r="V211">
        <v>7.7051509200000003</v>
      </c>
      <c r="W211">
        <v>7.7051509200000003</v>
      </c>
      <c r="X211">
        <v>-0.67803651600000003</v>
      </c>
      <c r="Y211">
        <v>0.67803651600000003</v>
      </c>
      <c r="Z211">
        <v>0.21564730000000001</v>
      </c>
      <c r="AA211">
        <v>0.21564730000000001</v>
      </c>
    </row>
    <row r="212" spans="1:27" x14ac:dyDescent="0.25">
      <c r="A212" t="s">
        <v>30</v>
      </c>
      <c r="B212" t="s">
        <v>936</v>
      </c>
      <c r="C212">
        <v>16</v>
      </c>
      <c r="D212" t="s">
        <v>31</v>
      </c>
      <c r="E212" t="s">
        <v>95</v>
      </c>
      <c r="F212" t="s">
        <v>103</v>
      </c>
      <c r="G212" t="s">
        <v>113</v>
      </c>
      <c r="H212" t="s">
        <v>247</v>
      </c>
      <c r="J212">
        <v>0</v>
      </c>
      <c r="K212">
        <v>1</v>
      </c>
      <c r="L212">
        <v>98.291666669999998</v>
      </c>
      <c r="M212">
        <v>30.315130790000001</v>
      </c>
      <c r="N212">
        <v>5.0803484000000003E-2</v>
      </c>
      <c r="O212">
        <v>0.42866070000000001</v>
      </c>
      <c r="P212">
        <v>65.791044779999993</v>
      </c>
      <c r="Q212">
        <v>22.94519201</v>
      </c>
      <c r="R212">
        <v>8.1320334999999994E-2</v>
      </c>
      <c r="S212">
        <v>0.17285655</v>
      </c>
      <c r="T212">
        <v>32.500621889999998</v>
      </c>
      <c r="U212">
        <v>32.500621889999998</v>
      </c>
      <c r="V212">
        <v>7.36993878</v>
      </c>
      <c r="W212">
        <v>7.36993878</v>
      </c>
      <c r="X212">
        <v>-3.0516851000000001E-2</v>
      </c>
      <c r="Y212">
        <v>3.0516851000000001E-2</v>
      </c>
      <c r="Z212">
        <v>0.25580415000000001</v>
      </c>
      <c r="AA212">
        <v>0.25580415000000001</v>
      </c>
    </row>
    <row r="213" spans="1:27" x14ac:dyDescent="0.25">
      <c r="A213" t="s">
        <v>30</v>
      </c>
      <c r="B213" t="s">
        <v>936</v>
      </c>
      <c r="C213">
        <v>17</v>
      </c>
      <c r="D213" t="s">
        <v>31</v>
      </c>
      <c r="E213" t="s">
        <v>95</v>
      </c>
      <c r="F213" t="s">
        <v>103</v>
      </c>
      <c r="G213" t="s">
        <v>113</v>
      </c>
      <c r="H213" t="s">
        <v>111</v>
      </c>
      <c r="J213">
        <v>0</v>
      </c>
      <c r="K213">
        <v>1</v>
      </c>
      <c r="L213">
        <v>98.291666669999998</v>
      </c>
      <c r="M213">
        <v>30.315130790000001</v>
      </c>
      <c r="N213">
        <v>5.0803484000000003E-2</v>
      </c>
      <c r="O213">
        <v>0.42866070000000001</v>
      </c>
      <c r="P213">
        <v>94.97142857</v>
      </c>
      <c r="Q213">
        <v>24.31591813</v>
      </c>
      <c r="R213">
        <v>0.122951111</v>
      </c>
      <c r="S213">
        <v>0.39050790000000002</v>
      </c>
      <c r="T213">
        <v>3.3202381000000001</v>
      </c>
      <c r="U213">
        <v>3.3202381000000001</v>
      </c>
      <c r="V213">
        <v>5.9992126600000004</v>
      </c>
      <c r="W213">
        <v>5.9992126600000004</v>
      </c>
      <c r="X213">
        <v>-7.2147627000000006E-2</v>
      </c>
      <c r="Y213">
        <v>7.2147627000000006E-2</v>
      </c>
      <c r="Z213">
        <v>3.8152799999999987E-2</v>
      </c>
      <c r="AA213">
        <v>3.8152799999999987E-2</v>
      </c>
    </row>
    <row r="214" spans="1:27" x14ac:dyDescent="0.25">
      <c r="A214" t="s">
        <v>30</v>
      </c>
      <c r="B214" t="s">
        <v>936</v>
      </c>
      <c r="C214">
        <v>18</v>
      </c>
      <c r="D214" t="s">
        <v>31</v>
      </c>
      <c r="E214" t="s">
        <v>95</v>
      </c>
      <c r="F214" t="s">
        <v>103</v>
      </c>
      <c r="G214" t="s">
        <v>113</v>
      </c>
      <c r="H214" t="s">
        <v>234</v>
      </c>
      <c r="J214">
        <v>0</v>
      </c>
      <c r="K214">
        <v>1</v>
      </c>
      <c r="L214">
        <v>98.291666669999998</v>
      </c>
      <c r="M214">
        <v>30.315130790000001</v>
      </c>
      <c r="N214">
        <v>5.0803484000000003E-2</v>
      </c>
      <c r="O214">
        <v>0.42866070000000001</v>
      </c>
      <c r="P214">
        <v>89.8125</v>
      </c>
      <c r="Q214">
        <v>34.754706650000003</v>
      </c>
      <c r="R214">
        <v>2.3065078999999999E-2</v>
      </c>
      <c r="S214">
        <v>2.4791666700000001</v>
      </c>
      <c r="T214">
        <v>8.4791666699999997</v>
      </c>
      <c r="U214">
        <v>8.4791666699999997</v>
      </c>
      <c r="V214">
        <v>-4.4395758599999997</v>
      </c>
      <c r="W214">
        <v>4.4395758599999997</v>
      </c>
      <c r="X214">
        <v>2.7738405000000001E-2</v>
      </c>
      <c r="Y214">
        <v>2.7738405000000001E-2</v>
      </c>
      <c r="Z214">
        <v>-2.0505059700000001</v>
      </c>
      <c r="AA214">
        <v>2.0505059700000001</v>
      </c>
    </row>
    <row r="215" spans="1:27" x14ac:dyDescent="0.25">
      <c r="A215" t="s">
        <v>30</v>
      </c>
      <c r="B215" t="s">
        <v>936</v>
      </c>
      <c r="C215">
        <v>19</v>
      </c>
      <c r="D215" t="s">
        <v>31</v>
      </c>
      <c r="E215" t="s">
        <v>95</v>
      </c>
      <c r="F215" t="s">
        <v>103</v>
      </c>
      <c r="G215" t="s">
        <v>113</v>
      </c>
      <c r="H215" t="s">
        <v>241</v>
      </c>
      <c r="J215">
        <v>0</v>
      </c>
      <c r="K215">
        <v>1</v>
      </c>
      <c r="L215">
        <v>98.291666669999998</v>
      </c>
      <c r="M215">
        <v>30.315130790000001</v>
      </c>
      <c r="N215">
        <v>5.0803484000000003E-2</v>
      </c>
      <c r="O215">
        <v>0.42866070000000001</v>
      </c>
      <c r="P215">
        <v>114</v>
      </c>
      <c r="Q215">
        <v>30.43077242</v>
      </c>
      <c r="R215">
        <v>0.53383111100000002</v>
      </c>
      <c r="S215">
        <v>0.28333332999999999</v>
      </c>
      <c r="T215">
        <v>-15.70833333</v>
      </c>
      <c r="U215">
        <v>15.70833333</v>
      </c>
      <c r="V215">
        <v>-0.11564163</v>
      </c>
      <c r="W215">
        <v>0.11564163</v>
      </c>
      <c r="X215">
        <v>-0.48302762700000001</v>
      </c>
      <c r="Y215">
        <v>0.48302762700000001</v>
      </c>
      <c r="Z215">
        <v>0.14532737000000001</v>
      </c>
      <c r="AA215">
        <v>0.14532737000000001</v>
      </c>
    </row>
    <row r="216" spans="1:27" x14ac:dyDescent="0.25">
      <c r="A216" t="s">
        <v>30</v>
      </c>
      <c r="B216" t="s">
        <v>937</v>
      </c>
      <c r="C216">
        <v>15</v>
      </c>
      <c r="D216" t="s">
        <v>31</v>
      </c>
      <c r="E216" t="s">
        <v>95</v>
      </c>
      <c r="F216" t="s">
        <v>112</v>
      </c>
      <c r="G216" t="s">
        <v>103</v>
      </c>
      <c r="H216" t="s">
        <v>114</v>
      </c>
      <c r="J216">
        <v>0</v>
      </c>
      <c r="K216" t="s">
        <v>114</v>
      </c>
      <c r="L216">
        <v>65.09375</v>
      </c>
      <c r="M216">
        <v>37.895352600000002</v>
      </c>
      <c r="N216">
        <v>2.2882677779999998</v>
      </c>
      <c r="O216">
        <v>2.2111774</v>
      </c>
      <c r="P216" t="s">
        <v>114</v>
      </c>
      <c r="Q216" t="s">
        <v>114</v>
      </c>
      <c r="R216" t="s">
        <v>114</v>
      </c>
      <c r="S216" t="s">
        <v>114</v>
      </c>
      <c r="T216" t="s">
        <v>114</v>
      </c>
      <c r="U216" t="s">
        <v>114</v>
      </c>
      <c r="V216" t="s">
        <v>114</v>
      </c>
      <c r="W216" t="s">
        <v>114</v>
      </c>
      <c r="X216" t="s">
        <v>114</v>
      </c>
      <c r="Y216" t="s">
        <v>114</v>
      </c>
      <c r="Z216" t="s">
        <v>114</v>
      </c>
      <c r="AA216" t="s">
        <v>114</v>
      </c>
    </row>
    <row r="217" spans="1:27" x14ac:dyDescent="0.25">
      <c r="A217" t="s">
        <v>32</v>
      </c>
      <c r="B217" t="s">
        <v>938</v>
      </c>
      <c r="C217">
        <v>15</v>
      </c>
      <c r="D217" t="s">
        <v>33</v>
      </c>
      <c r="E217" t="s">
        <v>94</v>
      </c>
      <c r="F217" t="s">
        <v>105</v>
      </c>
      <c r="G217" t="s">
        <v>121</v>
      </c>
      <c r="H217" t="s">
        <v>247</v>
      </c>
      <c r="J217">
        <v>0</v>
      </c>
      <c r="K217">
        <v>2</v>
      </c>
      <c r="L217">
        <v>67.5</v>
      </c>
      <c r="M217">
        <v>47.937235809999997</v>
      </c>
      <c r="N217">
        <v>0.41599678000000001</v>
      </c>
      <c r="O217">
        <v>2.0950346999999998</v>
      </c>
      <c r="P217">
        <v>65.791044779999993</v>
      </c>
      <c r="Q217">
        <v>22.94519201</v>
      </c>
      <c r="R217">
        <v>8.1320334999999994E-2</v>
      </c>
      <c r="S217">
        <v>0.17285655</v>
      </c>
      <c r="T217">
        <v>1.70895522</v>
      </c>
      <c r="U217">
        <v>1.70895522</v>
      </c>
      <c r="V217">
        <v>24.992043800000001</v>
      </c>
      <c r="W217">
        <v>24.992043800000001</v>
      </c>
      <c r="X217">
        <v>0.33467644499999999</v>
      </c>
      <c r="Y217">
        <v>0.33467644499999999</v>
      </c>
      <c r="Z217">
        <v>1.9221781499999997</v>
      </c>
      <c r="AA217">
        <v>1.9221781499999997</v>
      </c>
    </row>
    <row r="218" spans="1:27" x14ac:dyDescent="0.25">
      <c r="A218" t="s">
        <v>32</v>
      </c>
      <c r="B218" t="s">
        <v>938</v>
      </c>
      <c r="C218">
        <v>16</v>
      </c>
      <c r="D218" t="s">
        <v>33</v>
      </c>
      <c r="E218" t="s">
        <v>94</v>
      </c>
      <c r="F218" t="s">
        <v>105</v>
      </c>
      <c r="G218" t="s">
        <v>121</v>
      </c>
      <c r="H218" t="s">
        <v>249</v>
      </c>
      <c r="J218">
        <v>0</v>
      </c>
      <c r="K218">
        <v>1</v>
      </c>
      <c r="L218">
        <v>67.5</v>
      </c>
      <c r="M218">
        <v>47.937235809999997</v>
      </c>
      <c r="N218">
        <v>0.41599678000000001</v>
      </c>
      <c r="O218">
        <v>2.0950346999999998</v>
      </c>
      <c r="P218">
        <v>81.666666669999998</v>
      </c>
      <c r="Q218">
        <v>48.056268459999998</v>
      </c>
      <c r="R218">
        <v>0.120291364</v>
      </c>
      <c r="S218" t="s">
        <v>114</v>
      </c>
      <c r="T218">
        <v>-14.16666667</v>
      </c>
      <c r="U218">
        <v>14.16666667</v>
      </c>
      <c r="V218">
        <v>-0.11903265</v>
      </c>
      <c r="W218">
        <v>0.11903265</v>
      </c>
      <c r="X218">
        <v>0.295705416</v>
      </c>
      <c r="Y218">
        <v>0.295705416</v>
      </c>
      <c r="Z218" t="s">
        <v>114</v>
      </c>
      <c r="AA218" t="s">
        <v>114</v>
      </c>
    </row>
    <row r="219" spans="1:27" x14ac:dyDescent="0.25">
      <c r="A219" t="s">
        <v>34</v>
      </c>
      <c r="B219" t="s">
        <v>939</v>
      </c>
      <c r="C219">
        <v>15</v>
      </c>
      <c r="D219" t="s">
        <v>35</v>
      </c>
      <c r="E219" t="s">
        <v>94</v>
      </c>
      <c r="F219" t="s">
        <v>112</v>
      </c>
      <c r="G219" t="s">
        <v>112</v>
      </c>
      <c r="H219" t="s">
        <v>112</v>
      </c>
      <c r="J219">
        <v>0</v>
      </c>
      <c r="K219">
        <v>1</v>
      </c>
      <c r="L219">
        <v>65.09375</v>
      </c>
      <c r="M219">
        <v>37.895352600000002</v>
      </c>
      <c r="N219">
        <v>2.2882677779999998</v>
      </c>
      <c r="O219">
        <v>2.2111774</v>
      </c>
      <c r="P219">
        <v>65.09375</v>
      </c>
      <c r="Q219">
        <v>37.895352600000002</v>
      </c>
      <c r="R219">
        <v>2.2882677779999998</v>
      </c>
      <c r="S219">
        <v>2.2111774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</row>
    <row r="220" spans="1:27" x14ac:dyDescent="0.25">
      <c r="A220" t="s">
        <v>36</v>
      </c>
      <c r="B220" t="s">
        <v>940</v>
      </c>
      <c r="C220">
        <v>15</v>
      </c>
      <c r="D220" t="s">
        <v>37</v>
      </c>
      <c r="E220" t="s">
        <v>95</v>
      </c>
      <c r="F220" t="s">
        <v>110</v>
      </c>
      <c r="G220" t="s">
        <v>121</v>
      </c>
      <c r="H220" t="s">
        <v>110</v>
      </c>
      <c r="J220">
        <v>0</v>
      </c>
      <c r="K220">
        <v>1</v>
      </c>
      <c r="L220">
        <v>73.260869569999997</v>
      </c>
      <c r="M220">
        <v>34.453830549999999</v>
      </c>
      <c r="N220">
        <v>1.058333333</v>
      </c>
      <c r="O220">
        <v>0.90897070000000002</v>
      </c>
      <c r="P220">
        <v>73.260869569999997</v>
      </c>
      <c r="Q220">
        <v>34.453830549999999</v>
      </c>
      <c r="R220">
        <v>1.058333333</v>
      </c>
      <c r="S220">
        <v>0.90897070000000002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</row>
    <row r="221" spans="1:27" x14ac:dyDescent="0.25">
      <c r="A221" t="s">
        <v>36</v>
      </c>
      <c r="B221" t="s">
        <v>941</v>
      </c>
      <c r="C221">
        <v>15</v>
      </c>
      <c r="D221" t="s">
        <v>37</v>
      </c>
      <c r="E221" t="s">
        <v>95</v>
      </c>
      <c r="F221" t="s">
        <v>104</v>
      </c>
      <c r="G221" t="s">
        <v>121</v>
      </c>
      <c r="H221" t="s">
        <v>104</v>
      </c>
      <c r="J221">
        <v>0</v>
      </c>
      <c r="K221">
        <v>1</v>
      </c>
      <c r="L221">
        <v>113.9375</v>
      </c>
      <c r="M221">
        <v>33.375507550000002</v>
      </c>
      <c r="N221">
        <v>2.4262999999999999</v>
      </c>
      <c r="O221">
        <v>0.40692159999999999</v>
      </c>
      <c r="P221">
        <v>113.9375</v>
      </c>
      <c r="Q221">
        <v>33.375507550000002</v>
      </c>
      <c r="R221">
        <v>2.4262999999999999</v>
      </c>
      <c r="S221">
        <v>0.40692159999999999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</row>
    <row r="222" spans="1:27" x14ac:dyDescent="0.25">
      <c r="A222" t="s">
        <v>36</v>
      </c>
      <c r="B222" t="s">
        <v>941</v>
      </c>
      <c r="C222">
        <v>16</v>
      </c>
      <c r="D222" t="s">
        <v>37</v>
      </c>
      <c r="E222" t="s">
        <v>95</v>
      </c>
      <c r="F222" t="s">
        <v>104</v>
      </c>
      <c r="G222" t="s">
        <v>121</v>
      </c>
      <c r="H222" t="s">
        <v>111</v>
      </c>
      <c r="J222">
        <v>0</v>
      </c>
      <c r="K222">
        <v>1</v>
      </c>
      <c r="L222">
        <v>113.9375</v>
      </c>
      <c r="M222">
        <v>33.375507550000002</v>
      </c>
      <c r="N222">
        <v>2.4262999999999999</v>
      </c>
      <c r="O222">
        <v>0.40692159999999999</v>
      </c>
      <c r="P222">
        <v>94.97142857</v>
      </c>
      <c r="Q222">
        <v>24.31591813</v>
      </c>
      <c r="R222">
        <v>0.122951111</v>
      </c>
      <c r="S222">
        <v>0.39050790000000002</v>
      </c>
      <c r="T222">
        <v>18.96607143</v>
      </c>
      <c r="U222">
        <v>18.96607143</v>
      </c>
      <c r="V222">
        <v>9.05958942</v>
      </c>
      <c r="W222">
        <v>9.05958942</v>
      </c>
      <c r="X222">
        <v>2.303348889</v>
      </c>
      <c r="Y222">
        <v>2.303348889</v>
      </c>
      <c r="Z222">
        <v>1.6413699999999976E-2</v>
      </c>
      <c r="AA222">
        <v>1.6413699999999976E-2</v>
      </c>
    </row>
    <row r="223" spans="1:27" x14ac:dyDescent="0.25">
      <c r="A223" t="s">
        <v>36</v>
      </c>
      <c r="B223" t="s">
        <v>941</v>
      </c>
      <c r="C223">
        <v>17</v>
      </c>
      <c r="D223" t="s">
        <v>37</v>
      </c>
      <c r="E223" t="s">
        <v>95</v>
      </c>
      <c r="F223" t="s">
        <v>104</v>
      </c>
      <c r="G223" t="s">
        <v>121</v>
      </c>
      <c r="H223" t="s">
        <v>162</v>
      </c>
      <c r="J223">
        <v>0</v>
      </c>
      <c r="K223">
        <v>1</v>
      </c>
      <c r="L223">
        <v>113.9375</v>
      </c>
      <c r="M223">
        <v>33.375507550000002</v>
      </c>
      <c r="N223">
        <v>2.4262999999999999</v>
      </c>
      <c r="O223">
        <v>0.40692159999999999</v>
      </c>
      <c r="P223">
        <v>82.53846154</v>
      </c>
      <c r="Q223">
        <v>35.660530039999998</v>
      </c>
      <c r="R223">
        <v>3.3754499999999998</v>
      </c>
      <c r="S223" t="s">
        <v>114</v>
      </c>
      <c r="T223">
        <v>31.39903846</v>
      </c>
      <c r="U223">
        <v>31.39903846</v>
      </c>
      <c r="V223">
        <v>-2.2850224899999998</v>
      </c>
      <c r="W223">
        <v>2.2850224899999998</v>
      </c>
      <c r="X223">
        <v>-0.94915000000000005</v>
      </c>
      <c r="Y223">
        <v>0.94915000000000005</v>
      </c>
      <c r="Z223" t="s">
        <v>114</v>
      </c>
      <c r="AA223" t="s">
        <v>114</v>
      </c>
    </row>
    <row r="224" spans="1:27" x14ac:dyDescent="0.25">
      <c r="A224" t="s">
        <v>38</v>
      </c>
      <c r="B224" t="s">
        <v>942</v>
      </c>
      <c r="C224">
        <v>2</v>
      </c>
      <c r="D224" t="s">
        <v>11</v>
      </c>
      <c r="E224" t="s">
        <v>95</v>
      </c>
      <c r="F224" t="s">
        <v>113</v>
      </c>
      <c r="G224" t="s">
        <v>103</v>
      </c>
      <c r="H224" t="s">
        <v>103</v>
      </c>
      <c r="J224">
        <v>0</v>
      </c>
      <c r="K224">
        <v>3</v>
      </c>
      <c r="L224">
        <v>83.757575759999995</v>
      </c>
      <c r="M224">
        <v>22.60997987</v>
      </c>
      <c r="N224">
        <v>0.72884000000000004</v>
      </c>
      <c r="O224">
        <v>0.21301339999999999</v>
      </c>
      <c r="P224">
        <v>98.291666669999998</v>
      </c>
      <c r="Q224">
        <v>30.315130790000001</v>
      </c>
      <c r="R224">
        <v>5.0803484000000003E-2</v>
      </c>
      <c r="S224">
        <v>0.42866070000000001</v>
      </c>
      <c r="T224">
        <v>-14.53409091</v>
      </c>
      <c r="U224">
        <v>14.53409091</v>
      </c>
      <c r="V224">
        <v>-7.7051509200000003</v>
      </c>
      <c r="W224">
        <v>7.7051509200000003</v>
      </c>
      <c r="X224">
        <v>0.67803651600000003</v>
      </c>
      <c r="Y224">
        <v>0.67803651600000003</v>
      </c>
      <c r="Z224">
        <v>-0.21564730000000001</v>
      </c>
      <c r="AA224">
        <v>0.21564730000000001</v>
      </c>
    </row>
    <row r="225" spans="1:27" x14ac:dyDescent="0.25">
      <c r="A225" t="s">
        <v>38</v>
      </c>
      <c r="B225" t="s">
        <v>943</v>
      </c>
      <c r="C225">
        <v>2</v>
      </c>
      <c r="D225" t="s">
        <v>11</v>
      </c>
      <c r="E225" t="s">
        <v>95</v>
      </c>
      <c r="F225" t="s">
        <v>103</v>
      </c>
      <c r="G225" t="s">
        <v>103</v>
      </c>
      <c r="H225" t="s">
        <v>103</v>
      </c>
      <c r="J225">
        <v>0</v>
      </c>
      <c r="K225">
        <v>7</v>
      </c>
      <c r="L225">
        <v>98.291666669999998</v>
      </c>
      <c r="M225">
        <v>30.315130790000001</v>
      </c>
      <c r="N225">
        <v>5.0803484000000003E-2</v>
      </c>
      <c r="O225">
        <v>0.42866070000000001</v>
      </c>
      <c r="P225">
        <v>98.291666669999998</v>
      </c>
      <c r="Q225">
        <v>30.315130790000001</v>
      </c>
      <c r="R225">
        <v>5.0803484000000003E-2</v>
      </c>
      <c r="S225">
        <v>0.42866070000000001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</row>
    <row r="226" spans="1:27" x14ac:dyDescent="0.25">
      <c r="A226" t="s">
        <v>38</v>
      </c>
      <c r="B226" t="s">
        <v>943</v>
      </c>
      <c r="C226">
        <v>2</v>
      </c>
      <c r="D226" t="s">
        <v>11</v>
      </c>
      <c r="E226" t="s">
        <v>95</v>
      </c>
      <c r="F226" t="s">
        <v>103</v>
      </c>
      <c r="G226" t="s">
        <v>103</v>
      </c>
      <c r="H226" t="s">
        <v>113</v>
      </c>
      <c r="J226">
        <v>0</v>
      </c>
      <c r="K226">
        <v>2</v>
      </c>
      <c r="L226">
        <v>98.291666669999998</v>
      </c>
      <c r="M226">
        <v>30.315130790000001</v>
      </c>
      <c r="N226">
        <v>5.0803484000000003E-2</v>
      </c>
      <c r="O226">
        <v>0.42866070000000001</v>
      </c>
      <c r="P226">
        <v>83.757575759999995</v>
      </c>
      <c r="Q226">
        <v>22.60997987</v>
      </c>
      <c r="R226">
        <v>0.72884000000000004</v>
      </c>
      <c r="S226">
        <v>0.21301339999999999</v>
      </c>
      <c r="T226">
        <v>14.53409091</v>
      </c>
      <c r="U226">
        <v>14.53409091</v>
      </c>
      <c r="V226">
        <v>7.7051509200000003</v>
      </c>
      <c r="W226">
        <v>7.7051509200000003</v>
      </c>
      <c r="X226">
        <v>-0.67803651600000003</v>
      </c>
      <c r="Y226">
        <v>0.67803651600000003</v>
      </c>
      <c r="Z226">
        <v>0.21564730000000001</v>
      </c>
      <c r="AA226">
        <v>0.21564730000000001</v>
      </c>
    </row>
    <row r="227" spans="1:27" x14ac:dyDescent="0.25">
      <c r="A227" t="s">
        <v>38</v>
      </c>
      <c r="B227" t="s">
        <v>944</v>
      </c>
      <c r="C227">
        <v>2</v>
      </c>
      <c r="D227" t="s">
        <v>11</v>
      </c>
      <c r="E227" t="s">
        <v>95</v>
      </c>
      <c r="F227" t="s">
        <v>111</v>
      </c>
      <c r="G227" t="s">
        <v>103</v>
      </c>
      <c r="H227" t="s">
        <v>103</v>
      </c>
      <c r="J227">
        <v>0</v>
      </c>
      <c r="K227">
        <v>2</v>
      </c>
      <c r="L227">
        <v>94.97142857</v>
      </c>
      <c r="M227">
        <v>24.31591813</v>
      </c>
      <c r="N227">
        <v>0.122951111</v>
      </c>
      <c r="O227">
        <v>0.39050790000000002</v>
      </c>
      <c r="P227">
        <v>98.291666669999998</v>
      </c>
      <c r="Q227">
        <v>30.315130790000001</v>
      </c>
      <c r="R227">
        <v>5.0803484000000003E-2</v>
      </c>
      <c r="S227">
        <v>0.42866070000000001</v>
      </c>
      <c r="T227">
        <v>-3.3202381000000001</v>
      </c>
      <c r="U227">
        <v>3.3202381000000001</v>
      </c>
      <c r="V227">
        <v>-5.9992126600000004</v>
      </c>
      <c r="W227">
        <v>5.9992126600000004</v>
      </c>
      <c r="X227">
        <v>7.2147627000000006E-2</v>
      </c>
      <c r="Y227">
        <v>7.2147627000000006E-2</v>
      </c>
      <c r="Z227">
        <v>-3.8152799999999987E-2</v>
      </c>
      <c r="AA227">
        <v>3.8152799999999987E-2</v>
      </c>
    </row>
    <row r="228" spans="1:27" x14ac:dyDescent="0.25">
      <c r="A228" t="s">
        <v>39</v>
      </c>
      <c r="B228" t="s">
        <v>945</v>
      </c>
      <c r="C228">
        <v>2</v>
      </c>
      <c r="D228" t="s">
        <v>15</v>
      </c>
      <c r="E228" t="s">
        <v>94</v>
      </c>
      <c r="F228" t="s">
        <v>102</v>
      </c>
      <c r="G228" t="s">
        <v>102</v>
      </c>
      <c r="H228" t="s">
        <v>235</v>
      </c>
      <c r="J228">
        <v>0</v>
      </c>
      <c r="K228">
        <v>1</v>
      </c>
      <c r="L228">
        <v>84.740740740000007</v>
      </c>
      <c r="M228">
        <v>29.167014049999999</v>
      </c>
      <c r="N228">
        <v>1.1169849999999999</v>
      </c>
      <c r="O228">
        <v>1.1571499000000001</v>
      </c>
      <c r="P228">
        <v>132.27272730000001</v>
      </c>
      <c r="Q228">
        <v>20.180448590000001</v>
      </c>
      <c r="R228">
        <v>3.7813451999999997E-2</v>
      </c>
      <c r="S228">
        <v>0.41404401000000002</v>
      </c>
      <c r="T228">
        <v>-47.53198656</v>
      </c>
      <c r="U228">
        <v>47.53198656</v>
      </c>
      <c r="V228">
        <v>8.9865654599999996</v>
      </c>
      <c r="W228">
        <v>8.9865654599999996</v>
      </c>
      <c r="X228">
        <v>1.0791715479999999</v>
      </c>
      <c r="Y228">
        <v>1.0791715479999999</v>
      </c>
      <c r="Z228">
        <v>0.74310589000000005</v>
      </c>
      <c r="AA228">
        <v>0.74310589000000005</v>
      </c>
    </row>
    <row r="229" spans="1:27" x14ac:dyDescent="0.25">
      <c r="A229" t="s">
        <v>39</v>
      </c>
      <c r="B229" t="s">
        <v>945</v>
      </c>
      <c r="C229">
        <v>2</v>
      </c>
      <c r="D229" t="s">
        <v>15</v>
      </c>
      <c r="E229" t="s">
        <v>94</v>
      </c>
      <c r="F229" t="s">
        <v>102</v>
      </c>
      <c r="G229" t="s">
        <v>102</v>
      </c>
      <c r="H229" t="s">
        <v>113</v>
      </c>
      <c r="J229">
        <v>0</v>
      </c>
      <c r="K229">
        <v>2</v>
      </c>
      <c r="L229">
        <v>84.740740740000007</v>
      </c>
      <c r="M229">
        <v>29.167014049999999</v>
      </c>
      <c r="N229">
        <v>1.1169849999999999</v>
      </c>
      <c r="O229">
        <v>1.1571499000000001</v>
      </c>
      <c r="P229">
        <v>83.757575759999995</v>
      </c>
      <c r="Q229">
        <v>22.60997987</v>
      </c>
      <c r="R229">
        <v>0.72884000000000004</v>
      </c>
      <c r="S229">
        <v>0.21301339999999999</v>
      </c>
      <c r="T229">
        <v>0.98316497999999997</v>
      </c>
      <c r="U229">
        <v>0.98316497999999997</v>
      </c>
      <c r="V229">
        <v>6.5570341799999996</v>
      </c>
      <c r="W229">
        <v>6.5570341799999996</v>
      </c>
      <c r="X229">
        <v>0.38814500000000002</v>
      </c>
      <c r="Y229">
        <v>0.38814500000000002</v>
      </c>
      <c r="Z229">
        <v>0.94413650000000005</v>
      </c>
      <c r="AA229">
        <v>0.94413650000000005</v>
      </c>
    </row>
    <row r="230" spans="1:27" x14ac:dyDescent="0.25">
      <c r="A230" t="s">
        <v>39</v>
      </c>
      <c r="B230" t="s">
        <v>945</v>
      </c>
      <c r="C230">
        <v>2</v>
      </c>
      <c r="D230" t="s">
        <v>15</v>
      </c>
      <c r="E230" t="s">
        <v>94</v>
      </c>
      <c r="F230" t="s">
        <v>102</v>
      </c>
      <c r="G230" t="s">
        <v>102</v>
      </c>
      <c r="H230" t="s">
        <v>103</v>
      </c>
      <c r="J230">
        <v>0</v>
      </c>
      <c r="K230">
        <v>3</v>
      </c>
      <c r="L230">
        <v>84.740740740000007</v>
      </c>
      <c r="M230">
        <v>29.167014049999999</v>
      </c>
      <c r="N230">
        <v>1.1169849999999999</v>
      </c>
      <c r="O230">
        <v>1.1571499000000001</v>
      </c>
      <c r="P230">
        <v>98.291666669999998</v>
      </c>
      <c r="Q230">
        <v>30.315130790000001</v>
      </c>
      <c r="R230">
        <v>5.0803484000000003E-2</v>
      </c>
      <c r="S230">
        <v>0.42866070000000001</v>
      </c>
      <c r="T230">
        <v>-13.55092593</v>
      </c>
      <c r="U230">
        <v>13.55092593</v>
      </c>
      <c r="V230">
        <v>-1.1481167400000001</v>
      </c>
      <c r="W230">
        <v>1.1481167400000001</v>
      </c>
      <c r="X230">
        <v>1.0661815160000001</v>
      </c>
      <c r="Y230">
        <v>1.0661815160000001</v>
      </c>
      <c r="Z230">
        <v>0.72848920000000006</v>
      </c>
      <c r="AA230">
        <v>0.72848920000000006</v>
      </c>
    </row>
    <row r="231" spans="1:27" x14ac:dyDescent="0.25">
      <c r="A231" t="s">
        <v>39</v>
      </c>
      <c r="B231" t="s">
        <v>945</v>
      </c>
      <c r="C231">
        <v>2</v>
      </c>
      <c r="D231" t="s">
        <v>15</v>
      </c>
      <c r="E231" t="s">
        <v>94</v>
      </c>
      <c r="F231" t="s">
        <v>102</v>
      </c>
      <c r="G231" t="s">
        <v>102</v>
      </c>
      <c r="H231" t="s">
        <v>233</v>
      </c>
      <c r="J231">
        <v>0</v>
      </c>
      <c r="K231">
        <v>1</v>
      </c>
      <c r="L231">
        <v>84.740740740000007</v>
      </c>
      <c r="M231">
        <v>29.167014049999999</v>
      </c>
      <c r="N231">
        <v>1.1169849999999999</v>
      </c>
      <c r="O231">
        <v>1.1571499000000001</v>
      </c>
      <c r="P231">
        <v>106.0540541</v>
      </c>
      <c r="Q231">
        <v>52.690533369999997</v>
      </c>
      <c r="R231">
        <v>7.6058968000000005E-2</v>
      </c>
      <c r="S231">
        <v>0.44888888999999998</v>
      </c>
      <c r="T231">
        <v>-21.313313359999999</v>
      </c>
      <c r="U231">
        <v>21.313313359999999</v>
      </c>
      <c r="V231">
        <v>-23.523519319999998</v>
      </c>
      <c r="W231">
        <v>23.523519319999998</v>
      </c>
      <c r="X231">
        <v>1.040926032</v>
      </c>
      <c r="Y231">
        <v>1.040926032</v>
      </c>
      <c r="Z231">
        <v>0.70826101000000008</v>
      </c>
      <c r="AA231">
        <v>0.70826101000000008</v>
      </c>
    </row>
    <row r="232" spans="1:27" x14ac:dyDescent="0.25">
      <c r="A232" t="s">
        <v>39</v>
      </c>
      <c r="B232" t="s">
        <v>945</v>
      </c>
      <c r="C232">
        <v>2</v>
      </c>
      <c r="D232" t="s">
        <v>15</v>
      </c>
      <c r="E232" t="s">
        <v>94</v>
      </c>
      <c r="F232" t="s">
        <v>102</v>
      </c>
      <c r="G232" t="s">
        <v>102</v>
      </c>
      <c r="H232" t="s">
        <v>104</v>
      </c>
      <c r="J232">
        <v>0</v>
      </c>
      <c r="K232">
        <v>1</v>
      </c>
      <c r="L232">
        <v>84.740740740000007</v>
      </c>
      <c r="M232">
        <v>29.167014049999999</v>
      </c>
      <c r="N232">
        <v>1.1169849999999999</v>
      </c>
      <c r="O232">
        <v>1.1571499000000001</v>
      </c>
      <c r="P232">
        <v>113.9375</v>
      </c>
      <c r="Q232">
        <v>33.375507550000002</v>
      </c>
      <c r="R232">
        <v>2.4262999999999999</v>
      </c>
      <c r="S232">
        <v>0.40692159999999999</v>
      </c>
      <c r="T232">
        <v>-29.19675926</v>
      </c>
      <c r="U232">
        <v>29.19675926</v>
      </c>
      <c r="V232">
        <v>-4.2084935000000003</v>
      </c>
      <c r="W232">
        <v>4.2084935000000003</v>
      </c>
      <c r="X232">
        <v>-1.309315</v>
      </c>
      <c r="Y232">
        <v>1.309315</v>
      </c>
      <c r="Z232">
        <v>0.75022830000000007</v>
      </c>
      <c r="AA232">
        <v>0.75022830000000007</v>
      </c>
    </row>
    <row r="233" spans="1:27" x14ac:dyDescent="0.25">
      <c r="A233" t="s">
        <v>39</v>
      </c>
      <c r="B233" t="s">
        <v>946</v>
      </c>
      <c r="C233">
        <v>2</v>
      </c>
      <c r="D233" t="s">
        <v>15</v>
      </c>
      <c r="E233" t="s">
        <v>94</v>
      </c>
      <c r="F233" t="s">
        <v>113</v>
      </c>
      <c r="G233" t="s">
        <v>113</v>
      </c>
      <c r="H233" t="s">
        <v>113</v>
      </c>
      <c r="J233">
        <v>0</v>
      </c>
      <c r="K233">
        <v>5</v>
      </c>
      <c r="L233">
        <v>83.757575759999995</v>
      </c>
      <c r="M233">
        <v>22.60997987</v>
      </c>
      <c r="N233">
        <v>0.72884000000000004</v>
      </c>
      <c r="O233">
        <v>0.21301339999999999</v>
      </c>
      <c r="P233">
        <v>83.757575759999995</v>
      </c>
      <c r="Q233">
        <v>22.60997987</v>
      </c>
      <c r="R233">
        <v>0.72884000000000004</v>
      </c>
      <c r="S233">
        <v>0.21301339999999999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</row>
    <row r="234" spans="1:27" x14ac:dyDescent="0.25">
      <c r="A234" t="s">
        <v>39</v>
      </c>
      <c r="B234" t="s">
        <v>946</v>
      </c>
      <c r="C234">
        <v>2</v>
      </c>
      <c r="D234" t="s">
        <v>15</v>
      </c>
      <c r="E234" t="s">
        <v>94</v>
      </c>
      <c r="F234" t="s">
        <v>113</v>
      </c>
      <c r="G234" t="s">
        <v>113</v>
      </c>
      <c r="H234" t="s">
        <v>233</v>
      </c>
      <c r="J234">
        <v>0</v>
      </c>
      <c r="K234">
        <v>4</v>
      </c>
      <c r="L234">
        <v>83.757575759999995</v>
      </c>
      <c r="M234">
        <v>22.60997987</v>
      </c>
      <c r="N234">
        <v>0.72884000000000004</v>
      </c>
      <c r="O234">
        <v>0.21301339999999999</v>
      </c>
      <c r="P234">
        <v>106.0540541</v>
      </c>
      <c r="Q234">
        <v>52.690533369999997</v>
      </c>
      <c r="R234">
        <v>7.6058968000000005E-2</v>
      </c>
      <c r="S234">
        <v>0.44888888999999998</v>
      </c>
      <c r="T234">
        <v>-22.29647834</v>
      </c>
      <c r="U234">
        <v>22.29647834</v>
      </c>
      <c r="V234">
        <v>-30.080553500000001</v>
      </c>
      <c r="W234">
        <v>30.080553500000001</v>
      </c>
      <c r="X234">
        <v>0.65278103200000004</v>
      </c>
      <c r="Y234">
        <v>0.65278103200000004</v>
      </c>
      <c r="Z234">
        <v>-0.23587548999999999</v>
      </c>
      <c r="AA234">
        <v>0.23587548999999999</v>
      </c>
    </row>
    <row r="235" spans="1:27" x14ac:dyDescent="0.25">
      <c r="A235" t="s">
        <v>39</v>
      </c>
      <c r="B235" t="s">
        <v>946</v>
      </c>
      <c r="C235">
        <v>2</v>
      </c>
      <c r="D235" t="s">
        <v>15</v>
      </c>
      <c r="E235" t="s">
        <v>94</v>
      </c>
      <c r="F235" t="s">
        <v>113</v>
      </c>
      <c r="G235" t="s">
        <v>113</v>
      </c>
      <c r="H235" t="s">
        <v>234</v>
      </c>
      <c r="J235">
        <v>0</v>
      </c>
      <c r="K235">
        <v>1</v>
      </c>
      <c r="L235">
        <v>83.757575759999995</v>
      </c>
      <c r="M235">
        <v>22.60997987</v>
      </c>
      <c r="N235">
        <v>0.72884000000000004</v>
      </c>
      <c r="O235">
        <v>0.21301339999999999</v>
      </c>
      <c r="P235">
        <v>89.8125</v>
      </c>
      <c r="Q235">
        <v>34.754706650000003</v>
      </c>
      <c r="R235">
        <v>2.3065078999999999E-2</v>
      </c>
      <c r="S235">
        <v>2.4791666700000001</v>
      </c>
      <c r="T235">
        <v>-6.0549242400000001</v>
      </c>
      <c r="U235">
        <v>6.0549242400000001</v>
      </c>
      <c r="V235">
        <v>-12.144726779999999</v>
      </c>
      <c r="W235">
        <v>12.144726779999999</v>
      </c>
      <c r="X235">
        <v>0.70577492100000006</v>
      </c>
      <c r="Y235">
        <v>0.70577492100000006</v>
      </c>
      <c r="Z235">
        <v>-2.2661532700000002</v>
      </c>
      <c r="AA235">
        <v>2.2661532700000002</v>
      </c>
    </row>
    <row r="236" spans="1:27" x14ac:dyDescent="0.25">
      <c r="A236" t="s">
        <v>39</v>
      </c>
      <c r="B236" t="s">
        <v>947</v>
      </c>
      <c r="C236">
        <v>2</v>
      </c>
      <c r="D236" t="s">
        <v>15</v>
      </c>
      <c r="E236" t="s">
        <v>94</v>
      </c>
      <c r="F236" t="s">
        <v>103</v>
      </c>
      <c r="G236" t="s">
        <v>103</v>
      </c>
      <c r="H236" t="s">
        <v>103</v>
      </c>
      <c r="J236">
        <v>0</v>
      </c>
      <c r="K236">
        <v>3</v>
      </c>
      <c r="L236">
        <v>98.291666669999998</v>
      </c>
      <c r="M236">
        <v>30.315130790000001</v>
      </c>
      <c r="N236">
        <v>5.0803484000000003E-2</v>
      </c>
      <c r="O236">
        <v>0.42866070000000001</v>
      </c>
      <c r="P236">
        <v>98.291666669999998</v>
      </c>
      <c r="Q236">
        <v>30.315130790000001</v>
      </c>
      <c r="R236">
        <v>5.0803484000000003E-2</v>
      </c>
      <c r="S236">
        <v>0.42866070000000001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</row>
    <row r="237" spans="1:27" x14ac:dyDescent="0.25">
      <c r="A237" t="s">
        <v>39</v>
      </c>
      <c r="B237" t="s">
        <v>947</v>
      </c>
      <c r="C237">
        <v>2</v>
      </c>
      <c r="D237" t="s">
        <v>15</v>
      </c>
      <c r="E237" t="s">
        <v>94</v>
      </c>
      <c r="F237" t="s">
        <v>103</v>
      </c>
      <c r="G237" t="s">
        <v>103</v>
      </c>
      <c r="H237" t="s">
        <v>104</v>
      </c>
      <c r="J237">
        <v>0</v>
      </c>
      <c r="K237">
        <v>1</v>
      </c>
      <c r="L237">
        <v>98.291666669999998</v>
      </c>
      <c r="M237">
        <v>30.315130790000001</v>
      </c>
      <c r="N237">
        <v>5.0803484000000003E-2</v>
      </c>
      <c r="O237">
        <v>0.42866070000000001</v>
      </c>
      <c r="P237">
        <v>113.9375</v>
      </c>
      <c r="Q237">
        <v>33.375507550000002</v>
      </c>
      <c r="R237">
        <v>2.4262999999999999</v>
      </c>
      <c r="S237">
        <v>0.40692159999999999</v>
      </c>
      <c r="T237">
        <v>-15.64583333</v>
      </c>
      <c r="U237">
        <v>15.64583333</v>
      </c>
      <c r="V237">
        <v>-3.06037676</v>
      </c>
      <c r="W237">
        <v>3.06037676</v>
      </c>
      <c r="X237">
        <v>-2.3754965160000001</v>
      </c>
      <c r="Y237">
        <v>2.3754965160000001</v>
      </c>
      <c r="Z237">
        <v>2.1739100000000011E-2</v>
      </c>
      <c r="AA237">
        <v>2.1739100000000011E-2</v>
      </c>
    </row>
    <row r="238" spans="1:27" x14ac:dyDescent="0.25">
      <c r="A238" t="s">
        <v>39</v>
      </c>
      <c r="B238" t="s">
        <v>947</v>
      </c>
      <c r="C238">
        <v>2</v>
      </c>
      <c r="D238" t="s">
        <v>15</v>
      </c>
      <c r="E238" t="s">
        <v>94</v>
      </c>
      <c r="F238" t="s">
        <v>103</v>
      </c>
      <c r="G238" t="s">
        <v>103</v>
      </c>
      <c r="H238" t="s">
        <v>113</v>
      </c>
      <c r="J238">
        <v>0</v>
      </c>
      <c r="K238">
        <v>4</v>
      </c>
      <c r="L238">
        <v>98.291666669999998</v>
      </c>
      <c r="M238">
        <v>30.315130790000001</v>
      </c>
      <c r="N238">
        <v>5.0803484000000003E-2</v>
      </c>
      <c r="O238">
        <v>0.42866070000000001</v>
      </c>
      <c r="P238">
        <v>83.757575759999995</v>
      </c>
      <c r="Q238">
        <v>22.60997987</v>
      </c>
      <c r="R238">
        <v>0.72884000000000004</v>
      </c>
      <c r="S238">
        <v>0.21301339999999999</v>
      </c>
      <c r="T238">
        <v>14.53409091</v>
      </c>
      <c r="U238">
        <v>14.53409091</v>
      </c>
      <c r="V238">
        <v>7.7051509200000003</v>
      </c>
      <c r="W238">
        <v>7.7051509200000003</v>
      </c>
      <c r="X238">
        <v>-0.67803651600000003</v>
      </c>
      <c r="Y238">
        <v>0.67803651600000003</v>
      </c>
      <c r="Z238">
        <v>0.21564730000000001</v>
      </c>
      <c r="AA238">
        <v>0.21564730000000001</v>
      </c>
    </row>
    <row r="239" spans="1:27" x14ac:dyDescent="0.25">
      <c r="A239" t="s">
        <v>39</v>
      </c>
      <c r="B239" t="s">
        <v>948</v>
      </c>
      <c r="C239">
        <v>2</v>
      </c>
      <c r="D239" t="s">
        <v>15</v>
      </c>
      <c r="E239" t="s">
        <v>94</v>
      </c>
      <c r="F239" t="s">
        <v>111</v>
      </c>
      <c r="G239" t="s">
        <v>104</v>
      </c>
      <c r="H239" t="s">
        <v>236</v>
      </c>
      <c r="J239">
        <v>0</v>
      </c>
      <c r="K239">
        <v>1</v>
      </c>
      <c r="L239">
        <v>94.97142857</v>
      </c>
      <c r="M239">
        <v>24.31591813</v>
      </c>
      <c r="N239">
        <v>0.122951111</v>
      </c>
      <c r="O239">
        <v>0.39050790000000002</v>
      </c>
      <c r="P239">
        <v>113.33333330000001</v>
      </c>
      <c r="Q239">
        <v>26.41632581</v>
      </c>
      <c r="R239">
        <v>1.6844570160000001</v>
      </c>
      <c r="S239">
        <v>8.9285710000000004E-2</v>
      </c>
      <c r="T239">
        <v>-18.361904729999999</v>
      </c>
      <c r="U239">
        <v>18.361904729999999</v>
      </c>
      <c r="V239">
        <v>-2.10040768</v>
      </c>
      <c r="W239">
        <v>2.10040768</v>
      </c>
      <c r="X239">
        <v>-1.561505905</v>
      </c>
      <c r="Y239">
        <v>1.561505905</v>
      </c>
      <c r="Z239">
        <v>0.30122219</v>
      </c>
      <c r="AA239">
        <v>0.30122219</v>
      </c>
    </row>
    <row r="240" spans="1:27" x14ac:dyDescent="0.25">
      <c r="A240" t="s">
        <v>39</v>
      </c>
      <c r="B240" t="s">
        <v>948</v>
      </c>
      <c r="C240">
        <v>2</v>
      </c>
      <c r="D240" t="s">
        <v>15</v>
      </c>
      <c r="E240" t="s">
        <v>94</v>
      </c>
      <c r="F240" t="s">
        <v>111</v>
      </c>
      <c r="G240" t="s">
        <v>104</v>
      </c>
      <c r="H240" t="s">
        <v>103</v>
      </c>
      <c r="J240">
        <v>0</v>
      </c>
      <c r="K240">
        <v>1</v>
      </c>
      <c r="L240">
        <v>94.97142857</v>
      </c>
      <c r="M240">
        <v>24.31591813</v>
      </c>
      <c r="N240">
        <v>0.122951111</v>
      </c>
      <c r="O240">
        <v>0.39050790000000002</v>
      </c>
      <c r="P240">
        <v>98.291666669999998</v>
      </c>
      <c r="Q240">
        <v>30.315130790000001</v>
      </c>
      <c r="R240">
        <v>5.0803484000000003E-2</v>
      </c>
      <c r="S240">
        <v>0.42866070000000001</v>
      </c>
      <c r="T240">
        <v>-3.3202381000000001</v>
      </c>
      <c r="U240">
        <v>3.3202381000000001</v>
      </c>
      <c r="V240">
        <v>-5.9992126600000004</v>
      </c>
      <c r="W240">
        <v>5.9992126600000004</v>
      </c>
      <c r="X240">
        <v>7.2147627000000006E-2</v>
      </c>
      <c r="Y240">
        <v>7.2147627000000006E-2</v>
      </c>
      <c r="Z240">
        <v>-3.8152799999999987E-2</v>
      </c>
      <c r="AA240">
        <v>3.8152799999999987E-2</v>
      </c>
    </row>
    <row r="241" spans="1:27" x14ac:dyDescent="0.25">
      <c r="A241" t="s">
        <v>39</v>
      </c>
      <c r="B241" t="s">
        <v>948</v>
      </c>
      <c r="C241">
        <v>2</v>
      </c>
      <c r="D241" t="s">
        <v>15</v>
      </c>
      <c r="E241" t="s">
        <v>94</v>
      </c>
      <c r="F241" t="s">
        <v>111</v>
      </c>
      <c r="G241" t="s">
        <v>104</v>
      </c>
      <c r="H241" t="s">
        <v>104</v>
      </c>
      <c r="J241">
        <v>0</v>
      </c>
      <c r="K241">
        <v>1</v>
      </c>
      <c r="L241">
        <v>94.97142857</v>
      </c>
      <c r="M241">
        <v>24.31591813</v>
      </c>
      <c r="N241">
        <v>0.122951111</v>
      </c>
      <c r="O241">
        <v>0.39050790000000002</v>
      </c>
      <c r="P241">
        <v>113.9375</v>
      </c>
      <c r="Q241">
        <v>33.375507550000002</v>
      </c>
      <c r="R241">
        <v>2.4262999999999999</v>
      </c>
      <c r="S241">
        <v>0.40692159999999999</v>
      </c>
      <c r="T241">
        <v>-18.96607143</v>
      </c>
      <c r="U241">
        <v>18.96607143</v>
      </c>
      <c r="V241">
        <v>-9.05958942</v>
      </c>
      <c r="W241">
        <v>9.05958942</v>
      </c>
      <c r="X241">
        <v>-2.303348889</v>
      </c>
      <c r="Y241">
        <v>2.303348889</v>
      </c>
      <c r="Z241">
        <v>-1.6413699999999976E-2</v>
      </c>
      <c r="AA241">
        <v>1.6413699999999976E-2</v>
      </c>
    </row>
    <row r="242" spans="1:27" x14ac:dyDescent="0.25">
      <c r="A242" t="s">
        <v>39</v>
      </c>
      <c r="B242" t="s">
        <v>949</v>
      </c>
      <c r="C242">
        <v>2</v>
      </c>
      <c r="D242" t="s">
        <v>15</v>
      </c>
      <c r="E242" t="s">
        <v>94</v>
      </c>
      <c r="F242" t="s">
        <v>104</v>
      </c>
      <c r="G242" t="s">
        <v>104</v>
      </c>
      <c r="H242" t="s">
        <v>104</v>
      </c>
      <c r="J242">
        <v>0</v>
      </c>
      <c r="K242">
        <v>3</v>
      </c>
      <c r="L242">
        <v>113.9375</v>
      </c>
      <c r="M242">
        <v>33.375507550000002</v>
      </c>
      <c r="N242">
        <v>2.4262999999999999</v>
      </c>
      <c r="O242">
        <v>0.40692159999999999</v>
      </c>
      <c r="P242">
        <v>113.9375</v>
      </c>
      <c r="Q242">
        <v>33.375507550000002</v>
      </c>
      <c r="R242">
        <v>2.4262999999999999</v>
      </c>
      <c r="S242">
        <v>0.40692159999999999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</row>
    <row r="243" spans="1:27" x14ac:dyDescent="0.25">
      <c r="A243" t="s">
        <v>39</v>
      </c>
      <c r="B243" t="s">
        <v>949</v>
      </c>
      <c r="C243">
        <v>2</v>
      </c>
      <c r="D243" t="s">
        <v>15</v>
      </c>
      <c r="E243" t="s">
        <v>94</v>
      </c>
      <c r="F243" t="s">
        <v>104</v>
      </c>
      <c r="G243" t="s">
        <v>104</v>
      </c>
      <c r="H243" t="s">
        <v>113</v>
      </c>
      <c r="J243">
        <v>0</v>
      </c>
      <c r="K243">
        <v>1</v>
      </c>
      <c r="L243">
        <v>113.9375</v>
      </c>
      <c r="M243">
        <v>33.375507550000002</v>
      </c>
      <c r="N243">
        <v>2.4262999999999999</v>
      </c>
      <c r="O243">
        <v>0.40692159999999999</v>
      </c>
      <c r="P243">
        <v>83.757575759999995</v>
      </c>
      <c r="Q243">
        <v>22.60997987</v>
      </c>
      <c r="R243">
        <v>0.72884000000000004</v>
      </c>
      <c r="S243">
        <v>0.21301339999999999</v>
      </c>
      <c r="T243">
        <v>30.179924239999998</v>
      </c>
      <c r="U243">
        <v>30.179924239999998</v>
      </c>
      <c r="V243">
        <v>10.76552768</v>
      </c>
      <c r="W243">
        <v>10.76552768</v>
      </c>
      <c r="X243">
        <v>1.69746</v>
      </c>
      <c r="Y243">
        <v>1.69746</v>
      </c>
      <c r="Z243">
        <v>0.1939082</v>
      </c>
      <c r="AA243">
        <v>0.1939082</v>
      </c>
    </row>
    <row r="244" spans="1:27" x14ac:dyDescent="0.25">
      <c r="A244" t="s">
        <v>40</v>
      </c>
      <c r="B244" t="s">
        <v>950</v>
      </c>
      <c r="C244">
        <v>2</v>
      </c>
      <c r="D244" t="s">
        <v>17</v>
      </c>
      <c r="E244" t="s">
        <v>95</v>
      </c>
      <c r="F244" t="s">
        <v>113</v>
      </c>
      <c r="G244" t="s">
        <v>113</v>
      </c>
      <c r="H244" t="s">
        <v>113</v>
      </c>
      <c r="J244">
        <v>0</v>
      </c>
      <c r="K244">
        <v>1</v>
      </c>
      <c r="L244">
        <v>83.757575759999995</v>
      </c>
      <c r="M244">
        <v>22.60997987</v>
      </c>
      <c r="N244">
        <v>0.72884000000000004</v>
      </c>
      <c r="O244">
        <v>0.21301339999999999</v>
      </c>
      <c r="P244">
        <v>83.757575759999995</v>
      </c>
      <c r="Q244">
        <v>22.60997987</v>
      </c>
      <c r="R244">
        <v>0.72884000000000004</v>
      </c>
      <c r="S244">
        <v>0.21301339999999999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</row>
    <row r="245" spans="1:27" x14ac:dyDescent="0.25">
      <c r="A245" t="s">
        <v>40</v>
      </c>
      <c r="B245" t="s">
        <v>950</v>
      </c>
      <c r="C245">
        <v>2</v>
      </c>
      <c r="D245" t="s">
        <v>17</v>
      </c>
      <c r="E245" t="s">
        <v>95</v>
      </c>
      <c r="F245" t="s">
        <v>113</v>
      </c>
      <c r="G245" t="s">
        <v>113</v>
      </c>
      <c r="H245" t="s">
        <v>103</v>
      </c>
      <c r="J245">
        <v>0</v>
      </c>
      <c r="K245">
        <v>2</v>
      </c>
      <c r="L245">
        <v>83.757575759999995</v>
      </c>
      <c r="M245">
        <v>22.60997987</v>
      </c>
      <c r="N245">
        <v>0.72884000000000004</v>
      </c>
      <c r="O245">
        <v>0.21301339999999999</v>
      </c>
      <c r="P245">
        <v>98.291666669999998</v>
      </c>
      <c r="Q245">
        <v>30.315130790000001</v>
      </c>
      <c r="R245">
        <v>5.0803484000000003E-2</v>
      </c>
      <c r="S245">
        <v>0.42866070000000001</v>
      </c>
      <c r="T245">
        <v>-14.53409091</v>
      </c>
      <c r="U245">
        <v>14.53409091</v>
      </c>
      <c r="V245">
        <v>-7.7051509200000003</v>
      </c>
      <c r="W245">
        <v>7.7051509200000003</v>
      </c>
      <c r="X245">
        <v>0.67803651600000003</v>
      </c>
      <c r="Y245">
        <v>0.67803651600000003</v>
      </c>
      <c r="Z245">
        <v>-0.21564730000000001</v>
      </c>
      <c r="AA245">
        <v>0.21564730000000001</v>
      </c>
    </row>
    <row r="246" spans="1:27" x14ac:dyDescent="0.25">
      <c r="A246" t="s">
        <v>40</v>
      </c>
      <c r="B246" t="s">
        <v>951</v>
      </c>
      <c r="C246">
        <v>2</v>
      </c>
      <c r="D246" t="s">
        <v>17</v>
      </c>
      <c r="E246" t="s">
        <v>95</v>
      </c>
      <c r="F246" t="s">
        <v>103</v>
      </c>
      <c r="G246" t="s">
        <v>103</v>
      </c>
      <c r="H246" t="s">
        <v>103</v>
      </c>
      <c r="J246">
        <v>0</v>
      </c>
      <c r="K246">
        <v>6</v>
      </c>
      <c r="L246">
        <v>98.291666669999998</v>
      </c>
      <c r="M246">
        <v>30.315130790000001</v>
      </c>
      <c r="N246">
        <v>5.0803484000000003E-2</v>
      </c>
      <c r="O246">
        <v>0.42866070000000001</v>
      </c>
      <c r="P246">
        <v>98.291666669999998</v>
      </c>
      <c r="Q246">
        <v>30.315130790000001</v>
      </c>
      <c r="R246">
        <v>5.0803484000000003E-2</v>
      </c>
      <c r="S246">
        <v>0.42866070000000001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</row>
    <row r="247" spans="1:27" x14ac:dyDescent="0.25">
      <c r="A247" t="s">
        <v>40</v>
      </c>
      <c r="B247" t="s">
        <v>952</v>
      </c>
      <c r="C247">
        <v>2</v>
      </c>
      <c r="D247" t="s">
        <v>17</v>
      </c>
      <c r="E247" t="s">
        <v>95</v>
      </c>
      <c r="F247" t="s">
        <v>112</v>
      </c>
      <c r="G247" t="s">
        <v>103</v>
      </c>
      <c r="H247" t="s">
        <v>103</v>
      </c>
      <c r="I247" t="s">
        <v>243</v>
      </c>
      <c r="J247">
        <v>1</v>
      </c>
      <c r="K247">
        <v>7</v>
      </c>
      <c r="L247">
        <v>65.09375</v>
      </c>
      <c r="M247">
        <v>37.895352600000002</v>
      </c>
      <c r="N247">
        <v>2.2882677779999998</v>
      </c>
      <c r="O247">
        <v>2.2111774</v>
      </c>
      <c r="P247">
        <v>98.291666669999998</v>
      </c>
      <c r="Q247">
        <v>30.315130790000001</v>
      </c>
      <c r="R247">
        <v>5.0803484000000003E-2</v>
      </c>
      <c r="S247">
        <v>0.42866070000000001</v>
      </c>
      <c r="T247">
        <v>-33.197916669999998</v>
      </c>
      <c r="U247">
        <v>33.197916669999998</v>
      </c>
      <c r="V247">
        <v>7.5802218100000003</v>
      </c>
      <c r="W247">
        <v>7.5802218100000003</v>
      </c>
      <c r="X247">
        <v>2.237464294</v>
      </c>
      <c r="Y247">
        <v>2.237464294</v>
      </c>
      <c r="Z247">
        <v>1.7825167</v>
      </c>
      <c r="AA247">
        <v>1.7825167</v>
      </c>
    </row>
    <row r="248" spans="1:27" x14ac:dyDescent="0.25">
      <c r="A248" t="s">
        <v>40</v>
      </c>
      <c r="B248" t="s">
        <v>952</v>
      </c>
      <c r="C248">
        <v>2</v>
      </c>
      <c r="D248" t="s">
        <v>17</v>
      </c>
      <c r="E248" t="s">
        <v>95</v>
      </c>
      <c r="F248" t="s">
        <v>112</v>
      </c>
      <c r="G248" t="s">
        <v>103</v>
      </c>
      <c r="H248" t="s">
        <v>113</v>
      </c>
      <c r="J248">
        <v>1</v>
      </c>
      <c r="K248">
        <v>5</v>
      </c>
      <c r="L248">
        <v>65.09375</v>
      </c>
      <c r="M248">
        <v>37.895352600000002</v>
      </c>
      <c r="N248">
        <v>2.2882677779999998</v>
      </c>
      <c r="O248">
        <v>2.2111774</v>
      </c>
      <c r="P248">
        <v>83.757575759999995</v>
      </c>
      <c r="Q248">
        <v>22.60997987</v>
      </c>
      <c r="R248">
        <v>0.72884000000000004</v>
      </c>
      <c r="S248">
        <v>0.21301339999999999</v>
      </c>
      <c r="T248">
        <v>-18.663825760000002</v>
      </c>
      <c r="U248">
        <v>18.663825760000002</v>
      </c>
      <c r="V248">
        <v>15.285372730000001</v>
      </c>
      <c r="W248">
        <v>15.285372730000001</v>
      </c>
      <c r="X248">
        <v>1.5594277780000001</v>
      </c>
      <c r="Y248">
        <v>1.5594277780000001</v>
      </c>
      <c r="Z248">
        <v>1.9981640000000001</v>
      </c>
      <c r="AA248">
        <v>1.9981640000000001</v>
      </c>
    </row>
    <row r="249" spans="1:27" x14ac:dyDescent="0.25">
      <c r="A249" t="s">
        <v>41</v>
      </c>
      <c r="B249" t="s">
        <v>953</v>
      </c>
      <c r="C249">
        <v>2</v>
      </c>
      <c r="D249" t="s">
        <v>19</v>
      </c>
      <c r="E249" t="s">
        <v>94</v>
      </c>
      <c r="F249" t="s">
        <v>105</v>
      </c>
      <c r="G249" t="s">
        <v>104</v>
      </c>
      <c r="H249" t="s">
        <v>104</v>
      </c>
      <c r="J249">
        <v>0</v>
      </c>
      <c r="K249">
        <v>3</v>
      </c>
      <c r="L249">
        <v>67.5</v>
      </c>
      <c r="M249">
        <v>47.937235809999997</v>
      </c>
      <c r="N249">
        <v>0.41599678000000001</v>
      </c>
      <c r="O249">
        <v>2.0950346999999998</v>
      </c>
      <c r="P249">
        <v>113.9375</v>
      </c>
      <c r="Q249">
        <v>33.375507550000002</v>
      </c>
      <c r="R249">
        <v>2.4262999999999999</v>
      </c>
      <c r="S249">
        <v>0.40692159999999999</v>
      </c>
      <c r="T249">
        <v>-46.4375</v>
      </c>
      <c r="U249">
        <v>46.4375</v>
      </c>
      <c r="V249">
        <v>14.561728260000001</v>
      </c>
      <c r="W249">
        <v>14.561728260000001</v>
      </c>
      <c r="X249">
        <v>-2.0103032199999999</v>
      </c>
      <c r="Y249">
        <v>2.0103032199999999</v>
      </c>
      <c r="Z249">
        <v>1.6881130999999998</v>
      </c>
      <c r="AA249">
        <v>1.6881130999999998</v>
      </c>
    </row>
    <row r="250" spans="1:27" x14ac:dyDescent="0.25">
      <c r="A250" t="s">
        <v>41</v>
      </c>
      <c r="B250" t="s">
        <v>953</v>
      </c>
      <c r="C250">
        <v>2</v>
      </c>
      <c r="D250" t="s">
        <v>19</v>
      </c>
      <c r="E250" t="s">
        <v>94</v>
      </c>
      <c r="F250" t="s">
        <v>105</v>
      </c>
      <c r="G250" t="s">
        <v>104</v>
      </c>
      <c r="H250" t="s">
        <v>113</v>
      </c>
      <c r="J250">
        <v>0</v>
      </c>
      <c r="K250">
        <v>1</v>
      </c>
      <c r="L250">
        <v>67.5</v>
      </c>
      <c r="M250">
        <v>47.937235809999997</v>
      </c>
      <c r="N250">
        <v>0.41599678000000001</v>
      </c>
      <c r="O250">
        <v>2.0950346999999998</v>
      </c>
      <c r="P250">
        <v>83.757575759999995</v>
      </c>
      <c r="Q250">
        <v>22.60997987</v>
      </c>
      <c r="R250">
        <v>0.72884000000000004</v>
      </c>
      <c r="S250">
        <v>0.21301339999999999</v>
      </c>
      <c r="T250">
        <v>-16.257575760000002</v>
      </c>
      <c r="U250">
        <v>16.257575760000002</v>
      </c>
      <c r="V250">
        <v>25.327255940000001</v>
      </c>
      <c r="W250">
        <v>25.327255940000001</v>
      </c>
      <c r="X250">
        <v>-0.31284321999999998</v>
      </c>
      <c r="Y250">
        <v>0.31284321999999998</v>
      </c>
      <c r="Z250">
        <v>1.8820212999999999</v>
      </c>
      <c r="AA250">
        <v>1.8820212999999999</v>
      </c>
    </row>
    <row r="251" spans="1:27" x14ac:dyDescent="0.25">
      <c r="A251" t="s">
        <v>41</v>
      </c>
      <c r="B251" t="s">
        <v>953</v>
      </c>
      <c r="C251">
        <v>2</v>
      </c>
      <c r="D251" t="s">
        <v>19</v>
      </c>
      <c r="E251" t="s">
        <v>94</v>
      </c>
      <c r="F251" t="s">
        <v>105</v>
      </c>
      <c r="G251" t="s">
        <v>104</v>
      </c>
      <c r="H251" t="s">
        <v>237</v>
      </c>
      <c r="J251">
        <v>0</v>
      </c>
      <c r="K251">
        <v>1</v>
      </c>
      <c r="L251">
        <v>67.5</v>
      </c>
      <c r="M251">
        <v>47.937235809999997</v>
      </c>
      <c r="N251">
        <v>0.41599678000000001</v>
      </c>
      <c r="O251">
        <v>2.0950346999999998</v>
      </c>
      <c r="P251">
        <v>83.888888890000004</v>
      </c>
      <c r="Q251">
        <v>31.026943280000001</v>
      </c>
      <c r="R251">
        <v>0.53083999999999998</v>
      </c>
      <c r="S251">
        <v>0.24845418999999999</v>
      </c>
      <c r="T251">
        <v>-16.38888889</v>
      </c>
      <c r="U251">
        <v>16.38888889</v>
      </c>
      <c r="V251">
        <v>16.91029253</v>
      </c>
      <c r="W251">
        <v>16.91029253</v>
      </c>
      <c r="X251">
        <v>-0.11484322</v>
      </c>
      <c r="Y251">
        <v>0.11484322</v>
      </c>
      <c r="Z251">
        <v>1.8465805099999999</v>
      </c>
      <c r="AA251">
        <v>1.8465805099999999</v>
      </c>
    </row>
    <row r="252" spans="1:27" x14ac:dyDescent="0.25">
      <c r="A252" t="s">
        <v>41</v>
      </c>
      <c r="B252" t="s">
        <v>953</v>
      </c>
      <c r="C252">
        <v>2</v>
      </c>
      <c r="D252" t="s">
        <v>19</v>
      </c>
      <c r="E252" t="s">
        <v>94</v>
      </c>
      <c r="F252" t="s">
        <v>105</v>
      </c>
      <c r="G252" t="s">
        <v>104</v>
      </c>
      <c r="H252" t="s">
        <v>239</v>
      </c>
      <c r="J252">
        <v>0</v>
      </c>
      <c r="K252">
        <v>1</v>
      </c>
      <c r="L252">
        <v>67.5</v>
      </c>
      <c r="M252">
        <v>47.937235809999997</v>
      </c>
      <c r="N252">
        <v>0.41599678000000001</v>
      </c>
      <c r="O252">
        <v>2.0950346999999998</v>
      </c>
      <c r="P252">
        <v>100.45454549999999</v>
      </c>
      <c r="Q252">
        <v>26.754810689999999</v>
      </c>
      <c r="R252">
        <v>0.75829999999999997</v>
      </c>
      <c r="S252">
        <v>0.40907861000000001</v>
      </c>
      <c r="T252">
        <v>-32.954545500000002</v>
      </c>
      <c r="U252">
        <v>32.954545500000002</v>
      </c>
      <c r="V252">
        <v>21.182425120000001</v>
      </c>
      <c r="W252">
        <v>21.182425120000001</v>
      </c>
      <c r="X252">
        <v>-0.34230322000000002</v>
      </c>
      <c r="Y252">
        <v>0.34230322000000002</v>
      </c>
      <c r="Z252">
        <v>1.6859560899999999</v>
      </c>
      <c r="AA252">
        <v>1.6859560899999999</v>
      </c>
    </row>
    <row r="253" spans="1:27" x14ac:dyDescent="0.25">
      <c r="A253" t="s">
        <v>41</v>
      </c>
      <c r="B253" t="s">
        <v>954</v>
      </c>
      <c r="C253">
        <v>2</v>
      </c>
      <c r="D253" t="s">
        <v>19</v>
      </c>
      <c r="E253" t="s">
        <v>94</v>
      </c>
      <c r="F253" t="s">
        <v>113</v>
      </c>
      <c r="G253" t="s">
        <v>104</v>
      </c>
      <c r="H253" t="s">
        <v>237</v>
      </c>
      <c r="J253">
        <v>0</v>
      </c>
      <c r="K253">
        <v>1</v>
      </c>
      <c r="L253">
        <v>83.757575759999995</v>
      </c>
      <c r="M253">
        <v>22.60997987</v>
      </c>
      <c r="N253">
        <v>0.72884000000000004</v>
      </c>
      <c r="O253">
        <v>0.21301339999999999</v>
      </c>
      <c r="P253">
        <v>83.888888890000004</v>
      </c>
      <c r="Q253">
        <v>31.026943280000001</v>
      </c>
      <c r="R253">
        <v>0.53083999999999998</v>
      </c>
      <c r="S253">
        <v>0.24845418999999999</v>
      </c>
      <c r="T253">
        <v>-0.13131313</v>
      </c>
      <c r="U253">
        <v>0.13131313</v>
      </c>
      <c r="V253">
        <v>-8.4169634099999993</v>
      </c>
      <c r="W253">
        <v>8.4169634099999993</v>
      </c>
      <c r="X253">
        <v>0.19800000000000001</v>
      </c>
      <c r="Y253">
        <v>0.19800000000000001</v>
      </c>
      <c r="Z253">
        <v>-3.544079E-2</v>
      </c>
      <c r="AA253">
        <v>3.544079E-2</v>
      </c>
    </row>
    <row r="254" spans="1:27" x14ac:dyDescent="0.25">
      <c r="A254" t="s">
        <v>41</v>
      </c>
      <c r="B254" t="s">
        <v>954</v>
      </c>
      <c r="C254">
        <v>2</v>
      </c>
      <c r="D254" t="s">
        <v>19</v>
      </c>
      <c r="E254" t="s">
        <v>94</v>
      </c>
      <c r="F254" t="s">
        <v>113</v>
      </c>
      <c r="G254" t="s">
        <v>104</v>
      </c>
      <c r="H254" t="s">
        <v>113</v>
      </c>
      <c r="J254">
        <v>0</v>
      </c>
      <c r="K254">
        <v>7</v>
      </c>
      <c r="L254">
        <v>83.757575759999995</v>
      </c>
      <c r="M254">
        <v>22.60997987</v>
      </c>
      <c r="N254">
        <v>0.72884000000000004</v>
      </c>
      <c r="O254">
        <v>0.21301339999999999</v>
      </c>
      <c r="P254">
        <v>83.757575759999995</v>
      </c>
      <c r="Q254">
        <v>22.60997987</v>
      </c>
      <c r="R254">
        <v>0.72884000000000004</v>
      </c>
      <c r="S254">
        <v>0.21301339999999999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</row>
    <row r="255" spans="1:27" x14ac:dyDescent="0.25">
      <c r="A255" t="s">
        <v>41</v>
      </c>
      <c r="B255" t="s">
        <v>954</v>
      </c>
      <c r="C255">
        <v>2</v>
      </c>
      <c r="D255" t="s">
        <v>19</v>
      </c>
      <c r="E255" t="s">
        <v>94</v>
      </c>
      <c r="F255" t="s">
        <v>113</v>
      </c>
      <c r="G255" t="s">
        <v>104</v>
      </c>
      <c r="H255" t="s">
        <v>104</v>
      </c>
      <c r="J255">
        <v>0</v>
      </c>
      <c r="K255">
        <v>1</v>
      </c>
      <c r="L255">
        <v>83.757575759999995</v>
      </c>
      <c r="M255">
        <v>22.60997987</v>
      </c>
      <c r="N255">
        <v>0.72884000000000004</v>
      </c>
      <c r="O255">
        <v>0.21301339999999999</v>
      </c>
      <c r="P255">
        <v>113.9375</v>
      </c>
      <c r="Q255">
        <v>33.375507550000002</v>
      </c>
      <c r="R255">
        <v>2.4262999999999999</v>
      </c>
      <c r="S255">
        <v>0.40692159999999999</v>
      </c>
      <c r="T255">
        <v>-30.179924239999998</v>
      </c>
      <c r="U255">
        <v>30.179924239999998</v>
      </c>
      <c r="V255">
        <v>-10.76552768</v>
      </c>
      <c r="W255">
        <v>10.76552768</v>
      </c>
      <c r="X255">
        <v>-1.69746</v>
      </c>
      <c r="Y255">
        <v>1.69746</v>
      </c>
      <c r="Z255">
        <v>-0.1939082</v>
      </c>
      <c r="AA255">
        <v>0.1939082</v>
      </c>
    </row>
    <row r="256" spans="1:27" x14ac:dyDescent="0.25">
      <c r="A256" t="s">
        <v>41</v>
      </c>
      <c r="B256" t="s">
        <v>954</v>
      </c>
      <c r="C256">
        <v>2</v>
      </c>
      <c r="D256" t="s">
        <v>19</v>
      </c>
      <c r="E256" t="s">
        <v>94</v>
      </c>
      <c r="F256" t="s">
        <v>113</v>
      </c>
      <c r="G256" t="s">
        <v>104</v>
      </c>
      <c r="H256" t="s">
        <v>238</v>
      </c>
      <c r="J256">
        <v>0</v>
      </c>
      <c r="K256">
        <v>1</v>
      </c>
      <c r="L256">
        <v>83.757575759999995</v>
      </c>
      <c r="M256">
        <v>22.60997987</v>
      </c>
      <c r="N256">
        <v>0.72884000000000004</v>
      </c>
      <c r="O256">
        <v>0.21301339999999999</v>
      </c>
      <c r="P256">
        <v>87.5</v>
      </c>
      <c r="Q256">
        <v>29.478311600000001</v>
      </c>
      <c r="R256">
        <v>3.0797751000000002E-2</v>
      </c>
      <c r="S256">
        <v>0.12931835</v>
      </c>
      <c r="T256">
        <v>-3.7424242400000001</v>
      </c>
      <c r="U256">
        <v>3.7424242400000001</v>
      </c>
      <c r="V256">
        <v>-6.8683317300000004</v>
      </c>
      <c r="W256">
        <v>6.8683317300000004</v>
      </c>
      <c r="X256">
        <v>0.698042249</v>
      </c>
      <c r="Y256">
        <v>0.698042249</v>
      </c>
      <c r="Z256">
        <v>8.3695049999999993E-2</v>
      </c>
      <c r="AA256">
        <v>8.3695049999999993E-2</v>
      </c>
    </row>
    <row r="257" spans="1:27" x14ac:dyDescent="0.25">
      <c r="A257" t="s">
        <v>41</v>
      </c>
      <c r="B257" t="s">
        <v>955</v>
      </c>
      <c r="C257">
        <v>2</v>
      </c>
      <c r="D257" t="s">
        <v>19</v>
      </c>
      <c r="E257" t="s">
        <v>94</v>
      </c>
      <c r="F257" t="s">
        <v>103</v>
      </c>
      <c r="G257" t="s">
        <v>113</v>
      </c>
      <c r="H257" t="s">
        <v>103</v>
      </c>
      <c r="J257">
        <v>0</v>
      </c>
      <c r="K257">
        <v>2</v>
      </c>
      <c r="L257">
        <v>98.291666669999998</v>
      </c>
      <c r="M257">
        <v>30.315130790000001</v>
      </c>
      <c r="N257">
        <v>5.0803484000000003E-2</v>
      </c>
      <c r="O257">
        <v>0.42866070000000001</v>
      </c>
      <c r="P257">
        <v>98.291666669999998</v>
      </c>
      <c r="Q257">
        <v>30.315130790000001</v>
      </c>
      <c r="R257">
        <v>5.0803484000000003E-2</v>
      </c>
      <c r="S257">
        <v>0.42866070000000001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</row>
    <row r="258" spans="1:27" x14ac:dyDescent="0.25">
      <c r="A258" t="s">
        <v>41</v>
      </c>
      <c r="B258" t="s">
        <v>955</v>
      </c>
      <c r="C258">
        <v>2</v>
      </c>
      <c r="D258" t="s">
        <v>19</v>
      </c>
      <c r="E258" t="s">
        <v>94</v>
      </c>
      <c r="F258" t="s">
        <v>103</v>
      </c>
      <c r="G258" t="s">
        <v>113</v>
      </c>
      <c r="H258" t="s">
        <v>113</v>
      </c>
      <c r="J258">
        <v>0</v>
      </c>
      <c r="K258">
        <v>3</v>
      </c>
      <c r="L258">
        <v>98.291666669999998</v>
      </c>
      <c r="M258">
        <v>30.315130790000001</v>
      </c>
      <c r="N258">
        <v>5.0803484000000003E-2</v>
      </c>
      <c r="O258">
        <v>0.42866070000000001</v>
      </c>
      <c r="P258">
        <v>83.757575759999995</v>
      </c>
      <c r="Q258">
        <v>22.60997987</v>
      </c>
      <c r="R258">
        <v>0.72884000000000004</v>
      </c>
      <c r="S258">
        <v>0.21301339999999999</v>
      </c>
      <c r="T258">
        <v>14.53409091</v>
      </c>
      <c r="U258">
        <v>14.53409091</v>
      </c>
      <c r="V258">
        <v>7.7051509200000003</v>
      </c>
      <c r="W258">
        <v>7.7051509200000003</v>
      </c>
      <c r="X258">
        <v>-0.67803651600000003</v>
      </c>
      <c r="Y258">
        <v>0.67803651600000003</v>
      </c>
      <c r="Z258">
        <v>0.21564730000000001</v>
      </c>
      <c r="AA258">
        <v>0.21564730000000001</v>
      </c>
    </row>
    <row r="259" spans="1:27" x14ac:dyDescent="0.25">
      <c r="A259" t="s">
        <v>42</v>
      </c>
      <c r="B259" t="s">
        <v>956</v>
      </c>
      <c r="C259">
        <v>2</v>
      </c>
      <c r="D259" t="s">
        <v>21</v>
      </c>
      <c r="E259" t="s">
        <v>94</v>
      </c>
      <c r="F259" t="s">
        <v>105</v>
      </c>
      <c r="G259" t="s">
        <v>121</v>
      </c>
      <c r="H259" t="s">
        <v>242</v>
      </c>
      <c r="J259">
        <v>0</v>
      </c>
      <c r="K259">
        <v>6</v>
      </c>
      <c r="L259">
        <v>67.5</v>
      </c>
      <c r="M259">
        <v>47.937235809999997</v>
      </c>
      <c r="N259">
        <v>0.41599678000000001</v>
      </c>
      <c r="O259">
        <v>2.0950346999999998</v>
      </c>
      <c r="P259">
        <v>139.375</v>
      </c>
      <c r="Q259">
        <v>23.713465920000001</v>
      </c>
      <c r="R259" t="s">
        <v>114</v>
      </c>
      <c r="S259" t="s">
        <v>114</v>
      </c>
      <c r="T259">
        <v>-71.875</v>
      </c>
      <c r="U259">
        <v>71.875</v>
      </c>
      <c r="V259">
        <v>24.22376989</v>
      </c>
      <c r="W259">
        <v>24.22376989</v>
      </c>
      <c r="X259" t="s">
        <v>114</v>
      </c>
      <c r="Y259" t="s">
        <v>114</v>
      </c>
      <c r="Z259" t="s">
        <v>114</v>
      </c>
      <c r="AA259" t="s">
        <v>114</v>
      </c>
    </row>
    <row r="260" spans="1:27" x14ac:dyDescent="0.25">
      <c r="A260" t="s">
        <v>42</v>
      </c>
      <c r="B260" t="s">
        <v>957</v>
      </c>
      <c r="C260">
        <v>2</v>
      </c>
      <c r="D260" t="s">
        <v>21</v>
      </c>
      <c r="E260" t="s">
        <v>94</v>
      </c>
      <c r="F260" t="s">
        <v>110</v>
      </c>
      <c r="G260" t="s">
        <v>113</v>
      </c>
      <c r="H260" t="s">
        <v>104</v>
      </c>
      <c r="J260">
        <v>0</v>
      </c>
      <c r="K260">
        <v>2</v>
      </c>
      <c r="L260">
        <v>73.260869569999997</v>
      </c>
      <c r="M260">
        <v>34.453830549999999</v>
      </c>
      <c r="N260">
        <v>1.058333333</v>
      </c>
      <c r="O260">
        <v>0.90897070000000002</v>
      </c>
      <c r="P260">
        <v>113.9375</v>
      </c>
      <c r="Q260">
        <v>33.375507550000002</v>
      </c>
      <c r="R260">
        <v>2.4262999999999999</v>
      </c>
      <c r="S260">
        <v>0.40692159999999999</v>
      </c>
      <c r="T260">
        <v>-40.676630430000003</v>
      </c>
      <c r="U260">
        <v>40.676630430000003</v>
      </c>
      <c r="V260">
        <v>1.0783229999999999</v>
      </c>
      <c r="W260">
        <v>1.0783229999999999</v>
      </c>
      <c r="X260">
        <v>-1.3679666669999999</v>
      </c>
      <c r="Y260">
        <v>1.3679666669999999</v>
      </c>
      <c r="Z260">
        <v>0.50204910000000003</v>
      </c>
      <c r="AA260">
        <v>0.50204910000000003</v>
      </c>
    </row>
    <row r="261" spans="1:27" x14ac:dyDescent="0.25">
      <c r="A261" t="s">
        <v>42</v>
      </c>
      <c r="B261" t="s">
        <v>957</v>
      </c>
      <c r="C261">
        <v>2</v>
      </c>
      <c r="D261" t="s">
        <v>21</v>
      </c>
      <c r="E261" t="s">
        <v>94</v>
      </c>
      <c r="F261" t="s">
        <v>110</v>
      </c>
      <c r="G261" t="s">
        <v>113</v>
      </c>
      <c r="H261" t="s">
        <v>242</v>
      </c>
      <c r="J261">
        <v>0</v>
      </c>
      <c r="K261">
        <v>5</v>
      </c>
      <c r="L261">
        <v>73.260869569999997</v>
      </c>
      <c r="M261">
        <v>34.453830549999999</v>
      </c>
      <c r="N261">
        <v>1.058333333</v>
      </c>
      <c r="O261">
        <v>0.90897070000000002</v>
      </c>
      <c r="P261">
        <v>139.375</v>
      </c>
      <c r="Q261">
        <v>23.713465920000001</v>
      </c>
      <c r="R261" t="s">
        <v>114</v>
      </c>
      <c r="S261" t="s">
        <v>114</v>
      </c>
      <c r="T261">
        <v>-66.114130430000003</v>
      </c>
      <c r="U261">
        <v>66.114130430000003</v>
      </c>
      <c r="V261">
        <v>10.74036463</v>
      </c>
      <c r="W261">
        <v>10.74036463</v>
      </c>
      <c r="X261" t="s">
        <v>114</v>
      </c>
      <c r="Y261" t="s">
        <v>114</v>
      </c>
      <c r="Z261" t="s">
        <v>114</v>
      </c>
      <c r="AA261" t="s">
        <v>114</v>
      </c>
    </row>
    <row r="262" spans="1:27" x14ac:dyDescent="0.25">
      <c r="A262" t="s">
        <v>42</v>
      </c>
      <c r="B262" t="s">
        <v>957</v>
      </c>
      <c r="C262">
        <v>2</v>
      </c>
      <c r="D262" t="s">
        <v>21</v>
      </c>
      <c r="E262" t="s">
        <v>94</v>
      </c>
      <c r="F262" t="s">
        <v>110</v>
      </c>
      <c r="G262" t="s">
        <v>113</v>
      </c>
      <c r="H262" t="s">
        <v>113</v>
      </c>
      <c r="J262">
        <v>0</v>
      </c>
      <c r="K262">
        <v>2</v>
      </c>
      <c r="L262">
        <v>73.260869569999997</v>
      </c>
      <c r="M262">
        <v>34.453830549999999</v>
      </c>
      <c r="N262">
        <v>1.058333333</v>
      </c>
      <c r="O262">
        <v>0.90897070000000002</v>
      </c>
      <c r="P262">
        <v>83.757575759999995</v>
      </c>
      <c r="Q262">
        <v>22.60997987</v>
      </c>
      <c r="R262">
        <v>0.72884000000000004</v>
      </c>
      <c r="S262">
        <v>0.21301339999999999</v>
      </c>
      <c r="T262">
        <v>-10.496706189999999</v>
      </c>
      <c r="U262">
        <v>10.496706189999999</v>
      </c>
      <c r="V262">
        <v>11.843850679999999</v>
      </c>
      <c r="W262">
        <v>11.843850679999999</v>
      </c>
      <c r="X262">
        <v>0.329493333</v>
      </c>
      <c r="Y262">
        <v>0.329493333</v>
      </c>
      <c r="Z262">
        <v>0.6959573</v>
      </c>
      <c r="AA262">
        <v>0.6959573</v>
      </c>
    </row>
    <row r="263" spans="1:27" x14ac:dyDescent="0.25">
      <c r="A263" t="s">
        <v>42</v>
      </c>
      <c r="B263" t="s">
        <v>958</v>
      </c>
      <c r="C263">
        <v>2</v>
      </c>
      <c r="D263" t="s">
        <v>21</v>
      </c>
      <c r="E263" t="s">
        <v>94</v>
      </c>
      <c r="F263" t="s">
        <v>111</v>
      </c>
      <c r="G263" t="s">
        <v>110</v>
      </c>
      <c r="H263" t="s">
        <v>113</v>
      </c>
      <c r="J263">
        <v>0</v>
      </c>
      <c r="K263">
        <v>1</v>
      </c>
      <c r="L263">
        <v>94.97142857</v>
      </c>
      <c r="M263">
        <v>24.31591813</v>
      </c>
      <c r="N263">
        <v>0.122951111</v>
      </c>
      <c r="O263">
        <v>0.39050790000000002</v>
      </c>
      <c r="P263">
        <v>83.757575759999995</v>
      </c>
      <c r="Q263">
        <v>22.60997987</v>
      </c>
      <c r="R263">
        <v>0.72884000000000004</v>
      </c>
      <c r="S263">
        <v>0.21301339999999999</v>
      </c>
      <c r="T263">
        <v>11.213852810000001</v>
      </c>
      <c r="U263">
        <v>11.213852810000001</v>
      </c>
      <c r="V263">
        <v>1.7059382599999999</v>
      </c>
      <c r="W263">
        <v>1.7059382599999999</v>
      </c>
      <c r="X263">
        <v>-0.60588888900000004</v>
      </c>
      <c r="Y263">
        <v>0.60588888900000004</v>
      </c>
      <c r="Z263">
        <v>0.17749450000000003</v>
      </c>
      <c r="AA263">
        <v>0.17749450000000003</v>
      </c>
    </row>
    <row r="264" spans="1:27" x14ac:dyDescent="0.25">
      <c r="A264" t="s">
        <v>42</v>
      </c>
      <c r="B264" t="s">
        <v>958</v>
      </c>
      <c r="C264">
        <v>2</v>
      </c>
      <c r="D264" t="s">
        <v>21</v>
      </c>
      <c r="E264" t="s">
        <v>94</v>
      </c>
      <c r="F264" t="s">
        <v>111</v>
      </c>
      <c r="G264" t="s">
        <v>110</v>
      </c>
      <c r="H264" t="s">
        <v>110</v>
      </c>
      <c r="J264">
        <v>0</v>
      </c>
      <c r="K264">
        <v>1</v>
      </c>
      <c r="L264">
        <v>94.97142857</v>
      </c>
      <c r="M264">
        <v>24.31591813</v>
      </c>
      <c r="N264">
        <v>0.122951111</v>
      </c>
      <c r="O264">
        <v>0.39050790000000002</v>
      </c>
      <c r="P264">
        <v>73.260869569999997</v>
      </c>
      <c r="Q264">
        <v>34.453830549999999</v>
      </c>
      <c r="R264">
        <v>1.058333333</v>
      </c>
      <c r="S264">
        <v>0.90897070000000002</v>
      </c>
      <c r="T264">
        <v>21.710559</v>
      </c>
      <c r="U264">
        <v>21.710559</v>
      </c>
      <c r="V264">
        <v>-10.137912419999999</v>
      </c>
      <c r="W264">
        <v>10.137912419999999</v>
      </c>
      <c r="X264">
        <v>-0.93538222199999999</v>
      </c>
      <c r="Y264">
        <v>0.93538222199999999</v>
      </c>
      <c r="Z264">
        <v>-0.5184628</v>
      </c>
      <c r="AA264">
        <v>0.5184628</v>
      </c>
    </row>
    <row r="265" spans="1:27" x14ac:dyDescent="0.25">
      <c r="A265" t="s">
        <v>42</v>
      </c>
      <c r="B265" t="s">
        <v>959</v>
      </c>
      <c r="C265">
        <v>2</v>
      </c>
      <c r="D265" t="s">
        <v>21</v>
      </c>
      <c r="E265" t="s">
        <v>94</v>
      </c>
      <c r="F265" t="s">
        <v>104</v>
      </c>
      <c r="G265" t="s">
        <v>121</v>
      </c>
      <c r="H265" t="s">
        <v>110</v>
      </c>
      <c r="J265">
        <v>1</v>
      </c>
      <c r="K265">
        <v>2</v>
      </c>
      <c r="L265">
        <v>113.9375</v>
      </c>
      <c r="M265">
        <v>33.375507550000002</v>
      </c>
      <c r="N265">
        <v>2.4262999999999999</v>
      </c>
      <c r="O265">
        <v>0.40692159999999999</v>
      </c>
      <c r="P265">
        <v>73.260869569999997</v>
      </c>
      <c r="Q265">
        <v>34.453830549999999</v>
      </c>
      <c r="R265">
        <v>1.058333333</v>
      </c>
      <c r="S265">
        <v>0.90897070000000002</v>
      </c>
      <c r="T265">
        <v>40.676630430000003</v>
      </c>
      <c r="U265">
        <v>40.676630430000003</v>
      </c>
      <c r="V265">
        <v>-1.0783229999999999</v>
      </c>
      <c r="W265">
        <v>1.0783229999999999</v>
      </c>
      <c r="X265">
        <v>1.3679666669999999</v>
      </c>
      <c r="Y265">
        <v>1.3679666669999999</v>
      </c>
      <c r="Z265">
        <v>-0.50204910000000003</v>
      </c>
      <c r="AA265">
        <v>0.50204910000000003</v>
      </c>
    </row>
    <row r="266" spans="1:27" x14ac:dyDescent="0.25">
      <c r="A266" t="s">
        <v>42</v>
      </c>
      <c r="B266" t="s">
        <v>959</v>
      </c>
      <c r="C266">
        <v>2</v>
      </c>
      <c r="D266" t="s">
        <v>21</v>
      </c>
      <c r="E266" t="s">
        <v>94</v>
      </c>
      <c r="F266" t="s">
        <v>104</v>
      </c>
      <c r="G266" t="s">
        <v>121</v>
      </c>
      <c r="H266" t="s">
        <v>240</v>
      </c>
      <c r="J266">
        <v>1</v>
      </c>
      <c r="K266">
        <v>2</v>
      </c>
      <c r="L266">
        <v>113.9375</v>
      </c>
      <c r="M266">
        <v>33.375507550000002</v>
      </c>
      <c r="N266">
        <v>2.4262999999999999</v>
      </c>
      <c r="O266">
        <v>0.40692159999999999</v>
      </c>
      <c r="P266">
        <v>104.83333330000001</v>
      </c>
      <c r="Q266">
        <v>43.798647680000002</v>
      </c>
      <c r="R266">
        <v>7.7741939999999999E-3</v>
      </c>
      <c r="S266" t="s">
        <v>114</v>
      </c>
      <c r="T266">
        <v>9.1041667000000004</v>
      </c>
      <c r="U266">
        <v>9.1041667000000004</v>
      </c>
      <c r="V266">
        <v>-10.42314013</v>
      </c>
      <c r="W266">
        <v>10.42314013</v>
      </c>
      <c r="X266">
        <v>2.4185258059999999</v>
      </c>
      <c r="Y266">
        <v>2.4185258059999999</v>
      </c>
      <c r="Z266" t="s">
        <v>114</v>
      </c>
      <c r="AA266" t="s">
        <v>114</v>
      </c>
    </row>
    <row r="267" spans="1:27" x14ac:dyDescent="0.25">
      <c r="A267" t="s">
        <v>42</v>
      </c>
      <c r="B267" t="s">
        <v>959</v>
      </c>
      <c r="C267">
        <v>2</v>
      </c>
      <c r="D267" t="s">
        <v>21</v>
      </c>
      <c r="E267" t="s">
        <v>94</v>
      </c>
      <c r="F267" t="s">
        <v>104</v>
      </c>
      <c r="G267" t="s">
        <v>121</v>
      </c>
      <c r="H267" t="s">
        <v>241</v>
      </c>
      <c r="J267">
        <v>1</v>
      </c>
      <c r="K267">
        <v>1</v>
      </c>
      <c r="L267">
        <v>113.9375</v>
      </c>
      <c r="M267">
        <v>33.375507550000002</v>
      </c>
      <c r="N267">
        <v>2.4262999999999999</v>
      </c>
      <c r="O267">
        <v>0.40692159999999999</v>
      </c>
      <c r="P267">
        <v>114</v>
      </c>
      <c r="Q267">
        <v>30.43077242</v>
      </c>
      <c r="R267">
        <v>0.53383111100000002</v>
      </c>
      <c r="S267">
        <v>0.28333332999999999</v>
      </c>
      <c r="T267">
        <v>-6.25E-2</v>
      </c>
      <c r="U267">
        <v>6.25E-2</v>
      </c>
      <c r="V267">
        <v>2.9447351300000002</v>
      </c>
      <c r="W267">
        <v>2.9447351300000002</v>
      </c>
      <c r="X267">
        <v>1.8924688890000001</v>
      </c>
      <c r="Y267">
        <v>1.8924688890000001</v>
      </c>
      <c r="Z267">
        <v>0.12358827</v>
      </c>
      <c r="AA267">
        <v>0.12358827</v>
      </c>
    </row>
    <row r="268" spans="1:27" x14ac:dyDescent="0.25">
      <c r="A268" t="s">
        <v>43</v>
      </c>
      <c r="B268" t="s">
        <v>960</v>
      </c>
      <c r="C268">
        <v>2</v>
      </c>
      <c r="D268" t="s">
        <v>23</v>
      </c>
      <c r="E268" t="s">
        <v>94</v>
      </c>
      <c r="F268" t="s">
        <v>105</v>
      </c>
      <c r="G268" t="s">
        <v>104</v>
      </c>
      <c r="H268" t="s">
        <v>104</v>
      </c>
      <c r="J268">
        <v>0</v>
      </c>
      <c r="K268">
        <v>1</v>
      </c>
      <c r="L268">
        <v>67.5</v>
      </c>
      <c r="M268">
        <v>47.937235809999997</v>
      </c>
      <c r="N268">
        <v>0.41599678000000001</v>
      </c>
      <c r="O268">
        <v>2.0950346999999998</v>
      </c>
      <c r="P268">
        <v>113.9375</v>
      </c>
      <c r="Q268">
        <v>33.375507550000002</v>
      </c>
      <c r="R268">
        <v>2.4262999999999999</v>
      </c>
      <c r="S268">
        <v>0.40692159999999999</v>
      </c>
      <c r="T268">
        <v>-46.4375</v>
      </c>
      <c r="U268">
        <v>46.4375</v>
      </c>
      <c r="V268">
        <v>14.561728260000001</v>
      </c>
      <c r="W268">
        <v>14.561728260000001</v>
      </c>
      <c r="X268">
        <v>-2.0103032199999999</v>
      </c>
      <c r="Y268">
        <v>2.0103032199999999</v>
      </c>
      <c r="Z268">
        <v>1.6881130999999998</v>
      </c>
      <c r="AA268">
        <v>1.6881130999999998</v>
      </c>
    </row>
    <row r="269" spans="1:27" x14ac:dyDescent="0.25">
      <c r="A269" t="s">
        <v>43</v>
      </c>
      <c r="B269" t="s">
        <v>961</v>
      </c>
      <c r="C269">
        <v>2</v>
      </c>
      <c r="D269" t="s">
        <v>23</v>
      </c>
      <c r="E269" t="s">
        <v>94</v>
      </c>
      <c r="F269" t="s">
        <v>110</v>
      </c>
      <c r="G269" t="s">
        <v>110</v>
      </c>
      <c r="H269" t="s">
        <v>110</v>
      </c>
      <c r="J269">
        <v>0</v>
      </c>
      <c r="K269">
        <v>1</v>
      </c>
      <c r="L269">
        <v>73.260869569999997</v>
      </c>
      <c r="M269">
        <v>34.453830549999999</v>
      </c>
      <c r="N269">
        <v>1.058333333</v>
      </c>
      <c r="O269">
        <v>0.90897070000000002</v>
      </c>
      <c r="P269">
        <v>73.260869569999997</v>
      </c>
      <c r="Q269">
        <v>34.453830549999999</v>
      </c>
      <c r="R269">
        <v>1.058333333</v>
      </c>
      <c r="S269">
        <v>0.90897070000000002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</row>
    <row r="270" spans="1:27" x14ac:dyDescent="0.25">
      <c r="A270" t="s">
        <v>43</v>
      </c>
      <c r="B270" t="s">
        <v>962</v>
      </c>
      <c r="C270">
        <v>2</v>
      </c>
      <c r="D270" t="s">
        <v>23</v>
      </c>
      <c r="E270" t="s">
        <v>94</v>
      </c>
      <c r="F270" t="s">
        <v>111</v>
      </c>
      <c r="G270" t="s">
        <v>121</v>
      </c>
      <c r="H270" t="s">
        <v>114</v>
      </c>
      <c r="J270">
        <v>0</v>
      </c>
      <c r="K270" t="s">
        <v>114</v>
      </c>
      <c r="L270">
        <v>94.97142857</v>
      </c>
      <c r="M270">
        <v>24.31591813</v>
      </c>
      <c r="N270">
        <v>0.122951111</v>
      </c>
      <c r="O270">
        <v>0.39050790000000002</v>
      </c>
      <c r="P270" t="s">
        <v>114</v>
      </c>
      <c r="Q270" t="s">
        <v>114</v>
      </c>
      <c r="R270" t="s">
        <v>114</v>
      </c>
      <c r="S270" t="s">
        <v>114</v>
      </c>
      <c r="T270" t="s">
        <v>114</v>
      </c>
      <c r="U270" t="s">
        <v>114</v>
      </c>
      <c r="V270" t="s">
        <v>114</v>
      </c>
      <c r="W270" t="s">
        <v>114</v>
      </c>
      <c r="X270" t="s">
        <v>114</v>
      </c>
      <c r="Y270" t="s">
        <v>114</v>
      </c>
      <c r="Z270" t="s">
        <v>114</v>
      </c>
      <c r="AA270" t="s">
        <v>114</v>
      </c>
    </row>
    <row r="271" spans="1:27" x14ac:dyDescent="0.25">
      <c r="A271" t="s">
        <v>43</v>
      </c>
      <c r="B271" t="s">
        <v>963</v>
      </c>
      <c r="C271">
        <v>2</v>
      </c>
      <c r="D271" t="s">
        <v>23</v>
      </c>
      <c r="E271" t="s">
        <v>94</v>
      </c>
      <c r="F271" t="s">
        <v>104</v>
      </c>
      <c r="G271" t="s">
        <v>104</v>
      </c>
      <c r="H271" t="s">
        <v>104</v>
      </c>
      <c r="J271">
        <v>0</v>
      </c>
      <c r="K271">
        <v>1</v>
      </c>
      <c r="L271">
        <v>113.9375</v>
      </c>
      <c r="M271">
        <v>33.375507550000002</v>
      </c>
      <c r="N271">
        <v>2.4262999999999999</v>
      </c>
      <c r="O271">
        <v>0.40692159999999999</v>
      </c>
      <c r="P271">
        <v>113.9375</v>
      </c>
      <c r="Q271">
        <v>33.375507550000002</v>
      </c>
      <c r="R271">
        <v>2.4262999999999999</v>
      </c>
      <c r="S271">
        <v>0.40692159999999999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</row>
    <row r="272" spans="1:27" x14ac:dyDescent="0.25">
      <c r="A272" t="s">
        <v>43</v>
      </c>
      <c r="B272" t="s">
        <v>963</v>
      </c>
      <c r="C272">
        <v>2</v>
      </c>
      <c r="D272" t="s">
        <v>23</v>
      </c>
      <c r="E272" t="s">
        <v>94</v>
      </c>
      <c r="F272" t="s">
        <v>104</v>
      </c>
      <c r="G272" t="s">
        <v>104</v>
      </c>
      <c r="H272" t="s">
        <v>808</v>
      </c>
      <c r="J272">
        <v>0</v>
      </c>
      <c r="K272">
        <v>1</v>
      </c>
      <c r="L272">
        <v>113.9375</v>
      </c>
      <c r="M272">
        <v>33.375507550000002</v>
      </c>
      <c r="N272">
        <v>2.4262999999999999</v>
      </c>
      <c r="O272">
        <v>0.40692159999999999</v>
      </c>
      <c r="P272">
        <v>102.79166669999999</v>
      </c>
      <c r="Q272">
        <v>27.057373470000002</v>
      </c>
      <c r="R272">
        <v>6.3567849939999999</v>
      </c>
      <c r="S272" t="s">
        <v>114</v>
      </c>
      <c r="T272">
        <v>11.1458333</v>
      </c>
      <c r="U272">
        <v>11.1458333</v>
      </c>
      <c r="V272">
        <v>6.3181340800000001</v>
      </c>
      <c r="W272">
        <v>6.3181340800000001</v>
      </c>
      <c r="X272">
        <v>-3.930484994</v>
      </c>
      <c r="Y272">
        <v>3.930484994</v>
      </c>
      <c r="Z272" t="s">
        <v>114</v>
      </c>
      <c r="AA272" t="s">
        <v>114</v>
      </c>
    </row>
    <row r="273" spans="1:27" x14ac:dyDescent="0.25">
      <c r="A273" t="s">
        <v>44</v>
      </c>
      <c r="B273" t="s">
        <v>964</v>
      </c>
      <c r="C273">
        <v>2</v>
      </c>
      <c r="D273" t="s">
        <v>25</v>
      </c>
      <c r="E273" t="s">
        <v>95</v>
      </c>
      <c r="F273" t="s">
        <v>102</v>
      </c>
      <c r="G273" t="s">
        <v>102</v>
      </c>
      <c r="H273" t="s">
        <v>102</v>
      </c>
      <c r="J273">
        <v>0</v>
      </c>
      <c r="K273">
        <v>1</v>
      </c>
      <c r="L273">
        <v>84.740740740000007</v>
      </c>
      <c r="M273">
        <v>29.167014049999999</v>
      </c>
      <c r="N273">
        <v>1.1169849999999999</v>
      </c>
      <c r="O273">
        <v>1.1571499000000001</v>
      </c>
      <c r="P273">
        <v>84.740740740000007</v>
      </c>
      <c r="Q273">
        <v>29.167014049999999</v>
      </c>
      <c r="R273">
        <v>1.1169849999999999</v>
      </c>
      <c r="S273">
        <v>1.1571499000000001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</row>
    <row r="274" spans="1:27" x14ac:dyDescent="0.25">
      <c r="A274" t="s">
        <v>44</v>
      </c>
      <c r="B274" t="s">
        <v>965</v>
      </c>
      <c r="C274">
        <v>2</v>
      </c>
      <c r="D274" t="s">
        <v>25</v>
      </c>
      <c r="E274" t="s">
        <v>95</v>
      </c>
      <c r="F274" t="s">
        <v>110</v>
      </c>
      <c r="G274" t="s">
        <v>121</v>
      </c>
      <c r="H274" t="s">
        <v>114</v>
      </c>
      <c r="I274" t="s">
        <v>162</v>
      </c>
      <c r="J274">
        <v>1</v>
      </c>
      <c r="K274">
        <v>0</v>
      </c>
      <c r="L274">
        <v>73.260869569999997</v>
      </c>
      <c r="M274">
        <v>34.453830549999999</v>
      </c>
      <c r="N274">
        <v>1.058333333</v>
      </c>
      <c r="O274">
        <v>0.90897070000000002</v>
      </c>
      <c r="P274" t="s">
        <v>114</v>
      </c>
      <c r="Q274" t="s">
        <v>114</v>
      </c>
      <c r="R274" t="s">
        <v>114</v>
      </c>
      <c r="S274" t="s">
        <v>114</v>
      </c>
      <c r="T274" t="s">
        <v>114</v>
      </c>
      <c r="U274" t="s">
        <v>114</v>
      </c>
      <c r="V274" t="s">
        <v>114</v>
      </c>
      <c r="W274" t="s">
        <v>114</v>
      </c>
      <c r="X274" t="s">
        <v>114</v>
      </c>
      <c r="Y274" t="s">
        <v>114</v>
      </c>
      <c r="Z274" t="s">
        <v>114</v>
      </c>
      <c r="AA274" t="s">
        <v>114</v>
      </c>
    </row>
    <row r="275" spans="1:27" x14ac:dyDescent="0.25">
      <c r="A275" t="s">
        <v>44</v>
      </c>
      <c r="B275" t="s">
        <v>966</v>
      </c>
      <c r="C275">
        <v>2</v>
      </c>
      <c r="D275" t="s">
        <v>25</v>
      </c>
      <c r="E275" t="s">
        <v>95</v>
      </c>
      <c r="F275" t="s">
        <v>104</v>
      </c>
      <c r="G275" t="s">
        <v>112</v>
      </c>
      <c r="H275" t="s">
        <v>112</v>
      </c>
      <c r="J275">
        <v>0</v>
      </c>
      <c r="K275">
        <v>1</v>
      </c>
      <c r="L275">
        <v>113.9375</v>
      </c>
      <c r="M275">
        <v>33.375507550000002</v>
      </c>
      <c r="N275">
        <v>2.4262999999999999</v>
      </c>
      <c r="O275">
        <v>0.40692159999999999</v>
      </c>
      <c r="P275">
        <v>65.09375</v>
      </c>
      <c r="Q275">
        <v>37.895352600000002</v>
      </c>
      <c r="R275">
        <v>2.2882677779999998</v>
      </c>
      <c r="S275">
        <v>2.2111774</v>
      </c>
      <c r="T275">
        <v>48.84375</v>
      </c>
      <c r="U275">
        <v>48.84375</v>
      </c>
      <c r="V275">
        <v>-4.5198450499999998</v>
      </c>
      <c r="W275">
        <v>4.5198450499999998</v>
      </c>
      <c r="X275">
        <v>0.13803222200000001</v>
      </c>
      <c r="Y275">
        <v>0.13803222200000001</v>
      </c>
      <c r="Z275">
        <v>-1.8042558</v>
      </c>
      <c r="AA275">
        <v>1.8042558</v>
      </c>
    </row>
    <row r="276" spans="1:27" x14ac:dyDescent="0.25">
      <c r="A276" t="s">
        <v>44</v>
      </c>
      <c r="B276" t="s">
        <v>966</v>
      </c>
      <c r="C276">
        <v>2</v>
      </c>
      <c r="D276" t="s">
        <v>25</v>
      </c>
      <c r="E276" t="s">
        <v>95</v>
      </c>
      <c r="F276" t="s">
        <v>104</v>
      </c>
      <c r="G276" t="s">
        <v>112</v>
      </c>
      <c r="H276" t="s">
        <v>162</v>
      </c>
      <c r="J276">
        <v>0</v>
      </c>
      <c r="K276">
        <v>1</v>
      </c>
      <c r="L276">
        <v>113.9375</v>
      </c>
      <c r="M276">
        <v>33.375507550000002</v>
      </c>
      <c r="N276">
        <v>2.4262999999999999</v>
      </c>
      <c r="O276">
        <v>0.40692159999999999</v>
      </c>
      <c r="P276">
        <v>82.53846154</v>
      </c>
      <c r="Q276">
        <v>35.660530039999998</v>
      </c>
      <c r="R276">
        <v>3.3754499999999998</v>
      </c>
      <c r="S276" t="s">
        <v>114</v>
      </c>
      <c r="T276">
        <v>31.39903846</v>
      </c>
      <c r="U276">
        <v>31.39903846</v>
      </c>
      <c r="V276">
        <v>-2.2850224899999998</v>
      </c>
      <c r="W276">
        <v>2.2850224899999998</v>
      </c>
      <c r="X276">
        <v>-0.94915000000000005</v>
      </c>
      <c r="Y276">
        <v>0.94915000000000005</v>
      </c>
      <c r="Z276" t="s">
        <v>114</v>
      </c>
      <c r="AA276" t="s">
        <v>114</v>
      </c>
    </row>
    <row r="277" spans="1:27" x14ac:dyDescent="0.25">
      <c r="A277" t="s">
        <v>44</v>
      </c>
      <c r="B277" t="s">
        <v>966</v>
      </c>
      <c r="C277">
        <v>2</v>
      </c>
      <c r="D277" t="s">
        <v>25</v>
      </c>
      <c r="E277" t="s">
        <v>95</v>
      </c>
      <c r="F277" t="s">
        <v>104</v>
      </c>
      <c r="G277" t="s">
        <v>112</v>
      </c>
      <c r="H277" t="s">
        <v>113</v>
      </c>
      <c r="J277">
        <v>0</v>
      </c>
      <c r="K277">
        <v>1</v>
      </c>
      <c r="L277">
        <v>113.9375</v>
      </c>
      <c r="M277">
        <v>33.375507550000002</v>
      </c>
      <c r="N277">
        <v>2.4262999999999999</v>
      </c>
      <c r="O277">
        <v>0.40692159999999999</v>
      </c>
      <c r="P277">
        <v>83.757575759999995</v>
      </c>
      <c r="Q277">
        <v>22.60997987</v>
      </c>
      <c r="R277">
        <v>0.72884000000000004</v>
      </c>
      <c r="S277">
        <v>0.21301339999999999</v>
      </c>
      <c r="T277">
        <v>30.179924239999998</v>
      </c>
      <c r="U277">
        <v>30.179924239999998</v>
      </c>
      <c r="V277">
        <v>10.76552768</v>
      </c>
      <c r="W277">
        <v>10.76552768</v>
      </c>
      <c r="X277">
        <v>1.69746</v>
      </c>
      <c r="Y277">
        <v>1.69746</v>
      </c>
      <c r="Z277">
        <v>0.1939082</v>
      </c>
      <c r="AA277">
        <v>0.1939082</v>
      </c>
    </row>
    <row r="278" spans="1:27" x14ac:dyDescent="0.25">
      <c r="A278" t="s">
        <v>44</v>
      </c>
      <c r="B278" t="s">
        <v>967</v>
      </c>
      <c r="C278">
        <v>2</v>
      </c>
      <c r="D278" t="s">
        <v>25</v>
      </c>
      <c r="E278" t="s">
        <v>95</v>
      </c>
      <c r="F278" t="s">
        <v>112</v>
      </c>
      <c r="G278" t="s">
        <v>121</v>
      </c>
      <c r="H278" t="s">
        <v>114</v>
      </c>
      <c r="J278">
        <v>0</v>
      </c>
      <c r="K278" t="s">
        <v>114</v>
      </c>
      <c r="L278">
        <v>65.09375</v>
      </c>
      <c r="M278">
        <v>37.895352600000002</v>
      </c>
      <c r="N278">
        <v>2.2882677779999998</v>
      </c>
      <c r="O278">
        <v>2.2111774</v>
      </c>
      <c r="P278" t="s">
        <v>114</v>
      </c>
      <c r="Q278" t="s">
        <v>114</v>
      </c>
      <c r="R278" t="s">
        <v>114</v>
      </c>
      <c r="S278" t="s">
        <v>114</v>
      </c>
      <c r="T278" t="s">
        <v>114</v>
      </c>
      <c r="U278" t="s">
        <v>114</v>
      </c>
      <c r="V278" t="s">
        <v>114</v>
      </c>
      <c r="W278" t="s">
        <v>114</v>
      </c>
      <c r="X278" t="s">
        <v>114</v>
      </c>
      <c r="Y278" t="s">
        <v>114</v>
      </c>
      <c r="Z278" t="s">
        <v>114</v>
      </c>
      <c r="AA278" t="s">
        <v>114</v>
      </c>
    </row>
    <row r="279" spans="1:27" x14ac:dyDescent="0.25">
      <c r="A279" t="s">
        <v>45</v>
      </c>
      <c r="B279" t="s">
        <v>968</v>
      </c>
      <c r="C279">
        <v>2</v>
      </c>
      <c r="D279" t="s">
        <v>27</v>
      </c>
      <c r="E279" t="s">
        <v>95</v>
      </c>
      <c r="F279" t="s">
        <v>102</v>
      </c>
      <c r="G279" t="s">
        <v>113</v>
      </c>
      <c r="H279" t="s">
        <v>113</v>
      </c>
      <c r="J279">
        <v>0</v>
      </c>
      <c r="K279">
        <v>2</v>
      </c>
      <c r="L279">
        <v>84.740740740000007</v>
      </c>
      <c r="M279">
        <v>29.167014049999999</v>
      </c>
      <c r="N279">
        <v>1.1169849999999999</v>
      </c>
      <c r="O279">
        <v>1.1571499000000001</v>
      </c>
      <c r="P279">
        <v>83.757575759999995</v>
      </c>
      <c r="Q279">
        <v>22.60997987</v>
      </c>
      <c r="R279">
        <v>0.72884000000000004</v>
      </c>
      <c r="S279">
        <v>0.21301339999999999</v>
      </c>
      <c r="T279">
        <v>0.98316497999999997</v>
      </c>
      <c r="U279">
        <v>0.98316497999999997</v>
      </c>
      <c r="V279">
        <v>6.5570341799999996</v>
      </c>
      <c r="W279">
        <v>6.5570341799999996</v>
      </c>
      <c r="X279">
        <v>0.38814500000000002</v>
      </c>
      <c r="Y279">
        <v>0.38814500000000002</v>
      </c>
      <c r="Z279">
        <v>0.94413650000000005</v>
      </c>
      <c r="AA279">
        <v>0.94413650000000005</v>
      </c>
    </row>
    <row r="280" spans="1:27" x14ac:dyDescent="0.25">
      <c r="A280" t="s">
        <v>45</v>
      </c>
      <c r="B280" t="s">
        <v>969</v>
      </c>
      <c r="C280">
        <v>2</v>
      </c>
      <c r="D280" t="s">
        <v>27</v>
      </c>
      <c r="E280" t="s">
        <v>95</v>
      </c>
      <c r="F280" t="s">
        <v>105</v>
      </c>
      <c r="G280" t="s">
        <v>113</v>
      </c>
      <c r="H280" t="s">
        <v>113</v>
      </c>
      <c r="J280">
        <v>0</v>
      </c>
      <c r="K280">
        <v>6</v>
      </c>
      <c r="L280">
        <v>67.5</v>
      </c>
      <c r="M280">
        <v>47.937235809999997</v>
      </c>
      <c r="N280">
        <v>0.41599678000000001</v>
      </c>
      <c r="O280">
        <v>2.0950346999999998</v>
      </c>
      <c r="P280">
        <v>83.757575759999995</v>
      </c>
      <c r="Q280">
        <v>22.60997987</v>
      </c>
      <c r="R280">
        <v>0.72884000000000004</v>
      </c>
      <c r="S280">
        <v>0.21301339999999999</v>
      </c>
      <c r="T280">
        <v>-16.257575760000002</v>
      </c>
      <c r="U280">
        <v>16.257575760000002</v>
      </c>
      <c r="V280">
        <v>25.327255940000001</v>
      </c>
      <c r="W280">
        <v>25.327255940000001</v>
      </c>
      <c r="X280">
        <v>-0.31284321999999998</v>
      </c>
      <c r="Y280">
        <v>0.31284321999999998</v>
      </c>
      <c r="Z280">
        <v>1.8820212999999999</v>
      </c>
      <c r="AA280">
        <v>1.8820212999999999</v>
      </c>
    </row>
    <row r="281" spans="1:27" x14ac:dyDescent="0.25">
      <c r="A281" t="s">
        <v>45</v>
      </c>
      <c r="B281" t="s">
        <v>970</v>
      </c>
      <c r="C281">
        <v>2</v>
      </c>
      <c r="D281" t="s">
        <v>27</v>
      </c>
      <c r="E281" t="s">
        <v>95</v>
      </c>
      <c r="F281" t="s">
        <v>112</v>
      </c>
      <c r="G281" t="s">
        <v>121</v>
      </c>
      <c r="H281" t="s">
        <v>113</v>
      </c>
      <c r="J281">
        <v>0</v>
      </c>
      <c r="K281">
        <v>8</v>
      </c>
      <c r="L281">
        <v>65.09375</v>
      </c>
      <c r="M281">
        <v>37.895352600000002</v>
      </c>
      <c r="N281">
        <v>2.2882677779999998</v>
      </c>
      <c r="O281">
        <v>2.2111774</v>
      </c>
      <c r="P281">
        <v>83.757575759999995</v>
      </c>
      <c r="Q281">
        <v>22.60997987</v>
      </c>
      <c r="R281">
        <v>0.72884000000000004</v>
      </c>
      <c r="S281">
        <v>0.21301339999999999</v>
      </c>
      <c r="T281">
        <v>-18.663825760000002</v>
      </c>
      <c r="U281">
        <v>18.663825760000002</v>
      </c>
      <c r="V281">
        <v>15.285372730000001</v>
      </c>
      <c r="W281">
        <v>15.285372730000001</v>
      </c>
      <c r="X281">
        <v>1.5594277780000001</v>
      </c>
      <c r="Y281">
        <v>1.5594277780000001</v>
      </c>
      <c r="Z281">
        <v>1.9981640000000001</v>
      </c>
      <c r="AA281">
        <v>1.9981640000000001</v>
      </c>
    </row>
    <row r="282" spans="1:27" x14ac:dyDescent="0.25">
      <c r="A282" t="s">
        <v>45</v>
      </c>
      <c r="B282" t="s">
        <v>970</v>
      </c>
      <c r="C282">
        <v>2</v>
      </c>
      <c r="D282" t="s">
        <v>27</v>
      </c>
      <c r="E282" t="s">
        <v>95</v>
      </c>
      <c r="F282" t="s">
        <v>112</v>
      </c>
      <c r="G282" t="s">
        <v>121</v>
      </c>
      <c r="H282" t="s">
        <v>103</v>
      </c>
      <c r="J282">
        <v>0</v>
      </c>
      <c r="K282">
        <v>1</v>
      </c>
      <c r="L282">
        <v>65.09375</v>
      </c>
      <c r="M282">
        <v>37.895352600000002</v>
      </c>
      <c r="N282">
        <v>2.2882677779999998</v>
      </c>
      <c r="O282">
        <v>2.2111774</v>
      </c>
      <c r="P282">
        <v>98.291666669999998</v>
      </c>
      <c r="Q282">
        <v>30.315130790000001</v>
      </c>
      <c r="R282">
        <v>5.0803484000000003E-2</v>
      </c>
      <c r="S282">
        <v>0.42866070000000001</v>
      </c>
      <c r="T282">
        <v>-33.197916669999998</v>
      </c>
      <c r="U282">
        <v>33.197916669999998</v>
      </c>
      <c r="V282">
        <v>7.5802218100000003</v>
      </c>
      <c r="W282">
        <v>7.5802218100000003</v>
      </c>
      <c r="X282">
        <v>2.237464294</v>
      </c>
      <c r="Y282">
        <v>2.237464294</v>
      </c>
      <c r="Z282">
        <v>1.7825167</v>
      </c>
      <c r="AA282">
        <v>1.7825167</v>
      </c>
    </row>
    <row r="283" spans="1:27" x14ac:dyDescent="0.25">
      <c r="A283" t="s">
        <v>46</v>
      </c>
      <c r="B283" t="s">
        <v>971</v>
      </c>
      <c r="C283">
        <v>2</v>
      </c>
      <c r="D283" t="s">
        <v>29</v>
      </c>
      <c r="E283" t="s">
        <v>95</v>
      </c>
      <c r="F283" t="s">
        <v>102</v>
      </c>
      <c r="G283" t="s">
        <v>121</v>
      </c>
      <c r="H283" t="s">
        <v>114</v>
      </c>
      <c r="J283">
        <v>0</v>
      </c>
      <c r="K283" t="s">
        <v>114</v>
      </c>
      <c r="L283">
        <v>84.740740740000007</v>
      </c>
      <c r="M283">
        <v>29.167014049999999</v>
      </c>
      <c r="N283">
        <v>1.1169849999999999</v>
      </c>
      <c r="O283">
        <v>1.1571499000000001</v>
      </c>
      <c r="P283" t="s">
        <v>114</v>
      </c>
      <c r="Q283" t="s">
        <v>114</v>
      </c>
      <c r="R283" t="s">
        <v>114</v>
      </c>
      <c r="S283" t="s">
        <v>114</v>
      </c>
      <c r="T283" t="s">
        <v>114</v>
      </c>
      <c r="U283" t="s">
        <v>114</v>
      </c>
      <c r="V283" t="s">
        <v>114</v>
      </c>
      <c r="W283" t="s">
        <v>114</v>
      </c>
      <c r="X283" t="s">
        <v>114</v>
      </c>
      <c r="Y283" t="s">
        <v>114</v>
      </c>
      <c r="Z283" t="s">
        <v>114</v>
      </c>
      <c r="AA283" t="s">
        <v>114</v>
      </c>
    </row>
    <row r="284" spans="1:27" x14ac:dyDescent="0.25">
      <c r="A284" t="s">
        <v>46</v>
      </c>
      <c r="B284" t="s">
        <v>972</v>
      </c>
      <c r="C284">
        <v>2</v>
      </c>
      <c r="D284" t="s">
        <v>29</v>
      </c>
      <c r="E284" t="s">
        <v>95</v>
      </c>
      <c r="F284" t="s">
        <v>110</v>
      </c>
      <c r="G284" t="s">
        <v>113</v>
      </c>
      <c r="H284" t="s">
        <v>113</v>
      </c>
      <c r="J284">
        <v>0</v>
      </c>
      <c r="K284">
        <v>3</v>
      </c>
      <c r="L284">
        <v>73.260869569999997</v>
      </c>
      <c r="M284">
        <v>34.453830549999999</v>
      </c>
      <c r="N284">
        <v>1.058333333</v>
      </c>
      <c r="O284">
        <v>0.90897070000000002</v>
      </c>
      <c r="P284">
        <v>83.757575759999995</v>
      </c>
      <c r="Q284">
        <v>22.60997987</v>
      </c>
      <c r="R284">
        <v>0.72884000000000004</v>
      </c>
      <c r="S284">
        <v>0.21301339999999999</v>
      </c>
      <c r="T284">
        <v>-10.496706189999999</v>
      </c>
      <c r="U284">
        <v>10.496706189999999</v>
      </c>
      <c r="V284">
        <v>11.843850679999999</v>
      </c>
      <c r="W284">
        <v>11.843850679999999</v>
      </c>
      <c r="X284">
        <v>0.329493333</v>
      </c>
      <c r="Y284">
        <v>0.329493333</v>
      </c>
      <c r="Z284">
        <v>0.6959573</v>
      </c>
      <c r="AA284">
        <v>0.6959573</v>
      </c>
    </row>
    <row r="285" spans="1:27" x14ac:dyDescent="0.25">
      <c r="A285" t="s">
        <v>46</v>
      </c>
      <c r="B285" t="s">
        <v>973</v>
      </c>
      <c r="C285">
        <v>2</v>
      </c>
      <c r="D285" t="s">
        <v>29</v>
      </c>
      <c r="E285" t="s">
        <v>95</v>
      </c>
      <c r="F285" t="s">
        <v>112</v>
      </c>
      <c r="G285" t="s">
        <v>121</v>
      </c>
      <c r="H285" t="s">
        <v>114</v>
      </c>
      <c r="J285">
        <v>0</v>
      </c>
      <c r="K285" t="s">
        <v>114</v>
      </c>
      <c r="L285">
        <v>65.09375</v>
      </c>
      <c r="M285">
        <v>37.895352600000002</v>
      </c>
      <c r="N285">
        <v>2.2882677779999998</v>
      </c>
      <c r="O285">
        <v>2.2111774</v>
      </c>
      <c r="P285" t="s">
        <v>114</v>
      </c>
      <c r="Q285" t="s">
        <v>114</v>
      </c>
      <c r="R285" t="s">
        <v>114</v>
      </c>
      <c r="S285" t="s">
        <v>114</v>
      </c>
      <c r="T285" t="s">
        <v>114</v>
      </c>
      <c r="U285" t="s">
        <v>114</v>
      </c>
      <c r="V285" t="s">
        <v>114</v>
      </c>
      <c r="W285" t="s">
        <v>114</v>
      </c>
      <c r="X285" t="s">
        <v>114</v>
      </c>
      <c r="Y285" t="s">
        <v>114</v>
      </c>
      <c r="Z285" t="s">
        <v>114</v>
      </c>
      <c r="AA285" t="s">
        <v>114</v>
      </c>
    </row>
    <row r="286" spans="1:27" x14ac:dyDescent="0.25">
      <c r="A286" t="s">
        <v>47</v>
      </c>
      <c r="B286" t="s">
        <v>974</v>
      </c>
      <c r="C286">
        <v>2</v>
      </c>
      <c r="D286" t="s">
        <v>31</v>
      </c>
      <c r="E286" t="s">
        <v>94</v>
      </c>
      <c r="F286" t="s">
        <v>112</v>
      </c>
      <c r="G286" t="s">
        <v>112</v>
      </c>
      <c r="H286" t="s">
        <v>112</v>
      </c>
      <c r="J286">
        <v>0</v>
      </c>
      <c r="K286">
        <v>1</v>
      </c>
      <c r="L286">
        <v>65.09375</v>
      </c>
      <c r="M286">
        <v>37.895352600000002</v>
      </c>
      <c r="N286">
        <v>2.2882677779999998</v>
      </c>
      <c r="O286">
        <v>2.2111774</v>
      </c>
      <c r="P286">
        <v>65.09375</v>
      </c>
      <c r="Q286">
        <v>37.895352600000002</v>
      </c>
      <c r="R286">
        <v>2.2882677779999998</v>
      </c>
      <c r="S286">
        <v>2.2111774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</row>
    <row r="287" spans="1:27" x14ac:dyDescent="0.25">
      <c r="A287" t="s">
        <v>47</v>
      </c>
      <c r="B287" t="s">
        <v>974</v>
      </c>
      <c r="C287">
        <v>2</v>
      </c>
      <c r="D287" t="s">
        <v>31</v>
      </c>
      <c r="E287" t="s">
        <v>94</v>
      </c>
      <c r="F287" t="s">
        <v>112</v>
      </c>
      <c r="G287" t="s">
        <v>112</v>
      </c>
      <c r="H287" t="s">
        <v>113</v>
      </c>
      <c r="J287">
        <v>0</v>
      </c>
      <c r="K287">
        <v>1</v>
      </c>
      <c r="L287">
        <v>65.09375</v>
      </c>
      <c r="M287">
        <v>37.895352600000002</v>
      </c>
      <c r="N287">
        <v>2.2882677779999998</v>
      </c>
      <c r="O287">
        <v>2.2111774</v>
      </c>
      <c r="P287">
        <v>83.757575759999995</v>
      </c>
      <c r="Q287">
        <v>22.60997987</v>
      </c>
      <c r="R287">
        <v>0.72884000000000004</v>
      </c>
      <c r="S287">
        <v>0.21301339999999999</v>
      </c>
      <c r="T287">
        <v>-18.663825760000002</v>
      </c>
      <c r="U287">
        <v>18.663825760000002</v>
      </c>
      <c r="V287">
        <v>15.285372730000001</v>
      </c>
      <c r="W287">
        <v>15.285372730000001</v>
      </c>
      <c r="X287">
        <v>1.5594277780000001</v>
      </c>
      <c r="Y287">
        <v>1.5594277780000001</v>
      </c>
      <c r="Z287">
        <v>1.9981640000000001</v>
      </c>
      <c r="AA287">
        <v>1.9981640000000001</v>
      </c>
    </row>
    <row r="288" spans="1:27" x14ac:dyDescent="0.25">
      <c r="A288" t="s">
        <v>48</v>
      </c>
      <c r="B288" t="s">
        <v>975</v>
      </c>
      <c r="C288">
        <v>2</v>
      </c>
      <c r="D288" t="s">
        <v>33</v>
      </c>
      <c r="E288" t="s">
        <v>95</v>
      </c>
      <c r="F288" t="s">
        <v>105</v>
      </c>
      <c r="G288" t="s">
        <v>104</v>
      </c>
      <c r="H288" t="s">
        <v>103</v>
      </c>
      <c r="J288">
        <v>0</v>
      </c>
      <c r="K288">
        <v>1</v>
      </c>
      <c r="L288">
        <v>67.5</v>
      </c>
      <c r="M288">
        <v>47.937235809999997</v>
      </c>
      <c r="N288">
        <v>0.41599678000000001</v>
      </c>
      <c r="O288">
        <v>2.0950346999999998</v>
      </c>
      <c r="P288">
        <v>98.291666669999998</v>
      </c>
      <c r="Q288">
        <v>30.315130790000001</v>
      </c>
      <c r="R288">
        <v>5.0803484000000003E-2</v>
      </c>
      <c r="S288">
        <v>0.42866070000000001</v>
      </c>
      <c r="T288">
        <v>-30.791666670000001</v>
      </c>
      <c r="U288">
        <v>30.791666670000001</v>
      </c>
      <c r="V288">
        <v>17.622105019999999</v>
      </c>
      <c r="W288">
        <v>17.622105019999999</v>
      </c>
      <c r="X288">
        <v>0.365193296</v>
      </c>
      <c r="Y288">
        <v>0.365193296</v>
      </c>
      <c r="Z288">
        <v>1.6663739999999998</v>
      </c>
      <c r="AA288">
        <v>1.6663739999999998</v>
      </c>
    </row>
    <row r="289" spans="1:27" x14ac:dyDescent="0.25">
      <c r="A289" t="s">
        <v>48</v>
      </c>
      <c r="B289" t="s">
        <v>975</v>
      </c>
      <c r="C289">
        <v>2</v>
      </c>
      <c r="D289" t="s">
        <v>33</v>
      </c>
      <c r="E289" t="s">
        <v>95</v>
      </c>
      <c r="F289" t="s">
        <v>105</v>
      </c>
      <c r="G289" t="s">
        <v>104</v>
      </c>
      <c r="H289" t="s">
        <v>104</v>
      </c>
      <c r="J289">
        <v>0</v>
      </c>
      <c r="K289">
        <v>2</v>
      </c>
      <c r="L289">
        <v>67.5</v>
      </c>
      <c r="M289">
        <v>47.937235809999997</v>
      </c>
      <c r="N289">
        <v>0.41599678000000001</v>
      </c>
      <c r="O289">
        <v>2.0950346999999998</v>
      </c>
      <c r="P289">
        <v>113.9375</v>
      </c>
      <c r="Q289">
        <v>33.375507550000002</v>
      </c>
      <c r="R289">
        <v>2.4262999999999999</v>
      </c>
      <c r="S289">
        <v>0.40692159999999999</v>
      </c>
      <c r="T289">
        <v>-46.4375</v>
      </c>
      <c r="U289">
        <v>46.4375</v>
      </c>
      <c r="V289">
        <v>14.561728260000001</v>
      </c>
      <c r="W289">
        <v>14.561728260000001</v>
      </c>
      <c r="X289">
        <v>-2.0103032199999999</v>
      </c>
      <c r="Y289">
        <v>2.0103032199999999</v>
      </c>
      <c r="Z289">
        <v>1.6881130999999998</v>
      </c>
      <c r="AA289">
        <v>1.6881130999999998</v>
      </c>
    </row>
    <row r="290" spans="1:27" x14ac:dyDescent="0.25">
      <c r="A290" t="s">
        <v>48</v>
      </c>
      <c r="B290" t="s">
        <v>976</v>
      </c>
      <c r="C290">
        <v>2</v>
      </c>
      <c r="D290" t="s">
        <v>33</v>
      </c>
      <c r="E290" t="s">
        <v>95</v>
      </c>
      <c r="F290" t="s">
        <v>111</v>
      </c>
      <c r="G290" t="s">
        <v>113</v>
      </c>
      <c r="H290" t="s">
        <v>113</v>
      </c>
      <c r="J290">
        <v>0</v>
      </c>
      <c r="K290">
        <v>1</v>
      </c>
      <c r="L290">
        <v>94.97142857</v>
      </c>
      <c r="M290">
        <v>24.31591813</v>
      </c>
      <c r="N290">
        <v>0.122951111</v>
      </c>
      <c r="O290">
        <v>0.39050790000000002</v>
      </c>
      <c r="P290">
        <v>83.757575759999995</v>
      </c>
      <c r="Q290">
        <v>22.60997987</v>
      </c>
      <c r="R290">
        <v>0.72884000000000004</v>
      </c>
      <c r="S290">
        <v>0.21301339999999999</v>
      </c>
      <c r="T290">
        <v>11.213852810000001</v>
      </c>
      <c r="U290">
        <v>11.213852810000001</v>
      </c>
      <c r="V290">
        <v>1.7059382599999999</v>
      </c>
      <c r="W290">
        <v>1.7059382599999999</v>
      </c>
      <c r="X290">
        <v>-0.60588888900000004</v>
      </c>
      <c r="Y290">
        <v>0.60588888900000004</v>
      </c>
      <c r="Z290">
        <v>0.17749450000000003</v>
      </c>
      <c r="AA290">
        <v>0.17749450000000003</v>
      </c>
    </row>
    <row r="291" spans="1:27" x14ac:dyDescent="0.25">
      <c r="A291" t="s">
        <v>48</v>
      </c>
      <c r="B291" t="s">
        <v>976</v>
      </c>
      <c r="C291">
        <v>2</v>
      </c>
      <c r="D291" t="s">
        <v>33</v>
      </c>
      <c r="E291" t="s">
        <v>95</v>
      </c>
      <c r="F291" t="s">
        <v>111</v>
      </c>
      <c r="G291" t="s">
        <v>113</v>
      </c>
      <c r="H291" t="s">
        <v>241</v>
      </c>
      <c r="J291">
        <v>0</v>
      </c>
      <c r="K291">
        <v>1</v>
      </c>
      <c r="L291">
        <v>94.97142857</v>
      </c>
      <c r="M291">
        <v>24.31591813</v>
      </c>
      <c r="N291">
        <v>0.122951111</v>
      </c>
      <c r="O291">
        <v>0.39050790000000002</v>
      </c>
      <c r="P291">
        <v>114</v>
      </c>
      <c r="Q291">
        <v>30.43077242</v>
      </c>
      <c r="R291">
        <v>0.53383111100000002</v>
      </c>
      <c r="S291">
        <v>0.28333332999999999</v>
      </c>
      <c r="T291">
        <v>-19.02857143</v>
      </c>
      <c r="U291">
        <v>19.02857143</v>
      </c>
      <c r="V291">
        <v>-6.1148542900000002</v>
      </c>
      <c r="W291">
        <v>6.1148542900000002</v>
      </c>
      <c r="X291">
        <v>-0.41088000000000002</v>
      </c>
      <c r="Y291">
        <v>0.41088000000000002</v>
      </c>
      <c r="Z291">
        <v>0.10717457000000002</v>
      </c>
      <c r="AA291">
        <v>0.10717457000000002</v>
      </c>
    </row>
    <row r="292" spans="1:27" x14ac:dyDescent="0.25">
      <c r="A292" t="s">
        <v>48</v>
      </c>
      <c r="B292" t="s">
        <v>977</v>
      </c>
      <c r="C292">
        <v>2</v>
      </c>
      <c r="D292" t="s">
        <v>33</v>
      </c>
      <c r="E292" t="s">
        <v>95</v>
      </c>
      <c r="F292" t="s">
        <v>104</v>
      </c>
      <c r="G292" t="s">
        <v>121</v>
      </c>
      <c r="H292" t="s">
        <v>113</v>
      </c>
      <c r="J292">
        <v>0</v>
      </c>
      <c r="K292">
        <v>5</v>
      </c>
      <c r="L292">
        <v>113.9375</v>
      </c>
      <c r="M292">
        <v>33.375507550000002</v>
      </c>
      <c r="N292">
        <v>2.4262999999999999</v>
      </c>
      <c r="O292">
        <v>0.40692159999999999</v>
      </c>
      <c r="P292">
        <v>83.757575759999995</v>
      </c>
      <c r="Q292">
        <v>22.60997987</v>
      </c>
      <c r="R292">
        <v>0.72884000000000004</v>
      </c>
      <c r="S292">
        <v>0.21301339999999999</v>
      </c>
      <c r="T292">
        <v>30.179924239999998</v>
      </c>
      <c r="U292">
        <v>30.179924239999998</v>
      </c>
      <c r="V292">
        <v>10.76552768</v>
      </c>
      <c r="W292">
        <v>10.76552768</v>
      </c>
      <c r="X292">
        <v>1.69746</v>
      </c>
      <c r="Y292">
        <v>1.69746</v>
      </c>
      <c r="Z292">
        <v>0.1939082</v>
      </c>
      <c r="AA292">
        <v>0.1939082</v>
      </c>
    </row>
    <row r="293" spans="1:27" x14ac:dyDescent="0.25">
      <c r="A293" t="s">
        <v>48</v>
      </c>
      <c r="B293" t="s">
        <v>977</v>
      </c>
      <c r="C293">
        <v>2</v>
      </c>
      <c r="D293" t="s">
        <v>33</v>
      </c>
      <c r="E293" t="s">
        <v>95</v>
      </c>
      <c r="F293" t="s">
        <v>104</v>
      </c>
      <c r="G293" t="s">
        <v>121</v>
      </c>
      <c r="H293" t="s">
        <v>104</v>
      </c>
      <c r="J293">
        <v>0</v>
      </c>
      <c r="K293">
        <v>2</v>
      </c>
      <c r="L293">
        <v>113.9375</v>
      </c>
      <c r="M293">
        <v>33.375507550000002</v>
      </c>
      <c r="N293">
        <v>2.4262999999999999</v>
      </c>
      <c r="O293">
        <v>0.40692159999999999</v>
      </c>
      <c r="P293">
        <v>113.9375</v>
      </c>
      <c r="Q293">
        <v>33.375507550000002</v>
      </c>
      <c r="R293">
        <v>2.4262999999999999</v>
      </c>
      <c r="S293">
        <v>0.40692159999999999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</row>
    <row r="294" spans="1:27" x14ac:dyDescent="0.25">
      <c r="A294" t="s">
        <v>48</v>
      </c>
      <c r="B294" t="s">
        <v>977</v>
      </c>
      <c r="C294">
        <v>2</v>
      </c>
      <c r="D294" t="s">
        <v>33</v>
      </c>
      <c r="E294" t="s">
        <v>95</v>
      </c>
      <c r="F294" t="s">
        <v>104</v>
      </c>
      <c r="G294" t="s">
        <v>121</v>
      </c>
      <c r="H294" t="s">
        <v>103</v>
      </c>
      <c r="J294">
        <v>0</v>
      </c>
      <c r="K294">
        <v>1</v>
      </c>
      <c r="L294">
        <v>113.9375</v>
      </c>
      <c r="M294">
        <v>33.375507550000002</v>
      </c>
      <c r="N294">
        <v>2.4262999999999999</v>
      </c>
      <c r="O294">
        <v>0.40692159999999999</v>
      </c>
      <c r="P294">
        <v>98.291666669999998</v>
      </c>
      <c r="Q294">
        <v>30.315130790000001</v>
      </c>
      <c r="R294">
        <v>5.0803484000000003E-2</v>
      </c>
      <c r="S294">
        <v>0.42866070000000001</v>
      </c>
      <c r="T294">
        <v>15.64583333</v>
      </c>
      <c r="U294">
        <v>15.64583333</v>
      </c>
      <c r="V294">
        <v>3.06037676</v>
      </c>
      <c r="W294">
        <v>3.06037676</v>
      </c>
      <c r="X294">
        <v>2.3754965160000001</v>
      </c>
      <c r="Y294">
        <v>2.3754965160000001</v>
      </c>
      <c r="Z294">
        <v>-2.1739100000000011E-2</v>
      </c>
      <c r="AA294">
        <v>2.1739100000000011E-2</v>
      </c>
    </row>
    <row r="295" spans="1:27" x14ac:dyDescent="0.25">
      <c r="A295" t="s">
        <v>49</v>
      </c>
      <c r="B295" t="s">
        <v>978</v>
      </c>
      <c r="C295">
        <v>2</v>
      </c>
      <c r="D295" t="s">
        <v>35</v>
      </c>
      <c r="E295" t="s">
        <v>94</v>
      </c>
      <c r="F295" t="s">
        <v>102</v>
      </c>
      <c r="G295" t="s">
        <v>112</v>
      </c>
      <c r="H295" t="s">
        <v>112</v>
      </c>
      <c r="J295">
        <v>0</v>
      </c>
      <c r="K295">
        <v>1</v>
      </c>
      <c r="L295">
        <v>84.740740740000007</v>
      </c>
      <c r="M295">
        <v>29.167014049999999</v>
      </c>
      <c r="N295">
        <v>1.1169849999999999</v>
      </c>
      <c r="O295">
        <v>1.1571499000000001</v>
      </c>
      <c r="P295">
        <v>65.09375</v>
      </c>
      <c r="Q295">
        <v>37.895352600000002</v>
      </c>
      <c r="R295">
        <v>2.2882677779999998</v>
      </c>
      <c r="S295">
        <v>2.2111774</v>
      </c>
      <c r="T295">
        <v>19.64699074</v>
      </c>
      <c r="U295">
        <v>19.64699074</v>
      </c>
      <c r="V295">
        <v>-8.7283385500000001</v>
      </c>
      <c r="W295">
        <v>8.7283385500000001</v>
      </c>
      <c r="X295">
        <v>-1.1712827779999999</v>
      </c>
      <c r="Y295">
        <v>1.1712827779999999</v>
      </c>
      <c r="Z295">
        <v>-1.0540274999999999</v>
      </c>
      <c r="AA295">
        <v>1.0540274999999999</v>
      </c>
    </row>
    <row r="296" spans="1:27" x14ac:dyDescent="0.25">
      <c r="A296" t="s">
        <v>49</v>
      </c>
      <c r="B296" t="s">
        <v>978</v>
      </c>
      <c r="C296">
        <v>2</v>
      </c>
      <c r="D296" t="s">
        <v>35</v>
      </c>
      <c r="E296" t="s">
        <v>94</v>
      </c>
      <c r="F296" t="s">
        <v>102</v>
      </c>
      <c r="G296" t="s">
        <v>112</v>
      </c>
      <c r="H296" t="s">
        <v>104</v>
      </c>
      <c r="J296">
        <v>0</v>
      </c>
      <c r="K296">
        <v>5</v>
      </c>
      <c r="L296">
        <v>84.740740740000007</v>
      </c>
      <c r="M296">
        <v>29.167014049999999</v>
      </c>
      <c r="N296">
        <v>1.1169849999999999</v>
      </c>
      <c r="O296">
        <v>1.1571499000000001</v>
      </c>
      <c r="P296">
        <v>113.9375</v>
      </c>
      <c r="Q296">
        <v>33.375507550000002</v>
      </c>
      <c r="R296">
        <v>2.4262999999999999</v>
      </c>
      <c r="S296">
        <v>0.40692159999999999</v>
      </c>
      <c r="T296">
        <v>-29.19675926</v>
      </c>
      <c r="U296">
        <v>29.19675926</v>
      </c>
      <c r="V296">
        <v>-4.2084935000000003</v>
      </c>
      <c r="W296">
        <v>4.2084935000000003</v>
      </c>
      <c r="X296">
        <v>-1.309315</v>
      </c>
      <c r="Y296">
        <v>1.309315</v>
      </c>
      <c r="Z296">
        <v>0.75022830000000007</v>
      </c>
      <c r="AA296">
        <v>0.75022830000000007</v>
      </c>
    </row>
    <row r="297" spans="1:27" x14ac:dyDescent="0.25">
      <c r="A297" t="s">
        <v>49</v>
      </c>
      <c r="B297" t="s">
        <v>979</v>
      </c>
      <c r="C297">
        <v>2</v>
      </c>
      <c r="D297" t="s">
        <v>35</v>
      </c>
      <c r="E297" t="s">
        <v>94</v>
      </c>
      <c r="F297" t="s">
        <v>112</v>
      </c>
      <c r="G297" t="s">
        <v>112</v>
      </c>
      <c r="H297" t="s">
        <v>112</v>
      </c>
      <c r="J297">
        <v>0</v>
      </c>
      <c r="K297">
        <v>1</v>
      </c>
      <c r="L297">
        <v>65.09375</v>
      </c>
      <c r="M297">
        <v>37.895352600000002</v>
      </c>
      <c r="N297">
        <v>2.2882677779999998</v>
      </c>
      <c r="O297">
        <v>2.2111774</v>
      </c>
      <c r="P297">
        <v>65.09375</v>
      </c>
      <c r="Q297">
        <v>37.895352600000002</v>
      </c>
      <c r="R297">
        <v>2.2882677779999998</v>
      </c>
      <c r="S297">
        <v>2.2111774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</row>
    <row r="298" spans="1:27" x14ac:dyDescent="0.25">
      <c r="A298" t="s">
        <v>49</v>
      </c>
      <c r="B298" t="s">
        <v>979</v>
      </c>
      <c r="C298">
        <v>2</v>
      </c>
      <c r="D298" t="s">
        <v>35</v>
      </c>
      <c r="E298" t="s">
        <v>94</v>
      </c>
      <c r="F298" t="s">
        <v>112</v>
      </c>
      <c r="G298" t="s">
        <v>112</v>
      </c>
      <c r="H298" t="s">
        <v>103</v>
      </c>
      <c r="J298">
        <v>0</v>
      </c>
      <c r="K298">
        <v>1</v>
      </c>
      <c r="L298">
        <v>65.09375</v>
      </c>
      <c r="M298">
        <v>37.895352600000002</v>
      </c>
      <c r="N298">
        <v>2.2882677779999998</v>
      </c>
      <c r="O298">
        <v>2.2111774</v>
      </c>
      <c r="P298">
        <v>98.291666669999998</v>
      </c>
      <c r="Q298">
        <v>30.315130790000001</v>
      </c>
      <c r="R298">
        <v>5.0803484000000003E-2</v>
      </c>
      <c r="S298">
        <v>0.42866070000000001</v>
      </c>
      <c r="T298">
        <v>-33.197916669999998</v>
      </c>
      <c r="U298">
        <v>33.197916669999998</v>
      </c>
      <c r="V298">
        <v>7.5802218100000003</v>
      </c>
      <c r="W298">
        <v>7.5802218100000003</v>
      </c>
      <c r="X298">
        <v>2.237464294</v>
      </c>
      <c r="Y298">
        <v>2.237464294</v>
      </c>
      <c r="Z298">
        <v>1.7825167</v>
      </c>
      <c r="AA298">
        <v>1.7825167</v>
      </c>
    </row>
    <row r="299" spans="1:27" x14ac:dyDescent="0.25">
      <c r="A299" t="s">
        <v>79</v>
      </c>
      <c r="B299" t="s">
        <v>980</v>
      </c>
      <c r="C299">
        <v>6</v>
      </c>
      <c r="D299" t="s">
        <v>11</v>
      </c>
      <c r="E299" t="s">
        <v>95</v>
      </c>
      <c r="F299" t="s">
        <v>113</v>
      </c>
      <c r="G299" t="s">
        <v>113</v>
      </c>
      <c r="H299" t="s">
        <v>113</v>
      </c>
      <c r="J299">
        <v>0</v>
      </c>
      <c r="K299">
        <v>4</v>
      </c>
      <c r="L299">
        <v>83.757575759999995</v>
      </c>
      <c r="M299">
        <v>22.60997987</v>
      </c>
      <c r="N299">
        <v>0.72884000000000004</v>
      </c>
      <c r="O299">
        <v>0.21301339999999999</v>
      </c>
      <c r="P299">
        <v>83.757575759999995</v>
      </c>
      <c r="Q299">
        <v>22.60997987</v>
      </c>
      <c r="R299">
        <v>0.72884000000000004</v>
      </c>
      <c r="S299">
        <v>0.21301339999999999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</row>
    <row r="300" spans="1:27" x14ac:dyDescent="0.25">
      <c r="A300" t="s">
        <v>79</v>
      </c>
      <c r="B300" t="s">
        <v>981</v>
      </c>
      <c r="C300">
        <v>6</v>
      </c>
      <c r="D300" t="s">
        <v>11</v>
      </c>
      <c r="E300" t="s">
        <v>95</v>
      </c>
      <c r="F300" t="s">
        <v>103</v>
      </c>
      <c r="G300" t="s">
        <v>113</v>
      </c>
      <c r="H300" t="s">
        <v>113</v>
      </c>
      <c r="J300">
        <v>0</v>
      </c>
      <c r="K300">
        <v>7</v>
      </c>
      <c r="L300">
        <v>98.291666669999998</v>
      </c>
      <c r="M300">
        <v>30.315130790000001</v>
      </c>
      <c r="N300">
        <v>5.0803484000000003E-2</v>
      </c>
      <c r="O300">
        <v>0.42866070000000001</v>
      </c>
      <c r="P300">
        <v>83.757575759999995</v>
      </c>
      <c r="Q300">
        <v>22.60997987</v>
      </c>
      <c r="R300">
        <v>0.72884000000000004</v>
      </c>
      <c r="S300">
        <v>0.21301339999999999</v>
      </c>
      <c r="T300">
        <v>14.53409091</v>
      </c>
      <c r="U300">
        <v>14.53409091</v>
      </c>
      <c r="V300">
        <v>7.7051509200000003</v>
      </c>
      <c r="W300">
        <v>7.7051509200000003</v>
      </c>
      <c r="X300">
        <v>-0.67803651600000003</v>
      </c>
      <c r="Y300">
        <v>0.67803651600000003</v>
      </c>
      <c r="Z300">
        <v>0.21564730000000001</v>
      </c>
      <c r="AA300">
        <v>0.21564730000000001</v>
      </c>
    </row>
    <row r="301" spans="1:27" x14ac:dyDescent="0.25">
      <c r="A301" t="s">
        <v>79</v>
      </c>
      <c r="B301" t="s">
        <v>981</v>
      </c>
      <c r="C301">
        <v>6</v>
      </c>
      <c r="D301" t="s">
        <v>11</v>
      </c>
      <c r="E301" t="s">
        <v>95</v>
      </c>
      <c r="F301" t="s">
        <v>103</v>
      </c>
      <c r="G301" t="s">
        <v>113</v>
      </c>
      <c r="H301" t="s">
        <v>103</v>
      </c>
      <c r="J301">
        <v>0</v>
      </c>
      <c r="K301">
        <v>4</v>
      </c>
      <c r="L301">
        <v>98.291666669999998</v>
      </c>
      <c r="M301">
        <v>30.315130790000001</v>
      </c>
      <c r="N301">
        <v>5.0803484000000003E-2</v>
      </c>
      <c r="O301">
        <v>0.42866070000000001</v>
      </c>
      <c r="P301">
        <v>98.291666669999998</v>
      </c>
      <c r="Q301">
        <v>30.315130790000001</v>
      </c>
      <c r="R301">
        <v>5.0803484000000003E-2</v>
      </c>
      <c r="S301">
        <v>0.42866070000000001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</row>
    <row r="302" spans="1:27" x14ac:dyDescent="0.25">
      <c r="A302" t="s">
        <v>79</v>
      </c>
      <c r="B302" t="s">
        <v>982</v>
      </c>
      <c r="C302">
        <v>6</v>
      </c>
      <c r="D302" t="s">
        <v>11</v>
      </c>
      <c r="E302" t="s">
        <v>95</v>
      </c>
      <c r="F302" t="s">
        <v>111</v>
      </c>
      <c r="G302" t="s">
        <v>113</v>
      </c>
      <c r="H302" t="s">
        <v>234</v>
      </c>
      <c r="J302">
        <v>0</v>
      </c>
      <c r="K302">
        <v>1</v>
      </c>
      <c r="L302">
        <v>94.97142857</v>
      </c>
      <c r="M302">
        <v>24.31591813</v>
      </c>
      <c r="N302">
        <v>0.122951111</v>
      </c>
      <c r="O302">
        <v>0.39050790000000002</v>
      </c>
      <c r="P302">
        <v>89.8125</v>
      </c>
      <c r="Q302">
        <v>34.754706650000003</v>
      </c>
      <c r="R302">
        <v>2.3065078999999999E-2</v>
      </c>
      <c r="S302">
        <v>2.4791666700000001</v>
      </c>
      <c r="T302">
        <v>5.1589285699999996</v>
      </c>
      <c r="U302">
        <v>5.1589285699999996</v>
      </c>
      <c r="V302">
        <v>-10.438788519999999</v>
      </c>
      <c r="W302">
        <v>10.438788519999999</v>
      </c>
      <c r="X302">
        <v>9.9886032E-2</v>
      </c>
      <c r="Y302">
        <v>9.9886032E-2</v>
      </c>
      <c r="Z302">
        <v>-2.0886587700000003</v>
      </c>
      <c r="AA302">
        <v>2.0886587700000003</v>
      </c>
    </row>
    <row r="303" spans="1:27" x14ac:dyDescent="0.25">
      <c r="A303" t="s">
        <v>79</v>
      </c>
      <c r="B303" t="s">
        <v>982</v>
      </c>
      <c r="C303">
        <v>6</v>
      </c>
      <c r="D303" t="s">
        <v>11</v>
      </c>
      <c r="E303" t="s">
        <v>95</v>
      </c>
      <c r="F303" t="s">
        <v>111</v>
      </c>
      <c r="G303" t="s">
        <v>113</v>
      </c>
      <c r="H303" t="s">
        <v>113</v>
      </c>
      <c r="J303">
        <v>0</v>
      </c>
      <c r="K303">
        <v>5</v>
      </c>
      <c r="L303">
        <v>94.97142857</v>
      </c>
      <c r="M303">
        <v>24.31591813</v>
      </c>
      <c r="N303">
        <v>0.122951111</v>
      </c>
      <c r="O303">
        <v>0.39050790000000002</v>
      </c>
      <c r="P303">
        <v>83.757575759999995</v>
      </c>
      <c r="Q303">
        <v>22.60997987</v>
      </c>
      <c r="R303">
        <v>0.72884000000000004</v>
      </c>
      <c r="S303">
        <v>0.21301339999999999</v>
      </c>
      <c r="T303">
        <v>11.213852810000001</v>
      </c>
      <c r="U303">
        <v>11.213852810000001</v>
      </c>
      <c r="V303">
        <v>1.7059382599999999</v>
      </c>
      <c r="W303">
        <v>1.7059382599999999</v>
      </c>
      <c r="X303">
        <v>-0.60588888900000004</v>
      </c>
      <c r="Y303">
        <v>0.60588888900000004</v>
      </c>
      <c r="Z303">
        <v>0.17749450000000003</v>
      </c>
      <c r="AA303">
        <v>0.17749450000000003</v>
      </c>
    </row>
    <row r="304" spans="1:27" x14ac:dyDescent="0.25">
      <c r="A304" t="s">
        <v>79</v>
      </c>
      <c r="B304" t="s">
        <v>982</v>
      </c>
      <c r="C304">
        <v>6</v>
      </c>
      <c r="D304" t="s">
        <v>11</v>
      </c>
      <c r="E304" t="s">
        <v>95</v>
      </c>
      <c r="F304" t="s">
        <v>111</v>
      </c>
      <c r="G304" t="s">
        <v>113</v>
      </c>
      <c r="H304" t="s">
        <v>103</v>
      </c>
      <c r="J304">
        <v>0</v>
      </c>
      <c r="K304">
        <v>1</v>
      </c>
      <c r="L304">
        <v>94.97142857</v>
      </c>
      <c r="M304">
        <v>24.31591813</v>
      </c>
      <c r="N304">
        <v>0.122951111</v>
      </c>
      <c r="O304">
        <v>0.39050790000000002</v>
      </c>
      <c r="P304">
        <v>98.291666669999998</v>
      </c>
      <c r="Q304">
        <v>30.315130790000001</v>
      </c>
      <c r="R304">
        <v>5.0803484000000003E-2</v>
      </c>
      <c r="S304">
        <v>0.42866070000000001</v>
      </c>
      <c r="T304">
        <v>-3.3202381000000001</v>
      </c>
      <c r="U304">
        <v>3.3202381000000001</v>
      </c>
      <c r="V304">
        <v>-5.9992126600000004</v>
      </c>
      <c r="W304">
        <v>5.9992126600000004</v>
      </c>
      <c r="X304">
        <v>7.2147627000000006E-2</v>
      </c>
      <c r="Y304">
        <v>7.2147627000000006E-2</v>
      </c>
      <c r="Z304">
        <v>-3.8152799999999987E-2</v>
      </c>
      <c r="AA304">
        <v>3.8152799999999987E-2</v>
      </c>
    </row>
    <row r="305" spans="1:27" x14ac:dyDescent="0.25">
      <c r="A305" t="s">
        <v>80</v>
      </c>
      <c r="B305" t="s">
        <v>983</v>
      </c>
      <c r="C305">
        <v>6</v>
      </c>
      <c r="D305" t="s">
        <v>15</v>
      </c>
      <c r="E305" t="s">
        <v>95</v>
      </c>
      <c r="F305" t="s">
        <v>105</v>
      </c>
      <c r="G305" t="s">
        <v>121</v>
      </c>
      <c r="H305" t="s">
        <v>113</v>
      </c>
      <c r="J305">
        <v>0</v>
      </c>
      <c r="K305">
        <v>1</v>
      </c>
      <c r="L305">
        <v>67.5</v>
      </c>
      <c r="M305">
        <v>47.937235809999997</v>
      </c>
      <c r="N305">
        <v>0.41599678000000001</v>
      </c>
      <c r="O305">
        <v>2.0950346999999998</v>
      </c>
      <c r="P305">
        <v>83.757575759999995</v>
      </c>
      <c r="Q305">
        <v>22.60997987</v>
      </c>
      <c r="R305">
        <v>0.72884000000000004</v>
      </c>
      <c r="S305">
        <v>0.21301339999999999</v>
      </c>
      <c r="T305">
        <v>-16.257575760000002</v>
      </c>
      <c r="U305">
        <v>16.257575760000002</v>
      </c>
      <c r="V305">
        <v>25.327255940000001</v>
      </c>
      <c r="W305">
        <v>25.327255940000001</v>
      </c>
      <c r="X305">
        <v>-0.31284321999999998</v>
      </c>
      <c r="Y305">
        <v>0.31284321999999998</v>
      </c>
      <c r="Z305">
        <v>1.8820212999999999</v>
      </c>
      <c r="AA305">
        <v>1.8820212999999999</v>
      </c>
    </row>
    <row r="306" spans="1:27" x14ac:dyDescent="0.25">
      <c r="A306" t="s">
        <v>80</v>
      </c>
      <c r="B306" t="s">
        <v>983</v>
      </c>
      <c r="C306">
        <v>6</v>
      </c>
      <c r="D306" t="s">
        <v>15</v>
      </c>
      <c r="E306" t="s">
        <v>95</v>
      </c>
      <c r="F306" t="s">
        <v>105</v>
      </c>
      <c r="G306" t="s">
        <v>121</v>
      </c>
      <c r="H306" t="s">
        <v>103</v>
      </c>
      <c r="J306">
        <v>0</v>
      </c>
      <c r="K306">
        <v>9</v>
      </c>
      <c r="L306">
        <v>67.5</v>
      </c>
      <c r="M306">
        <v>47.937235809999997</v>
      </c>
      <c r="N306">
        <v>0.41599678000000001</v>
      </c>
      <c r="O306">
        <v>2.0950346999999998</v>
      </c>
      <c r="P306">
        <v>98.291666669999998</v>
      </c>
      <c r="Q306">
        <v>30.315130790000001</v>
      </c>
      <c r="R306">
        <v>5.0803484000000003E-2</v>
      </c>
      <c r="S306">
        <v>0.42866070000000001</v>
      </c>
      <c r="T306">
        <v>-30.791666670000001</v>
      </c>
      <c r="U306">
        <v>30.791666670000001</v>
      </c>
      <c r="V306">
        <v>17.622105019999999</v>
      </c>
      <c r="W306">
        <v>17.622105019999999</v>
      </c>
      <c r="X306">
        <v>0.365193296</v>
      </c>
      <c r="Y306">
        <v>0.365193296</v>
      </c>
      <c r="Z306">
        <v>1.6663739999999998</v>
      </c>
      <c r="AA306">
        <v>1.6663739999999998</v>
      </c>
    </row>
    <row r="307" spans="1:27" x14ac:dyDescent="0.25">
      <c r="A307" t="s">
        <v>80</v>
      </c>
      <c r="B307" t="s">
        <v>984</v>
      </c>
      <c r="C307">
        <v>6</v>
      </c>
      <c r="D307" t="s">
        <v>15</v>
      </c>
      <c r="E307" t="s">
        <v>95</v>
      </c>
      <c r="F307" t="s">
        <v>113</v>
      </c>
      <c r="G307" t="s">
        <v>113</v>
      </c>
      <c r="H307" t="s">
        <v>113</v>
      </c>
      <c r="J307">
        <v>0</v>
      </c>
      <c r="K307">
        <v>6</v>
      </c>
      <c r="L307">
        <v>83.757575759999995</v>
      </c>
      <c r="M307">
        <v>22.60997987</v>
      </c>
      <c r="N307">
        <v>0.72884000000000004</v>
      </c>
      <c r="O307">
        <v>0.21301339999999999</v>
      </c>
      <c r="P307">
        <v>83.757575759999995</v>
      </c>
      <c r="Q307">
        <v>22.60997987</v>
      </c>
      <c r="R307">
        <v>0.72884000000000004</v>
      </c>
      <c r="S307">
        <v>0.21301339999999999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</row>
    <row r="308" spans="1:27" x14ac:dyDescent="0.25">
      <c r="A308" t="s">
        <v>80</v>
      </c>
      <c r="B308" t="s">
        <v>985</v>
      </c>
      <c r="C308">
        <v>6</v>
      </c>
      <c r="D308" t="s">
        <v>15</v>
      </c>
      <c r="E308" t="s">
        <v>95</v>
      </c>
      <c r="F308" t="s">
        <v>103</v>
      </c>
      <c r="G308" t="s">
        <v>113</v>
      </c>
      <c r="H308" t="s">
        <v>113</v>
      </c>
      <c r="J308">
        <v>0</v>
      </c>
      <c r="K308">
        <v>1</v>
      </c>
      <c r="L308">
        <v>98.291666669999998</v>
      </c>
      <c r="M308">
        <v>30.315130790000001</v>
      </c>
      <c r="N308">
        <v>5.0803484000000003E-2</v>
      </c>
      <c r="O308">
        <v>0.42866070000000001</v>
      </c>
      <c r="P308">
        <v>83.757575759999995</v>
      </c>
      <c r="Q308">
        <v>22.60997987</v>
      </c>
      <c r="R308">
        <v>0.72884000000000004</v>
      </c>
      <c r="S308">
        <v>0.21301339999999999</v>
      </c>
      <c r="T308">
        <v>14.53409091</v>
      </c>
      <c r="U308">
        <v>14.53409091</v>
      </c>
      <c r="V308">
        <v>7.7051509200000003</v>
      </c>
      <c r="W308">
        <v>7.7051509200000003</v>
      </c>
      <c r="X308">
        <v>-0.67803651600000003</v>
      </c>
      <c r="Y308">
        <v>0.67803651600000003</v>
      </c>
      <c r="Z308">
        <v>0.21564730000000001</v>
      </c>
      <c r="AA308">
        <v>0.21564730000000001</v>
      </c>
    </row>
    <row r="309" spans="1:27" x14ac:dyDescent="0.25">
      <c r="A309" t="s">
        <v>80</v>
      </c>
      <c r="B309" t="s">
        <v>985</v>
      </c>
      <c r="C309">
        <v>6</v>
      </c>
      <c r="D309" t="s">
        <v>15</v>
      </c>
      <c r="E309" t="s">
        <v>95</v>
      </c>
      <c r="F309" t="s">
        <v>103</v>
      </c>
      <c r="G309" t="s">
        <v>113</v>
      </c>
      <c r="H309" t="s">
        <v>103</v>
      </c>
      <c r="J309">
        <v>0</v>
      </c>
      <c r="K309">
        <v>2</v>
      </c>
      <c r="L309">
        <v>98.291666669999998</v>
      </c>
      <c r="M309">
        <v>30.315130790000001</v>
      </c>
      <c r="N309">
        <v>5.0803484000000003E-2</v>
      </c>
      <c r="O309">
        <v>0.42866070000000001</v>
      </c>
      <c r="P309">
        <v>98.291666669999998</v>
      </c>
      <c r="Q309">
        <v>30.315130790000001</v>
      </c>
      <c r="R309">
        <v>5.0803484000000003E-2</v>
      </c>
      <c r="S309">
        <v>0.42866070000000001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</row>
    <row r="310" spans="1:27" x14ac:dyDescent="0.25">
      <c r="A310" t="s">
        <v>81</v>
      </c>
      <c r="B310" t="s">
        <v>986</v>
      </c>
      <c r="C310">
        <v>6</v>
      </c>
      <c r="D310" t="s">
        <v>17</v>
      </c>
      <c r="E310" t="s">
        <v>94</v>
      </c>
      <c r="F310" t="s">
        <v>105</v>
      </c>
      <c r="G310" t="s">
        <v>113</v>
      </c>
      <c r="H310" t="s">
        <v>113</v>
      </c>
      <c r="J310">
        <v>0</v>
      </c>
      <c r="K310">
        <v>6</v>
      </c>
      <c r="L310">
        <v>67.5</v>
      </c>
      <c r="M310">
        <v>47.937235809999997</v>
      </c>
      <c r="N310">
        <v>0.41599678000000001</v>
      </c>
      <c r="O310">
        <v>2.0950346999999998</v>
      </c>
      <c r="P310">
        <v>83.757575759999995</v>
      </c>
      <c r="Q310">
        <v>22.60997987</v>
      </c>
      <c r="R310">
        <v>0.72884000000000004</v>
      </c>
      <c r="S310">
        <v>0.21301339999999999</v>
      </c>
      <c r="T310">
        <v>-16.257575760000002</v>
      </c>
      <c r="U310">
        <v>16.257575760000002</v>
      </c>
      <c r="V310">
        <v>25.327255940000001</v>
      </c>
      <c r="W310">
        <v>25.327255940000001</v>
      </c>
      <c r="X310">
        <v>-0.31284321999999998</v>
      </c>
      <c r="Y310">
        <v>0.31284321999999998</v>
      </c>
      <c r="Z310">
        <v>1.8820212999999999</v>
      </c>
      <c r="AA310">
        <v>1.8820212999999999</v>
      </c>
    </row>
    <row r="311" spans="1:27" x14ac:dyDescent="0.25">
      <c r="A311" t="s">
        <v>81</v>
      </c>
      <c r="B311" t="s">
        <v>987</v>
      </c>
      <c r="C311">
        <v>6</v>
      </c>
      <c r="D311" t="s">
        <v>17</v>
      </c>
      <c r="E311" t="s">
        <v>94</v>
      </c>
      <c r="F311" t="s">
        <v>113</v>
      </c>
      <c r="G311" t="s">
        <v>113</v>
      </c>
      <c r="H311" t="s">
        <v>113</v>
      </c>
      <c r="J311">
        <v>0</v>
      </c>
      <c r="K311">
        <v>6</v>
      </c>
      <c r="L311">
        <v>83.757575759999995</v>
      </c>
      <c r="M311">
        <v>22.60997987</v>
      </c>
      <c r="N311">
        <v>0.72884000000000004</v>
      </c>
      <c r="O311">
        <v>0.21301339999999999</v>
      </c>
      <c r="P311">
        <v>83.757575759999995</v>
      </c>
      <c r="Q311">
        <v>22.60997987</v>
      </c>
      <c r="R311">
        <v>0.72884000000000004</v>
      </c>
      <c r="S311">
        <v>0.21301339999999999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</row>
    <row r="312" spans="1:27" x14ac:dyDescent="0.25">
      <c r="A312" t="s">
        <v>81</v>
      </c>
      <c r="B312" t="s">
        <v>988</v>
      </c>
      <c r="C312">
        <v>6</v>
      </c>
      <c r="D312" t="s">
        <v>17</v>
      </c>
      <c r="E312" t="s">
        <v>94</v>
      </c>
      <c r="F312" t="s">
        <v>103</v>
      </c>
      <c r="G312" t="s">
        <v>113</v>
      </c>
      <c r="H312" t="s">
        <v>113</v>
      </c>
      <c r="J312">
        <v>0</v>
      </c>
      <c r="K312">
        <v>5</v>
      </c>
      <c r="L312">
        <v>98.291666669999998</v>
      </c>
      <c r="M312">
        <v>30.315130790000001</v>
      </c>
      <c r="N312">
        <v>5.0803484000000003E-2</v>
      </c>
      <c r="O312">
        <v>0.42866070000000001</v>
      </c>
      <c r="P312">
        <v>83.757575759999995</v>
      </c>
      <c r="Q312">
        <v>22.60997987</v>
      </c>
      <c r="R312">
        <v>0.72884000000000004</v>
      </c>
      <c r="S312">
        <v>0.21301339999999999</v>
      </c>
      <c r="T312">
        <v>14.53409091</v>
      </c>
      <c r="U312">
        <v>14.53409091</v>
      </c>
      <c r="V312">
        <v>7.7051509200000003</v>
      </c>
      <c r="W312">
        <v>7.7051509200000003</v>
      </c>
      <c r="X312">
        <v>-0.67803651600000003</v>
      </c>
      <c r="Y312">
        <v>0.67803651600000003</v>
      </c>
      <c r="Z312">
        <v>0.21564730000000001</v>
      </c>
      <c r="AA312">
        <v>0.21564730000000001</v>
      </c>
    </row>
    <row r="313" spans="1:27" x14ac:dyDescent="0.25">
      <c r="A313" t="s">
        <v>81</v>
      </c>
      <c r="B313" t="s">
        <v>988</v>
      </c>
      <c r="C313">
        <v>6</v>
      </c>
      <c r="D313" t="s">
        <v>17</v>
      </c>
      <c r="E313" t="s">
        <v>94</v>
      </c>
      <c r="F313" t="s">
        <v>103</v>
      </c>
      <c r="G313" t="s">
        <v>113</v>
      </c>
      <c r="H313" t="s">
        <v>103</v>
      </c>
      <c r="J313">
        <v>0</v>
      </c>
      <c r="K313">
        <v>1</v>
      </c>
      <c r="L313">
        <v>98.291666669999998</v>
      </c>
      <c r="M313">
        <v>30.315130790000001</v>
      </c>
      <c r="N313">
        <v>5.0803484000000003E-2</v>
      </c>
      <c r="O313">
        <v>0.42866070000000001</v>
      </c>
      <c r="P313">
        <v>98.291666669999998</v>
      </c>
      <c r="Q313">
        <v>30.315130790000001</v>
      </c>
      <c r="R313">
        <v>5.0803484000000003E-2</v>
      </c>
      <c r="S313">
        <v>0.42866070000000001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</row>
    <row r="314" spans="1:27" x14ac:dyDescent="0.25">
      <c r="A314" t="s">
        <v>82</v>
      </c>
      <c r="B314" t="s">
        <v>989</v>
      </c>
      <c r="C314">
        <v>6</v>
      </c>
      <c r="D314" t="s">
        <v>19</v>
      </c>
      <c r="E314" t="s">
        <v>94</v>
      </c>
      <c r="F314" t="s">
        <v>102</v>
      </c>
      <c r="G314" t="s">
        <v>102</v>
      </c>
      <c r="H314" t="s">
        <v>102</v>
      </c>
      <c r="J314">
        <v>0</v>
      </c>
      <c r="K314">
        <v>1</v>
      </c>
      <c r="L314">
        <v>84.740740740000007</v>
      </c>
      <c r="M314">
        <v>29.167014049999999</v>
      </c>
      <c r="N314">
        <v>1.1169849999999999</v>
      </c>
      <c r="O314">
        <v>1.1571499000000001</v>
      </c>
      <c r="P314">
        <v>84.740740740000007</v>
      </c>
      <c r="Q314">
        <v>29.167014049999999</v>
      </c>
      <c r="R314">
        <v>1.1169849999999999</v>
      </c>
      <c r="S314">
        <v>1.1571499000000001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</row>
    <row r="315" spans="1:27" x14ac:dyDescent="0.25">
      <c r="A315" t="s">
        <v>82</v>
      </c>
      <c r="B315" t="s">
        <v>990</v>
      </c>
      <c r="C315">
        <v>6</v>
      </c>
      <c r="D315" t="s">
        <v>19</v>
      </c>
      <c r="E315" t="s">
        <v>94</v>
      </c>
      <c r="F315" t="s">
        <v>113</v>
      </c>
      <c r="G315" t="s">
        <v>113</v>
      </c>
      <c r="H315" t="s">
        <v>113</v>
      </c>
      <c r="J315">
        <v>0</v>
      </c>
      <c r="K315">
        <v>4</v>
      </c>
      <c r="L315">
        <v>83.757575759999995</v>
      </c>
      <c r="M315">
        <v>22.60997987</v>
      </c>
      <c r="N315">
        <v>0.72884000000000004</v>
      </c>
      <c r="O315">
        <v>0.21301339999999999</v>
      </c>
      <c r="P315">
        <v>83.757575759999995</v>
      </c>
      <c r="Q315">
        <v>22.60997987</v>
      </c>
      <c r="R315">
        <v>0.72884000000000004</v>
      </c>
      <c r="S315">
        <v>0.21301339999999999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</row>
    <row r="316" spans="1:27" x14ac:dyDescent="0.25">
      <c r="A316" t="s">
        <v>82</v>
      </c>
      <c r="B316" t="s">
        <v>990</v>
      </c>
      <c r="C316">
        <v>6</v>
      </c>
      <c r="D316" t="s">
        <v>19</v>
      </c>
      <c r="E316" t="s">
        <v>94</v>
      </c>
      <c r="F316" t="s">
        <v>113</v>
      </c>
      <c r="G316" t="s">
        <v>113</v>
      </c>
      <c r="H316" t="s">
        <v>241</v>
      </c>
      <c r="J316">
        <v>0</v>
      </c>
      <c r="K316">
        <v>1</v>
      </c>
      <c r="L316">
        <v>83.757575759999995</v>
      </c>
      <c r="M316">
        <v>22.60997987</v>
      </c>
      <c r="N316">
        <v>0.72884000000000004</v>
      </c>
      <c r="O316">
        <v>0.21301339999999999</v>
      </c>
      <c r="P316">
        <v>114</v>
      </c>
      <c r="Q316">
        <v>30.43077242</v>
      </c>
      <c r="R316">
        <v>0.53383111100000002</v>
      </c>
      <c r="S316">
        <v>0.28333332999999999</v>
      </c>
      <c r="T316">
        <v>-30.242424239999998</v>
      </c>
      <c r="U316">
        <v>30.242424239999998</v>
      </c>
      <c r="V316">
        <v>-7.8207925500000002</v>
      </c>
      <c r="W316">
        <v>7.8207925500000002</v>
      </c>
      <c r="X316">
        <v>0.19500888899999999</v>
      </c>
      <c r="Y316">
        <v>0.19500888899999999</v>
      </c>
      <c r="Z316">
        <v>-7.0319930000000003E-2</v>
      </c>
      <c r="AA316">
        <v>7.0319930000000003E-2</v>
      </c>
    </row>
    <row r="317" spans="1:27" x14ac:dyDescent="0.25">
      <c r="A317" t="s">
        <v>82</v>
      </c>
      <c r="B317" t="s">
        <v>990</v>
      </c>
      <c r="C317">
        <v>6</v>
      </c>
      <c r="D317" t="s">
        <v>19</v>
      </c>
      <c r="E317" t="s">
        <v>94</v>
      </c>
      <c r="F317" t="s">
        <v>113</v>
      </c>
      <c r="G317" t="s">
        <v>113</v>
      </c>
      <c r="H317" t="s">
        <v>808</v>
      </c>
      <c r="J317">
        <v>0</v>
      </c>
      <c r="K317">
        <v>1</v>
      </c>
      <c r="L317">
        <v>83.757575759999995</v>
      </c>
      <c r="M317">
        <v>22.60997987</v>
      </c>
      <c r="N317">
        <v>0.72884000000000004</v>
      </c>
      <c r="O317">
        <v>0.21301339999999999</v>
      </c>
      <c r="P317">
        <v>102.79166669999999</v>
      </c>
      <c r="Q317">
        <v>27.057373470000002</v>
      </c>
      <c r="R317">
        <v>6.3567849939999999</v>
      </c>
      <c r="S317" t="s">
        <v>114</v>
      </c>
      <c r="T317">
        <v>-19.034090939999999</v>
      </c>
      <c r="U317">
        <v>19.034090939999999</v>
      </c>
      <c r="V317">
        <v>-4.4473935999999998</v>
      </c>
      <c r="W317">
        <v>4.4473935999999998</v>
      </c>
      <c r="X317">
        <v>-5.6279449939999999</v>
      </c>
      <c r="Y317">
        <v>5.6279449939999999</v>
      </c>
      <c r="Z317" t="s">
        <v>114</v>
      </c>
      <c r="AA317" t="s">
        <v>114</v>
      </c>
    </row>
    <row r="318" spans="1:27" x14ac:dyDescent="0.25">
      <c r="A318" t="s">
        <v>82</v>
      </c>
      <c r="B318" t="s">
        <v>990</v>
      </c>
      <c r="C318">
        <v>6</v>
      </c>
      <c r="D318" t="s">
        <v>19</v>
      </c>
      <c r="E318" t="s">
        <v>94</v>
      </c>
      <c r="F318" t="s">
        <v>113</v>
      </c>
      <c r="G318" t="s">
        <v>113</v>
      </c>
      <c r="H318" t="s">
        <v>103</v>
      </c>
      <c r="J318">
        <v>0</v>
      </c>
      <c r="K318">
        <v>1</v>
      </c>
      <c r="L318">
        <v>83.757575759999995</v>
      </c>
      <c r="M318">
        <v>22.60997987</v>
      </c>
      <c r="N318">
        <v>0.72884000000000004</v>
      </c>
      <c r="O318">
        <v>0.21301339999999999</v>
      </c>
      <c r="P318">
        <v>98.291666669999998</v>
      </c>
      <c r="Q318">
        <v>30.315130790000001</v>
      </c>
      <c r="R318">
        <v>5.0803484000000003E-2</v>
      </c>
      <c r="S318">
        <v>0.42866070000000001</v>
      </c>
      <c r="T318">
        <v>-14.53409091</v>
      </c>
      <c r="U318">
        <v>14.53409091</v>
      </c>
      <c r="V318">
        <v>-7.7051509200000003</v>
      </c>
      <c r="W318">
        <v>7.7051509200000003</v>
      </c>
      <c r="X318">
        <v>0.67803651600000003</v>
      </c>
      <c r="Y318">
        <v>0.67803651600000003</v>
      </c>
      <c r="Z318">
        <v>-0.21564730000000001</v>
      </c>
      <c r="AA318">
        <v>0.21564730000000001</v>
      </c>
    </row>
    <row r="319" spans="1:27" x14ac:dyDescent="0.25">
      <c r="A319" t="s">
        <v>82</v>
      </c>
      <c r="B319" t="s">
        <v>991</v>
      </c>
      <c r="C319">
        <v>6</v>
      </c>
      <c r="D319" t="s">
        <v>19</v>
      </c>
      <c r="E319" t="s">
        <v>94</v>
      </c>
      <c r="F319" t="s">
        <v>104</v>
      </c>
      <c r="G319" t="s">
        <v>113</v>
      </c>
      <c r="H319" t="s">
        <v>113</v>
      </c>
      <c r="J319">
        <v>0</v>
      </c>
      <c r="K319">
        <v>3</v>
      </c>
      <c r="L319">
        <v>113.9375</v>
      </c>
      <c r="M319">
        <v>33.375507550000002</v>
      </c>
      <c r="N319">
        <v>2.4262999999999999</v>
      </c>
      <c r="O319">
        <v>0.40692159999999999</v>
      </c>
      <c r="P319">
        <v>83.757575759999995</v>
      </c>
      <c r="Q319">
        <v>22.60997987</v>
      </c>
      <c r="R319">
        <v>0.72884000000000004</v>
      </c>
      <c r="S319">
        <v>0.21301339999999999</v>
      </c>
      <c r="T319">
        <v>30.179924239999998</v>
      </c>
      <c r="U319">
        <v>30.179924239999998</v>
      </c>
      <c r="V319">
        <v>10.76552768</v>
      </c>
      <c r="W319">
        <v>10.76552768</v>
      </c>
      <c r="X319">
        <v>1.69746</v>
      </c>
      <c r="Y319">
        <v>1.69746</v>
      </c>
      <c r="Z319">
        <v>0.1939082</v>
      </c>
      <c r="AA319">
        <v>0.1939082</v>
      </c>
    </row>
    <row r="320" spans="1:27" x14ac:dyDescent="0.25">
      <c r="A320" t="s">
        <v>83</v>
      </c>
      <c r="B320" t="s">
        <v>992</v>
      </c>
      <c r="C320">
        <v>6</v>
      </c>
      <c r="D320" t="s">
        <v>21</v>
      </c>
      <c r="E320" t="s">
        <v>94</v>
      </c>
      <c r="F320" t="s">
        <v>102</v>
      </c>
      <c r="G320" t="s">
        <v>121</v>
      </c>
      <c r="H320" t="s">
        <v>114</v>
      </c>
      <c r="J320">
        <v>0</v>
      </c>
      <c r="K320">
        <v>0</v>
      </c>
      <c r="L320">
        <v>84.740740740000007</v>
      </c>
      <c r="M320">
        <v>29.167014049999999</v>
      </c>
      <c r="N320">
        <v>1.1169849999999999</v>
      </c>
      <c r="O320">
        <v>1.1571499000000001</v>
      </c>
      <c r="P320" t="s">
        <v>114</v>
      </c>
      <c r="Q320" t="s">
        <v>114</v>
      </c>
      <c r="R320" t="s">
        <v>114</v>
      </c>
      <c r="S320" t="s">
        <v>114</v>
      </c>
      <c r="T320" t="s">
        <v>114</v>
      </c>
      <c r="U320" t="s">
        <v>114</v>
      </c>
      <c r="V320" t="s">
        <v>114</v>
      </c>
      <c r="W320" t="s">
        <v>114</v>
      </c>
      <c r="X320" t="s">
        <v>114</v>
      </c>
      <c r="Y320" t="s">
        <v>114</v>
      </c>
      <c r="Z320" t="s">
        <v>114</v>
      </c>
      <c r="AA320" t="s">
        <v>114</v>
      </c>
    </row>
    <row r="321" spans="1:27" x14ac:dyDescent="0.25">
      <c r="A321" t="s">
        <v>83</v>
      </c>
      <c r="B321" t="s">
        <v>993</v>
      </c>
      <c r="C321">
        <v>6</v>
      </c>
      <c r="D321" t="s">
        <v>21</v>
      </c>
      <c r="E321" t="s">
        <v>94</v>
      </c>
      <c r="F321" t="s">
        <v>103</v>
      </c>
      <c r="G321" t="s">
        <v>103</v>
      </c>
      <c r="H321" t="s">
        <v>103</v>
      </c>
      <c r="J321">
        <v>0</v>
      </c>
      <c r="K321">
        <v>2</v>
      </c>
      <c r="L321">
        <v>98.291666669999998</v>
      </c>
      <c r="M321">
        <v>30.315130790000001</v>
      </c>
      <c r="N321">
        <v>5.0803484000000003E-2</v>
      </c>
      <c r="O321">
        <v>0.42866070000000001</v>
      </c>
      <c r="P321">
        <v>98.291666669999998</v>
      </c>
      <c r="Q321">
        <v>30.315130790000001</v>
      </c>
      <c r="R321">
        <v>5.0803484000000003E-2</v>
      </c>
      <c r="S321">
        <v>0.42866070000000001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</row>
    <row r="322" spans="1:27" x14ac:dyDescent="0.25">
      <c r="A322" t="s">
        <v>83</v>
      </c>
      <c r="B322" t="s">
        <v>993</v>
      </c>
      <c r="C322">
        <v>6</v>
      </c>
      <c r="D322" t="s">
        <v>21</v>
      </c>
      <c r="E322" t="s">
        <v>94</v>
      </c>
      <c r="F322" t="s">
        <v>103</v>
      </c>
      <c r="G322" t="s">
        <v>103</v>
      </c>
      <c r="H322" t="s">
        <v>246</v>
      </c>
      <c r="J322">
        <v>0</v>
      </c>
      <c r="K322">
        <v>1</v>
      </c>
      <c r="L322">
        <v>98.291666669999998</v>
      </c>
      <c r="M322">
        <v>30.315130790000001</v>
      </c>
      <c r="N322">
        <v>5.0803484000000003E-2</v>
      </c>
      <c r="O322">
        <v>0.42866070000000001</v>
      </c>
      <c r="P322">
        <v>120.25</v>
      </c>
      <c r="Q322">
        <v>30.670450110000001</v>
      </c>
      <c r="R322">
        <v>0.91037498500000003</v>
      </c>
      <c r="S322" t="s">
        <v>114</v>
      </c>
      <c r="T322">
        <v>-21.958333329999999</v>
      </c>
      <c r="U322">
        <v>21.958333329999999</v>
      </c>
      <c r="V322">
        <v>-0.35531931999999999</v>
      </c>
      <c r="W322">
        <v>0.35531931999999999</v>
      </c>
      <c r="X322">
        <v>-0.85957150100000002</v>
      </c>
      <c r="Y322">
        <v>0.85957150100000002</v>
      </c>
      <c r="Z322" t="s">
        <v>114</v>
      </c>
      <c r="AA322" t="s">
        <v>114</v>
      </c>
    </row>
    <row r="323" spans="1:27" x14ac:dyDescent="0.25">
      <c r="A323" t="s">
        <v>83</v>
      </c>
      <c r="B323" t="s">
        <v>993</v>
      </c>
      <c r="C323">
        <v>6</v>
      </c>
      <c r="D323" t="s">
        <v>21</v>
      </c>
      <c r="E323" t="s">
        <v>94</v>
      </c>
      <c r="F323" t="s">
        <v>103</v>
      </c>
      <c r="G323" t="s">
        <v>103</v>
      </c>
      <c r="H323" t="s">
        <v>239</v>
      </c>
      <c r="J323">
        <v>0</v>
      </c>
      <c r="K323">
        <v>1</v>
      </c>
      <c r="L323">
        <v>98.291666669999998</v>
      </c>
      <c r="M323">
        <v>30.315130790000001</v>
      </c>
      <c r="N323">
        <v>5.0803484000000003E-2</v>
      </c>
      <c r="O323">
        <v>0.42866070000000001</v>
      </c>
      <c r="P323">
        <v>100.45454549999999</v>
      </c>
      <c r="Q323">
        <v>26.754810689999999</v>
      </c>
      <c r="R323">
        <v>0.75829999999999997</v>
      </c>
      <c r="S323">
        <v>0.40907861000000001</v>
      </c>
      <c r="T323">
        <v>-2.1628788299999999</v>
      </c>
      <c r="U323">
        <v>2.1628788299999999</v>
      </c>
      <c r="V323">
        <v>3.5603201000000002</v>
      </c>
      <c r="W323">
        <v>3.5603201000000002</v>
      </c>
      <c r="X323">
        <v>-0.70749651599999996</v>
      </c>
      <c r="Y323">
        <v>0.70749651599999996</v>
      </c>
      <c r="Z323">
        <v>1.9582089999999996E-2</v>
      </c>
      <c r="AA323">
        <v>1.9582089999999996E-2</v>
      </c>
    </row>
    <row r="324" spans="1:27" x14ac:dyDescent="0.25">
      <c r="A324" t="s">
        <v>83</v>
      </c>
      <c r="B324" t="s">
        <v>994</v>
      </c>
      <c r="C324">
        <v>6</v>
      </c>
      <c r="D324" t="s">
        <v>21</v>
      </c>
      <c r="E324" t="s">
        <v>94</v>
      </c>
      <c r="F324" t="s">
        <v>111</v>
      </c>
      <c r="G324" t="s">
        <v>121</v>
      </c>
      <c r="H324" t="s">
        <v>114</v>
      </c>
      <c r="J324">
        <v>0</v>
      </c>
      <c r="K324">
        <v>0</v>
      </c>
      <c r="L324">
        <v>94.97142857</v>
      </c>
      <c r="M324">
        <v>24.31591813</v>
      </c>
      <c r="N324">
        <v>0.122951111</v>
      </c>
      <c r="O324">
        <v>0.39050790000000002</v>
      </c>
      <c r="P324" t="s">
        <v>114</v>
      </c>
      <c r="Q324" t="s">
        <v>114</v>
      </c>
      <c r="R324" t="s">
        <v>114</v>
      </c>
      <c r="S324" t="s">
        <v>114</v>
      </c>
      <c r="T324" t="s">
        <v>114</v>
      </c>
      <c r="U324" t="s">
        <v>114</v>
      </c>
      <c r="V324" t="s">
        <v>114</v>
      </c>
      <c r="W324" t="s">
        <v>114</v>
      </c>
      <c r="X324" t="s">
        <v>114</v>
      </c>
      <c r="Y324" t="s">
        <v>114</v>
      </c>
      <c r="Z324" t="s">
        <v>114</v>
      </c>
      <c r="AA324" t="s">
        <v>114</v>
      </c>
    </row>
    <row r="325" spans="1:27" x14ac:dyDescent="0.25">
      <c r="A325" t="s">
        <v>84</v>
      </c>
      <c r="B325" t="s">
        <v>995</v>
      </c>
      <c r="C325">
        <v>6</v>
      </c>
      <c r="D325" t="s">
        <v>23</v>
      </c>
      <c r="E325" t="s">
        <v>95</v>
      </c>
      <c r="F325" t="s">
        <v>102</v>
      </c>
      <c r="G325" t="s">
        <v>121</v>
      </c>
      <c r="H325" t="s">
        <v>254</v>
      </c>
      <c r="J325">
        <v>0</v>
      </c>
      <c r="K325">
        <v>3</v>
      </c>
      <c r="L325">
        <v>84.740740740000007</v>
      </c>
      <c r="M325">
        <v>29.167014049999999</v>
      </c>
      <c r="N325">
        <v>1.1169849999999999</v>
      </c>
      <c r="O325">
        <v>1.1571499000000001</v>
      </c>
      <c r="P325" t="s">
        <v>114</v>
      </c>
      <c r="Q325" t="s">
        <v>114</v>
      </c>
      <c r="R325" t="s">
        <v>114</v>
      </c>
      <c r="S325" t="s">
        <v>114</v>
      </c>
      <c r="T325" t="s">
        <v>114</v>
      </c>
      <c r="U325" t="s">
        <v>114</v>
      </c>
      <c r="V325" t="s">
        <v>114</v>
      </c>
      <c r="W325" t="s">
        <v>114</v>
      </c>
      <c r="X325" t="s">
        <v>114</v>
      </c>
      <c r="Y325" t="s">
        <v>114</v>
      </c>
      <c r="Z325" t="s">
        <v>114</v>
      </c>
      <c r="AA325" t="s">
        <v>114</v>
      </c>
    </row>
    <row r="326" spans="1:27" x14ac:dyDescent="0.25">
      <c r="A326" t="s">
        <v>84</v>
      </c>
      <c r="B326" t="s">
        <v>995</v>
      </c>
      <c r="C326">
        <v>6</v>
      </c>
      <c r="D326" t="s">
        <v>23</v>
      </c>
      <c r="E326" t="s">
        <v>95</v>
      </c>
      <c r="F326" t="s">
        <v>102</v>
      </c>
      <c r="G326" t="s">
        <v>121</v>
      </c>
      <c r="H326" t="s">
        <v>248</v>
      </c>
      <c r="J326">
        <v>0</v>
      </c>
      <c r="K326">
        <v>1</v>
      </c>
      <c r="L326">
        <v>84.740740740000007</v>
      </c>
      <c r="M326">
        <v>29.167014049999999</v>
      </c>
      <c r="N326">
        <v>1.1169849999999999</v>
      </c>
      <c r="O326">
        <v>1.1571499000000001</v>
      </c>
      <c r="P326">
        <v>83.92307692</v>
      </c>
      <c r="Q326">
        <v>44.319135699999997</v>
      </c>
      <c r="R326">
        <v>5.9548609999999997E-3</v>
      </c>
      <c r="S326">
        <v>0.18017928</v>
      </c>
      <c r="T326">
        <v>0.81766382000000004</v>
      </c>
      <c r="U326">
        <v>0.81766382000000004</v>
      </c>
      <c r="V326">
        <v>-15.15212165</v>
      </c>
      <c r="W326">
        <v>15.15212165</v>
      </c>
      <c r="X326">
        <v>1.1110301389999999</v>
      </c>
      <c r="Y326">
        <v>1.1110301389999999</v>
      </c>
      <c r="Z326">
        <v>0.97697062000000012</v>
      </c>
      <c r="AA326">
        <v>0.97697062000000012</v>
      </c>
    </row>
    <row r="327" spans="1:27" x14ac:dyDescent="0.25">
      <c r="A327" t="s">
        <v>84</v>
      </c>
      <c r="B327" t="s">
        <v>995</v>
      </c>
      <c r="C327">
        <v>6</v>
      </c>
      <c r="D327" t="s">
        <v>23</v>
      </c>
      <c r="E327" t="s">
        <v>95</v>
      </c>
      <c r="F327" t="s">
        <v>102</v>
      </c>
      <c r="G327" t="s">
        <v>121</v>
      </c>
      <c r="H327" t="s">
        <v>233</v>
      </c>
      <c r="J327">
        <v>0</v>
      </c>
      <c r="K327">
        <v>1</v>
      </c>
      <c r="L327">
        <v>84.740740740000007</v>
      </c>
      <c r="M327">
        <v>29.167014049999999</v>
      </c>
      <c r="N327">
        <v>1.1169849999999999</v>
      </c>
      <c r="O327">
        <v>1.1571499000000001</v>
      </c>
      <c r="P327">
        <v>106.0540541</v>
      </c>
      <c r="Q327">
        <v>52.690533369999997</v>
      </c>
      <c r="R327">
        <v>7.6058968000000005E-2</v>
      </c>
      <c r="S327">
        <v>0.44888888999999998</v>
      </c>
      <c r="T327">
        <v>-21.313313359999999</v>
      </c>
      <c r="U327">
        <v>21.313313359999999</v>
      </c>
      <c r="V327">
        <v>-23.523519319999998</v>
      </c>
      <c r="W327">
        <v>23.523519319999998</v>
      </c>
      <c r="X327">
        <v>1.040926032</v>
      </c>
      <c r="Y327">
        <v>1.040926032</v>
      </c>
      <c r="Z327">
        <v>0.70826101000000008</v>
      </c>
      <c r="AA327">
        <v>0.70826101000000008</v>
      </c>
    </row>
    <row r="328" spans="1:27" x14ac:dyDescent="0.25">
      <c r="A328" t="s">
        <v>84</v>
      </c>
      <c r="B328" t="s">
        <v>995</v>
      </c>
      <c r="C328">
        <v>6</v>
      </c>
      <c r="D328" t="s">
        <v>23</v>
      </c>
      <c r="E328" t="s">
        <v>95</v>
      </c>
      <c r="F328" t="s">
        <v>102</v>
      </c>
      <c r="G328" t="s">
        <v>121</v>
      </c>
      <c r="H328" t="s">
        <v>103</v>
      </c>
      <c r="J328">
        <v>0</v>
      </c>
      <c r="K328">
        <v>5</v>
      </c>
      <c r="L328">
        <v>84.740740740000007</v>
      </c>
      <c r="M328">
        <v>29.167014049999999</v>
      </c>
      <c r="N328">
        <v>1.1169849999999999</v>
      </c>
      <c r="O328">
        <v>1.1571499000000001</v>
      </c>
      <c r="P328">
        <v>98.291666669999998</v>
      </c>
      <c r="Q328">
        <v>30.315130790000001</v>
      </c>
      <c r="R328">
        <v>5.0803484000000003E-2</v>
      </c>
      <c r="S328">
        <v>0.42866070000000001</v>
      </c>
      <c r="T328">
        <v>-13.55092593</v>
      </c>
      <c r="U328">
        <v>13.55092593</v>
      </c>
      <c r="V328">
        <v>-1.1481167400000001</v>
      </c>
      <c r="W328">
        <v>1.1481167400000001</v>
      </c>
      <c r="X328">
        <v>1.0661815160000001</v>
      </c>
      <c r="Y328">
        <v>1.0661815160000001</v>
      </c>
      <c r="Z328">
        <v>0.72848920000000006</v>
      </c>
      <c r="AA328">
        <v>0.72848920000000006</v>
      </c>
    </row>
    <row r="329" spans="1:27" x14ac:dyDescent="0.25">
      <c r="A329" t="s">
        <v>84</v>
      </c>
      <c r="B329" t="s">
        <v>996</v>
      </c>
      <c r="C329">
        <v>6</v>
      </c>
      <c r="D329" t="s">
        <v>23</v>
      </c>
      <c r="E329" t="s">
        <v>95</v>
      </c>
      <c r="F329" t="s">
        <v>105</v>
      </c>
      <c r="G329" t="s">
        <v>103</v>
      </c>
      <c r="H329" t="s">
        <v>114</v>
      </c>
      <c r="J329">
        <v>0</v>
      </c>
      <c r="K329" t="s">
        <v>114</v>
      </c>
      <c r="L329">
        <v>67.5</v>
      </c>
      <c r="M329">
        <v>47.937235809999997</v>
      </c>
      <c r="N329">
        <v>0.41599678000000001</v>
      </c>
      <c r="O329">
        <v>2.0950346999999998</v>
      </c>
      <c r="P329" t="s">
        <v>114</v>
      </c>
      <c r="Q329" t="s">
        <v>114</v>
      </c>
      <c r="R329" t="s">
        <v>114</v>
      </c>
      <c r="S329" t="s">
        <v>114</v>
      </c>
      <c r="T329" t="s">
        <v>114</v>
      </c>
      <c r="U329" t="s">
        <v>114</v>
      </c>
      <c r="V329" t="s">
        <v>114</v>
      </c>
      <c r="W329" t="s">
        <v>114</v>
      </c>
      <c r="X329" t="s">
        <v>114</v>
      </c>
      <c r="Y329" t="s">
        <v>114</v>
      </c>
      <c r="Z329" t="s">
        <v>114</v>
      </c>
      <c r="AA329" t="s">
        <v>114</v>
      </c>
    </row>
    <row r="330" spans="1:27" x14ac:dyDescent="0.25">
      <c r="A330" t="s">
        <v>84</v>
      </c>
      <c r="B330" t="s">
        <v>997</v>
      </c>
      <c r="C330">
        <v>6</v>
      </c>
      <c r="D330" t="s">
        <v>23</v>
      </c>
      <c r="E330" t="s">
        <v>95</v>
      </c>
      <c r="F330" t="s">
        <v>111</v>
      </c>
      <c r="G330" t="s">
        <v>103</v>
      </c>
      <c r="H330" t="s">
        <v>103</v>
      </c>
      <c r="J330">
        <v>0</v>
      </c>
      <c r="K330">
        <v>2</v>
      </c>
      <c r="L330">
        <v>94.97142857</v>
      </c>
      <c r="M330">
        <v>24.31591813</v>
      </c>
      <c r="N330">
        <v>0.122951111</v>
      </c>
      <c r="O330">
        <v>0.39050790000000002</v>
      </c>
      <c r="P330">
        <v>98.291666669999998</v>
      </c>
      <c r="Q330">
        <v>30.315130790000001</v>
      </c>
      <c r="R330">
        <v>5.0803484000000003E-2</v>
      </c>
      <c r="S330">
        <v>0.42866070000000001</v>
      </c>
      <c r="T330">
        <v>-3.3202381000000001</v>
      </c>
      <c r="U330">
        <v>3.3202381000000001</v>
      </c>
      <c r="V330">
        <v>-5.9992126600000004</v>
      </c>
      <c r="W330">
        <v>5.9992126600000004</v>
      </c>
      <c r="X330">
        <v>7.2147627000000006E-2</v>
      </c>
      <c r="Y330">
        <v>7.2147627000000006E-2</v>
      </c>
      <c r="Z330">
        <v>-3.8152799999999987E-2</v>
      </c>
      <c r="AA330">
        <v>3.8152799999999987E-2</v>
      </c>
    </row>
    <row r="331" spans="1:27" x14ac:dyDescent="0.25">
      <c r="A331" t="s">
        <v>84</v>
      </c>
      <c r="B331" t="s">
        <v>997</v>
      </c>
      <c r="C331">
        <v>6</v>
      </c>
      <c r="D331" t="s">
        <v>23</v>
      </c>
      <c r="E331" t="s">
        <v>95</v>
      </c>
      <c r="F331" t="s">
        <v>111</v>
      </c>
      <c r="G331" t="s">
        <v>103</v>
      </c>
      <c r="H331" t="s">
        <v>247</v>
      </c>
      <c r="J331">
        <v>0</v>
      </c>
      <c r="K331">
        <v>1</v>
      </c>
      <c r="L331">
        <v>94.97142857</v>
      </c>
      <c r="M331">
        <v>24.31591813</v>
      </c>
      <c r="N331">
        <v>0.122951111</v>
      </c>
      <c r="O331">
        <v>0.39050790000000002</v>
      </c>
      <c r="P331">
        <v>65.791044779999993</v>
      </c>
      <c r="Q331">
        <v>22.94519201</v>
      </c>
      <c r="R331">
        <v>8.1320334999999994E-2</v>
      </c>
      <c r="S331">
        <v>0.17285655</v>
      </c>
      <c r="T331">
        <v>29.18038379</v>
      </c>
      <c r="U331">
        <v>29.18038379</v>
      </c>
      <c r="V331">
        <v>1.37072612</v>
      </c>
      <c r="W331">
        <v>1.37072612</v>
      </c>
      <c r="X331">
        <v>4.1630776000000001E-2</v>
      </c>
      <c r="Y331">
        <v>4.1630776000000001E-2</v>
      </c>
      <c r="Z331">
        <v>0.21765135000000002</v>
      </c>
      <c r="AA331">
        <v>0.21765135000000002</v>
      </c>
    </row>
    <row r="332" spans="1:27" x14ac:dyDescent="0.25">
      <c r="A332" t="s">
        <v>84</v>
      </c>
      <c r="B332" t="s">
        <v>997</v>
      </c>
      <c r="C332">
        <v>6</v>
      </c>
      <c r="D332" t="s">
        <v>23</v>
      </c>
      <c r="E332" t="s">
        <v>95</v>
      </c>
      <c r="F332" t="s">
        <v>111</v>
      </c>
      <c r="G332" t="s">
        <v>103</v>
      </c>
      <c r="H332" t="s">
        <v>233</v>
      </c>
      <c r="J332">
        <v>0</v>
      </c>
      <c r="K332">
        <v>1</v>
      </c>
      <c r="L332">
        <v>94.97142857</v>
      </c>
      <c r="M332">
        <v>24.31591813</v>
      </c>
      <c r="N332">
        <v>0.122951111</v>
      </c>
      <c r="O332">
        <v>0.39050790000000002</v>
      </c>
      <c r="P332">
        <v>106.0540541</v>
      </c>
      <c r="Q332">
        <v>52.690533369999997</v>
      </c>
      <c r="R332">
        <v>7.6058968000000005E-2</v>
      </c>
      <c r="S332">
        <v>0.44888888999999998</v>
      </c>
      <c r="T332">
        <v>-11.08262553</v>
      </c>
      <c r="U332">
        <v>11.08262553</v>
      </c>
      <c r="V332">
        <v>-28.374615240000001</v>
      </c>
      <c r="W332">
        <v>28.374615240000001</v>
      </c>
      <c r="X332">
        <v>4.6892142999999997E-2</v>
      </c>
      <c r="Y332">
        <v>4.6892142999999997E-2</v>
      </c>
      <c r="Z332">
        <v>-5.8380989999999966E-2</v>
      </c>
      <c r="AA332">
        <v>5.8380989999999966E-2</v>
      </c>
    </row>
    <row r="333" spans="1:27" x14ac:dyDescent="0.25">
      <c r="A333" t="s">
        <v>84</v>
      </c>
      <c r="B333" t="s">
        <v>997</v>
      </c>
      <c r="C333">
        <v>6</v>
      </c>
      <c r="D333" t="s">
        <v>23</v>
      </c>
      <c r="E333" t="s">
        <v>95</v>
      </c>
      <c r="F333" t="s">
        <v>111</v>
      </c>
      <c r="G333" t="s">
        <v>103</v>
      </c>
      <c r="H333" t="s">
        <v>808</v>
      </c>
      <c r="J333">
        <v>0</v>
      </c>
      <c r="K333">
        <v>1</v>
      </c>
      <c r="L333">
        <v>94.97142857</v>
      </c>
      <c r="M333">
        <v>24.31591813</v>
      </c>
      <c r="N333">
        <v>0.122951111</v>
      </c>
      <c r="O333">
        <v>0.39050790000000002</v>
      </c>
      <c r="P333">
        <v>102.79166669999999</v>
      </c>
      <c r="Q333">
        <v>27.057373470000002</v>
      </c>
      <c r="R333">
        <v>6.3567849939999999</v>
      </c>
      <c r="S333" t="s">
        <v>114</v>
      </c>
      <c r="T333">
        <v>-7.8202381299999999</v>
      </c>
      <c r="U333">
        <v>7.8202381299999999</v>
      </c>
      <c r="V333">
        <v>-2.7414553399999999</v>
      </c>
      <c r="W333">
        <v>2.7414553399999999</v>
      </c>
      <c r="X333">
        <v>-6.233833883</v>
      </c>
      <c r="Y333">
        <v>6.233833883</v>
      </c>
      <c r="Z333" t="s">
        <v>114</v>
      </c>
      <c r="AA333" t="s">
        <v>114</v>
      </c>
    </row>
    <row r="334" spans="1:27" x14ac:dyDescent="0.25">
      <c r="A334" t="s">
        <v>84</v>
      </c>
      <c r="B334" t="s">
        <v>998</v>
      </c>
      <c r="C334">
        <v>6</v>
      </c>
      <c r="D334" t="s">
        <v>23</v>
      </c>
      <c r="E334" t="s">
        <v>95</v>
      </c>
      <c r="F334" t="s">
        <v>112</v>
      </c>
      <c r="G334" t="s">
        <v>103</v>
      </c>
      <c r="H334" t="s">
        <v>236</v>
      </c>
      <c r="J334">
        <v>0</v>
      </c>
      <c r="K334">
        <v>1</v>
      </c>
      <c r="L334">
        <v>65.09375</v>
      </c>
      <c r="M334">
        <v>37.895352600000002</v>
      </c>
      <c r="N334">
        <v>2.2882677779999998</v>
      </c>
      <c r="O334">
        <v>2.2111774</v>
      </c>
      <c r="P334">
        <v>113.33333330000001</v>
      </c>
      <c r="Q334">
        <v>26.41632581</v>
      </c>
      <c r="R334">
        <v>1.6844570160000001</v>
      </c>
      <c r="S334">
        <v>8.9285710000000004E-2</v>
      </c>
      <c r="T334">
        <v>-48.2395833</v>
      </c>
      <c r="U334">
        <v>48.2395833</v>
      </c>
      <c r="V334">
        <v>11.479026790000001</v>
      </c>
      <c r="W334">
        <v>11.479026790000001</v>
      </c>
      <c r="X334">
        <v>0.60381076199999995</v>
      </c>
      <c r="Y334">
        <v>0.60381076199999995</v>
      </c>
      <c r="Z334">
        <v>2.12189169</v>
      </c>
      <c r="AA334">
        <v>2.12189169</v>
      </c>
    </row>
    <row r="335" spans="1:27" x14ac:dyDescent="0.25">
      <c r="A335" t="s">
        <v>84</v>
      </c>
      <c r="B335" t="s">
        <v>998</v>
      </c>
      <c r="C335">
        <v>6</v>
      </c>
      <c r="D335" t="s">
        <v>23</v>
      </c>
      <c r="E335" t="s">
        <v>95</v>
      </c>
      <c r="F335" t="s">
        <v>112</v>
      </c>
      <c r="G335" t="s">
        <v>103</v>
      </c>
      <c r="H335" t="s">
        <v>103</v>
      </c>
      <c r="J335">
        <v>0</v>
      </c>
      <c r="K335">
        <v>2</v>
      </c>
      <c r="L335">
        <v>65.09375</v>
      </c>
      <c r="M335">
        <v>37.895352600000002</v>
      </c>
      <c r="N335">
        <v>2.2882677779999998</v>
      </c>
      <c r="O335">
        <v>2.2111774</v>
      </c>
      <c r="P335">
        <v>98.291666669999998</v>
      </c>
      <c r="Q335">
        <v>30.315130790000001</v>
      </c>
      <c r="R335">
        <v>5.0803484000000003E-2</v>
      </c>
      <c r="S335">
        <v>0.42866070000000001</v>
      </c>
      <c r="T335">
        <v>-33.197916669999998</v>
      </c>
      <c r="U335">
        <v>33.197916669999998</v>
      </c>
      <c r="V335">
        <v>7.5802218100000003</v>
      </c>
      <c r="W335">
        <v>7.5802218100000003</v>
      </c>
      <c r="X335">
        <v>2.237464294</v>
      </c>
      <c r="Y335">
        <v>2.237464294</v>
      </c>
      <c r="Z335">
        <v>1.7825167</v>
      </c>
      <c r="AA335">
        <v>1.7825167</v>
      </c>
    </row>
    <row r="336" spans="1:27" x14ac:dyDescent="0.25">
      <c r="A336" t="s">
        <v>84</v>
      </c>
      <c r="B336" t="s">
        <v>998</v>
      </c>
      <c r="C336">
        <v>6</v>
      </c>
      <c r="D336" t="s">
        <v>23</v>
      </c>
      <c r="E336" t="s">
        <v>95</v>
      </c>
      <c r="F336" t="s">
        <v>112</v>
      </c>
      <c r="G336" t="s">
        <v>103</v>
      </c>
      <c r="H336" t="s">
        <v>808</v>
      </c>
      <c r="J336">
        <v>0</v>
      </c>
      <c r="K336">
        <v>1</v>
      </c>
      <c r="L336">
        <v>65.09375</v>
      </c>
      <c r="M336">
        <v>37.895352600000002</v>
      </c>
      <c r="N336">
        <v>2.2882677779999998</v>
      </c>
      <c r="O336">
        <v>2.2111774</v>
      </c>
      <c r="P336">
        <v>102.79166669999999</v>
      </c>
      <c r="Q336">
        <v>27.057373470000002</v>
      </c>
      <c r="R336">
        <v>6.3567849939999999</v>
      </c>
      <c r="S336" t="s">
        <v>114</v>
      </c>
      <c r="T336">
        <v>-37.6979167</v>
      </c>
      <c r="U336">
        <v>37.6979167</v>
      </c>
      <c r="V336">
        <v>10.837979130000001</v>
      </c>
      <c r="W336">
        <v>10.837979130000001</v>
      </c>
      <c r="X336">
        <v>-4.068517216</v>
      </c>
      <c r="Y336">
        <v>4.068517216</v>
      </c>
      <c r="Z336" t="s">
        <v>114</v>
      </c>
      <c r="AA336" t="s">
        <v>114</v>
      </c>
    </row>
    <row r="337" spans="1:27" x14ac:dyDescent="0.25">
      <c r="A337" t="s">
        <v>84</v>
      </c>
      <c r="B337" t="s">
        <v>998</v>
      </c>
      <c r="C337">
        <v>6</v>
      </c>
      <c r="D337" t="s">
        <v>23</v>
      </c>
      <c r="E337" t="s">
        <v>95</v>
      </c>
      <c r="F337" t="s">
        <v>112</v>
      </c>
      <c r="G337" t="s">
        <v>103</v>
      </c>
      <c r="H337" t="s">
        <v>239</v>
      </c>
      <c r="J337">
        <v>0</v>
      </c>
      <c r="K337">
        <v>2</v>
      </c>
      <c r="L337">
        <v>65.09375</v>
      </c>
      <c r="M337">
        <v>37.895352600000002</v>
      </c>
      <c r="N337">
        <v>2.2882677779999998</v>
      </c>
      <c r="O337">
        <v>2.2111774</v>
      </c>
      <c r="P337">
        <v>100.45454549999999</v>
      </c>
      <c r="Q337">
        <v>26.754810689999999</v>
      </c>
      <c r="R337">
        <v>0.75829999999999997</v>
      </c>
      <c r="S337">
        <v>0.40907861000000001</v>
      </c>
      <c r="T337">
        <v>-35.360795500000002</v>
      </c>
      <c r="U337">
        <v>35.360795500000002</v>
      </c>
      <c r="V337">
        <v>11.14054191</v>
      </c>
      <c r="W337">
        <v>11.14054191</v>
      </c>
      <c r="X337">
        <v>1.5299677780000001</v>
      </c>
      <c r="Y337">
        <v>1.5299677780000001</v>
      </c>
      <c r="Z337">
        <v>1.8020987900000001</v>
      </c>
      <c r="AA337">
        <v>1.8020987900000001</v>
      </c>
    </row>
    <row r="338" spans="1:27" x14ac:dyDescent="0.25">
      <c r="A338" t="s">
        <v>85</v>
      </c>
      <c r="B338" t="s">
        <v>999</v>
      </c>
      <c r="C338">
        <v>6</v>
      </c>
      <c r="D338" t="s">
        <v>25</v>
      </c>
      <c r="E338" t="s">
        <v>94</v>
      </c>
      <c r="F338" t="s">
        <v>105</v>
      </c>
      <c r="G338" t="s">
        <v>103</v>
      </c>
      <c r="H338" t="s">
        <v>810</v>
      </c>
      <c r="J338">
        <v>0</v>
      </c>
      <c r="K338">
        <v>1</v>
      </c>
      <c r="L338">
        <v>67.5</v>
      </c>
      <c r="M338">
        <v>47.937235809999997</v>
      </c>
      <c r="N338">
        <v>0.41599678000000001</v>
      </c>
      <c r="O338">
        <v>2.0950346999999998</v>
      </c>
      <c r="P338">
        <v>77.055555560000002</v>
      </c>
      <c r="Q338">
        <v>18.389110710000001</v>
      </c>
      <c r="R338">
        <v>1.5559800079999999</v>
      </c>
      <c r="S338" t="s">
        <v>114</v>
      </c>
      <c r="T338">
        <v>-9.5555555600000002</v>
      </c>
      <c r="U338">
        <v>9.5555555600000002</v>
      </c>
      <c r="V338">
        <v>29.5481251</v>
      </c>
      <c r="W338">
        <v>29.5481251</v>
      </c>
      <c r="X338">
        <v>-1.139983228</v>
      </c>
      <c r="Y338">
        <v>1.139983228</v>
      </c>
      <c r="Z338" t="s">
        <v>114</v>
      </c>
      <c r="AA338" t="s">
        <v>114</v>
      </c>
    </row>
    <row r="339" spans="1:27" x14ac:dyDescent="0.25">
      <c r="A339" t="s">
        <v>85</v>
      </c>
      <c r="B339" t="s">
        <v>999</v>
      </c>
      <c r="C339">
        <v>6</v>
      </c>
      <c r="D339" t="s">
        <v>25</v>
      </c>
      <c r="E339" t="s">
        <v>94</v>
      </c>
      <c r="F339" t="s">
        <v>105</v>
      </c>
      <c r="G339" t="s">
        <v>103</v>
      </c>
      <c r="H339" t="s">
        <v>104</v>
      </c>
      <c r="J339">
        <v>0</v>
      </c>
      <c r="K339">
        <v>1</v>
      </c>
      <c r="L339">
        <v>67.5</v>
      </c>
      <c r="M339">
        <v>47.937235809999997</v>
      </c>
      <c r="N339">
        <v>0.41599678000000001</v>
      </c>
      <c r="O339">
        <v>2.0950346999999998</v>
      </c>
      <c r="P339">
        <v>113.9375</v>
      </c>
      <c r="Q339">
        <v>33.375507550000002</v>
      </c>
      <c r="R339">
        <v>2.4262999999999999</v>
      </c>
      <c r="S339">
        <v>0.40692159999999999</v>
      </c>
      <c r="T339">
        <v>-46.4375</v>
      </c>
      <c r="U339">
        <v>46.4375</v>
      </c>
      <c r="V339">
        <v>14.561728260000001</v>
      </c>
      <c r="W339">
        <v>14.561728260000001</v>
      </c>
      <c r="X339">
        <v>-2.0103032199999999</v>
      </c>
      <c r="Y339">
        <v>2.0103032199999999</v>
      </c>
      <c r="Z339">
        <v>1.6881130999999998</v>
      </c>
      <c r="AA339">
        <v>1.6881130999999998</v>
      </c>
    </row>
    <row r="340" spans="1:27" x14ac:dyDescent="0.25">
      <c r="A340" t="s">
        <v>85</v>
      </c>
      <c r="B340" t="s">
        <v>999</v>
      </c>
      <c r="C340">
        <v>6</v>
      </c>
      <c r="D340" t="s">
        <v>25</v>
      </c>
      <c r="E340" t="s">
        <v>94</v>
      </c>
      <c r="F340" t="s">
        <v>105</v>
      </c>
      <c r="G340" t="s">
        <v>103</v>
      </c>
      <c r="H340" t="s">
        <v>110</v>
      </c>
      <c r="J340">
        <v>0</v>
      </c>
      <c r="K340">
        <v>1</v>
      </c>
      <c r="L340">
        <v>67.5</v>
      </c>
      <c r="M340">
        <v>47.937235809999997</v>
      </c>
      <c r="N340">
        <v>0.41599678000000001</v>
      </c>
      <c r="O340">
        <v>2.0950346999999998</v>
      </c>
      <c r="P340">
        <v>73.260869569999997</v>
      </c>
      <c r="Q340">
        <v>34.453830549999999</v>
      </c>
      <c r="R340">
        <v>1.058333333</v>
      </c>
      <c r="S340">
        <v>0.90897070000000002</v>
      </c>
      <c r="T340">
        <v>-5.7608695699999997</v>
      </c>
      <c r="U340">
        <v>5.7608695699999997</v>
      </c>
      <c r="V340">
        <v>13.48340526</v>
      </c>
      <c r="W340">
        <v>13.48340526</v>
      </c>
      <c r="X340">
        <v>-0.64233655300000003</v>
      </c>
      <c r="Y340">
        <v>0.64233655300000003</v>
      </c>
      <c r="Z340">
        <v>1.1860639999999998</v>
      </c>
      <c r="AA340">
        <v>1.1860639999999998</v>
      </c>
    </row>
    <row r="341" spans="1:27" x14ac:dyDescent="0.25">
      <c r="A341" t="s">
        <v>85</v>
      </c>
      <c r="B341" t="s">
        <v>999</v>
      </c>
      <c r="C341">
        <v>6</v>
      </c>
      <c r="D341" t="s">
        <v>25</v>
      </c>
      <c r="E341" t="s">
        <v>94</v>
      </c>
      <c r="F341" t="s">
        <v>105</v>
      </c>
      <c r="G341" t="s">
        <v>103</v>
      </c>
      <c r="H341" t="s">
        <v>103</v>
      </c>
      <c r="J341">
        <v>0</v>
      </c>
      <c r="K341">
        <v>4</v>
      </c>
      <c r="L341">
        <v>67.5</v>
      </c>
      <c r="M341">
        <v>47.937235809999997</v>
      </c>
      <c r="N341">
        <v>0.41599678000000001</v>
      </c>
      <c r="O341">
        <v>2.0950346999999998</v>
      </c>
      <c r="P341">
        <v>98.291666669999998</v>
      </c>
      <c r="Q341">
        <v>30.315130790000001</v>
      </c>
      <c r="R341">
        <v>5.0803484000000003E-2</v>
      </c>
      <c r="S341">
        <v>0.42866070000000001</v>
      </c>
      <c r="T341">
        <v>-30.791666670000001</v>
      </c>
      <c r="U341">
        <v>30.791666670000001</v>
      </c>
      <c r="V341">
        <v>17.622105019999999</v>
      </c>
      <c r="W341">
        <v>17.622105019999999</v>
      </c>
      <c r="X341">
        <v>0.365193296</v>
      </c>
      <c r="Y341">
        <v>0.365193296</v>
      </c>
      <c r="Z341">
        <v>1.6663739999999998</v>
      </c>
      <c r="AA341">
        <v>1.6663739999999998</v>
      </c>
    </row>
    <row r="342" spans="1:27" x14ac:dyDescent="0.25">
      <c r="A342" t="s">
        <v>85</v>
      </c>
      <c r="B342" t="s">
        <v>1000</v>
      </c>
      <c r="C342">
        <v>6</v>
      </c>
      <c r="D342" t="s">
        <v>25</v>
      </c>
      <c r="E342" t="s">
        <v>94</v>
      </c>
      <c r="F342" t="s">
        <v>110</v>
      </c>
      <c r="G342" t="s">
        <v>103</v>
      </c>
      <c r="H342" t="s">
        <v>103</v>
      </c>
      <c r="J342">
        <v>0</v>
      </c>
      <c r="K342">
        <v>9</v>
      </c>
      <c r="L342">
        <v>73.260869569999997</v>
      </c>
      <c r="M342">
        <v>34.453830549999999</v>
      </c>
      <c r="N342">
        <v>1.058333333</v>
      </c>
      <c r="O342">
        <v>0.90897070000000002</v>
      </c>
      <c r="P342">
        <v>98.291666669999998</v>
      </c>
      <c r="Q342">
        <v>30.315130790000001</v>
      </c>
      <c r="R342">
        <v>5.0803484000000003E-2</v>
      </c>
      <c r="S342">
        <v>0.42866070000000001</v>
      </c>
      <c r="T342">
        <v>-25.030797100000001</v>
      </c>
      <c r="U342">
        <v>25.030797100000001</v>
      </c>
      <c r="V342">
        <v>4.1386997599999997</v>
      </c>
      <c r="W342">
        <v>4.1386997599999997</v>
      </c>
      <c r="X342">
        <v>1.007529849</v>
      </c>
      <c r="Y342">
        <v>1.007529849</v>
      </c>
      <c r="Z342">
        <v>0.48031000000000001</v>
      </c>
      <c r="AA342">
        <v>0.48031000000000001</v>
      </c>
    </row>
    <row r="343" spans="1:27" x14ac:dyDescent="0.25">
      <c r="A343" t="s">
        <v>85</v>
      </c>
      <c r="B343" t="s">
        <v>1000</v>
      </c>
      <c r="C343">
        <v>6</v>
      </c>
      <c r="D343" t="s">
        <v>25</v>
      </c>
      <c r="E343" t="s">
        <v>94</v>
      </c>
      <c r="F343" t="s">
        <v>110</v>
      </c>
      <c r="G343" t="s">
        <v>103</v>
      </c>
      <c r="H343" t="s">
        <v>248</v>
      </c>
      <c r="J343">
        <v>0</v>
      </c>
      <c r="K343">
        <v>4</v>
      </c>
      <c r="L343">
        <v>73.260869569999997</v>
      </c>
      <c r="M343">
        <v>34.453830549999999</v>
      </c>
      <c r="N343">
        <v>1.058333333</v>
      </c>
      <c r="O343">
        <v>0.90897070000000002</v>
      </c>
      <c r="P343">
        <v>83.92307692</v>
      </c>
      <c r="Q343">
        <v>44.319135699999997</v>
      </c>
      <c r="R343">
        <v>5.9548609999999997E-3</v>
      </c>
      <c r="S343">
        <v>0.18017928</v>
      </c>
      <c r="T343">
        <v>-10.662207349999999</v>
      </c>
      <c r="U343">
        <v>10.662207349999999</v>
      </c>
      <c r="V343">
        <v>-9.8653051499999993</v>
      </c>
      <c r="W343">
        <v>9.8653051499999993</v>
      </c>
      <c r="X343">
        <v>1.052378472</v>
      </c>
      <c r="Y343">
        <v>1.052378472</v>
      </c>
      <c r="Z343">
        <v>0.72879142000000008</v>
      </c>
      <c r="AA343">
        <v>0.72879142000000008</v>
      </c>
    </row>
    <row r="344" spans="1:27" x14ac:dyDescent="0.25">
      <c r="A344" t="s">
        <v>85</v>
      </c>
      <c r="B344" t="s">
        <v>1000</v>
      </c>
      <c r="C344">
        <v>6</v>
      </c>
      <c r="D344" t="s">
        <v>25</v>
      </c>
      <c r="E344" t="s">
        <v>94</v>
      </c>
      <c r="F344" t="s">
        <v>110</v>
      </c>
      <c r="G344" t="s">
        <v>103</v>
      </c>
      <c r="H344" t="s">
        <v>233</v>
      </c>
      <c r="J344">
        <v>0</v>
      </c>
      <c r="K344">
        <v>3</v>
      </c>
      <c r="L344">
        <v>73.260869569999997</v>
      </c>
      <c r="M344">
        <v>34.453830549999999</v>
      </c>
      <c r="N344">
        <v>1.058333333</v>
      </c>
      <c r="O344">
        <v>0.90897070000000002</v>
      </c>
      <c r="P344">
        <v>106.0540541</v>
      </c>
      <c r="Q344">
        <v>52.690533369999997</v>
      </c>
      <c r="R344">
        <v>7.6058968000000005E-2</v>
      </c>
      <c r="S344">
        <v>0.44888888999999998</v>
      </c>
      <c r="T344">
        <v>-32.793184529999998</v>
      </c>
      <c r="U344">
        <v>32.793184529999998</v>
      </c>
      <c r="V344">
        <v>-18.236702820000001</v>
      </c>
      <c r="W344">
        <v>18.236702820000001</v>
      </c>
      <c r="X344">
        <v>0.98227436499999998</v>
      </c>
      <c r="Y344">
        <v>0.98227436499999998</v>
      </c>
      <c r="Z344">
        <v>0.46008181000000004</v>
      </c>
      <c r="AA344">
        <v>0.46008181000000004</v>
      </c>
    </row>
    <row r="345" spans="1:27" x14ac:dyDescent="0.25">
      <c r="A345" t="s">
        <v>85</v>
      </c>
      <c r="B345" t="s">
        <v>1000</v>
      </c>
      <c r="C345">
        <v>6</v>
      </c>
      <c r="D345" t="s">
        <v>25</v>
      </c>
      <c r="E345" t="s">
        <v>94</v>
      </c>
      <c r="F345" t="s">
        <v>110</v>
      </c>
      <c r="G345" t="s">
        <v>103</v>
      </c>
      <c r="H345" t="s">
        <v>110</v>
      </c>
      <c r="J345">
        <v>0</v>
      </c>
      <c r="K345">
        <v>1</v>
      </c>
      <c r="L345">
        <v>73.260869569999997</v>
      </c>
      <c r="M345">
        <v>34.453830549999999</v>
      </c>
      <c r="N345">
        <v>1.058333333</v>
      </c>
      <c r="O345">
        <v>0.90897070000000002</v>
      </c>
      <c r="P345">
        <v>73.260869569999997</v>
      </c>
      <c r="Q345">
        <v>34.453830549999999</v>
      </c>
      <c r="R345">
        <v>1.058333333</v>
      </c>
      <c r="S345">
        <v>0.90897070000000002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</row>
    <row r="346" spans="1:27" x14ac:dyDescent="0.25">
      <c r="A346" t="s">
        <v>86</v>
      </c>
      <c r="B346" t="s">
        <v>1001</v>
      </c>
      <c r="C346">
        <v>6</v>
      </c>
      <c r="D346" t="s">
        <v>27</v>
      </c>
      <c r="E346" t="s">
        <v>94</v>
      </c>
      <c r="F346" t="s">
        <v>110</v>
      </c>
      <c r="G346" t="s">
        <v>121</v>
      </c>
      <c r="H346" t="s">
        <v>246</v>
      </c>
      <c r="J346">
        <v>0</v>
      </c>
      <c r="K346">
        <v>1</v>
      </c>
      <c r="L346">
        <v>73.260869569999997</v>
      </c>
      <c r="M346">
        <v>34.453830549999999</v>
      </c>
      <c r="N346">
        <v>1.058333333</v>
      </c>
      <c r="O346">
        <v>0.90897070000000002</v>
      </c>
      <c r="P346">
        <v>120.25</v>
      </c>
      <c r="Q346">
        <v>30.670450110000001</v>
      </c>
      <c r="R346">
        <v>0.91037498500000003</v>
      </c>
      <c r="S346" t="s">
        <v>114</v>
      </c>
      <c r="T346">
        <v>-46.989130430000003</v>
      </c>
      <c r="U346">
        <v>46.989130430000003</v>
      </c>
      <c r="V346">
        <v>3.7833804400000002</v>
      </c>
      <c r="W346">
        <v>3.7833804400000002</v>
      </c>
      <c r="X346">
        <v>0.14795834799999999</v>
      </c>
      <c r="Y346">
        <v>0.14795834799999999</v>
      </c>
      <c r="Z346" t="s">
        <v>114</v>
      </c>
      <c r="AA346" t="s">
        <v>114</v>
      </c>
    </row>
    <row r="347" spans="1:27" x14ac:dyDescent="0.25">
      <c r="A347" t="s">
        <v>86</v>
      </c>
      <c r="B347" t="s">
        <v>1001</v>
      </c>
      <c r="C347">
        <v>6</v>
      </c>
      <c r="D347" t="s">
        <v>27</v>
      </c>
      <c r="E347" t="s">
        <v>94</v>
      </c>
      <c r="F347" t="s">
        <v>110</v>
      </c>
      <c r="G347" t="s">
        <v>121</v>
      </c>
      <c r="H347" t="s">
        <v>242</v>
      </c>
      <c r="J347">
        <v>0</v>
      </c>
      <c r="K347">
        <v>2</v>
      </c>
      <c r="L347">
        <v>73.260869569999997</v>
      </c>
      <c r="M347">
        <v>34.453830549999999</v>
      </c>
      <c r="N347">
        <v>1.058333333</v>
      </c>
      <c r="O347">
        <v>0.90897070000000002</v>
      </c>
      <c r="P347">
        <v>139.375</v>
      </c>
      <c r="Q347">
        <v>23.713465920000001</v>
      </c>
      <c r="R347" t="s">
        <v>114</v>
      </c>
      <c r="S347" t="s">
        <v>114</v>
      </c>
      <c r="T347">
        <v>-66.114130430000003</v>
      </c>
      <c r="U347">
        <v>66.114130430000003</v>
      </c>
      <c r="V347">
        <v>10.74036463</v>
      </c>
      <c r="W347">
        <v>10.74036463</v>
      </c>
      <c r="X347" t="s">
        <v>114</v>
      </c>
      <c r="Y347" t="s">
        <v>114</v>
      </c>
      <c r="Z347" t="s">
        <v>114</v>
      </c>
      <c r="AA347" t="s">
        <v>114</v>
      </c>
    </row>
    <row r="348" spans="1:27" x14ac:dyDescent="0.25">
      <c r="A348" t="s">
        <v>86</v>
      </c>
      <c r="B348" t="s">
        <v>1002</v>
      </c>
      <c r="C348">
        <v>6</v>
      </c>
      <c r="D348" t="s">
        <v>27</v>
      </c>
      <c r="E348" t="s">
        <v>94</v>
      </c>
      <c r="F348" t="s">
        <v>112</v>
      </c>
      <c r="G348" t="s">
        <v>110</v>
      </c>
      <c r="H348" t="s">
        <v>110</v>
      </c>
      <c r="J348">
        <v>0</v>
      </c>
      <c r="K348">
        <v>1</v>
      </c>
      <c r="L348">
        <v>65.09375</v>
      </c>
      <c r="M348">
        <v>37.895352600000002</v>
      </c>
      <c r="N348">
        <v>2.2882677779999998</v>
      </c>
      <c r="O348">
        <v>2.2111774</v>
      </c>
      <c r="P348">
        <v>73.260869569999997</v>
      </c>
      <c r="Q348">
        <v>34.453830549999999</v>
      </c>
      <c r="R348">
        <v>1.058333333</v>
      </c>
      <c r="S348">
        <v>0.90897070000000002</v>
      </c>
      <c r="T348">
        <v>-8.1671195700000006</v>
      </c>
      <c r="U348">
        <v>8.1671195700000006</v>
      </c>
      <c r="V348">
        <v>3.4415220500000001</v>
      </c>
      <c r="W348">
        <v>3.4415220500000001</v>
      </c>
      <c r="X348">
        <v>1.229934445</v>
      </c>
      <c r="Y348">
        <v>1.229934445</v>
      </c>
      <c r="Z348">
        <v>1.3022066999999999</v>
      </c>
      <c r="AA348">
        <v>1.3022066999999999</v>
      </c>
    </row>
    <row r="349" spans="1:27" x14ac:dyDescent="0.25">
      <c r="A349" t="s">
        <v>86</v>
      </c>
      <c r="B349" t="s">
        <v>1002</v>
      </c>
      <c r="C349">
        <v>6</v>
      </c>
      <c r="D349" t="s">
        <v>27</v>
      </c>
      <c r="E349" t="s">
        <v>94</v>
      </c>
      <c r="F349" t="s">
        <v>112</v>
      </c>
      <c r="G349" t="s">
        <v>110</v>
      </c>
      <c r="H349" t="s">
        <v>246</v>
      </c>
      <c r="J349">
        <v>0</v>
      </c>
      <c r="K349">
        <v>1</v>
      </c>
      <c r="L349">
        <v>65.09375</v>
      </c>
      <c r="M349">
        <v>37.895352600000002</v>
      </c>
      <c r="N349">
        <v>2.2882677779999998</v>
      </c>
      <c r="O349">
        <v>2.2111774</v>
      </c>
      <c r="P349">
        <v>120.25</v>
      </c>
      <c r="Q349">
        <v>30.670450110000001</v>
      </c>
      <c r="R349">
        <v>0.91037498500000003</v>
      </c>
      <c r="S349" t="s">
        <v>114</v>
      </c>
      <c r="T349">
        <v>-55.15625</v>
      </c>
      <c r="U349">
        <v>55.15625</v>
      </c>
      <c r="V349">
        <v>7.2249024899999998</v>
      </c>
      <c r="W349">
        <v>7.2249024899999998</v>
      </c>
      <c r="X349">
        <v>1.377892793</v>
      </c>
      <c r="Y349">
        <v>1.377892793</v>
      </c>
      <c r="Z349" t="s">
        <v>114</v>
      </c>
      <c r="AA349" t="s">
        <v>114</v>
      </c>
    </row>
    <row r="350" spans="1:27" x14ac:dyDescent="0.25">
      <c r="A350" t="s">
        <v>87</v>
      </c>
      <c r="B350" t="s">
        <v>1003</v>
      </c>
      <c r="C350">
        <v>6</v>
      </c>
      <c r="D350" t="s">
        <v>29</v>
      </c>
      <c r="E350" t="s">
        <v>95</v>
      </c>
      <c r="F350" t="s">
        <v>102</v>
      </c>
      <c r="G350" t="s">
        <v>110</v>
      </c>
      <c r="H350" t="s">
        <v>110</v>
      </c>
      <c r="J350">
        <v>0</v>
      </c>
      <c r="K350">
        <v>3</v>
      </c>
      <c r="L350">
        <v>84.740740740000007</v>
      </c>
      <c r="M350">
        <v>29.167014049999999</v>
      </c>
      <c r="N350">
        <v>1.1169849999999999</v>
      </c>
      <c r="O350">
        <v>1.1571499000000001</v>
      </c>
      <c r="P350">
        <v>73.260869569999997</v>
      </c>
      <c r="Q350">
        <v>34.453830549999999</v>
      </c>
      <c r="R350">
        <v>1.058333333</v>
      </c>
      <c r="S350">
        <v>0.90897070000000002</v>
      </c>
      <c r="T350">
        <v>11.479871169999999</v>
      </c>
      <c r="U350">
        <v>11.479871169999999</v>
      </c>
      <c r="V350">
        <v>-5.2868164999999996</v>
      </c>
      <c r="W350">
        <v>5.2868164999999996</v>
      </c>
      <c r="X350">
        <v>5.8651666999999998E-2</v>
      </c>
      <c r="Y350">
        <v>5.8651666999999998E-2</v>
      </c>
      <c r="Z350">
        <v>0.24817920000000004</v>
      </c>
      <c r="AA350">
        <v>0.24817920000000004</v>
      </c>
    </row>
    <row r="351" spans="1:27" x14ac:dyDescent="0.25">
      <c r="A351" t="s">
        <v>87</v>
      </c>
      <c r="B351" t="s">
        <v>1003</v>
      </c>
      <c r="C351">
        <v>6</v>
      </c>
      <c r="D351" t="s">
        <v>29</v>
      </c>
      <c r="E351" t="s">
        <v>95</v>
      </c>
      <c r="F351" t="s">
        <v>102</v>
      </c>
      <c r="G351" t="s">
        <v>110</v>
      </c>
      <c r="H351" t="s">
        <v>246</v>
      </c>
      <c r="J351">
        <v>0</v>
      </c>
      <c r="K351">
        <v>1</v>
      </c>
      <c r="L351">
        <v>84.740740740000007</v>
      </c>
      <c r="M351">
        <v>29.167014049999999</v>
      </c>
      <c r="N351">
        <v>1.1169849999999999</v>
      </c>
      <c r="O351">
        <v>1.1571499000000001</v>
      </c>
      <c r="P351">
        <v>120.25</v>
      </c>
      <c r="Q351">
        <v>30.670450110000001</v>
      </c>
      <c r="R351">
        <v>0.91037498500000003</v>
      </c>
      <c r="S351" t="s">
        <v>114</v>
      </c>
      <c r="T351">
        <v>-35.50925926</v>
      </c>
      <c r="U351">
        <v>35.50925926</v>
      </c>
      <c r="V351">
        <v>-1.5034360600000001</v>
      </c>
      <c r="W351">
        <v>1.5034360600000001</v>
      </c>
      <c r="X351">
        <v>0.20661001500000001</v>
      </c>
      <c r="Y351">
        <v>0.20661001500000001</v>
      </c>
      <c r="Z351" t="s">
        <v>114</v>
      </c>
      <c r="AA351" t="s">
        <v>114</v>
      </c>
    </row>
    <row r="352" spans="1:27" x14ac:dyDescent="0.25">
      <c r="A352" t="s">
        <v>87</v>
      </c>
      <c r="B352" t="s">
        <v>1003</v>
      </c>
      <c r="C352">
        <v>6</v>
      </c>
      <c r="D352" t="s">
        <v>29</v>
      </c>
      <c r="E352" t="s">
        <v>95</v>
      </c>
      <c r="F352" t="s">
        <v>102</v>
      </c>
      <c r="G352" t="s">
        <v>110</v>
      </c>
      <c r="H352" t="s">
        <v>242</v>
      </c>
      <c r="J352">
        <v>0</v>
      </c>
      <c r="K352">
        <v>2</v>
      </c>
      <c r="L352">
        <v>84.740740740000007</v>
      </c>
      <c r="M352">
        <v>29.167014049999999</v>
      </c>
      <c r="N352">
        <v>1.1169849999999999</v>
      </c>
      <c r="O352">
        <v>1.1571499000000001</v>
      </c>
      <c r="P352">
        <v>139.375</v>
      </c>
      <c r="Q352">
        <v>23.713465920000001</v>
      </c>
      <c r="R352" t="s">
        <v>114</v>
      </c>
      <c r="S352" t="s">
        <v>114</v>
      </c>
      <c r="T352">
        <v>-54.63425926</v>
      </c>
      <c r="U352">
        <v>54.63425926</v>
      </c>
      <c r="V352">
        <v>5.4535481299999997</v>
      </c>
      <c r="W352">
        <v>5.4535481299999997</v>
      </c>
      <c r="X352" t="s">
        <v>114</v>
      </c>
      <c r="Y352" t="s">
        <v>114</v>
      </c>
      <c r="Z352" t="s">
        <v>114</v>
      </c>
      <c r="AA352" t="s">
        <v>114</v>
      </c>
    </row>
    <row r="353" spans="1:27" x14ac:dyDescent="0.25">
      <c r="A353" t="s">
        <v>87</v>
      </c>
      <c r="B353" t="s">
        <v>1004</v>
      </c>
      <c r="C353">
        <v>6</v>
      </c>
      <c r="D353" t="s">
        <v>29</v>
      </c>
      <c r="E353" t="s">
        <v>95</v>
      </c>
      <c r="F353" t="s">
        <v>110</v>
      </c>
      <c r="G353" t="s">
        <v>110</v>
      </c>
      <c r="H353" t="s">
        <v>110</v>
      </c>
      <c r="J353">
        <v>0</v>
      </c>
      <c r="K353">
        <v>1</v>
      </c>
      <c r="L353">
        <v>73.260869569999997</v>
      </c>
      <c r="M353">
        <v>34.453830549999999</v>
      </c>
      <c r="N353">
        <v>1.058333333</v>
      </c>
      <c r="O353">
        <v>0.90897070000000002</v>
      </c>
      <c r="P353">
        <v>73.260869569999997</v>
      </c>
      <c r="Q353">
        <v>34.453830549999999</v>
      </c>
      <c r="R353">
        <v>1.058333333</v>
      </c>
      <c r="S353">
        <v>0.90897070000000002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</row>
    <row r="354" spans="1:27" x14ac:dyDescent="0.25">
      <c r="A354" t="s">
        <v>88</v>
      </c>
      <c r="B354" t="s">
        <v>1005</v>
      </c>
      <c r="C354">
        <v>6</v>
      </c>
      <c r="D354" t="s">
        <v>31</v>
      </c>
      <c r="E354" t="s">
        <v>95</v>
      </c>
      <c r="F354" t="s">
        <v>110</v>
      </c>
      <c r="G354" t="s">
        <v>113</v>
      </c>
      <c r="H354" t="s">
        <v>113</v>
      </c>
      <c r="J354">
        <v>0</v>
      </c>
      <c r="K354">
        <v>3</v>
      </c>
      <c r="L354">
        <v>73.260869569999997</v>
      </c>
      <c r="M354">
        <v>34.453830549999999</v>
      </c>
      <c r="N354">
        <v>1.058333333</v>
      </c>
      <c r="O354">
        <v>0.90897070000000002</v>
      </c>
      <c r="P354">
        <v>83.757575759999995</v>
      </c>
      <c r="Q354">
        <v>22.60997987</v>
      </c>
      <c r="R354">
        <v>0.72884000000000004</v>
      </c>
      <c r="S354">
        <v>0.21301339999999999</v>
      </c>
      <c r="T354">
        <v>-10.496706189999999</v>
      </c>
      <c r="U354">
        <v>10.496706189999999</v>
      </c>
      <c r="V354">
        <v>11.843850679999999</v>
      </c>
      <c r="W354">
        <v>11.843850679999999</v>
      </c>
      <c r="X354">
        <v>0.329493333</v>
      </c>
      <c r="Y354">
        <v>0.329493333</v>
      </c>
      <c r="Z354">
        <v>0.6959573</v>
      </c>
      <c r="AA354">
        <v>0.6959573</v>
      </c>
    </row>
    <row r="355" spans="1:27" x14ac:dyDescent="0.25">
      <c r="A355" t="s">
        <v>88</v>
      </c>
      <c r="B355" t="s">
        <v>1005</v>
      </c>
      <c r="C355">
        <v>6</v>
      </c>
      <c r="D355" t="s">
        <v>31</v>
      </c>
      <c r="E355" t="s">
        <v>95</v>
      </c>
      <c r="F355" t="s">
        <v>110</v>
      </c>
      <c r="G355" t="s">
        <v>113</v>
      </c>
      <c r="H355" t="s">
        <v>103</v>
      </c>
      <c r="J355">
        <v>0</v>
      </c>
      <c r="K355">
        <v>1</v>
      </c>
      <c r="L355">
        <v>73.260869569999997</v>
      </c>
      <c r="M355">
        <v>34.453830549999999</v>
      </c>
      <c r="N355">
        <v>1.058333333</v>
      </c>
      <c r="O355">
        <v>0.90897070000000002</v>
      </c>
      <c r="P355">
        <v>98.291666669999998</v>
      </c>
      <c r="Q355">
        <v>30.315130790000001</v>
      </c>
      <c r="R355">
        <v>5.0803484000000003E-2</v>
      </c>
      <c r="S355">
        <v>0.42866070000000001</v>
      </c>
      <c r="T355">
        <v>-25.030797100000001</v>
      </c>
      <c r="U355">
        <v>25.030797100000001</v>
      </c>
      <c r="V355">
        <v>4.1386997599999997</v>
      </c>
      <c r="W355">
        <v>4.1386997599999997</v>
      </c>
      <c r="X355">
        <v>1.007529849</v>
      </c>
      <c r="Y355">
        <v>1.007529849</v>
      </c>
      <c r="Z355">
        <v>0.48031000000000001</v>
      </c>
      <c r="AA355">
        <v>0.48031000000000001</v>
      </c>
    </row>
    <row r="356" spans="1:27" x14ac:dyDescent="0.25">
      <c r="A356" t="s">
        <v>88</v>
      </c>
      <c r="B356" t="s">
        <v>1006</v>
      </c>
      <c r="C356">
        <v>6</v>
      </c>
      <c r="D356" t="s">
        <v>31</v>
      </c>
      <c r="E356" t="s">
        <v>95</v>
      </c>
      <c r="F356" t="s">
        <v>112</v>
      </c>
      <c r="G356" t="s">
        <v>113</v>
      </c>
      <c r="H356" t="s">
        <v>113</v>
      </c>
      <c r="J356">
        <v>0</v>
      </c>
      <c r="K356">
        <v>2</v>
      </c>
      <c r="L356">
        <v>65.09375</v>
      </c>
      <c r="M356">
        <v>37.895352600000002</v>
      </c>
      <c r="N356">
        <v>2.2882677779999998</v>
      </c>
      <c r="O356">
        <v>2.2111774</v>
      </c>
      <c r="P356">
        <v>83.757575759999995</v>
      </c>
      <c r="Q356">
        <v>22.60997987</v>
      </c>
      <c r="R356">
        <v>0.72884000000000004</v>
      </c>
      <c r="S356">
        <v>0.21301339999999999</v>
      </c>
      <c r="T356">
        <v>-18.663825760000002</v>
      </c>
      <c r="U356">
        <v>18.663825760000002</v>
      </c>
      <c r="V356">
        <v>15.285372730000001</v>
      </c>
      <c r="W356">
        <v>15.285372730000001</v>
      </c>
      <c r="X356">
        <v>1.5594277780000001</v>
      </c>
      <c r="Y356">
        <v>1.5594277780000001</v>
      </c>
      <c r="Z356">
        <v>1.9981640000000001</v>
      </c>
      <c r="AA356">
        <v>1.9981640000000001</v>
      </c>
    </row>
    <row r="357" spans="1:27" x14ac:dyDescent="0.25">
      <c r="A357" t="s">
        <v>89</v>
      </c>
      <c r="B357" t="s">
        <v>1007</v>
      </c>
      <c r="C357">
        <v>6</v>
      </c>
      <c r="D357" t="s">
        <v>33</v>
      </c>
      <c r="E357" t="s">
        <v>95</v>
      </c>
      <c r="F357" t="s">
        <v>104</v>
      </c>
      <c r="G357" t="s">
        <v>104</v>
      </c>
      <c r="H357" t="s">
        <v>104</v>
      </c>
      <c r="J357">
        <v>1</v>
      </c>
      <c r="K357">
        <v>1</v>
      </c>
      <c r="L357">
        <v>113.9375</v>
      </c>
      <c r="M357">
        <v>33.375507550000002</v>
      </c>
      <c r="N357">
        <v>2.4262999999999999</v>
      </c>
      <c r="O357">
        <v>0.40692159999999999</v>
      </c>
      <c r="P357">
        <v>113.9375</v>
      </c>
      <c r="Q357">
        <v>33.375507550000002</v>
      </c>
      <c r="R357">
        <v>2.4262999999999999</v>
      </c>
      <c r="S357">
        <v>0.40692159999999999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</row>
    <row r="358" spans="1:27" x14ac:dyDescent="0.25">
      <c r="A358" t="s">
        <v>89</v>
      </c>
      <c r="B358" t="s">
        <v>1007</v>
      </c>
      <c r="C358">
        <v>6</v>
      </c>
      <c r="D358" t="s">
        <v>33</v>
      </c>
      <c r="E358" t="s">
        <v>95</v>
      </c>
      <c r="F358" t="s">
        <v>104</v>
      </c>
      <c r="G358" t="s">
        <v>104</v>
      </c>
      <c r="H358" t="s">
        <v>103</v>
      </c>
      <c r="J358">
        <v>1</v>
      </c>
      <c r="K358">
        <v>1</v>
      </c>
      <c r="L358">
        <v>113.9375</v>
      </c>
      <c r="M358">
        <v>33.375507550000002</v>
      </c>
      <c r="N358">
        <v>2.4262999999999999</v>
      </c>
      <c r="O358">
        <v>0.40692159999999999</v>
      </c>
      <c r="P358">
        <v>98.291666669999998</v>
      </c>
      <c r="Q358">
        <v>30.315130790000001</v>
      </c>
      <c r="R358">
        <v>5.0803484000000003E-2</v>
      </c>
      <c r="S358">
        <v>0.42866070000000001</v>
      </c>
      <c r="T358">
        <v>15.64583333</v>
      </c>
      <c r="U358">
        <v>15.64583333</v>
      </c>
      <c r="V358">
        <v>3.06037676</v>
      </c>
      <c r="W358">
        <v>3.06037676</v>
      </c>
      <c r="X358">
        <v>2.3754965160000001</v>
      </c>
      <c r="Y358">
        <v>2.3754965160000001</v>
      </c>
      <c r="Z358">
        <v>-2.1739100000000011E-2</v>
      </c>
      <c r="AA358">
        <v>2.1739100000000011E-2</v>
      </c>
    </row>
    <row r="359" spans="1:27" x14ac:dyDescent="0.25">
      <c r="A359" t="s">
        <v>89</v>
      </c>
      <c r="B359" t="s">
        <v>1007</v>
      </c>
      <c r="C359">
        <v>6</v>
      </c>
      <c r="D359" t="s">
        <v>33</v>
      </c>
      <c r="E359" t="s">
        <v>95</v>
      </c>
      <c r="F359" t="s">
        <v>104</v>
      </c>
      <c r="G359" t="s">
        <v>104</v>
      </c>
      <c r="H359" t="s">
        <v>246</v>
      </c>
      <c r="J359">
        <v>1</v>
      </c>
      <c r="K359">
        <v>1</v>
      </c>
      <c r="L359">
        <v>113.9375</v>
      </c>
      <c r="M359">
        <v>33.375507550000002</v>
      </c>
      <c r="N359">
        <v>2.4262999999999999</v>
      </c>
      <c r="O359">
        <v>0.40692159999999999</v>
      </c>
      <c r="P359">
        <v>120.25</v>
      </c>
      <c r="Q359">
        <v>30.670450110000001</v>
      </c>
      <c r="R359">
        <v>0.91037498500000003</v>
      </c>
      <c r="S359" t="s">
        <v>114</v>
      </c>
      <c r="T359">
        <v>-6.3125</v>
      </c>
      <c r="U359">
        <v>6.3125</v>
      </c>
      <c r="V359">
        <v>2.70505744</v>
      </c>
      <c r="W359">
        <v>2.70505744</v>
      </c>
      <c r="X359">
        <v>1.5159250150000001</v>
      </c>
      <c r="Y359">
        <v>1.5159250150000001</v>
      </c>
      <c r="Z359" t="s">
        <v>114</v>
      </c>
      <c r="AA359" t="s">
        <v>114</v>
      </c>
    </row>
    <row r="360" spans="1:27" x14ac:dyDescent="0.25">
      <c r="A360" t="s">
        <v>89</v>
      </c>
      <c r="B360" t="s">
        <v>1008</v>
      </c>
      <c r="C360">
        <v>6</v>
      </c>
      <c r="D360" t="s">
        <v>33</v>
      </c>
      <c r="E360" t="s">
        <v>95</v>
      </c>
      <c r="F360" t="s">
        <v>112</v>
      </c>
      <c r="G360" t="s">
        <v>113</v>
      </c>
      <c r="H360" t="s">
        <v>113</v>
      </c>
      <c r="I360" t="s">
        <v>255</v>
      </c>
      <c r="J360">
        <v>0</v>
      </c>
      <c r="K360">
        <v>4</v>
      </c>
      <c r="L360">
        <v>65.09375</v>
      </c>
      <c r="M360">
        <v>37.895352600000002</v>
      </c>
      <c r="N360">
        <v>2.2882677779999998</v>
      </c>
      <c r="O360">
        <v>2.2111774</v>
      </c>
      <c r="P360">
        <v>83.757575759999995</v>
      </c>
      <c r="Q360">
        <v>22.60997987</v>
      </c>
      <c r="R360">
        <v>0.72884000000000004</v>
      </c>
      <c r="S360">
        <v>0.21301339999999999</v>
      </c>
      <c r="T360">
        <v>-18.663825760000002</v>
      </c>
      <c r="U360">
        <v>18.663825760000002</v>
      </c>
      <c r="V360">
        <v>15.285372730000001</v>
      </c>
      <c r="W360">
        <v>15.285372730000001</v>
      </c>
      <c r="X360">
        <v>1.5594277780000001</v>
      </c>
      <c r="Y360">
        <v>1.5594277780000001</v>
      </c>
      <c r="Z360">
        <v>1.9981640000000001</v>
      </c>
      <c r="AA360">
        <v>1.9981640000000001</v>
      </c>
    </row>
    <row r="361" spans="1:27" x14ac:dyDescent="0.25">
      <c r="A361" t="s">
        <v>90</v>
      </c>
      <c r="B361" t="s">
        <v>1009</v>
      </c>
      <c r="C361">
        <v>6</v>
      </c>
      <c r="D361" t="s">
        <v>35</v>
      </c>
      <c r="E361" t="s">
        <v>94</v>
      </c>
      <c r="F361" t="s">
        <v>111</v>
      </c>
      <c r="G361" t="s">
        <v>121</v>
      </c>
      <c r="H361" t="s">
        <v>253</v>
      </c>
      <c r="J361">
        <v>0</v>
      </c>
      <c r="K361">
        <v>3</v>
      </c>
      <c r="L361">
        <v>94.97142857</v>
      </c>
      <c r="M361">
        <v>24.31591813</v>
      </c>
      <c r="N361">
        <v>0.122951111</v>
      </c>
      <c r="O361">
        <v>0.39050790000000002</v>
      </c>
      <c r="P361">
        <v>172.08823530000001</v>
      </c>
      <c r="Q361">
        <v>29.581605960000001</v>
      </c>
      <c r="R361">
        <v>0.24280444400000001</v>
      </c>
      <c r="S361" t="s">
        <v>114</v>
      </c>
      <c r="T361">
        <v>-77.116806729999993</v>
      </c>
      <c r="U361">
        <v>77.116806729999993</v>
      </c>
      <c r="V361">
        <v>-5.2656878300000001</v>
      </c>
      <c r="W361">
        <v>5.2656878300000001</v>
      </c>
      <c r="X361">
        <v>-0.11985333300000001</v>
      </c>
      <c r="Y361">
        <v>0.11985333300000001</v>
      </c>
      <c r="Z361" t="s">
        <v>114</v>
      </c>
      <c r="AA361" t="s">
        <v>114</v>
      </c>
    </row>
    <row r="362" spans="1:27" x14ac:dyDescent="0.25">
      <c r="A362" t="s">
        <v>90</v>
      </c>
      <c r="B362" t="s">
        <v>1009</v>
      </c>
      <c r="C362">
        <v>6</v>
      </c>
      <c r="D362" t="s">
        <v>35</v>
      </c>
      <c r="E362" t="s">
        <v>94</v>
      </c>
      <c r="F362" t="s">
        <v>111</v>
      </c>
      <c r="G362" t="s">
        <v>121</v>
      </c>
      <c r="H362" t="s">
        <v>162</v>
      </c>
      <c r="J362">
        <v>0</v>
      </c>
      <c r="K362">
        <v>1</v>
      </c>
      <c r="L362">
        <v>94.97142857</v>
      </c>
      <c r="M362">
        <v>24.31591813</v>
      </c>
      <c r="N362">
        <v>0.122951111</v>
      </c>
      <c r="O362">
        <v>0.39050790000000002</v>
      </c>
      <c r="P362">
        <v>82.53846154</v>
      </c>
      <c r="Q362">
        <v>35.660530039999998</v>
      </c>
      <c r="R362">
        <v>3.3754499999999998</v>
      </c>
      <c r="S362" t="s">
        <v>114</v>
      </c>
      <c r="T362">
        <v>12.43296703</v>
      </c>
      <c r="U362">
        <v>12.43296703</v>
      </c>
      <c r="V362">
        <v>-11.344611909999999</v>
      </c>
      <c r="W362">
        <v>11.344611909999999</v>
      </c>
      <c r="X362">
        <v>-3.2524988889999999</v>
      </c>
      <c r="Y362">
        <v>3.2524988889999999</v>
      </c>
      <c r="Z362" t="s">
        <v>114</v>
      </c>
      <c r="AA362" t="s">
        <v>114</v>
      </c>
    </row>
    <row r="363" spans="1:27" x14ac:dyDescent="0.25">
      <c r="A363" t="s">
        <v>90</v>
      </c>
      <c r="B363" t="s">
        <v>1010</v>
      </c>
      <c r="C363">
        <v>6</v>
      </c>
      <c r="D363" t="s">
        <v>35</v>
      </c>
      <c r="E363" t="s">
        <v>94</v>
      </c>
      <c r="F363" t="s">
        <v>104</v>
      </c>
      <c r="G363" t="s">
        <v>111</v>
      </c>
      <c r="H363" t="s">
        <v>111</v>
      </c>
      <c r="J363">
        <v>1</v>
      </c>
      <c r="K363">
        <v>1</v>
      </c>
      <c r="L363">
        <v>113.9375</v>
      </c>
      <c r="M363">
        <v>33.375507550000002</v>
      </c>
      <c r="N363">
        <v>2.4262999999999999</v>
      </c>
      <c r="O363">
        <v>0.40692159999999999</v>
      </c>
      <c r="P363">
        <v>94.97142857</v>
      </c>
      <c r="Q363">
        <v>24.31591813</v>
      </c>
      <c r="R363">
        <v>0.122951111</v>
      </c>
      <c r="S363">
        <v>0.39050790000000002</v>
      </c>
      <c r="T363">
        <v>18.96607143</v>
      </c>
      <c r="U363">
        <v>18.96607143</v>
      </c>
      <c r="V363">
        <v>9.05958942</v>
      </c>
      <c r="W363">
        <v>9.05958942</v>
      </c>
      <c r="X363">
        <v>2.303348889</v>
      </c>
      <c r="Y363">
        <v>2.303348889</v>
      </c>
      <c r="Z363">
        <v>1.6413699999999976E-2</v>
      </c>
      <c r="AA363">
        <v>1.6413699999999976E-2</v>
      </c>
    </row>
    <row r="364" spans="1:27" x14ac:dyDescent="0.25">
      <c r="A364" t="s">
        <v>90</v>
      </c>
      <c r="B364" t="s">
        <v>1010</v>
      </c>
      <c r="C364">
        <v>6</v>
      </c>
      <c r="D364" t="s">
        <v>35</v>
      </c>
      <c r="E364" t="s">
        <v>94</v>
      </c>
      <c r="F364" t="s">
        <v>104</v>
      </c>
      <c r="G364" t="s">
        <v>111</v>
      </c>
      <c r="H364" t="s">
        <v>253</v>
      </c>
      <c r="J364">
        <v>1</v>
      </c>
      <c r="K364">
        <v>2</v>
      </c>
      <c r="L364">
        <v>113.9375</v>
      </c>
      <c r="M364">
        <v>33.375507550000002</v>
      </c>
      <c r="N364">
        <v>2.4262999999999999</v>
      </c>
      <c r="O364">
        <v>0.40692159999999999</v>
      </c>
      <c r="P364">
        <v>172.08823530000001</v>
      </c>
      <c r="Q364">
        <v>29.581605960000001</v>
      </c>
      <c r="R364">
        <v>0.24280444400000001</v>
      </c>
      <c r="S364" t="s">
        <v>114</v>
      </c>
      <c r="T364">
        <v>-58.150735300000001</v>
      </c>
      <c r="U364">
        <v>58.150735300000001</v>
      </c>
      <c r="V364">
        <v>3.7939015899999999</v>
      </c>
      <c r="W364">
        <v>3.7939015899999999</v>
      </c>
      <c r="X364">
        <v>2.183495556</v>
      </c>
      <c r="Y364">
        <v>2.183495556</v>
      </c>
      <c r="Z364" t="s">
        <v>114</v>
      </c>
      <c r="AA364" t="s">
        <v>114</v>
      </c>
    </row>
    <row r="365" spans="1:27" x14ac:dyDescent="0.25">
      <c r="A365" t="s">
        <v>91</v>
      </c>
      <c r="B365" t="s">
        <v>1011</v>
      </c>
      <c r="C365">
        <v>6</v>
      </c>
      <c r="D365" t="s">
        <v>37</v>
      </c>
      <c r="E365" t="s">
        <v>94</v>
      </c>
      <c r="F365" t="s">
        <v>112</v>
      </c>
      <c r="G365" t="s">
        <v>112</v>
      </c>
      <c r="H365" t="s">
        <v>112</v>
      </c>
      <c r="J365">
        <v>0</v>
      </c>
      <c r="K365">
        <v>1</v>
      </c>
      <c r="L365">
        <v>65.09375</v>
      </c>
      <c r="M365">
        <v>37.895352600000002</v>
      </c>
      <c r="N365">
        <v>2.2882677779999998</v>
      </c>
      <c r="O365">
        <v>2.2111774</v>
      </c>
      <c r="P365">
        <v>65.09375</v>
      </c>
      <c r="Q365">
        <v>37.895352600000002</v>
      </c>
      <c r="R365">
        <v>2.2882677779999998</v>
      </c>
      <c r="S365">
        <v>2.2111774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</row>
    <row r="366" spans="1:27" x14ac:dyDescent="0.25">
      <c r="A366" t="s">
        <v>92</v>
      </c>
      <c r="B366" t="s">
        <v>1012</v>
      </c>
      <c r="C366">
        <v>6</v>
      </c>
      <c r="D366" t="s">
        <v>64</v>
      </c>
      <c r="E366" t="s">
        <v>94</v>
      </c>
      <c r="F366" t="s">
        <v>112</v>
      </c>
      <c r="G366" t="s">
        <v>102</v>
      </c>
      <c r="H366" t="s">
        <v>102</v>
      </c>
      <c r="J366">
        <v>0</v>
      </c>
      <c r="K366">
        <v>2</v>
      </c>
      <c r="L366">
        <v>65.09375</v>
      </c>
      <c r="M366">
        <v>37.895352600000002</v>
      </c>
      <c r="N366">
        <v>2.2882677779999998</v>
      </c>
      <c r="O366">
        <v>2.2111774</v>
      </c>
      <c r="P366">
        <v>84.740740740000007</v>
      </c>
      <c r="Q366">
        <v>29.167014049999999</v>
      </c>
      <c r="R366">
        <v>1.1169849999999999</v>
      </c>
      <c r="S366">
        <v>1.1571499000000001</v>
      </c>
      <c r="T366">
        <v>-19.64699074</v>
      </c>
      <c r="U366">
        <v>19.64699074</v>
      </c>
      <c r="V366">
        <v>8.7283385500000001</v>
      </c>
      <c r="W366">
        <v>8.7283385500000001</v>
      </c>
      <c r="X366">
        <v>1.1712827779999999</v>
      </c>
      <c r="Y366">
        <v>1.1712827779999999</v>
      </c>
      <c r="Z366">
        <v>1.0540274999999999</v>
      </c>
      <c r="AA366">
        <v>1.0540274999999999</v>
      </c>
    </row>
    <row r="367" spans="1:27" x14ac:dyDescent="0.25">
      <c r="A367" t="s">
        <v>92</v>
      </c>
      <c r="B367" t="s">
        <v>1012</v>
      </c>
      <c r="C367">
        <v>6</v>
      </c>
      <c r="D367" t="s">
        <v>64</v>
      </c>
      <c r="E367" t="s">
        <v>94</v>
      </c>
      <c r="F367" t="s">
        <v>112</v>
      </c>
      <c r="G367" t="s">
        <v>102</v>
      </c>
      <c r="H367" t="s">
        <v>241</v>
      </c>
      <c r="J367">
        <v>0</v>
      </c>
      <c r="K367">
        <v>1</v>
      </c>
      <c r="L367">
        <v>65.09375</v>
      </c>
      <c r="M367">
        <v>37.895352600000002</v>
      </c>
      <c r="N367">
        <v>2.2882677779999998</v>
      </c>
      <c r="O367">
        <v>2.2111774</v>
      </c>
      <c r="P367">
        <v>114</v>
      </c>
      <c r="Q367">
        <v>30.43077242</v>
      </c>
      <c r="R367">
        <v>0.53383111100000002</v>
      </c>
      <c r="S367">
        <v>0.28333332999999999</v>
      </c>
      <c r="T367">
        <v>-48.90625</v>
      </c>
      <c r="U367">
        <v>48.90625</v>
      </c>
      <c r="V367">
        <v>7.4645801799999996</v>
      </c>
      <c r="W367">
        <v>7.4645801799999996</v>
      </c>
      <c r="X367">
        <v>1.754436667</v>
      </c>
      <c r="Y367">
        <v>1.754436667</v>
      </c>
      <c r="Z367">
        <v>1.9278440699999999</v>
      </c>
      <c r="AA367">
        <v>1.9278440699999999</v>
      </c>
    </row>
    <row r="368" spans="1:27" x14ac:dyDescent="0.25">
      <c r="A368" t="s">
        <v>93</v>
      </c>
      <c r="B368" t="s">
        <v>1013</v>
      </c>
      <c r="C368">
        <v>6</v>
      </c>
      <c r="D368" t="s">
        <v>66</v>
      </c>
      <c r="E368" t="s">
        <v>95</v>
      </c>
      <c r="F368" t="s">
        <v>104</v>
      </c>
      <c r="G368" t="s">
        <v>103</v>
      </c>
      <c r="H368" t="s">
        <v>104</v>
      </c>
      <c r="J368">
        <v>0</v>
      </c>
      <c r="K368">
        <v>1</v>
      </c>
      <c r="L368">
        <v>113.9375</v>
      </c>
      <c r="M368">
        <v>33.375507550000002</v>
      </c>
      <c r="N368">
        <v>2.4262999999999999</v>
      </c>
      <c r="O368">
        <v>0.40692159999999999</v>
      </c>
      <c r="P368">
        <v>113.9375</v>
      </c>
      <c r="Q368">
        <v>33.375507550000002</v>
      </c>
      <c r="R368">
        <v>2.4262999999999999</v>
      </c>
      <c r="S368">
        <v>0.40692159999999999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</row>
    <row r="369" spans="1:27" x14ac:dyDescent="0.25">
      <c r="A369" t="s">
        <v>93</v>
      </c>
      <c r="B369" t="s">
        <v>1013</v>
      </c>
      <c r="C369">
        <v>6</v>
      </c>
      <c r="D369" t="s">
        <v>66</v>
      </c>
      <c r="E369" t="s">
        <v>95</v>
      </c>
      <c r="F369" t="s">
        <v>104</v>
      </c>
      <c r="G369" t="s">
        <v>103</v>
      </c>
      <c r="H369" t="s">
        <v>111</v>
      </c>
      <c r="J369">
        <v>0</v>
      </c>
      <c r="K369">
        <v>1</v>
      </c>
      <c r="L369">
        <v>113.9375</v>
      </c>
      <c r="M369">
        <v>33.375507550000002</v>
      </c>
      <c r="N369">
        <v>2.4262999999999999</v>
      </c>
      <c r="O369">
        <v>0.40692159999999999</v>
      </c>
      <c r="P369">
        <v>94.97142857</v>
      </c>
      <c r="Q369">
        <v>24.31591813</v>
      </c>
      <c r="R369">
        <v>0.122951111</v>
      </c>
      <c r="S369">
        <v>0.39050790000000002</v>
      </c>
      <c r="T369">
        <v>18.96607143</v>
      </c>
      <c r="U369">
        <v>18.96607143</v>
      </c>
      <c r="V369">
        <v>9.05958942</v>
      </c>
      <c r="W369">
        <v>9.05958942</v>
      </c>
      <c r="X369">
        <v>2.303348889</v>
      </c>
      <c r="Y369">
        <v>2.303348889</v>
      </c>
      <c r="Z369">
        <v>1.6413699999999976E-2</v>
      </c>
      <c r="AA369">
        <v>1.6413699999999976E-2</v>
      </c>
    </row>
    <row r="370" spans="1:27" x14ac:dyDescent="0.25">
      <c r="A370" t="s">
        <v>93</v>
      </c>
      <c r="B370" t="s">
        <v>1013</v>
      </c>
      <c r="C370">
        <v>6</v>
      </c>
      <c r="D370" t="s">
        <v>66</v>
      </c>
      <c r="E370" t="s">
        <v>95</v>
      </c>
      <c r="F370" t="s">
        <v>104</v>
      </c>
      <c r="G370" t="s">
        <v>103</v>
      </c>
      <c r="H370" t="s">
        <v>103</v>
      </c>
      <c r="J370">
        <v>0</v>
      </c>
      <c r="K370">
        <v>4</v>
      </c>
      <c r="L370">
        <v>113.9375</v>
      </c>
      <c r="M370">
        <v>33.375507550000002</v>
      </c>
      <c r="N370">
        <v>2.4262999999999999</v>
      </c>
      <c r="O370">
        <v>0.40692159999999999</v>
      </c>
      <c r="P370">
        <v>98.291666669999998</v>
      </c>
      <c r="Q370">
        <v>30.315130790000001</v>
      </c>
      <c r="R370">
        <v>5.0803484000000003E-2</v>
      </c>
      <c r="S370">
        <v>0.42866070000000001</v>
      </c>
      <c r="T370">
        <v>15.64583333</v>
      </c>
      <c r="U370">
        <v>15.64583333</v>
      </c>
      <c r="V370">
        <v>3.06037676</v>
      </c>
      <c r="W370">
        <v>3.06037676</v>
      </c>
      <c r="X370">
        <v>2.3754965160000001</v>
      </c>
      <c r="Y370">
        <v>2.3754965160000001</v>
      </c>
      <c r="Z370">
        <v>-2.1739100000000011E-2</v>
      </c>
      <c r="AA370">
        <v>2.1739100000000011E-2</v>
      </c>
    </row>
    <row r="371" spans="1:27" x14ac:dyDescent="0.25">
      <c r="A371" t="s">
        <v>93</v>
      </c>
      <c r="B371" t="s">
        <v>1013</v>
      </c>
      <c r="C371">
        <v>6</v>
      </c>
      <c r="D371" t="s">
        <v>66</v>
      </c>
      <c r="E371" t="s">
        <v>95</v>
      </c>
      <c r="F371" t="s">
        <v>104</v>
      </c>
      <c r="G371" t="s">
        <v>103</v>
      </c>
      <c r="H371" t="s">
        <v>238</v>
      </c>
      <c r="J371">
        <v>0</v>
      </c>
      <c r="K371">
        <v>2</v>
      </c>
      <c r="L371">
        <v>113.9375</v>
      </c>
      <c r="M371">
        <v>33.375507550000002</v>
      </c>
      <c r="N371">
        <v>2.4262999999999999</v>
      </c>
      <c r="O371">
        <v>0.40692159999999999</v>
      </c>
      <c r="P371">
        <v>87.5</v>
      </c>
      <c r="Q371">
        <v>29.478311600000001</v>
      </c>
      <c r="R371">
        <v>3.0797751000000002E-2</v>
      </c>
      <c r="S371">
        <v>0.12931835</v>
      </c>
      <c r="T371">
        <v>26.4375</v>
      </c>
      <c r="U371">
        <v>26.4375</v>
      </c>
      <c r="V371">
        <v>3.89719595</v>
      </c>
      <c r="W371">
        <v>3.89719595</v>
      </c>
      <c r="X371">
        <v>2.3955022490000002</v>
      </c>
      <c r="Y371">
        <v>2.3955022490000002</v>
      </c>
      <c r="Z371">
        <v>0.27760324999999997</v>
      </c>
      <c r="AA371">
        <v>0.27760324999999997</v>
      </c>
    </row>
    <row r="372" spans="1:27" x14ac:dyDescent="0.25">
      <c r="A372" t="s">
        <v>93</v>
      </c>
      <c r="B372" t="s">
        <v>1013</v>
      </c>
      <c r="C372">
        <v>6</v>
      </c>
      <c r="D372" t="s">
        <v>66</v>
      </c>
      <c r="E372" t="s">
        <v>95</v>
      </c>
      <c r="F372" t="s">
        <v>104</v>
      </c>
      <c r="G372" t="s">
        <v>103</v>
      </c>
      <c r="H372" t="s">
        <v>246</v>
      </c>
      <c r="J372">
        <v>0</v>
      </c>
      <c r="K372">
        <v>1</v>
      </c>
      <c r="L372">
        <v>113.9375</v>
      </c>
      <c r="M372">
        <v>33.375507550000002</v>
      </c>
      <c r="N372">
        <v>2.4262999999999999</v>
      </c>
      <c r="O372">
        <v>0.40692159999999999</v>
      </c>
      <c r="P372">
        <v>120.25</v>
      </c>
      <c r="Q372">
        <v>30.670450110000001</v>
      </c>
      <c r="R372">
        <v>0.91037498500000003</v>
      </c>
      <c r="S372" t="s">
        <v>114</v>
      </c>
      <c r="T372">
        <v>-6.3125</v>
      </c>
      <c r="U372">
        <v>6.3125</v>
      </c>
      <c r="V372">
        <v>2.70505744</v>
      </c>
      <c r="W372">
        <v>2.70505744</v>
      </c>
      <c r="X372">
        <v>1.5159250150000001</v>
      </c>
      <c r="Y372">
        <v>1.5159250150000001</v>
      </c>
      <c r="Z372" t="s">
        <v>114</v>
      </c>
      <c r="AA372" t="s">
        <v>114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969"/>
  <sheetViews>
    <sheetView workbookViewId="0">
      <selection activeCell="V29" sqref="V29"/>
    </sheetView>
  </sheetViews>
  <sheetFormatPr defaultRowHeight="15" x14ac:dyDescent="0.25"/>
  <sheetData>
    <row r="1" spans="1:19" x14ac:dyDescent="0.25">
      <c r="A1" t="s">
        <v>96</v>
      </c>
      <c r="B1" t="s">
        <v>796</v>
      </c>
      <c r="C1" t="s">
        <v>146</v>
      </c>
      <c r="D1" t="s">
        <v>1</v>
      </c>
      <c r="E1" t="s">
        <v>2</v>
      </c>
      <c r="F1" t="s">
        <v>97</v>
      </c>
      <c r="G1" t="s">
        <v>101</v>
      </c>
      <c r="H1" t="s">
        <v>231</v>
      </c>
      <c r="I1" t="s">
        <v>8</v>
      </c>
      <c r="J1" t="s">
        <v>230</v>
      </c>
      <c r="K1" t="s">
        <v>232</v>
      </c>
      <c r="L1" t="s">
        <v>814</v>
      </c>
      <c r="M1" t="s">
        <v>815</v>
      </c>
      <c r="N1" t="s">
        <v>816</v>
      </c>
      <c r="O1" t="s">
        <v>817</v>
      </c>
      <c r="P1" t="s">
        <v>818</v>
      </c>
      <c r="Q1" t="s">
        <v>819</v>
      </c>
      <c r="R1" t="s">
        <v>1021</v>
      </c>
      <c r="S1" t="s">
        <v>1020</v>
      </c>
    </row>
    <row r="2" spans="1:19" x14ac:dyDescent="0.25">
      <c r="A2" t="s">
        <v>67</v>
      </c>
      <c r="B2" t="s">
        <v>820</v>
      </c>
      <c r="C2">
        <v>10</v>
      </c>
      <c r="D2" t="s">
        <v>11</v>
      </c>
      <c r="E2" t="s">
        <v>94</v>
      </c>
      <c r="F2" t="s">
        <v>113</v>
      </c>
      <c r="G2" t="s">
        <v>121</v>
      </c>
      <c r="H2" t="s">
        <v>113</v>
      </c>
      <c r="J2">
        <v>0</v>
      </c>
      <c r="K2">
        <v>2</v>
      </c>
      <c r="L2">
        <v>83.757575759999995</v>
      </c>
      <c r="M2">
        <v>22.60997987</v>
      </c>
      <c r="N2">
        <v>0.72884000000000004</v>
      </c>
      <c r="O2">
        <v>83.757575759999995</v>
      </c>
      <c r="P2">
        <v>22.60997987</v>
      </c>
      <c r="Q2">
        <v>0.72884000000000004</v>
      </c>
      <c r="R2" t="s">
        <v>1014</v>
      </c>
      <c r="S2">
        <v>0</v>
      </c>
    </row>
    <row r="3" spans="1:19" x14ac:dyDescent="0.25">
      <c r="A3" t="s">
        <v>67</v>
      </c>
      <c r="B3" t="s">
        <v>820</v>
      </c>
      <c r="C3">
        <v>10</v>
      </c>
      <c r="D3" t="s">
        <v>11</v>
      </c>
      <c r="E3" t="s">
        <v>94</v>
      </c>
      <c r="F3" t="s">
        <v>113</v>
      </c>
      <c r="G3" t="s">
        <v>121</v>
      </c>
      <c r="H3" t="s">
        <v>248</v>
      </c>
      <c r="J3">
        <v>0</v>
      </c>
      <c r="K3">
        <v>1</v>
      </c>
      <c r="L3">
        <v>83.757575759999995</v>
      </c>
      <c r="M3">
        <v>22.60997987</v>
      </c>
      <c r="N3">
        <v>0.72884000000000004</v>
      </c>
      <c r="O3">
        <v>83.92307692</v>
      </c>
      <c r="P3">
        <v>44.319135699999997</v>
      </c>
      <c r="Q3">
        <v>5.9548609999999997E-3</v>
      </c>
      <c r="R3" t="s">
        <v>1014</v>
      </c>
      <c r="S3">
        <v>-0.16550116000000514</v>
      </c>
    </row>
    <row r="4" spans="1:19" x14ac:dyDescent="0.25">
      <c r="A4" t="s">
        <v>67</v>
      </c>
      <c r="B4" t="s">
        <v>821</v>
      </c>
      <c r="C4">
        <v>10</v>
      </c>
      <c r="D4" t="s">
        <v>11</v>
      </c>
      <c r="E4" t="s">
        <v>94</v>
      </c>
      <c r="F4" t="s">
        <v>103</v>
      </c>
      <c r="G4" t="s">
        <v>121</v>
      </c>
      <c r="H4" t="s">
        <v>103</v>
      </c>
      <c r="J4">
        <v>0</v>
      </c>
      <c r="K4">
        <v>1</v>
      </c>
      <c r="L4">
        <v>98.291666669999998</v>
      </c>
      <c r="M4">
        <v>30.315130790000001</v>
      </c>
      <c r="N4">
        <v>5.0803484000000003E-2</v>
      </c>
      <c r="O4">
        <v>98.291666669999998</v>
      </c>
      <c r="P4">
        <v>30.315130790000001</v>
      </c>
      <c r="Q4">
        <v>5.0803484000000003E-2</v>
      </c>
      <c r="R4" t="s">
        <v>1014</v>
      </c>
      <c r="S4">
        <v>0</v>
      </c>
    </row>
    <row r="5" spans="1:19" x14ac:dyDescent="0.25">
      <c r="A5" t="s">
        <v>67</v>
      </c>
      <c r="B5" t="s">
        <v>822</v>
      </c>
      <c r="C5">
        <v>10</v>
      </c>
      <c r="D5" t="s">
        <v>11</v>
      </c>
      <c r="E5" t="s">
        <v>94</v>
      </c>
      <c r="F5" t="s">
        <v>112</v>
      </c>
      <c r="G5" t="s">
        <v>121</v>
      </c>
      <c r="H5" t="s">
        <v>235</v>
      </c>
      <c r="J5">
        <v>0</v>
      </c>
      <c r="K5">
        <v>1</v>
      </c>
      <c r="L5">
        <v>65.09375</v>
      </c>
      <c r="M5">
        <v>37.895352600000002</v>
      </c>
      <c r="N5">
        <v>2.2882677779999998</v>
      </c>
      <c r="O5">
        <v>132.27272730000001</v>
      </c>
      <c r="P5">
        <v>20.180448590000001</v>
      </c>
      <c r="Q5">
        <v>3.7813451999999997E-2</v>
      </c>
      <c r="R5" t="s">
        <v>1014</v>
      </c>
      <c r="S5">
        <v>-67.178977300000014</v>
      </c>
    </row>
    <row r="6" spans="1:19" x14ac:dyDescent="0.25">
      <c r="A6" t="s">
        <v>67</v>
      </c>
      <c r="B6" t="s">
        <v>822</v>
      </c>
      <c r="C6">
        <v>10</v>
      </c>
      <c r="D6" t="s">
        <v>11</v>
      </c>
      <c r="E6" t="s">
        <v>94</v>
      </c>
      <c r="F6" t="s">
        <v>112</v>
      </c>
      <c r="G6" t="s">
        <v>121</v>
      </c>
      <c r="H6" t="s">
        <v>248</v>
      </c>
      <c r="J6">
        <v>0</v>
      </c>
      <c r="K6">
        <v>2</v>
      </c>
      <c r="L6">
        <v>65.09375</v>
      </c>
      <c r="M6">
        <v>37.895352600000002</v>
      </c>
      <c r="N6">
        <v>2.2882677779999998</v>
      </c>
      <c r="O6">
        <v>83.92307692</v>
      </c>
      <c r="P6">
        <v>44.319135699999997</v>
      </c>
      <c r="Q6">
        <v>5.9548609999999997E-3</v>
      </c>
      <c r="R6" t="s">
        <v>1014</v>
      </c>
      <c r="S6">
        <v>-18.82932692</v>
      </c>
    </row>
    <row r="7" spans="1:19" x14ac:dyDescent="0.25">
      <c r="A7" t="s">
        <v>68</v>
      </c>
      <c r="B7" t="s">
        <v>823</v>
      </c>
      <c r="C7">
        <v>10</v>
      </c>
      <c r="D7" t="s">
        <v>15</v>
      </c>
      <c r="E7" t="s">
        <v>95</v>
      </c>
      <c r="F7" t="s">
        <v>113</v>
      </c>
      <c r="G7" t="s">
        <v>121</v>
      </c>
      <c r="H7" t="s">
        <v>113</v>
      </c>
      <c r="J7">
        <v>0</v>
      </c>
      <c r="K7">
        <v>1</v>
      </c>
      <c r="L7">
        <v>83.757575759999995</v>
      </c>
      <c r="M7">
        <v>22.60997987</v>
      </c>
      <c r="N7">
        <v>0.72884000000000004</v>
      </c>
      <c r="O7">
        <v>83.757575759999995</v>
      </c>
      <c r="P7">
        <v>22.60997987</v>
      </c>
      <c r="Q7">
        <v>0.72884000000000004</v>
      </c>
      <c r="R7" t="s">
        <v>1014</v>
      </c>
      <c r="S7">
        <v>0</v>
      </c>
    </row>
    <row r="8" spans="1:19" x14ac:dyDescent="0.25">
      <c r="A8" t="s">
        <v>68</v>
      </c>
      <c r="B8" t="s">
        <v>824</v>
      </c>
      <c r="C8">
        <v>10</v>
      </c>
      <c r="D8" t="s">
        <v>15</v>
      </c>
      <c r="E8" t="s">
        <v>95</v>
      </c>
      <c r="F8" t="s">
        <v>110</v>
      </c>
      <c r="G8" t="s">
        <v>113</v>
      </c>
      <c r="H8" t="s">
        <v>113</v>
      </c>
      <c r="J8">
        <v>0</v>
      </c>
      <c r="K8">
        <v>2</v>
      </c>
      <c r="L8">
        <v>73.260869569999997</v>
      </c>
      <c r="M8">
        <v>34.453830549999999</v>
      </c>
      <c r="N8">
        <v>1.058333333</v>
      </c>
      <c r="O8">
        <v>83.757575759999995</v>
      </c>
      <c r="P8">
        <v>22.60997987</v>
      </c>
      <c r="Q8">
        <v>0.72884000000000004</v>
      </c>
      <c r="R8" t="s">
        <v>1014</v>
      </c>
      <c r="S8">
        <v>-10.496706189999998</v>
      </c>
    </row>
    <row r="9" spans="1:19" x14ac:dyDescent="0.25">
      <c r="A9" t="s">
        <v>68</v>
      </c>
      <c r="B9" t="s">
        <v>825</v>
      </c>
      <c r="C9">
        <v>10</v>
      </c>
      <c r="D9" t="s">
        <v>15</v>
      </c>
      <c r="E9" t="s">
        <v>95</v>
      </c>
      <c r="F9" t="s">
        <v>111</v>
      </c>
      <c r="G9" t="s">
        <v>121</v>
      </c>
      <c r="H9" t="s">
        <v>239</v>
      </c>
      <c r="J9">
        <v>0</v>
      </c>
      <c r="K9">
        <v>1</v>
      </c>
      <c r="L9">
        <v>94.97142857</v>
      </c>
      <c r="M9">
        <v>24.31591813</v>
      </c>
      <c r="N9">
        <v>0.122951111</v>
      </c>
      <c r="O9">
        <v>100.45454549999999</v>
      </c>
      <c r="P9">
        <v>26.754810689999999</v>
      </c>
      <c r="Q9">
        <v>0.75829999999999997</v>
      </c>
      <c r="R9" t="s">
        <v>1014</v>
      </c>
      <c r="S9">
        <v>-5.4831169299999942</v>
      </c>
    </row>
    <row r="10" spans="1:19" x14ac:dyDescent="0.25">
      <c r="A10" t="s">
        <v>68</v>
      </c>
      <c r="B10" t="s">
        <v>826</v>
      </c>
      <c r="C10">
        <v>10</v>
      </c>
      <c r="D10" t="s">
        <v>15</v>
      </c>
      <c r="E10" t="s">
        <v>95</v>
      </c>
      <c r="F10" t="s">
        <v>104</v>
      </c>
      <c r="G10" t="s">
        <v>121</v>
      </c>
      <c r="H10" t="s">
        <v>114</v>
      </c>
      <c r="I10" t="s">
        <v>161</v>
      </c>
      <c r="J10">
        <v>1</v>
      </c>
      <c r="K10">
        <v>0</v>
      </c>
      <c r="L10">
        <v>113.9375</v>
      </c>
      <c r="M10">
        <v>33.375507550000002</v>
      </c>
      <c r="N10">
        <v>2.4262999999999999</v>
      </c>
      <c r="O10" t="s">
        <v>114</v>
      </c>
      <c r="P10" t="s">
        <v>114</v>
      </c>
      <c r="Q10" t="s">
        <v>114</v>
      </c>
      <c r="R10" t="s">
        <v>1014</v>
      </c>
      <c r="S10" t="s">
        <v>114</v>
      </c>
    </row>
    <row r="11" spans="1:19" x14ac:dyDescent="0.25">
      <c r="A11" t="s">
        <v>69</v>
      </c>
      <c r="B11" t="s">
        <v>827</v>
      </c>
      <c r="C11">
        <v>10</v>
      </c>
      <c r="D11" t="s">
        <v>17</v>
      </c>
      <c r="E11" t="s">
        <v>95</v>
      </c>
      <c r="F11" t="s">
        <v>102</v>
      </c>
      <c r="G11" t="s">
        <v>102</v>
      </c>
      <c r="H11" t="s">
        <v>102</v>
      </c>
      <c r="J11">
        <v>0</v>
      </c>
      <c r="K11">
        <v>1</v>
      </c>
      <c r="L11">
        <v>84.740740740000007</v>
      </c>
      <c r="M11">
        <v>29.167014049999999</v>
      </c>
      <c r="N11">
        <v>1.1169849999999999</v>
      </c>
      <c r="O11">
        <v>84.740740740000007</v>
      </c>
      <c r="P11">
        <v>29.167014049999999</v>
      </c>
      <c r="Q11">
        <v>1.1169849999999999</v>
      </c>
      <c r="R11" t="s">
        <v>1014</v>
      </c>
      <c r="S11">
        <v>0</v>
      </c>
    </row>
    <row r="12" spans="1:19" x14ac:dyDescent="0.25">
      <c r="A12" t="s">
        <v>69</v>
      </c>
      <c r="B12" t="s">
        <v>827</v>
      </c>
      <c r="C12">
        <v>10</v>
      </c>
      <c r="D12" t="s">
        <v>17</v>
      </c>
      <c r="E12" t="s">
        <v>95</v>
      </c>
      <c r="F12" t="s">
        <v>102</v>
      </c>
      <c r="G12" t="s">
        <v>102</v>
      </c>
      <c r="H12" t="s">
        <v>235</v>
      </c>
      <c r="J12">
        <v>0</v>
      </c>
      <c r="K12">
        <v>2</v>
      </c>
      <c r="L12">
        <v>84.740740740000007</v>
      </c>
      <c r="M12">
        <v>29.167014049999999</v>
      </c>
      <c r="N12">
        <v>1.1169849999999999</v>
      </c>
      <c r="O12">
        <v>132.27272730000001</v>
      </c>
      <c r="P12">
        <v>20.180448590000001</v>
      </c>
      <c r="Q12">
        <v>3.7813451999999997E-2</v>
      </c>
      <c r="R12" t="s">
        <v>1014</v>
      </c>
      <c r="S12">
        <v>-47.53198656</v>
      </c>
    </row>
    <row r="13" spans="1:19" x14ac:dyDescent="0.25">
      <c r="A13" t="s">
        <v>69</v>
      </c>
      <c r="B13" t="s">
        <v>828</v>
      </c>
      <c r="C13">
        <v>10</v>
      </c>
      <c r="D13" t="s">
        <v>17</v>
      </c>
      <c r="E13" t="s">
        <v>95</v>
      </c>
      <c r="F13" t="s">
        <v>113</v>
      </c>
      <c r="G13" t="s">
        <v>113</v>
      </c>
      <c r="H13" t="s">
        <v>113</v>
      </c>
      <c r="J13">
        <v>0</v>
      </c>
      <c r="K13">
        <v>1</v>
      </c>
      <c r="L13">
        <v>83.757575759999995</v>
      </c>
      <c r="M13">
        <v>22.60997987</v>
      </c>
      <c r="N13">
        <v>0.72884000000000004</v>
      </c>
      <c r="O13">
        <v>83.757575759999995</v>
      </c>
      <c r="P13">
        <v>22.60997987</v>
      </c>
      <c r="Q13">
        <v>0.72884000000000004</v>
      </c>
      <c r="R13" t="s">
        <v>1014</v>
      </c>
      <c r="S13">
        <v>0</v>
      </c>
    </row>
    <row r="14" spans="1:19" x14ac:dyDescent="0.25">
      <c r="A14" t="s">
        <v>69</v>
      </c>
      <c r="B14" t="s">
        <v>828</v>
      </c>
      <c r="C14">
        <v>10</v>
      </c>
      <c r="D14" t="s">
        <v>17</v>
      </c>
      <c r="E14" t="s">
        <v>95</v>
      </c>
      <c r="F14" t="s">
        <v>113</v>
      </c>
      <c r="G14" t="s">
        <v>113</v>
      </c>
      <c r="H14" t="s">
        <v>235</v>
      </c>
      <c r="J14">
        <v>0</v>
      </c>
      <c r="K14">
        <v>2</v>
      </c>
      <c r="L14">
        <v>83.757575759999995</v>
      </c>
      <c r="M14">
        <v>22.60997987</v>
      </c>
      <c r="N14">
        <v>0.72884000000000004</v>
      </c>
      <c r="O14">
        <v>132.27272730000001</v>
      </c>
      <c r="P14">
        <v>20.180448590000001</v>
      </c>
      <c r="Q14">
        <v>3.7813451999999997E-2</v>
      </c>
      <c r="R14" t="s">
        <v>1014</v>
      </c>
      <c r="S14">
        <v>-48.515151540000019</v>
      </c>
    </row>
    <row r="15" spans="1:19" x14ac:dyDescent="0.25">
      <c r="A15" t="s">
        <v>69</v>
      </c>
      <c r="B15" t="s">
        <v>829</v>
      </c>
      <c r="C15">
        <v>10</v>
      </c>
      <c r="D15" t="s">
        <v>17</v>
      </c>
      <c r="E15" t="s">
        <v>95</v>
      </c>
      <c r="F15" t="s">
        <v>103</v>
      </c>
      <c r="G15" t="s">
        <v>103</v>
      </c>
      <c r="H15" t="s">
        <v>103</v>
      </c>
      <c r="J15">
        <v>0</v>
      </c>
      <c r="K15">
        <v>1</v>
      </c>
      <c r="L15">
        <v>98.291666669999998</v>
      </c>
      <c r="M15">
        <v>30.315130790000001</v>
      </c>
      <c r="N15">
        <v>5.0803484000000003E-2</v>
      </c>
      <c r="O15">
        <v>98.291666669999998</v>
      </c>
      <c r="P15">
        <v>30.315130790000001</v>
      </c>
      <c r="Q15">
        <v>5.0803484000000003E-2</v>
      </c>
      <c r="R15" t="s">
        <v>1014</v>
      </c>
      <c r="S15">
        <v>0</v>
      </c>
    </row>
    <row r="16" spans="1:19" x14ac:dyDescent="0.25">
      <c r="A16" t="s">
        <v>69</v>
      </c>
      <c r="B16" t="s">
        <v>829</v>
      </c>
      <c r="C16">
        <v>10</v>
      </c>
      <c r="D16" t="s">
        <v>17</v>
      </c>
      <c r="E16" t="s">
        <v>95</v>
      </c>
      <c r="F16" t="s">
        <v>103</v>
      </c>
      <c r="G16" t="s">
        <v>103</v>
      </c>
      <c r="H16" t="s">
        <v>241</v>
      </c>
      <c r="J16">
        <v>0</v>
      </c>
      <c r="K16">
        <v>1</v>
      </c>
      <c r="L16">
        <v>98.291666669999998</v>
      </c>
      <c r="M16">
        <v>30.315130790000001</v>
      </c>
      <c r="N16">
        <v>5.0803484000000003E-2</v>
      </c>
      <c r="O16">
        <v>114</v>
      </c>
      <c r="P16">
        <v>30.43077242</v>
      </c>
      <c r="Q16">
        <v>0.53383111100000002</v>
      </c>
      <c r="R16" t="s">
        <v>1014</v>
      </c>
      <c r="S16">
        <v>-15.708333330000002</v>
      </c>
    </row>
    <row r="17" spans="1:19" x14ac:dyDescent="0.25">
      <c r="A17" t="s">
        <v>69</v>
      </c>
      <c r="B17" t="s">
        <v>829</v>
      </c>
      <c r="C17">
        <v>10</v>
      </c>
      <c r="D17" t="s">
        <v>17</v>
      </c>
      <c r="E17" t="s">
        <v>95</v>
      </c>
      <c r="F17" t="s">
        <v>103</v>
      </c>
      <c r="G17" t="s">
        <v>103</v>
      </c>
      <c r="H17" t="s">
        <v>235</v>
      </c>
      <c r="J17">
        <v>0</v>
      </c>
      <c r="K17">
        <v>1</v>
      </c>
      <c r="L17">
        <v>98.291666669999998</v>
      </c>
      <c r="M17">
        <v>30.315130790000001</v>
      </c>
      <c r="N17">
        <v>5.0803484000000003E-2</v>
      </c>
      <c r="O17">
        <v>132.27272730000001</v>
      </c>
      <c r="P17">
        <v>20.180448590000001</v>
      </c>
      <c r="Q17">
        <v>3.7813451999999997E-2</v>
      </c>
      <c r="R17" t="s">
        <v>1014</v>
      </c>
      <c r="S17">
        <v>-33.981060630000016</v>
      </c>
    </row>
    <row r="18" spans="1:19" x14ac:dyDescent="0.25">
      <c r="A18" t="s">
        <v>69</v>
      </c>
      <c r="B18" t="s">
        <v>830</v>
      </c>
      <c r="C18">
        <v>10</v>
      </c>
      <c r="D18" t="s">
        <v>17</v>
      </c>
      <c r="E18" t="s">
        <v>95</v>
      </c>
      <c r="F18" t="s">
        <v>111</v>
      </c>
      <c r="G18" t="s">
        <v>121</v>
      </c>
      <c r="H18" t="s">
        <v>235</v>
      </c>
      <c r="J18">
        <v>0</v>
      </c>
      <c r="K18">
        <v>3</v>
      </c>
      <c r="L18">
        <v>94.97142857</v>
      </c>
      <c r="M18">
        <v>24.31591813</v>
      </c>
      <c r="N18">
        <v>0.122951111</v>
      </c>
      <c r="O18">
        <v>132.27272730000001</v>
      </c>
      <c r="P18">
        <v>20.180448590000001</v>
      </c>
      <c r="Q18">
        <v>3.7813451999999997E-2</v>
      </c>
      <c r="R18" t="s">
        <v>1014</v>
      </c>
      <c r="S18">
        <v>-37.301298730000013</v>
      </c>
    </row>
    <row r="19" spans="1:19" x14ac:dyDescent="0.25">
      <c r="A19" t="s">
        <v>69</v>
      </c>
      <c r="B19" t="s">
        <v>831</v>
      </c>
      <c r="C19">
        <v>10</v>
      </c>
      <c r="D19" t="s">
        <v>17</v>
      </c>
      <c r="E19" t="s">
        <v>95</v>
      </c>
      <c r="F19" t="s">
        <v>112</v>
      </c>
      <c r="G19" t="s">
        <v>121</v>
      </c>
      <c r="H19" t="s">
        <v>235</v>
      </c>
      <c r="I19" t="s">
        <v>252</v>
      </c>
      <c r="J19">
        <v>1</v>
      </c>
      <c r="K19">
        <v>2</v>
      </c>
      <c r="L19">
        <v>65.09375</v>
      </c>
      <c r="M19">
        <v>37.895352600000002</v>
      </c>
      <c r="N19">
        <v>2.2882677779999998</v>
      </c>
      <c r="O19">
        <v>132.27272730000001</v>
      </c>
      <c r="P19">
        <v>20.180448590000001</v>
      </c>
      <c r="Q19">
        <v>3.7813451999999997E-2</v>
      </c>
      <c r="R19" t="s">
        <v>1014</v>
      </c>
      <c r="S19">
        <v>-67.178977300000014</v>
      </c>
    </row>
    <row r="20" spans="1:19" x14ac:dyDescent="0.25">
      <c r="A20" t="s">
        <v>70</v>
      </c>
      <c r="B20" t="s">
        <v>832</v>
      </c>
      <c r="C20">
        <v>10</v>
      </c>
      <c r="D20" t="s">
        <v>19</v>
      </c>
      <c r="E20" t="s">
        <v>95</v>
      </c>
      <c r="F20" t="s">
        <v>102</v>
      </c>
      <c r="G20" t="s">
        <v>121</v>
      </c>
      <c r="H20" t="s">
        <v>102</v>
      </c>
      <c r="J20">
        <v>0</v>
      </c>
      <c r="K20">
        <v>1</v>
      </c>
      <c r="L20">
        <v>84.740740740000007</v>
      </c>
      <c r="M20">
        <v>29.167014049999999</v>
      </c>
      <c r="N20">
        <v>1.1169849999999999</v>
      </c>
      <c r="O20">
        <v>84.740740740000007</v>
      </c>
      <c r="P20">
        <v>29.167014049999999</v>
      </c>
      <c r="Q20">
        <v>1.1169849999999999</v>
      </c>
      <c r="R20" t="s">
        <v>1014</v>
      </c>
      <c r="S20">
        <v>0</v>
      </c>
    </row>
    <row r="21" spans="1:19" x14ac:dyDescent="0.25">
      <c r="A21" t="s">
        <v>70</v>
      </c>
      <c r="B21" t="s">
        <v>832</v>
      </c>
      <c r="C21">
        <v>10</v>
      </c>
      <c r="D21" t="s">
        <v>19</v>
      </c>
      <c r="E21" t="s">
        <v>95</v>
      </c>
      <c r="F21" t="s">
        <v>102</v>
      </c>
      <c r="G21" t="s">
        <v>121</v>
      </c>
      <c r="H21" t="s">
        <v>236</v>
      </c>
      <c r="J21">
        <v>0</v>
      </c>
      <c r="K21">
        <v>1</v>
      </c>
      <c r="L21">
        <v>84.740740740000007</v>
      </c>
      <c r="M21">
        <v>29.167014049999999</v>
      </c>
      <c r="N21">
        <v>1.1169849999999999</v>
      </c>
      <c r="O21">
        <v>113.33333330000001</v>
      </c>
      <c r="P21">
        <v>26.41632581</v>
      </c>
      <c r="Q21">
        <v>1.6844570160000001</v>
      </c>
      <c r="R21" t="s">
        <v>1014</v>
      </c>
      <c r="S21">
        <v>-28.59259256</v>
      </c>
    </row>
    <row r="22" spans="1:19" x14ac:dyDescent="0.25">
      <c r="A22" t="s">
        <v>70</v>
      </c>
      <c r="B22" t="s">
        <v>833</v>
      </c>
      <c r="C22">
        <v>10</v>
      </c>
      <c r="D22" t="s">
        <v>19</v>
      </c>
      <c r="E22" t="s">
        <v>95</v>
      </c>
      <c r="F22" t="s">
        <v>105</v>
      </c>
      <c r="G22" t="s">
        <v>121</v>
      </c>
      <c r="H22" t="s">
        <v>235</v>
      </c>
      <c r="J22">
        <v>0</v>
      </c>
      <c r="K22">
        <v>1</v>
      </c>
      <c r="L22">
        <v>67.5</v>
      </c>
      <c r="M22">
        <v>47.937235809999997</v>
      </c>
      <c r="N22">
        <v>0.41599678000000001</v>
      </c>
      <c r="O22">
        <v>132.27272730000001</v>
      </c>
      <c r="P22">
        <v>20.180448590000001</v>
      </c>
      <c r="Q22">
        <v>3.7813451999999997E-2</v>
      </c>
      <c r="R22" t="s">
        <v>1014</v>
      </c>
      <c r="S22">
        <v>-64.772727300000014</v>
      </c>
    </row>
    <row r="23" spans="1:19" x14ac:dyDescent="0.25">
      <c r="A23" t="s">
        <v>70</v>
      </c>
      <c r="B23" t="s">
        <v>833</v>
      </c>
      <c r="C23">
        <v>10</v>
      </c>
      <c r="D23" t="s">
        <v>19</v>
      </c>
      <c r="E23" t="s">
        <v>95</v>
      </c>
      <c r="F23" t="s">
        <v>105</v>
      </c>
      <c r="G23" t="s">
        <v>121</v>
      </c>
      <c r="H23" t="s">
        <v>236</v>
      </c>
      <c r="J23">
        <v>0</v>
      </c>
      <c r="K23">
        <v>2</v>
      </c>
      <c r="L23">
        <v>67.5</v>
      </c>
      <c r="M23">
        <v>47.937235809999997</v>
      </c>
      <c r="N23">
        <v>0.41599678000000001</v>
      </c>
      <c r="O23">
        <v>113.33333330000001</v>
      </c>
      <c r="P23">
        <v>26.41632581</v>
      </c>
      <c r="Q23">
        <v>1.6844570160000001</v>
      </c>
      <c r="R23" t="s">
        <v>1014</v>
      </c>
      <c r="S23">
        <v>-45.833333300000007</v>
      </c>
    </row>
    <row r="24" spans="1:19" x14ac:dyDescent="0.25">
      <c r="A24" t="s">
        <v>70</v>
      </c>
      <c r="B24" t="s">
        <v>833</v>
      </c>
      <c r="C24">
        <v>10</v>
      </c>
      <c r="D24" t="s">
        <v>19</v>
      </c>
      <c r="E24" t="s">
        <v>95</v>
      </c>
      <c r="F24" t="s">
        <v>105</v>
      </c>
      <c r="G24" t="s">
        <v>121</v>
      </c>
      <c r="H24" t="s">
        <v>162</v>
      </c>
      <c r="J24">
        <v>0</v>
      </c>
      <c r="K24">
        <v>1</v>
      </c>
      <c r="L24">
        <v>67.5</v>
      </c>
      <c r="M24">
        <v>47.937235809999997</v>
      </c>
      <c r="N24">
        <v>0.41599678000000001</v>
      </c>
      <c r="O24">
        <v>82.53846154</v>
      </c>
      <c r="P24">
        <v>35.660530039999998</v>
      </c>
      <c r="Q24">
        <v>3.3754499999999998</v>
      </c>
      <c r="R24" t="s">
        <v>1014</v>
      </c>
      <c r="S24">
        <v>-15.03846154</v>
      </c>
    </row>
    <row r="25" spans="1:19" x14ac:dyDescent="0.25">
      <c r="A25" t="s">
        <v>70</v>
      </c>
      <c r="B25" t="s">
        <v>834</v>
      </c>
      <c r="C25">
        <v>10</v>
      </c>
      <c r="D25" t="s">
        <v>19</v>
      </c>
      <c r="E25" t="s">
        <v>95</v>
      </c>
      <c r="F25" t="s">
        <v>111</v>
      </c>
      <c r="G25" t="s">
        <v>121</v>
      </c>
      <c r="H25" t="s">
        <v>235</v>
      </c>
      <c r="J25">
        <v>0</v>
      </c>
      <c r="K25">
        <v>1</v>
      </c>
      <c r="L25">
        <v>94.97142857</v>
      </c>
      <c r="M25">
        <v>24.31591813</v>
      </c>
      <c r="N25">
        <v>0.122951111</v>
      </c>
      <c r="O25">
        <v>132.27272730000001</v>
      </c>
      <c r="P25">
        <v>20.180448590000001</v>
      </c>
      <c r="Q25">
        <v>3.7813451999999997E-2</v>
      </c>
      <c r="R25" t="s">
        <v>1014</v>
      </c>
      <c r="S25">
        <v>-37.301298730000013</v>
      </c>
    </row>
    <row r="26" spans="1:19" x14ac:dyDescent="0.25">
      <c r="A26" t="s">
        <v>71</v>
      </c>
      <c r="B26" t="s">
        <v>835</v>
      </c>
      <c r="C26">
        <v>10</v>
      </c>
      <c r="D26" t="s">
        <v>21</v>
      </c>
      <c r="E26" t="s">
        <v>94</v>
      </c>
      <c r="F26" t="s">
        <v>102</v>
      </c>
      <c r="G26" t="s">
        <v>121</v>
      </c>
      <c r="H26" t="s">
        <v>114</v>
      </c>
      <c r="J26">
        <v>0</v>
      </c>
      <c r="K26" t="s">
        <v>114</v>
      </c>
      <c r="L26">
        <v>84.740740740000007</v>
      </c>
      <c r="M26">
        <v>29.167014049999999</v>
      </c>
      <c r="N26">
        <v>1.1169849999999999</v>
      </c>
      <c r="O26" t="s">
        <v>114</v>
      </c>
      <c r="P26" t="s">
        <v>114</v>
      </c>
      <c r="Q26" t="s">
        <v>114</v>
      </c>
      <c r="R26" t="s">
        <v>1014</v>
      </c>
      <c r="S26" t="s">
        <v>114</v>
      </c>
    </row>
    <row r="27" spans="1:19" x14ac:dyDescent="0.25">
      <c r="A27" t="s">
        <v>71</v>
      </c>
      <c r="B27" t="s">
        <v>836</v>
      </c>
      <c r="C27">
        <v>10</v>
      </c>
      <c r="D27" t="s">
        <v>21</v>
      </c>
      <c r="E27" t="s">
        <v>94</v>
      </c>
      <c r="F27" t="s">
        <v>111</v>
      </c>
      <c r="G27" t="s">
        <v>111</v>
      </c>
      <c r="H27" t="s">
        <v>111</v>
      </c>
      <c r="J27">
        <v>0</v>
      </c>
      <c r="K27">
        <v>1</v>
      </c>
      <c r="L27">
        <v>94.97142857</v>
      </c>
      <c r="M27">
        <v>24.31591813</v>
      </c>
      <c r="N27">
        <v>0.122951111</v>
      </c>
      <c r="O27">
        <v>94.97142857</v>
      </c>
      <c r="P27">
        <v>24.31591813</v>
      </c>
      <c r="Q27">
        <v>0.122951111</v>
      </c>
      <c r="R27" t="s">
        <v>1014</v>
      </c>
      <c r="S27">
        <v>0</v>
      </c>
    </row>
    <row r="28" spans="1:19" x14ac:dyDescent="0.25">
      <c r="A28" t="s">
        <v>71</v>
      </c>
      <c r="B28" t="s">
        <v>836</v>
      </c>
      <c r="C28">
        <v>10</v>
      </c>
      <c r="D28" t="s">
        <v>21</v>
      </c>
      <c r="E28" t="s">
        <v>94</v>
      </c>
      <c r="F28" t="s">
        <v>111</v>
      </c>
      <c r="G28" t="s">
        <v>111</v>
      </c>
      <c r="H28" t="s">
        <v>250</v>
      </c>
      <c r="J28">
        <v>0</v>
      </c>
      <c r="K28">
        <v>1</v>
      </c>
      <c r="L28">
        <v>94.97142857</v>
      </c>
      <c r="M28">
        <v>24.31591813</v>
      </c>
      <c r="N28">
        <v>0.122951111</v>
      </c>
      <c r="O28">
        <v>157.14285709999999</v>
      </c>
      <c r="P28">
        <v>28.969081320000001</v>
      </c>
      <c r="Q28">
        <v>0.55164111100000002</v>
      </c>
      <c r="R28" t="s">
        <v>1014</v>
      </c>
      <c r="S28">
        <v>-62.171428529999986</v>
      </c>
    </row>
    <row r="29" spans="1:19" x14ac:dyDescent="0.25">
      <c r="A29" t="s">
        <v>71</v>
      </c>
      <c r="B29" t="s">
        <v>837</v>
      </c>
      <c r="C29">
        <v>10</v>
      </c>
      <c r="D29" t="s">
        <v>21</v>
      </c>
      <c r="E29" t="s">
        <v>94</v>
      </c>
      <c r="F29" t="s">
        <v>104</v>
      </c>
      <c r="G29" t="s">
        <v>104</v>
      </c>
      <c r="H29" t="s">
        <v>104</v>
      </c>
      <c r="J29">
        <v>0</v>
      </c>
      <c r="K29">
        <v>1</v>
      </c>
      <c r="L29">
        <v>113.9375</v>
      </c>
      <c r="M29">
        <v>33.375507550000002</v>
      </c>
      <c r="N29">
        <v>2.4262999999999999</v>
      </c>
      <c r="O29">
        <v>113.9375</v>
      </c>
      <c r="P29">
        <v>33.375507550000002</v>
      </c>
      <c r="Q29">
        <v>2.4262999999999999</v>
      </c>
      <c r="R29" t="s">
        <v>1014</v>
      </c>
      <c r="S29">
        <v>0</v>
      </c>
    </row>
    <row r="30" spans="1:19" x14ac:dyDescent="0.25">
      <c r="A30" t="s">
        <v>72</v>
      </c>
      <c r="B30" t="s">
        <v>838</v>
      </c>
      <c r="C30">
        <v>10</v>
      </c>
      <c r="D30" t="s">
        <v>23</v>
      </c>
      <c r="E30" t="s">
        <v>95</v>
      </c>
      <c r="F30" t="s">
        <v>105</v>
      </c>
      <c r="G30" t="s">
        <v>121</v>
      </c>
      <c r="H30" t="s">
        <v>238</v>
      </c>
      <c r="J30">
        <v>0</v>
      </c>
      <c r="K30">
        <v>1</v>
      </c>
      <c r="L30">
        <v>67.5</v>
      </c>
      <c r="M30">
        <v>47.937235809999997</v>
      </c>
      <c r="N30">
        <v>0.41599678000000001</v>
      </c>
      <c r="O30">
        <v>87.5</v>
      </c>
      <c r="P30">
        <v>29.478311600000001</v>
      </c>
      <c r="Q30">
        <v>3.0797751000000002E-2</v>
      </c>
      <c r="R30" t="s">
        <v>1014</v>
      </c>
      <c r="S30">
        <v>-20</v>
      </c>
    </row>
    <row r="31" spans="1:19" x14ac:dyDescent="0.25">
      <c r="A31" t="s">
        <v>72</v>
      </c>
      <c r="B31" t="s">
        <v>839</v>
      </c>
      <c r="C31">
        <v>10</v>
      </c>
      <c r="D31" t="s">
        <v>23</v>
      </c>
      <c r="E31" t="s">
        <v>95</v>
      </c>
      <c r="F31" t="s">
        <v>111</v>
      </c>
      <c r="G31" t="s">
        <v>121</v>
      </c>
      <c r="H31" t="s">
        <v>114</v>
      </c>
      <c r="J31">
        <v>0</v>
      </c>
      <c r="K31">
        <v>0</v>
      </c>
      <c r="L31">
        <v>94.97142857</v>
      </c>
      <c r="M31">
        <v>24.31591813</v>
      </c>
      <c r="N31">
        <v>0.122951111</v>
      </c>
      <c r="O31" t="s">
        <v>114</v>
      </c>
      <c r="P31" t="s">
        <v>114</v>
      </c>
      <c r="Q31" t="s">
        <v>114</v>
      </c>
      <c r="R31" t="s">
        <v>1014</v>
      </c>
      <c r="S31" t="s">
        <v>114</v>
      </c>
    </row>
    <row r="32" spans="1:19" x14ac:dyDescent="0.25">
      <c r="A32" t="s">
        <v>72</v>
      </c>
      <c r="B32" t="s">
        <v>840</v>
      </c>
      <c r="C32">
        <v>10</v>
      </c>
      <c r="D32" t="s">
        <v>23</v>
      </c>
      <c r="E32" t="s">
        <v>95</v>
      </c>
      <c r="F32" t="s">
        <v>104</v>
      </c>
      <c r="G32" t="s">
        <v>104</v>
      </c>
      <c r="H32" t="s">
        <v>104</v>
      </c>
      <c r="J32">
        <v>0</v>
      </c>
      <c r="K32">
        <v>1</v>
      </c>
      <c r="L32">
        <v>113.9375</v>
      </c>
      <c r="M32">
        <v>33.375507550000002</v>
      </c>
      <c r="N32">
        <v>2.4262999999999999</v>
      </c>
      <c r="O32">
        <v>113.9375</v>
      </c>
      <c r="P32">
        <v>33.375507550000002</v>
      </c>
      <c r="Q32">
        <v>2.4262999999999999</v>
      </c>
      <c r="R32" t="s">
        <v>1014</v>
      </c>
      <c r="S32">
        <v>0</v>
      </c>
    </row>
    <row r="33" spans="1:19" x14ac:dyDescent="0.25">
      <c r="A33" t="s">
        <v>72</v>
      </c>
      <c r="B33" t="s">
        <v>840</v>
      </c>
      <c r="C33">
        <v>10</v>
      </c>
      <c r="D33" t="s">
        <v>23</v>
      </c>
      <c r="E33" t="s">
        <v>95</v>
      </c>
      <c r="F33" t="s">
        <v>104</v>
      </c>
      <c r="G33" t="s">
        <v>104</v>
      </c>
      <c r="H33" t="s">
        <v>244</v>
      </c>
      <c r="J33">
        <v>0</v>
      </c>
      <c r="K33">
        <v>1</v>
      </c>
      <c r="L33">
        <v>113.9375</v>
      </c>
      <c r="M33">
        <v>33.375507550000002</v>
      </c>
      <c r="N33">
        <v>2.4262999999999999</v>
      </c>
      <c r="O33">
        <v>75</v>
      </c>
      <c r="P33">
        <v>28.80614499</v>
      </c>
      <c r="Q33">
        <v>2.3860428570000001</v>
      </c>
      <c r="R33" t="s">
        <v>1014</v>
      </c>
      <c r="S33">
        <v>38.9375</v>
      </c>
    </row>
    <row r="34" spans="1:19" x14ac:dyDescent="0.25">
      <c r="A34" t="s">
        <v>72</v>
      </c>
      <c r="B34" t="s">
        <v>841</v>
      </c>
      <c r="C34">
        <v>10</v>
      </c>
      <c r="D34" t="s">
        <v>23</v>
      </c>
      <c r="E34" t="s">
        <v>95</v>
      </c>
      <c r="F34" t="s">
        <v>112</v>
      </c>
      <c r="G34" t="s">
        <v>121</v>
      </c>
      <c r="H34" t="s">
        <v>238</v>
      </c>
      <c r="J34">
        <v>0</v>
      </c>
      <c r="K34">
        <v>1</v>
      </c>
      <c r="L34">
        <v>65.09375</v>
      </c>
      <c r="M34">
        <v>37.895352600000002</v>
      </c>
      <c r="N34">
        <v>2.2882677779999998</v>
      </c>
      <c r="O34">
        <v>87.5</v>
      </c>
      <c r="P34">
        <v>29.478311600000001</v>
      </c>
      <c r="Q34">
        <v>3.0797751000000002E-2</v>
      </c>
      <c r="R34" t="s">
        <v>1014</v>
      </c>
      <c r="S34">
        <v>-22.40625</v>
      </c>
    </row>
    <row r="35" spans="1:19" x14ac:dyDescent="0.25">
      <c r="A35" t="s">
        <v>73</v>
      </c>
      <c r="B35" t="s">
        <v>842</v>
      </c>
      <c r="C35">
        <v>10</v>
      </c>
      <c r="D35" t="s">
        <v>25</v>
      </c>
      <c r="E35" t="s">
        <v>94</v>
      </c>
      <c r="F35" t="s">
        <v>105</v>
      </c>
      <c r="G35" t="s">
        <v>112</v>
      </c>
      <c r="H35" t="s">
        <v>112</v>
      </c>
      <c r="J35">
        <v>0</v>
      </c>
      <c r="K35">
        <v>1</v>
      </c>
      <c r="L35">
        <v>67.5</v>
      </c>
      <c r="M35">
        <v>47.937235809999997</v>
      </c>
      <c r="N35">
        <v>0.41599678000000001</v>
      </c>
      <c r="O35">
        <v>65.09375</v>
      </c>
      <c r="P35">
        <v>37.895352600000002</v>
      </c>
      <c r="Q35">
        <v>2.2882677779999998</v>
      </c>
      <c r="R35" t="s">
        <v>1014</v>
      </c>
      <c r="S35">
        <v>2.40625</v>
      </c>
    </row>
    <row r="36" spans="1:19" x14ac:dyDescent="0.25">
      <c r="A36" t="s">
        <v>73</v>
      </c>
      <c r="B36" t="s">
        <v>843</v>
      </c>
      <c r="C36">
        <v>10</v>
      </c>
      <c r="D36" t="s">
        <v>25</v>
      </c>
      <c r="E36" t="s">
        <v>94</v>
      </c>
      <c r="F36" t="s">
        <v>110</v>
      </c>
      <c r="G36" t="s">
        <v>110</v>
      </c>
      <c r="H36" t="s">
        <v>110</v>
      </c>
      <c r="J36">
        <v>0</v>
      </c>
      <c r="K36">
        <v>3</v>
      </c>
      <c r="L36">
        <v>73.260869569999997</v>
      </c>
      <c r="M36">
        <v>34.453830549999999</v>
      </c>
      <c r="N36">
        <v>1.058333333</v>
      </c>
      <c r="O36">
        <v>73.260869569999997</v>
      </c>
      <c r="P36">
        <v>34.453830549999999</v>
      </c>
      <c r="Q36">
        <v>1.058333333</v>
      </c>
      <c r="R36" t="s">
        <v>1014</v>
      </c>
      <c r="S36">
        <v>0</v>
      </c>
    </row>
    <row r="37" spans="1:19" x14ac:dyDescent="0.25">
      <c r="A37" t="s">
        <v>73</v>
      </c>
      <c r="B37" t="s">
        <v>843</v>
      </c>
      <c r="C37">
        <v>10</v>
      </c>
      <c r="D37" t="s">
        <v>25</v>
      </c>
      <c r="E37" t="s">
        <v>94</v>
      </c>
      <c r="F37" t="s">
        <v>110</v>
      </c>
      <c r="G37" t="s">
        <v>110</v>
      </c>
      <c r="H37" t="s">
        <v>251</v>
      </c>
      <c r="J37">
        <v>0</v>
      </c>
      <c r="K37">
        <v>1</v>
      </c>
      <c r="L37">
        <v>73.260869569999997</v>
      </c>
      <c r="M37">
        <v>34.453830549999999</v>
      </c>
      <c r="N37">
        <v>1.058333333</v>
      </c>
      <c r="O37">
        <v>85</v>
      </c>
      <c r="P37">
        <v>37.099157669999997</v>
      </c>
      <c r="Q37">
        <v>0.65291888899999995</v>
      </c>
      <c r="R37" t="s">
        <v>1014</v>
      </c>
      <c r="S37">
        <v>-11.739130430000003</v>
      </c>
    </row>
    <row r="38" spans="1:19" x14ac:dyDescent="0.25">
      <c r="A38" t="s">
        <v>73</v>
      </c>
      <c r="B38" t="s">
        <v>843</v>
      </c>
      <c r="C38">
        <v>10</v>
      </c>
      <c r="D38" t="s">
        <v>25</v>
      </c>
      <c r="E38" t="s">
        <v>94</v>
      </c>
      <c r="F38" t="s">
        <v>110</v>
      </c>
      <c r="G38" t="s">
        <v>110</v>
      </c>
      <c r="H38" t="s">
        <v>246</v>
      </c>
      <c r="J38">
        <v>0</v>
      </c>
      <c r="K38">
        <v>1</v>
      </c>
      <c r="L38">
        <v>73.260869569999997</v>
      </c>
      <c r="M38">
        <v>34.453830549999999</v>
      </c>
      <c r="N38">
        <v>1.058333333</v>
      </c>
      <c r="O38">
        <v>120.25</v>
      </c>
      <c r="P38">
        <v>30.670450110000001</v>
      </c>
      <c r="Q38">
        <v>0.91037498500000003</v>
      </c>
      <c r="R38" t="s">
        <v>1014</v>
      </c>
      <c r="S38">
        <v>-46.989130430000003</v>
      </c>
    </row>
    <row r="39" spans="1:19" x14ac:dyDescent="0.25">
      <c r="A39" t="s">
        <v>73</v>
      </c>
      <c r="B39" t="s">
        <v>844</v>
      </c>
      <c r="C39">
        <v>10</v>
      </c>
      <c r="D39" t="s">
        <v>25</v>
      </c>
      <c r="E39" t="s">
        <v>94</v>
      </c>
      <c r="F39" t="s">
        <v>104</v>
      </c>
      <c r="G39" t="s">
        <v>104</v>
      </c>
      <c r="H39" t="s">
        <v>104</v>
      </c>
      <c r="J39">
        <v>0</v>
      </c>
      <c r="K39">
        <v>1</v>
      </c>
      <c r="L39">
        <v>113.9375</v>
      </c>
      <c r="M39">
        <v>33.375507550000002</v>
      </c>
      <c r="N39">
        <v>2.4262999999999999</v>
      </c>
      <c r="O39">
        <v>113.9375</v>
      </c>
      <c r="P39">
        <v>33.375507550000002</v>
      </c>
      <c r="Q39">
        <v>2.4262999999999999</v>
      </c>
      <c r="R39" t="s">
        <v>1014</v>
      </c>
      <c r="S39">
        <v>0</v>
      </c>
    </row>
    <row r="40" spans="1:19" x14ac:dyDescent="0.25">
      <c r="A40" t="s">
        <v>73</v>
      </c>
      <c r="B40" t="s">
        <v>845</v>
      </c>
      <c r="C40">
        <v>10</v>
      </c>
      <c r="D40" t="s">
        <v>25</v>
      </c>
      <c r="E40" t="s">
        <v>94</v>
      </c>
      <c r="F40" t="s">
        <v>112</v>
      </c>
      <c r="G40" t="s">
        <v>121</v>
      </c>
      <c r="H40" t="s">
        <v>114</v>
      </c>
      <c r="J40">
        <v>0</v>
      </c>
      <c r="K40" t="s">
        <v>114</v>
      </c>
      <c r="L40">
        <v>65.09375</v>
      </c>
      <c r="M40">
        <v>37.895352600000002</v>
      </c>
      <c r="N40">
        <v>2.2882677779999998</v>
      </c>
      <c r="O40" t="s">
        <v>114</v>
      </c>
      <c r="P40" t="s">
        <v>114</v>
      </c>
      <c r="Q40" t="s">
        <v>114</v>
      </c>
      <c r="R40" t="s">
        <v>1014</v>
      </c>
      <c r="S40" t="s">
        <v>114</v>
      </c>
    </row>
    <row r="41" spans="1:19" x14ac:dyDescent="0.25">
      <c r="A41" t="s">
        <v>74</v>
      </c>
      <c r="B41" t="s">
        <v>846</v>
      </c>
      <c r="C41">
        <v>10</v>
      </c>
      <c r="D41" t="s">
        <v>27</v>
      </c>
      <c r="E41" t="s">
        <v>95</v>
      </c>
      <c r="F41" t="s">
        <v>102</v>
      </c>
      <c r="G41" t="s">
        <v>113</v>
      </c>
      <c r="H41" t="s">
        <v>113</v>
      </c>
      <c r="J41">
        <v>0</v>
      </c>
      <c r="K41">
        <v>3</v>
      </c>
      <c r="L41">
        <v>84.740740740000007</v>
      </c>
      <c r="M41">
        <v>29.167014049999999</v>
      </c>
      <c r="N41">
        <v>1.1169849999999999</v>
      </c>
      <c r="O41">
        <v>83.757575759999995</v>
      </c>
      <c r="P41">
        <v>22.60997987</v>
      </c>
      <c r="Q41">
        <v>0.72884000000000004</v>
      </c>
      <c r="R41" t="s">
        <v>1014</v>
      </c>
      <c r="S41">
        <v>0.98316498000001218</v>
      </c>
    </row>
    <row r="42" spans="1:19" x14ac:dyDescent="0.25">
      <c r="A42" t="s">
        <v>74</v>
      </c>
      <c r="B42" t="s">
        <v>846</v>
      </c>
      <c r="C42">
        <v>10</v>
      </c>
      <c r="D42" t="s">
        <v>27</v>
      </c>
      <c r="E42" t="s">
        <v>95</v>
      </c>
      <c r="F42" t="s">
        <v>102</v>
      </c>
      <c r="G42" t="s">
        <v>113</v>
      </c>
      <c r="H42" t="s">
        <v>103</v>
      </c>
      <c r="J42">
        <v>0</v>
      </c>
      <c r="K42">
        <v>1</v>
      </c>
      <c r="L42">
        <v>84.740740740000007</v>
      </c>
      <c r="M42">
        <v>29.167014049999999</v>
      </c>
      <c r="N42">
        <v>1.1169849999999999</v>
      </c>
      <c r="O42">
        <v>98.291666669999998</v>
      </c>
      <c r="P42">
        <v>30.315130790000001</v>
      </c>
      <c r="Q42">
        <v>5.0803484000000003E-2</v>
      </c>
      <c r="R42" t="s">
        <v>1014</v>
      </c>
      <c r="S42">
        <v>-13.550925929999991</v>
      </c>
    </row>
    <row r="43" spans="1:19" x14ac:dyDescent="0.25">
      <c r="A43" t="s">
        <v>74</v>
      </c>
      <c r="B43" t="s">
        <v>847</v>
      </c>
      <c r="C43">
        <v>10</v>
      </c>
      <c r="D43" t="s">
        <v>27</v>
      </c>
      <c r="E43" t="s">
        <v>95</v>
      </c>
      <c r="F43" t="s">
        <v>113</v>
      </c>
      <c r="G43" t="s">
        <v>113</v>
      </c>
      <c r="H43" t="s">
        <v>113</v>
      </c>
      <c r="J43">
        <v>0</v>
      </c>
      <c r="K43">
        <v>1</v>
      </c>
      <c r="L43">
        <v>83.757575759999995</v>
      </c>
      <c r="M43">
        <v>22.60997987</v>
      </c>
      <c r="N43">
        <v>0.72884000000000004</v>
      </c>
      <c r="O43">
        <v>83.757575759999995</v>
      </c>
      <c r="P43">
        <v>22.60997987</v>
      </c>
      <c r="Q43">
        <v>0.72884000000000004</v>
      </c>
      <c r="R43" t="s">
        <v>1014</v>
      </c>
      <c r="S43">
        <v>0</v>
      </c>
    </row>
    <row r="44" spans="1:19" x14ac:dyDescent="0.25">
      <c r="A44" t="s">
        <v>74</v>
      </c>
      <c r="B44" t="s">
        <v>847</v>
      </c>
      <c r="C44">
        <v>10</v>
      </c>
      <c r="D44" t="s">
        <v>27</v>
      </c>
      <c r="E44" t="s">
        <v>95</v>
      </c>
      <c r="F44" t="s">
        <v>113</v>
      </c>
      <c r="G44" t="s">
        <v>113</v>
      </c>
      <c r="H44" t="s">
        <v>248</v>
      </c>
      <c r="J44">
        <v>0</v>
      </c>
      <c r="K44">
        <v>2</v>
      </c>
      <c r="L44">
        <v>83.757575759999995</v>
      </c>
      <c r="M44">
        <v>22.60997987</v>
      </c>
      <c r="N44">
        <v>0.72884000000000004</v>
      </c>
      <c r="O44">
        <v>83.92307692</v>
      </c>
      <c r="P44">
        <v>44.319135699999997</v>
      </c>
      <c r="Q44">
        <v>5.9548609999999997E-3</v>
      </c>
      <c r="R44" t="s">
        <v>1014</v>
      </c>
      <c r="S44">
        <v>-0.16550116000000514</v>
      </c>
    </row>
    <row r="45" spans="1:19" x14ac:dyDescent="0.25">
      <c r="A45" t="s">
        <v>74</v>
      </c>
      <c r="B45" t="s">
        <v>848</v>
      </c>
      <c r="C45">
        <v>10</v>
      </c>
      <c r="D45" t="s">
        <v>27</v>
      </c>
      <c r="E45" t="s">
        <v>95</v>
      </c>
      <c r="F45" t="s">
        <v>103</v>
      </c>
      <c r="G45" t="s">
        <v>113</v>
      </c>
      <c r="H45" t="s">
        <v>113</v>
      </c>
      <c r="J45">
        <v>0</v>
      </c>
      <c r="K45">
        <v>1</v>
      </c>
      <c r="L45">
        <v>98.291666669999998</v>
      </c>
      <c r="M45">
        <v>30.315130790000001</v>
      </c>
      <c r="N45">
        <v>5.0803484000000003E-2</v>
      </c>
      <c r="O45">
        <v>83.757575759999995</v>
      </c>
      <c r="P45">
        <v>22.60997987</v>
      </c>
      <c r="Q45">
        <v>0.72884000000000004</v>
      </c>
      <c r="R45" t="s">
        <v>1014</v>
      </c>
      <c r="S45">
        <v>14.534090910000003</v>
      </c>
    </row>
    <row r="46" spans="1:19" x14ac:dyDescent="0.25">
      <c r="A46" t="s">
        <v>75</v>
      </c>
      <c r="B46" t="s">
        <v>849</v>
      </c>
      <c r="C46">
        <v>10</v>
      </c>
      <c r="D46" t="s">
        <v>29</v>
      </c>
      <c r="E46" t="s">
        <v>94</v>
      </c>
      <c r="F46" t="s">
        <v>105</v>
      </c>
      <c r="G46" t="s">
        <v>121</v>
      </c>
      <c r="H46" t="s">
        <v>251</v>
      </c>
      <c r="J46">
        <v>0</v>
      </c>
      <c r="K46">
        <v>1</v>
      </c>
      <c r="L46">
        <v>67.5</v>
      </c>
      <c r="M46">
        <v>47.937235809999997</v>
      </c>
      <c r="N46">
        <v>0.41599678000000001</v>
      </c>
      <c r="O46">
        <v>85</v>
      </c>
      <c r="P46">
        <v>37.099157669999997</v>
      </c>
      <c r="Q46">
        <v>0.65291888899999995</v>
      </c>
      <c r="R46" t="s">
        <v>1014</v>
      </c>
      <c r="S46">
        <v>-17.5</v>
      </c>
    </row>
    <row r="47" spans="1:19" x14ac:dyDescent="0.25">
      <c r="A47" t="s">
        <v>75</v>
      </c>
      <c r="B47" t="s">
        <v>849</v>
      </c>
      <c r="C47">
        <v>10</v>
      </c>
      <c r="D47" t="s">
        <v>29</v>
      </c>
      <c r="E47" t="s">
        <v>94</v>
      </c>
      <c r="F47" t="s">
        <v>105</v>
      </c>
      <c r="G47" t="s">
        <v>121</v>
      </c>
      <c r="H47" t="s">
        <v>244</v>
      </c>
      <c r="J47">
        <v>0</v>
      </c>
      <c r="K47">
        <v>1</v>
      </c>
      <c r="L47">
        <v>67.5</v>
      </c>
      <c r="M47">
        <v>47.937235809999997</v>
      </c>
      <c r="N47">
        <v>0.41599678000000001</v>
      </c>
      <c r="O47">
        <v>75</v>
      </c>
      <c r="P47">
        <v>28.80614499</v>
      </c>
      <c r="Q47">
        <v>2.3860428570000001</v>
      </c>
      <c r="R47" t="s">
        <v>1014</v>
      </c>
      <c r="S47">
        <v>-7.5</v>
      </c>
    </row>
    <row r="48" spans="1:19" x14ac:dyDescent="0.25">
      <c r="A48" t="s">
        <v>75</v>
      </c>
      <c r="B48" t="s">
        <v>850</v>
      </c>
      <c r="C48">
        <v>10</v>
      </c>
      <c r="D48" t="s">
        <v>29</v>
      </c>
      <c r="E48" t="s">
        <v>94</v>
      </c>
      <c r="F48" t="s">
        <v>110</v>
      </c>
      <c r="G48" t="s">
        <v>104</v>
      </c>
      <c r="H48" t="s">
        <v>104</v>
      </c>
      <c r="J48">
        <v>0</v>
      </c>
      <c r="K48">
        <v>2</v>
      </c>
      <c r="L48">
        <v>73.260869569999997</v>
      </c>
      <c r="M48">
        <v>34.453830549999999</v>
      </c>
      <c r="N48">
        <v>1.058333333</v>
      </c>
      <c r="O48">
        <v>113.9375</v>
      </c>
      <c r="P48">
        <v>33.375507550000002</v>
      </c>
      <c r="Q48">
        <v>2.4262999999999999</v>
      </c>
      <c r="R48" t="s">
        <v>1014</v>
      </c>
      <c r="S48">
        <v>-40.676630430000003</v>
      </c>
    </row>
    <row r="49" spans="1:19" x14ac:dyDescent="0.25">
      <c r="A49" t="s">
        <v>75</v>
      </c>
      <c r="B49" t="s">
        <v>851</v>
      </c>
      <c r="C49">
        <v>10</v>
      </c>
      <c r="D49" t="s">
        <v>29</v>
      </c>
      <c r="E49" t="s">
        <v>94</v>
      </c>
      <c r="F49" t="s">
        <v>103</v>
      </c>
      <c r="G49" t="s">
        <v>121</v>
      </c>
      <c r="H49" t="s">
        <v>251</v>
      </c>
      <c r="J49">
        <v>0</v>
      </c>
      <c r="K49">
        <v>1</v>
      </c>
      <c r="L49">
        <v>98.291666669999998</v>
      </c>
      <c r="M49">
        <v>30.315130790000001</v>
      </c>
      <c r="N49">
        <v>5.0803484000000003E-2</v>
      </c>
      <c r="O49">
        <v>85</v>
      </c>
      <c r="P49">
        <v>37.099157669999997</v>
      </c>
      <c r="Q49">
        <v>0.65291888899999995</v>
      </c>
      <c r="R49" t="s">
        <v>1014</v>
      </c>
      <c r="S49">
        <v>13.291666669999998</v>
      </c>
    </row>
    <row r="50" spans="1:19" x14ac:dyDescent="0.25">
      <c r="A50" t="s">
        <v>75</v>
      </c>
      <c r="B50" t="s">
        <v>851</v>
      </c>
      <c r="C50">
        <v>10</v>
      </c>
      <c r="D50" t="s">
        <v>29</v>
      </c>
      <c r="E50" t="s">
        <v>94</v>
      </c>
      <c r="F50" t="s">
        <v>103</v>
      </c>
      <c r="G50" t="s">
        <v>121</v>
      </c>
      <c r="H50" t="s">
        <v>233</v>
      </c>
      <c r="J50">
        <v>0</v>
      </c>
      <c r="K50">
        <v>1</v>
      </c>
      <c r="L50">
        <v>98.291666669999998</v>
      </c>
      <c r="M50">
        <v>30.315130790000001</v>
      </c>
      <c r="N50">
        <v>5.0803484000000003E-2</v>
      </c>
      <c r="O50">
        <v>106.0540541</v>
      </c>
      <c r="P50">
        <v>52.690533369999997</v>
      </c>
      <c r="Q50">
        <v>7.6058968000000005E-2</v>
      </c>
      <c r="R50" t="s">
        <v>1014</v>
      </c>
      <c r="S50">
        <v>-7.762387430000004</v>
      </c>
    </row>
    <row r="51" spans="1:19" x14ac:dyDescent="0.25">
      <c r="A51" t="s">
        <v>75</v>
      </c>
      <c r="B51" t="s">
        <v>851</v>
      </c>
      <c r="C51">
        <v>10</v>
      </c>
      <c r="D51" t="s">
        <v>29</v>
      </c>
      <c r="E51" t="s">
        <v>94</v>
      </c>
      <c r="F51" t="s">
        <v>103</v>
      </c>
      <c r="G51" t="s">
        <v>121</v>
      </c>
      <c r="H51" t="s">
        <v>105</v>
      </c>
      <c r="J51">
        <v>0</v>
      </c>
      <c r="K51">
        <v>1</v>
      </c>
      <c r="L51">
        <v>98.291666669999998</v>
      </c>
      <c r="M51">
        <v>30.315130790000001</v>
      </c>
      <c r="N51">
        <v>5.0803484000000003E-2</v>
      </c>
      <c r="O51">
        <v>67.5</v>
      </c>
      <c r="P51">
        <v>47.937235809999997</v>
      </c>
      <c r="Q51">
        <v>0.41599678000000001</v>
      </c>
      <c r="R51" t="s">
        <v>1014</v>
      </c>
      <c r="S51">
        <v>30.791666669999998</v>
      </c>
    </row>
    <row r="52" spans="1:19" x14ac:dyDescent="0.25">
      <c r="A52" t="s">
        <v>76</v>
      </c>
      <c r="B52" t="s">
        <v>852</v>
      </c>
      <c r="C52">
        <v>10</v>
      </c>
      <c r="D52" t="s">
        <v>31</v>
      </c>
      <c r="E52" t="s">
        <v>94</v>
      </c>
      <c r="F52" t="s">
        <v>113</v>
      </c>
      <c r="G52" t="s">
        <v>113</v>
      </c>
      <c r="H52" t="s">
        <v>113</v>
      </c>
      <c r="J52">
        <v>0</v>
      </c>
      <c r="K52">
        <v>2</v>
      </c>
      <c r="L52">
        <v>83.757575759999995</v>
      </c>
      <c r="M52">
        <v>22.60997987</v>
      </c>
      <c r="N52">
        <v>0.72884000000000004</v>
      </c>
      <c r="O52">
        <v>83.757575759999995</v>
      </c>
      <c r="P52">
        <v>22.60997987</v>
      </c>
      <c r="Q52">
        <v>0.72884000000000004</v>
      </c>
      <c r="R52" t="s">
        <v>1014</v>
      </c>
      <c r="S52">
        <v>0</v>
      </c>
    </row>
    <row r="53" spans="1:19" x14ac:dyDescent="0.25">
      <c r="A53" t="s">
        <v>76</v>
      </c>
      <c r="B53" t="s">
        <v>852</v>
      </c>
      <c r="C53">
        <v>10</v>
      </c>
      <c r="D53" t="s">
        <v>31</v>
      </c>
      <c r="E53" t="s">
        <v>94</v>
      </c>
      <c r="F53" t="s">
        <v>113</v>
      </c>
      <c r="G53" t="s">
        <v>113</v>
      </c>
      <c r="H53" t="s">
        <v>238</v>
      </c>
      <c r="J53">
        <v>0</v>
      </c>
      <c r="K53">
        <v>1</v>
      </c>
      <c r="L53">
        <v>83.757575759999995</v>
      </c>
      <c r="M53">
        <v>22.60997987</v>
      </c>
      <c r="N53">
        <v>0.72884000000000004</v>
      </c>
      <c r="O53">
        <v>87.5</v>
      </c>
      <c r="P53">
        <v>29.478311600000001</v>
      </c>
      <c r="Q53">
        <v>3.0797751000000002E-2</v>
      </c>
      <c r="R53" t="s">
        <v>1014</v>
      </c>
      <c r="S53">
        <v>-3.7424242400000054</v>
      </c>
    </row>
    <row r="54" spans="1:19" x14ac:dyDescent="0.25">
      <c r="A54" t="s">
        <v>76</v>
      </c>
      <c r="B54" t="s">
        <v>852</v>
      </c>
      <c r="C54">
        <v>10</v>
      </c>
      <c r="D54" t="s">
        <v>31</v>
      </c>
      <c r="E54" t="s">
        <v>94</v>
      </c>
      <c r="F54" t="s">
        <v>113</v>
      </c>
      <c r="G54" t="s">
        <v>113</v>
      </c>
      <c r="H54" t="s">
        <v>235</v>
      </c>
      <c r="J54">
        <v>0</v>
      </c>
      <c r="K54">
        <v>5</v>
      </c>
      <c r="L54">
        <v>83.757575759999995</v>
      </c>
      <c r="M54">
        <v>22.60997987</v>
      </c>
      <c r="N54">
        <v>0.72884000000000004</v>
      </c>
      <c r="O54">
        <v>132.27272730000001</v>
      </c>
      <c r="P54">
        <v>20.180448590000001</v>
      </c>
      <c r="Q54">
        <v>3.7813451999999997E-2</v>
      </c>
      <c r="R54" t="s">
        <v>1014</v>
      </c>
      <c r="S54">
        <v>-48.515151540000019</v>
      </c>
    </row>
    <row r="55" spans="1:19" x14ac:dyDescent="0.25">
      <c r="A55" t="s">
        <v>77</v>
      </c>
      <c r="B55" t="s">
        <v>853</v>
      </c>
      <c r="C55">
        <v>10</v>
      </c>
      <c r="D55" t="s">
        <v>33</v>
      </c>
      <c r="E55" t="s">
        <v>94</v>
      </c>
      <c r="F55" t="s">
        <v>102</v>
      </c>
      <c r="G55" t="s">
        <v>110</v>
      </c>
      <c r="H55" t="s">
        <v>110</v>
      </c>
      <c r="J55">
        <v>0</v>
      </c>
      <c r="K55">
        <v>1</v>
      </c>
      <c r="L55">
        <v>84.740740740000007</v>
      </c>
      <c r="M55">
        <v>29.167014049999999</v>
      </c>
      <c r="N55">
        <v>1.1169849999999999</v>
      </c>
      <c r="O55">
        <v>73.260869569999997</v>
      </c>
      <c r="P55">
        <v>34.453830549999999</v>
      </c>
      <c r="Q55">
        <v>1.058333333</v>
      </c>
      <c r="R55" t="s">
        <v>1014</v>
      </c>
      <c r="S55">
        <v>11.47987117000001</v>
      </c>
    </row>
    <row r="56" spans="1:19" x14ac:dyDescent="0.25">
      <c r="A56" t="s">
        <v>77</v>
      </c>
      <c r="B56" t="s">
        <v>853</v>
      </c>
      <c r="C56">
        <v>10</v>
      </c>
      <c r="D56" t="s">
        <v>33</v>
      </c>
      <c r="E56" t="s">
        <v>94</v>
      </c>
      <c r="F56" t="s">
        <v>102</v>
      </c>
      <c r="G56" t="s">
        <v>110</v>
      </c>
      <c r="H56" t="s">
        <v>162</v>
      </c>
      <c r="J56">
        <v>0</v>
      </c>
      <c r="K56">
        <v>1</v>
      </c>
      <c r="L56">
        <v>84.740740740000007</v>
      </c>
      <c r="M56">
        <v>29.167014049999999</v>
      </c>
      <c r="N56">
        <v>1.1169849999999999</v>
      </c>
      <c r="O56">
        <v>82.53846154</v>
      </c>
      <c r="P56">
        <v>35.660530039999998</v>
      </c>
      <c r="Q56">
        <v>3.3754499999999998</v>
      </c>
      <c r="R56" t="s">
        <v>1014</v>
      </c>
      <c r="S56">
        <v>2.2022792000000067</v>
      </c>
    </row>
    <row r="57" spans="1:19" x14ac:dyDescent="0.25">
      <c r="A57" t="s">
        <v>77</v>
      </c>
      <c r="B57" t="s">
        <v>854</v>
      </c>
      <c r="C57">
        <v>10</v>
      </c>
      <c r="D57" t="s">
        <v>33</v>
      </c>
      <c r="E57" t="s">
        <v>94</v>
      </c>
      <c r="F57" t="s">
        <v>110</v>
      </c>
      <c r="G57" t="s">
        <v>110</v>
      </c>
      <c r="H57" t="s">
        <v>110</v>
      </c>
      <c r="J57">
        <v>0</v>
      </c>
      <c r="K57">
        <v>3</v>
      </c>
      <c r="L57">
        <v>73.260869569999997</v>
      </c>
      <c r="M57">
        <v>34.453830549999999</v>
      </c>
      <c r="N57">
        <v>1.058333333</v>
      </c>
      <c r="O57">
        <v>73.260869569999997</v>
      </c>
      <c r="P57">
        <v>34.453830549999999</v>
      </c>
      <c r="Q57">
        <v>1.058333333</v>
      </c>
      <c r="R57" t="s">
        <v>1014</v>
      </c>
      <c r="S57">
        <v>0</v>
      </c>
    </row>
    <row r="58" spans="1:19" x14ac:dyDescent="0.25">
      <c r="A58" t="s">
        <v>78</v>
      </c>
      <c r="B58" t="s">
        <v>855</v>
      </c>
      <c r="C58">
        <v>10</v>
      </c>
      <c r="D58" t="s">
        <v>35</v>
      </c>
      <c r="E58" t="s">
        <v>94</v>
      </c>
      <c r="F58" t="s">
        <v>111</v>
      </c>
      <c r="G58" t="s">
        <v>121</v>
      </c>
      <c r="H58" t="s">
        <v>114</v>
      </c>
      <c r="J58">
        <v>0</v>
      </c>
      <c r="K58">
        <v>0</v>
      </c>
      <c r="L58">
        <v>94.97142857</v>
      </c>
      <c r="M58">
        <v>24.31591813</v>
      </c>
      <c r="N58">
        <v>0.122951111</v>
      </c>
      <c r="O58" t="s">
        <v>114</v>
      </c>
      <c r="P58" t="s">
        <v>114</v>
      </c>
      <c r="Q58" t="s">
        <v>114</v>
      </c>
      <c r="R58" t="s">
        <v>1014</v>
      </c>
      <c r="S58" t="s">
        <v>114</v>
      </c>
    </row>
    <row r="59" spans="1:19" x14ac:dyDescent="0.25">
      <c r="A59" t="s">
        <v>50</v>
      </c>
      <c r="B59" t="s">
        <v>856</v>
      </c>
      <c r="C59">
        <v>12</v>
      </c>
      <c r="D59" t="s">
        <v>11</v>
      </c>
      <c r="E59" t="s">
        <v>95</v>
      </c>
      <c r="F59" t="s">
        <v>113</v>
      </c>
      <c r="G59" t="s">
        <v>113</v>
      </c>
      <c r="H59" t="s">
        <v>113</v>
      </c>
      <c r="J59">
        <v>0</v>
      </c>
      <c r="K59">
        <v>6</v>
      </c>
      <c r="L59">
        <v>83.757575759999995</v>
      </c>
      <c r="M59">
        <v>22.60997987</v>
      </c>
      <c r="N59">
        <v>0.72884000000000004</v>
      </c>
      <c r="O59">
        <v>83.757575759999995</v>
      </c>
      <c r="P59">
        <v>22.60997987</v>
      </c>
      <c r="Q59">
        <v>0.72884000000000004</v>
      </c>
      <c r="R59" t="s">
        <v>1014</v>
      </c>
      <c r="S59">
        <v>0</v>
      </c>
    </row>
    <row r="60" spans="1:19" x14ac:dyDescent="0.25">
      <c r="A60" t="s">
        <v>50</v>
      </c>
      <c r="B60" t="s">
        <v>856</v>
      </c>
      <c r="C60">
        <v>12</v>
      </c>
      <c r="D60" t="s">
        <v>11</v>
      </c>
      <c r="E60" t="s">
        <v>95</v>
      </c>
      <c r="F60" t="s">
        <v>113</v>
      </c>
      <c r="G60" t="s">
        <v>113</v>
      </c>
      <c r="H60" t="s">
        <v>238</v>
      </c>
      <c r="J60">
        <v>0</v>
      </c>
      <c r="K60">
        <v>1</v>
      </c>
      <c r="L60">
        <v>83.757575759999995</v>
      </c>
      <c r="M60">
        <v>22.60997987</v>
      </c>
      <c r="N60">
        <v>0.72884000000000004</v>
      </c>
      <c r="O60">
        <v>87.5</v>
      </c>
      <c r="P60">
        <v>29.478311600000001</v>
      </c>
      <c r="Q60">
        <v>3.0797751000000002E-2</v>
      </c>
      <c r="R60" t="s">
        <v>1014</v>
      </c>
      <c r="S60">
        <v>-3.7424242400000054</v>
      </c>
    </row>
    <row r="61" spans="1:19" x14ac:dyDescent="0.25">
      <c r="A61" t="s">
        <v>50</v>
      </c>
      <c r="B61" t="s">
        <v>857</v>
      </c>
      <c r="C61">
        <v>12</v>
      </c>
      <c r="D61" t="s">
        <v>11</v>
      </c>
      <c r="E61" t="s">
        <v>95</v>
      </c>
      <c r="F61" t="s">
        <v>103</v>
      </c>
      <c r="G61" t="s">
        <v>113</v>
      </c>
      <c r="H61" t="s">
        <v>113</v>
      </c>
      <c r="J61">
        <v>0</v>
      </c>
      <c r="K61">
        <v>4</v>
      </c>
      <c r="L61">
        <v>98.291666669999998</v>
      </c>
      <c r="M61">
        <v>30.315130790000001</v>
      </c>
      <c r="N61">
        <v>5.0803484000000003E-2</v>
      </c>
      <c r="O61">
        <v>83.757575759999995</v>
      </c>
      <c r="P61">
        <v>22.60997987</v>
      </c>
      <c r="Q61">
        <v>0.72884000000000004</v>
      </c>
      <c r="R61" t="s">
        <v>1014</v>
      </c>
      <c r="S61">
        <v>14.534090910000003</v>
      </c>
    </row>
    <row r="62" spans="1:19" x14ac:dyDescent="0.25">
      <c r="A62" t="s">
        <v>50</v>
      </c>
      <c r="B62" t="s">
        <v>857</v>
      </c>
      <c r="C62">
        <v>12</v>
      </c>
      <c r="D62" t="s">
        <v>11</v>
      </c>
      <c r="E62" t="s">
        <v>95</v>
      </c>
      <c r="F62" t="s">
        <v>103</v>
      </c>
      <c r="G62" t="s">
        <v>113</v>
      </c>
      <c r="H62" t="s">
        <v>242</v>
      </c>
      <c r="J62">
        <v>0</v>
      </c>
      <c r="K62">
        <v>3</v>
      </c>
      <c r="L62">
        <v>98.291666669999998</v>
      </c>
      <c r="M62">
        <v>30.315130790000001</v>
      </c>
      <c r="N62">
        <v>5.0803484000000003E-2</v>
      </c>
      <c r="O62">
        <v>139.375</v>
      </c>
      <c r="P62">
        <v>23.713465920000001</v>
      </c>
      <c r="Q62" t="s">
        <v>114</v>
      </c>
      <c r="R62" t="s">
        <v>1014</v>
      </c>
      <c r="S62">
        <v>-41.083333330000002</v>
      </c>
    </row>
    <row r="63" spans="1:19" x14ac:dyDescent="0.25">
      <c r="A63" t="s">
        <v>50</v>
      </c>
      <c r="B63" t="s">
        <v>858</v>
      </c>
      <c r="C63">
        <v>12</v>
      </c>
      <c r="D63" t="s">
        <v>11</v>
      </c>
      <c r="E63" t="s">
        <v>95</v>
      </c>
      <c r="F63" t="s">
        <v>111</v>
      </c>
      <c r="G63" t="s">
        <v>113</v>
      </c>
      <c r="H63" t="s">
        <v>113</v>
      </c>
      <c r="J63">
        <v>0</v>
      </c>
      <c r="K63">
        <v>3</v>
      </c>
      <c r="L63">
        <v>94.97142857</v>
      </c>
      <c r="M63">
        <v>24.31591813</v>
      </c>
      <c r="N63">
        <v>0.122951111</v>
      </c>
      <c r="O63">
        <v>83.757575759999995</v>
      </c>
      <c r="P63">
        <v>22.60997987</v>
      </c>
      <c r="Q63">
        <v>0.72884000000000004</v>
      </c>
      <c r="R63" t="s">
        <v>1014</v>
      </c>
      <c r="S63">
        <v>11.213852810000006</v>
      </c>
    </row>
    <row r="64" spans="1:19" x14ac:dyDescent="0.25">
      <c r="A64" t="s">
        <v>50</v>
      </c>
      <c r="B64" t="s">
        <v>858</v>
      </c>
      <c r="C64">
        <v>12</v>
      </c>
      <c r="D64" t="s">
        <v>11</v>
      </c>
      <c r="E64" t="s">
        <v>95</v>
      </c>
      <c r="F64" t="s">
        <v>111</v>
      </c>
      <c r="G64" t="s">
        <v>113</v>
      </c>
      <c r="H64" t="s">
        <v>242</v>
      </c>
      <c r="J64">
        <v>0</v>
      </c>
      <c r="K64">
        <v>2</v>
      </c>
      <c r="L64">
        <v>94.97142857</v>
      </c>
      <c r="M64">
        <v>24.31591813</v>
      </c>
      <c r="N64">
        <v>0.122951111</v>
      </c>
      <c r="O64">
        <v>139.375</v>
      </c>
      <c r="P64">
        <v>23.713465920000001</v>
      </c>
      <c r="Q64" t="s">
        <v>114</v>
      </c>
      <c r="R64" t="s">
        <v>1014</v>
      </c>
      <c r="S64">
        <v>-44.40357143</v>
      </c>
    </row>
    <row r="65" spans="1:19" x14ac:dyDescent="0.25">
      <c r="A65" t="s">
        <v>50</v>
      </c>
      <c r="B65" t="s">
        <v>859</v>
      </c>
      <c r="C65">
        <v>12</v>
      </c>
      <c r="D65" t="s">
        <v>11</v>
      </c>
      <c r="E65" t="s">
        <v>95</v>
      </c>
      <c r="F65" t="s">
        <v>104</v>
      </c>
      <c r="G65" t="s">
        <v>121</v>
      </c>
      <c r="H65" t="s">
        <v>103</v>
      </c>
      <c r="J65">
        <v>0</v>
      </c>
      <c r="K65">
        <v>1</v>
      </c>
      <c r="L65">
        <v>113.9375</v>
      </c>
      <c r="M65">
        <v>33.375507550000002</v>
      </c>
      <c r="N65">
        <v>2.4262999999999999</v>
      </c>
      <c r="O65">
        <v>98.291666669999998</v>
      </c>
      <c r="P65">
        <v>30.315130790000001</v>
      </c>
      <c r="Q65">
        <v>5.0803484000000003E-2</v>
      </c>
      <c r="R65" t="s">
        <v>1014</v>
      </c>
      <c r="S65">
        <v>15.645833330000002</v>
      </c>
    </row>
    <row r="66" spans="1:19" x14ac:dyDescent="0.25">
      <c r="A66" t="s">
        <v>50</v>
      </c>
      <c r="B66" t="s">
        <v>859</v>
      </c>
      <c r="C66">
        <v>12</v>
      </c>
      <c r="D66" t="s">
        <v>11</v>
      </c>
      <c r="E66" t="s">
        <v>95</v>
      </c>
      <c r="F66" t="s">
        <v>104</v>
      </c>
      <c r="G66" t="s">
        <v>121</v>
      </c>
      <c r="H66" t="s">
        <v>238</v>
      </c>
      <c r="J66">
        <v>0</v>
      </c>
      <c r="K66">
        <v>1</v>
      </c>
      <c r="L66">
        <v>113.9375</v>
      </c>
      <c r="M66">
        <v>33.375507550000002</v>
      </c>
      <c r="N66">
        <v>2.4262999999999999</v>
      </c>
      <c r="O66">
        <v>87.5</v>
      </c>
      <c r="P66">
        <v>29.478311600000001</v>
      </c>
      <c r="Q66">
        <v>3.0797751000000002E-2</v>
      </c>
      <c r="R66" t="s">
        <v>1014</v>
      </c>
      <c r="S66">
        <v>26.4375</v>
      </c>
    </row>
    <row r="67" spans="1:19" x14ac:dyDescent="0.25">
      <c r="A67" t="s">
        <v>51</v>
      </c>
      <c r="B67" t="s">
        <v>860</v>
      </c>
      <c r="C67">
        <v>12</v>
      </c>
      <c r="D67" t="s">
        <v>15</v>
      </c>
      <c r="E67" t="s">
        <v>94</v>
      </c>
      <c r="F67" t="s">
        <v>105</v>
      </c>
      <c r="G67" t="s">
        <v>104</v>
      </c>
      <c r="H67" t="s">
        <v>104</v>
      </c>
      <c r="J67">
        <v>0</v>
      </c>
      <c r="K67">
        <v>2</v>
      </c>
      <c r="L67">
        <v>67.5</v>
      </c>
      <c r="M67">
        <v>47.937235809999997</v>
      </c>
      <c r="N67">
        <v>0.41599678000000001</v>
      </c>
      <c r="O67">
        <v>113.9375</v>
      </c>
      <c r="P67">
        <v>33.375507550000002</v>
      </c>
      <c r="Q67">
        <v>2.4262999999999999</v>
      </c>
      <c r="R67" t="s">
        <v>1014</v>
      </c>
      <c r="S67">
        <v>-46.4375</v>
      </c>
    </row>
    <row r="68" spans="1:19" x14ac:dyDescent="0.25">
      <c r="A68" t="s">
        <v>51</v>
      </c>
      <c r="B68" t="s">
        <v>861</v>
      </c>
      <c r="C68">
        <v>12</v>
      </c>
      <c r="D68" t="s">
        <v>15</v>
      </c>
      <c r="E68" t="s">
        <v>94</v>
      </c>
      <c r="F68" t="s">
        <v>111</v>
      </c>
      <c r="G68" t="s">
        <v>121</v>
      </c>
      <c r="H68" t="s">
        <v>241</v>
      </c>
      <c r="J68">
        <v>0</v>
      </c>
      <c r="K68">
        <v>1</v>
      </c>
      <c r="L68">
        <v>94.97142857</v>
      </c>
      <c r="M68">
        <v>24.31591813</v>
      </c>
      <c r="N68">
        <v>0.122951111</v>
      </c>
      <c r="O68">
        <v>114</v>
      </c>
      <c r="P68">
        <v>30.43077242</v>
      </c>
      <c r="Q68">
        <v>0.53383111100000002</v>
      </c>
      <c r="R68" t="s">
        <v>1014</v>
      </c>
      <c r="S68">
        <v>-19.02857143</v>
      </c>
    </row>
    <row r="69" spans="1:19" x14ac:dyDescent="0.25">
      <c r="A69" t="s">
        <v>51</v>
      </c>
      <c r="B69" t="s">
        <v>862</v>
      </c>
      <c r="C69">
        <v>12</v>
      </c>
      <c r="D69" t="s">
        <v>15</v>
      </c>
      <c r="E69" t="s">
        <v>94</v>
      </c>
      <c r="F69" t="s">
        <v>112</v>
      </c>
      <c r="G69" t="s">
        <v>112</v>
      </c>
      <c r="H69" t="s">
        <v>112</v>
      </c>
      <c r="J69">
        <v>0</v>
      </c>
      <c r="K69">
        <v>2</v>
      </c>
      <c r="L69">
        <v>65.09375</v>
      </c>
      <c r="M69">
        <v>37.895352600000002</v>
      </c>
      <c r="N69">
        <v>2.2882677779999998</v>
      </c>
      <c r="O69">
        <v>65.09375</v>
      </c>
      <c r="P69">
        <v>37.895352600000002</v>
      </c>
      <c r="Q69">
        <v>2.2882677779999998</v>
      </c>
      <c r="R69" t="s">
        <v>1014</v>
      </c>
      <c r="S69">
        <v>0</v>
      </c>
    </row>
    <row r="70" spans="1:19" x14ac:dyDescent="0.25">
      <c r="A70" t="s">
        <v>52</v>
      </c>
      <c r="B70" t="s">
        <v>863</v>
      </c>
      <c r="C70">
        <v>12</v>
      </c>
      <c r="D70" t="s">
        <v>17</v>
      </c>
      <c r="E70" t="s">
        <v>95</v>
      </c>
      <c r="F70" t="s">
        <v>102</v>
      </c>
      <c r="G70" t="s">
        <v>121</v>
      </c>
      <c r="H70" t="s">
        <v>238</v>
      </c>
      <c r="J70">
        <v>0</v>
      </c>
      <c r="K70">
        <v>1</v>
      </c>
      <c r="L70">
        <v>84.740740740000007</v>
      </c>
      <c r="M70">
        <v>29.167014049999999</v>
      </c>
      <c r="N70">
        <v>1.1169849999999999</v>
      </c>
      <c r="O70">
        <v>87.5</v>
      </c>
      <c r="P70">
        <v>29.478311600000001</v>
      </c>
      <c r="Q70">
        <v>3.0797751000000002E-2</v>
      </c>
      <c r="R70" t="s">
        <v>1014</v>
      </c>
      <c r="S70">
        <v>-2.7592592599999932</v>
      </c>
    </row>
    <row r="71" spans="1:19" x14ac:dyDescent="0.25">
      <c r="A71" t="s">
        <v>52</v>
      </c>
      <c r="B71" t="s">
        <v>863</v>
      </c>
      <c r="C71">
        <v>12</v>
      </c>
      <c r="D71" t="s">
        <v>17</v>
      </c>
      <c r="E71" t="s">
        <v>95</v>
      </c>
      <c r="F71" t="s">
        <v>102</v>
      </c>
      <c r="G71" t="s">
        <v>121</v>
      </c>
      <c r="H71" t="s">
        <v>113</v>
      </c>
      <c r="J71">
        <v>0</v>
      </c>
      <c r="K71">
        <v>1</v>
      </c>
      <c r="L71">
        <v>84.740740740000007</v>
      </c>
      <c r="M71">
        <v>29.167014049999999</v>
      </c>
      <c r="N71">
        <v>1.1169849999999999</v>
      </c>
      <c r="O71">
        <v>83.757575759999995</v>
      </c>
      <c r="P71">
        <v>22.60997987</v>
      </c>
      <c r="Q71">
        <v>0.72884000000000004</v>
      </c>
      <c r="R71" t="s">
        <v>1014</v>
      </c>
      <c r="S71">
        <v>0.98316498000001218</v>
      </c>
    </row>
    <row r="72" spans="1:19" x14ac:dyDescent="0.25">
      <c r="A72" t="s">
        <v>52</v>
      </c>
      <c r="B72" t="s">
        <v>864</v>
      </c>
      <c r="C72">
        <v>12</v>
      </c>
      <c r="D72" t="s">
        <v>17</v>
      </c>
      <c r="E72" t="s">
        <v>95</v>
      </c>
      <c r="F72" t="s">
        <v>103</v>
      </c>
      <c r="G72" t="s">
        <v>121</v>
      </c>
      <c r="H72" t="s">
        <v>234</v>
      </c>
      <c r="J72">
        <v>0</v>
      </c>
      <c r="K72">
        <v>5</v>
      </c>
      <c r="L72">
        <v>98.291666669999998</v>
      </c>
      <c r="M72">
        <v>30.315130790000001</v>
      </c>
      <c r="N72">
        <v>5.0803484000000003E-2</v>
      </c>
      <c r="O72">
        <v>89.8125</v>
      </c>
      <c r="P72">
        <v>34.754706650000003</v>
      </c>
      <c r="Q72">
        <v>2.3065078999999999E-2</v>
      </c>
      <c r="R72" t="s">
        <v>1014</v>
      </c>
      <c r="S72">
        <v>8.4791666699999979</v>
      </c>
    </row>
    <row r="73" spans="1:19" x14ac:dyDescent="0.25">
      <c r="A73" t="s">
        <v>52</v>
      </c>
      <c r="B73" t="s">
        <v>865</v>
      </c>
      <c r="C73">
        <v>12</v>
      </c>
      <c r="D73" t="s">
        <v>17</v>
      </c>
      <c r="E73" t="s">
        <v>95</v>
      </c>
      <c r="F73" t="s">
        <v>111</v>
      </c>
      <c r="G73" t="s">
        <v>103</v>
      </c>
      <c r="H73" t="s">
        <v>103</v>
      </c>
      <c r="J73">
        <v>0</v>
      </c>
      <c r="K73">
        <v>1</v>
      </c>
      <c r="L73">
        <v>94.97142857</v>
      </c>
      <c r="M73">
        <v>24.31591813</v>
      </c>
      <c r="N73">
        <v>0.122951111</v>
      </c>
      <c r="O73">
        <v>98.291666669999998</v>
      </c>
      <c r="P73">
        <v>30.315130790000001</v>
      </c>
      <c r="Q73">
        <v>5.0803484000000003E-2</v>
      </c>
      <c r="R73" t="s">
        <v>1014</v>
      </c>
      <c r="S73">
        <v>-3.3202380999999974</v>
      </c>
    </row>
    <row r="74" spans="1:19" x14ac:dyDescent="0.25">
      <c r="A74" t="s">
        <v>52</v>
      </c>
      <c r="B74" t="s">
        <v>866</v>
      </c>
      <c r="C74">
        <v>12</v>
      </c>
      <c r="D74" t="s">
        <v>17</v>
      </c>
      <c r="E74" t="s">
        <v>95</v>
      </c>
      <c r="F74" t="s">
        <v>112</v>
      </c>
      <c r="G74" t="s">
        <v>121</v>
      </c>
      <c r="H74" t="s">
        <v>235</v>
      </c>
      <c r="J74">
        <v>0</v>
      </c>
      <c r="K74">
        <v>1</v>
      </c>
      <c r="L74">
        <v>65.09375</v>
      </c>
      <c r="M74">
        <v>37.895352600000002</v>
      </c>
      <c r="N74">
        <v>2.2882677779999998</v>
      </c>
      <c r="O74">
        <v>132.27272730000001</v>
      </c>
      <c r="P74">
        <v>20.180448590000001</v>
      </c>
      <c r="Q74">
        <v>3.7813451999999997E-2</v>
      </c>
      <c r="R74" t="s">
        <v>1014</v>
      </c>
      <c r="S74">
        <v>-67.178977300000014</v>
      </c>
    </row>
    <row r="75" spans="1:19" x14ac:dyDescent="0.25">
      <c r="A75" t="s">
        <v>53</v>
      </c>
      <c r="B75" t="s">
        <v>867</v>
      </c>
      <c r="C75">
        <v>12</v>
      </c>
      <c r="D75" t="s">
        <v>19</v>
      </c>
      <c r="E75" t="s">
        <v>94</v>
      </c>
      <c r="F75" t="s">
        <v>102</v>
      </c>
      <c r="G75" t="s">
        <v>121</v>
      </c>
      <c r="H75" t="s">
        <v>808</v>
      </c>
      <c r="J75">
        <v>0</v>
      </c>
      <c r="K75">
        <v>1</v>
      </c>
      <c r="L75">
        <v>84.740740740000007</v>
      </c>
      <c r="M75">
        <v>29.167014049999999</v>
      </c>
      <c r="N75">
        <v>1.1169849999999999</v>
      </c>
      <c r="O75">
        <v>102.79166669999999</v>
      </c>
      <c r="P75">
        <v>27.057373470000002</v>
      </c>
      <c r="Q75">
        <v>6.3567849939999999</v>
      </c>
      <c r="R75" t="s">
        <v>1014</v>
      </c>
      <c r="S75">
        <v>-18.050925959999987</v>
      </c>
    </row>
    <row r="76" spans="1:19" x14ac:dyDescent="0.25">
      <c r="A76" t="s">
        <v>53</v>
      </c>
      <c r="B76" t="s">
        <v>867</v>
      </c>
      <c r="C76">
        <v>12</v>
      </c>
      <c r="D76" t="s">
        <v>19</v>
      </c>
      <c r="E76" t="s">
        <v>94</v>
      </c>
      <c r="F76" t="s">
        <v>102</v>
      </c>
      <c r="G76" t="s">
        <v>121</v>
      </c>
      <c r="H76" t="s">
        <v>241</v>
      </c>
      <c r="J76">
        <v>0</v>
      </c>
      <c r="K76">
        <v>1</v>
      </c>
      <c r="L76">
        <v>84.740740740000007</v>
      </c>
      <c r="M76">
        <v>29.167014049999999</v>
      </c>
      <c r="N76">
        <v>1.1169849999999999</v>
      </c>
      <c r="O76">
        <v>114</v>
      </c>
      <c r="P76">
        <v>30.43077242</v>
      </c>
      <c r="Q76">
        <v>0.53383111100000002</v>
      </c>
      <c r="R76" t="s">
        <v>1014</v>
      </c>
      <c r="S76">
        <v>-29.259259259999993</v>
      </c>
    </row>
    <row r="77" spans="1:19" x14ac:dyDescent="0.25">
      <c r="A77" t="s">
        <v>53</v>
      </c>
      <c r="B77" t="s">
        <v>868</v>
      </c>
      <c r="C77">
        <v>12</v>
      </c>
      <c r="D77" t="s">
        <v>19</v>
      </c>
      <c r="E77" t="s">
        <v>94</v>
      </c>
      <c r="F77" t="s">
        <v>113</v>
      </c>
      <c r="G77" t="s">
        <v>121</v>
      </c>
      <c r="H77" t="s">
        <v>103</v>
      </c>
      <c r="J77">
        <v>0</v>
      </c>
      <c r="K77">
        <v>1</v>
      </c>
      <c r="L77">
        <v>83.757575759999995</v>
      </c>
      <c r="M77">
        <v>22.60997987</v>
      </c>
      <c r="N77">
        <v>0.72884000000000004</v>
      </c>
      <c r="O77">
        <v>98.291666669999998</v>
      </c>
      <c r="P77">
        <v>30.315130790000001</v>
      </c>
      <c r="Q77">
        <v>5.0803484000000003E-2</v>
      </c>
      <c r="R77" t="s">
        <v>1014</v>
      </c>
      <c r="S77">
        <v>-14.534090910000003</v>
      </c>
    </row>
    <row r="78" spans="1:19" x14ac:dyDescent="0.25">
      <c r="A78" t="s">
        <v>53</v>
      </c>
      <c r="B78" t="s">
        <v>868</v>
      </c>
      <c r="C78">
        <v>12</v>
      </c>
      <c r="D78" t="s">
        <v>19</v>
      </c>
      <c r="E78" t="s">
        <v>94</v>
      </c>
      <c r="F78" t="s">
        <v>113</v>
      </c>
      <c r="G78" t="s">
        <v>121</v>
      </c>
      <c r="H78" t="s">
        <v>238</v>
      </c>
      <c r="J78">
        <v>0</v>
      </c>
      <c r="K78">
        <v>1</v>
      </c>
      <c r="L78">
        <v>83.757575759999995</v>
      </c>
      <c r="M78">
        <v>22.60997987</v>
      </c>
      <c r="N78">
        <v>0.72884000000000004</v>
      </c>
      <c r="O78">
        <v>87.5</v>
      </c>
      <c r="P78">
        <v>29.478311600000001</v>
      </c>
      <c r="Q78">
        <v>3.0797751000000002E-2</v>
      </c>
      <c r="R78" t="s">
        <v>1014</v>
      </c>
      <c r="S78">
        <v>-3.7424242400000054</v>
      </c>
    </row>
    <row r="79" spans="1:19" x14ac:dyDescent="0.25">
      <c r="A79" t="s">
        <v>53</v>
      </c>
      <c r="B79" t="s">
        <v>868</v>
      </c>
      <c r="C79">
        <v>12</v>
      </c>
      <c r="D79" t="s">
        <v>19</v>
      </c>
      <c r="E79" t="s">
        <v>94</v>
      </c>
      <c r="F79" t="s">
        <v>113</v>
      </c>
      <c r="G79" t="s">
        <v>121</v>
      </c>
      <c r="H79" t="s">
        <v>235</v>
      </c>
      <c r="J79">
        <v>0</v>
      </c>
      <c r="K79">
        <v>1</v>
      </c>
      <c r="L79">
        <v>83.757575759999995</v>
      </c>
      <c r="M79">
        <v>22.60997987</v>
      </c>
      <c r="N79">
        <v>0.72884000000000004</v>
      </c>
      <c r="O79">
        <v>132.27272730000001</v>
      </c>
      <c r="P79">
        <v>20.180448590000001</v>
      </c>
      <c r="Q79">
        <v>3.7813451999999997E-2</v>
      </c>
      <c r="R79" t="s">
        <v>1014</v>
      </c>
      <c r="S79">
        <v>-48.515151540000019</v>
      </c>
    </row>
    <row r="80" spans="1:19" x14ac:dyDescent="0.25">
      <c r="A80" t="s">
        <v>53</v>
      </c>
      <c r="B80" t="s">
        <v>868</v>
      </c>
      <c r="C80">
        <v>12</v>
      </c>
      <c r="D80" t="s">
        <v>19</v>
      </c>
      <c r="E80" t="s">
        <v>94</v>
      </c>
      <c r="F80" t="s">
        <v>113</v>
      </c>
      <c r="G80" t="s">
        <v>121</v>
      </c>
      <c r="H80" t="s">
        <v>241</v>
      </c>
      <c r="J80">
        <v>0</v>
      </c>
      <c r="K80">
        <v>2</v>
      </c>
      <c r="L80">
        <v>83.757575759999995</v>
      </c>
      <c r="M80">
        <v>22.60997987</v>
      </c>
      <c r="N80">
        <v>0.72884000000000004</v>
      </c>
      <c r="O80">
        <v>114</v>
      </c>
      <c r="P80">
        <v>30.43077242</v>
      </c>
      <c r="Q80">
        <v>0.53383111100000002</v>
      </c>
      <c r="R80" t="s">
        <v>1014</v>
      </c>
      <c r="S80">
        <v>-30.242424240000005</v>
      </c>
    </row>
    <row r="81" spans="1:19" x14ac:dyDescent="0.25">
      <c r="A81" t="s">
        <v>53</v>
      </c>
      <c r="B81" t="s">
        <v>868</v>
      </c>
      <c r="C81">
        <v>12</v>
      </c>
      <c r="D81" t="s">
        <v>19</v>
      </c>
      <c r="E81" t="s">
        <v>94</v>
      </c>
      <c r="F81" t="s">
        <v>113</v>
      </c>
      <c r="G81" t="s">
        <v>121</v>
      </c>
      <c r="H81" t="s">
        <v>242</v>
      </c>
      <c r="J81">
        <v>0</v>
      </c>
      <c r="K81">
        <v>1</v>
      </c>
      <c r="L81">
        <v>83.757575759999995</v>
      </c>
      <c r="M81">
        <v>22.60997987</v>
      </c>
      <c r="N81">
        <v>0.72884000000000004</v>
      </c>
      <c r="O81">
        <v>139.375</v>
      </c>
      <c r="P81">
        <v>23.713465920000001</v>
      </c>
      <c r="Q81" t="s">
        <v>114</v>
      </c>
      <c r="R81" t="s">
        <v>1014</v>
      </c>
      <c r="S81">
        <v>-55.617424240000005</v>
      </c>
    </row>
    <row r="82" spans="1:19" x14ac:dyDescent="0.25">
      <c r="A82" t="s">
        <v>53</v>
      </c>
      <c r="B82" t="s">
        <v>868</v>
      </c>
      <c r="C82">
        <v>12</v>
      </c>
      <c r="D82" t="s">
        <v>19</v>
      </c>
      <c r="E82" t="s">
        <v>94</v>
      </c>
      <c r="F82" t="s">
        <v>113</v>
      </c>
      <c r="G82" t="s">
        <v>121</v>
      </c>
      <c r="H82" t="s">
        <v>112</v>
      </c>
      <c r="J82">
        <v>0</v>
      </c>
      <c r="K82">
        <v>1</v>
      </c>
      <c r="L82">
        <v>83.757575759999995</v>
      </c>
      <c r="M82">
        <v>22.60997987</v>
      </c>
      <c r="N82">
        <v>0.72884000000000004</v>
      </c>
      <c r="O82">
        <v>65.09375</v>
      </c>
      <c r="P82">
        <v>37.895352600000002</v>
      </c>
      <c r="Q82">
        <v>2.2882677779999998</v>
      </c>
      <c r="R82" t="s">
        <v>1014</v>
      </c>
      <c r="S82">
        <v>18.663825759999995</v>
      </c>
    </row>
    <row r="83" spans="1:19" x14ac:dyDescent="0.25">
      <c r="A83" t="s">
        <v>53</v>
      </c>
      <c r="B83" t="s">
        <v>869</v>
      </c>
      <c r="C83">
        <v>12</v>
      </c>
      <c r="D83" t="s">
        <v>19</v>
      </c>
      <c r="E83" t="s">
        <v>94</v>
      </c>
      <c r="F83" t="s">
        <v>103</v>
      </c>
      <c r="G83" t="s">
        <v>121</v>
      </c>
      <c r="H83" t="s">
        <v>103</v>
      </c>
      <c r="J83">
        <v>0</v>
      </c>
      <c r="K83">
        <v>1</v>
      </c>
      <c r="L83">
        <v>98.291666669999998</v>
      </c>
      <c r="M83">
        <v>30.315130790000001</v>
      </c>
      <c r="N83">
        <v>5.0803484000000003E-2</v>
      </c>
      <c r="O83">
        <v>98.291666669999998</v>
      </c>
      <c r="P83">
        <v>30.315130790000001</v>
      </c>
      <c r="Q83">
        <v>5.0803484000000003E-2</v>
      </c>
      <c r="R83" t="s">
        <v>1014</v>
      </c>
      <c r="S83">
        <v>0</v>
      </c>
    </row>
    <row r="84" spans="1:19" x14ac:dyDescent="0.25">
      <c r="A84" t="s">
        <v>53</v>
      </c>
      <c r="B84" t="s">
        <v>869</v>
      </c>
      <c r="C84">
        <v>12</v>
      </c>
      <c r="D84" t="s">
        <v>19</v>
      </c>
      <c r="E84" t="s">
        <v>94</v>
      </c>
      <c r="F84" t="s">
        <v>103</v>
      </c>
      <c r="G84" t="s">
        <v>121</v>
      </c>
      <c r="H84" t="s">
        <v>241</v>
      </c>
      <c r="J84">
        <v>0</v>
      </c>
      <c r="K84">
        <v>1</v>
      </c>
      <c r="L84">
        <v>98.291666669999998</v>
      </c>
      <c r="M84">
        <v>30.315130790000001</v>
      </c>
      <c r="N84">
        <v>5.0803484000000003E-2</v>
      </c>
      <c r="O84">
        <v>114</v>
      </c>
      <c r="P84">
        <v>30.43077242</v>
      </c>
      <c r="Q84">
        <v>0.53383111100000002</v>
      </c>
      <c r="R84" t="s">
        <v>1014</v>
      </c>
      <c r="S84">
        <v>-15.708333330000002</v>
      </c>
    </row>
    <row r="85" spans="1:19" x14ac:dyDescent="0.25">
      <c r="A85" t="s">
        <v>53</v>
      </c>
      <c r="B85" t="s">
        <v>870</v>
      </c>
      <c r="C85">
        <v>12</v>
      </c>
      <c r="D85" t="s">
        <v>19</v>
      </c>
      <c r="E85" t="s">
        <v>94</v>
      </c>
      <c r="F85" t="s">
        <v>112</v>
      </c>
      <c r="G85" t="s">
        <v>121</v>
      </c>
      <c r="H85" t="s">
        <v>114</v>
      </c>
      <c r="J85">
        <v>0</v>
      </c>
      <c r="K85">
        <v>0</v>
      </c>
      <c r="L85">
        <v>65.09375</v>
      </c>
      <c r="M85">
        <v>37.895352600000002</v>
      </c>
      <c r="N85">
        <v>2.2882677779999998</v>
      </c>
      <c r="O85" t="s">
        <v>114</v>
      </c>
      <c r="P85" t="s">
        <v>114</v>
      </c>
      <c r="Q85" t="s">
        <v>114</v>
      </c>
      <c r="R85" t="s">
        <v>1014</v>
      </c>
      <c r="S85" t="s">
        <v>114</v>
      </c>
    </row>
    <row r="86" spans="1:19" x14ac:dyDescent="0.25">
      <c r="A86" t="s">
        <v>54</v>
      </c>
      <c r="B86" t="s">
        <v>871</v>
      </c>
      <c r="C86">
        <v>12</v>
      </c>
      <c r="D86" t="s">
        <v>21</v>
      </c>
      <c r="E86" t="s">
        <v>95</v>
      </c>
      <c r="F86" t="s">
        <v>113</v>
      </c>
      <c r="G86" t="s">
        <v>121</v>
      </c>
      <c r="H86" t="s">
        <v>241</v>
      </c>
      <c r="J86">
        <v>0</v>
      </c>
      <c r="K86">
        <v>2</v>
      </c>
      <c r="L86">
        <v>83.757575759999995</v>
      </c>
      <c r="M86">
        <v>22.60997987</v>
      </c>
      <c r="N86">
        <v>0.72884000000000004</v>
      </c>
      <c r="O86">
        <v>114</v>
      </c>
      <c r="P86">
        <v>30.43077242</v>
      </c>
      <c r="Q86">
        <v>0.53383111100000002</v>
      </c>
      <c r="R86" t="s">
        <v>1014</v>
      </c>
      <c r="S86">
        <v>-30.242424240000005</v>
      </c>
    </row>
    <row r="87" spans="1:19" x14ac:dyDescent="0.25">
      <c r="A87" t="s">
        <v>54</v>
      </c>
      <c r="B87" t="s">
        <v>872</v>
      </c>
      <c r="C87">
        <v>12</v>
      </c>
      <c r="D87" t="s">
        <v>21</v>
      </c>
      <c r="E87" t="s">
        <v>95</v>
      </c>
      <c r="F87" t="s">
        <v>110</v>
      </c>
      <c r="G87" t="s">
        <v>121</v>
      </c>
      <c r="H87" t="s">
        <v>241</v>
      </c>
      <c r="I87" t="s">
        <v>162</v>
      </c>
      <c r="J87">
        <v>1</v>
      </c>
      <c r="K87">
        <v>2</v>
      </c>
      <c r="L87">
        <v>73.260869569999997</v>
      </c>
      <c r="M87">
        <v>34.453830549999999</v>
      </c>
      <c r="N87">
        <v>1.058333333</v>
      </c>
      <c r="O87">
        <v>114</v>
      </c>
      <c r="P87">
        <v>30.43077242</v>
      </c>
      <c r="Q87">
        <v>0.53383111100000002</v>
      </c>
      <c r="R87" t="s">
        <v>1014</v>
      </c>
      <c r="S87">
        <v>-40.739130430000003</v>
      </c>
    </row>
    <row r="88" spans="1:19" x14ac:dyDescent="0.25">
      <c r="A88" t="s">
        <v>54</v>
      </c>
      <c r="B88" t="s">
        <v>873</v>
      </c>
      <c r="C88">
        <v>12</v>
      </c>
      <c r="D88" t="s">
        <v>21</v>
      </c>
      <c r="E88" t="s">
        <v>95</v>
      </c>
      <c r="F88" t="s">
        <v>111</v>
      </c>
      <c r="G88" t="s">
        <v>121</v>
      </c>
      <c r="H88" t="s">
        <v>162</v>
      </c>
      <c r="J88">
        <v>0</v>
      </c>
      <c r="K88">
        <v>1</v>
      </c>
      <c r="L88">
        <v>94.97142857</v>
      </c>
      <c r="M88">
        <v>24.31591813</v>
      </c>
      <c r="N88">
        <v>0.122951111</v>
      </c>
      <c r="O88">
        <v>82.53846154</v>
      </c>
      <c r="P88">
        <v>35.660530039999998</v>
      </c>
      <c r="Q88">
        <v>3.3754499999999998</v>
      </c>
      <c r="R88" t="s">
        <v>1014</v>
      </c>
      <c r="S88">
        <v>12.43296703</v>
      </c>
    </row>
    <row r="89" spans="1:19" x14ac:dyDescent="0.25">
      <c r="A89" t="s">
        <v>55</v>
      </c>
      <c r="B89" t="s">
        <v>874</v>
      </c>
      <c r="C89">
        <v>12</v>
      </c>
      <c r="D89" t="s">
        <v>23</v>
      </c>
      <c r="E89" t="s">
        <v>94</v>
      </c>
      <c r="F89" t="s">
        <v>113</v>
      </c>
      <c r="G89" t="s">
        <v>110</v>
      </c>
      <c r="H89" t="s">
        <v>238</v>
      </c>
      <c r="J89">
        <v>0</v>
      </c>
      <c r="K89">
        <v>1</v>
      </c>
      <c r="L89">
        <v>83.757575759999995</v>
      </c>
      <c r="M89">
        <v>22.60997987</v>
      </c>
      <c r="N89">
        <v>0.72884000000000004</v>
      </c>
      <c r="O89">
        <v>87.5</v>
      </c>
      <c r="P89">
        <v>29.478311600000001</v>
      </c>
      <c r="Q89">
        <v>3.0797751000000002E-2</v>
      </c>
      <c r="R89" t="s">
        <v>1014</v>
      </c>
      <c r="S89">
        <v>-3.7424242400000054</v>
      </c>
    </row>
    <row r="90" spans="1:19" x14ac:dyDescent="0.25">
      <c r="A90" t="s">
        <v>55</v>
      </c>
      <c r="B90" t="s">
        <v>874</v>
      </c>
      <c r="C90">
        <v>12</v>
      </c>
      <c r="D90" t="s">
        <v>23</v>
      </c>
      <c r="E90" t="s">
        <v>94</v>
      </c>
      <c r="F90" t="s">
        <v>113</v>
      </c>
      <c r="G90" t="s">
        <v>110</v>
      </c>
      <c r="H90" t="s">
        <v>103</v>
      </c>
      <c r="J90">
        <v>0</v>
      </c>
      <c r="K90">
        <v>1</v>
      </c>
      <c r="L90">
        <v>83.757575759999995</v>
      </c>
      <c r="M90">
        <v>22.60997987</v>
      </c>
      <c r="N90">
        <v>0.72884000000000004</v>
      </c>
      <c r="O90">
        <v>98.291666669999998</v>
      </c>
      <c r="P90">
        <v>30.315130790000001</v>
      </c>
      <c r="Q90">
        <v>5.0803484000000003E-2</v>
      </c>
      <c r="R90" t="s">
        <v>1014</v>
      </c>
      <c r="S90">
        <v>-14.534090910000003</v>
      </c>
    </row>
    <row r="91" spans="1:19" x14ac:dyDescent="0.25">
      <c r="A91" t="s">
        <v>55</v>
      </c>
      <c r="B91" t="s">
        <v>874</v>
      </c>
      <c r="C91">
        <v>12</v>
      </c>
      <c r="D91" t="s">
        <v>23</v>
      </c>
      <c r="E91" t="s">
        <v>94</v>
      </c>
      <c r="F91" t="s">
        <v>113</v>
      </c>
      <c r="G91" t="s">
        <v>110</v>
      </c>
      <c r="H91" t="s">
        <v>808</v>
      </c>
      <c r="J91">
        <v>0</v>
      </c>
      <c r="K91">
        <v>1</v>
      </c>
      <c r="L91">
        <v>83.757575759999995</v>
      </c>
      <c r="M91">
        <v>22.60997987</v>
      </c>
      <c r="N91">
        <v>0.72884000000000004</v>
      </c>
      <c r="O91">
        <v>102.79166669999999</v>
      </c>
      <c r="P91">
        <v>27.057373470000002</v>
      </c>
      <c r="Q91">
        <v>6.3567849939999999</v>
      </c>
      <c r="R91" t="s">
        <v>1014</v>
      </c>
      <c r="S91">
        <v>-19.034090939999999</v>
      </c>
    </row>
    <row r="92" spans="1:19" x14ac:dyDescent="0.25">
      <c r="A92" t="s">
        <v>55</v>
      </c>
      <c r="B92" t="s">
        <v>874</v>
      </c>
      <c r="C92">
        <v>12</v>
      </c>
      <c r="D92" t="s">
        <v>23</v>
      </c>
      <c r="E92" t="s">
        <v>94</v>
      </c>
      <c r="F92" t="s">
        <v>113</v>
      </c>
      <c r="G92" t="s">
        <v>110</v>
      </c>
      <c r="H92" t="s">
        <v>113</v>
      </c>
      <c r="J92">
        <v>0</v>
      </c>
      <c r="K92">
        <v>1</v>
      </c>
      <c r="L92">
        <v>83.757575759999995</v>
      </c>
      <c r="M92">
        <v>22.60997987</v>
      </c>
      <c r="N92">
        <v>0.72884000000000004</v>
      </c>
      <c r="O92">
        <v>83.757575759999995</v>
      </c>
      <c r="P92">
        <v>22.60997987</v>
      </c>
      <c r="Q92">
        <v>0.72884000000000004</v>
      </c>
      <c r="R92" t="s">
        <v>1014</v>
      </c>
      <c r="S92">
        <v>0</v>
      </c>
    </row>
    <row r="93" spans="1:19" x14ac:dyDescent="0.25">
      <c r="A93" t="s">
        <v>55</v>
      </c>
      <c r="B93" t="s">
        <v>875</v>
      </c>
      <c r="C93">
        <v>12</v>
      </c>
      <c r="D93" t="s">
        <v>23</v>
      </c>
      <c r="E93" t="s">
        <v>94</v>
      </c>
      <c r="F93" t="s">
        <v>110</v>
      </c>
      <c r="G93" t="s">
        <v>103</v>
      </c>
      <c r="H93" t="s">
        <v>114</v>
      </c>
      <c r="J93">
        <v>0</v>
      </c>
      <c r="K93" t="s">
        <v>114</v>
      </c>
      <c r="L93">
        <v>73.260869569999997</v>
      </c>
      <c r="M93">
        <v>34.453830549999999</v>
      </c>
      <c r="N93">
        <v>1.058333333</v>
      </c>
      <c r="O93" t="s">
        <v>114</v>
      </c>
      <c r="P93" t="s">
        <v>114</v>
      </c>
      <c r="Q93" t="s">
        <v>114</v>
      </c>
      <c r="R93" t="s">
        <v>1014</v>
      </c>
      <c r="S93" t="s">
        <v>114</v>
      </c>
    </row>
    <row r="94" spans="1:19" x14ac:dyDescent="0.25">
      <c r="A94" t="s">
        <v>55</v>
      </c>
      <c r="B94" t="s">
        <v>876</v>
      </c>
      <c r="C94">
        <v>12</v>
      </c>
      <c r="D94" t="s">
        <v>23</v>
      </c>
      <c r="E94" t="s">
        <v>94</v>
      </c>
      <c r="F94" t="s">
        <v>103</v>
      </c>
      <c r="G94" t="s">
        <v>103</v>
      </c>
      <c r="H94" t="s">
        <v>114</v>
      </c>
      <c r="J94">
        <v>0</v>
      </c>
      <c r="K94" t="s">
        <v>114</v>
      </c>
      <c r="L94">
        <v>98.291666669999998</v>
      </c>
      <c r="M94">
        <v>30.315130790000001</v>
      </c>
      <c r="N94">
        <v>5.0803484000000003E-2</v>
      </c>
      <c r="O94" t="s">
        <v>114</v>
      </c>
      <c r="P94" t="s">
        <v>114</v>
      </c>
      <c r="Q94" t="s">
        <v>114</v>
      </c>
      <c r="R94" t="s">
        <v>1014</v>
      </c>
      <c r="S94" t="s">
        <v>114</v>
      </c>
    </row>
    <row r="95" spans="1:19" x14ac:dyDescent="0.25">
      <c r="A95" t="s">
        <v>55</v>
      </c>
      <c r="B95" t="s">
        <v>877</v>
      </c>
      <c r="C95">
        <v>12</v>
      </c>
      <c r="D95" t="s">
        <v>23</v>
      </c>
      <c r="E95" t="s">
        <v>94</v>
      </c>
      <c r="F95" t="s">
        <v>111</v>
      </c>
      <c r="G95" t="s">
        <v>113</v>
      </c>
      <c r="H95" t="s">
        <v>113</v>
      </c>
      <c r="J95">
        <v>0</v>
      </c>
      <c r="K95">
        <v>2</v>
      </c>
      <c r="L95">
        <v>94.97142857</v>
      </c>
      <c r="M95">
        <v>24.31591813</v>
      </c>
      <c r="N95">
        <v>0.122951111</v>
      </c>
      <c r="O95">
        <v>83.757575759999995</v>
      </c>
      <c r="P95">
        <v>22.60997987</v>
      </c>
      <c r="Q95">
        <v>0.72884000000000004</v>
      </c>
      <c r="R95" t="s">
        <v>1014</v>
      </c>
      <c r="S95">
        <v>11.213852810000006</v>
      </c>
    </row>
    <row r="96" spans="1:19" x14ac:dyDescent="0.25">
      <c r="A96" t="s">
        <v>55</v>
      </c>
      <c r="B96" t="s">
        <v>877</v>
      </c>
      <c r="C96">
        <v>12</v>
      </c>
      <c r="D96" t="s">
        <v>23</v>
      </c>
      <c r="E96" t="s">
        <v>94</v>
      </c>
      <c r="F96" t="s">
        <v>111</v>
      </c>
      <c r="G96" t="s">
        <v>113</v>
      </c>
      <c r="H96" t="s">
        <v>797</v>
      </c>
      <c r="J96">
        <v>0</v>
      </c>
      <c r="K96">
        <v>1</v>
      </c>
      <c r="L96">
        <v>94.97142857</v>
      </c>
      <c r="M96">
        <v>24.31591813</v>
      </c>
      <c r="N96">
        <v>0.122951111</v>
      </c>
      <c r="O96">
        <v>179.45454549999999</v>
      </c>
      <c r="P96">
        <v>26.326869609999999</v>
      </c>
      <c r="Q96">
        <v>2.3456094639999998</v>
      </c>
      <c r="R96" t="s">
        <v>1014</v>
      </c>
      <c r="S96">
        <v>-84.483116929999994</v>
      </c>
    </row>
    <row r="97" spans="1:19" x14ac:dyDescent="0.25">
      <c r="A97" t="s">
        <v>56</v>
      </c>
      <c r="B97" t="s">
        <v>878</v>
      </c>
      <c r="C97">
        <v>12</v>
      </c>
      <c r="D97" t="s">
        <v>25</v>
      </c>
      <c r="E97" t="s">
        <v>94</v>
      </c>
      <c r="F97" t="s">
        <v>113</v>
      </c>
      <c r="G97" t="s">
        <v>113</v>
      </c>
      <c r="H97" t="s">
        <v>113</v>
      </c>
      <c r="J97">
        <v>0</v>
      </c>
      <c r="K97">
        <v>3</v>
      </c>
      <c r="L97">
        <v>83.757575759999995</v>
      </c>
      <c r="M97">
        <v>22.60997987</v>
      </c>
      <c r="N97">
        <v>0.72884000000000004</v>
      </c>
      <c r="O97">
        <v>83.757575759999995</v>
      </c>
      <c r="P97">
        <v>22.60997987</v>
      </c>
      <c r="Q97">
        <v>0.72884000000000004</v>
      </c>
      <c r="R97" t="s">
        <v>1014</v>
      </c>
      <c r="S97">
        <v>0</v>
      </c>
    </row>
    <row r="98" spans="1:19" x14ac:dyDescent="0.25">
      <c r="A98" t="s">
        <v>56</v>
      </c>
      <c r="B98" t="s">
        <v>879</v>
      </c>
      <c r="C98">
        <v>12</v>
      </c>
      <c r="D98" t="s">
        <v>25</v>
      </c>
      <c r="E98" t="s">
        <v>94</v>
      </c>
      <c r="F98" t="s">
        <v>111</v>
      </c>
      <c r="G98" t="s">
        <v>121</v>
      </c>
      <c r="H98" t="s">
        <v>112</v>
      </c>
      <c r="J98">
        <v>0</v>
      </c>
      <c r="K98">
        <v>1</v>
      </c>
      <c r="L98">
        <v>94.97142857</v>
      </c>
      <c r="M98">
        <v>24.31591813</v>
      </c>
      <c r="N98">
        <v>0.122951111</v>
      </c>
      <c r="O98">
        <v>65.09375</v>
      </c>
      <c r="P98">
        <v>37.895352600000002</v>
      </c>
      <c r="Q98">
        <v>2.2882677779999998</v>
      </c>
      <c r="R98" t="s">
        <v>1014</v>
      </c>
      <c r="S98">
        <v>29.87767857</v>
      </c>
    </row>
    <row r="99" spans="1:19" x14ac:dyDescent="0.25">
      <c r="A99" t="s">
        <v>56</v>
      </c>
      <c r="B99" t="s">
        <v>880</v>
      </c>
      <c r="C99">
        <v>12</v>
      </c>
      <c r="D99" t="s">
        <v>25</v>
      </c>
      <c r="E99" t="s">
        <v>94</v>
      </c>
      <c r="F99" t="s">
        <v>104</v>
      </c>
      <c r="G99" t="s">
        <v>121</v>
      </c>
      <c r="H99" t="s">
        <v>104</v>
      </c>
      <c r="J99">
        <v>0</v>
      </c>
      <c r="K99">
        <v>1</v>
      </c>
      <c r="L99">
        <v>113.9375</v>
      </c>
      <c r="M99">
        <v>33.375507550000002</v>
      </c>
      <c r="N99">
        <v>2.4262999999999999</v>
      </c>
      <c r="O99">
        <v>113.9375</v>
      </c>
      <c r="P99">
        <v>33.375507550000002</v>
      </c>
      <c r="Q99">
        <v>2.4262999999999999</v>
      </c>
      <c r="R99" t="s">
        <v>1014</v>
      </c>
      <c r="S99">
        <v>0</v>
      </c>
    </row>
    <row r="100" spans="1:19" x14ac:dyDescent="0.25">
      <c r="A100" t="s">
        <v>56</v>
      </c>
      <c r="B100" t="s">
        <v>881</v>
      </c>
      <c r="C100">
        <v>12</v>
      </c>
      <c r="D100" t="s">
        <v>25</v>
      </c>
      <c r="E100" t="s">
        <v>94</v>
      </c>
      <c r="F100" t="s">
        <v>112</v>
      </c>
      <c r="G100" t="s">
        <v>121</v>
      </c>
      <c r="H100" t="s">
        <v>241</v>
      </c>
      <c r="J100">
        <v>0</v>
      </c>
      <c r="K100">
        <v>4</v>
      </c>
      <c r="L100">
        <v>65.09375</v>
      </c>
      <c r="M100">
        <v>37.895352600000002</v>
      </c>
      <c r="N100">
        <v>2.2882677779999998</v>
      </c>
      <c r="O100">
        <v>114</v>
      </c>
      <c r="P100">
        <v>30.43077242</v>
      </c>
      <c r="Q100">
        <v>0.53383111100000002</v>
      </c>
      <c r="R100" t="s">
        <v>1014</v>
      </c>
      <c r="S100">
        <v>-48.90625</v>
      </c>
    </row>
    <row r="101" spans="1:19" x14ac:dyDescent="0.25">
      <c r="A101" t="s">
        <v>57</v>
      </c>
      <c r="B101" t="s">
        <v>882</v>
      </c>
      <c r="C101">
        <v>12</v>
      </c>
      <c r="D101" t="s">
        <v>27</v>
      </c>
      <c r="E101" t="s">
        <v>94</v>
      </c>
      <c r="F101" t="s">
        <v>105</v>
      </c>
      <c r="G101" t="s">
        <v>121</v>
      </c>
      <c r="H101" t="s">
        <v>247</v>
      </c>
      <c r="J101">
        <v>0</v>
      </c>
      <c r="K101">
        <v>1</v>
      </c>
      <c r="L101">
        <v>67.5</v>
      </c>
      <c r="M101">
        <v>47.937235809999997</v>
      </c>
      <c r="N101">
        <v>0.41599678000000001</v>
      </c>
      <c r="O101">
        <v>65.791044779999993</v>
      </c>
      <c r="P101">
        <v>22.94519201</v>
      </c>
      <c r="Q101">
        <v>8.1320334999999994E-2</v>
      </c>
      <c r="R101" t="s">
        <v>1014</v>
      </c>
      <c r="S101">
        <v>1.7089552200000071</v>
      </c>
    </row>
    <row r="102" spans="1:19" x14ac:dyDescent="0.25">
      <c r="A102" t="s">
        <v>57</v>
      </c>
      <c r="B102" t="s">
        <v>882</v>
      </c>
      <c r="C102">
        <v>12</v>
      </c>
      <c r="D102" t="s">
        <v>27</v>
      </c>
      <c r="E102" t="s">
        <v>94</v>
      </c>
      <c r="F102" t="s">
        <v>105</v>
      </c>
      <c r="G102" t="s">
        <v>121</v>
      </c>
      <c r="H102" t="s">
        <v>103</v>
      </c>
      <c r="J102">
        <v>0</v>
      </c>
      <c r="K102">
        <v>1</v>
      </c>
      <c r="L102">
        <v>67.5</v>
      </c>
      <c r="M102">
        <v>47.937235809999997</v>
      </c>
      <c r="N102">
        <v>0.41599678000000001</v>
      </c>
      <c r="O102">
        <v>98.291666669999998</v>
      </c>
      <c r="P102">
        <v>30.315130790000001</v>
      </c>
      <c r="Q102">
        <v>5.0803484000000003E-2</v>
      </c>
      <c r="R102" t="s">
        <v>1014</v>
      </c>
      <c r="S102">
        <v>-30.791666669999998</v>
      </c>
    </row>
    <row r="103" spans="1:19" x14ac:dyDescent="0.25">
      <c r="A103" t="s">
        <v>57</v>
      </c>
      <c r="B103" t="s">
        <v>882</v>
      </c>
      <c r="C103">
        <v>12</v>
      </c>
      <c r="D103" t="s">
        <v>27</v>
      </c>
      <c r="E103" t="s">
        <v>94</v>
      </c>
      <c r="F103" t="s">
        <v>105</v>
      </c>
      <c r="G103" t="s">
        <v>121</v>
      </c>
      <c r="H103" t="s">
        <v>233</v>
      </c>
      <c r="J103">
        <v>0</v>
      </c>
      <c r="K103">
        <v>6</v>
      </c>
      <c r="L103">
        <v>67.5</v>
      </c>
      <c r="M103">
        <v>47.937235809999997</v>
      </c>
      <c r="N103">
        <v>0.41599678000000001</v>
      </c>
      <c r="O103">
        <v>106.0540541</v>
      </c>
      <c r="P103">
        <v>52.690533369999997</v>
      </c>
      <c r="Q103">
        <v>7.6058968000000005E-2</v>
      </c>
      <c r="R103" t="s">
        <v>1014</v>
      </c>
      <c r="S103">
        <v>-38.554054100000002</v>
      </c>
    </row>
    <row r="104" spans="1:19" x14ac:dyDescent="0.25">
      <c r="A104" t="s">
        <v>57</v>
      </c>
      <c r="B104" t="s">
        <v>883</v>
      </c>
      <c r="C104">
        <v>12</v>
      </c>
      <c r="D104" t="s">
        <v>27</v>
      </c>
      <c r="E104" t="s">
        <v>94</v>
      </c>
      <c r="F104" t="s">
        <v>113</v>
      </c>
      <c r="G104" t="s">
        <v>121</v>
      </c>
      <c r="H104" t="s">
        <v>114</v>
      </c>
      <c r="J104">
        <v>0</v>
      </c>
      <c r="K104" t="s">
        <v>114</v>
      </c>
      <c r="L104">
        <v>83.757575759999995</v>
      </c>
      <c r="M104">
        <v>22.60997987</v>
      </c>
      <c r="N104">
        <v>0.72884000000000004</v>
      </c>
      <c r="O104" t="s">
        <v>114</v>
      </c>
      <c r="P104" t="s">
        <v>114</v>
      </c>
      <c r="Q104" t="s">
        <v>114</v>
      </c>
      <c r="R104" t="s">
        <v>1014</v>
      </c>
      <c r="S104" t="s">
        <v>114</v>
      </c>
    </row>
    <row r="105" spans="1:19" x14ac:dyDescent="0.25">
      <c r="A105" t="s">
        <v>57</v>
      </c>
      <c r="B105" t="s">
        <v>884</v>
      </c>
      <c r="C105">
        <v>12</v>
      </c>
      <c r="D105" t="s">
        <v>27</v>
      </c>
      <c r="E105" t="s">
        <v>94</v>
      </c>
      <c r="F105" t="s">
        <v>112</v>
      </c>
      <c r="G105" t="s">
        <v>112</v>
      </c>
      <c r="H105" t="s">
        <v>112</v>
      </c>
      <c r="J105">
        <v>0</v>
      </c>
      <c r="K105">
        <v>2</v>
      </c>
      <c r="L105">
        <v>65.09375</v>
      </c>
      <c r="M105">
        <v>37.895352600000002</v>
      </c>
      <c r="N105">
        <v>2.2882677779999998</v>
      </c>
      <c r="O105">
        <v>65.09375</v>
      </c>
      <c r="P105">
        <v>37.895352600000002</v>
      </c>
      <c r="Q105">
        <v>2.2882677779999998</v>
      </c>
      <c r="R105" t="s">
        <v>1014</v>
      </c>
      <c r="S105">
        <v>0</v>
      </c>
    </row>
    <row r="106" spans="1:19" x14ac:dyDescent="0.25">
      <c r="A106" t="s">
        <v>57</v>
      </c>
      <c r="B106" t="s">
        <v>884</v>
      </c>
      <c r="C106">
        <v>12</v>
      </c>
      <c r="D106" t="s">
        <v>27</v>
      </c>
      <c r="E106" t="s">
        <v>94</v>
      </c>
      <c r="F106" t="s">
        <v>112</v>
      </c>
      <c r="G106" t="s">
        <v>112</v>
      </c>
      <c r="H106" t="s">
        <v>247</v>
      </c>
      <c r="J106">
        <v>0</v>
      </c>
      <c r="K106">
        <v>1</v>
      </c>
      <c r="L106">
        <v>65.09375</v>
      </c>
      <c r="M106">
        <v>37.895352600000002</v>
      </c>
      <c r="N106">
        <v>2.2882677779999998</v>
      </c>
      <c r="O106">
        <v>65.791044779999993</v>
      </c>
      <c r="P106">
        <v>22.94519201</v>
      </c>
      <c r="Q106">
        <v>8.1320334999999994E-2</v>
      </c>
      <c r="R106" t="s">
        <v>1014</v>
      </c>
      <c r="S106">
        <v>-0.6972947799999929</v>
      </c>
    </row>
    <row r="107" spans="1:19" x14ac:dyDescent="0.25">
      <c r="A107" t="s">
        <v>58</v>
      </c>
      <c r="B107" t="s">
        <v>885</v>
      </c>
      <c r="C107">
        <v>12</v>
      </c>
      <c r="D107" t="s">
        <v>29</v>
      </c>
      <c r="E107" t="s">
        <v>95</v>
      </c>
      <c r="F107" t="s">
        <v>102</v>
      </c>
      <c r="G107" t="s">
        <v>104</v>
      </c>
      <c r="H107" t="s">
        <v>104</v>
      </c>
      <c r="J107">
        <v>0</v>
      </c>
      <c r="K107">
        <v>1</v>
      </c>
      <c r="L107">
        <v>84.740740740000007</v>
      </c>
      <c r="M107">
        <v>29.167014049999999</v>
      </c>
      <c r="N107">
        <v>1.1169849999999999</v>
      </c>
      <c r="O107">
        <v>113.9375</v>
      </c>
      <c r="P107">
        <v>33.375507550000002</v>
      </c>
      <c r="Q107">
        <v>2.4262999999999999</v>
      </c>
      <c r="R107" t="s">
        <v>1014</v>
      </c>
      <c r="S107">
        <v>-29.196759259999993</v>
      </c>
    </row>
    <row r="108" spans="1:19" x14ac:dyDescent="0.25">
      <c r="A108" t="s">
        <v>58</v>
      </c>
      <c r="B108" t="s">
        <v>885</v>
      </c>
      <c r="C108">
        <v>12</v>
      </c>
      <c r="D108" t="s">
        <v>29</v>
      </c>
      <c r="E108" t="s">
        <v>95</v>
      </c>
      <c r="F108" t="s">
        <v>102</v>
      </c>
      <c r="G108" t="s">
        <v>104</v>
      </c>
      <c r="H108" t="s">
        <v>246</v>
      </c>
      <c r="J108">
        <v>0</v>
      </c>
      <c r="K108">
        <v>1</v>
      </c>
      <c r="L108">
        <v>84.740740740000007</v>
      </c>
      <c r="M108">
        <v>29.167014049999999</v>
      </c>
      <c r="N108">
        <v>1.1169849999999999</v>
      </c>
      <c r="O108">
        <v>120.25</v>
      </c>
      <c r="P108">
        <v>30.670450110000001</v>
      </c>
      <c r="Q108">
        <v>0.91037498500000003</v>
      </c>
      <c r="R108" t="s">
        <v>1014</v>
      </c>
      <c r="S108">
        <v>-35.509259259999993</v>
      </c>
    </row>
    <row r="109" spans="1:19" x14ac:dyDescent="0.25">
      <c r="A109" t="s">
        <v>58</v>
      </c>
      <c r="B109" t="s">
        <v>886</v>
      </c>
      <c r="C109">
        <v>12</v>
      </c>
      <c r="D109" t="s">
        <v>29</v>
      </c>
      <c r="E109" t="s">
        <v>95</v>
      </c>
      <c r="F109" t="s">
        <v>110</v>
      </c>
      <c r="G109" t="s">
        <v>121</v>
      </c>
      <c r="H109" t="s">
        <v>246</v>
      </c>
      <c r="I109" t="s">
        <v>162</v>
      </c>
      <c r="J109">
        <v>1</v>
      </c>
      <c r="K109">
        <v>1</v>
      </c>
      <c r="L109">
        <v>73.260869569999997</v>
      </c>
      <c r="M109">
        <v>34.453830549999999</v>
      </c>
      <c r="N109">
        <v>1.058333333</v>
      </c>
      <c r="O109">
        <v>120.25</v>
      </c>
      <c r="P109">
        <v>30.670450110000001</v>
      </c>
      <c r="Q109">
        <v>0.91037498500000003</v>
      </c>
      <c r="R109" t="s">
        <v>1014</v>
      </c>
      <c r="S109">
        <v>-46.989130430000003</v>
      </c>
    </row>
    <row r="110" spans="1:19" x14ac:dyDescent="0.25">
      <c r="A110" t="s">
        <v>58</v>
      </c>
      <c r="B110" t="s">
        <v>886</v>
      </c>
      <c r="C110">
        <v>12</v>
      </c>
      <c r="D110" t="s">
        <v>29</v>
      </c>
      <c r="E110" t="s">
        <v>95</v>
      </c>
      <c r="F110" t="s">
        <v>110</v>
      </c>
      <c r="G110" t="s">
        <v>121</v>
      </c>
      <c r="H110" t="s">
        <v>239</v>
      </c>
      <c r="J110">
        <v>1</v>
      </c>
      <c r="K110">
        <v>1</v>
      </c>
      <c r="L110">
        <v>73.260869569999997</v>
      </c>
      <c r="M110">
        <v>34.453830549999999</v>
      </c>
      <c r="N110">
        <v>1.058333333</v>
      </c>
      <c r="O110">
        <v>100.45454549999999</v>
      </c>
      <c r="P110">
        <v>26.754810689999999</v>
      </c>
      <c r="Q110">
        <v>0.75829999999999997</v>
      </c>
      <c r="R110" t="s">
        <v>1014</v>
      </c>
      <c r="S110">
        <v>-27.193675929999998</v>
      </c>
    </row>
    <row r="111" spans="1:19" x14ac:dyDescent="0.25">
      <c r="A111" t="s">
        <v>58</v>
      </c>
      <c r="B111" t="s">
        <v>887</v>
      </c>
      <c r="C111">
        <v>12</v>
      </c>
      <c r="D111" t="s">
        <v>29</v>
      </c>
      <c r="E111" t="s">
        <v>95</v>
      </c>
      <c r="F111" t="s">
        <v>103</v>
      </c>
      <c r="G111" t="s">
        <v>121</v>
      </c>
      <c r="H111" t="s">
        <v>249</v>
      </c>
      <c r="J111">
        <v>0</v>
      </c>
      <c r="K111">
        <v>1</v>
      </c>
      <c r="L111">
        <v>98.291666669999998</v>
      </c>
      <c r="M111">
        <v>30.315130790000001</v>
      </c>
      <c r="N111">
        <v>5.0803484000000003E-2</v>
      </c>
      <c r="O111">
        <v>81.666666669999998</v>
      </c>
      <c r="P111">
        <v>48.056268459999998</v>
      </c>
      <c r="Q111">
        <v>0.120291364</v>
      </c>
      <c r="R111" t="s">
        <v>1014</v>
      </c>
      <c r="S111">
        <v>16.625</v>
      </c>
    </row>
    <row r="112" spans="1:19" x14ac:dyDescent="0.25">
      <c r="A112" t="s">
        <v>58</v>
      </c>
      <c r="B112" t="s">
        <v>887</v>
      </c>
      <c r="C112">
        <v>12</v>
      </c>
      <c r="D112" t="s">
        <v>29</v>
      </c>
      <c r="E112" t="s">
        <v>95</v>
      </c>
      <c r="F112" t="s">
        <v>103</v>
      </c>
      <c r="G112" t="s">
        <v>121</v>
      </c>
      <c r="H112" t="s">
        <v>238</v>
      </c>
      <c r="J112">
        <v>0</v>
      </c>
      <c r="K112">
        <v>1</v>
      </c>
      <c r="L112">
        <v>98.291666669999998</v>
      </c>
      <c r="M112">
        <v>30.315130790000001</v>
      </c>
      <c r="N112">
        <v>5.0803484000000003E-2</v>
      </c>
      <c r="O112">
        <v>87.5</v>
      </c>
      <c r="P112">
        <v>29.478311600000001</v>
      </c>
      <c r="Q112">
        <v>3.0797751000000002E-2</v>
      </c>
      <c r="R112" t="s">
        <v>1014</v>
      </c>
      <c r="S112">
        <v>10.791666669999998</v>
      </c>
    </row>
    <row r="113" spans="1:19" x14ac:dyDescent="0.25">
      <c r="A113" t="s">
        <v>59</v>
      </c>
      <c r="B113" t="s">
        <v>888</v>
      </c>
      <c r="C113">
        <v>12</v>
      </c>
      <c r="D113" t="s">
        <v>31</v>
      </c>
      <c r="E113" t="s">
        <v>94</v>
      </c>
      <c r="F113" t="s">
        <v>105</v>
      </c>
      <c r="G113" t="s">
        <v>121</v>
      </c>
      <c r="H113" t="s">
        <v>241</v>
      </c>
      <c r="J113">
        <v>0</v>
      </c>
      <c r="K113">
        <v>1</v>
      </c>
      <c r="L113">
        <v>67.5</v>
      </c>
      <c r="M113">
        <v>47.937235809999997</v>
      </c>
      <c r="N113">
        <v>0.41599678000000001</v>
      </c>
      <c r="O113">
        <v>114</v>
      </c>
      <c r="P113">
        <v>30.43077242</v>
      </c>
      <c r="Q113">
        <v>0.53383111100000002</v>
      </c>
      <c r="R113" t="s">
        <v>1014</v>
      </c>
      <c r="S113">
        <v>-46.5</v>
      </c>
    </row>
    <row r="114" spans="1:19" x14ac:dyDescent="0.25">
      <c r="A114" t="s">
        <v>59</v>
      </c>
      <c r="B114" t="s">
        <v>889</v>
      </c>
      <c r="C114">
        <v>12</v>
      </c>
      <c r="D114" t="s">
        <v>31</v>
      </c>
      <c r="E114" t="s">
        <v>94</v>
      </c>
      <c r="F114" t="s">
        <v>110</v>
      </c>
      <c r="G114" t="s">
        <v>121</v>
      </c>
      <c r="H114" t="s">
        <v>241</v>
      </c>
      <c r="J114">
        <v>0</v>
      </c>
      <c r="K114">
        <v>2</v>
      </c>
      <c r="L114">
        <v>73.260869569999997</v>
      </c>
      <c r="M114">
        <v>34.453830549999999</v>
      </c>
      <c r="N114">
        <v>1.058333333</v>
      </c>
      <c r="O114">
        <v>114</v>
      </c>
      <c r="P114">
        <v>30.43077242</v>
      </c>
      <c r="Q114">
        <v>0.53383111100000002</v>
      </c>
      <c r="R114" t="s">
        <v>1014</v>
      </c>
      <c r="S114">
        <v>-40.739130430000003</v>
      </c>
    </row>
    <row r="115" spans="1:19" x14ac:dyDescent="0.25">
      <c r="A115" t="s">
        <v>60</v>
      </c>
      <c r="B115" t="s">
        <v>890</v>
      </c>
      <c r="C115">
        <v>12</v>
      </c>
      <c r="D115" t="s">
        <v>33</v>
      </c>
      <c r="E115" t="s">
        <v>95</v>
      </c>
      <c r="F115" t="s">
        <v>102</v>
      </c>
      <c r="G115" t="s">
        <v>104</v>
      </c>
      <c r="H115" t="s">
        <v>104</v>
      </c>
      <c r="J115">
        <v>0</v>
      </c>
      <c r="K115">
        <v>1</v>
      </c>
      <c r="L115">
        <v>84.740740740000007</v>
      </c>
      <c r="M115">
        <v>29.167014049999999</v>
      </c>
      <c r="N115">
        <v>1.1169849999999999</v>
      </c>
      <c r="O115">
        <v>113.9375</v>
      </c>
      <c r="P115">
        <v>33.375507550000002</v>
      </c>
      <c r="Q115">
        <v>2.4262999999999999</v>
      </c>
      <c r="R115" t="s">
        <v>1014</v>
      </c>
      <c r="S115">
        <v>-29.196759259999993</v>
      </c>
    </row>
    <row r="116" spans="1:19" x14ac:dyDescent="0.25">
      <c r="A116" t="s">
        <v>60</v>
      </c>
      <c r="B116" t="s">
        <v>891</v>
      </c>
      <c r="C116">
        <v>12</v>
      </c>
      <c r="D116" t="s">
        <v>33</v>
      </c>
      <c r="E116" t="s">
        <v>95</v>
      </c>
      <c r="F116" t="s">
        <v>110</v>
      </c>
      <c r="G116" t="s">
        <v>121</v>
      </c>
      <c r="H116" t="s">
        <v>241</v>
      </c>
      <c r="J116">
        <v>0</v>
      </c>
      <c r="K116">
        <v>2</v>
      </c>
      <c r="L116">
        <v>73.260869569999997</v>
      </c>
      <c r="M116">
        <v>34.453830549999999</v>
      </c>
      <c r="N116">
        <v>1.058333333</v>
      </c>
      <c r="O116">
        <v>114</v>
      </c>
      <c r="P116">
        <v>30.43077242</v>
      </c>
      <c r="Q116">
        <v>0.53383111100000002</v>
      </c>
      <c r="R116" t="s">
        <v>1014</v>
      </c>
      <c r="S116">
        <v>-40.739130430000003</v>
      </c>
    </row>
    <row r="117" spans="1:19" x14ac:dyDescent="0.25">
      <c r="A117" t="s">
        <v>60</v>
      </c>
      <c r="B117" t="s">
        <v>891</v>
      </c>
      <c r="C117">
        <v>12</v>
      </c>
      <c r="D117" t="s">
        <v>33</v>
      </c>
      <c r="E117" t="s">
        <v>95</v>
      </c>
      <c r="F117" t="s">
        <v>110</v>
      </c>
      <c r="G117" t="s">
        <v>121</v>
      </c>
      <c r="H117" t="s">
        <v>246</v>
      </c>
      <c r="J117">
        <v>0</v>
      </c>
      <c r="K117">
        <v>2</v>
      </c>
      <c r="L117">
        <v>73.260869569999997</v>
      </c>
      <c r="M117">
        <v>34.453830549999999</v>
      </c>
      <c r="N117">
        <v>1.058333333</v>
      </c>
      <c r="O117">
        <v>120.25</v>
      </c>
      <c r="P117">
        <v>30.670450110000001</v>
      </c>
      <c r="Q117">
        <v>0.91037498500000003</v>
      </c>
      <c r="R117" t="s">
        <v>1014</v>
      </c>
      <c r="S117">
        <v>-46.989130430000003</v>
      </c>
    </row>
    <row r="118" spans="1:19" x14ac:dyDescent="0.25">
      <c r="A118" t="s">
        <v>60</v>
      </c>
      <c r="B118" t="s">
        <v>892</v>
      </c>
      <c r="C118">
        <v>12</v>
      </c>
      <c r="D118" t="s">
        <v>33</v>
      </c>
      <c r="E118" t="s">
        <v>95</v>
      </c>
      <c r="F118" t="s">
        <v>104</v>
      </c>
      <c r="G118" t="s">
        <v>104</v>
      </c>
      <c r="H118" t="s">
        <v>104</v>
      </c>
      <c r="J118">
        <v>0</v>
      </c>
      <c r="K118">
        <v>1</v>
      </c>
      <c r="L118">
        <v>113.9375</v>
      </c>
      <c r="M118">
        <v>33.375507550000002</v>
      </c>
      <c r="N118">
        <v>2.4262999999999999</v>
      </c>
      <c r="O118">
        <v>113.9375</v>
      </c>
      <c r="P118">
        <v>33.375507550000002</v>
      </c>
      <c r="Q118">
        <v>2.4262999999999999</v>
      </c>
      <c r="R118" t="s">
        <v>1014</v>
      </c>
      <c r="S118">
        <v>0</v>
      </c>
    </row>
    <row r="119" spans="1:19" x14ac:dyDescent="0.25">
      <c r="A119" t="s">
        <v>60</v>
      </c>
      <c r="B119" t="s">
        <v>892</v>
      </c>
      <c r="C119">
        <v>12</v>
      </c>
      <c r="D119" t="s">
        <v>33</v>
      </c>
      <c r="E119" t="s">
        <v>95</v>
      </c>
      <c r="F119" t="s">
        <v>104</v>
      </c>
      <c r="G119" t="s">
        <v>104</v>
      </c>
      <c r="H119" t="s">
        <v>246</v>
      </c>
      <c r="J119">
        <v>0</v>
      </c>
      <c r="K119">
        <v>2</v>
      </c>
      <c r="L119">
        <v>113.9375</v>
      </c>
      <c r="M119">
        <v>33.375507550000002</v>
      </c>
      <c r="N119">
        <v>2.4262999999999999</v>
      </c>
      <c r="O119">
        <v>120.25</v>
      </c>
      <c r="P119">
        <v>30.670450110000001</v>
      </c>
      <c r="Q119">
        <v>0.91037498500000003</v>
      </c>
      <c r="R119" t="s">
        <v>1014</v>
      </c>
      <c r="S119">
        <v>-6.3125</v>
      </c>
    </row>
    <row r="120" spans="1:19" x14ac:dyDescent="0.25">
      <c r="A120" t="s">
        <v>60</v>
      </c>
      <c r="B120" t="s">
        <v>892</v>
      </c>
      <c r="C120">
        <v>12</v>
      </c>
      <c r="D120" t="s">
        <v>33</v>
      </c>
      <c r="E120" t="s">
        <v>95</v>
      </c>
      <c r="F120" t="s">
        <v>104</v>
      </c>
      <c r="G120" t="s">
        <v>104</v>
      </c>
      <c r="H120" t="s">
        <v>797</v>
      </c>
      <c r="J120">
        <v>0</v>
      </c>
      <c r="K120">
        <v>1</v>
      </c>
      <c r="L120">
        <v>113.9375</v>
      </c>
      <c r="M120">
        <v>33.375507550000002</v>
      </c>
      <c r="N120">
        <v>2.4262999999999999</v>
      </c>
      <c r="O120">
        <v>179.45454549999999</v>
      </c>
      <c r="P120">
        <v>26.326869609999999</v>
      </c>
      <c r="Q120">
        <v>2.3456094639999998</v>
      </c>
      <c r="R120" t="s">
        <v>1014</v>
      </c>
      <c r="S120">
        <v>-65.517045499999995</v>
      </c>
    </row>
    <row r="121" spans="1:19" x14ac:dyDescent="0.25">
      <c r="A121" t="s">
        <v>60</v>
      </c>
      <c r="B121" t="s">
        <v>892</v>
      </c>
      <c r="C121">
        <v>12</v>
      </c>
      <c r="D121" t="s">
        <v>33</v>
      </c>
      <c r="E121" t="s">
        <v>95</v>
      </c>
      <c r="F121" t="s">
        <v>104</v>
      </c>
      <c r="G121" t="s">
        <v>104</v>
      </c>
      <c r="H121" t="s">
        <v>247</v>
      </c>
      <c r="J121">
        <v>0</v>
      </c>
      <c r="K121">
        <v>1</v>
      </c>
      <c r="L121">
        <v>113.9375</v>
      </c>
      <c r="M121">
        <v>33.375507550000002</v>
      </c>
      <c r="N121">
        <v>2.4262999999999999</v>
      </c>
      <c r="O121">
        <v>65.791044779999993</v>
      </c>
      <c r="P121">
        <v>22.94519201</v>
      </c>
      <c r="Q121">
        <v>8.1320334999999994E-2</v>
      </c>
      <c r="R121" t="s">
        <v>1014</v>
      </c>
      <c r="S121">
        <v>48.146455220000007</v>
      </c>
    </row>
    <row r="122" spans="1:19" x14ac:dyDescent="0.25">
      <c r="A122" t="s">
        <v>60</v>
      </c>
      <c r="B122" t="s">
        <v>893</v>
      </c>
      <c r="C122">
        <v>12</v>
      </c>
      <c r="D122" t="s">
        <v>33</v>
      </c>
      <c r="E122" t="s">
        <v>95</v>
      </c>
      <c r="F122" t="s">
        <v>112</v>
      </c>
      <c r="G122" t="s">
        <v>121</v>
      </c>
      <c r="H122" t="s">
        <v>114</v>
      </c>
      <c r="J122">
        <v>0</v>
      </c>
      <c r="K122">
        <v>0</v>
      </c>
      <c r="L122">
        <v>65.09375</v>
      </c>
      <c r="M122">
        <v>37.895352600000002</v>
      </c>
      <c r="N122">
        <v>2.2882677779999998</v>
      </c>
      <c r="O122" t="s">
        <v>114</v>
      </c>
      <c r="P122" t="s">
        <v>114</v>
      </c>
      <c r="Q122" t="s">
        <v>114</v>
      </c>
      <c r="R122" t="s">
        <v>1014</v>
      </c>
      <c r="S122" t="s">
        <v>114</v>
      </c>
    </row>
    <row r="123" spans="1:19" x14ac:dyDescent="0.25">
      <c r="A123" t="s">
        <v>61</v>
      </c>
      <c r="B123" t="s">
        <v>894</v>
      </c>
      <c r="C123">
        <v>12</v>
      </c>
      <c r="D123" t="s">
        <v>35</v>
      </c>
      <c r="E123" t="s">
        <v>94</v>
      </c>
      <c r="F123" t="s">
        <v>102</v>
      </c>
      <c r="G123" t="s">
        <v>121</v>
      </c>
      <c r="H123" t="s">
        <v>162</v>
      </c>
      <c r="J123">
        <v>1</v>
      </c>
      <c r="K123">
        <v>1</v>
      </c>
      <c r="L123">
        <v>84.740740740000007</v>
      </c>
      <c r="M123">
        <v>29.167014049999999</v>
      </c>
      <c r="N123">
        <v>1.1169849999999999</v>
      </c>
      <c r="O123">
        <v>82.53846154</v>
      </c>
      <c r="P123">
        <v>35.660530039999998</v>
      </c>
      <c r="Q123">
        <v>3.3754499999999998</v>
      </c>
      <c r="R123" t="s">
        <v>1014</v>
      </c>
      <c r="S123">
        <v>2.2022792000000067</v>
      </c>
    </row>
    <row r="124" spans="1:19" x14ac:dyDescent="0.25">
      <c r="A124" t="s">
        <v>61</v>
      </c>
      <c r="B124" t="s">
        <v>895</v>
      </c>
      <c r="C124">
        <v>12</v>
      </c>
      <c r="D124" t="s">
        <v>35</v>
      </c>
      <c r="E124" t="s">
        <v>94</v>
      </c>
      <c r="F124" t="s">
        <v>110</v>
      </c>
      <c r="G124" t="s">
        <v>121</v>
      </c>
      <c r="H124" t="s">
        <v>162</v>
      </c>
      <c r="J124">
        <v>0</v>
      </c>
      <c r="K124">
        <v>1</v>
      </c>
      <c r="L124">
        <v>73.260869569999997</v>
      </c>
      <c r="M124">
        <v>34.453830549999999</v>
      </c>
      <c r="N124">
        <v>1.058333333</v>
      </c>
      <c r="O124">
        <v>82.53846154</v>
      </c>
      <c r="P124">
        <v>35.660530039999998</v>
      </c>
      <c r="Q124">
        <v>3.3754499999999998</v>
      </c>
      <c r="R124" t="s">
        <v>1014</v>
      </c>
      <c r="S124">
        <v>-9.2775919700000031</v>
      </c>
    </row>
    <row r="125" spans="1:19" x14ac:dyDescent="0.25">
      <c r="A125" t="s">
        <v>61</v>
      </c>
      <c r="B125" t="s">
        <v>895</v>
      </c>
      <c r="C125">
        <v>12</v>
      </c>
      <c r="D125" t="s">
        <v>35</v>
      </c>
      <c r="E125" t="s">
        <v>94</v>
      </c>
      <c r="F125" t="s">
        <v>110</v>
      </c>
      <c r="G125" t="s">
        <v>121</v>
      </c>
      <c r="H125" t="s">
        <v>102</v>
      </c>
      <c r="J125">
        <v>0</v>
      </c>
      <c r="K125">
        <v>1</v>
      </c>
      <c r="L125">
        <v>73.260869569999997</v>
      </c>
      <c r="M125">
        <v>34.453830549999999</v>
      </c>
      <c r="N125">
        <v>1.058333333</v>
      </c>
      <c r="O125">
        <v>84.740740740000007</v>
      </c>
      <c r="P125">
        <v>29.167014049999999</v>
      </c>
      <c r="Q125">
        <v>1.1169849999999999</v>
      </c>
      <c r="R125" t="s">
        <v>1014</v>
      </c>
      <c r="S125">
        <v>-11.47987117000001</v>
      </c>
    </row>
    <row r="126" spans="1:19" x14ac:dyDescent="0.25">
      <c r="A126" t="s">
        <v>61</v>
      </c>
      <c r="B126" t="s">
        <v>896</v>
      </c>
      <c r="C126">
        <v>12</v>
      </c>
      <c r="D126" t="s">
        <v>35</v>
      </c>
      <c r="E126" t="s">
        <v>94</v>
      </c>
      <c r="F126" t="s">
        <v>112</v>
      </c>
      <c r="G126" t="s">
        <v>121</v>
      </c>
      <c r="H126" t="s">
        <v>162</v>
      </c>
      <c r="J126">
        <v>0</v>
      </c>
      <c r="K126">
        <v>1</v>
      </c>
      <c r="L126">
        <v>65.09375</v>
      </c>
      <c r="M126">
        <v>37.895352600000002</v>
      </c>
      <c r="N126">
        <v>2.2882677779999998</v>
      </c>
      <c r="O126">
        <v>82.53846154</v>
      </c>
      <c r="P126">
        <v>35.660530039999998</v>
      </c>
      <c r="Q126">
        <v>3.3754499999999998</v>
      </c>
      <c r="R126" t="s">
        <v>1014</v>
      </c>
      <c r="S126">
        <v>-17.44471154</v>
      </c>
    </row>
    <row r="127" spans="1:19" x14ac:dyDescent="0.25">
      <c r="A127" t="s">
        <v>62</v>
      </c>
      <c r="B127" t="s">
        <v>897</v>
      </c>
      <c r="C127">
        <v>12</v>
      </c>
      <c r="D127" t="s">
        <v>37</v>
      </c>
      <c r="E127" t="s">
        <v>95</v>
      </c>
      <c r="F127" t="s">
        <v>102</v>
      </c>
      <c r="G127" t="s">
        <v>121</v>
      </c>
      <c r="H127" t="s">
        <v>114</v>
      </c>
      <c r="J127">
        <v>0</v>
      </c>
      <c r="K127">
        <v>0</v>
      </c>
      <c r="L127">
        <v>84.740740740000007</v>
      </c>
      <c r="M127">
        <v>29.167014049999999</v>
      </c>
      <c r="N127">
        <v>1.1169849999999999</v>
      </c>
      <c r="O127" t="s">
        <v>114</v>
      </c>
      <c r="P127" t="s">
        <v>114</v>
      </c>
      <c r="Q127" t="s">
        <v>114</v>
      </c>
      <c r="R127" t="s">
        <v>1014</v>
      </c>
      <c r="S127" t="s">
        <v>114</v>
      </c>
    </row>
    <row r="128" spans="1:19" x14ac:dyDescent="0.25">
      <c r="A128" t="s">
        <v>62</v>
      </c>
      <c r="B128" t="s">
        <v>898</v>
      </c>
      <c r="C128">
        <v>12</v>
      </c>
      <c r="D128" t="s">
        <v>37</v>
      </c>
      <c r="E128" t="s">
        <v>95</v>
      </c>
      <c r="F128" t="s">
        <v>103</v>
      </c>
      <c r="G128" t="s">
        <v>121</v>
      </c>
      <c r="H128" t="s">
        <v>233</v>
      </c>
      <c r="J128">
        <v>0</v>
      </c>
      <c r="K128">
        <v>1</v>
      </c>
      <c r="L128">
        <v>98.291666669999998</v>
      </c>
      <c r="M128">
        <v>30.315130790000001</v>
      </c>
      <c r="N128">
        <v>5.0803484000000003E-2</v>
      </c>
      <c r="O128">
        <v>106.0540541</v>
      </c>
      <c r="P128">
        <v>52.690533369999997</v>
      </c>
      <c r="Q128">
        <v>7.6058968000000005E-2</v>
      </c>
      <c r="R128" t="s">
        <v>1014</v>
      </c>
      <c r="S128">
        <v>-7.762387430000004</v>
      </c>
    </row>
    <row r="129" spans="1:19" x14ac:dyDescent="0.25">
      <c r="A129" t="s">
        <v>62</v>
      </c>
      <c r="B129" t="s">
        <v>898</v>
      </c>
      <c r="C129">
        <v>12</v>
      </c>
      <c r="D129" t="s">
        <v>37</v>
      </c>
      <c r="E129" t="s">
        <v>95</v>
      </c>
      <c r="F129" t="s">
        <v>103</v>
      </c>
      <c r="G129" t="s">
        <v>121</v>
      </c>
      <c r="H129" t="s">
        <v>234</v>
      </c>
      <c r="J129">
        <v>0</v>
      </c>
      <c r="K129">
        <v>1</v>
      </c>
      <c r="L129">
        <v>98.291666669999998</v>
      </c>
      <c r="M129">
        <v>30.315130790000001</v>
      </c>
      <c r="N129">
        <v>5.0803484000000003E-2</v>
      </c>
      <c r="O129">
        <v>89.8125</v>
      </c>
      <c r="P129">
        <v>34.754706650000003</v>
      </c>
      <c r="Q129">
        <v>2.3065078999999999E-2</v>
      </c>
      <c r="R129" t="s">
        <v>1014</v>
      </c>
      <c r="S129">
        <v>8.4791666699999979</v>
      </c>
    </row>
    <row r="130" spans="1:19" x14ac:dyDescent="0.25">
      <c r="A130" t="s">
        <v>62</v>
      </c>
      <c r="B130" t="s">
        <v>898</v>
      </c>
      <c r="C130">
        <v>12</v>
      </c>
      <c r="D130" t="s">
        <v>37</v>
      </c>
      <c r="E130" t="s">
        <v>95</v>
      </c>
      <c r="F130" t="s">
        <v>103</v>
      </c>
      <c r="G130" t="s">
        <v>121</v>
      </c>
      <c r="H130" t="s">
        <v>241</v>
      </c>
      <c r="J130">
        <v>0</v>
      </c>
      <c r="K130">
        <v>1</v>
      </c>
      <c r="L130">
        <v>98.291666669999998</v>
      </c>
      <c r="M130">
        <v>30.315130790000001</v>
      </c>
      <c r="N130">
        <v>5.0803484000000003E-2</v>
      </c>
      <c r="O130">
        <v>114</v>
      </c>
      <c r="P130">
        <v>30.43077242</v>
      </c>
      <c r="Q130">
        <v>0.53383111100000002</v>
      </c>
      <c r="R130" t="s">
        <v>1014</v>
      </c>
      <c r="S130">
        <v>-15.708333330000002</v>
      </c>
    </row>
    <row r="131" spans="1:19" x14ac:dyDescent="0.25">
      <c r="A131" t="s">
        <v>63</v>
      </c>
      <c r="B131" t="s">
        <v>899</v>
      </c>
      <c r="C131">
        <v>12</v>
      </c>
      <c r="D131" t="s">
        <v>64</v>
      </c>
      <c r="E131" t="s">
        <v>94</v>
      </c>
      <c r="F131" t="s">
        <v>104</v>
      </c>
      <c r="G131" t="s">
        <v>121</v>
      </c>
      <c r="H131" t="s">
        <v>238</v>
      </c>
      <c r="J131">
        <v>0</v>
      </c>
      <c r="K131">
        <v>2</v>
      </c>
      <c r="L131">
        <v>113.9375</v>
      </c>
      <c r="M131">
        <v>33.375507550000002</v>
      </c>
      <c r="N131">
        <v>2.4262999999999999</v>
      </c>
      <c r="O131">
        <v>87.5</v>
      </c>
      <c r="P131">
        <v>29.478311600000001</v>
      </c>
      <c r="Q131">
        <v>3.0797751000000002E-2</v>
      </c>
      <c r="R131" t="s">
        <v>1014</v>
      </c>
      <c r="S131">
        <v>26.4375</v>
      </c>
    </row>
    <row r="132" spans="1:19" x14ac:dyDescent="0.25">
      <c r="A132" t="s">
        <v>63</v>
      </c>
      <c r="B132" t="s">
        <v>899</v>
      </c>
      <c r="C132">
        <v>12</v>
      </c>
      <c r="D132" t="s">
        <v>64</v>
      </c>
      <c r="E132" t="s">
        <v>94</v>
      </c>
      <c r="F132" t="s">
        <v>104</v>
      </c>
      <c r="G132" t="s">
        <v>121</v>
      </c>
      <c r="H132" t="s">
        <v>103</v>
      </c>
      <c r="J132">
        <v>0</v>
      </c>
      <c r="K132">
        <v>1</v>
      </c>
      <c r="L132">
        <v>113.9375</v>
      </c>
      <c r="M132">
        <v>33.375507550000002</v>
      </c>
      <c r="N132">
        <v>2.4262999999999999</v>
      </c>
      <c r="O132">
        <v>98.291666669999998</v>
      </c>
      <c r="P132">
        <v>30.315130790000001</v>
      </c>
      <c r="Q132">
        <v>5.0803484000000003E-2</v>
      </c>
      <c r="R132" t="s">
        <v>1014</v>
      </c>
      <c r="S132">
        <v>15.645833330000002</v>
      </c>
    </row>
    <row r="133" spans="1:19" x14ac:dyDescent="0.25">
      <c r="A133" t="s">
        <v>63</v>
      </c>
      <c r="B133" t="s">
        <v>899</v>
      </c>
      <c r="C133">
        <v>12</v>
      </c>
      <c r="D133" t="s">
        <v>64</v>
      </c>
      <c r="E133" t="s">
        <v>94</v>
      </c>
      <c r="F133" t="s">
        <v>104</v>
      </c>
      <c r="G133" t="s">
        <v>121</v>
      </c>
      <c r="H133" t="s">
        <v>248</v>
      </c>
      <c r="J133">
        <v>0</v>
      </c>
      <c r="K133">
        <v>2</v>
      </c>
      <c r="L133">
        <v>113.9375</v>
      </c>
      <c r="M133">
        <v>33.375507550000002</v>
      </c>
      <c r="N133">
        <v>2.4262999999999999</v>
      </c>
      <c r="O133">
        <v>83.92307692</v>
      </c>
      <c r="P133">
        <v>44.319135699999997</v>
      </c>
      <c r="Q133">
        <v>5.9548609999999997E-3</v>
      </c>
      <c r="R133" t="s">
        <v>1014</v>
      </c>
      <c r="S133">
        <v>30.01442308</v>
      </c>
    </row>
    <row r="134" spans="1:19" x14ac:dyDescent="0.25">
      <c r="A134" t="s">
        <v>65</v>
      </c>
      <c r="B134" t="s">
        <v>900</v>
      </c>
      <c r="C134">
        <v>12</v>
      </c>
      <c r="D134" t="s">
        <v>66</v>
      </c>
      <c r="E134" t="s">
        <v>95</v>
      </c>
      <c r="F134" t="s">
        <v>105</v>
      </c>
      <c r="G134" t="s">
        <v>121</v>
      </c>
      <c r="H134" t="s">
        <v>111</v>
      </c>
      <c r="J134">
        <v>0</v>
      </c>
      <c r="K134">
        <v>1</v>
      </c>
      <c r="L134">
        <v>67.5</v>
      </c>
      <c r="M134">
        <v>47.937235809999997</v>
      </c>
      <c r="N134">
        <v>0.41599678000000001</v>
      </c>
      <c r="O134">
        <v>94.97142857</v>
      </c>
      <c r="P134">
        <v>24.31591813</v>
      </c>
      <c r="Q134">
        <v>0.122951111</v>
      </c>
      <c r="R134" t="s">
        <v>1014</v>
      </c>
      <c r="S134">
        <v>-27.47142857</v>
      </c>
    </row>
    <row r="135" spans="1:19" x14ac:dyDescent="0.25">
      <c r="A135" t="s">
        <v>65</v>
      </c>
      <c r="B135" t="s">
        <v>900</v>
      </c>
      <c r="C135">
        <v>12</v>
      </c>
      <c r="D135" t="s">
        <v>66</v>
      </c>
      <c r="E135" t="s">
        <v>95</v>
      </c>
      <c r="F135" t="s">
        <v>105</v>
      </c>
      <c r="G135" t="s">
        <v>121</v>
      </c>
      <c r="H135" t="s">
        <v>808</v>
      </c>
      <c r="J135">
        <v>0</v>
      </c>
      <c r="K135">
        <v>1</v>
      </c>
      <c r="L135">
        <v>67.5</v>
      </c>
      <c r="M135">
        <v>47.937235809999997</v>
      </c>
      <c r="N135">
        <v>0.41599678000000001</v>
      </c>
      <c r="O135">
        <v>102.79166669999999</v>
      </c>
      <c r="P135">
        <v>27.057373470000002</v>
      </c>
      <c r="Q135">
        <v>6.3567849939999999</v>
      </c>
      <c r="R135" t="s">
        <v>1014</v>
      </c>
      <c r="S135">
        <v>-35.291666699999993</v>
      </c>
    </row>
    <row r="136" spans="1:19" x14ac:dyDescent="0.25">
      <c r="A136" t="s">
        <v>65</v>
      </c>
      <c r="B136" t="s">
        <v>900</v>
      </c>
      <c r="C136">
        <v>12</v>
      </c>
      <c r="D136" t="s">
        <v>66</v>
      </c>
      <c r="E136" t="s">
        <v>95</v>
      </c>
      <c r="F136" t="s">
        <v>105</v>
      </c>
      <c r="G136" t="s">
        <v>121</v>
      </c>
      <c r="H136" t="s">
        <v>247</v>
      </c>
      <c r="J136">
        <v>0</v>
      </c>
      <c r="K136">
        <v>1</v>
      </c>
      <c r="L136">
        <v>67.5</v>
      </c>
      <c r="M136">
        <v>47.937235809999997</v>
      </c>
      <c r="N136">
        <v>0.41599678000000001</v>
      </c>
      <c r="O136">
        <v>65.791044779999993</v>
      </c>
      <c r="P136">
        <v>22.94519201</v>
      </c>
      <c r="Q136">
        <v>8.1320334999999994E-2</v>
      </c>
      <c r="R136" t="s">
        <v>1014</v>
      </c>
      <c r="S136">
        <v>1.7089552200000071</v>
      </c>
    </row>
    <row r="137" spans="1:19" x14ac:dyDescent="0.25">
      <c r="A137" t="s">
        <v>65</v>
      </c>
      <c r="B137" t="s">
        <v>900</v>
      </c>
      <c r="C137">
        <v>12</v>
      </c>
      <c r="D137" t="s">
        <v>66</v>
      </c>
      <c r="E137" t="s">
        <v>95</v>
      </c>
      <c r="F137" t="s">
        <v>105</v>
      </c>
      <c r="G137" t="s">
        <v>121</v>
      </c>
      <c r="H137" t="s">
        <v>248</v>
      </c>
      <c r="J137">
        <v>0</v>
      </c>
      <c r="K137">
        <v>2</v>
      </c>
      <c r="L137">
        <v>67.5</v>
      </c>
      <c r="M137">
        <v>47.937235809999997</v>
      </c>
      <c r="N137">
        <v>0.41599678000000001</v>
      </c>
      <c r="O137">
        <v>83.92307692</v>
      </c>
      <c r="P137">
        <v>44.319135699999997</v>
      </c>
      <c r="Q137">
        <v>5.9548609999999997E-3</v>
      </c>
      <c r="R137" t="s">
        <v>1014</v>
      </c>
      <c r="S137">
        <v>-16.42307692</v>
      </c>
    </row>
    <row r="138" spans="1:19" x14ac:dyDescent="0.25">
      <c r="A138" t="s">
        <v>10</v>
      </c>
      <c r="B138" t="s">
        <v>901</v>
      </c>
      <c r="C138">
        <v>15</v>
      </c>
      <c r="D138" t="s">
        <v>11</v>
      </c>
      <c r="E138" t="s">
        <v>94</v>
      </c>
      <c r="F138" t="s">
        <v>102</v>
      </c>
      <c r="G138" t="s">
        <v>102</v>
      </c>
      <c r="H138" t="s">
        <v>102</v>
      </c>
      <c r="J138">
        <v>0</v>
      </c>
      <c r="K138">
        <v>1</v>
      </c>
      <c r="L138">
        <v>84.740740740000007</v>
      </c>
      <c r="M138">
        <v>29.167014049999999</v>
      </c>
      <c r="N138">
        <v>1.1169849999999999</v>
      </c>
      <c r="O138">
        <v>84.740740740000007</v>
      </c>
      <c r="P138">
        <v>29.167014049999999</v>
      </c>
      <c r="Q138">
        <v>1.1169849999999999</v>
      </c>
      <c r="R138" t="s">
        <v>1014</v>
      </c>
      <c r="S138">
        <v>0</v>
      </c>
    </row>
    <row r="139" spans="1:19" x14ac:dyDescent="0.25">
      <c r="A139" t="s">
        <v>10</v>
      </c>
      <c r="B139" t="s">
        <v>901</v>
      </c>
      <c r="C139">
        <v>16</v>
      </c>
      <c r="D139" t="s">
        <v>11</v>
      </c>
      <c r="E139" t="s">
        <v>94</v>
      </c>
      <c r="F139" t="s">
        <v>102</v>
      </c>
      <c r="G139" t="s">
        <v>102</v>
      </c>
      <c r="H139" t="s">
        <v>111</v>
      </c>
      <c r="J139">
        <v>0</v>
      </c>
      <c r="K139">
        <v>1</v>
      </c>
      <c r="L139">
        <v>84.740740740000007</v>
      </c>
      <c r="M139">
        <v>29.167014049999999</v>
      </c>
      <c r="N139">
        <v>1.1169849999999999</v>
      </c>
      <c r="O139">
        <v>94.97142857</v>
      </c>
      <c r="P139">
        <v>24.31591813</v>
      </c>
      <c r="Q139">
        <v>0.122951111</v>
      </c>
      <c r="R139" t="s">
        <v>1014</v>
      </c>
      <c r="S139">
        <v>-10.230687829999994</v>
      </c>
    </row>
    <row r="140" spans="1:19" x14ac:dyDescent="0.25">
      <c r="A140" t="s">
        <v>10</v>
      </c>
      <c r="B140" t="s">
        <v>902</v>
      </c>
      <c r="C140">
        <v>15</v>
      </c>
      <c r="D140" t="s">
        <v>11</v>
      </c>
      <c r="E140" t="s">
        <v>94</v>
      </c>
      <c r="F140" t="s">
        <v>105</v>
      </c>
      <c r="G140" t="s">
        <v>121</v>
      </c>
      <c r="H140" t="s">
        <v>244</v>
      </c>
      <c r="J140">
        <v>0</v>
      </c>
      <c r="K140">
        <v>2</v>
      </c>
      <c r="L140">
        <v>67.5</v>
      </c>
      <c r="M140">
        <v>47.937235809999997</v>
      </c>
      <c r="N140">
        <v>0.41599678000000001</v>
      </c>
      <c r="O140">
        <v>75</v>
      </c>
      <c r="P140">
        <v>28.80614499</v>
      </c>
      <c r="Q140">
        <v>2.3860428570000001</v>
      </c>
      <c r="R140" t="s">
        <v>1014</v>
      </c>
      <c r="S140">
        <v>-7.5</v>
      </c>
    </row>
    <row r="141" spans="1:19" x14ac:dyDescent="0.25">
      <c r="A141" t="s">
        <v>10</v>
      </c>
      <c r="B141" t="s">
        <v>902</v>
      </c>
      <c r="C141">
        <v>16</v>
      </c>
      <c r="D141" t="s">
        <v>11</v>
      </c>
      <c r="E141" t="s">
        <v>94</v>
      </c>
      <c r="F141" t="s">
        <v>105</v>
      </c>
      <c r="G141" t="s">
        <v>121</v>
      </c>
      <c r="H141" t="s">
        <v>104</v>
      </c>
      <c r="J141">
        <v>0</v>
      </c>
      <c r="K141">
        <v>1</v>
      </c>
      <c r="L141">
        <v>67.5</v>
      </c>
      <c r="M141">
        <v>47.937235809999997</v>
      </c>
      <c r="N141">
        <v>0.41599678000000001</v>
      </c>
      <c r="O141">
        <v>113.9375</v>
      </c>
      <c r="P141">
        <v>33.375507550000002</v>
      </c>
      <c r="Q141">
        <v>2.4262999999999999</v>
      </c>
      <c r="R141" t="s">
        <v>1014</v>
      </c>
      <c r="S141">
        <v>-46.4375</v>
      </c>
    </row>
    <row r="142" spans="1:19" x14ac:dyDescent="0.25">
      <c r="A142" t="s">
        <v>10</v>
      </c>
      <c r="B142" t="s">
        <v>903</v>
      </c>
      <c r="C142">
        <v>15</v>
      </c>
      <c r="D142" t="s">
        <v>11</v>
      </c>
      <c r="E142" t="s">
        <v>94</v>
      </c>
      <c r="F142" t="s">
        <v>103</v>
      </c>
      <c r="G142" t="s">
        <v>121</v>
      </c>
      <c r="H142" t="s">
        <v>245</v>
      </c>
      <c r="J142">
        <v>0</v>
      </c>
      <c r="K142">
        <v>1</v>
      </c>
      <c r="L142">
        <v>98.291666669999998</v>
      </c>
      <c r="M142">
        <v>30.315130790000001</v>
      </c>
      <c r="N142">
        <v>5.0803484000000003E-2</v>
      </c>
      <c r="O142" t="s">
        <v>114</v>
      </c>
      <c r="P142" t="s">
        <v>114</v>
      </c>
      <c r="Q142" t="s">
        <v>114</v>
      </c>
      <c r="R142" t="s">
        <v>1014</v>
      </c>
      <c r="S142" t="s">
        <v>114</v>
      </c>
    </row>
    <row r="143" spans="1:19" x14ac:dyDescent="0.25">
      <c r="A143" t="s">
        <v>10</v>
      </c>
      <c r="B143" t="s">
        <v>904</v>
      </c>
      <c r="C143">
        <v>15</v>
      </c>
      <c r="D143" t="s">
        <v>11</v>
      </c>
      <c r="E143" t="s">
        <v>94</v>
      </c>
      <c r="F143" t="s">
        <v>104</v>
      </c>
      <c r="G143" t="s">
        <v>121</v>
      </c>
      <c r="H143" t="s">
        <v>242</v>
      </c>
      <c r="J143">
        <v>0</v>
      </c>
      <c r="K143">
        <v>6</v>
      </c>
      <c r="L143">
        <v>113.9375</v>
      </c>
      <c r="M143">
        <v>33.375507550000002</v>
      </c>
      <c r="N143">
        <v>2.4262999999999999</v>
      </c>
      <c r="O143">
        <v>139.375</v>
      </c>
      <c r="P143">
        <v>23.713465920000001</v>
      </c>
      <c r="Q143" t="s">
        <v>114</v>
      </c>
      <c r="R143" t="s">
        <v>1014</v>
      </c>
      <c r="S143">
        <v>-25.4375</v>
      </c>
    </row>
    <row r="144" spans="1:19" x14ac:dyDescent="0.25">
      <c r="A144" t="s">
        <v>14</v>
      </c>
      <c r="B144" t="s">
        <v>905</v>
      </c>
      <c r="C144">
        <v>15</v>
      </c>
      <c r="D144" t="s">
        <v>15</v>
      </c>
      <c r="E144" t="s">
        <v>94</v>
      </c>
      <c r="F144" t="s">
        <v>102</v>
      </c>
      <c r="G144" t="s">
        <v>121</v>
      </c>
      <c r="H144" t="s">
        <v>114</v>
      </c>
      <c r="J144">
        <v>0</v>
      </c>
      <c r="K144" t="s">
        <v>114</v>
      </c>
      <c r="L144">
        <v>84.740740740000007</v>
      </c>
      <c r="M144">
        <v>29.167014049999999</v>
      </c>
      <c r="N144">
        <v>1.1169849999999999</v>
      </c>
      <c r="O144" t="s">
        <v>114</v>
      </c>
      <c r="P144" t="s">
        <v>114</v>
      </c>
      <c r="Q144" t="s">
        <v>114</v>
      </c>
      <c r="R144" t="s">
        <v>1014</v>
      </c>
      <c r="S144" t="s">
        <v>114</v>
      </c>
    </row>
    <row r="145" spans="1:19" x14ac:dyDescent="0.25">
      <c r="A145" t="s">
        <v>14</v>
      </c>
      <c r="B145" t="s">
        <v>906</v>
      </c>
      <c r="C145">
        <v>15</v>
      </c>
      <c r="D145" t="s">
        <v>15</v>
      </c>
      <c r="E145" t="s">
        <v>94</v>
      </c>
      <c r="F145" t="s">
        <v>110</v>
      </c>
      <c r="G145" t="s">
        <v>121</v>
      </c>
      <c r="H145" t="s">
        <v>114</v>
      </c>
      <c r="J145">
        <v>0</v>
      </c>
      <c r="K145" t="s">
        <v>114</v>
      </c>
      <c r="L145">
        <v>73.260869569999997</v>
      </c>
      <c r="M145">
        <v>34.453830549999999</v>
      </c>
      <c r="N145">
        <v>1.058333333</v>
      </c>
      <c r="O145" t="s">
        <v>114</v>
      </c>
      <c r="P145" t="s">
        <v>114</v>
      </c>
      <c r="Q145" t="s">
        <v>114</v>
      </c>
      <c r="R145" t="s">
        <v>1014</v>
      </c>
      <c r="S145" t="s">
        <v>114</v>
      </c>
    </row>
    <row r="146" spans="1:19" x14ac:dyDescent="0.25">
      <c r="A146" t="s">
        <v>14</v>
      </c>
      <c r="B146" t="s">
        <v>907</v>
      </c>
      <c r="C146">
        <v>15</v>
      </c>
      <c r="D146" t="s">
        <v>15</v>
      </c>
      <c r="E146" t="s">
        <v>94</v>
      </c>
      <c r="F146" t="s">
        <v>111</v>
      </c>
      <c r="G146" t="s">
        <v>110</v>
      </c>
      <c r="H146" t="s">
        <v>110</v>
      </c>
      <c r="J146">
        <v>0</v>
      </c>
      <c r="K146">
        <v>1</v>
      </c>
      <c r="L146">
        <v>94.97142857</v>
      </c>
      <c r="M146">
        <v>24.31591813</v>
      </c>
      <c r="N146">
        <v>0.122951111</v>
      </c>
      <c r="O146">
        <v>73.260869569999997</v>
      </c>
      <c r="P146">
        <v>34.453830549999999</v>
      </c>
      <c r="Q146">
        <v>1.058333333</v>
      </c>
      <c r="R146" t="s">
        <v>1014</v>
      </c>
      <c r="S146">
        <v>21.710559000000003</v>
      </c>
    </row>
    <row r="147" spans="1:19" x14ac:dyDescent="0.25">
      <c r="A147" t="s">
        <v>14</v>
      </c>
      <c r="B147" t="s">
        <v>908</v>
      </c>
      <c r="C147">
        <v>15</v>
      </c>
      <c r="D147" t="s">
        <v>15</v>
      </c>
      <c r="E147" t="s">
        <v>94</v>
      </c>
      <c r="F147" t="s">
        <v>104</v>
      </c>
      <c r="G147" t="s">
        <v>110</v>
      </c>
      <c r="H147" t="s">
        <v>110</v>
      </c>
      <c r="J147">
        <v>0</v>
      </c>
      <c r="K147">
        <v>1</v>
      </c>
      <c r="L147">
        <v>113.9375</v>
      </c>
      <c r="M147">
        <v>33.375507550000002</v>
      </c>
      <c r="N147">
        <v>2.4262999999999999</v>
      </c>
      <c r="O147">
        <v>73.260869569999997</v>
      </c>
      <c r="P147">
        <v>34.453830549999999</v>
      </c>
      <c r="Q147">
        <v>1.058333333</v>
      </c>
      <c r="R147" t="s">
        <v>1014</v>
      </c>
      <c r="S147">
        <v>40.676630430000003</v>
      </c>
    </row>
    <row r="148" spans="1:19" x14ac:dyDescent="0.25">
      <c r="A148" t="s">
        <v>14</v>
      </c>
      <c r="B148" t="s">
        <v>908</v>
      </c>
      <c r="C148">
        <v>16</v>
      </c>
      <c r="D148" t="s">
        <v>15</v>
      </c>
      <c r="E148" t="s">
        <v>94</v>
      </c>
      <c r="F148" t="s">
        <v>104</v>
      </c>
      <c r="G148" t="s">
        <v>110</v>
      </c>
      <c r="H148" t="s">
        <v>104</v>
      </c>
      <c r="J148">
        <v>0</v>
      </c>
      <c r="K148">
        <v>2</v>
      </c>
      <c r="L148">
        <v>113.9375</v>
      </c>
      <c r="M148">
        <v>33.375507550000002</v>
      </c>
      <c r="N148">
        <v>2.4262999999999999</v>
      </c>
      <c r="O148">
        <v>113.9375</v>
      </c>
      <c r="P148">
        <v>33.375507550000002</v>
      </c>
      <c r="Q148">
        <v>2.4262999999999999</v>
      </c>
      <c r="R148" t="s">
        <v>1014</v>
      </c>
      <c r="S148">
        <v>0</v>
      </c>
    </row>
    <row r="149" spans="1:19" x14ac:dyDescent="0.25">
      <c r="A149" t="s">
        <v>16</v>
      </c>
      <c r="B149" t="s">
        <v>909</v>
      </c>
      <c r="C149">
        <v>15</v>
      </c>
      <c r="D149" t="s">
        <v>17</v>
      </c>
      <c r="E149" t="s">
        <v>95</v>
      </c>
      <c r="F149" t="s">
        <v>113</v>
      </c>
      <c r="G149" t="s">
        <v>104</v>
      </c>
      <c r="H149" t="s">
        <v>104</v>
      </c>
      <c r="J149">
        <v>0</v>
      </c>
      <c r="K149">
        <v>1</v>
      </c>
      <c r="L149">
        <v>83.757575759999995</v>
      </c>
      <c r="M149">
        <v>22.60997987</v>
      </c>
      <c r="N149">
        <v>0.72884000000000004</v>
      </c>
      <c r="O149">
        <v>113.9375</v>
      </c>
      <c r="P149">
        <v>33.375507550000002</v>
      </c>
      <c r="Q149">
        <v>2.4262999999999999</v>
      </c>
      <c r="R149" t="s">
        <v>1014</v>
      </c>
      <c r="S149">
        <v>-30.179924240000005</v>
      </c>
    </row>
    <row r="150" spans="1:19" x14ac:dyDescent="0.25">
      <c r="A150" t="s">
        <v>16</v>
      </c>
      <c r="B150" t="s">
        <v>909</v>
      </c>
      <c r="C150">
        <v>16</v>
      </c>
      <c r="D150" t="s">
        <v>17</v>
      </c>
      <c r="E150" t="s">
        <v>95</v>
      </c>
      <c r="F150" t="s">
        <v>113</v>
      </c>
      <c r="G150" t="s">
        <v>104</v>
      </c>
      <c r="H150" t="s">
        <v>113</v>
      </c>
      <c r="J150">
        <v>0</v>
      </c>
      <c r="K150">
        <v>3</v>
      </c>
      <c r="L150">
        <v>83.757575759999995</v>
      </c>
      <c r="M150">
        <v>22.60997987</v>
      </c>
      <c r="N150">
        <v>0.72884000000000004</v>
      </c>
      <c r="O150">
        <v>83.757575759999995</v>
      </c>
      <c r="P150">
        <v>22.60997987</v>
      </c>
      <c r="Q150">
        <v>0.72884000000000004</v>
      </c>
      <c r="R150" t="s">
        <v>1014</v>
      </c>
      <c r="S150">
        <v>0</v>
      </c>
    </row>
    <row r="151" spans="1:19" x14ac:dyDescent="0.25">
      <c r="A151" t="s">
        <v>16</v>
      </c>
      <c r="B151" t="s">
        <v>910</v>
      </c>
      <c r="C151">
        <v>15</v>
      </c>
      <c r="D151" t="s">
        <v>17</v>
      </c>
      <c r="E151" t="s">
        <v>95</v>
      </c>
      <c r="F151" t="s">
        <v>110</v>
      </c>
      <c r="G151" t="s">
        <v>121</v>
      </c>
      <c r="H151" t="s">
        <v>104</v>
      </c>
      <c r="J151">
        <v>0</v>
      </c>
      <c r="K151">
        <v>1</v>
      </c>
      <c r="L151">
        <v>73.260869569999997</v>
      </c>
      <c r="M151">
        <v>34.453830549999999</v>
      </c>
      <c r="N151">
        <v>1.058333333</v>
      </c>
      <c r="O151">
        <v>113.9375</v>
      </c>
      <c r="P151">
        <v>33.375507550000002</v>
      </c>
      <c r="Q151">
        <v>2.4262999999999999</v>
      </c>
      <c r="R151" t="s">
        <v>1014</v>
      </c>
      <c r="S151">
        <v>-40.676630430000003</v>
      </c>
    </row>
    <row r="152" spans="1:19" x14ac:dyDescent="0.25">
      <c r="A152" t="s">
        <v>16</v>
      </c>
      <c r="B152" t="s">
        <v>910</v>
      </c>
      <c r="C152">
        <v>16</v>
      </c>
      <c r="D152" t="s">
        <v>17</v>
      </c>
      <c r="E152" t="s">
        <v>95</v>
      </c>
      <c r="F152" t="s">
        <v>110</v>
      </c>
      <c r="G152" t="s">
        <v>121</v>
      </c>
      <c r="H152" t="s">
        <v>241</v>
      </c>
      <c r="J152">
        <v>0</v>
      </c>
      <c r="K152">
        <v>1</v>
      </c>
      <c r="L152">
        <v>73.260869569999997</v>
      </c>
      <c r="M152">
        <v>34.453830549999999</v>
      </c>
      <c r="N152">
        <v>1.058333333</v>
      </c>
      <c r="O152">
        <v>114</v>
      </c>
      <c r="P152">
        <v>30.43077242</v>
      </c>
      <c r="Q152">
        <v>0.53383111100000002</v>
      </c>
      <c r="R152" t="s">
        <v>1014</v>
      </c>
      <c r="S152">
        <v>-40.739130430000003</v>
      </c>
    </row>
    <row r="153" spans="1:19" x14ac:dyDescent="0.25">
      <c r="A153" t="s">
        <v>16</v>
      </c>
      <c r="B153" t="s">
        <v>911</v>
      </c>
      <c r="C153">
        <v>15</v>
      </c>
      <c r="D153" t="s">
        <v>17</v>
      </c>
      <c r="E153" t="s">
        <v>95</v>
      </c>
      <c r="F153" t="s">
        <v>111</v>
      </c>
      <c r="G153" t="s">
        <v>113</v>
      </c>
      <c r="H153" t="s">
        <v>113</v>
      </c>
      <c r="J153">
        <v>0</v>
      </c>
      <c r="K153">
        <v>2</v>
      </c>
      <c r="L153">
        <v>94.97142857</v>
      </c>
      <c r="M153">
        <v>24.31591813</v>
      </c>
      <c r="N153">
        <v>0.122951111</v>
      </c>
      <c r="O153">
        <v>83.757575759999995</v>
      </c>
      <c r="P153">
        <v>22.60997987</v>
      </c>
      <c r="Q153">
        <v>0.72884000000000004</v>
      </c>
      <c r="R153" t="s">
        <v>1014</v>
      </c>
      <c r="S153">
        <v>11.213852810000006</v>
      </c>
    </row>
    <row r="154" spans="1:19" x14ac:dyDescent="0.25">
      <c r="A154" t="s">
        <v>16</v>
      </c>
      <c r="B154" t="s">
        <v>911</v>
      </c>
      <c r="C154">
        <v>16</v>
      </c>
      <c r="D154" t="s">
        <v>17</v>
      </c>
      <c r="E154" t="s">
        <v>95</v>
      </c>
      <c r="F154" t="s">
        <v>111</v>
      </c>
      <c r="G154" t="s">
        <v>113</v>
      </c>
      <c r="H154" t="s">
        <v>247</v>
      </c>
      <c r="J154">
        <v>0</v>
      </c>
      <c r="K154">
        <v>3</v>
      </c>
      <c r="L154">
        <v>94.97142857</v>
      </c>
      <c r="M154">
        <v>24.31591813</v>
      </c>
      <c r="N154">
        <v>0.122951111</v>
      </c>
      <c r="O154">
        <v>65.791044779999993</v>
      </c>
      <c r="P154">
        <v>22.94519201</v>
      </c>
      <c r="Q154">
        <v>8.1320334999999994E-2</v>
      </c>
      <c r="R154" t="s">
        <v>1014</v>
      </c>
      <c r="S154">
        <v>29.180383790000008</v>
      </c>
    </row>
    <row r="155" spans="1:19" x14ac:dyDescent="0.25">
      <c r="A155" t="s">
        <v>16</v>
      </c>
      <c r="B155" t="s">
        <v>912</v>
      </c>
      <c r="C155">
        <v>15</v>
      </c>
      <c r="D155" t="s">
        <v>17</v>
      </c>
      <c r="E155" t="s">
        <v>95</v>
      </c>
      <c r="F155" t="s">
        <v>104</v>
      </c>
      <c r="G155" t="s">
        <v>121</v>
      </c>
      <c r="H155" t="s">
        <v>247</v>
      </c>
      <c r="J155">
        <v>0</v>
      </c>
      <c r="K155">
        <v>1</v>
      </c>
      <c r="L155">
        <v>113.9375</v>
      </c>
      <c r="M155">
        <v>33.375507550000002</v>
      </c>
      <c r="N155">
        <v>2.4262999999999999</v>
      </c>
      <c r="O155">
        <v>65.791044779999993</v>
      </c>
      <c r="P155">
        <v>22.94519201</v>
      </c>
      <c r="Q155">
        <v>8.1320334999999994E-2</v>
      </c>
      <c r="R155" t="s">
        <v>1014</v>
      </c>
      <c r="S155">
        <v>48.146455220000007</v>
      </c>
    </row>
    <row r="156" spans="1:19" x14ac:dyDescent="0.25">
      <c r="A156" t="s">
        <v>16</v>
      </c>
      <c r="B156" t="s">
        <v>912</v>
      </c>
      <c r="C156">
        <v>16</v>
      </c>
      <c r="D156" t="s">
        <v>17</v>
      </c>
      <c r="E156" t="s">
        <v>95</v>
      </c>
      <c r="F156" t="s">
        <v>104</v>
      </c>
      <c r="G156" t="s">
        <v>121</v>
      </c>
      <c r="H156" t="s">
        <v>111</v>
      </c>
      <c r="J156">
        <v>0</v>
      </c>
      <c r="K156">
        <v>1</v>
      </c>
      <c r="L156">
        <v>113.9375</v>
      </c>
      <c r="M156">
        <v>33.375507550000002</v>
      </c>
      <c r="N156">
        <v>2.4262999999999999</v>
      </c>
      <c r="O156">
        <v>94.97142857</v>
      </c>
      <c r="P156">
        <v>24.31591813</v>
      </c>
      <c r="Q156">
        <v>0.122951111</v>
      </c>
      <c r="R156" t="s">
        <v>1014</v>
      </c>
      <c r="S156">
        <v>18.96607143</v>
      </c>
    </row>
    <row r="157" spans="1:19" x14ac:dyDescent="0.25">
      <c r="A157" t="s">
        <v>18</v>
      </c>
      <c r="B157" t="s">
        <v>913</v>
      </c>
      <c r="C157">
        <v>15</v>
      </c>
      <c r="D157" t="s">
        <v>19</v>
      </c>
      <c r="E157" t="s">
        <v>95</v>
      </c>
      <c r="F157" t="s">
        <v>113</v>
      </c>
      <c r="G157" t="s">
        <v>121</v>
      </c>
      <c r="H157" t="s">
        <v>113</v>
      </c>
      <c r="J157">
        <v>0</v>
      </c>
      <c r="K157">
        <v>3</v>
      </c>
      <c r="L157">
        <v>83.757575759999995</v>
      </c>
      <c r="M157">
        <v>22.60997987</v>
      </c>
      <c r="N157">
        <v>0.72884000000000004</v>
      </c>
      <c r="O157">
        <v>83.757575759999995</v>
      </c>
      <c r="P157">
        <v>22.60997987</v>
      </c>
      <c r="Q157">
        <v>0.72884000000000004</v>
      </c>
      <c r="R157" t="s">
        <v>1014</v>
      </c>
      <c r="S157">
        <v>0</v>
      </c>
    </row>
    <row r="158" spans="1:19" x14ac:dyDescent="0.25">
      <c r="A158" t="s">
        <v>18</v>
      </c>
      <c r="B158" t="s">
        <v>913</v>
      </c>
      <c r="C158">
        <v>16</v>
      </c>
      <c r="D158" t="s">
        <v>19</v>
      </c>
      <c r="E158" t="s">
        <v>95</v>
      </c>
      <c r="F158" t="s">
        <v>113</v>
      </c>
      <c r="G158" t="s">
        <v>121</v>
      </c>
      <c r="H158" t="s">
        <v>808</v>
      </c>
      <c r="J158">
        <v>0</v>
      </c>
      <c r="K158">
        <v>1</v>
      </c>
      <c r="L158">
        <v>83.757575759999995</v>
      </c>
      <c r="M158">
        <v>22.60997987</v>
      </c>
      <c r="N158">
        <v>0.72884000000000004</v>
      </c>
      <c r="O158">
        <v>102.79166669999999</v>
      </c>
      <c r="P158">
        <v>27.057373470000002</v>
      </c>
      <c r="Q158">
        <v>6.3567849939999999</v>
      </c>
      <c r="R158" t="s">
        <v>1014</v>
      </c>
      <c r="S158">
        <v>-19.034090939999999</v>
      </c>
    </row>
    <row r="159" spans="1:19" x14ac:dyDescent="0.25">
      <c r="A159" t="s">
        <v>18</v>
      </c>
      <c r="B159" t="s">
        <v>913</v>
      </c>
      <c r="C159">
        <v>17</v>
      </c>
      <c r="D159" t="s">
        <v>19</v>
      </c>
      <c r="E159" t="s">
        <v>95</v>
      </c>
      <c r="F159" t="s">
        <v>113</v>
      </c>
      <c r="G159" t="s">
        <v>121</v>
      </c>
      <c r="H159" t="s">
        <v>242</v>
      </c>
      <c r="J159">
        <v>0</v>
      </c>
      <c r="K159">
        <v>15</v>
      </c>
      <c r="L159">
        <v>83.757575759999995</v>
      </c>
      <c r="M159">
        <v>22.60997987</v>
      </c>
      <c r="N159">
        <v>0.72884000000000004</v>
      </c>
      <c r="O159">
        <v>139.375</v>
      </c>
      <c r="P159">
        <v>23.713465920000001</v>
      </c>
      <c r="Q159" t="s">
        <v>114</v>
      </c>
      <c r="R159" t="s">
        <v>1014</v>
      </c>
      <c r="S159">
        <v>-55.617424240000005</v>
      </c>
    </row>
    <row r="160" spans="1:19" x14ac:dyDescent="0.25">
      <c r="A160" t="s">
        <v>18</v>
      </c>
      <c r="B160" t="s">
        <v>914</v>
      </c>
      <c r="C160">
        <v>15</v>
      </c>
      <c r="D160" t="s">
        <v>19</v>
      </c>
      <c r="E160" t="s">
        <v>95</v>
      </c>
      <c r="F160" t="s">
        <v>111</v>
      </c>
      <c r="G160" t="s">
        <v>121</v>
      </c>
      <c r="H160" t="s">
        <v>113</v>
      </c>
      <c r="J160">
        <v>0</v>
      </c>
      <c r="K160">
        <v>2</v>
      </c>
      <c r="L160">
        <v>94.97142857</v>
      </c>
      <c r="M160">
        <v>24.31591813</v>
      </c>
      <c r="N160">
        <v>0.122951111</v>
      </c>
      <c r="O160">
        <v>83.757575759999995</v>
      </c>
      <c r="P160">
        <v>22.60997987</v>
      </c>
      <c r="Q160">
        <v>0.72884000000000004</v>
      </c>
      <c r="R160" t="s">
        <v>1014</v>
      </c>
      <c r="S160">
        <v>11.213852810000006</v>
      </c>
    </row>
    <row r="161" spans="1:19" x14ac:dyDescent="0.25">
      <c r="A161" t="s">
        <v>18</v>
      </c>
      <c r="B161" t="s">
        <v>914</v>
      </c>
      <c r="C161">
        <v>16</v>
      </c>
      <c r="D161" t="s">
        <v>19</v>
      </c>
      <c r="E161" t="s">
        <v>95</v>
      </c>
      <c r="F161" t="s">
        <v>111</v>
      </c>
      <c r="G161" t="s">
        <v>121</v>
      </c>
      <c r="H161" t="s">
        <v>242</v>
      </c>
      <c r="J161">
        <v>0</v>
      </c>
      <c r="K161">
        <v>2</v>
      </c>
      <c r="L161">
        <v>94.97142857</v>
      </c>
      <c r="M161">
        <v>24.31591813</v>
      </c>
      <c r="N161">
        <v>0.122951111</v>
      </c>
      <c r="O161">
        <v>139.375</v>
      </c>
      <c r="P161">
        <v>23.713465920000001</v>
      </c>
      <c r="Q161" t="s">
        <v>114</v>
      </c>
      <c r="R161" t="s">
        <v>1014</v>
      </c>
      <c r="S161">
        <v>-44.40357143</v>
      </c>
    </row>
    <row r="162" spans="1:19" x14ac:dyDescent="0.25">
      <c r="A162" t="s">
        <v>18</v>
      </c>
      <c r="B162" t="s">
        <v>915</v>
      </c>
      <c r="C162">
        <v>15</v>
      </c>
      <c r="D162" t="s">
        <v>19</v>
      </c>
      <c r="E162" t="s">
        <v>95</v>
      </c>
      <c r="F162" t="s">
        <v>104</v>
      </c>
      <c r="G162" t="s">
        <v>121</v>
      </c>
      <c r="H162" t="s">
        <v>247</v>
      </c>
      <c r="J162">
        <v>0</v>
      </c>
      <c r="K162">
        <v>1</v>
      </c>
      <c r="L162">
        <v>113.9375</v>
      </c>
      <c r="M162">
        <v>33.375507550000002</v>
      </c>
      <c r="N162">
        <v>2.4262999999999999</v>
      </c>
      <c r="O162">
        <v>65.791044779999993</v>
      </c>
      <c r="P162">
        <v>22.94519201</v>
      </c>
      <c r="Q162">
        <v>8.1320334999999994E-2</v>
      </c>
      <c r="R162" t="s">
        <v>1014</v>
      </c>
      <c r="S162">
        <v>48.146455220000007</v>
      </c>
    </row>
    <row r="163" spans="1:19" x14ac:dyDescent="0.25">
      <c r="A163" t="s">
        <v>18</v>
      </c>
      <c r="B163" t="s">
        <v>915</v>
      </c>
      <c r="C163">
        <v>16</v>
      </c>
      <c r="D163" t="s">
        <v>19</v>
      </c>
      <c r="E163" t="s">
        <v>95</v>
      </c>
      <c r="F163" t="s">
        <v>104</v>
      </c>
      <c r="G163" t="s">
        <v>121</v>
      </c>
      <c r="H163" t="s">
        <v>113</v>
      </c>
      <c r="J163">
        <v>0</v>
      </c>
      <c r="K163">
        <v>3</v>
      </c>
      <c r="L163">
        <v>113.9375</v>
      </c>
      <c r="M163">
        <v>33.375507550000002</v>
      </c>
      <c r="N163">
        <v>2.4262999999999999</v>
      </c>
      <c r="O163">
        <v>83.757575759999995</v>
      </c>
      <c r="P163">
        <v>22.60997987</v>
      </c>
      <c r="Q163">
        <v>0.72884000000000004</v>
      </c>
      <c r="R163" t="s">
        <v>1014</v>
      </c>
      <c r="S163">
        <v>30.179924240000005</v>
      </c>
    </row>
    <row r="164" spans="1:19" x14ac:dyDescent="0.25">
      <c r="A164" t="s">
        <v>18</v>
      </c>
      <c r="B164" t="s">
        <v>916</v>
      </c>
      <c r="C164">
        <v>15</v>
      </c>
      <c r="D164" t="s">
        <v>19</v>
      </c>
      <c r="E164" t="s">
        <v>95</v>
      </c>
      <c r="F164" t="s">
        <v>112</v>
      </c>
      <c r="G164" t="s">
        <v>113</v>
      </c>
      <c r="H164" t="s">
        <v>113</v>
      </c>
      <c r="J164">
        <v>0</v>
      </c>
      <c r="K164">
        <v>1</v>
      </c>
      <c r="L164">
        <v>65.09375</v>
      </c>
      <c r="M164">
        <v>37.895352600000002</v>
      </c>
      <c r="N164">
        <v>2.2882677779999998</v>
      </c>
      <c r="O164">
        <v>83.757575759999995</v>
      </c>
      <c r="P164">
        <v>22.60997987</v>
      </c>
      <c r="Q164">
        <v>0.72884000000000004</v>
      </c>
      <c r="R164" t="s">
        <v>1014</v>
      </c>
      <c r="S164">
        <v>-18.663825759999995</v>
      </c>
    </row>
    <row r="165" spans="1:19" x14ac:dyDescent="0.25">
      <c r="A165" t="s">
        <v>20</v>
      </c>
      <c r="B165" t="s">
        <v>917</v>
      </c>
      <c r="C165">
        <v>15</v>
      </c>
      <c r="D165" t="s">
        <v>21</v>
      </c>
      <c r="E165" t="s">
        <v>94</v>
      </c>
      <c r="F165" t="s">
        <v>102</v>
      </c>
      <c r="G165" t="s">
        <v>121</v>
      </c>
      <c r="H165" t="s">
        <v>246</v>
      </c>
      <c r="J165">
        <v>0</v>
      </c>
      <c r="K165">
        <v>1</v>
      </c>
      <c r="L165">
        <v>84.740740740000007</v>
      </c>
      <c r="M165">
        <v>29.167014049999999</v>
      </c>
      <c r="N165">
        <v>1.1169849999999999</v>
      </c>
      <c r="O165">
        <v>120.25</v>
      </c>
      <c r="P165">
        <v>30.670450110000001</v>
      </c>
      <c r="Q165">
        <v>0.91037498500000003</v>
      </c>
      <c r="R165" t="s">
        <v>1014</v>
      </c>
      <c r="S165">
        <v>-35.509259259999993</v>
      </c>
    </row>
    <row r="166" spans="1:19" x14ac:dyDescent="0.25">
      <c r="A166" t="s">
        <v>20</v>
      </c>
      <c r="B166" t="s">
        <v>918</v>
      </c>
      <c r="C166">
        <v>15</v>
      </c>
      <c r="D166" t="s">
        <v>21</v>
      </c>
      <c r="E166" t="s">
        <v>94</v>
      </c>
      <c r="F166" t="s">
        <v>113</v>
      </c>
      <c r="G166" t="s">
        <v>113</v>
      </c>
      <c r="H166" t="s">
        <v>113</v>
      </c>
      <c r="J166">
        <v>0</v>
      </c>
      <c r="K166">
        <v>1</v>
      </c>
      <c r="L166">
        <v>83.757575759999995</v>
      </c>
      <c r="M166">
        <v>22.60997987</v>
      </c>
      <c r="N166">
        <v>0.72884000000000004</v>
      </c>
      <c r="O166">
        <v>83.757575759999995</v>
      </c>
      <c r="P166">
        <v>22.60997987</v>
      </c>
      <c r="Q166">
        <v>0.72884000000000004</v>
      </c>
      <c r="R166" t="s">
        <v>1014</v>
      </c>
      <c r="S166">
        <v>0</v>
      </c>
    </row>
    <row r="167" spans="1:19" x14ac:dyDescent="0.25">
      <c r="A167" t="s">
        <v>20</v>
      </c>
      <c r="B167" t="s">
        <v>919</v>
      </c>
      <c r="C167">
        <v>15</v>
      </c>
      <c r="D167" t="s">
        <v>21</v>
      </c>
      <c r="E167" t="s">
        <v>94</v>
      </c>
      <c r="F167" t="s">
        <v>110</v>
      </c>
      <c r="G167" t="s">
        <v>121</v>
      </c>
      <c r="H167" t="s">
        <v>113</v>
      </c>
      <c r="J167">
        <v>0</v>
      </c>
      <c r="K167">
        <v>2</v>
      </c>
      <c r="L167">
        <v>73.260869569999997</v>
      </c>
      <c r="M167">
        <v>34.453830549999999</v>
      </c>
      <c r="N167">
        <v>1.058333333</v>
      </c>
      <c r="O167">
        <v>83.757575759999995</v>
      </c>
      <c r="P167">
        <v>22.60997987</v>
      </c>
      <c r="Q167">
        <v>0.72884000000000004</v>
      </c>
      <c r="R167" t="s">
        <v>1014</v>
      </c>
      <c r="S167">
        <v>-10.496706189999998</v>
      </c>
    </row>
    <row r="168" spans="1:19" x14ac:dyDescent="0.25">
      <c r="A168" t="s">
        <v>20</v>
      </c>
      <c r="B168" t="s">
        <v>919</v>
      </c>
      <c r="C168">
        <v>16</v>
      </c>
      <c r="D168" t="s">
        <v>21</v>
      </c>
      <c r="E168" t="s">
        <v>94</v>
      </c>
      <c r="F168" t="s">
        <v>110</v>
      </c>
      <c r="G168" t="s">
        <v>121</v>
      </c>
      <c r="H168" t="s">
        <v>102</v>
      </c>
      <c r="J168">
        <v>0</v>
      </c>
      <c r="K168">
        <v>1</v>
      </c>
      <c r="L168">
        <v>73.260869569999997</v>
      </c>
      <c r="M168">
        <v>34.453830549999999</v>
      </c>
      <c r="N168">
        <v>1.058333333</v>
      </c>
      <c r="O168">
        <v>84.740740740000007</v>
      </c>
      <c r="P168">
        <v>29.167014049999999</v>
      </c>
      <c r="Q168">
        <v>1.1169849999999999</v>
      </c>
      <c r="R168" t="s">
        <v>1014</v>
      </c>
      <c r="S168">
        <v>-11.47987117000001</v>
      </c>
    </row>
    <row r="169" spans="1:19" x14ac:dyDescent="0.25">
      <c r="A169" t="s">
        <v>20</v>
      </c>
      <c r="B169" t="s">
        <v>920</v>
      </c>
      <c r="C169">
        <v>15</v>
      </c>
      <c r="D169" t="s">
        <v>21</v>
      </c>
      <c r="E169" t="s">
        <v>94</v>
      </c>
      <c r="F169" t="s">
        <v>111</v>
      </c>
      <c r="G169" t="s">
        <v>121</v>
      </c>
      <c r="H169" t="s">
        <v>110</v>
      </c>
      <c r="J169">
        <v>0</v>
      </c>
      <c r="K169">
        <v>1</v>
      </c>
      <c r="L169">
        <v>94.97142857</v>
      </c>
      <c r="M169">
        <v>24.31591813</v>
      </c>
      <c r="N169">
        <v>0.122951111</v>
      </c>
      <c r="O169">
        <v>73.260869569999997</v>
      </c>
      <c r="P169">
        <v>34.453830549999999</v>
      </c>
      <c r="Q169">
        <v>1.058333333</v>
      </c>
      <c r="R169" t="s">
        <v>1014</v>
      </c>
      <c r="S169">
        <v>21.710559000000003</v>
      </c>
    </row>
    <row r="170" spans="1:19" x14ac:dyDescent="0.25">
      <c r="A170" t="s">
        <v>22</v>
      </c>
      <c r="B170" t="s">
        <v>921</v>
      </c>
      <c r="C170">
        <v>15</v>
      </c>
      <c r="D170" t="s">
        <v>23</v>
      </c>
      <c r="E170" t="s">
        <v>95</v>
      </c>
      <c r="F170" t="s">
        <v>102</v>
      </c>
      <c r="G170" t="s">
        <v>121</v>
      </c>
      <c r="H170" t="s">
        <v>236</v>
      </c>
      <c r="J170">
        <v>0</v>
      </c>
      <c r="K170">
        <v>1</v>
      </c>
      <c r="L170">
        <v>84.740740740000007</v>
      </c>
      <c r="M170">
        <v>29.167014049999999</v>
      </c>
      <c r="N170">
        <v>1.1169849999999999</v>
      </c>
      <c r="O170">
        <v>113.33333330000001</v>
      </c>
      <c r="P170">
        <v>26.41632581</v>
      </c>
      <c r="Q170">
        <v>1.6844570160000001</v>
      </c>
      <c r="R170" t="s">
        <v>1014</v>
      </c>
      <c r="S170">
        <v>-28.59259256</v>
      </c>
    </row>
    <row r="171" spans="1:19" x14ac:dyDescent="0.25">
      <c r="A171" t="s">
        <v>22</v>
      </c>
      <c r="B171" t="s">
        <v>922</v>
      </c>
      <c r="C171">
        <v>15</v>
      </c>
      <c r="D171" t="s">
        <v>23</v>
      </c>
      <c r="E171" t="s">
        <v>95</v>
      </c>
      <c r="F171" t="s">
        <v>105</v>
      </c>
      <c r="G171" t="s">
        <v>121</v>
      </c>
      <c r="H171" t="s">
        <v>113</v>
      </c>
      <c r="J171">
        <v>0</v>
      </c>
      <c r="K171">
        <v>4</v>
      </c>
      <c r="L171">
        <v>67.5</v>
      </c>
      <c r="M171">
        <v>47.937235809999997</v>
      </c>
      <c r="N171">
        <v>0.41599678000000001</v>
      </c>
      <c r="O171">
        <v>83.757575759999995</v>
      </c>
      <c r="P171">
        <v>22.60997987</v>
      </c>
      <c r="Q171">
        <v>0.72884000000000004</v>
      </c>
      <c r="R171" t="s">
        <v>1014</v>
      </c>
      <c r="S171">
        <v>-16.257575759999995</v>
      </c>
    </row>
    <row r="172" spans="1:19" x14ac:dyDescent="0.25">
      <c r="A172" t="s">
        <v>22</v>
      </c>
      <c r="B172" t="s">
        <v>922</v>
      </c>
      <c r="C172">
        <v>16</v>
      </c>
      <c r="D172" t="s">
        <v>23</v>
      </c>
      <c r="E172" t="s">
        <v>95</v>
      </c>
      <c r="F172" t="s">
        <v>105</v>
      </c>
      <c r="G172" t="s">
        <v>121</v>
      </c>
      <c r="H172" t="s">
        <v>103</v>
      </c>
      <c r="J172">
        <v>0</v>
      </c>
      <c r="K172">
        <v>1</v>
      </c>
      <c r="L172">
        <v>67.5</v>
      </c>
      <c r="M172">
        <v>47.937235809999997</v>
      </c>
      <c r="N172">
        <v>0.41599678000000001</v>
      </c>
      <c r="O172">
        <v>98.291666669999998</v>
      </c>
      <c r="P172">
        <v>30.315130790000001</v>
      </c>
      <c r="Q172">
        <v>5.0803484000000003E-2</v>
      </c>
      <c r="R172" t="s">
        <v>1014</v>
      </c>
      <c r="S172">
        <v>-30.791666669999998</v>
      </c>
    </row>
    <row r="173" spans="1:19" x14ac:dyDescent="0.25">
      <c r="A173" t="s">
        <v>22</v>
      </c>
      <c r="B173" t="s">
        <v>922</v>
      </c>
      <c r="C173">
        <v>17</v>
      </c>
      <c r="D173" t="s">
        <v>23</v>
      </c>
      <c r="E173" t="s">
        <v>95</v>
      </c>
      <c r="F173" t="s">
        <v>105</v>
      </c>
      <c r="G173" t="s">
        <v>121</v>
      </c>
      <c r="H173" t="s">
        <v>234</v>
      </c>
      <c r="J173">
        <v>0</v>
      </c>
      <c r="K173">
        <v>1</v>
      </c>
      <c r="L173">
        <v>67.5</v>
      </c>
      <c r="M173">
        <v>47.937235809999997</v>
      </c>
      <c r="N173">
        <v>0.41599678000000001</v>
      </c>
      <c r="O173">
        <v>89.8125</v>
      </c>
      <c r="P173">
        <v>34.754706650000003</v>
      </c>
      <c r="Q173">
        <v>2.3065078999999999E-2</v>
      </c>
      <c r="R173" t="s">
        <v>1014</v>
      </c>
      <c r="S173">
        <v>-22.3125</v>
      </c>
    </row>
    <row r="174" spans="1:19" x14ac:dyDescent="0.25">
      <c r="A174" t="s">
        <v>22</v>
      </c>
      <c r="B174" t="s">
        <v>923</v>
      </c>
      <c r="C174">
        <v>15</v>
      </c>
      <c r="D174" t="s">
        <v>23</v>
      </c>
      <c r="E174" t="s">
        <v>95</v>
      </c>
      <c r="F174" t="s">
        <v>103</v>
      </c>
      <c r="G174" t="s">
        <v>103</v>
      </c>
      <c r="H174" t="s">
        <v>103</v>
      </c>
      <c r="J174">
        <v>0</v>
      </c>
      <c r="K174">
        <v>6</v>
      </c>
      <c r="L174">
        <v>98.291666669999998</v>
      </c>
      <c r="M174">
        <v>30.315130790000001</v>
      </c>
      <c r="N174">
        <v>5.0803484000000003E-2</v>
      </c>
      <c r="O174">
        <v>98.291666669999998</v>
      </c>
      <c r="P174">
        <v>30.315130790000001</v>
      </c>
      <c r="Q174">
        <v>5.0803484000000003E-2</v>
      </c>
      <c r="R174" t="s">
        <v>1014</v>
      </c>
      <c r="S174">
        <v>0</v>
      </c>
    </row>
    <row r="175" spans="1:19" x14ac:dyDescent="0.25">
      <c r="A175" t="s">
        <v>22</v>
      </c>
      <c r="B175" t="s">
        <v>923</v>
      </c>
      <c r="C175">
        <v>16</v>
      </c>
      <c r="D175" t="s">
        <v>23</v>
      </c>
      <c r="E175" t="s">
        <v>95</v>
      </c>
      <c r="F175" t="s">
        <v>103</v>
      </c>
      <c r="G175" t="s">
        <v>103</v>
      </c>
      <c r="H175" t="s">
        <v>248</v>
      </c>
      <c r="J175">
        <v>0</v>
      </c>
      <c r="K175">
        <v>4</v>
      </c>
      <c r="L175">
        <v>98.291666669999998</v>
      </c>
      <c r="M175">
        <v>30.315130790000001</v>
      </c>
      <c r="N175">
        <v>5.0803484000000003E-2</v>
      </c>
      <c r="O175">
        <v>83.92307692</v>
      </c>
      <c r="P175">
        <v>44.319135699999997</v>
      </c>
      <c r="Q175">
        <v>5.9548609999999997E-3</v>
      </c>
      <c r="R175" t="s">
        <v>1014</v>
      </c>
      <c r="S175">
        <v>14.368589749999998</v>
      </c>
    </row>
    <row r="176" spans="1:19" x14ac:dyDescent="0.25">
      <c r="A176" t="s">
        <v>22</v>
      </c>
      <c r="B176" t="s">
        <v>924</v>
      </c>
      <c r="C176">
        <v>15</v>
      </c>
      <c r="D176" t="s">
        <v>23</v>
      </c>
      <c r="E176" t="s">
        <v>95</v>
      </c>
      <c r="F176" t="s">
        <v>111</v>
      </c>
      <c r="G176" t="s">
        <v>121</v>
      </c>
      <c r="H176" t="s">
        <v>112</v>
      </c>
      <c r="J176">
        <v>1</v>
      </c>
      <c r="K176">
        <v>1</v>
      </c>
      <c r="L176">
        <v>94.97142857</v>
      </c>
      <c r="M176">
        <v>24.31591813</v>
      </c>
      <c r="N176">
        <v>0.122951111</v>
      </c>
      <c r="O176">
        <v>65.09375</v>
      </c>
      <c r="P176">
        <v>37.895352600000002</v>
      </c>
      <c r="Q176">
        <v>2.2882677779999998</v>
      </c>
      <c r="R176" t="s">
        <v>1014</v>
      </c>
      <c r="S176">
        <v>29.87767857</v>
      </c>
    </row>
    <row r="177" spans="1:19" x14ac:dyDescent="0.25">
      <c r="A177" t="s">
        <v>22</v>
      </c>
      <c r="B177" t="s">
        <v>924</v>
      </c>
      <c r="C177">
        <v>16</v>
      </c>
      <c r="D177" t="s">
        <v>23</v>
      </c>
      <c r="E177" t="s">
        <v>95</v>
      </c>
      <c r="F177" t="s">
        <v>111</v>
      </c>
      <c r="G177" t="s">
        <v>121</v>
      </c>
      <c r="H177" t="s">
        <v>239</v>
      </c>
      <c r="J177">
        <v>1</v>
      </c>
      <c r="K177">
        <v>1</v>
      </c>
      <c r="L177">
        <v>94.97142857</v>
      </c>
      <c r="M177">
        <v>24.31591813</v>
      </c>
      <c r="N177">
        <v>0.122951111</v>
      </c>
      <c r="O177">
        <v>100.45454549999999</v>
      </c>
      <c r="P177">
        <v>26.754810689999999</v>
      </c>
      <c r="Q177">
        <v>0.75829999999999997</v>
      </c>
      <c r="R177" t="s">
        <v>1014</v>
      </c>
      <c r="S177">
        <v>-5.4831169299999942</v>
      </c>
    </row>
    <row r="178" spans="1:19" x14ac:dyDescent="0.25">
      <c r="A178" t="s">
        <v>22</v>
      </c>
      <c r="B178" t="s">
        <v>924</v>
      </c>
      <c r="C178">
        <v>17</v>
      </c>
      <c r="D178" t="s">
        <v>23</v>
      </c>
      <c r="E178" t="s">
        <v>95</v>
      </c>
      <c r="F178" t="s">
        <v>111</v>
      </c>
      <c r="G178" t="s">
        <v>121</v>
      </c>
      <c r="H178" t="s">
        <v>248</v>
      </c>
      <c r="J178">
        <v>1</v>
      </c>
      <c r="K178">
        <v>5</v>
      </c>
      <c r="L178">
        <v>94.97142857</v>
      </c>
      <c r="M178">
        <v>24.31591813</v>
      </c>
      <c r="N178">
        <v>0.122951111</v>
      </c>
      <c r="O178">
        <v>83.92307692</v>
      </c>
      <c r="P178">
        <v>44.319135699999997</v>
      </c>
      <c r="Q178">
        <v>5.9548609999999997E-3</v>
      </c>
      <c r="R178" t="s">
        <v>1014</v>
      </c>
      <c r="S178">
        <v>11.048351650000001</v>
      </c>
    </row>
    <row r="179" spans="1:19" x14ac:dyDescent="0.25">
      <c r="A179" t="s">
        <v>22</v>
      </c>
      <c r="B179" t="s">
        <v>925</v>
      </c>
      <c r="C179">
        <v>15</v>
      </c>
      <c r="D179" t="s">
        <v>23</v>
      </c>
      <c r="E179" t="s">
        <v>95</v>
      </c>
      <c r="F179" t="s">
        <v>112</v>
      </c>
      <c r="G179" t="s">
        <v>103</v>
      </c>
      <c r="H179" t="s">
        <v>103</v>
      </c>
      <c r="J179">
        <v>0</v>
      </c>
      <c r="K179">
        <v>3</v>
      </c>
      <c r="L179">
        <v>65.09375</v>
      </c>
      <c r="M179">
        <v>37.895352600000002</v>
      </c>
      <c r="N179">
        <v>2.2882677779999998</v>
      </c>
      <c r="O179">
        <v>98.291666669999998</v>
      </c>
      <c r="P179">
        <v>30.315130790000001</v>
      </c>
      <c r="Q179">
        <v>5.0803484000000003E-2</v>
      </c>
      <c r="R179" t="s">
        <v>1014</v>
      </c>
      <c r="S179">
        <v>-33.197916669999998</v>
      </c>
    </row>
    <row r="180" spans="1:19" x14ac:dyDescent="0.25">
      <c r="A180" t="s">
        <v>22</v>
      </c>
      <c r="B180" t="s">
        <v>925</v>
      </c>
      <c r="C180">
        <v>16</v>
      </c>
      <c r="D180" t="s">
        <v>23</v>
      </c>
      <c r="E180" t="s">
        <v>95</v>
      </c>
      <c r="F180" t="s">
        <v>112</v>
      </c>
      <c r="G180" t="s">
        <v>103</v>
      </c>
      <c r="H180" t="s">
        <v>113</v>
      </c>
      <c r="J180">
        <v>0</v>
      </c>
      <c r="K180">
        <v>2</v>
      </c>
      <c r="L180">
        <v>65.09375</v>
      </c>
      <c r="M180">
        <v>37.895352600000002</v>
      </c>
      <c r="N180">
        <v>2.2882677779999998</v>
      </c>
      <c r="O180">
        <v>83.757575759999995</v>
      </c>
      <c r="P180">
        <v>22.60997987</v>
      </c>
      <c r="Q180">
        <v>0.72884000000000004</v>
      </c>
      <c r="R180" t="s">
        <v>1014</v>
      </c>
      <c r="S180">
        <v>-18.663825759999995</v>
      </c>
    </row>
    <row r="181" spans="1:19" x14ac:dyDescent="0.25">
      <c r="A181" t="s">
        <v>22</v>
      </c>
      <c r="B181" t="s">
        <v>925</v>
      </c>
      <c r="C181">
        <v>17</v>
      </c>
      <c r="D181" t="s">
        <v>23</v>
      </c>
      <c r="E181" t="s">
        <v>95</v>
      </c>
      <c r="F181" t="s">
        <v>112</v>
      </c>
      <c r="G181" t="s">
        <v>103</v>
      </c>
      <c r="H181" t="s">
        <v>247</v>
      </c>
      <c r="J181">
        <v>0</v>
      </c>
      <c r="K181">
        <v>1</v>
      </c>
      <c r="L181">
        <v>65.09375</v>
      </c>
      <c r="M181">
        <v>37.895352600000002</v>
      </c>
      <c r="N181">
        <v>2.2882677779999998</v>
      </c>
      <c r="O181">
        <v>65.791044779999993</v>
      </c>
      <c r="P181">
        <v>22.94519201</v>
      </c>
      <c r="Q181">
        <v>8.1320334999999994E-2</v>
      </c>
      <c r="R181" t="s">
        <v>1014</v>
      </c>
      <c r="S181">
        <v>-0.6972947799999929</v>
      </c>
    </row>
    <row r="182" spans="1:19" x14ac:dyDescent="0.25">
      <c r="A182" t="s">
        <v>22</v>
      </c>
      <c r="B182" t="s">
        <v>925</v>
      </c>
      <c r="C182">
        <v>18</v>
      </c>
      <c r="D182" t="s">
        <v>23</v>
      </c>
      <c r="E182" t="s">
        <v>95</v>
      </c>
      <c r="F182" t="s">
        <v>112</v>
      </c>
      <c r="G182" t="s">
        <v>103</v>
      </c>
      <c r="H182" t="s">
        <v>248</v>
      </c>
      <c r="J182">
        <v>0</v>
      </c>
      <c r="K182">
        <v>3</v>
      </c>
      <c r="L182">
        <v>65.09375</v>
      </c>
      <c r="M182">
        <v>37.895352600000002</v>
      </c>
      <c r="N182">
        <v>2.2882677779999998</v>
      </c>
      <c r="O182">
        <v>83.92307692</v>
      </c>
      <c r="P182">
        <v>44.319135699999997</v>
      </c>
      <c r="Q182">
        <v>5.9548609999999997E-3</v>
      </c>
      <c r="R182" t="s">
        <v>1014</v>
      </c>
      <c r="S182">
        <v>-18.82932692</v>
      </c>
    </row>
    <row r="183" spans="1:19" x14ac:dyDescent="0.25">
      <c r="A183" t="s">
        <v>24</v>
      </c>
      <c r="B183" t="s">
        <v>926</v>
      </c>
      <c r="C183">
        <v>15</v>
      </c>
      <c r="D183" t="s">
        <v>25</v>
      </c>
      <c r="E183" t="s">
        <v>95</v>
      </c>
      <c r="F183" t="s">
        <v>105</v>
      </c>
      <c r="G183" t="s">
        <v>121</v>
      </c>
      <c r="H183" t="s">
        <v>111</v>
      </c>
      <c r="J183">
        <v>0</v>
      </c>
      <c r="K183">
        <v>1</v>
      </c>
      <c r="L183">
        <v>67.5</v>
      </c>
      <c r="M183">
        <v>47.937235809999997</v>
      </c>
      <c r="N183">
        <v>0.41599678000000001</v>
      </c>
      <c r="O183">
        <v>94.97142857</v>
      </c>
      <c r="P183">
        <v>24.31591813</v>
      </c>
      <c r="Q183">
        <v>0.122951111</v>
      </c>
      <c r="R183" t="s">
        <v>1014</v>
      </c>
      <c r="S183">
        <v>-27.47142857</v>
      </c>
    </row>
    <row r="184" spans="1:19" x14ac:dyDescent="0.25">
      <c r="A184" t="s">
        <v>24</v>
      </c>
      <c r="B184" t="s">
        <v>926</v>
      </c>
      <c r="C184">
        <v>16</v>
      </c>
      <c r="D184" t="s">
        <v>25</v>
      </c>
      <c r="E184" t="s">
        <v>95</v>
      </c>
      <c r="F184" t="s">
        <v>105</v>
      </c>
      <c r="G184" t="s">
        <v>121</v>
      </c>
      <c r="H184" t="s">
        <v>104</v>
      </c>
      <c r="J184">
        <v>0</v>
      </c>
      <c r="K184">
        <v>1</v>
      </c>
      <c r="L184">
        <v>67.5</v>
      </c>
      <c r="M184">
        <v>47.937235809999997</v>
      </c>
      <c r="N184">
        <v>0.41599678000000001</v>
      </c>
      <c r="O184">
        <v>113.9375</v>
      </c>
      <c r="P184">
        <v>33.375507550000002</v>
      </c>
      <c r="Q184">
        <v>2.4262999999999999</v>
      </c>
      <c r="R184" t="s">
        <v>1014</v>
      </c>
      <c r="S184">
        <v>-46.4375</v>
      </c>
    </row>
    <row r="185" spans="1:19" x14ac:dyDescent="0.25">
      <c r="A185" t="s">
        <v>24</v>
      </c>
      <c r="B185" t="s">
        <v>927</v>
      </c>
      <c r="C185">
        <v>15</v>
      </c>
      <c r="D185" t="s">
        <v>25</v>
      </c>
      <c r="E185" t="s">
        <v>95</v>
      </c>
      <c r="F185" t="s">
        <v>112</v>
      </c>
      <c r="G185" t="s">
        <v>112</v>
      </c>
      <c r="H185" t="s">
        <v>112</v>
      </c>
      <c r="J185">
        <v>0</v>
      </c>
      <c r="K185">
        <v>1</v>
      </c>
      <c r="L185">
        <v>65.09375</v>
      </c>
      <c r="M185">
        <v>37.895352600000002</v>
      </c>
      <c r="N185">
        <v>2.2882677779999998</v>
      </c>
      <c r="O185">
        <v>65.09375</v>
      </c>
      <c r="P185">
        <v>37.895352600000002</v>
      </c>
      <c r="Q185">
        <v>2.2882677779999998</v>
      </c>
      <c r="R185" t="s">
        <v>1014</v>
      </c>
      <c r="S185">
        <v>0</v>
      </c>
    </row>
    <row r="186" spans="1:19" x14ac:dyDescent="0.25">
      <c r="A186" t="s">
        <v>26</v>
      </c>
      <c r="B186" t="s">
        <v>928</v>
      </c>
      <c r="C186">
        <v>15</v>
      </c>
      <c r="D186" t="s">
        <v>27</v>
      </c>
      <c r="E186" t="s">
        <v>95</v>
      </c>
      <c r="F186" t="s">
        <v>105</v>
      </c>
      <c r="G186" t="s">
        <v>102</v>
      </c>
      <c r="H186" t="s">
        <v>102</v>
      </c>
      <c r="J186">
        <v>0</v>
      </c>
      <c r="K186">
        <v>1</v>
      </c>
      <c r="L186">
        <v>67.5</v>
      </c>
      <c r="M186">
        <v>47.937235809999997</v>
      </c>
      <c r="N186">
        <v>0.41599678000000001</v>
      </c>
      <c r="O186">
        <v>84.740740740000007</v>
      </c>
      <c r="P186">
        <v>29.167014049999999</v>
      </c>
      <c r="Q186">
        <v>1.1169849999999999</v>
      </c>
      <c r="R186" t="s">
        <v>1014</v>
      </c>
      <c r="S186">
        <v>-17.240740740000007</v>
      </c>
    </row>
    <row r="187" spans="1:19" x14ac:dyDescent="0.25">
      <c r="A187" t="s">
        <v>26</v>
      </c>
      <c r="B187" t="s">
        <v>928</v>
      </c>
      <c r="C187">
        <v>16</v>
      </c>
      <c r="D187" t="s">
        <v>27</v>
      </c>
      <c r="E187" t="s">
        <v>95</v>
      </c>
      <c r="F187" t="s">
        <v>105</v>
      </c>
      <c r="G187" t="s">
        <v>102</v>
      </c>
      <c r="H187" t="s">
        <v>111</v>
      </c>
      <c r="J187">
        <v>0</v>
      </c>
      <c r="K187">
        <v>1</v>
      </c>
      <c r="L187">
        <v>67.5</v>
      </c>
      <c r="M187">
        <v>47.937235809999997</v>
      </c>
      <c r="N187">
        <v>0.41599678000000001</v>
      </c>
      <c r="O187">
        <v>94.97142857</v>
      </c>
      <c r="P187">
        <v>24.31591813</v>
      </c>
      <c r="Q187">
        <v>0.122951111</v>
      </c>
      <c r="R187" t="s">
        <v>1014</v>
      </c>
      <c r="S187">
        <v>-27.47142857</v>
      </c>
    </row>
    <row r="188" spans="1:19" x14ac:dyDescent="0.25">
      <c r="A188" t="s">
        <v>26</v>
      </c>
      <c r="B188" t="s">
        <v>928</v>
      </c>
      <c r="C188">
        <v>17</v>
      </c>
      <c r="D188" t="s">
        <v>27</v>
      </c>
      <c r="E188" t="s">
        <v>95</v>
      </c>
      <c r="F188" t="s">
        <v>105</v>
      </c>
      <c r="G188" t="s">
        <v>102</v>
      </c>
      <c r="H188" t="s">
        <v>242</v>
      </c>
      <c r="J188">
        <v>0</v>
      </c>
      <c r="K188">
        <v>1</v>
      </c>
      <c r="L188">
        <v>67.5</v>
      </c>
      <c r="M188">
        <v>47.937235809999997</v>
      </c>
      <c r="N188">
        <v>0.41599678000000001</v>
      </c>
      <c r="O188">
        <v>139.375</v>
      </c>
      <c r="P188">
        <v>23.713465920000001</v>
      </c>
      <c r="Q188" t="s">
        <v>114</v>
      </c>
      <c r="R188" t="s">
        <v>1014</v>
      </c>
      <c r="S188">
        <v>-71.875</v>
      </c>
    </row>
    <row r="189" spans="1:19" x14ac:dyDescent="0.25">
      <c r="A189" t="s">
        <v>26</v>
      </c>
      <c r="B189" t="s">
        <v>929</v>
      </c>
      <c r="C189">
        <v>15</v>
      </c>
      <c r="D189" t="s">
        <v>27</v>
      </c>
      <c r="E189" t="s">
        <v>95</v>
      </c>
      <c r="F189" t="s">
        <v>110</v>
      </c>
      <c r="G189" t="s">
        <v>111</v>
      </c>
      <c r="H189" t="s">
        <v>111</v>
      </c>
      <c r="J189">
        <v>0</v>
      </c>
      <c r="K189">
        <v>1</v>
      </c>
      <c r="L189">
        <v>73.260869569999997</v>
      </c>
      <c r="M189">
        <v>34.453830549999999</v>
      </c>
      <c r="N189">
        <v>1.058333333</v>
      </c>
      <c r="O189">
        <v>94.97142857</v>
      </c>
      <c r="P189">
        <v>24.31591813</v>
      </c>
      <c r="Q189">
        <v>0.122951111</v>
      </c>
      <c r="R189" t="s">
        <v>1014</v>
      </c>
      <c r="S189">
        <v>-21.710559000000003</v>
      </c>
    </row>
    <row r="190" spans="1:19" x14ac:dyDescent="0.25">
      <c r="A190" t="s">
        <v>26</v>
      </c>
      <c r="B190" t="s">
        <v>929</v>
      </c>
      <c r="C190">
        <v>16</v>
      </c>
      <c r="D190" t="s">
        <v>27</v>
      </c>
      <c r="E190" t="s">
        <v>95</v>
      </c>
      <c r="F190" t="s">
        <v>110</v>
      </c>
      <c r="G190" t="s">
        <v>111</v>
      </c>
      <c r="H190" t="s">
        <v>242</v>
      </c>
      <c r="J190">
        <v>0</v>
      </c>
      <c r="K190">
        <v>8</v>
      </c>
      <c r="L190">
        <v>73.260869569999997</v>
      </c>
      <c r="M190">
        <v>34.453830549999999</v>
      </c>
      <c r="N190">
        <v>1.058333333</v>
      </c>
      <c r="O190">
        <v>139.375</v>
      </c>
      <c r="P190">
        <v>23.713465920000001</v>
      </c>
      <c r="Q190" t="s">
        <v>114</v>
      </c>
      <c r="R190" t="s">
        <v>1014</v>
      </c>
      <c r="S190">
        <v>-66.114130430000003</v>
      </c>
    </row>
    <row r="191" spans="1:19" x14ac:dyDescent="0.25">
      <c r="A191" t="s">
        <v>26</v>
      </c>
      <c r="B191" t="s">
        <v>930</v>
      </c>
      <c r="C191">
        <v>15</v>
      </c>
      <c r="D191" t="s">
        <v>27</v>
      </c>
      <c r="E191" t="s">
        <v>95</v>
      </c>
      <c r="F191" t="s">
        <v>111</v>
      </c>
      <c r="G191" t="s">
        <v>102</v>
      </c>
      <c r="H191" t="s">
        <v>244</v>
      </c>
      <c r="J191">
        <v>0</v>
      </c>
      <c r="K191">
        <v>1</v>
      </c>
      <c r="L191">
        <v>94.97142857</v>
      </c>
      <c r="M191">
        <v>24.31591813</v>
      </c>
      <c r="N191">
        <v>0.122951111</v>
      </c>
      <c r="O191">
        <v>75</v>
      </c>
      <c r="P191">
        <v>28.80614499</v>
      </c>
      <c r="Q191">
        <v>2.3860428570000001</v>
      </c>
      <c r="R191" t="s">
        <v>1014</v>
      </c>
      <c r="S191">
        <v>19.97142857</v>
      </c>
    </row>
    <row r="192" spans="1:19" x14ac:dyDescent="0.25">
      <c r="A192" t="s">
        <v>26</v>
      </c>
      <c r="B192" t="s">
        <v>930</v>
      </c>
      <c r="C192">
        <v>16</v>
      </c>
      <c r="D192" t="s">
        <v>27</v>
      </c>
      <c r="E192" t="s">
        <v>95</v>
      </c>
      <c r="F192" t="s">
        <v>111</v>
      </c>
      <c r="G192" t="s">
        <v>102</v>
      </c>
      <c r="H192" t="s">
        <v>236</v>
      </c>
      <c r="J192">
        <v>0</v>
      </c>
      <c r="K192">
        <v>1</v>
      </c>
      <c r="L192">
        <v>94.97142857</v>
      </c>
      <c r="M192">
        <v>24.31591813</v>
      </c>
      <c r="N192">
        <v>0.122951111</v>
      </c>
      <c r="O192">
        <v>113.33333330000001</v>
      </c>
      <c r="P192">
        <v>26.41632581</v>
      </c>
      <c r="Q192">
        <v>1.6844570160000001</v>
      </c>
      <c r="R192" t="s">
        <v>1014</v>
      </c>
      <c r="S192">
        <v>-18.361904730000006</v>
      </c>
    </row>
    <row r="193" spans="1:19" x14ac:dyDescent="0.25">
      <c r="A193" t="s">
        <v>26</v>
      </c>
      <c r="B193" t="s">
        <v>930</v>
      </c>
      <c r="C193">
        <v>17</v>
      </c>
      <c r="D193" t="s">
        <v>27</v>
      </c>
      <c r="E193" t="s">
        <v>95</v>
      </c>
      <c r="F193" t="s">
        <v>111</v>
      </c>
      <c r="G193" t="s">
        <v>102</v>
      </c>
      <c r="H193" t="s">
        <v>102</v>
      </c>
      <c r="J193">
        <v>0</v>
      </c>
      <c r="K193">
        <v>1</v>
      </c>
      <c r="L193">
        <v>94.97142857</v>
      </c>
      <c r="M193">
        <v>24.31591813</v>
      </c>
      <c r="N193">
        <v>0.122951111</v>
      </c>
      <c r="O193">
        <v>84.740740740000007</v>
      </c>
      <c r="P193">
        <v>29.167014049999999</v>
      </c>
      <c r="Q193">
        <v>1.1169849999999999</v>
      </c>
      <c r="R193" t="s">
        <v>1014</v>
      </c>
      <c r="S193">
        <v>10.230687829999994</v>
      </c>
    </row>
    <row r="194" spans="1:19" x14ac:dyDescent="0.25">
      <c r="A194" t="s">
        <v>26</v>
      </c>
      <c r="B194" t="s">
        <v>930</v>
      </c>
      <c r="C194">
        <v>18</v>
      </c>
      <c r="D194" t="s">
        <v>27</v>
      </c>
      <c r="E194" t="s">
        <v>95</v>
      </c>
      <c r="F194" t="s">
        <v>111</v>
      </c>
      <c r="G194" t="s">
        <v>102</v>
      </c>
      <c r="H194" t="s">
        <v>242</v>
      </c>
      <c r="J194">
        <v>0</v>
      </c>
      <c r="K194">
        <v>3</v>
      </c>
      <c r="L194">
        <v>94.97142857</v>
      </c>
      <c r="M194">
        <v>24.31591813</v>
      </c>
      <c r="N194">
        <v>0.122951111</v>
      </c>
      <c r="O194">
        <v>139.375</v>
      </c>
      <c r="P194">
        <v>23.713465920000001</v>
      </c>
      <c r="Q194" t="s">
        <v>114</v>
      </c>
      <c r="R194" t="s">
        <v>1014</v>
      </c>
      <c r="S194">
        <v>-44.40357143</v>
      </c>
    </row>
    <row r="195" spans="1:19" x14ac:dyDescent="0.25">
      <c r="A195" t="s">
        <v>28</v>
      </c>
      <c r="B195" t="s">
        <v>931</v>
      </c>
      <c r="C195">
        <v>15</v>
      </c>
      <c r="D195" t="s">
        <v>29</v>
      </c>
      <c r="E195" t="s">
        <v>94</v>
      </c>
      <c r="F195" t="s">
        <v>113</v>
      </c>
      <c r="G195" t="s">
        <v>113</v>
      </c>
      <c r="H195" t="s">
        <v>113</v>
      </c>
      <c r="J195">
        <v>0</v>
      </c>
      <c r="K195">
        <v>2</v>
      </c>
      <c r="L195">
        <v>83.757575759999995</v>
      </c>
      <c r="M195">
        <v>22.60997987</v>
      </c>
      <c r="N195">
        <v>0.72884000000000004</v>
      </c>
      <c r="O195">
        <v>83.757575759999995</v>
      </c>
      <c r="P195">
        <v>22.60997987</v>
      </c>
      <c r="Q195">
        <v>0.72884000000000004</v>
      </c>
      <c r="R195" t="s">
        <v>1014</v>
      </c>
      <c r="S195">
        <v>0</v>
      </c>
    </row>
    <row r="196" spans="1:19" x14ac:dyDescent="0.25">
      <c r="A196" t="s">
        <v>28</v>
      </c>
      <c r="B196" t="s">
        <v>931</v>
      </c>
      <c r="C196">
        <v>16</v>
      </c>
      <c r="D196" t="s">
        <v>29</v>
      </c>
      <c r="E196" t="s">
        <v>94</v>
      </c>
      <c r="F196" t="s">
        <v>113</v>
      </c>
      <c r="G196" t="s">
        <v>113</v>
      </c>
      <c r="H196" t="s">
        <v>248</v>
      </c>
      <c r="J196">
        <v>0</v>
      </c>
      <c r="K196">
        <v>12</v>
      </c>
      <c r="L196">
        <v>83.757575759999995</v>
      </c>
      <c r="M196">
        <v>22.60997987</v>
      </c>
      <c r="N196">
        <v>0.72884000000000004</v>
      </c>
      <c r="O196">
        <v>83.92307692</v>
      </c>
      <c r="P196">
        <v>44.319135699999997</v>
      </c>
      <c r="Q196">
        <v>5.9548609999999997E-3</v>
      </c>
      <c r="R196" t="s">
        <v>1014</v>
      </c>
      <c r="S196">
        <v>-0.16550116000000514</v>
      </c>
    </row>
    <row r="197" spans="1:19" x14ac:dyDescent="0.25">
      <c r="A197" t="s">
        <v>28</v>
      </c>
      <c r="B197" t="s">
        <v>931</v>
      </c>
      <c r="C197">
        <v>17</v>
      </c>
      <c r="D197" t="s">
        <v>29</v>
      </c>
      <c r="E197" t="s">
        <v>94</v>
      </c>
      <c r="F197" t="s">
        <v>113</v>
      </c>
      <c r="G197" t="s">
        <v>113</v>
      </c>
      <c r="H197" t="s">
        <v>247</v>
      </c>
      <c r="J197">
        <v>0</v>
      </c>
      <c r="K197">
        <v>1</v>
      </c>
      <c r="L197">
        <v>83.757575759999995</v>
      </c>
      <c r="M197">
        <v>22.60997987</v>
      </c>
      <c r="N197">
        <v>0.72884000000000004</v>
      </c>
      <c r="O197">
        <v>65.791044779999993</v>
      </c>
      <c r="P197">
        <v>22.94519201</v>
      </c>
      <c r="Q197">
        <v>8.1320334999999994E-2</v>
      </c>
      <c r="R197" t="s">
        <v>1014</v>
      </c>
      <c r="S197">
        <v>17.966530980000002</v>
      </c>
    </row>
    <row r="198" spans="1:19" x14ac:dyDescent="0.25">
      <c r="A198" t="s">
        <v>28</v>
      </c>
      <c r="B198" t="s">
        <v>931</v>
      </c>
      <c r="C198">
        <v>18</v>
      </c>
      <c r="D198" t="s">
        <v>29</v>
      </c>
      <c r="E198" t="s">
        <v>94</v>
      </c>
      <c r="F198" t="s">
        <v>113</v>
      </c>
      <c r="G198" t="s">
        <v>113</v>
      </c>
      <c r="H198" t="s">
        <v>239</v>
      </c>
      <c r="J198">
        <v>0</v>
      </c>
      <c r="K198">
        <v>1</v>
      </c>
      <c r="L198">
        <v>83.757575759999995</v>
      </c>
      <c r="M198">
        <v>22.60997987</v>
      </c>
      <c r="N198">
        <v>0.72884000000000004</v>
      </c>
      <c r="O198">
        <v>100.45454549999999</v>
      </c>
      <c r="P198">
        <v>26.754810689999999</v>
      </c>
      <c r="Q198">
        <v>0.75829999999999997</v>
      </c>
      <c r="R198" t="s">
        <v>1014</v>
      </c>
      <c r="S198">
        <v>-16.69696974</v>
      </c>
    </row>
    <row r="199" spans="1:19" x14ac:dyDescent="0.25">
      <c r="A199" t="s">
        <v>28</v>
      </c>
      <c r="B199" t="s">
        <v>932</v>
      </c>
      <c r="C199">
        <v>15</v>
      </c>
      <c r="D199" t="s">
        <v>29</v>
      </c>
      <c r="E199" t="s">
        <v>94</v>
      </c>
      <c r="F199" t="s">
        <v>103</v>
      </c>
      <c r="G199" t="s">
        <v>102</v>
      </c>
      <c r="H199" t="s">
        <v>102</v>
      </c>
      <c r="J199">
        <v>0</v>
      </c>
      <c r="K199">
        <v>1</v>
      </c>
      <c r="L199">
        <v>98.291666669999998</v>
      </c>
      <c r="M199">
        <v>30.315130790000001</v>
      </c>
      <c r="N199">
        <v>5.0803484000000003E-2</v>
      </c>
      <c r="O199">
        <v>84.740740740000007</v>
      </c>
      <c r="P199">
        <v>29.167014049999999</v>
      </c>
      <c r="Q199">
        <v>1.1169849999999999</v>
      </c>
      <c r="R199" t="s">
        <v>1014</v>
      </c>
      <c r="S199">
        <v>13.550925929999991</v>
      </c>
    </row>
    <row r="200" spans="1:19" x14ac:dyDescent="0.25">
      <c r="A200" t="s">
        <v>28</v>
      </c>
      <c r="B200" t="s">
        <v>932</v>
      </c>
      <c r="C200">
        <v>16</v>
      </c>
      <c r="D200" t="s">
        <v>29</v>
      </c>
      <c r="E200" t="s">
        <v>94</v>
      </c>
      <c r="F200" t="s">
        <v>103</v>
      </c>
      <c r="G200" t="s">
        <v>102</v>
      </c>
      <c r="H200" t="s">
        <v>103</v>
      </c>
      <c r="J200">
        <v>0</v>
      </c>
      <c r="K200">
        <v>2</v>
      </c>
      <c r="L200">
        <v>98.291666669999998</v>
      </c>
      <c r="M200">
        <v>30.315130790000001</v>
      </c>
      <c r="N200">
        <v>5.0803484000000003E-2</v>
      </c>
      <c r="O200">
        <v>98.291666669999998</v>
      </c>
      <c r="P200">
        <v>30.315130790000001</v>
      </c>
      <c r="Q200">
        <v>5.0803484000000003E-2</v>
      </c>
      <c r="R200" t="s">
        <v>1014</v>
      </c>
      <c r="S200">
        <v>0</v>
      </c>
    </row>
    <row r="201" spans="1:19" x14ac:dyDescent="0.25">
      <c r="A201" t="s">
        <v>28</v>
      </c>
      <c r="B201" t="s">
        <v>933</v>
      </c>
      <c r="C201">
        <v>15</v>
      </c>
      <c r="D201" t="s">
        <v>29</v>
      </c>
      <c r="E201" t="s">
        <v>94</v>
      </c>
      <c r="F201" t="s">
        <v>111</v>
      </c>
      <c r="G201" t="s">
        <v>121</v>
      </c>
      <c r="H201" t="s">
        <v>247</v>
      </c>
      <c r="J201">
        <v>0</v>
      </c>
      <c r="K201">
        <v>1</v>
      </c>
      <c r="L201">
        <v>94.97142857</v>
      </c>
      <c r="M201">
        <v>24.31591813</v>
      </c>
      <c r="N201">
        <v>0.122951111</v>
      </c>
      <c r="O201">
        <v>65.791044779999993</v>
      </c>
      <c r="P201">
        <v>22.94519201</v>
      </c>
      <c r="Q201">
        <v>8.1320334999999994E-2</v>
      </c>
      <c r="R201" t="s">
        <v>1014</v>
      </c>
      <c r="S201">
        <v>29.180383790000008</v>
      </c>
    </row>
    <row r="202" spans="1:19" x14ac:dyDescent="0.25">
      <c r="A202" t="s">
        <v>28</v>
      </c>
      <c r="B202" t="s">
        <v>933</v>
      </c>
      <c r="C202">
        <v>16</v>
      </c>
      <c r="D202" t="s">
        <v>29</v>
      </c>
      <c r="E202" t="s">
        <v>94</v>
      </c>
      <c r="F202" t="s">
        <v>111</v>
      </c>
      <c r="G202" t="s">
        <v>121</v>
      </c>
      <c r="H202" t="s">
        <v>113</v>
      </c>
      <c r="J202">
        <v>0</v>
      </c>
      <c r="K202">
        <v>3</v>
      </c>
      <c r="L202">
        <v>94.97142857</v>
      </c>
      <c r="M202">
        <v>24.31591813</v>
      </c>
      <c r="N202">
        <v>0.122951111</v>
      </c>
      <c r="O202">
        <v>83.757575759999995</v>
      </c>
      <c r="P202">
        <v>22.60997987</v>
      </c>
      <c r="Q202">
        <v>0.72884000000000004</v>
      </c>
      <c r="R202" t="s">
        <v>1014</v>
      </c>
      <c r="S202">
        <v>11.213852810000006</v>
      </c>
    </row>
    <row r="203" spans="1:19" x14ac:dyDescent="0.25">
      <c r="A203" t="s">
        <v>28</v>
      </c>
      <c r="B203" t="s">
        <v>933</v>
      </c>
      <c r="C203">
        <v>17</v>
      </c>
      <c r="D203" t="s">
        <v>29</v>
      </c>
      <c r="E203" t="s">
        <v>94</v>
      </c>
      <c r="F203" t="s">
        <v>111</v>
      </c>
      <c r="G203" t="s">
        <v>121</v>
      </c>
      <c r="H203" t="s">
        <v>248</v>
      </c>
      <c r="J203">
        <v>0</v>
      </c>
      <c r="K203">
        <v>1</v>
      </c>
      <c r="L203">
        <v>94.97142857</v>
      </c>
      <c r="M203">
        <v>24.31591813</v>
      </c>
      <c r="N203">
        <v>0.122951111</v>
      </c>
      <c r="O203">
        <v>83.92307692</v>
      </c>
      <c r="P203">
        <v>44.319135699999997</v>
      </c>
      <c r="Q203">
        <v>5.9548609999999997E-3</v>
      </c>
      <c r="R203" t="s">
        <v>1014</v>
      </c>
      <c r="S203">
        <v>11.048351650000001</v>
      </c>
    </row>
    <row r="204" spans="1:19" x14ac:dyDescent="0.25">
      <c r="A204" t="s">
        <v>28</v>
      </c>
      <c r="B204" t="s">
        <v>934</v>
      </c>
      <c r="C204">
        <v>15</v>
      </c>
      <c r="D204" t="s">
        <v>29</v>
      </c>
      <c r="E204" t="s">
        <v>94</v>
      </c>
      <c r="F204" t="s">
        <v>112</v>
      </c>
      <c r="G204" t="s">
        <v>121</v>
      </c>
      <c r="H204" t="s">
        <v>103</v>
      </c>
      <c r="J204">
        <v>0</v>
      </c>
      <c r="K204">
        <v>4</v>
      </c>
      <c r="L204">
        <v>65.09375</v>
      </c>
      <c r="M204">
        <v>37.895352600000002</v>
      </c>
      <c r="N204">
        <v>2.2882677779999998</v>
      </c>
      <c r="O204">
        <v>98.291666669999998</v>
      </c>
      <c r="P204">
        <v>30.315130790000001</v>
      </c>
      <c r="Q204">
        <v>5.0803484000000003E-2</v>
      </c>
      <c r="R204" t="s">
        <v>1014</v>
      </c>
      <c r="S204">
        <v>-33.197916669999998</v>
      </c>
    </row>
    <row r="205" spans="1:19" x14ac:dyDescent="0.25">
      <c r="A205" t="s">
        <v>28</v>
      </c>
      <c r="B205" t="s">
        <v>934</v>
      </c>
      <c r="C205">
        <v>16</v>
      </c>
      <c r="D205" t="s">
        <v>29</v>
      </c>
      <c r="E205" t="s">
        <v>94</v>
      </c>
      <c r="F205" t="s">
        <v>112</v>
      </c>
      <c r="G205" t="s">
        <v>121</v>
      </c>
      <c r="H205" t="s">
        <v>113</v>
      </c>
      <c r="J205">
        <v>0</v>
      </c>
      <c r="K205">
        <v>6</v>
      </c>
      <c r="L205">
        <v>65.09375</v>
      </c>
      <c r="M205">
        <v>37.895352600000002</v>
      </c>
      <c r="N205">
        <v>2.2882677779999998</v>
      </c>
      <c r="O205">
        <v>83.757575759999995</v>
      </c>
      <c r="P205">
        <v>22.60997987</v>
      </c>
      <c r="Q205">
        <v>0.72884000000000004</v>
      </c>
      <c r="R205" t="s">
        <v>1014</v>
      </c>
      <c r="S205">
        <v>-18.663825759999995</v>
      </c>
    </row>
    <row r="206" spans="1:19" x14ac:dyDescent="0.25">
      <c r="A206" t="s">
        <v>28</v>
      </c>
      <c r="B206" t="s">
        <v>934</v>
      </c>
      <c r="C206">
        <v>17</v>
      </c>
      <c r="D206" t="s">
        <v>29</v>
      </c>
      <c r="E206" t="s">
        <v>94</v>
      </c>
      <c r="F206" t="s">
        <v>112</v>
      </c>
      <c r="G206" t="s">
        <v>121</v>
      </c>
      <c r="H206" t="s">
        <v>248</v>
      </c>
      <c r="J206">
        <v>0</v>
      </c>
      <c r="K206">
        <v>3</v>
      </c>
      <c r="L206">
        <v>65.09375</v>
      </c>
      <c r="M206">
        <v>37.895352600000002</v>
      </c>
      <c r="N206">
        <v>2.2882677779999998</v>
      </c>
      <c r="O206">
        <v>83.92307692</v>
      </c>
      <c r="P206">
        <v>44.319135699999997</v>
      </c>
      <c r="Q206">
        <v>5.9548609999999997E-3</v>
      </c>
      <c r="R206" t="s">
        <v>1014</v>
      </c>
      <c r="S206">
        <v>-18.82932692</v>
      </c>
    </row>
    <row r="207" spans="1:19" x14ac:dyDescent="0.25">
      <c r="A207" t="s">
        <v>30</v>
      </c>
      <c r="B207" t="s">
        <v>935</v>
      </c>
      <c r="C207">
        <v>15</v>
      </c>
      <c r="D207" t="s">
        <v>31</v>
      </c>
      <c r="E207" t="s">
        <v>95</v>
      </c>
      <c r="F207" t="s">
        <v>113</v>
      </c>
      <c r="G207" t="s">
        <v>121</v>
      </c>
      <c r="H207" t="s">
        <v>113</v>
      </c>
      <c r="J207">
        <v>0</v>
      </c>
      <c r="K207">
        <v>1</v>
      </c>
      <c r="L207">
        <v>83.757575759999995</v>
      </c>
      <c r="M207">
        <v>22.60997987</v>
      </c>
      <c r="N207">
        <v>0.72884000000000004</v>
      </c>
      <c r="O207">
        <v>83.757575759999995</v>
      </c>
      <c r="P207">
        <v>22.60997987</v>
      </c>
      <c r="Q207">
        <v>0.72884000000000004</v>
      </c>
      <c r="R207" t="s">
        <v>1014</v>
      </c>
      <c r="S207">
        <v>0</v>
      </c>
    </row>
    <row r="208" spans="1:19" x14ac:dyDescent="0.25">
      <c r="A208" t="s">
        <v>30</v>
      </c>
      <c r="B208" t="s">
        <v>935</v>
      </c>
      <c r="C208">
        <v>16</v>
      </c>
      <c r="D208" t="s">
        <v>31</v>
      </c>
      <c r="E208" t="s">
        <v>95</v>
      </c>
      <c r="F208" t="s">
        <v>113</v>
      </c>
      <c r="G208" t="s">
        <v>121</v>
      </c>
      <c r="H208" t="s">
        <v>103</v>
      </c>
      <c r="J208">
        <v>0</v>
      </c>
      <c r="K208">
        <v>2</v>
      </c>
      <c r="L208">
        <v>83.757575759999995</v>
      </c>
      <c r="M208">
        <v>22.60997987</v>
      </c>
      <c r="N208">
        <v>0.72884000000000004</v>
      </c>
      <c r="O208">
        <v>98.291666669999998</v>
      </c>
      <c r="P208">
        <v>30.315130790000001</v>
      </c>
      <c r="Q208">
        <v>5.0803484000000003E-2</v>
      </c>
      <c r="R208" t="s">
        <v>1014</v>
      </c>
      <c r="S208">
        <v>-14.534090910000003</v>
      </c>
    </row>
    <row r="209" spans="1:19" x14ac:dyDescent="0.25">
      <c r="A209" t="s">
        <v>30</v>
      </c>
      <c r="B209" t="s">
        <v>935</v>
      </c>
      <c r="C209">
        <v>17</v>
      </c>
      <c r="D209" t="s">
        <v>31</v>
      </c>
      <c r="E209" t="s">
        <v>95</v>
      </c>
      <c r="F209" t="s">
        <v>113</v>
      </c>
      <c r="G209" t="s">
        <v>121</v>
      </c>
      <c r="H209" t="s">
        <v>248</v>
      </c>
      <c r="J209">
        <v>0</v>
      </c>
      <c r="K209">
        <v>9</v>
      </c>
      <c r="L209">
        <v>83.757575759999995</v>
      </c>
      <c r="M209">
        <v>22.60997987</v>
      </c>
      <c r="N209">
        <v>0.72884000000000004</v>
      </c>
      <c r="O209">
        <v>83.92307692</v>
      </c>
      <c r="P209">
        <v>44.319135699999997</v>
      </c>
      <c r="Q209">
        <v>5.9548609999999997E-3</v>
      </c>
      <c r="R209" t="s">
        <v>1014</v>
      </c>
      <c r="S209">
        <v>-0.16550116000000514</v>
      </c>
    </row>
    <row r="210" spans="1:19" x14ac:dyDescent="0.25">
      <c r="A210" t="s">
        <v>30</v>
      </c>
      <c r="B210" t="s">
        <v>935</v>
      </c>
      <c r="C210">
        <v>18</v>
      </c>
      <c r="D210" t="s">
        <v>31</v>
      </c>
      <c r="E210" t="s">
        <v>95</v>
      </c>
      <c r="F210" t="s">
        <v>113</v>
      </c>
      <c r="G210" t="s">
        <v>121</v>
      </c>
      <c r="H210" t="s">
        <v>111</v>
      </c>
      <c r="J210">
        <v>0</v>
      </c>
      <c r="K210">
        <v>1</v>
      </c>
      <c r="L210">
        <v>83.757575759999995</v>
      </c>
      <c r="M210">
        <v>22.60997987</v>
      </c>
      <c r="N210">
        <v>0.72884000000000004</v>
      </c>
      <c r="O210">
        <v>94.97142857</v>
      </c>
      <c r="P210">
        <v>24.31591813</v>
      </c>
      <c r="Q210">
        <v>0.122951111</v>
      </c>
      <c r="R210" t="s">
        <v>1014</v>
      </c>
      <c r="S210">
        <v>-11.213852810000006</v>
      </c>
    </row>
    <row r="211" spans="1:19" x14ac:dyDescent="0.25">
      <c r="A211" t="s">
        <v>30</v>
      </c>
      <c r="B211" t="s">
        <v>936</v>
      </c>
      <c r="C211">
        <v>15</v>
      </c>
      <c r="D211" t="s">
        <v>31</v>
      </c>
      <c r="E211" t="s">
        <v>95</v>
      </c>
      <c r="F211" t="s">
        <v>103</v>
      </c>
      <c r="G211" t="s">
        <v>113</v>
      </c>
      <c r="H211" t="s">
        <v>113</v>
      </c>
      <c r="J211">
        <v>0</v>
      </c>
      <c r="K211">
        <v>3</v>
      </c>
      <c r="L211">
        <v>98.291666669999998</v>
      </c>
      <c r="M211">
        <v>30.315130790000001</v>
      </c>
      <c r="N211">
        <v>5.0803484000000003E-2</v>
      </c>
      <c r="O211">
        <v>83.757575759999995</v>
      </c>
      <c r="P211">
        <v>22.60997987</v>
      </c>
      <c r="Q211">
        <v>0.72884000000000004</v>
      </c>
      <c r="R211" t="s">
        <v>1014</v>
      </c>
      <c r="S211">
        <v>14.534090910000003</v>
      </c>
    </row>
    <row r="212" spans="1:19" x14ac:dyDescent="0.25">
      <c r="A212" t="s">
        <v>30</v>
      </c>
      <c r="B212" t="s">
        <v>936</v>
      </c>
      <c r="C212">
        <v>16</v>
      </c>
      <c r="D212" t="s">
        <v>31</v>
      </c>
      <c r="E212" t="s">
        <v>95</v>
      </c>
      <c r="F212" t="s">
        <v>103</v>
      </c>
      <c r="G212" t="s">
        <v>113</v>
      </c>
      <c r="H212" t="s">
        <v>247</v>
      </c>
      <c r="J212">
        <v>0</v>
      </c>
      <c r="K212">
        <v>1</v>
      </c>
      <c r="L212">
        <v>98.291666669999998</v>
      </c>
      <c r="M212">
        <v>30.315130790000001</v>
      </c>
      <c r="N212">
        <v>5.0803484000000003E-2</v>
      </c>
      <c r="O212">
        <v>65.791044779999993</v>
      </c>
      <c r="P212">
        <v>22.94519201</v>
      </c>
      <c r="Q212">
        <v>8.1320334999999994E-2</v>
      </c>
      <c r="R212" t="s">
        <v>1014</v>
      </c>
      <c r="S212">
        <v>32.500621890000005</v>
      </c>
    </row>
    <row r="213" spans="1:19" x14ac:dyDescent="0.25">
      <c r="A213" t="s">
        <v>30</v>
      </c>
      <c r="B213" t="s">
        <v>936</v>
      </c>
      <c r="C213">
        <v>17</v>
      </c>
      <c r="D213" t="s">
        <v>31</v>
      </c>
      <c r="E213" t="s">
        <v>95</v>
      </c>
      <c r="F213" t="s">
        <v>103</v>
      </c>
      <c r="G213" t="s">
        <v>113</v>
      </c>
      <c r="H213" t="s">
        <v>111</v>
      </c>
      <c r="J213">
        <v>0</v>
      </c>
      <c r="K213">
        <v>1</v>
      </c>
      <c r="L213">
        <v>98.291666669999998</v>
      </c>
      <c r="M213">
        <v>30.315130790000001</v>
      </c>
      <c r="N213">
        <v>5.0803484000000003E-2</v>
      </c>
      <c r="O213">
        <v>94.97142857</v>
      </c>
      <c r="P213">
        <v>24.31591813</v>
      </c>
      <c r="Q213">
        <v>0.122951111</v>
      </c>
      <c r="R213" t="s">
        <v>1014</v>
      </c>
      <c r="S213">
        <v>3.3202380999999974</v>
      </c>
    </row>
    <row r="214" spans="1:19" x14ac:dyDescent="0.25">
      <c r="A214" t="s">
        <v>30</v>
      </c>
      <c r="B214" t="s">
        <v>936</v>
      </c>
      <c r="C214">
        <v>18</v>
      </c>
      <c r="D214" t="s">
        <v>31</v>
      </c>
      <c r="E214" t="s">
        <v>95</v>
      </c>
      <c r="F214" t="s">
        <v>103</v>
      </c>
      <c r="G214" t="s">
        <v>113</v>
      </c>
      <c r="H214" t="s">
        <v>234</v>
      </c>
      <c r="J214">
        <v>0</v>
      </c>
      <c r="K214">
        <v>1</v>
      </c>
      <c r="L214">
        <v>98.291666669999998</v>
      </c>
      <c r="M214">
        <v>30.315130790000001</v>
      </c>
      <c r="N214">
        <v>5.0803484000000003E-2</v>
      </c>
      <c r="O214">
        <v>89.8125</v>
      </c>
      <c r="P214">
        <v>34.754706650000003</v>
      </c>
      <c r="Q214">
        <v>2.3065078999999999E-2</v>
      </c>
      <c r="R214" t="s">
        <v>1014</v>
      </c>
      <c r="S214">
        <v>8.4791666699999979</v>
      </c>
    </row>
    <row r="215" spans="1:19" x14ac:dyDescent="0.25">
      <c r="A215" t="s">
        <v>30</v>
      </c>
      <c r="B215" t="s">
        <v>936</v>
      </c>
      <c r="C215">
        <v>19</v>
      </c>
      <c r="D215" t="s">
        <v>31</v>
      </c>
      <c r="E215" t="s">
        <v>95</v>
      </c>
      <c r="F215" t="s">
        <v>103</v>
      </c>
      <c r="G215" t="s">
        <v>113</v>
      </c>
      <c r="H215" t="s">
        <v>241</v>
      </c>
      <c r="J215">
        <v>0</v>
      </c>
      <c r="K215">
        <v>1</v>
      </c>
      <c r="L215">
        <v>98.291666669999998</v>
      </c>
      <c r="M215">
        <v>30.315130790000001</v>
      </c>
      <c r="N215">
        <v>5.0803484000000003E-2</v>
      </c>
      <c r="O215">
        <v>114</v>
      </c>
      <c r="P215">
        <v>30.43077242</v>
      </c>
      <c r="Q215">
        <v>0.53383111100000002</v>
      </c>
      <c r="R215" t="s">
        <v>1014</v>
      </c>
      <c r="S215">
        <v>-15.708333330000002</v>
      </c>
    </row>
    <row r="216" spans="1:19" x14ac:dyDescent="0.25">
      <c r="A216" t="s">
        <v>30</v>
      </c>
      <c r="B216" t="s">
        <v>937</v>
      </c>
      <c r="C216">
        <v>15</v>
      </c>
      <c r="D216" t="s">
        <v>31</v>
      </c>
      <c r="E216" t="s">
        <v>95</v>
      </c>
      <c r="F216" t="s">
        <v>112</v>
      </c>
      <c r="G216" t="s">
        <v>103</v>
      </c>
      <c r="H216" t="s">
        <v>114</v>
      </c>
      <c r="J216">
        <v>0</v>
      </c>
      <c r="K216" t="s">
        <v>114</v>
      </c>
      <c r="L216">
        <v>65.09375</v>
      </c>
      <c r="M216">
        <v>37.895352600000002</v>
      </c>
      <c r="N216">
        <v>2.2882677779999998</v>
      </c>
      <c r="O216" t="s">
        <v>114</v>
      </c>
      <c r="P216" t="s">
        <v>114</v>
      </c>
      <c r="Q216" t="s">
        <v>114</v>
      </c>
      <c r="R216" t="s">
        <v>1014</v>
      </c>
      <c r="S216" t="s">
        <v>114</v>
      </c>
    </row>
    <row r="217" spans="1:19" x14ac:dyDescent="0.25">
      <c r="A217" t="s">
        <v>32</v>
      </c>
      <c r="B217" t="s">
        <v>938</v>
      </c>
      <c r="C217">
        <v>15</v>
      </c>
      <c r="D217" t="s">
        <v>33</v>
      </c>
      <c r="E217" t="s">
        <v>94</v>
      </c>
      <c r="F217" t="s">
        <v>105</v>
      </c>
      <c r="G217" t="s">
        <v>121</v>
      </c>
      <c r="H217" t="s">
        <v>247</v>
      </c>
      <c r="J217">
        <v>0</v>
      </c>
      <c r="K217">
        <v>2</v>
      </c>
      <c r="L217">
        <v>67.5</v>
      </c>
      <c r="M217">
        <v>47.937235809999997</v>
      </c>
      <c r="N217">
        <v>0.41599678000000001</v>
      </c>
      <c r="O217">
        <v>65.791044779999993</v>
      </c>
      <c r="P217">
        <v>22.94519201</v>
      </c>
      <c r="Q217">
        <v>8.1320334999999994E-2</v>
      </c>
      <c r="R217" t="s">
        <v>1014</v>
      </c>
      <c r="S217">
        <v>1.7089552200000071</v>
      </c>
    </row>
    <row r="218" spans="1:19" x14ac:dyDescent="0.25">
      <c r="A218" t="s">
        <v>32</v>
      </c>
      <c r="B218" t="s">
        <v>938</v>
      </c>
      <c r="C218">
        <v>16</v>
      </c>
      <c r="D218" t="s">
        <v>33</v>
      </c>
      <c r="E218" t="s">
        <v>94</v>
      </c>
      <c r="F218" t="s">
        <v>105</v>
      </c>
      <c r="G218" t="s">
        <v>121</v>
      </c>
      <c r="H218" t="s">
        <v>249</v>
      </c>
      <c r="J218">
        <v>0</v>
      </c>
      <c r="K218">
        <v>1</v>
      </c>
      <c r="L218">
        <v>67.5</v>
      </c>
      <c r="M218">
        <v>47.937235809999997</v>
      </c>
      <c r="N218">
        <v>0.41599678000000001</v>
      </c>
      <c r="O218">
        <v>81.666666669999998</v>
      </c>
      <c r="P218">
        <v>48.056268459999998</v>
      </c>
      <c r="Q218">
        <v>0.120291364</v>
      </c>
      <c r="R218" t="s">
        <v>1014</v>
      </c>
      <c r="S218">
        <v>-14.166666669999998</v>
      </c>
    </row>
    <row r="219" spans="1:19" x14ac:dyDescent="0.25">
      <c r="A219" t="s">
        <v>34</v>
      </c>
      <c r="B219" t="s">
        <v>939</v>
      </c>
      <c r="C219">
        <v>15</v>
      </c>
      <c r="D219" t="s">
        <v>35</v>
      </c>
      <c r="E219" t="s">
        <v>94</v>
      </c>
      <c r="F219" t="s">
        <v>112</v>
      </c>
      <c r="G219" t="s">
        <v>112</v>
      </c>
      <c r="H219" t="s">
        <v>112</v>
      </c>
      <c r="J219">
        <v>0</v>
      </c>
      <c r="K219">
        <v>1</v>
      </c>
      <c r="L219">
        <v>65.09375</v>
      </c>
      <c r="M219">
        <v>37.895352600000002</v>
      </c>
      <c r="N219">
        <v>2.2882677779999998</v>
      </c>
      <c r="O219">
        <v>65.09375</v>
      </c>
      <c r="P219">
        <v>37.895352600000002</v>
      </c>
      <c r="Q219">
        <v>2.2882677779999998</v>
      </c>
      <c r="R219" t="s">
        <v>1014</v>
      </c>
      <c r="S219">
        <v>0</v>
      </c>
    </row>
    <row r="220" spans="1:19" x14ac:dyDescent="0.25">
      <c r="A220" t="s">
        <v>36</v>
      </c>
      <c r="B220" t="s">
        <v>940</v>
      </c>
      <c r="C220">
        <v>15</v>
      </c>
      <c r="D220" t="s">
        <v>37</v>
      </c>
      <c r="E220" t="s">
        <v>95</v>
      </c>
      <c r="F220" t="s">
        <v>110</v>
      </c>
      <c r="G220" t="s">
        <v>121</v>
      </c>
      <c r="H220" t="s">
        <v>110</v>
      </c>
      <c r="J220">
        <v>0</v>
      </c>
      <c r="K220">
        <v>1</v>
      </c>
      <c r="L220">
        <v>73.260869569999997</v>
      </c>
      <c r="M220">
        <v>34.453830549999999</v>
      </c>
      <c r="N220">
        <v>1.058333333</v>
      </c>
      <c r="O220">
        <v>73.260869569999997</v>
      </c>
      <c r="P220">
        <v>34.453830549999999</v>
      </c>
      <c r="Q220">
        <v>1.058333333</v>
      </c>
      <c r="R220" t="s">
        <v>1014</v>
      </c>
      <c r="S220">
        <v>0</v>
      </c>
    </row>
    <row r="221" spans="1:19" x14ac:dyDescent="0.25">
      <c r="A221" t="s">
        <v>36</v>
      </c>
      <c r="B221" t="s">
        <v>941</v>
      </c>
      <c r="C221">
        <v>15</v>
      </c>
      <c r="D221" t="s">
        <v>37</v>
      </c>
      <c r="E221" t="s">
        <v>95</v>
      </c>
      <c r="F221" t="s">
        <v>104</v>
      </c>
      <c r="G221" t="s">
        <v>121</v>
      </c>
      <c r="H221" t="s">
        <v>104</v>
      </c>
      <c r="J221">
        <v>0</v>
      </c>
      <c r="K221">
        <v>1</v>
      </c>
      <c r="L221">
        <v>113.9375</v>
      </c>
      <c r="M221">
        <v>33.375507550000002</v>
      </c>
      <c r="N221">
        <v>2.4262999999999999</v>
      </c>
      <c r="O221">
        <v>113.9375</v>
      </c>
      <c r="P221">
        <v>33.375507550000002</v>
      </c>
      <c r="Q221">
        <v>2.4262999999999999</v>
      </c>
      <c r="R221" t="s">
        <v>1014</v>
      </c>
      <c r="S221">
        <v>0</v>
      </c>
    </row>
    <row r="222" spans="1:19" x14ac:dyDescent="0.25">
      <c r="A222" t="s">
        <v>36</v>
      </c>
      <c r="B222" t="s">
        <v>941</v>
      </c>
      <c r="C222">
        <v>16</v>
      </c>
      <c r="D222" t="s">
        <v>37</v>
      </c>
      <c r="E222" t="s">
        <v>95</v>
      </c>
      <c r="F222" t="s">
        <v>104</v>
      </c>
      <c r="G222" t="s">
        <v>121</v>
      </c>
      <c r="H222" t="s">
        <v>111</v>
      </c>
      <c r="J222">
        <v>0</v>
      </c>
      <c r="K222">
        <v>1</v>
      </c>
      <c r="L222">
        <v>113.9375</v>
      </c>
      <c r="M222">
        <v>33.375507550000002</v>
      </c>
      <c r="N222">
        <v>2.4262999999999999</v>
      </c>
      <c r="O222">
        <v>94.97142857</v>
      </c>
      <c r="P222">
        <v>24.31591813</v>
      </c>
      <c r="Q222">
        <v>0.122951111</v>
      </c>
      <c r="R222" t="s">
        <v>1014</v>
      </c>
      <c r="S222">
        <v>18.96607143</v>
      </c>
    </row>
    <row r="223" spans="1:19" x14ac:dyDescent="0.25">
      <c r="A223" t="s">
        <v>36</v>
      </c>
      <c r="B223" t="s">
        <v>941</v>
      </c>
      <c r="C223">
        <v>17</v>
      </c>
      <c r="D223" t="s">
        <v>37</v>
      </c>
      <c r="E223" t="s">
        <v>95</v>
      </c>
      <c r="F223" t="s">
        <v>104</v>
      </c>
      <c r="G223" t="s">
        <v>121</v>
      </c>
      <c r="H223" t="s">
        <v>162</v>
      </c>
      <c r="J223">
        <v>0</v>
      </c>
      <c r="K223">
        <v>1</v>
      </c>
      <c r="L223">
        <v>113.9375</v>
      </c>
      <c r="M223">
        <v>33.375507550000002</v>
      </c>
      <c r="N223">
        <v>2.4262999999999999</v>
      </c>
      <c r="O223">
        <v>82.53846154</v>
      </c>
      <c r="P223">
        <v>35.660530039999998</v>
      </c>
      <c r="Q223">
        <v>3.3754499999999998</v>
      </c>
      <c r="R223" t="s">
        <v>1014</v>
      </c>
      <c r="S223">
        <v>31.39903846</v>
      </c>
    </row>
    <row r="224" spans="1:19" x14ac:dyDescent="0.25">
      <c r="A224" t="s">
        <v>38</v>
      </c>
      <c r="B224" t="s">
        <v>942</v>
      </c>
      <c r="C224">
        <v>2</v>
      </c>
      <c r="D224" t="s">
        <v>11</v>
      </c>
      <c r="E224" t="s">
        <v>95</v>
      </c>
      <c r="F224" t="s">
        <v>113</v>
      </c>
      <c r="G224" t="s">
        <v>103</v>
      </c>
      <c r="H224" t="s">
        <v>103</v>
      </c>
      <c r="J224">
        <v>0</v>
      </c>
      <c r="K224">
        <v>3</v>
      </c>
      <c r="L224">
        <v>83.757575759999995</v>
      </c>
      <c r="M224">
        <v>22.60997987</v>
      </c>
      <c r="N224">
        <v>0.72884000000000004</v>
      </c>
      <c r="O224">
        <v>98.291666669999998</v>
      </c>
      <c r="P224">
        <v>30.315130790000001</v>
      </c>
      <c r="Q224">
        <v>5.0803484000000003E-2</v>
      </c>
      <c r="R224" t="s">
        <v>1014</v>
      </c>
      <c r="S224">
        <v>-14.534090910000003</v>
      </c>
    </row>
    <row r="225" spans="1:19" x14ac:dyDescent="0.25">
      <c r="A225" t="s">
        <v>38</v>
      </c>
      <c r="B225" t="s">
        <v>943</v>
      </c>
      <c r="C225">
        <v>2</v>
      </c>
      <c r="D225" t="s">
        <v>11</v>
      </c>
      <c r="E225" t="s">
        <v>95</v>
      </c>
      <c r="F225" t="s">
        <v>103</v>
      </c>
      <c r="G225" t="s">
        <v>103</v>
      </c>
      <c r="H225" t="s">
        <v>103</v>
      </c>
      <c r="J225">
        <v>0</v>
      </c>
      <c r="K225">
        <v>7</v>
      </c>
      <c r="L225">
        <v>98.291666669999998</v>
      </c>
      <c r="M225">
        <v>30.315130790000001</v>
      </c>
      <c r="N225">
        <v>5.0803484000000003E-2</v>
      </c>
      <c r="O225">
        <v>98.291666669999998</v>
      </c>
      <c r="P225">
        <v>30.315130790000001</v>
      </c>
      <c r="Q225">
        <v>5.0803484000000003E-2</v>
      </c>
      <c r="R225" t="s">
        <v>1014</v>
      </c>
      <c r="S225">
        <v>0</v>
      </c>
    </row>
    <row r="226" spans="1:19" x14ac:dyDescent="0.25">
      <c r="A226" t="s">
        <v>38</v>
      </c>
      <c r="B226" t="s">
        <v>943</v>
      </c>
      <c r="C226">
        <v>2</v>
      </c>
      <c r="D226" t="s">
        <v>11</v>
      </c>
      <c r="E226" t="s">
        <v>95</v>
      </c>
      <c r="F226" t="s">
        <v>103</v>
      </c>
      <c r="G226" t="s">
        <v>103</v>
      </c>
      <c r="H226" t="s">
        <v>113</v>
      </c>
      <c r="J226">
        <v>0</v>
      </c>
      <c r="K226">
        <v>2</v>
      </c>
      <c r="L226">
        <v>98.291666669999998</v>
      </c>
      <c r="M226">
        <v>30.315130790000001</v>
      </c>
      <c r="N226">
        <v>5.0803484000000003E-2</v>
      </c>
      <c r="O226">
        <v>83.757575759999995</v>
      </c>
      <c r="P226">
        <v>22.60997987</v>
      </c>
      <c r="Q226">
        <v>0.72884000000000004</v>
      </c>
      <c r="R226" t="s">
        <v>1014</v>
      </c>
      <c r="S226">
        <v>14.534090910000003</v>
      </c>
    </row>
    <row r="227" spans="1:19" x14ac:dyDescent="0.25">
      <c r="A227" t="s">
        <v>38</v>
      </c>
      <c r="B227" t="s">
        <v>944</v>
      </c>
      <c r="C227">
        <v>2</v>
      </c>
      <c r="D227" t="s">
        <v>11</v>
      </c>
      <c r="E227" t="s">
        <v>95</v>
      </c>
      <c r="F227" t="s">
        <v>111</v>
      </c>
      <c r="G227" t="s">
        <v>103</v>
      </c>
      <c r="H227" t="s">
        <v>103</v>
      </c>
      <c r="J227">
        <v>0</v>
      </c>
      <c r="K227">
        <v>2</v>
      </c>
      <c r="L227">
        <v>94.97142857</v>
      </c>
      <c r="M227">
        <v>24.31591813</v>
      </c>
      <c r="N227">
        <v>0.122951111</v>
      </c>
      <c r="O227">
        <v>98.291666669999998</v>
      </c>
      <c r="P227">
        <v>30.315130790000001</v>
      </c>
      <c r="Q227">
        <v>5.0803484000000003E-2</v>
      </c>
      <c r="R227" t="s">
        <v>1014</v>
      </c>
      <c r="S227">
        <v>-3.3202380999999974</v>
      </c>
    </row>
    <row r="228" spans="1:19" x14ac:dyDescent="0.25">
      <c r="A228" t="s">
        <v>39</v>
      </c>
      <c r="B228" t="s">
        <v>945</v>
      </c>
      <c r="C228">
        <v>2</v>
      </c>
      <c r="D228" t="s">
        <v>15</v>
      </c>
      <c r="E228" t="s">
        <v>94</v>
      </c>
      <c r="F228" t="s">
        <v>102</v>
      </c>
      <c r="G228" t="s">
        <v>102</v>
      </c>
      <c r="H228" t="s">
        <v>235</v>
      </c>
      <c r="J228">
        <v>0</v>
      </c>
      <c r="K228">
        <v>1</v>
      </c>
      <c r="L228">
        <v>84.740740740000007</v>
      </c>
      <c r="M228">
        <v>29.167014049999999</v>
      </c>
      <c r="N228">
        <v>1.1169849999999999</v>
      </c>
      <c r="O228">
        <v>132.27272730000001</v>
      </c>
      <c r="P228">
        <v>20.180448590000001</v>
      </c>
      <c r="Q228">
        <v>3.7813451999999997E-2</v>
      </c>
      <c r="R228" t="s">
        <v>1014</v>
      </c>
      <c r="S228">
        <v>-47.531986560000007</v>
      </c>
    </row>
    <row r="229" spans="1:19" x14ac:dyDescent="0.25">
      <c r="A229" t="s">
        <v>39</v>
      </c>
      <c r="B229" t="s">
        <v>945</v>
      </c>
      <c r="C229">
        <v>2</v>
      </c>
      <c r="D229" t="s">
        <v>15</v>
      </c>
      <c r="E229" t="s">
        <v>94</v>
      </c>
      <c r="F229" t="s">
        <v>102</v>
      </c>
      <c r="G229" t="s">
        <v>102</v>
      </c>
      <c r="H229" t="s">
        <v>113</v>
      </c>
      <c r="J229">
        <v>0</v>
      </c>
      <c r="K229">
        <v>2</v>
      </c>
      <c r="L229">
        <v>84.740740740000007</v>
      </c>
      <c r="M229">
        <v>29.167014049999999</v>
      </c>
      <c r="N229">
        <v>1.1169849999999999</v>
      </c>
      <c r="O229">
        <v>83.757575759999995</v>
      </c>
      <c r="P229">
        <v>22.60997987</v>
      </c>
      <c r="Q229">
        <v>0.72884000000000004</v>
      </c>
      <c r="R229" t="s">
        <v>1014</v>
      </c>
      <c r="S229">
        <v>0.98316498000001218</v>
      </c>
    </row>
    <row r="230" spans="1:19" x14ac:dyDescent="0.25">
      <c r="A230" t="s">
        <v>39</v>
      </c>
      <c r="B230" t="s">
        <v>945</v>
      </c>
      <c r="C230">
        <v>2</v>
      </c>
      <c r="D230" t="s">
        <v>15</v>
      </c>
      <c r="E230" t="s">
        <v>94</v>
      </c>
      <c r="F230" t="s">
        <v>102</v>
      </c>
      <c r="G230" t="s">
        <v>102</v>
      </c>
      <c r="H230" t="s">
        <v>103</v>
      </c>
      <c r="J230">
        <v>0</v>
      </c>
      <c r="K230">
        <v>3</v>
      </c>
      <c r="L230">
        <v>84.740740740000007</v>
      </c>
      <c r="M230">
        <v>29.167014049999999</v>
      </c>
      <c r="N230">
        <v>1.1169849999999999</v>
      </c>
      <c r="O230">
        <v>98.291666669999998</v>
      </c>
      <c r="P230">
        <v>30.315130790000001</v>
      </c>
      <c r="Q230">
        <v>5.0803484000000003E-2</v>
      </c>
      <c r="R230" t="s">
        <v>1014</v>
      </c>
      <c r="S230">
        <v>-13.550925929999991</v>
      </c>
    </row>
    <row r="231" spans="1:19" x14ac:dyDescent="0.25">
      <c r="A231" t="s">
        <v>39</v>
      </c>
      <c r="B231" t="s">
        <v>945</v>
      </c>
      <c r="C231">
        <v>2</v>
      </c>
      <c r="D231" t="s">
        <v>15</v>
      </c>
      <c r="E231" t="s">
        <v>94</v>
      </c>
      <c r="F231" t="s">
        <v>102</v>
      </c>
      <c r="G231" t="s">
        <v>102</v>
      </c>
      <c r="H231" t="s">
        <v>233</v>
      </c>
      <c r="J231">
        <v>0</v>
      </c>
      <c r="K231">
        <v>1</v>
      </c>
      <c r="L231">
        <v>84.740740740000007</v>
      </c>
      <c r="M231">
        <v>29.167014049999999</v>
      </c>
      <c r="N231">
        <v>1.1169849999999999</v>
      </c>
      <c r="O231">
        <v>106.0540541</v>
      </c>
      <c r="P231">
        <v>52.690533369999997</v>
      </c>
      <c r="Q231">
        <v>7.6058968000000005E-2</v>
      </c>
      <c r="R231" t="s">
        <v>1014</v>
      </c>
      <c r="S231">
        <v>-21.313313359999995</v>
      </c>
    </row>
    <row r="232" spans="1:19" x14ac:dyDescent="0.25">
      <c r="A232" t="s">
        <v>39</v>
      </c>
      <c r="B232" t="s">
        <v>945</v>
      </c>
      <c r="C232">
        <v>2</v>
      </c>
      <c r="D232" t="s">
        <v>15</v>
      </c>
      <c r="E232" t="s">
        <v>94</v>
      </c>
      <c r="F232" t="s">
        <v>102</v>
      </c>
      <c r="G232" t="s">
        <v>102</v>
      </c>
      <c r="H232" t="s">
        <v>104</v>
      </c>
      <c r="J232">
        <v>0</v>
      </c>
      <c r="K232">
        <v>1</v>
      </c>
      <c r="L232">
        <v>84.740740740000007</v>
      </c>
      <c r="M232">
        <v>29.167014049999999</v>
      </c>
      <c r="N232">
        <v>1.1169849999999999</v>
      </c>
      <c r="O232">
        <v>113.9375</v>
      </c>
      <c r="P232">
        <v>33.375507550000002</v>
      </c>
      <c r="Q232">
        <v>2.4262999999999999</v>
      </c>
      <c r="R232" t="s">
        <v>1014</v>
      </c>
      <c r="S232">
        <v>-29.196759259999993</v>
      </c>
    </row>
    <row r="233" spans="1:19" x14ac:dyDescent="0.25">
      <c r="A233" t="s">
        <v>39</v>
      </c>
      <c r="B233" t="s">
        <v>946</v>
      </c>
      <c r="C233">
        <v>2</v>
      </c>
      <c r="D233" t="s">
        <v>15</v>
      </c>
      <c r="E233" t="s">
        <v>94</v>
      </c>
      <c r="F233" t="s">
        <v>113</v>
      </c>
      <c r="G233" t="s">
        <v>113</v>
      </c>
      <c r="H233" t="s">
        <v>113</v>
      </c>
      <c r="J233">
        <v>0</v>
      </c>
      <c r="K233">
        <v>5</v>
      </c>
      <c r="L233">
        <v>83.757575759999995</v>
      </c>
      <c r="M233">
        <v>22.60997987</v>
      </c>
      <c r="N233">
        <v>0.72884000000000004</v>
      </c>
      <c r="O233">
        <v>83.757575759999995</v>
      </c>
      <c r="P233">
        <v>22.60997987</v>
      </c>
      <c r="Q233">
        <v>0.72884000000000004</v>
      </c>
      <c r="R233" t="s">
        <v>1014</v>
      </c>
      <c r="S233">
        <v>0</v>
      </c>
    </row>
    <row r="234" spans="1:19" x14ac:dyDescent="0.25">
      <c r="A234" t="s">
        <v>39</v>
      </c>
      <c r="B234" t="s">
        <v>946</v>
      </c>
      <c r="C234">
        <v>2</v>
      </c>
      <c r="D234" t="s">
        <v>15</v>
      </c>
      <c r="E234" t="s">
        <v>94</v>
      </c>
      <c r="F234" t="s">
        <v>113</v>
      </c>
      <c r="G234" t="s">
        <v>113</v>
      </c>
      <c r="H234" t="s">
        <v>233</v>
      </c>
      <c r="J234">
        <v>0</v>
      </c>
      <c r="K234">
        <v>4</v>
      </c>
      <c r="L234">
        <v>83.757575759999995</v>
      </c>
      <c r="M234">
        <v>22.60997987</v>
      </c>
      <c r="N234">
        <v>0.72884000000000004</v>
      </c>
      <c r="O234">
        <v>106.0540541</v>
      </c>
      <c r="P234">
        <v>52.690533369999997</v>
      </c>
      <c r="Q234">
        <v>7.6058968000000005E-2</v>
      </c>
      <c r="R234" t="s">
        <v>1014</v>
      </c>
      <c r="S234">
        <v>-22.296478340000007</v>
      </c>
    </row>
    <row r="235" spans="1:19" x14ac:dyDescent="0.25">
      <c r="A235" t="s">
        <v>39</v>
      </c>
      <c r="B235" t="s">
        <v>946</v>
      </c>
      <c r="C235">
        <v>2</v>
      </c>
      <c r="D235" t="s">
        <v>15</v>
      </c>
      <c r="E235" t="s">
        <v>94</v>
      </c>
      <c r="F235" t="s">
        <v>113</v>
      </c>
      <c r="G235" t="s">
        <v>113</v>
      </c>
      <c r="H235" t="s">
        <v>234</v>
      </c>
      <c r="J235">
        <v>0</v>
      </c>
      <c r="K235">
        <v>1</v>
      </c>
      <c r="L235">
        <v>83.757575759999995</v>
      </c>
      <c r="M235">
        <v>22.60997987</v>
      </c>
      <c r="N235">
        <v>0.72884000000000004</v>
      </c>
      <c r="O235">
        <v>89.8125</v>
      </c>
      <c r="P235">
        <v>34.754706650000003</v>
      </c>
      <c r="Q235">
        <v>2.3065078999999999E-2</v>
      </c>
      <c r="R235" t="s">
        <v>1014</v>
      </c>
      <c r="S235">
        <v>-6.0549242400000054</v>
      </c>
    </row>
    <row r="236" spans="1:19" x14ac:dyDescent="0.25">
      <c r="A236" t="s">
        <v>39</v>
      </c>
      <c r="B236" t="s">
        <v>947</v>
      </c>
      <c r="C236">
        <v>2</v>
      </c>
      <c r="D236" t="s">
        <v>15</v>
      </c>
      <c r="E236" t="s">
        <v>94</v>
      </c>
      <c r="F236" t="s">
        <v>103</v>
      </c>
      <c r="G236" t="s">
        <v>103</v>
      </c>
      <c r="H236" t="s">
        <v>103</v>
      </c>
      <c r="J236">
        <v>0</v>
      </c>
      <c r="K236">
        <v>3</v>
      </c>
      <c r="L236">
        <v>98.291666669999998</v>
      </c>
      <c r="M236">
        <v>30.315130790000001</v>
      </c>
      <c r="N236">
        <v>5.0803484000000003E-2</v>
      </c>
      <c r="O236">
        <v>98.291666669999998</v>
      </c>
      <c r="P236">
        <v>30.315130790000001</v>
      </c>
      <c r="Q236">
        <v>5.0803484000000003E-2</v>
      </c>
      <c r="R236" t="s">
        <v>1014</v>
      </c>
      <c r="S236">
        <v>0</v>
      </c>
    </row>
    <row r="237" spans="1:19" x14ac:dyDescent="0.25">
      <c r="A237" t="s">
        <v>39</v>
      </c>
      <c r="B237" t="s">
        <v>947</v>
      </c>
      <c r="C237">
        <v>2</v>
      </c>
      <c r="D237" t="s">
        <v>15</v>
      </c>
      <c r="E237" t="s">
        <v>94</v>
      </c>
      <c r="F237" t="s">
        <v>103</v>
      </c>
      <c r="G237" t="s">
        <v>103</v>
      </c>
      <c r="H237" t="s">
        <v>104</v>
      </c>
      <c r="J237">
        <v>0</v>
      </c>
      <c r="K237">
        <v>1</v>
      </c>
      <c r="L237">
        <v>98.291666669999998</v>
      </c>
      <c r="M237">
        <v>30.315130790000001</v>
      </c>
      <c r="N237">
        <v>5.0803484000000003E-2</v>
      </c>
      <c r="O237">
        <v>113.9375</v>
      </c>
      <c r="P237">
        <v>33.375507550000002</v>
      </c>
      <c r="Q237">
        <v>2.4262999999999999</v>
      </c>
      <c r="R237" t="s">
        <v>1014</v>
      </c>
      <c r="S237">
        <v>-15.645833330000002</v>
      </c>
    </row>
    <row r="238" spans="1:19" x14ac:dyDescent="0.25">
      <c r="A238" t="s">
        <v>39</v>
      </c>
      <c r="B238" t="s">
        <v>947</v>
      </c>
      <c r="C238">
        <v>2</v>
      </c>
      <c r="D238" t="s">
        <v>15</v>
      </c>
      <c r="E238" t="s">
        <v>94</v>
      </c>
      <c r="F238" t="s">
        <v>103</v>
      </c>
      <c r="G238" t="s">
        <v>103</v>
      </c>
      <c r="H238" t="s">
        <v>113</v>
      </c>
      <c r="J238">
        <v>0</v>
      </c>
      <c r="K238">
        <v>4</v>
      </c>
      <c r="L238">
        <v>98.291666669999998</v>
      </c>
      <c r="M238">
        <v>30.315130790000001</v>
      </c>
      <c r="N238">
        <v>5.0803484000000003E-2</v>
      </c>
      <c r="O238">
        <v>83.757575759999995</v>
      </c>
      <c r="P238">
        <v>22.60997987</v>
      </c>
      <c r="Q238">
        <v>0.72884000000000004</v>
      </c>
      <c r="R238" t="s">
        <v>1014</v>
      </c>
      <c r="S238">
        <v>14.534090910000003</v>
      </c>
    </row>
    <row r="239" spans="1:19" x14ac:dyDescent="0.25">
      <c r="A239" t="s">
        <v>39</v>
      </c>
      <c r="B239" t="s">
        <v>948</v>
      </c>
      <c r="C239">
        <v>2</v>
      </c>
      <c r="D239" t="s">
        <v>15</v>
      </c>
      <c r="E239" t="s">
        <v>94</v>
      </c>
      <c r="F239" t="s">
        <v>111</v>
      </c>
      <c r="G239" t="s">
        <v>104</v>
      </c>
      <c r="H239" t="s">
        <v>236</v>
      </c>
      <c r="J239">
        <v>0</v>
      </c>
      <c r="K239">
        <v>1</v>
      </c>
      <c r="L239">
        <v>94.97142857</v>
      </c>
      <c r="M239">
        <v>24.31591813</v>
      </c>
      <c r="N239">
        <v>0.122951111</v>
      </c>
      <c r="O239">
        <v>113.33333330000001</v>
      </c>
      <c r="P239">
        <v>26.41632581</v>
      </c>
      <c r="Q239">
        <v>1.6844570160000001</v>
      </c>
      <c r="R239" t="s">
        <v>1014</v>
      </c>
      <c r="S239">
        <v>-18.361904730000006</v>
      </c>
    </row>
    <row r="240" spans="1:19" x14ac:dyDescent="0.25">
      <c r="A240" t="s">
        <v>39</v>
      </c>
      <c r="B240" t="s">
        <v>948</v>
      </c>
      <c r="C240">
        <v>2</v>
      </c>
      <c r="D240" t="s">
        <v>15</v>
      </c>
      <c r="E240" t="s">
        <v>94</v>
      </c>
      <c r="F240" t="s">
        <v>111</v>
      </c>
      <c r="G240" t="s">
        <v>104</v>
      </c>
      <c r="H240" t="s">
        <v>103</v>
      </c>
      <c r="J240">
        <v>0</v>
      </c>
      <c r="K240">
        <v>1</v>
      </c>
      <c r="L240">
        <v>94.97142857</v>
      </c>
      <c r="M240">
        <v>24.31591813</v>
      </c>
      <c r="N240">
        <v>0.122951111</v>
      </c>
      <c r="O240">
        <v>98.291666669999998</v>
      </c>
      <c r="P240">
        <v>30.315130790000001</v>
      </c>
      <c r="Q240">
        <v>5.0803484000000003E-2</v>
      </c>
      <c r="R240" t="s">
        <v>1014</v>
      </c>
      <c r="S240">
        <v>-3.3202380999999974</v>
      </c>
    </row>
    <row r="241" spans="1:19" x14ac:dyDescent="0.25">
      <c r="A241" t="s">
        <v>39</v>
      </c>
      <c r="B241" t="s">
        <v>948</v>
      </c>
      <c r="C241">
        <v>2</v>
      </c>
      <c r="D241" t="s">
        <v>15</v>
      </c>
      <c r="E241" t="s">
        <v>94</v>
      </c>
      <c r="F241" t="s">
        <v>111</v>
      </c>
      <c r="G241" t="s">
        <v>104</v>
      </c>
      <c r="H241" t="s">
        <v>104</v>
      </c>
      <c r="J241">
        <v>0</v>
      </c>
      <c r="K241">
        <v>1</v>
      </c>
      <c r="L241">
        <v>94.97142857</v>
      </c>
      <c r="M241">
        <v>24.31591813</v>
      </c>
      <c r="N241">
        <v>0.122951111</v>
      </c>
      <c r="O241">
        <v>113.9375</v>
      </c>
      <c r="P241">
        <v>33.375507550000002</v>
      </c>
      <c r="Q241">
        <v>2.4262999999999999</v>
      </c>
      <c r="R241" t="s">
        <v>1014</v>
      </c>
      <c r="S241">
        <v>-18.96607143</v>
      </c>
    </row>
    <row r="242" spans="1:19" x14ac:dyDescent="0.25">
      <c r="A242" t="s">
        <v>39</v>
      </c>
      <c r="B242" t="s">
        <v>949</v>
      </c>
      <c r="C242">
        <v>2</v>
      </c>
      <c r="D242" t="s">
        <v>15</v>
      </c>
      <c r="E242" t="s">
        <v>94</v>
      </c>
      <c r="F242" t="s">
        <v>104</v>
      </c>
      <c r="G242" t="s">
        <v>104</v>
      </c>
      <c r="H242" t="s">
        <v>104</v>
      </c>
      <c r="J242">
        <v>0</v>
      </c>
      <c r="K242">
        <v>3</v>
      </c>
      <c r="L242">
        <v>113.9375</v>
      </c>
      <c r="M242">
        <v>33.375507550000002</v>
      </c>
      <c r="N242">
        <v>2.4262999999999999</v>
      </c>
      <c r="O242">
        <v>113.9375</v>
      </c>
      <c r="P242">
        <v>33.375507550000002</v>
      </c>
      <c r="Q242">
        <v>2.4262999999999999</v>
      </c>
      <c r="R242" t="s">
        <v>1014</v>
      </c>
      <c r="S242">
        <v>0</v>
      </c>
    </row>
    <row r="243" spans="1:19" x14ac:dyDescent="0.25">
      <c r="A243" t="s">
        <v>39</v>
      </c>
      <c r="B243" t="s">
        <v>949</v>
      </c>
      <c r="C243">
        <v>2</v>
      </c>
      <c r="D243" t="s">
        <v>15</v>
      </c>
      <c r="E243" t="s">
        <v>94</v>
      </c>
      <c r="F243" t="s">
        <v>104</v>
      </c>
      <c r="G243" t="s">
        <v>104</v>
      </c>
      <c r="H243" t="s">
        <v>113</v>
      </c>
      <c r="J243">
        <v>0</v>
      </c>
      <c r="K243">
        <v>1</v>
      </c>
      <c r="L243">
        <v>113.9375</v>
      </c>
      <c r="M243">
        <v>33.375507550000002</v>
      </c>
      <c r="N243">
        <v>2.4262999999999999</v>
      </c>
      <c r="O243">
        <v>83.757575759999995</v>
      </c>
      <c r="P243">
        <v>22.60997987</v>
      </c>
      <c r="Q243">
        <v>0.72884000000000004</v>
      </c>
      <c r="R243" t="s">
        <v>1014</v>
      </c>
      <c r="S243">
        <v>30.179924240000005</v>
      </c>
    </row>
    <row r="244" spans="1:19" x14ac:dyDescent="0.25">
      <c r="A244" t="s">
        <v>40</v>
      </c>
      <c r="B244" t="s">
        <v>950</v>
      </c>
      <c r="C244">
        <v>2</v>
      </c>
      <c r="D244" t="s">
        <v>17</v>
      </c>
      <c r="E244" t="s">
        <v>95</v>
      </c>
      <c r="F244" t="s">
        <v>113</v>
      </c>
      <c r="G244" t="s">
        <v>113</v>
      </c>
      <c r="H244" t="s">
        <v>113</v>
      </c>
      <c r="J244">
        <v>0</v>
      </c>
      <c r="K244">
        <v>1</v>
      </c>
      <c r="L244">
        <v>83.757575759999995</v>
      </c>
      <c r="M244">
        <v>22.60997987</v>
      </c>
      <c r="N244">
        <v>0.72884000000000004</v>
      </c>
      <c r="O244">
        <v>83.757575759999995</v>
      </c>
      <c r="P244">
        <v>22.60997987</v>
      </c>
      <c r="Q244">
        <v>0.72884000000000004</v>
      </c>
      <c r="R244" t="s">
        <v>1014</v>
      </c>
      <c r="S244">
        <v>0</v>
      </c>
    </row>
    <row r="245" spans="1:19" x14ac:dyDescent="0.25">
      <c r="A245" t="s">
        <v>40</v>
      </c>
      <c r="B245" t="s">
        <v>950</v>
      </c>
      <c r="C245">
        <v>2</v>
      </c>
      <c r="D245" t="s">
        <v>17</v>
      </c>
      <c r="E245" t="s">
        <v>95</v>
      </c>
      <c r="F245" t="s">
        <v>113</v>
      </c>
      <c r="G245" t="s">
        <v>113</v>
      </c>
      <c r="H245" t="s">
        <v>103</v>
      </c>
      <c r="J245">
        <v>0</v>
      </c>
      <c r="K245">
        <v>2</v>
      </c>
      <c r="L245">
        <v>83.757575759999995</v>
      </c>
      <c r="M245">
        <v>22.60997987</v>
      </c>
      <c r="N245">
        <v>0.72884000000000004</v>
      </c>
      <c r="O245">
        <v>98.291666669999998</v>
      </c>
      <c r="P245">
        <v>30.315130790000001</v>
      </c>
      <c r="Q245">
        <v>5.0803484000000003E-2</v>
      </c>
      <c r="R245" t="s">
        <v>1014</v>
      </c>
      <c r="S245">
        <v>-14.534090910000003</v>
      </c>
    </row>
    <row r="246" spans="1:19" x14ac:dyDescent="0.25">
      <c r="A246" t="s">
        <v>40</v>
      </c>
      <c r="B246" t="s">
        <v>951</v>
      </c>
      <c r="C246">
        <v>2</v>
      </c>
      <c r="D246" t="s">
        <v>17</v>
      </c>
      <c r="E246" t="s">
        <v>95</v>
      </c>
      <c r="F246" t="s">
        <v>103</v>
      </c>
      <c r="G246" t="s">
        <v>103</v>
      </c>
      <c r="H246" t="s">
        <v>103</v>
      </c>
      <c r="J246">
        <v>0</v>
      </c>
      <c r="K246">
        <v>6</v>
      </c>
      <c r="L246">
        <v>98.291666669999998</v>
      </c>
      <c r="M246">
        <v>30.315130790000001</v>
      </c>
      <c r="N246">
        <v>5.0803484000000003E-2</v>
      </c>
      <c r="O246">
        <v>98.291666669999998</v>
      </c>
      <c r="P246">
        <v>30.315130790000001</v>
      </c>
      <c r="Q246">
        <v>5.0803484000000003E-2</v>
      </c>
      <c r="R246" t="s">
        <v>1014</v>
      </c>
      <c r="S246">
        <v>0</v>
      </c>
    </row>
    <row r="247" spans="1:19" x14ac:dyDescent="0.25">
      <c r="A247" t="s">
        <v>40</v>
      </c>
      <c r="B247" t="s">
        <v>952</v>
      </c>
      <c r="C247">
        <v>2</v>
      </c>
      <c r="D247" t="s">
        <v>17</v>
      </c>
      <c r="E247" t="s">
        <v>95</v>
      </c>
      <c r="F247" t="s">
        <v>112</v>
      </c>
      <c r="G247" t="s">
        <v>103</v>
      </c>
      <c r="H247" t="s">
        <v>103</v>
      </c>
      <c r="I247" t="s">
        <v>243</v>
      </c>
      <c r="J247">
        <v>1</v>
      </c>
      <c r="K247">
        <v>7</v>
      </c>
      <c r="L247">
        <v>65.09375</v>
      </c>
      <c r="M247">
        <v>37.895352600000002</v>
      </c>
      <c r="N247">
        <v>2.2882677779999998</v>
      </c>
      <c r="O247">
        <v>98.291666669999998</v>
      </c>
      <c r="P247">
        <v>30.315130790000001</v>
      </c>
      <c r="Q247">
        <v>5.0803484000000003E-2</v>
      </c>
      <c r="R247" t="s">
        <v>1014</v>
      </c>
      <c r="S247">
        <v>-33.197916669999998</v>
      </c>
    </row>
    <row r="248" spans="1:19" x14ac:dyDescent="0.25">
      <c r="A248" t="s">
        <v>40</v>
      </c>
      <c r="B248" t="s">
        <v>952</v>
      </c>
      <c r="C248">
        <v>2</v>
      </c>
      <c r="D248" t="s">
        <v>17</v>
      </c>
      <c r="E248" t="s">
        <v>95</v>
      </c>
      <c r="F248" t="s">
        <v>112</v>
      </c>
      <c r="G248" t="s">
        <v>103</v>
      </c>
      <c r="H248" t="s">
        <v>113</v>
      </c>
      <c r="J248">
        <v>1</v>
      </c>
      <c r="K248">
        <v>5</v>
      </c>
      <c r="L248">
        <v>65.09375</v>
      </c>
      <c r="M248">
        <v>37.895352600000002</v>
      </c>
      <c r="N248">
        <v>2.2882677779999998</v>
      </c>
      <c r="O248">
        <v>83.757575759999995</v>
      </c>
      <c r="P248">
        <v>22.60997987</v>
      </c>
      <c r="Q248">
        <v>0.72884000000000004</v>
      </c>
      <c r="R248" t="s">
        <v>1014</v>
      </c>
      <c r="S248">
        <v>-18.663825759999995</v>
      </c>
    </row>
    <row r="249" spans="1:19" x14ac:dyDescent="0.25">
      <c r="A249" t="s">
        <v>41</v>
      </c>
      <c r="B249" t="s">
        <v>953</v>
      </c>
      <c r="C249">
        <v>2</v>
      </c>
      <c r="D249" t="s">
        <v>19</v>
      </c>
      <c r="E249" t="s">
        <v>94</v>
      </c>
      <c r="F249" t="s">
        <v>105</v>
      </c>
      <c r="G249" t="s">
        <v>104</v>
      </c>
      <c r="H249" t="s">
        <v>104</v>
      </c>
      <c r="J249">
        <v>0</v>
      </c>
      <c r="K249">
        <v>3</v>
      </c>
      <c r="L249">
        <v>67.5</v>
      </c>
      <c r="M249">
        <v>47.937235809999997</v>
      </c>
      <c r="N249">
        <v>0.41599678000000001</v>
      </c>
      <c r="O249">
        <v>113.9375</v>
      </c>
      <c r="P249">
        <v>33.375507550000002</v>
      </c>
      <c r="Q249">
        <v>2.4262999999999999</v>
      </c>
      <c r="R249" t="s">
        <v>1014</v>
      </c>
      <c r="S249">
        <v>-46.4375</v>
      </c>
    </row>
    <row r="250" spans="1:19" x14ac:dyDescent="0.25">
      <c r="A250" t="s">
        <v>41</v>
      </c>
      <c r="B250" t="s">
        <v>953</v>
      </c>
      <c r="C250">
        <v>2</v>
      </c>
      <c r="D250" t="s">
        <v>19</v>
      </c>
      <c r="E250" t="s">
        <v>94</v>
      </c>
      <c r="F250" t="s">
        <v>105</v>
      </c>
      <c r="G250" t="s">
        <v>104</v>
      </c>
      <c r="H250" t="s">
        <v>113</v>
      </c>
      <c r="J250">
        <v>0</v>
      </c>
      <c r="K250">
        <v>1</v>
      </c>
      <c r="L250">
        <v>67.5</v>
      </c>
      <c r="M250">
        <v>47.937235809999997</v>
      </c>
      <c r="N250">
        <v>0.41599678000000001</v>
      </c>
      <c r="O250">
        <v>83.757575759999995</v>
      </c>
      <c r="P250">
        <v>22.60997987</v>
      </c>
      <c r="Q250">
        <v>0.72884000000000004</v>
      </c>
      <c r="R250" t="s">
        <v>1014</v>
      </c>
      <c r="S250">
        <v>-16.257575759999995</v>
      </c>
    </row>
    <row r="251" spans="1:19" x14ac:dyDescent="0.25">
      <c r="A251" t="s">
        <v>41</v>
      </c>
      <c r="B251" t="s">
        <v>953</v>
      </c>
      <c r="C251">
        <v>2</v>
      </c>
      <c r="D251" t="s">
        <v>19</v>
      </c>
      <c r="E251" t="s">
        <v>94</v>
      </c>
      <c r="F251" t="s">
        <v>105</v>
      </c>
      <c r="G251" t="s">
        <v>104</v>
      </c>
      <c r="H251" t="s">
        <v>237</v>
      </c>
      <c r="J251">
        <v>0</v>
      </c>
      <c r="K251">
        <v>1</v>
      </c>
      <c r="L251">
        <v>67.5</v>
      </c>
      <c r="M251">
        <v>47.937235809999997</v>
      </c>
      <c r="N251">
        <v>0.41599678000000001</v>
      </c>
      <c r="O251">
        <v>83.888888890000004</v>
      </c>
      <c r="P251">
        <v>31.026943280000001</v>
      </c>
      <c r="Q251">
        <v>0.53083999999999998</v>
      </c>
      <c r="R251" t="s">
        <v>1014</v>
      </c>
      <c r="S251">
        <v>-16.388888890000004</v>
      </c>
    </row>
    <row r="252" spans="1:19" x14ac:dyDescent="0.25">
      <c r="A252" t="s">
        <v>41</v>
      </c>
      <c r="B252" t="s">
        <v>953</v>
      </c>
      <c r="C252">
        <v>2</v>
      </c>
      <c r="D252" t="s">
        <v>19</v>
      </c>
      <c r="E252" t="s">
        <v>94</v>
      </c>
      <c r="F252" t="s">
        <v>105</v>
      </c>
      <c r="G252" t="s">
        <v>104</v>
      </c>
      <c r="H252" t="s">
        <v>239</v>
      </c>
      <c r="J252">
        <v>0</v>
      </c>
      <c r="K252">
        <v>1</v>
      </c>
      <c r="L252">
        <v>67.5</v>
      </c>
      <c r="M252">
        <v>47.937235809999997</v>
      </c>
      <c r="N252">
        <v>0.41599678000000001</v>
      </c>
      <c r="O252">
        <v>100.45454549999999</v>
      </c>
      <c r="P252">
        <v>26.754810689999999</v>
      </c>
      <c r="Q252">
        <v>0.75829999999999997</v>
      </c>
      <c r="R252" t="s">
        <v>1014</v>
      </c>
      <c r="S252">
        <v>-32.954545499999995</v>
      </c>
    </row>
    <row r="253" spans="1:19" x14ac:dyDescent="0.25">
      <c r="A253" t="s">
        <v>41</v>
      </c>
      <c r="B253" t="s">
        <v>954</v>
      </c>
      <c r="C253">
        <v>2</v>
      </c>
      <c r="D253" t="s">
        <v>19</v>
      </c>
      <c r="E253" t="s">
        <v>94</v>
      </c>
      <c r="F253" t="s">
        <v>113</v>
      </c>
      <c r="G253" t="s">
        <v>104</v>
      </c>
      <c r="H253" t="s">
        <v>237</v>
      </c>
      <c r="J253">
        <v>0</v>
      </c>
      <c r="K253">
        <v>1</v>
      </c>
      <c r="L253">
        <v>83.757575759999995</v>
      </c>
      <c r="M253">
        <v>22.60997987</v>
      </c>
      <c r="N253">
        <v>0.72884000000000004</v>
      </c>
      <c r="O253">
        <v>83.888888890000004</v>
      </c>
      <c r="P253">
        <v>31.026943280000001</v>
      </c>
      <c r="Q253">
        <v>0.53083999999999998</v>
      </c>
      <c r="R253" t="s">
        <v>1014</v>
      </c>
      <c r="S253">
        <v>-0.13131313000000944</v>
      </c>
    </row>
    <row r="254" spans="1:19" x14ac:dyDescent="0.25">
      <c r="A254" t="s">
        <v>41</v>
      </c>
      <c r="B254" t="s">
        <v>954</v>
      </c>
      <c r="C254">
        <v>2</v>
      </c>
      <c r="D254" t="s">
        <v>19</v>
      </c>
      <c r="E254" t="s">
        <v>94</v>
      </c>
      <c r="F254" t="s">
        <v>113</v>
      </c>
      <c r="G254" t="s">
        <v>104</v>
      </c>
      <c r="H254" t="s">
        <v>113</v>
      </c>
      <c r="J254">
        <v>0</v>
      </c>
      <c r="K254">
        <v>7</v>
      </c>
      <c r="L254">
        <v>83.757575759999995</v>
      </c>
      <c r="M254">
        <v>22.60997987</v>
      </c>
      <c r="N254">
        <v>0.72884000000000004</v>
      </c>
      <c r="O254">
        <v>83.757575759999995</v>
      </c>
      <c r="P254">
        <v>22.60997987</v>
      </c>
      <c r="Q254">
        <v>0.72884000000000004</v>
      </c>
      <c r="R254" t="s">
        <v>1014</v>
      </c>
      <c r="S254">
        <v>0</v>
      </c>
    </row>
    <row r="255" spans="1:19" x14ac:dyDescent="0.25">
      <c r="A255" t="s">
        <v>41</v>
      </c>
      <c r="B255" t="s">
        <v>954</v>
      </c>
      <c r="C255">
        <v>2</v>
      </c>
      <c r="D255" t="s">
        <v>19</v>
      </c>
      <c r="E255" t="s">
        <v>94</v>
      </c>
      <c r="F255" t="s">
        <v>113</v>
      </c>
      <c r="G255" t="s">
        <v>104</v>
      </c>
      <c r="H255" t="s">
        <v>104</v>
      </c>
      <c r="J255">
        <v>0</v>
      </c>
      <c r="K255">
        <v>1</v>
      </c>
      <c r="L255">
        <v>83.757575759999995</v>
      </c>
      <c r="M255">
        <v>22.60997987</v>
      </c>
      <c r="N255">
        <v>0.72884000000000004</v>
      </c>
      <c r="O255">
        <v>113.9375</v>
      </c>
      <c r="P255">
        <v>33.375507550000002</v>
      </c>
      <c r="Q255">
        <v>2.4262999999999999</v>
      </c>
      <c r="R255" t="s">
        <v>1014</v>
      </c>
      <c r="S255">
        <v>-30.179924240000005</v>
      </c>
    </row>
    <row r="256" spans="1:19" x14ac:dyDescent="0.25">
      <c r="A256" t="s">
        <v>41</v>
      </c>
      <c r="B256" t="s">
        <v>954</v>
      </c>
      <c r="C256">
        <v>2</v>
      </c>
      <c r="D256" t="s">
        <v>19</v>
      </c>
      <c r="E256" t="s">
        <v>94</v>
      </c>
      <c r="F256" t="s">
        <v>113</v>
      </c>
      <c r="G256" t="s">
        <v>104</v>
      </c>
      <c r="H256" t="s">
        <v>238</v>
      </c>
      <c r="J256">
        <v>0</v>
      </c>
      <c r="K256">
        <v>1</v>
      </c>
      <c r="L256">
        <v>83.757575759999995</v>
      </c>
      <c r="M256">
        <v>22.60997987</v>
      </c>
      <c r="N256">
        <v>0.72884000000000004</v>
      </c>
      <c r="O256">
        <v>87.5</v>
      </c>
      <c r="P256">
        <v>29.478311600000001</v>
      </c>
      <c r="Q256">
        <v>3.0797751000000002E-2</v>
      </c>
      <c r="R256" t="s">
        <v>1014</v>
      </c>
      <c r="S256">
        <v>-3.7424242400000054</v>
      </c>
    </row>
    <row r="257" spans="1:19" x14ac:dyDescent="0.25">
      <c r="A257" t="s">
        <v>41</v>
      </c>
      <c r="B257" t="s">
        <v>955</v>
      </c>
      <c r="C257">
        <v>2</v>
      </c>
      <c r="D257" t="s">
        <v>19</v>
      </c>
      <c r="E257" t="s">
        <v>94</v>
      </c>
      <c r="F257" t="s">
        <v>103</v>
      </c>
      <c r="G257" t="s">
        <v>113</v>
      </c>
      <c r="H257" t="s">
        <v>103</v>
      </c>
      <c r="J257">
        <v>0</v>
      </c>
      <c r="K257">
        <v>2</v>
      </c>
      <c r="L257">
        <v>98.291666669999998</v>
      </c>
      <c r="M257">
        <v>30.315130790000001</v>
      </c>
      <c r="N257">
        <v>5.0803484000000003E-2</v>
      </c>
      <c r="O257">
        <v>98.291666669999998</v>
      </c>
      <c r="P257">
        <v>30.315130790000001</v>
      </c>
      <c r="Q257">
        <v>5.0803484000000003E-2</v>
      </c>
      <c r="R257" t="s">
        <v>1014</v>
      </c>
      <c r="S257">
        <v>0</v>
      </c>
    </row>
    <row r="258" spans="1:19" x14ac:dyDescent="0.25">
      <c r="A258" t="s">
        <v>41</v>
      </c>
      <c r="B258" t="s">
        <v>955</v>
      </c>
      <c r="C258">
        <v>2</v>
      </c>
      <c r="D258" t="s">
        <v>19</v>
      </c>
      <c r="E258" t="s">
        <v>94</v>
      </c>
      <c r="F258" t="s">
        <v>103</v>
      </c>
      <c r="G258" t="s">
        <v>113</v>
      </c>
      <c r="H258" t="s">
        <v>113</v>
      </c>
      <c r="J258">
        <v>0</v>
      </c>
      <c r="K258">
        <v>3</v>
      </c>
      <c r="L258">
        <v>98.291666669999998</v>
      </c>
      <c r="M258">
        <v>30.315130790000001</v>
      </c>
      <c r="N258">
        <v>5.0803484000000003E-2</v>
      </c>
      <c r="O258">
        <v>83.757575759999995</v>
      </c>
      <c r="P258">
        <v>22.60997987</v>
      </c>
      <c r="Q258">
        <v>0.72884000000000004</v>
      </c>
      <c r="R258" t="s">
        <v>1014</v>
      </c>
      <c r="S258">
        <v>14.534090910000003</v>
      </c>
    </row>
    <row r="259" spans="1:19" x14ac:dyDescent="0.25">
      <c r="A259" t="s">
        <v>42</v>
      </c>
      <c r="B259" t="s">
        <v>956</v>
      </c>
      <c r="C259">
        <v>2</v>
      </c>
      <c r="D259" t="s">
        <v>21</v>
      </c>
      <c r="E259" t="s">
        <v>94</v>
      </c>
      <c r="F259" t="s">
        <v>105</v>
      </c>
      <c r="G259" t="s">
        <v>121</v>
      </c>
      <c r="H259" t="s">
        <v>242</v>
      </c>
      <c r="J259">
        <v>0</v>
      </c>
      <c r="K259">
        <v>6</v>
      </c>
      <c r="L259">
        <v>67.5</v>
      </c>
      <c r="M259">
        <v>47.937235809999997</v>
      </c>
      <c r="N259">
        <v>0.41599678000000001</v>
      </c>
      <c r="O259">
        <v>139.375</v>
      </c>
      <c r="P259">
        <v>23.713465920000001</v>
      </c>
      <c r="Q259" t="s">
        <v>114</v>
      </c>
      <c r="R259" t="s">
        <v>1014</v>
      </c>
      <c r="S259">
        <v>-71.875</v>
      </c>
    </row>
    <row r="260" spans="1:19" x14ac:dyDescent="0.25">
      <c r="A260" t="s">
        <v>42</v>
      </c>
      <c r="B260" t="s">
        <v>957</v>
      </c>
      <c r="C260">
        <v>2</v>
      </c>
      <c r="D260" t="s">
        <v>21</v>
      </c>
      <c r="E260" t="s">
        <v>94</v>
      </c>
      <c r="F260" t="s">
        <v>110</v>
      </c>
      <c r="G260" t="s">
        <v>113</v>
      </c>
      <c r="H260" t="s">
        <v>104</v>
      </c>
      <c r="J260">
        <v>0</v>
      </c>
      <c r="K260">
        <v>2</v>
      </c>
      <c r="L260">
        <v>73.260869569999997</v>
      </c>
      <c r="M260">
        <v>34.453830549999999</v>
      </c>
      <c r="N260">
        <v>1.058333333</v>
      </c>
      <c r="O260">
        <v>113.9375</v>
      </c>
      <c r="P260">
        <v>33.375507550000002</v>
      </c>
      <c r="Q260">
        <v>2.4262999999999999</v>
      </c>
      <c r="R260" t="s">
        <v>1014</v>
      </c>
      <c r="S260">
        <v>-40.676630430000003</v>
      </c>
    </row>
    <row r="261" spans="1:19" x14ac:dyDescent="0.25">
      <c r="A261" t="s">
        <v>42</v>
      </c>
      <c r="B261" t="s">
        <v>957</v>
      </c>
      <c r="C261">
        <v>2</v>
      </c>
      <c r="D261" t="s">
        <v>21</v>
      </c>
      <c r="E261" t="s">
        <v>94</v>
      </c>
      <c r="F261" t="s">
        <v>110</v>
      </c>
      <c r="G261" t="s">
        <v>113</v>
      </c>
      <c r="H261" t="s">
        <v>242</v>
      </c>
      <c r="J261">
        <v>0</v>
      </c>
      <c r="K261">
        <v>5</v>
      </c>
      <c r="L261">
        <v>73.260869569999997</v>
      </c>
      <c r="M261">
        <v>34.453830549999999</v>
      </c>
      <c r="N261">
        <v>1.058333333</v>
      </c>
      <c r="O261">
        <v>139.375</v>
      </c>
      <c r="P261">
        <v>23.713465920000001</v>
      </c>
      <c r="Q261" t="s">
        <v>114</v>
      </c>
      <c r="R261" t="s">
        <v>1014</v>
      </c>
      <c r="S261">
        <v>-66.114130430000003</v>
      </c>
    </row>
    <row r="262" spans="1:19" x14ac:dyDescent="0.25">
      <c r="A262" t="s">
        <v>42</v>
      </c>
      <c r="B262" t="s">
        <v>957</v>
      </c>
      <c r="C262">
        <v>2</v>
      </c>
      <c r="D262" t="s">
        <v>21</v>
      </c>
      <c r="E262" t="s">
        <v>94</v>
      </c>
      <c r="F262" t="s">
        <v>110</v>
      </c>
      <c r="G262" t="s">
        <v>113</v>
      </c>
      <c r="H262" t="s">
        <v>113</v>
      </c>
      <c r="J262">
        <v>0</v>
      </c>
      <c r="K262">
        <v>2</v>
      </c>
      <c r="L262">
        <v>73.260869569999997</v>
      </c>
      <c r="M262">
        <v>34.453830549999999</v>
      </c>
      <c r="N262">
        <v>1.058333333</v>
      </c>
      <c r="O262">
        <v>83.757575759999995</v>
      </c>
      <c r="P262">
        <v>22.60997987</v>
      </c>
      <c r="Q262">
        <v>0.72884000000000004</v>
      </c>
      <c r="R262" t="s">
        <v>1014</v>
      </c>
      <c r="S262">
        <v>-10.496706189999998</v>
      </c>
    </row>
    <row r="263" spans="1:19" x14ac:dyDescent="0.25">
      <c r="A263" t="s">
        <v>42</v>
      </c>
      <c r="B263" t="s">
        <v>958</v>
      </c>
      <c r="C263">
        <v>2</v>
      </c>
      <c r="D263" t="s">
        <v>21</v>
      </c>
      <c r="E263" t="s">
        <v>94</v>
      </c>
      <c r="F263" t="s">
        <v>111</v>
      </c>
      <c r="G263" t="s">
        <v>110</v>
      </c>
      <c r="H263" t="s">
        <v>113</v>
      </c>
      <c r="J263">
        <v>0</v>
      </c>
      <c r="K263">
        <v>1</v>
      </c>
      <c r="L263">
        <v>94.97142857</v>
      </c>
      <c r="M263">
        <v>24.31591813</v>
      </c>
      <c r="N263">
        <v>0.122951111</v>
      </c>
      <c r="O263">
        <v>83.757575759999995</v>
      </c>
      <c r="P263">
        <v>22.60997987</v>
      </c>
      <c r="Q263">
        <v>0.72884000000000004</v>
      </c>
      <c r="R263" t="s">
        <v>1014</v>
      </c>
      <c r="S263">
        <v>11.213852810000006</v>
      </c>
    </row>
    <row r="264" spans="1:19" x14ac:dyDescent="0.25">
      <c r="A264" t="s">
        <v>42</v>
      </c>
      <c r="B264" t="s">
        <v>958</v>
      </c>
      <c r="C264">
        <v>2</v>
      </c>
      <c r="D264" t="s">
        <v>21</v>
      </c>
      <c r="E264" t="s">
        <v>94</v>
      </c>
      <c r="F264" t="s">
        <v>111</v>
      </c>
      <c r="G264" t="s">
        <v>110</v>
      </c>
      <c r="H264" t="s">
        <v>110</v>
      </c>
      <c r="J264">
        <v>0</v>
      </c>
      <c r="K264">
        <v>1</v>
      </c>
      <c r="L264">
        <v>94.97142857</v>
      </c>
      <c r="M264">
        <v>24.31591813</v>
      </c>
      <c r="N264">
        <v>0.122951111</v>
      </c>
      <c r="O264">
        <v>73.260869569999997</v>
      </c>
      <c r="P264">
        <v>34.453830549999999</v>
      </c>
      <c r="Q264">
        <v>1.058333333</v>
      </c>
      <c r="R264" t="s">
        <v>1014</v>
      </c>
      <c r="S264">
        <v>21.710559000000003</v>
      </c>
    </row>
    <row r="265" spans="1:19" x14ac:dyDescent="0.25">
      <c r="A265" t="s">
        <v>42</v>
      </c>
      <c r="B265" t="s">
        <v>959</v>
      </c>
      <c r="C265">
        <v>2</v>
      </c>
      <c r="D265" t="s">
        <v>21</v>
      </c>
      <c r="E265" t="s">
        <v>94</v>
      </c>
      <c r="F265" t="s">
        <v>104</v>
      </c>
      <c r="G265" t="s">
        <v>121</v>
      </c>
      <c r="H265" t="s">
        <v>110</v>
      </c>
      <c r="J265">
        <v>1</v>
      </c>
      <c r="K265">
        <v>2</v>
      </c>
      <c r="L265">
        <v>113.9375</v>
      </c>
      <c r="M265">
        <v>33.375507550000002</v>
      </c>
      <c r="N265">
        <v>2.4262999999999999</v>
      </c>
      <c r="O265">
        <v>73.260869569999997</v>
      </c>
      <c r="P265">
        <v>34.453830549999999</v>
      </c>
      <c r="Q265">
        <v>1.058333333</v>
      </c>
      <c r="R265" t="s">
        <v>1014</v>
      </c>
      <c r="S265">
        <v>40.676630430000003</v>
      </c>
    </row>
    <row r="266" spans="1:19" x14ac:dyDescent="0.25">
      <c r="A266" t="s">
        <v>42</v>
      </c>
      <c r="B266" t="s">
        <v>959</v>
      </c>
      <c r="C266">
        <v>2</v>
      </c>
      <c r="D266" t="s">
        <v>21</v>
      </c>
      <c r="E266" t="s">
        <v>94</v>
      </c>
      <c r="F266" t="s">
        <v>104</v>
      </c>
      <c r="G266" t="s">
        <v>121</v>
      </c>
      <c r="H266" t="s">
        <v>240</v>
      </c>
      <c r="J266">
        <v>1</v>
      </c>
      <c r="K266">
        <v>2</v>
      </c>
      <c r="L266">
        <v>113.9375</v>
      </c>
      <c r="M266">
        <v>33.375507550000002</v>
      </c>
      <c r="N266">
        <v>2.4262999999999999</v>
      </c>
      <c r="O266">
        <v>104.83333330000001</v>
      </c>
      <c r="P266">
        <v>43.798647680000002</v>
      </c>
      <c r="Q266">
        <v>7.7741939999999999E-3</v>
      </c>
      <c r="R266" t="s">
        <v>1014</v>
      </c>
      <c r="S266">
        <v>9.1041666999999933</v>
      </c>
    </row>
    <row r="267" spans="1:19" x14ac:dyDescent="0.25">
      <c r="A267" t="s">
        <v>42</v>
      </c>
      <c r="B267" t="s">
        <v>959</v>
      </c>
      <c r="C267">
        <v>2</v>
      </c>
      <c r="D267" t="s">
        <v>21</v>
      </c>
      <c r="E267" t="s">
        <v>94</v>
      </c>
      <c r="F267" t="s">
        <v>104</v>
      </c>
      <c r="G267" t="s">
        <v>121</v>
      </c>
      <c r="H267" t="s">
        <v>241</v>
      </c>
      <c r="J267">
        <v>1</v>
      </c>
      <c r="K267">
        <v>1</v>
      </c>
      <c r="L267">
        <v>113.9375</v>
      </c>
      <c r="M267">
        <v>33.375507550000002</v>
      </c>
      <c r="N267">
        <v>2.4262999999999999</v>
      </c>
      <c r="O267">
        <v>114</v>
      </c>
      <c r="P267">
        <v>30.43077242</v>
      </c>
      <c r="Q267">
        <v>0.53383111100000002</v>
      </c>
      <c r="R267" t="s">
        <v>1014</v>
      </c>
      <c r="S267">
        <v>-6.25E-2</v>
      </c>
    </row>
    <row r="268" spans="1:19" x14ac:dyDescent="0.25">
      <c r="A268" t="s">
        <v>43</v>
      </c>
      <c r="B268" t="s">
        <v>960</v>
      </c>
      <c r="C268">
        <v>2</v>
      </c>
      <c r="D268" t="s">
        <v>23</v>
      </c>
      <c r="E268" t="s">
        <v>94</v>
      </c>
      <c r="F268" t="s">
        <v>105</v>
      </c>
      <c r="G268" t="s">
        <v>104</v>
      </c>
      <c r="H268" t="s">
        <v>104</v>
      </c>
      <c r="J268">
        <v>0</v>
      </c>
      <c r="K268">
        <v>1</v>
      </c>
      <c r="L268">
        <v>67.5</v>
      </c>
      <c r="M268">
        <v>47.937235809999997</v>
      </c>
      <c r="N268">
        <v>0.41599678000000001</v>
      </c>
      <c r="O268">
        <v>113.9375</v>
      </c>
      <c r="P268">
        <v>33.375507550000002</v>
      </c>
      <c r="Q268">
        <v>2.4262999999999999</v>
      </c>
      <c r="R268" t="s">
        <v>1014</v>
      </c>
      <c r="S268">
        <v>-46.4375</v>
      </c>
    </row>
    <row r="269" spans="1:19" x14ac:dyDescent="0.25">
      <c r="A269" t="s">
        <v>43</v>
      </c>
      <c r="B269" t="s">
        <v>961</v>
      </c>
      <c r="C269">
        <v>2</v>
      </c>
      <c r="D269" t="s">
        <v>23</v>
      </c>
      <c r="E269" t="s">
        <v>94</v>
      </c>
      <c r="F269" t="s">
        <v>110</v>
      </c>
      <c r="G269" t="s">
        <v>110</v>
      </c>
      <c r="H269" t="s">
        <v>110</v>
      </c>
      <c r="J269">
        <v>0</v>
      </c>
      <c r="K269">
        <v>1</v>
      </c>
      <c r="L269">
        <v>73.260869569999997</v>
      </c>
      <c r="M269">
        <v>34.453830549999999</v>
      </c>
      <c r="N269">
        <v>1.058333333</v>
      </c>
      <c r="O269">
        <v>73.260869569999997</v>
      </c>
      <c r="P269">
        <v>34.453830549999999</v>
      </c>
      <c r="Q269">
        <v>1.058333333</v>
      </c>
      <c r="R269" t="s">
        <v>1014</v>
      </c>
      <c r="S269">
        <v>0</v>
      </c>
    </row>
    <row r="270" spans="1:19" x14ac:dyDescent="0.25">
      <c r="A270" t="s">
        <v>43</v>
      </c>
      <c r="B270" t="s">
        <v>962</v>
      </c>
      <c r="C270">
        <v>2</v>
      </c>
      <c r="D270" t="s">
        <v>23</v>
      </c>
      <c r="E270" t="s">
        <v>94</v>
      </c>
      <c r="F270" t="s">
        <v>111</v>
      </c>
      <c r="G270" t="s">
        <v>121</v>
      </c>
      <c r="H270" t="s">
        <v>114</v>
      </c>
      <c r="J270">
        <v>0</v>
      </c>
      <c r="K270" t="s">
        <v>114</v>
      </c>
      <c r="L270">
        <v>94.97142857</v>
      </c>
      <c r="M270">
        <v>24.31591813</v>
      </c>
      <c r="N270">
        <v>0.122951111</v>
      </c>
      <c r="O270" t="s">
        <v>114</v>
      </c>
      <c r="P270" t="s">
        <v>114</v>
      </c>
      <c r="Q270" t="s">
        <v>114</v>
      </c>
      <c r="R270" t="s">
        <v>1014</v>
      </c>
      <c r="S270" t="s">
        <v>114</v>
      </c>
    </row>
    <row r="271" spans="1:19" x14ac:dyDescent="0.25">
      <c r="A271" t="s">
        <v>43</v>
      </c>
      <c r="B271" t="s">
        <v>963</v>
      </c>
      <c r="C271">
        <v>2</v>
      </c>
      <c r="D271" t="s">
        <v>23</v>
      </c>
      <c r="E271" t="s">
        <v>94</v>
      </c>
      <c r="F271" t="s">
        <v>104</v>
      </c>
      <c r="G271" t="s">
        <v>104</v>
      </c>
      <c r="H271" t="s">
        <v>104</v>
      </c>
      <c r="J271">
        <v>0</v>
      </c>
      <c r="K271">
        <v>1</v>
      </c>
      <c r="L271">
        <v>113.9375</v>
      </c>
      <c r="M271">
        <v>33.375507550000002</v>
      </c>
      <c r="N271">
        <v>2.4262999999999999</v>
      </c>
      <c r="O271">
        <v>113.9375</v>
      </c>
      <c r="P271">
        <v>33.375507550000002</v>
      </c>
      <c r="Q271">
        <v>2.4262999999999999</v>
      </c>
      <c r="R271" t="s">
        <v>1014</v>
      </c>
      <c r="S271">
        <v>0</v>
      </c>
    </row>
    <row r="272" spans="1:19" x14ac:dyDescent="0.25">
      <c r="A272" t="s">
        <v>43</v>
      </c>
      <c r="B272" t="s">
        <v>963</v>
      </c>
      <c r="C272">
        <v>2</v>
      </c>
      <c r="D272" t="s">
        <v>23</v>
      </c>
      <c r="E272" t="s">
        <v>94</v>
      </c>
      <c r="F272" t="s">
        <v>104</v>
      </c>
      <c r="G272" t="s">
        <v>104</v>
      </c>
      <c r="H272" t="s">
        <v>808</v>
      </c>
      <c r="J272">
        <v>0</v>
      </c>
      <c r="K272">
        <v>1</v>
      </c>
      <c r="L272">
        <v>113.9375</v>
      </c>
      <c r="M272">
        <v>33.375507550000002</v>
      </c>
      <c r="N272">
        <v>2.4262999999999999</v>
      </c>
      <c r="O272">
        <v>102.79166669999999</v>
      </c>
      <c r="P272">
        <v>27.057373470000002</v>
      </c>
      <c r="Q272">
        <v>6.3567849939999999</v>
      </c>
      <c r="R272" t="s">
        <v>1014</v>
      </c>
      <c r="S272">
        <v>11.145833300000007</v>
      </c>
    </row>
    <row r="273" spans="1:19" x14ac:dyDescent="0.25">
      <c r="A273" t="s">
        <v>44</v>
      </c>
      <c r="B273" t="s">
        <v>964</v>
      </c>
      <c r="C273">
        <v>2</v>
      </c>
      <c r="D273" t="s">
        <v>25</v>
      </c>
      <c r="E273" t="s">
        <v>95</v>
      </c>
      <c r="F273" t="s">
        <v>102</v>
      </c>
      <c r="G273" t="s">
        <v>102</v>
      </c>
      <c r="H273" t="s">
        <v>102</v>
      </c>
      <c r="J273">
        <v>0</v>
      </c>
      <c r="K273">
        <v>1</v>
      </c>
      <c r="L273">
        <v>84.740740740000007</v>
      </c>
      <c r="M273">
        <v>29.167014049999999</v>
      </c>
      <c r="N273">
        <v>1.1169849999999999</v>
      </c>
      <c r="O273">
        <v>84.740740740000007</v>
      </c>
      <c r="P273">
        <v>29.167014049999999</v>
      </c>
      <c r="Q273">
        <v>1.1169849999999999</v>
      </c>
      <c r="R273" t="s">
        <v>1014</v>
      </c>
      <c r="S273">
        <v>0</v>
      </c>
    </row>
    <row r="274" spans="1:19" x14ac:dyDescent="0.25">
      <c r="A274" t="s">
        <v>44</v>
      </c>
      <c r="B274" t="s">
        <v>965</v>
      </c>
      <c r="C274">
        <v>2</v>
      </c>
      <c r="D274" t="s">
        <v>25</v>
      </c>
      <c r="E274" t="s">
        <v>95</v>
      </c>
      <c r="F274" t="s">
        <v>110</v>
      </c>
      <c r="G274" t="s">
        <v>121</v>
      </c>
      <c r="H274" t="s">
        <v>114</v>
      </c>
      <c r="I274" t="s">
        <v>162</v>
      </c>
      <c r="J274">
        <v>1</v>
      </c>
      <c r="K274">
        <v>0</v>
      </c>
      <c r="L274">
        <v>73.260869569999997</v>
      </c>
      <c r="M274">
        <v>34.453830549999999</v>
      </c>
      <c r="N274">
        <v>1.058333333</v>
      </c>
      <c r="O274" t="s">
        <v>114</v>
      </c>
      <c r="P274" t="s">
        <v>114</v>
      </c>
      <c r="Q274" t="s">
        <v>114</v>
      </c>
      <c r="R274" t="s">
        <v>1014</v>
      </c>
      <c r="S274" t="s">
        <v>114</v>
      </c>
    </row>
    <row r="275" spans="1:19" x14ac:dyDescent="0.25">
      <c r="A275" t="s">
        <v>44</v>
      </c>
      <c r="B275" t="s">
        <v>966</v>
      </c>
      <c r="C275">
        <v>2</v>
      </c>
      <c r="D275" t="s">
        <v>25</v>
      </c>
      <c r="E275" t="s">
        <v>95</v>
      </c>
      <c r="F275" t="s">
        <v>104</v>
      </c>
      <c r="G275" t="s">
        <v>112</v>
      </c>
      <c r="H275" t="s">
        <v>112</v>
      </c>
      <c r="J275">
        <v>0</v>
      </c>
      <c r="K275">
        <v>1</v>
      </c>
      <c r="L275">
        <v>113.9375</v>
      </c>
      <c r="M275">
        <v>33.375507550000002</v>
      </c>
      <c r="N275">
        <v>2.4262999999999999</v>
      </c>
      <c r="O275">
        <v>65.09375</v>
      </c>
      <c r="P275">
        <v>37.895352600000002</v>
      </c>
      <c r="Q275">
        <v>2.2882677779999998</v>
      </c>
      <c r="R275" t="s">
        <v>1014</v>
      </c>
      <c r="S275">
        <v>48.84375</v>
      </c>
    </row>
    <row r="276" spans="1:19" x14ac:dyDescent="0.25">
      <c r="A276" t="s">
        <v>44</v>
      </c>
      <c r="B276" t="s">
        <v>966</v>
      </c>
      <c r="C276">
        <v>2</v>
      </c>
      <c r="D276" t="s">
        <v>25</v>
      </c>
      <c r="E276" t="s">
        <v>95</v>
      </c>
      <c r="F276" t="s">
        <v>104</v>
      </c>
      <c r="G276" t="s">
        <v>112</v>
      </c>
      <c r="H276" t="s">
        <v>162</v>
      </c>
      <c r="J276">
        <v>0</v>
      </c>
      <c r="K276">
        <v>1</v>
      </c>
      <c r="L276">
        <v>113.9375</v>
      </c>
      <c r="M276">
        <v>33.375507550000002</v>
      </c>
      <c r="N276">
        <v>2.4262999999999999</v>
      </c>
      <c r="O276">
        <v>82.53846154</v>
      </c>
      <c r="P276">
        <v>35.660530039999998</v>
      </c>
      <c r="Q276">
        <v>3.3754499999999998</v>
      </c>
      <c r="R276" t="s">
        <v>1014</v>
      </c>
      <c r="S276">
        <v>31.39903846</v>
      </c>
    </row>
    <row r="277" spans="1:19" x14ac:dyDescent="0.25">
      <c r="A277" t="s">
        <v>44</v>
      </c>
      <c r="B277" t="s">
        <v>966</v>
      </c>
      <c r="C277">
        <v>2</v>
      </c>
      <c r="D277" t="s">
        <v>25</v>
      </c>
      <c r="E277" t="s">
        <v>95</v>
      </c>
      <c r="F277" t="s">
        <v>104</v>
      </c>
      <c r="G277" t="s">
        <v>112</v>
      </c>
      <c r="H277" t="s">
        <v>113</v>
      </c>
      <c r="J277">
        <v>0</v>
      </c>
      <c r="K277">
        <v>1</v>
      </c>
      <c r="L277">
        <v>113.9375</v>
      </c>
      <c r="M277">
        <v>33.375507550000002</v>
      </c>
      <c r="N277">
        <v>2.4262999999999999</v>
      </c>
      <c r="O277">
        <v>83.757575759999995</v>
      </c>
      <c r="P277">
        <v>22.60997987</v>
      </c>
      <c r="Q277">
        <v>0.72884000000000004</v>
      </c>
      <c r="R277" t="s">
        <v>1014</v>
      </c>
      <c r="S277">
        <v>30.179924240000005</v>
      </c>
    </row>
    <row r="278" spans="1:19" x14ac:dyDescent="0.25">
      <c r="A278" t="s">
        <v>44</v>
      </c>
      <c r="B278" t="s">
        <v>967</v>
      </c>
      <c r="C278">
        <v>2</v>
      </c>
      <c r="D278" t="s">
        <v>25</v>
      </c>
      <c r="E278" t="s">
        <v>95</v>
      </c>
      <c r="F278" t="s">
        <v>112</v>
      </c>
      <c r="G278" t="s">
        <v>121</v>
      </c>
      <c r="H278" t="s">
        <v>114</v>
      </c>
      <c r="J278">
        <v>0</v>
      </c>
      <c r="K278" t="s">
        <v>114</v>
      </c>
      <c r="L278">
        <v>65.09375</v>
      </c>
      <c r="M278">
        <v>37.895352600000002</v>
      </c>
      <c r="N278">
        <v>2.2882677779999998</v>
      </c>
      <c r="O278" t="s">
        <v>114</v>
      </c>
      <c r="P278" t="s">
        <v>114</v>
      </c>
      <c r="Q278" t="s">
        <v>114</v>
      </c>
      <c r="R278" t="s">
        <v>1014</v>
      </c>
      <c r="S278" t="s">
        <v>114</v>
      </c>
    </row>
    <row r="279" spans="1:19" x14ac:dyDescent="0.25">
      <c r="A279" t="s">
        <v>45</v>
      </c>
      <c r="B279" t="s">
        <v>968</v>
      </c>
      <c r="C279">
        <v>2</v>
      </c>
      <c r="D279" t="s">
        <v>27</v>
      </c>
      <c r="E279" t="s">
        <v>95</v>
      </c>
      <c r="F279" t="s">
        <v>102</v>
      </c>
      <c r="G279" t="s">
        <v>113</v>
      </c>
      <c r="H279" t="s">
        <v>113</v>
      </c>
      <c r="J279">
        <v>0</v>
      </c>
      <c r="K279">
        <v>2</v>
      </c>
      <c r="L279">
        <v>84.740740740000007</v>
      </c>
      <c r="M279">
        <v>29.167014049999999</v>
      </c>
      <c r="N279">
        <v>1.1169849999999999</v>
      </c>
      <c r="O279">
        <v>83.757575759999995</v>
      </c>
      <c r="P279">
        <v>22.60997987</v>
      </c>
      <c r="Q279">
        <v>0.72884000000000004</v>
      </c>
      <c r="R279" t="s">
        <v>1014</v>
      </c>
      <c r="S279">
        <v>0.98316498000001218</v>
      </c>
    </row>
    <row r="280" spans="1:19" x14ac:dyDescent="0.25">
      <c r="A280" t="s">
        <v>45</v>
      </c>
      <c r="B280" t="s">
        <v>969</v>
      </c>
      <c r="C280">
        <v>2</v>
      </c>
      <c r="D280" t="s">
        <v>27</v>
      </c>
      <c r="E280" t="s">
        <v>95</v>
      </c>
      <c r="F280" t="s">
        <v>105</v>
      </c>
      <c r="G280" t="s">
        <v>113</v>
      </c>
      <c r="H280" t="s">
        <v>113</v>
      </c>
      <c r="J280">
        <v>0</v>
      </c>
      <c r="K280">
        <v>6</v>
      </c>
      <c r="L280">
        <v>67.5</v>
      </c>
      <c r="M280">
        <v>47.937235809999997</v>
      </c>
      <c r="N280">
        <v>0.41599678000000001</v>
      </c>
      <c r="O280">
        <v>83.757575759999995</v>
      </c>
      <c r="P280">
        <v>22.60997987</v>
      </c>
      <c r="Q280">
        <v>0.72884000000000004</v>
      </c>
      <c r="R280" t="s">
        <v>1014</v>
      </c>
      <c r="S280">
        <v>-16.257575759999995</v>
      </c>
    </row>
    <row r="281" spans="1:19" x14ac:dyDescent="0.25">
      <c r="A281" t="s">
        <v>45</v>
      </c>
      <c r="B281" t="s">
        <v>970</v>
      </c>
      <c r="C281">
        <v>2</v>
      </c>
      <c r="D281" t="s">
        <v>27</v>
      </c>
      <c r="E281" t="s">
        <v>95</v>
      </c>
      <c r="F281" t="s">
        <v>112</v>
      </c>
      <c r="G281" t="s">
        <v>121</v>
      </c>
      <c r="H281" t="s">
        <v>113</v>
      </c>
      <c r="J281">
        <v>0</v>
      </c>
      <c r="K281">
        <v>8</v>
      </c>
      <c r="L281">
        <v>65.09375</v>
      </c>
      <c r="M281">
        <v>37.895352600000002</v>
      </c>
      <c r="N281">
        <v>2.2882677779999998</v>
      </c>
      <c r="O281">
        <v>83.757575759999995</v>
      </c>
      <c r="P281">
        <v>22.60997987</v>
      </c>
      <c r="Q281">
        <v>0.72884000000000004</v>
      </c>
      <c r="R281" t="s">
        <v>1014</v>
      </c>
      <c r="S281">
        <v>-18.663825759999995</v>
      </c>
    </row>
    <row r="282" spans="1:19" x14ac:dyDescent="0.25">
      <c r="A282" t="s">
        <v>45</v>
      </c>
      <c r="B282" t="s">
        <v>970</v>
      </c>
      <c r="C282">
        <v>2</v>
      </c>
      <c r="D282" t="s">
        <v>27</v>
      </c>
      <c r="E282" t="s">
        <v>95</v>
      </c>
      <c r="F282" t="s">
        <v>112</v>
      </c>
      <c r="G282" t="s">
        <v>121</v>
      </c>
      <c r="H282" t="s">
        <v>103</v>
      </c>
      <c r="J282">
        <v>0</v>
      </c>
      <c r="K282">
        <v>1</v>
      </c>
      <c r="L282">
        <v>65.09375</v>
      </c>
      <c r="M282">
        <v>37.895352600000002</v>
      </c>
      <c r="N282">
        <v>2.2882677779999998</v>
      </c>
      <c r="O282">
        <v>98.291666669999998</v>
      </c>
      <c r="P282">
        <v>30.315130790000001</v>
      </c>
      <c r="Q282">
        <v>5.0803484000000003E-2</v>
      </c>
      <c r="R282" t="s">
        <v>1014</v>
      </c>
      <c r="S282">
        <v>-33.197916669999998</v>
      </c>
    </row>
    <row r="283" spans="1:19" x14ac:dyDescent="0.25">
      <c r="A283" t="s">
        <v>46</v>
      </c>
      <c r="B283" t="s">
        <v>971</v>
      </c>
      <c r="C283">
        <v>2</v>
      </c>
      <c r="D283" t="s">
        <v>29</v>
      </c>
      <c r="E283" t="s">
        <v>95</v>
      </c>
      <c r="F283" t="s">
        <v>102</v>
      </c>
      <c r="G283" t="s">
        <v>121</v>
      </c>
      <c r="H283" t="s">
        <v>114</v>
      </c>
      <c r="J283">
        <v>0</v>
      </c>
      <c r="K283" t="s">
        <v>114</v>
      </c>
      <c r="L283">
        <v>84.740740740000007</v>
      </c>
      <c r="M283">
        <v>29.167014049999999</v>
      </c>
      <c r="N283">
        <v>1.1169849999999999</v>
      </c>
      <c r="O283" t="s">
        <v>114</v>
      </c>
      <c r="P283" t="s">
        <v>114</v>
      </c>
      <c r="Q283" t="s">
        <v>114</v>
      </c>
      <c r="R283" t="s">
        <v>1014</v>
      </c>
      <c r="S283" t="s">
        <v>114</v>
      </c>
    </row>
    <row r="284" spans="1:19" x14ac:dyDescent="0.25">
      <c r="A284" t="s">
        <v>46</v>
      </c>
      <c r="B284" t="s">
        <v>972</v>
      </c>
      <c r="C284">
        <v>2</v>
      </c>
      <c r="D284" t="s">
        <v>29</v>
      </c>
      <c r="E284" t="s">
        <v>95</v>
      </c>
      <c r="F284" t="s">
        <v>110</v>
      </c>
      <c r="G284" t="s">
        <v>113</v>
      </c>
      <c r="H284" t="s">
        <v>113</v>
      </c>
      <c r="J284">
        <v>0</v>
      </c>
      <c r="K284">
        <v>3</v>
      </c>
      <c r="L284">
        <v>73.260869569999997</v>
      </c>
      <c r="M284">
        <v>34.453830549999999</v>
      </c>
      <c r="N284">
        <v>1.058333333</v>
      </c>
      <c r="O284">
        <v>83.757575759999995</v>
      </c>
      <c r="P284">
        <v>22.60997987</v>
      </c>
      <c r="Q284">
        <v>0.72884000000000004</v>
      </c>
      <c r="R284" t="s">
        <v>1014</v>
      </c>
      <c r="S284">
        <v>-10.496706189999998</v>
      </c>
    </row>
    <row r="285" spans="1:19" x14ac:dyDescent="0.25">
      <c r="A285" t="s">
        <v>46</v>
      </c>
      <c r="B285" t="s">
        <v>973</v>
      </c>
      <c r="C285">
        <v>2</v>
      </c>
      <c r="D285" t="s">
        <v>29</v>
      </c>
      <c r="E285" t="s">
        <v>95</v>
      </c>
      <c r="F285" t="s">
        <v>112</v>
      </c>
      <c r="G285" t="s">
        <v>121</v>
      </c>
      <c r="H285" t="s">
        <v>114</v>
      </c>
      <c r="J285">
        <v>0</v>
      </c>
      <c r="K285" t="s">
        <v>114</v>
      </c>
      <c r="L285">
        <v>65.09375</v>
      </c>
      <c r="M285">
        <v>37.895352600000002</v>
      </c>
      <c r="N285">
        <v>2.2882677779999998</v>
      </c>
      <c r="O285" t="s">
        <v>114</v>
      </c>
      <c r="P285" t="s">
        <v>114</v>
      </c>
      <c r="Q285" t="s">
        <v>114</v>
      </c>
      <c r="R285" t="s">
        <v>1014</v>
      </c>
      <c r="S285" t="s">
        <v>114</v>
      </c>
    </row>
    <row r="286" spans="1:19" x14ac:dyDescent="0.25">
      <c r="A286" t="s">
        <v>47</v>
      </c>
      <c r="B286" t="s">
        <v>974</v>
      </c>
      <c r="C286">
        <v>2</v>
      </c>
      <c r="D286" t="s">
        <v>31</v>
      </c>
      <c r="E286" t="s">
        <v>94</v>
      </c>
      <c r="F286" t="s">
        <v>112</v>
      </c>
      <c r="G286" t="s">
        <v>112</v>
      </c>
      <c r="H286" t="s">
        <v>112</v>
      </c>
      <c r="J286">
        <v>0</v>
      </c>
      <c r="K286">
        <v>1</v>
      </c>
      <c r="L286">
        <v>65.09375</v>
      </c>
      <c r="M286">
        <v>37.895352600000002</v>
      </c>
      <c r="N286">
        <v>2.2882677779999998</v>
      </c>
      <c r="O286">
        <v>65.09375</v>
      </c>
      <c r="P286">
        <v>37.895352600000002</v>
      </c>
      <c r="Q286">
        <v>2.2882677779999998</v>
      </c>
      <c r="R286" t="s">
        <v>1014</v>
      </c>
      <c r="S286">
        <v>0</v>
      </c>
    </row>
    <row r="287" spans="1:19" x14ac:dyDescent="0.25">
      <c r="A287" t="s">
        <v>47</v>
      </c>
      <c r="B287" t="s">
        <v>974</v>
      </c>
      <c r="C287">
        <v>2</v>
      </c>
      <c r="D287" t="s">
        <v>31</v>
      </c>
      <c r="E287" t="s">
        <v>94</v>
      </c>
      <c r="F287" t="s">
        <v>112</v>
      </c>
      <c r="G287" t="s">
        <v>112</v>
      </c>
      <c r="H287" t="s">
        <v>113</v>
      </c>
      <c r="J287">
        <v>0</v>
      </c>
      <c r="K287">
        <v>1</v>
      </c>
      <c r="L287">
        <v>65.09375</v>
      </c>
      <c r="M287">
        <v>37.895352600000002</v>
      </c>
      <c r="N287">
        <v>2.2882677779999998</v>
      </c>
      <c r="O287">
        <v>83.757575759999995</v>
      </c>
      <c r="P287">
        <v>22.60997987</v>
      </c>
      <c r="Q287">
        <v>0.72884000000000004</v>
      </c>
      <c r="R287" t="s">
        <v>1014</v>
      </c>
      <c r="S287">
        <v>-18.663825759999995</v>
      </c>
    </row>
    <row r="288" spans="1:19" x14ac:dyDescent="0.25">
      <c r="A288" t="s">
        <v>48</v>
      </c>
      <c r="B288" t="s">
        <v>975</v>
      </c>
      <c r="C288">
        <v>2</v>
      </c>
      <c r="D288" t="s">
        <v>33</v>
      </c>
      <c r="E288" t="s">
        <v>95</v>
      </c>
      <c r="F288" t="s">
        <v>105</v>
      </c>
      <c r="G288" t="s">
        <v>104</v>
      </c>
      <c r="H288" t="s">
        <v>103</v>
      </c>
      <c r="J288">
        <v>0</v>
      </c>
      <c r="K288">
        <v>1</v>
      </c>
      <c r="L288">
        <v>67.5</v>
      </c>
      <c r="M288">
        <v>47.937235809999997</v>
      </c>
      <c r="N288">
        <v>0.41599678000000001</v>
      </c>
      <c r="O288">
        <v>98.291666669999998</v>
      </c>
      <c r="P288">
        <v>30.315130790000001</v>
      </c>
      <c r="Q288">
        <v>5.0803484000000003E-2</v>
      </c>
      <c r="R288" t="s">
        <v>1014</v>
      </c>
      <c r="S288">
        <v>-30.791666669999998</v>
      </c>
    </row>
    <row r="289" spans="1:19" x14ac:dyDescent="0.25">
      <c r="A289" t="s">
        <v>48</v>
      </c>
      <c r="B289" t="s">
        <v>975</v>
      </c>
      <c r="C289">
        <v>2</v>
      </c>
      <c r="D289" t="s">
        <v>33</v>
      </c>
      <c r="E289" t="s">
        <v>95</v>
      </c>
      <c r="F289" t="s">
        <v>105</v>
      </c>
      <c r="G289" t="s">
        <v>104</v>
      </c>
      <c r="H289" t="s">
        <v>104</v>
      </c>
      <c r="J289">
        <v>0</v>
      </c>
      <c r="K289">
        <v>2</v>
      </c>
      <c r="L289">
        <v>67.5</v>
      </c>
      <c r="M289">
        <v>47.937235809999997</v>
      </c>
      <c r="N289">
        <v>0.41599678000000001</v>
      </c>
      <c r="O289">
        <v>113.9375</v>
      </c>
      <c r="P289">
        <v>33.375507550000002</v>
      </c>
      <c r="Q289">
        <v>2.4262999999999999</v>
      </c>
      <c r="R289" t="s">
        <v>1014</v>
      </c>
      <c r="S289">
        <v>-46.4375</v>
      </c>
    </row>
    <row r="290" spans="1:19" x14ac:dyDescent="0.25">
      <c r="A290" t="s">
        <v>48</v>
      </c>
      <c r="B290" t="s">
        <v>976</v>
      </c>
      <c r="C290">
        <v>2</v>
      </c>
      <c r="D290" t="s">
        <v>33</v>
      </c>
      <c r="E290" t="s">
        <v>95</v>
      </c>
      <c r="F290" t="s">
        <v>111</v>
      </c>
      <c r="G290" t="s">
        <v>113</v>
      </c>
      <c r="H290" t="s">
        <v>113</v>
      </c>
      <c r="J290">
        <v>0</v>
      </c>
      <c r="K290">
        <v>1</v>
      </c>
      <c r="L290">
        <v>94.97142857</v>
      </c>
      <c r="M290">
        <v>24.31591813</v>
      </c>
      <c r="N290">
        <v>0.122951111</v>
      </c>
      <c r="O290">
        <v>83.757575759999995</v>
      </c>
      <c r="P290">
        <v>22.60997987</v>
      </c>
      <c r="Q290">
        <v>0.72884000000000004</v>
      </c>
      <c r="R290" t="s">
        <v>1014</v>
      </c>
      <c r="S290">
        <v>11.213852810000006</v>
      </c>
    </row>
    <row r="291" spans="1:19" x14ac:dyDescent="0.25">
      <c r="A291" t="s">
        <v>48</v>
      </c>
      <c r="B291" t="s">
        <v>976</v>
      </c>
      <c r="C291">
        <v>2</v>
      </c>
      <c r="D291" t="s">
        <v>33</v>
      </c>
      <c r="E291" t="s">
        <v>95</v>
      </c>
      <c r="F291" t="s">
        <v>111</v>
      </c>
      <c r="G291" t="s">
        <v>113</v>
      </c>
      <c r="H291" t="s">
        <v>241</v>
      </c>
      <c r="J291">
        <v>0</v>
      </c>
      <c r="K291">
        <v>1</v>
      </c>
      <c r="L291">
        <v>94.97142857</v>
      </c>
      <c r="M291">
        <v>24.31591813</v>
      </c>
      <c r="N291">
        <v>0.122951111</v>
      </c>
      <c r="O291">
        <v>114</v>
      </c>
      <c r="P291">
        <v>30.43077242</v>
      </c>
      <c r="Q291">
        <v>0.53383111100000002</v>
      </c>
      <c r="R291" t="s">
        <v>1014</v>
      </c>
      <c r="S291">
        <v>-19.02857143</v>
      </c>
    </row>
    <row r="292" spans="1:19" x14ac:dyDescent="0.25">
      <c r="A292" t="s">
        <v>48</v>
      </c>
      <c r="B292" t="s">
        <v>977</v>
      </c>
      <c r="C292">
        <v>2</v>
      </c>
      <c r="D292" t="s">
        <v>33</v>
      </c>
      <c r="E292" t="s">
        <v>95</v>
      </c>
      <c r="F292" t="s">
        <v>104</v>
      </c>
      <c r="G292" t="s">
        <v>121</v>
      </c>
      <c r="H292" t="s">
        <v>113</v>
      </c>
      <c r="J292">
        <v>0</v>
      </c>
      <c r="K292">
        <v>5</v>
      </c>
      <c r="L292">
        <v>113.9375</v>
      </c>
      <c r="M292">
        <v>33.375507550000002</v>
      </c>
      <c r="N292">
        <v>2.4262999999999999</v>
      </c>
      <c r="O292">
        <v>83.757575759999995</v>
      </c>
      <c r="P292">
        <v>22.60997987</v>
      </c>
      <c r="Q292">
        <v>0.72884000000000004</v>
      </c>
      <c r="R292" t="s">
        <v>1014</v>
      </c>
      <c r="S292">
        <v>30.179924240000005</v>
      </c>
    </row>
    <row r="293" spans="1:19" x14ac:dyDescent="0.25">
      <c r="A293" t="s">
        <v>48</v>
      </c>
      <c r="B293" t="s">
        <v>977</v>
      </c>
      <c r="C293">
        <v>2</v>
      </c>
      <c r="D293" t="s">
        <v>33</v>
      </c>
      <c r="E293" t="s">
        <v>95</v>
      </c>
      <c r="F293" t="s">
        <v>104</v>
      </c>
      <c r="G293" t="s">
        <v>121</v>
      </c>
      <c r="H293" t="s">
        <v>104</v>
      </c>
      <c r="J293">
        <v>0</v>
      </c>
      <c r="K293">
        <v>2</v>
      </c>
      <c r="L293">
        <v>113.9375</v>
      </c>
      <c r="M293">
        <v>33.375507550000002</v>
      </c>
      <c r="N293">
        <v>2.4262999999999999</v>
      </c>
      <c r="O293">
        <v>113.9375</v>
      </c>
      <c r="P293">
        <v>33.375507550000002</v>
      </c>
      <c r="Q293">
        <v>2.4262999999999999</v>
      </c>
      <c r="R293" t="s">
        <v>1014</v>
      </c>
      <c r="S293">
        <v>0</v>
      </c>
    </row>
    <row r="294" spans="1:19" x14ac:dyDescent="0.25">
      <c r="A294" t="s">
        <v>48</v>
      </c>
      <c r="B294" t="s">
        <v>977</v>
      </c>
      <c r="C294">
        <v>2</v>
      </c>
      <c r="D294" t="s">
        <v>33</v>
      </c>
      <c r="E294" t="s">
        <v>95</v>
      </c>
      <c r="F294" t="s">
        <v>104</v>
      </c>
      <c r="G294" t="s">
        <v>121</v>
      </c>
      <c r="H294" t="s">
        <v>103</v>
      </c>
      <c r="J294">
        <v>0</v>
      </c>
      <c r="K294">
        <v>1</v>
      </c>
      <c r="L294">
        <v>113.9375</v>
      </c>
      <c r="M294">
        <v>33.375507550000002</v>
      </c>
      <c r="N294">
        <v>2.4262999999999999</v>
      </c>
      <c r="O294">
        <v>98.291666669999998</v>
      </c>
      <c r="P294">
        <v>30.315130790000001</v>
      </c>
      <c r="Q294">
        <v>5.0803484000000003E-2</v>
      </c>
      <c r="R294" t="s">
        <v>1014</v>
      </c>
      <c r="S294">
        <v>15.645833330000002</v>
      </c>
    </row>
    <row r="295" spans="1:19" x14ac:dyDescent="0.25">
      <c r="A295" t="s">
        <v>49</v>
      </c>
      <c r="B295" t="s">
        <v>978</v>
      </c>
      <c r="C295">
        <v>2</v>
      </c>
      <c r="D295" t="s">
        <v>35</v>
      </c>
      <c r="E295" t="s">
        <v>94</v>
      </c>
      <c r="F295" t="s">
        <v>102</v>
      </c>
      <c r="G295" t="s">
        <v>112</v>
      </c>
      <c r="H295" t="s">
        <v>112</v>
      </c>
      <c r="J295">
        <v>0</v>
      </c>
      <c r="K295">
        <v>1</v>
      </c>
      <c r="L295">
        <v>84.740740740000007</v>
      </c>
      <c r="M295">
        <v>29.167014049999999</v>
      </c>
      <c r="N295">
        <v>1.1169849999999999</v>
      </c>
      <c r="O295">
        <v>65.09375</v>
      </c>
      <c r="P295">
        <v>37.895352600000002</v>
      </c>
      <c r="Q295">
        <v>2.2882677779999998</v>
      </c>
      <c r="R295" t="s">
        <v>1014</v>
      </c>
      <c r="S295">
        <v>19.646990740000007</v>
      </c>
    </row>
    <row r="296" spans="1:19" x14ac:dyDescent="0.25">
      <c r="A296" t="s">
        <v>49</v>
      </c>
      <c r="B296" t="s">
        <v>978</v>
      </c>
      <c r="C296">
        <v>2</v>
      </c>
      <c r="D296" t="s">
        <v>35</v>
      </c>
      <c r="E296" t="s">
        <v>94</v>
      </c>
      <c r="F296" t="s">
        <v>102</v>
      </c>
      <c r="G296" t="s">
        <v>112</v>
      </c>
      <c r="H296" t="s">
        <v>104</v>
      </c>
      <c r="J296">
        <v>0</v>
      </c>
      <c r="K296">
        <v>5</v>
      </c>
      <c r="L296">
        <v>84.740740740000007</v>
      </c>
      <c r="M296">
        <v>29.167014049999999</v>
      </c>
      <c r="N296">
        <v>1.1169849999999999</v>
      </c>
      <c r="O296">
        <v>113.9375</v>
      </c>
      <c r="P296">
        <v>33.375507550000002</v>
      </c>
      <c r="Q296">
        <v>2.4262999999999999</v>
      </c>
      <c r="R296" t="s">
        <v>1014</v>
      </c>
      <c r="S296">
        <v>-29.196759259999993</v>
      </c>
    </row>
    <row r="297" spans="1:19" x14ac:dyDescent="0.25">
      <c r="A297" t="s">
        <v>49</v>
      </c>
      <c r="B297" t="s">
        <v>979</v>
      </c>
      <c r="C297">
        <v>2</v>
      </c>
      <c r="D297" t="s">
        <v>35</v>
      </c>
      <c r="E297" t="s">
        <v>94</v>
      </c>
      <c r="F297" t="s">
        <v>112</v>
      </c>
      <c r="G297" t="s">
        <v>112</v>
      </c>
      <c r="H297" t="s">
        <v>112</v>
      </c>
      <c r="J297">
        <v>0</v>
      </c>
      <c r="K297">
        <v>1</v>
      </c>
      <c r="L297">
        <v>65.09375</v>
      </c>
      <c r="M297">
        <v>37.895352600000002</v>
      </c>
      <c r="N297">
        <v>2.2882677779999998</v>
      </c>
      <c r="O297">
        <v>65.09375</v>
      </c>
      <c r="P297">
        <v>37.895352600000002</v>
      </c>
      <c r="Q297">
        <v>2.2882677779999998</v>
      </c>
      <c r="R297" t="s">
        <v>1014</v>
      </c>
      <c r="S297">
        <v>0</v>
      </c>
    </row>
    <row r="298" spans="1:19" x14ac:dyDescent="0.25">
      <c r="A298" t="s">
        <v>49</v>
      </c>
      <c r="B298" t="s">
        <v>979</v>
      </c>
      <c r="C298">
        <v>2</v>
      </c>
      <c r="D298" t="s">
        <v>35</v>
      </c>
      <c r="E298" t="s">
        <v>94</v>
      </c>
      <c r="F298" t="s">
        <v>112</v>
      </c>
      <c r="G298" t="s">
        <v>112</v>
      </c>
      <c r="H298" t="s">
        <v>103</v>
      </c>
      <c r="J298">
        <v>0</v>
      </c>
      <c r="K298">
        <v>1</v>
      </c>
      <c r="L298">
        <v>65.09375</v>
      </c>
      <c r="M298">
        <v>37.895352600000002</v>
      </c>
      <c r="N298">
        <v>2.2882677779999998</v>
      </c>
      <c r="O298">
        <v>98.291666669999998</v>
      </c>
      <c r="P298">
        <v>30.315130790000001</v>
      </c>
      <c r="Q298">
        <v>5.0803484000000003E-2</v>
      </c>
      <c r="R298" t="s">
        <v>1014</v>
      </c>
      <c r="S298">
        <v>-33.197916669999998</v>
      </c>
    </row>
    <row r="299" spans="1:19" x14ac:dyDescent="0.25">
      <c r="A299" t="s">
        <v>79</v>
      </c>
      <c r="B299" t="s">
        <v>980</v>
      </c>
      <c r="C299">
        <v>6</v>
      </c>
      <c r="D299" t="s">
        <v>11</v>
      </c>
      <c r="E299" t="s">
        <v>95</v>
      </c>
      <c r="F299" t="s">
        <v>113</v>
      </c>
      <c r="G299" t="s">
        <v>113</v>
      </c>
      <c r="H299" t="s">
        <v>113</v>
      </c>
      <c r="J299">
        <v>0</v>
      </c>
      <c r="K299">
        <v>4</v>
      </c>
      <c r="L299">
        <v>83.757575759999995</v>
      </c>
      <c r="M299">
        <v>22.60997987</v>
      </c>
      <c r="N299">
        <v>0.72884000000000004</v>
      </c>
      <c r="O299">
        <v>83.757575759999995</v>
      </c>
      <c r="P299">
        <v>22.60997987</v>
      </c>
      <c r="Q299">
        <v>0.72884000000000004</v>
      </c>
      <c r="R299" t="s">
        <v>1014</v>
      </c>
      <c r="S299">
        <v>0</v>
      </c>
    </row>
    <row r="300" spans="1:19" x14ac:dyDescent="0.25">
      <c r="A300" t="s">
        <v>79</v>
      </c>
      <c r="B300" t="s">
        <v>981</v>
      </c>
      <c r="C300">
        <v>6</v>
      </c>
      <c r="D300" t="s">
        <v>11</v>
      </c>
      <c r="E300" t="s">
        <v>95</v>
      </c>
      <c r="F300" t="s">
        <v>103</v>
      </c>
      <c r="G300" t="s">
        <v>113</v>
      </c>
      <c r="H300" t="s">
        <v>113</v>
      </c>
      <c r="J300">
        <v>0</v>
      </c>
      <c r="K300">
        <v>7</v>
      </c>
      <c r="L300">
        <v>98.291666669999998</v>
      </c>
      <c r="M300">
        <v>30.315130790000001</v>
      </c>
      <c r="N300">
        <v>5.0803484000000003E-2</v>
      </c>
      <c r="O300">
        <v>83.757575759999995</v>
      </c>
      <c r="P300">
        <v>22.60997987</v>
      </c>
      <c r="Q300">
        <v>0.72884000000000004</v>
      </c>
      <c r="R300" t="s">
        <v>1014</v>
      </c>
      <c r="S300">
        <v>14.534090910000003</v>
      </c>
    </row>
    <row r="301" spans="1:19" x14ac:dyDescent="0.25">
      <c r="A301" t="s">
        <v>79</v>
      </c>
      <c r="B301" t="s">
        <v>981</v>
      </c>
      <c r="C301">
        <v>6</v>
      </c>
      <c r="D301" t="s">
        <v>11</v>
      </c>
      <c r="E301" t="s">
        <v>95</v>
      </c>
      <c r="F301" t="s">
        <v>103</v>
      </c>
      <c r="G301" t="s">
        <v>113</v>
      </c>
      <c r="H301" t="s">
        <v>103</v>
      </c>
      <c r="J301">
        <v>0</v>
      </c>
      <c r="K301">
        <v>4</v>
      </c>
      <c r="L301">
        <v>98.291666669999998</v>
      </c>
      <c r="M301">
        <v>30.315130790000001</v>
      </c>
      <c r="N301">
        <v>5.0803484000000003E-2</v>
      </c>
      <c r="O301">
        <v>98.291666669999998</v>
      </c>
      <c r="P301">
        <v>30.315130790000001</v>
      </c>
      <c r="Q301">
        <v>5.0803484000000003E-2</v>
      </c>
      <c r="R301" t="s">
        <v>1014</v>
      </c>
      <c r="S301">
        <v>0</v>
      </c>
    </row>
    <row r="302" spans="1:19" x14ac:dyDescent="0.25">
      <c r="A302" t="s">
        <v>79</v>
      </c>
      <c r="B302" t="s">
        <v>982</v>
      </c>
      <c r="C302">
        <v>6</v>
      </c>
      <c r="D302" t="s">
        <v>11</v>
      </c>
      <c r="E302" t="s">
        <v>95</v>
      </c>
      <c r="F302" t="s">
        <v>111</v>
      </c>
      <c r="G302" t="s">
        <v>113</v>
      </c>
      <c r="H302" t="s">
        <v>234</v>
      </c>
      <c r="J302">
        <v>0</v>
      </c>
      <c r="K302">
        <v>1</v>
      </c>
      <c r="L302">
        <v>94.97142857</v>
      </c>
      <c r="M302">
        <v>24.31591813</v>
      </c>
      <c r="N302">
        <v>0.122951111</v>
      </c>
      <c r="O302">
        <v>89.8125</v>
      </c>
      <c r="P302">
        <v>34.754706650000003</v>
      </c>
      <c r="Q302">
        <v>2.3065078999999999E-2</v>
      </c>
      <c r="R302" t="s">
        <v>1014</v>
      </c>
      <c r="S302">
        <v>5.1589285700000005</v>
      </c>
    </row>
    <row r="303" spans="1:19" x14ac:dyDescent="0.25">
      <c r="A303" t="s">
        <v>79</v>
      </c>
      <c r="B303" t="s">
        <v>982</v>
      </c>
      <c r="C303">
        <v>6</v>
      </c>
      <c r="D303" t="s">
        <v>11</v>
      </c>
      <c r="E303" t="s">
        <v>95</v>
      </c>
      <c r="F303" t="s">
        <v>111</v>
      </c>
      <c r="G303" t="s">
        <v>113</v>
      </c>
      <c r="H303" t="s">
        <v>113</v>
      </c>
      <c r="J303">
        <v>0</v>
      </c>
      <c r="K303">
        <v>5</v>
      </c>
      <c r="L303">
        <v>94.97142857</v>
      </c>
      <c r="M303">
        <v>24.31591813</v>
      </c>
      <c r="N303">
        <v>0.122951111</v>
      </c>
      <c r="O303">
        <v>83.757575759999995</v>
      </c>
      <c r="P303">
        <v>22.60997987</v>
      </c>
      <c r="Q303">
        <v>0.72884000000000004</v>
      </c>
      <c r="R303" t="s">
        <v>1014</v>
      </c>
      <c r="S303">
        <v>11.213852810000006</v>
      </c>
    </row>
    <row r="304" spans="1:19" x14ac:dyDescent="0.25">
      <c r="A304" t="s">
        <v>79</v>
      </c>
      <c r="B304" t="s">
        <v>982</v>
      </c>
      <c r="C304">
        <v>6</v>
      </c>
      <c r="D304" t="s">
        <v>11</v>
      </c>
      <c r="E304" t="s">
        <v>95</v>
      </c>
      <c r="F304" t="s">
        <v>111</v>
      </c>
      <c r="G304" t="s">
        <v>113</v>
      </c>
      <c r="H304" t="s">
        <v>103</v>
      </c>
      <c r="J304">
        <v>0</v>
      </c>
      <c r="K304">
        <v>1</v>
      </c>
      <c r="L304">
        <v>94.97142857</v>
      </c>
      <c r="M304">
        <v>24.31591813</v>
      </c>
      <c r="N304">
        <v>0.122951111</v>
      </c>
      <c r="O304">
        <v>98.291666669999998</v>
      </c>
      <c r="P304">
        <v>30.315130790000001</v>
      </c>
      <c r="Q304">
        <v>5.0803484000000003E-2</v>
      </c>
      <c r="R304" t="s">
        <v>1014</v>
      </c>
      <c r="S304">
        <v>-3.3202380999999974</v>
      </c>
    </row>
    <row r="305" spans="1:19" x14ac:dyDescent="0.25">
      <c r="A305" t="s">
        <v>80</v>
      </c>
      <c r="B305" t="s">
        <v>983</v>
      </c>
      <c r="C305">
        <v>6</v>
      </c>
      <c r="D305" t="s">
        <v>15</v>
      </c>
      <c r="E305" t="s">
        <v>95</v>
      </c>
      <c r="F305" t="s">
        <v>105</v>
      </c>
      <c r="G305" t="s">
        <v>121</v>
      </c>
      <c r="H305" t="s">
        <v>113</v>
      </c>
      <c r="J305">
        <v>0</v>
      </c>
      <c r="K305">
        <v>1</v>
      </c>
      <c r="L305">
        <v>67.5</v>
      </c>
      <c r="M305">
        <v>47.937235809999997</v>
      </c>
      <c r="N305">
        <v>0.41599678000000001</v>
      </c>
      <c r="O305">
        <v>83.757575759999995</v>
      </c>
      <c r="P305">
        <v>22.60997987</v>
      </c>
      <c r="Q305">
        <v>0.72884000000000004</v>
      </c>
      <c r="R305" t="s">
        <v>1014</v>
      </c>
      <c r="S305">
        <v>-16.257575759999995</v>
      </c>
    </row>
    <row r="306" spans="1:19" x14ac:dyDescent="0.25">
      <c r="A306" t="s">
        <v>80</v>
      </c>
      <c r="B306" t="s">
        <v>983</v>
      </c>
      <c r="C306">
        <v>6</v>
      </c>
      <c r="D306" t="s">
        <v>15</v>
      </c>
      <c r="E306" t="s">
        <v>95</v>
      </c>
      <c r="F306" t="s">
        <v>105</v>
      </c>
      <c r="G306" t="s">
        <v>121</v>
      </c>
      <c r="H306" t="s">
        <v>103</v>
      </c>
      <c r="J306">
        <v>0</v>
      </c>
      <c r="K306">
        <v>9</v>
      </c>
      <c r="L306">
        <v>67.5</v>
      </c>
      <c r="M306">
        <v>47.937235809999997</v>
      </c>
      <c r="N306">
        <v>0.41599678000000001</v>
      </c>
      <c r="O306">
        <v>98.291666669999998</v>
      </c>
      <c r="P306">
        <v>30.315130790000001</v>
      </c>
      <c r="Q306">
        <v>5.0803484000000003E-2</v>
      </c>
      <c r="R306" t="s">
        <v>1014</v>
      </c>
      <c r="S306">
        <v>-30.791666669999998</v>
      </c>
    </row>
    <row r="307" spans="1:19" x14ac:dyDescent="0.25">
      <c r="A307" t="s">
        <v>80</v>
      </c>
      <c r="B307" t="s">
        <v>984</v>
      </c>
      <c r="C307">
        <v>6</v>
      </c>
      <c r="D307" t="s">
        <v>15</v>
      </c>
      <c r="E307" t="s">
        <v>95</v>
      </c>
      <c r="F307" t="s">
        <v>113</v>
      </c>
      <c r="G307" t="s">
        <v>113</v>
      </c>
      <c r="H307" t="s">
        <v>113</v>
      </c>
      <c r="J307">
        <v>0</v>
      </c>
      <c r="K307">
        <v>6</v>
      </c>
      <c r="L307">
        <v>83.757575759999995</v>
      </c>
      <c r="M307">
        <v>22.60997987</v>
      </c>
      <c r="N307">
        <v>0.72884000000000004</v>
      </c>
      <c r="O307">
        <v>83.757575759999995</v>
      </c>
      <c r="P307">
        <v>22.60997987</v>
      </c>
      <c r="Q307">
        <v>0.72884000000000004</v>
      </c>
      <c r="R307" t="s">
        <v>1014</v>
      </c>
      <c r="S307">
        <v>0</v>
      </c>
    </row>
    <row r="308" spans="1:19" x14ac:dyDescent="0.25">
      <c r="A308" t="s">
        <v>80</v>
      </c>
      <c r="B308" t="s">
        <v>985</v>
      </c>
      <c r="C308">
        <v>6</v>
      </c>
      <c r="D308" t="s">
        <v>15</v>
      </c>
      <c r="E308" t="s">
        <v>95</v>
      </c>
      <c r="F308" t="s">
        <v>103</v>
      </c>
      <c r="G308" t="s">
        <v>113</v>
      </c>
      <c r="H308" t="s">
        <v>113</v>
      </c>
      <c r="J308">
        <v>0</v>
      </c>
      <c r="K308">
        <v>1</v>
      </c>
      <c r="L308">
        <v>98.291666669999998</v>
      </c>
      <c r="M308">
        <v>30.315130790000001</v>
      </c>
      <c r="N308">
        <v>5.0803484000000003E-2</v>
      </c>
      <c r="O308">
        <v>83.757575759999995</v>
      </c>
      <c r="P308">
        <v>22.60997987</v>
      </c>
      <c r="Q308">
        <v>0.72884000000000004</v>
      </c>
      <c r="R308" t="s">
        <v>1014</v>
      </c>
      <c r="S308">
        <v>14.534090910000003</v>
      </c>
    </row>
    <row r="309" spans="1:19" x14ac:dyDescent="0.25">
      <c r="A309" t="s">
        <v>80</v>
      </c>
      <c r="B309" t="s">
        <v>985</v>
      </c>
      <c r="C309">
        <v>6</v>
      </c>
      <c r="D309" t="s">
        <v>15</v>
      </c>
      <c r="E309" t="s">
        <v>95</v>
      </c>
      <c r="F309" t="s">
        <v>103</v>
      </c>
      <c r="G309" t="s">
        <v>113</v>
      </c>
      <c r="H309" t="s">
        <v>103</v>
      </c>
      <c r="J309">
        <v>0</v>
      </c>
      <c r="K309">
        <v>2</v>
      </c>
      <c r="L309">
        <v>98.291666669999998</v>
      </c>
      <c r="M309">
        <v>30.315130790000001</v>
      </c>
      <c r="N309">
        <v>5.0803484000000003E-2</v>
      </c>
      <c r="O309">
        <v>98.291666669999998</v>
      </c>
      <c r="P309">
        <v>30.315130790000001</v>
      </c>
      <c r="Q309">
        <v>5.0803484000000003E-2</v>
      </c>
      <c r="R309" t="s">
        <v>1014</v>
      </c>
      <c r="S309">
        <v>0</v>
      </c>
    </row>
    <row r="310" spans="1:19" x14ac:dyDescent="0.25">
      <c r="A310" t="s">
        <v>81</v>
      </c>
      <c r="B310" t="s">
        <v>986</v>
      </c>
      <c r="C310">
        <v>6</v>
      </c>
      <c r="D310" t="s">
        <v>17</v>
      </c>
      <c r="E310" t="s">
        <v>94</v>
      </c>
      <c r="F310" t="s">
        <v>105</v>
      </c>
      <c r="G310" t="s">
        <v>113</v>
      </c>
      <c r="H310" t="s">
        <v>113</v>
      </c>
      <c r="J310">
        <v>0</v>
      </c>
      <c r="K310">
        <v>6</v>
      </c>
      <c r="L310">
        <v>67.5</v>
      </c>
      <c r="M310">
        <v>47.937235809999997</v>
      </c>
      <c r="N310">
        <v>0.41599678000000001</v>
      </c>
      <c r="O310">
        <v>83.757575759999995</v>
      </c>
      <c r="P310">
        <v>22.60997987</v>
      </c>
      <c r="Q310">
        <v>0.72884000000000004</v>
      </c>
      <c r="R310" t="s">
        <v>1014</v>
      </c>
      <c r="S310">
        <v>-16.257575759999995</v>
      </c>
    </row>
    <row r="311" spans="1:19" x14ac:dyDescent="0.25">
      <c r="A311" t="s">
        <v>81</v>
      </c>
      <c r="B311" t="s">
        <v>987</v>
      </c>
      <c r="C311">
        <v>6</v>
      </c>
      <c r="D311" t="s">
        <v>17</v>
      </c>
      <c r="E311" t="s">
        <v>94</v>
      </c>
      <c r="F311" t="s">
        <v>113</v>
      </c>
      <c r="G311" t="s">
        <v>113</v>
      </c>
      <c r="H311" t="s">
        <v>113</v>
      </c>
      <c r="J311">
        <v>0</v>
      </c>
      <c r="K311">
        <v>6</v>
      </c>
      <c r="L311">
        <v>83.757575759999995</v>
      </c>
      <c r="M311">
        <v>22.60997987</v>
      </c>
      <c r="N311">
        <v>0.72884000000000004</v>
      </c>
      <c r="O311">
        <v>83.757575759999995</v>
      </c>
      <c r="P311">
        <v>22.60997987</v>
      </c>
      <c r="Q311">
        <v>0.72884000000000004</v>
      </c>
      <c r="R311" t="s">
        <v>1014</v>
      </c>
      <c r="S311">
        <v>0</v>
      </c>
    </row>
    <row r="312" spans="1:19" x14ac:dyDescent="0.25">
      <c r="A312" t="s">
        <v>81</v>
      </c>
      <c r="B312" t="s">
        <v>988</v>
      </c>
      <c r="C312">
        <v>6</v>
      </c>
      <c r="D312" t="s">
        <v>17</v>
      </c>
      <c r="E312" t="s">
        <v>94</v>
      </c>
      <c r="F312" t="s">
        <v>103</v>
      </c>
      <c r="G312" t="s">
        <v>113</v>
      </c>
      <c r="H312" t="s">
        <v>113</v>
      </c>
      <c r="J312">
        <v>0</v>
      </c>
      <c r="K312">
        <v>5</v>
      </c>
      <c r="L312">
        <v>98.291666669999998</v>
      </c>
      <c r="M312">
        <v>30.315130790000001</v>
      </c>
      <c r="N312">
        <v>5.0803484000000003E-2</v>
      </c>
      <c r="O312">
        <v>83.757575759999995</v>
      </c>
      <c r="P312">
        <v>22.60997987</v>
      </c>
      <c r="Q312">
        <v>0.72884000000000004</v>
      </c>
      <c r="R312" t="s">
        <v>1014</v>
      </c>
      <c r="S312">
        <v>14.534090910000003</v>
      </c>
    </row>
    <row r="313" spans="1:19" x14ac:dyDescent="0.25">
      <c r="A313" t="s">
        <v>81</v>
      </c>
      <c r="B313" t="s">
        <v>988</v>
      </c>
      <c r="C313">
        <v>6</v>
      </c>
      <c r="D313" t="s">
        <v>17</v>
      </c>
      <c r="E313" t="s">
        <v>94</v>
      </c>
      <c r="F313" t="s">
        <v>103</v>
      </c>
      <c r="G313" t="s">
        <v>113</v>
      </c>
      <c r="H313" t="s">
        <v>103</v>
      </c>
      <c r="J313">
        <v>0</v>
      </c>
      <c r="K313">
        <v>1</v>
      </c>
      <c r="L313">
        <v>98.291666669999998</v>
      </c>
      <c r="M313">
        <v>30.315130790000001</v>
      </c>
      <c r="N313">
        <v>5.0803484000000003E-2</v>
      </c>
      <c r="O313">
        <v>98.291666669999998</v>
      </c>
      <c r="P313">
        <v>30.315130790000001</v>
      </c>
      <c r="Q313">
        <v>5.0803484000000003E-2</v>
      </c>
      <c r="R313" t="s">
        <v>1014</v>
      </c>
      <c r="S313">
        <v>0</v>
      </c>
    </row>
    <row r="314" spans="1:19" x14ac:dyDescent="0.25">
      <c r="A314" t="s">
        <v>82</v>
      </c>
      <c r="B314" t="s">
        <v>989</v>
      </c>
      <c r="C314">
        <v>6</v>
      </c>
      <c r="D314" t="s">
        <v>19</v>
      </c>
      <c r="E314" t="s">
        <v>94</v>
      </c>
      <c r="F314" t="s">
        <v>102</v>
      </c>
      <c r="G314" t="s">
        <v>102</v>
      </c>
      <c r="H314" t="s">
        <v>102</v>
      </c>
      <c r="J314">
        <v>0</v>
      </c>
      <c r="K314">
        <v>1</v>
      </c>
      <c r="L314">
        <v>84.740740740000007</v>
      </c>
      <c r="M314">
        <v>29.167014049999999</v>
      </c>
      <c r="N314">
        <v>1.1169849999999999</v>
      </c>
      <c r="O314">
        <v>84.740740740000007</v>
      </c>
      <c r="P314">
        <v>29.167014049999999</v>
      </c>
      <c r="Q314">
        <v>1.1169849999999999</v>
      </c>
      <c r="R314" t="s">
        <v>1014</v>
      </c>
      <c r="S314">
        <v>0</v>
      </c>
    </row>
    <row r="315" spans="1:19" x14ac:dyDescent="0.25">
      <c r="A315" t="s">
        <v>82</v>
      </c>
      <c r="B315" t="s">
        <v>990</v>
      </c>
      <c r="C315">
        <v>6</v>
      </c>
      <c r="D315" t="s">
        <v>19</v>
      </c>
      <c r="E315" t="s">
        <v>94</v>
      </c>
      <c r="F315" t="s">
        <v>113</v>
      </c>
      <c r="G315" t="s">
        <v>113</v>
      </c>
      <c r="H315" t="s">
        <v>113</v>
      </c>
      <c r="J315">
        <v>0</v>
      </c>
      <c r="K315">
        <v>4</v>
      </c>
      <c r="L315">
        <v>83.757575759999995</v>
      </c>
      <c r="M315">
        <v>22.60997987</v>
      </c>
      <c r="N315">
        <v>0.72884000000000004</v>
      </c>
      <c r="O315">
        <v>83.757575759999995</v>
      </c>
      <c r="P315">
        <v>22.60997987</v>
      </c>
      <c r="Q315">
        <v>0.72884000000000004</v>
      </c>
      <c r="R315" t="s">
        <v>1014</v>
      </c>
      <c r="S315">
        <v>0</v>
      </c>
    </row>
    <row r="316" spans="1:19" x14ac:dyDescent="0.25">
      <c r="A316" t="s">
        <v>82</v>
      </c>
      <c r="B316" t="s">
        <v>990</v>
      </c>
      <c r="C316">
        <v>6</v>
      </c>
      <c r="D316" t="s">
        <v>19</v>
      </c>
      <c r="E316" t="s">
        <v>94</v>
      </c>
      <c r="F316" t="s">
        <v>113</v>
      </c>
      <c r="G316" t="s">
        <v>113</v>
      </c>
      <c r="H316" t="s">
        <v>241</v>
      </c>
      <c r="J316">
        <v>0</v>
      </c>
      <c r="K316">
        <v>1</v>
      </c>
      <c r="L316">
        <v>83.757575759999995</v>
      </c>
      <c r="M316">
        <v>22.60997987</v>
      </c>
      <c r="N316">
        <v>0.72884000000000004</v>
      </c>
      <c r="O316">
        <v>114</v>
      </c>
      <c r="P316">
        <v>30.43077242</v>
      </c>
      <c r="Q316">
        <v>0.53383111100000002</v>
      </c>
      <c r="R316" t="s">
        <v>1014</v>
      </c>
      <c r="S316">
        <v>-30.242424240000005</v>
      </c>
    </row>
    <row r="317" spans="1:19" x14ac:dyDescent="0.25">
      <c r="A317" t="s">
        <v>82</v>
      </c>
      <c r="B317" t="s">
        <v>990</v>
      </c>
      <c r="C317">
        <v>6</v>
      </c>
      <c r="D317" t="s">
        <v>19</v>
      </c>
      <c r="E317" t="s">
        <v>94</v>
      </c>
      <c r="F317" t="s">
        <v>113</v>
      </c>
      <c r="G317" t="s">
        <v>113</v>
      </c>
      <c r="H317" t="s">
        <v>808</v>
      </c>
      <c r="J317">
        <v>0</v>
      </c>
      <c r="K317">
        <v>1</v>
      </c>
      <c r="L317">
        <v>83.757575759999995</v>
      </c>
      <c r="M317">
        <v>22.60997987</v>
      </c>
      <c r="N317">
        <v>0.72884000000000004</v>
      </c>
      <c r="O317">
        <v>102.79166669999999</v>
      </c>
      <c r="P317">
        <v>27.057373470000002</v>
      </c>
      <c r="Q317">
        <v>6.3567849939999999</v>
      </c>
      <c r="R317" t="s">
        <v>1014</v>
      </c>
      <c r="S317">
        <v>-19.034090939999999</v>
      </c>
    </row>
    <row r="318" spans="1:19" x14ac:dyDescent="0.25">
      <c r="A318" t="s">
        <v>82</v>
      </c>
      <c r="B318" t="s">
        <v>990</v>
      </c>
      <c r="C318">
        <v>6</v>
      </c>
      <c r="D318" t="s">
        <v>19</v>
      </c>
      <c r="E318" t="s">
        <v>94</v>
      </c>
      <c r="F318" t="s">
        <v>113</v>
      </c>
      <c r="G318" t="s">
        <v>113</v>
      </c>
      <c r="H318" t="s">
        <v>103</v>
      </c>
      <c r="J318">
        <v>0</v>
      </c>
      <c r="K318">
        <v>1</v>
      </c>
      <c r="L318">
        <v>83.757575759999995</v>
      </c>
      <c r="M318">
        <v>22.60997987</v>
      </c>
      <c r="N318">
        <v>0.72884000000000004</v>
      </c>
      <c r="O318">
        <v>98.291666669999998</v>
      </c>
      <c r="P318">
        <v>30.315130790000001</v>
      </c>
      <c r="Q318">
        <v>5.0803484000000003E-2</v>
      </c>
      <c r="R318" t="s">
        <v>1014</v>
      </c>
      <c r="S318">
        <v>-14.534090910000003</v>
      </c>
    </row>
    <row r="319" spans="1:19" x14ac:dyDescent="0.25">
      <c r="A319" t="s">
        <v>82</v>
      </c>
      <c r="B319" t="s">
        <v>991</v>
      </c>
      <c r="C319">
        <v>6</v>
      </c>
      <c r="D319" t="s">
        <v>19</v>
      </c>
      <c r="E319" t="s">
        <v>94</v>
      </c>
      <c r="F319" t="s">
        <v>104</v>
      </c>
      <c r="G319" t="s">
        <v>113</v>
      </c>
      <c r="H319" t="s">
        <v>113</v>
      </c>
      <c r="J319">
        <v>0</v>
      </c>
      <c r="K319">
        <v>3</v>
      </c>
      <c r="L319">
        <v>113.9375</v>
      </c>
      <c r="M319">
        <v>33.375507550000002</v>
      </c>
      <c r="N319">
        <v>2.4262999999999999</v>
      </c>
      <c r="O319">
        <v>83.757575759999995</v>
      </c>
      <c r="P319">
        <v>22.60997987</v>
      </c>
      <c r="Q319">
        <v>0.72884000000000004</v>
      </c>
      <c r="R319" t="s">
        <v>1014</v>
      </c>
      <c r="S319">
        <v>30.179924240000005</v>
      </c>
    </row>
    <row r="320" spans="1:19" x14ac:dyDescent="0.25">
      <c r="A320" t="s">
        <v>83</v>
      </c>
      <c r="B320" t="s">
        <v>992</v>
      </c>
      <c r="C320">
        <v>6</v>
      </c>
      <c r="D320" t="s">
        <v>21</v>
      </c>
      <c r="E320" t="s">
        <v>94</v>
      </c>
      <c r="F320" t="s">
        <v>102</v>
      </c>
      <c r="G320" t="s">
        <v>121</v>
      </c>
      <c r="H320" t="s">
        <v>114</v>
      </c>
      <c r="J320">
        <v>0</v>
      </c>
      <c r="K320">
        <v>0</v>
      </c>
      <c r="L320">
        <v>84.740740740000007</v>
      </c>
      <c r="M320">
        <v>29.167014049999999</v>
      </c>
      <c r="N320">
        <v>1.1169849999999999</v>
      </c>
      <c r="O320" t="s">
        <v>114</v>
      </c>
      <c r="P320" t="s">
        <v>114</v>
      </c>
      <c r="Q320" t="s">
        <v>114</v>
      </c>
      <c r="R320" t="s">
        <v>1014</v>
      </c>
      <c r="S320" t="s">
        <v>114</v>
      </c>
    </row>
    <row r="321" spans="1:19" x14ac:dyDescent="0.25">
      <c r="A321" t="s">
        <v>83</v>
      </c>
      <c r="B321" t="s">
        <v>993</v>
      </c>
      <c r="C321">
        <v>6</v>
      </c>
      <c r="D321" t="s">
        <v>21</v>
      </c>
      <c r="E321" t="s">
        <v>94</v>
      </c>
      <c r="F321" t="s">
        <v>103</v>
      </c>
      <c r="G321" t="s">
        <v>103</v>
      </c>
      <c r="H321" t="s">
        <v>103</v>
      </c>
      <c r="J321">
        <v>0</v>
      </c>
      <c r="K321">
        <v>2</v>
      </c>
      <c r="L321">
        <v>98.291666669999998</v>
      </c>
      <c r="M321">
        <v>30.315130790000001</v>
      </c>
      <c r="N321">
        <v>5.0803484000000003E-2</v>
      </c>
      <c r="O321">
        <v>98.291666669999998</v>
      </c>
      <c r="P321">
        <v>30.315130790000001</v>
      </c>
      <c r="Q321">
        <v>5.0803484000000003E-2</v>
      </c>
      <c r="R321" t="s">
        <v>1014</v>
      </c>
      <c r="S321">
        <v>0</v>
      </c>
    </row>
    <row r="322" spans="1:19" x14ac:dyDescent="0.25">
      <c r="A322" t="s">
        <v>83</v>
      </c>
      <c r="B322" t="s">
        <v>993</v>
      </c>
      <c r="C322">
        <v>6</v>
      </c>
      <c r="D322" t="s">
        <v>21</v>
      </c>
      <c r="E322" t="s">
        <v>94</v>
      </c>
      <c r="F322" t="s">
        <v>103</v>
      </c>
      <c r="G322" t="s">
        <v>103</v>
      </c>
      <c r="H322" t="s">
        <v>246</v>
      </c>
      <c r="J322">
        <v>0</v>
      </c>
      <c r="K322">
        <v>1</v>
      </c>
      <c r="L322">
        <v>98.291666669999998</v>
      </c>
      <c r="M322">
        <v>30.315130790000001</v>
      </c>
      <c r="N322">
        <v>5.0803484000000003E-2</v>
      </c>
      <c r="O322">
        <v>120.25</v>
      </c>
      <c r="P322">
        <v>30.670450110000001</v>
      </c>
      <c r="Q322">
        <v>0.91037498500000003</v>
      </c>
      <c r="R322" t="s">
        <v>1014</v>
      </c>
      <c r="S322">
        <v>-21.958333330000002</v>
      </c>
    </row>
    <row r="323" spans="1:19" x14ac:dyDescent="0.25">
      <c r="A323" t="s">
        <v>83</v>
      </c>
      <c r="B323" t="s">
        <v>993</v>
      </c>
      <c r="C323">
        <v>6</v>
      </c>
      <c r="D323" t="s">
        <v>21</v>
      </c>
      <c r="E323" t="s">
        <v>94</v>
      </c>
      <c r="F323" t="s">
        <v>103</v>
      </c>
      <c r="G323" t="s">
        <v>103</v>
      </c>
      <c r="H323" t="s">
        <v>239</v>
      </c>
      <c r="J323">
        <v>0</v>
      </c>
      <c r="K323">
        <v>1</v>
      </c>
      <c r="L323">
        <v>98.291666669999998</v>
      </c>
      <c r="M323">
        <v>30.315130790000001</v>
      </c>
      <c r="N323">
        <v>5.0803484000000003E-2</v>
      </c>
      <c r="O323">
        <v>100.45454549999999</v>
      </c>
      <c r="P323">
        <v>26.754810689999999</v>
      </c>
      <c r="Q323">
        <v>0.75829999999999997</v>
      </c>
      <c r="R323" t="s">
        <v>1014</v>
      </c>
      <c r="S323">
        <v>-2.1628788299999968</v>
      </c>
    </row>
    <row r="324" spans="1:19" x14ac:dyDescent="0.25">
      <c r="A324" t="s">
        <v>83</v>
      </c>
      <c r="B324" t="s">
        <v>994</v>
      </c>
      <c r="C324">
        <v>6</v>
      </c>
      <c r="D324" t="s">
        <v>21</v>
      </c>
      <c r="E324" t="s">
        <v>94</v>
      </c>
      <c r="F324" t="s">
        <v>111</v>
      </c>
      <c r="G324" t="s">
        <v>121</v>
      </c>
      <c r="H324" t="s">
        <v>114</v>
      </c>
      <c r="J324">
        <v>0</v>
      </c>
      <c r="K324">
        <v>0</v>
      </c>
      <c r="L324">
        <v>94.97142857</v>
      </c>
      <c r="M324">
        <v>24.31591813</v>
      </c>
      <c r="N324">
        <v>0.122951111</v>
      </c>
      <c r="O324" t="s">
        <v>114</v>
      </c>
      <c r="P324" t="s">
        <v>114</v>
      </c>
      <c r="Q324" t="s">
        <v>114</v>
      </c>
      <c r="R324" t="s">
        <v>1014</v>
      </c>
      <c r="S324" t="s">
        <v>114</v>
      </c>
    </row>
    <row r="325" spans="1:19" x14ac:dyDescent="0.25">
      <c r="A325" t="s">
        <v>84</v>
      </c>
      <c r="B325" t="s">
        <v>995</v>
      </c>
      <c r="C325">
        <v>6</v>
      </c>
      <c r="D325" t="s">
        <v>23</v>
      </c>
      <c r="E325" t="s">
        <v>95</v>
      </c>
      <c r="F325" t="s">
        <v>102</v>
      </c>
      <c r="G325" t="s">
        <v>121</v>
      </c>
      <c r="H325" t="s">
        <v>254</v>
      </c>
      <c r="J325">
        <v>0</v>
      </c>
      <c r="K325">
        <v>3</v>
      </c>
      <c r="L325">
        <v>84.740740740000007</v>
      </c>
      <c r="M325">
        <v>29.167014049999999</v>
      </c>
      <c r="N325">
        <v>1.1169849999999999</v>
      </c>
      <c r="O325" t="s">
        <v>114</v>
      </c>
      <c r="P325" t="s">
        <v>114</v>
      </c>
      <c r="Q325" t="s">
        <v>114</v>
      </c>
      <c r="R325" t="s">
        <v>1014</v>
      </c>
      <c r="S325" t="s">
        <v>114</v>
      </c>
    </row>
    <row r="326" spans="1:19" x14ac:dyDescent="0.25">
      <c r="A326" t="s">
        <v>84</v>
      </c>
      <c r="B326" t="s">
        <v>995</v>
      </c>
      <c r="C326">
        <v>6</v>
      </c>
      <c r="D326" t="s">
        <v>23</v>
      </c>
      <c r="E326" t="s">
        <v>95</v>
      </c>
      <c r="F326" t="s">
        <v>102</v>
      </c>
      <c r="G326" t="s">
        <v>121</v>
      </c>
      <c r="H326" t="s">
        <v>248</v>
      </c>
      <c r="J326">
        <v>0</v>
      </c>
      <c r="K326">
        <v>1</v>
      </c>
      <c r="L326">
        <v>84.740740740000007</v>
      </c>
      <c r="M326">
        <v>29.167014049999999</v>
      </c>
      <c r="N326">
        <v>1.1169849999999999</v>
      </c>
      <c r="O326">
        <v>83.92307692</v>
      </c>
      <c r="P326">
        <v>44.319135699999997</v>
      </c>
      <c r="Q326">
        <v>5.9548609999999997E-3</v>
      </c>
      <c r="R326" t="s">
        <v>1014</v>
      </c>
      <c r="S326">
        <v>0.81766382000000704</v>
      </c>
    </row>
    <row r="327" spans="1:19" x14ac:dyDescent="0.25">
      <c r="A327" t="s">
        <v>84</v>
      </c>
      <c r="B327" t="s">
        <v>995</v>
      </c>
      <c r="C327">
        <v>6</v>
      </c>
      <c r="D327" t="s">
        <v>23</v>
      </c>
      <c r="E327" t="s">
        <v>95</v>
      </c>
      <c r="F327" t="s">
        <v>102</v>
      </c>
      <c r="G327" t="s">
        <v>121</v>
      </c>
      <c r="H327" t="s">
        <v>233</v>
      </c>
      <c r="J327">
        <v>0</v>
      </c>
      <c r="K327">
        <v>1</v>
      </c>
      <c r="L327">
        <v>84.740740740000007</v>
      </c>
      <c r="M327">
        <v>29.167014049999999</v>
      </c>
      <c r="N327">
        <v>1.1169849999999999</v>
      </c>
      <c r="O327">
        <v>106.0540541</v>
      </c>
      <c r="P327">
        <v>52.690533369999997</v>
      </c>
      <c r="Q327">
        <v>7.6058968000000005E-2</v>
      </c>
      <c r="R327" t="s">
        <v>1014</v>
      </c>
      <c r="S327">
        <v>-21.313313359999995</v>
      </c>
    </row>
    <row r="328" spans="1:19" x14ac:dyDescent="0.25">
      <c r="A328" t="s">
        <v>84</v>
      </c>
      <c r="B328" t="s">
        <v>995</v>
      </c>
      <c r="C328">
        <v>6</v>
      </c>
      <c r="D328" t="s">
        <v>23</v>
      </c>
      <c r="E328" t="s">
        <v>95</v>
      </c>
      <c r="F328" t="s">
        <v>102</v>
      </c>
      <c r="G328" t="s">
        <v>121</v>
      </c>
      <c r="H328" t="s">
        <v>103</v>
      </c>
      <c r="J328">
        <v>0</v>
      </c>
      <c r="K328">
        <v>5</v>
      </c>
      <c r="L328">
        <v>84.740740740000007</v>
      </c>
      <c r="M328">
        <v>29.167014049999999</v>
      </c>
      <c r="N328">
        <v>1.1169849999999999</v>
      </c>
      <c r="O328">
        <v>98.291666669999998</v>
      </c>
      <c r="P328">
        <v>30.315130790000001</v>
      </c>
      <c r="Q328">
        <v>5.0803484000000003E-2</v>
      </c>
      <c r="R328" t="s">
        <v>1014</v>
      </c>
      <c r="S328">
        <v>-13.550925929999991</v>
      </c>
    </row>
    <row r="329" spans="1:19" x14ac:dyDescent="0.25">
      <c r="A329" t="s">
        <v>84</v>
      </c>
      <c r="B329" t="s">
        <v>996</v>
      </c>
      <c r="C329">
        <v>6</v>
      </c>
      <c r="D329" t="s">
        <v>23</v>
      </c>
      <c r="E329" t="s">
        <v>95</v>
      </c>
      <c r="F329" t="s">
        <v>105</v>
      </c>
      <c r="G329" t="s">
        <v>103</v>
      </c>
      <c r="H329" t="s">
        <v>114</v>
      </c>
      <c r="J329">
        <v>0</v>
      </c>
      <c r="K329" t="s">
        <v>114</v>
      </c>
      <c r="L329">
        <v>67.5</v>
      </c>
      <c r="M329">
        <v>47.937235809999997</v>
      </c>
      <c r="N329">
        <v>0.41599678000000001</v>
      </c>
      <c r="O329" t="s">
        <v>114</v>
      </c>
      <c r="P329" t="s">
        <v>114</v>
      </c>
      <c r="Q329" t="s">
        <v>114</v>
      </c>
      <c r="R329" t="s">
        <v>1014</v>
      </c>
      <c r="S329" t="s">
        <v>114</v>
      </c>
    </row>
    <row r="330" spans="1:19" x14ac:dyDescent="0.25">
      <c r="A330" t="s">
        <v>84</v>
      </c>
      <c r="B330" t="s">
        <v>997</v>
      </c>
      <c r="C330">
        <v>6</v>
      </c>
      <c r="D330" t="s">
        <v>23</v>
      </c>
      <c r="E330" t="s">
        <v>95</v>
      </c>
      <c r="F330" t="s">
        <v>111</v>
      </c>
      <c r="G330" t="s">
        <v>103</v>
      </c>
      <c r="H330" t="s">
        <v>103</v>
      </c>
      <c r="J330">
        <v>0</v>
      </c>
      <c r="K330">
        <v>2</v>
      </c>
      <c r="L330">
        <v>94.97142857</v>
      </c>
      <c r="M330">
        <v>24.31591813</v>
      </c>
      <c r="N330">
        <v>0.122951111</v>
      </c>
      <c r="O330">
        <v>98.291666669999998</v>
      </c>
      <c r="P330">
        <v>30.315130790000001</v>
      </c>
      <c r="Q330">
        <v>5.0803484000000003E-2</v>
      </c>
      <c r="R330" t="s">
        <v>1014</v>
      </c>
      <c r="S330">
        <v>-3.3202380999999974</v>
      </c>
    </row>
    <row r="331" spans="1:19" x14ac:dyDescent="0.25">
      <c r="A331" t="s">
        <v>84</v>
      </c>
      <c r="B331" t="s">
        <v>997</v>
      </c>
      <c r="C331">
        <v>6</v>
      </c>
      <c r="D331" t="s">
        <v>23</v>
      </c>
      <c r="E331" t="s">
        <v>95</v>
      </c>
      <c r="F331" t="s">
        <v>111</v>
      </c>
      <c r="G331" t="s">
        <v>103</v>
      </c>
      <c r="H331" t="s">
        <v>247</v>
      </c>
      <c r="J331">
        <v>0</v>
      </c>
      <c r="K331">
        <v>1</v>
      </c>
      <c r="L331">
        <v>94.97142857</v>
      </c>
      <c r="M331">
        <v>24.31591813</v>
      </c>
      <c r="N331">
        <v>0.122951111</v>
      </c>
      <c r="O331">
        <v>65.791044779999993</v>
      </c>
      <c r="P331">
        <v>22.94519201</v>
      </c>
      <c r="Q331">
        <v>8.1320334999999994E-2</v>
      </c>
      <c r="R331" t="s">
        <v>1014</v>
      </c>
      <c r="S331">
        <v>29.180383790000008</v>
      </c>
    </row>
    <row r="332" spans="1:19" x14ac:dyDescent="0.25">
      <c r="A332" t="s">
        <v>84</v>
      </c>
      <c r="B332" t="s">
        <v>997</v>
      </c>
      <c r="C332">
        <v>6</v>
      </c>
      <c r="D332" t="s">
        <v>23</v>
      </c>
      <c r="E332" t="s">
        <v>95</v>
      </c>
      <c r="F332" t="s">
        <v>111</v>
      </c>
      <c r="G332" t="s">
        <v>103</v>
      </c>
      <c r="H332" t="s">
        <v>233</v>
      </c>
      <c r="J332">
        <v>0</v>
      </c>
      <c r="K332">
        <v>1</v>
      </c>
      <c r="L332">
        <v>94.97142857</v>
      </c>
      <c r="M332">
        <v>24.31591813</v>
      </c>
      <c r="N332">
        <v>0.122951111</v>
      </c>
      <c r="O332">
        <v>106.0540541</v>
      </c>
      <c r="P332">
        <v>52.690533369999997</v>
      </c>
      <c r="Q332">
        <v>7.6058968000000005E-2</v>
      </c>
      <c r="R332" t="s">
        <v>1014</v>
      </c>
      <c r="S332">
        <v>-11.082625530000001</v>
      </c>
    </row>
    <row r="333" spans="1:19" x14ac:dyDescent="0.25">
      <c r="A333" t="s">
        <v>84</v>
      </c>
      <c r="B333" t="s">
        <v>997</v>
      </c>
      <c r="C333">
        <v>6</v>
      </c>
      <c r="D333" t="s">
        <v>23</v>
      </c>
      <c r="E333" t="s">
        <v>95</v>
      </c>
      <c r="F333" t="s">
        <v>111</v>
      </c>
      <c r="G333" t="s">
        <v>103</v>
      </c>
      <c r="H333" t="s">
        <v>808</v>
      </c>
      <c r="J333">
        <v>0</v>
      </c>
      <c r="K333">
        <v>1</v>
      </c>
      <c r="L333">
        <v>94.97142857</v>
      </c>
      <c r="M333">
        <v>24.31591813</v>
      </c>
      <c r="N333">
        <v>0.122951111</v>
      </c>
      <c r="O333">
        <v>102.79166669999999</v>
      </c>
      <c r="P333">
        <v>27.057373470000002</v>
      </c>
      <c r="Q333">
        <v>6.3567849939999999</v>
      </c>
      <c r="R333" t="s">
        <v>1014</v>
      </c>
      <c r="S333">
        <v>-7.8202381299999928</v>
      </c>
    </row>
    <row r="334" spans="1:19" x14ac:dyDescent="0.25">
      <c r="A334" t="s">
        <v>84</v>
      </c>
      <c r="B334" t="s">
        <v>998</v>
      </c>
      <c r="C334">
        <v>6</v>
      </c>
      <c r="D334" t="s">
        <v>23</v>
      </c>
      <c r="E334" t="s">
        <v>95</v>
      </c>
      <c r="F334" t="s">
        <v>112</v>
      </c>
      <c r="G334" t="s">
        <v>103</v>
      </c>
      <c r="H334" t="s">
        <v>236</v>
      </c>
      <c r="J334">
        <v>0</v>
      </c>
      <c r="K334">
        <v>1</v>
      </c>
      <c r="L334">
        <v>65.09375</v>
      </c>
      <c r="M334">
        <v>37.895352600000002</v>
      </c>
      <c r="N334">
        <v>2.2882677779999998</v>
      </c>
      <c r="O334">
        <v>113.33333330000001</v>
      </c>
      <c r="P334">
        <v>26.41632581</v>
      </c>
      <c r="Q334">
        <v>1.6844570160000001</v>
      </c>
      <c r="R334" t="s">
        <v>1014</v>
      </c>
      <c r="S334">
        <v>-48.239583300000007</v>
      </c>
    </row>
    <row r="335" spans="1:19" x14ac:dyDescent="0.25">
      <c r="A335" t="s">
        <v>84</v>
      </c>
      <c r="B335" t="s">
        <v>998</v>
      </c>
      <c r="C335">
        <v>6</v>
      </c>
      <c r="D335" t="s">
        <v>23</v>
      </c>
      <c r="E335" t="s">
        <v>95</v>
      </c>
      <c r="F335" t="s">
        <v>112</v>
      </c>
      <c r="G335" t="s">
        <v>103</v>
      </c>
      <c r="H335" t="s">
        <v>103</v>
      </c>
      <c r="J335">
        <v>0</v>
      </c>
      <c r="K335">
        <v>2</v>
      </c>
      <c r="L335">
        <v>65.09375</v>
      </c>
      <c r="M335">
        <v>37.895352600000002</v>
      </c>
      <c r="N335">
        <v>2.2882677779999998</v>
      </c>
      <c r="O335">
        <v>98.291666669999998</v>
      </c>
      <c r="P335">
        <v>30.315130790000001</v>
      </c>
      <c r="Q335">
        <v>5.0803484000000003E-2</v>
      </c>
      <c r="R335" t="s">
        <v>1014</v>
      </c>
      <c r="S335">
        <v>-33.197916669999998</v>
      </c>
    </row>
    <row r="336" spans="1:19" x14ac:dyDescent="0.25">
      <c r="A336" t="s">
        <v>84</v>
      </c>
      <c r="B336" t="s">
        <v>998</v>
      </c>
      <c r="C336">
        <v>6</v>
      </c>
      <c r="D336" t="s">
        <v>23</v>
      </c>
      <c r="E336" t="s">
        <v>95</v>
      </c>
      <c r="F336" t="s">
        <v>112</v>
      </c>
      <c r="G336" t="s">
        <v>103</v>
      </c>
      <c r="H336" t="s">
        <v>808</v>
      </c>
      <c r="J336">
        <v>0</v>
      </c>
      <c r="K336">
        <v>1</v>
      </c>
      <c r="L336">
        <v>65.09375</v>
      </c>
      <c r="M336">
        <v>37.895352600000002</v>
      </c>
      <c r="N336">
        <v>2.2882677779999998</v>
      </c>
      <c r="O336">
        <v>102.79166669999999</v>
      </c>
      <c r="P336">
        <v>27.057373470000002</v>
      </c>
      <c r="Q336">
        <v>6.3567849939999999</v>
      </c>
      <c r="R336" t="s">
        <v>1014</v>
      </c>
      <c r="S336">
        <v>-37.697916699999993</v>
      </c>
    </row>
    <row r="337" spans="1:19" x14ac:dyDescent="0.25">
      <c r="A337" t="s">
        <v>84</v>
      </c>
      <c r="B337" t="s">
        <v>998</v>
      </c>
      <c r="C337">
        <v>6</v>
      </c>
      <c r="D337" t="s">
        <v>23</v>
      </c>
      <c r="E337" t="s">
        <v>95</v>
      </c>
      <c r="F337" t="s">
        <v>112</v>
      </c>
      <c r="G337" t="s">
        <v>103</v>
      </c>
      <c r="H337" t="s">
        <v>239</v>
      </c>
      <c r="J337">
        <v>0</v>
      </c>
      <c r="K337">
        <v>2</v>
      </c>
      <c r="L337">
        <v>65.09375</v>
      </c>
      <c r="M337">
        <v>37.895352600000002</v>
      </c>
      <c r="N337">
        <v>2.2882677779999998</v>
      </c>
      <c r="O337">
        <v>100.45454549999999</v>
      </c>
      <c r="P337">
        <v>26.754810689999999</v>
      </c>
      <c r="Q337">
        <v>0.75829999999999997</v>
      </c>
      <c r="R337" t="s">
        <v>1014</v>
      </c>
      <c r="S337">
        <v>-35.360795499999995</v>
      </c>
    </row>
    <row r="338" spans="1:19" x14ac:dyDescent="0.25">
      <c r="A338" t="s">
        <v>85</v>
      </c>
      <c r="B338" t="s">
        <v>999</v>
      </c>
      <c r="C338">
        <v>6</v>
      </c>
      <c r="D338" t="s">
        <v>25</v>
      </c>
      <c r="E338" t="s">
        <v>94</v>
      </c>
      <c r="F338" t="s">
        <v>105</v>
      </c>
      <c r="G338" t="s">
        <v>103</v>
      </c>
      <c r="H338" t="s">
        <v>810</v>
      </c>
      <c r="J338">
        <v>0</v>
      </c>
      <c r="K338">
        <v>1</v>
      </c>
      <c r="L338">
        <v>67.5</v>
      </c>
      <c r="M338">
        <v>47.937235809999997</v>
      </c>
      <c r="N338">
        <v>0.41599678000000001</v>
      </c>
      <c r="O338">
        <v>77.055555560000002</v>
      </c>
      <c r="P338">
        <v>18.389110710000001</v>
      </c>
      <c r="Q338">
        <v>1.5559800079999999</v>
      </c>
      <c r="R338" t="s">
        <v>1014</v>
      </c>
      <c r="S338">
        <v>-9.5555555600000019</v>
      </c>
    </row>
    <row r="339" spans="1:19" x14ac:dyDescent="0.25">
      <c r="A339" t="s">
        <v>85</v>
      </c>
      <c r="B339" t="s">
        <v>999</v>
      </c>
      <c r="C339">
        <v>6</v>
      </c>
      <c r="D339" t="s">
        <v>25</v>
      </c>
      <c r="E339" t="s">
        <v>94</v>
      </c>
      <c r="F339" t="s">
        <v>105</v>
      </c>
      <c r="G339" t="s">
        <v>103</v>
      </c>
      <c r="H339" t="s">
        <v>104</v>
      </c>
      <c r="J339">
        <v>0</v>
      </c>
      <c r="K339">
        <v>1</v>
      </c>
      <c r="L339">
        <v>67.5</v>
      </c>
      <c r="M339">
        <v>47.937235809999997</v>
      </c>
      <c r="N339">
        <v>0.41599678000000001</v>
      </c>
      <c r="O339">
        <v>113.9375</v>
      </c>
      <c r="P339">
        <v>33.375507550000002</v>
      </c>
      <c r="Q339">
        <v>2.4262999999999999</v>
      </c>
      <c r="R339" t="s">
        <v>1014</v>
      </c>
      <c r="S339">
        <v>-46.4375</v>
      </c>
    </row>
    <row r="340" spans="1:19" x14ac:dyDescent="0.25">
      <c r="A340" t="s">
        <v>85</v>
      </c>
      <c r="B340" t="s">
        <v>999</v>
      </c>
      <c r="C340">
        <v>6</v>
      </c>
      <c r="D340" t="s">
        <v>25</v>
      </c>
      <c r="E340" t="s">
        <v>94</v>
      </c>
      <c r="F340" t="s">
        <v>105</v>
      </c>
      <c r="G340" t="s">
        <v>103</v>
      </c>
      <c r="H340" t="s">
        <v>110</v>
      </c>
      <c r="J340">
        <v>0</v>
      </c>
      <c r="K340">
        <v>1</v>
      </c>
      <c r="L340">
        <v>67.5</v>
      </c>
      <c r="M340">
        <v>47.937235809999997</v>
      </c>
      <c r="N340">
        <v>0.41599678000000001</v>
      </c>
      <c r="O340">
        <v>73.260869569999997</v>
      </c>
      <c r="P340">
        <v>34.453830549999999</v>
      </c>
      <c r="Q340">
        <v>1.058333333</v>
      </c>
      <c r="R340" t="s">
        <v>1014</v>
      </c>
      <c r="S340">
        <v>-5.760869569999997</v>
      </c>
    </row>
    <row r="341" spans="1:19" x14ac:dyDescent="0.25">
      <c r="A341" t="s">
        <v>85</v>
      </c>
      <c r="B341" t="s">
        <v>999</v>
      </c>
      <c r="C341">
        <v>6</v>
      </c>
      <c r="D341" t="s">
        <v>25</v>
      </c>
      <c r="E341" t="s">
        <v>94</v>
      </c>
      <c r="F341" t="s">
        <v>105</v>
      </c>
      <c r="G341" t="s">
        <v>103</v>
      </c>
      <c r="H341" t="s">
        <v>103</v>
      </c>
      <c r="J341">
        <v>0</v>
      </c>
      <c r="K341">
        <v>4</v>
      </c>
      <c r="L341">
        <v>67.5</v>
      </c>
      <c r="M341">
        <v>47.937235809999997</v>
      </c>
      <c r="N341">
        <v>0.41599678000000001</v>
      </c>
      <c r="O341">
        <v>98.291666669999998</v>
      </c>
      <c r="P341">
        <v>30.315130790000001</v>
      </c>
      <c r="Q341">
        <v>5.0803484000000003E-2</v>
      </c>
      <c r="R341" t="s">
        <v>1014</v>
      </c>
      <c r="S341">
        <v>-30.791666669999998</v>
      </c>
    </row>
    <row r="342" spans="1:19" x14ac:dyDescent="0.25">
      <c r="A342" t="s">
        <v>85</v>
      </c>
      <c r="B342" t="s">
        <v>1000</v>
      </c>
      <c r="C342">
        <v>6</v>
      </c>
      <c r="D342" t="s">
        <v>25</v>
      </c>
      <c r="E342" t="s">
        <v>94</v>
      </c>
      <c r="F342" t="s">
        <v>110</v>
      </c>
      <c r="G342" t="s">
        <v>103</v>
      </c>
      <c r="H342" t="s">
        <v>103</v>
      </c>
      <c r="J342">
        <v>0</v>
      </c>
      <c r="K342">
        <v>9</v>
      </c>
      <c r="L342">
        <v>73.260869569999997</v>
      </c>
      <c r="M342">
        <v>34.453830549999999</v>
      </c>
      <c r="N342">
        <v>1.058333333</v>
      </c>
      <c r="O342">
        <v>98.291666669999998</v>
      </c>
      <c r="P342">
        <v>30.315130790000001</v>
      </c>
      <c r="Q342">
        <v>5.0803484000000003E-2</v>
      </c>
      <c r="R342" t="s">
        <v>1014</v>
      </c>
      <c r="S342">
        <v>-25.030797100000001</v>
      </c>
    </row>
    <row r="343" spans="1:19" x14ac:dyDescent="0.25">
      <c r="A343" t="s">
        <v>85</v>
      </c>
      <c r="B343" t="s">
        <v>1000</v>
      </c>
      <c r="C343">
        <v>6</v>
      </c>
      <c r="D343" t="s">
        <v>25</v>
      </c>
      <c r="E343" t="s">
        <v>94</v>
      </c>
      <c r="F343" t="s">
        <v>110</v>
      </c>
      <c r="G343" t="s">
        <v>103</v>
      </c>
      <c r="H343" t="s">
        <v>248</v>
      </c>
      <c r="J343">
        <v>0</v>
      </c>
      <c r="K343">
        <v>4</v>
      </c>
      <c r="L343">
        <v>73.260869569999997</v>
      </c>
      <c r="M343">
        <v>34.453830549999999</v>
      </c>
      <c r="N343">
        <v>1.058333333</v>
      </c>
      <c r="O343">
        <v>83.92307692</v>
      </c>
      <c r="P343">
        <v>44.319135699999997</v>
      </c>
      <c r="Q343">
        <v>5.9548609999999997E-3</v>
      </c>
      <c r="R343" t="s">
        <v>1014</v>
      </c>
      <c r="S343">
        <v>-10.662207350000003</v>
      </c>
    </row>
    <row r="344" spans="1:19" x14ac:dyDescent="0.25">
      <c r="A344" t="s">
        <v>85</v>
      </c>
      <c r="B344" t="s">
        <v>1000</v>
      </c>
      <c r="C344">
        <v>6</v>
      </c>
      <c r="D344" t="s">
        <v>25</v>
      </c>
      <c r="E344" t="s">
        <v>94</v>
      </c>
      <c r="F344" t="s">
        <v>110</v>
      </c>
      <c r="G344" t="s">
        <v>103</v>
      </c>
      <c r="H344" t="s">
        <v>233</v>
      </c>
      <c r="J344">
        <v>0</v>
      </c>
      <c r="K344">
        <v>3</v>
      </c>
      <c r="L344">
        <v>73.260869569999997</v>
      </c>
      <c r="M344">
        <v>34.453830549999999</v>
      </c>
      <c r="N344">
        <v>1.058333333</v>
      </c>
      <c r="O344">
        <v>106.0540541</v>
      </c>
      <c r="P344">
        <v>52.690533369999997</v>
      </c>
      <c r="Q344">
        <v>7.6058968000000005E-2</v>
      </c>
      <c r="R344" t="s">
        <v>1014</v>
      </c>
      <c r="S344">
        <v>-32.793184530000005</v>
      </c>
    </row>
    <row r="345" spans="1:19" x14ac:dyDescent="0.25">
      <c r="A345" t="s">
        <v>85</v>
      </c>
      <c r="B345" t="s">
        <v>1000</v>
      </c>
      <c r="C345">
        <v>6</v>
      </c>
      <c r="D345" t="s">
        <v>25</v>
      </c>
      <c r="E345" t="s">
        <v>94</v>
      </c>
      <c r="F345" t="s">
        <v>110</v>
      </c>
      <c r="G345" t="s">
        <v>103</v>
      </c>
      <c r="H345" t="s">
        <v>110</v>
      </c>
      <c r="J345">
        <v>0</v>
      </c>
      <c r="K345">
        <v>1</v>
      </c>
      <c r="L345">
        <v>73.260869569999997</v>
      </c>
      <c r="M345">
        <v>34.453830549999999</v>
      </c>
      <c r="N345">
        <v>1.058333333</v>
      </c>
      <c r="O345">
        <v>73.260869569999997</v>
      </c>
      <c r="P345">
        <v>34.453830549999999</v>
      </c>
      <c r="Q345">
        <v>1.058333333</v>
      </c>
      <c r="R345" t="s">
        <v>1014</v>
      </c>
      <c r="S345">
        <v>0</v>
      </c>
    </row>
    <row r="346" spans="1:19" x14ac:dyDescent="0.25">
      <c r="A346" t="s">
        <v>86</v>
      </c>
      <c r="B346" t="s">
        <v>1001</v>
      </c>
      <c r="C346">
        <v>6</v>
      </c>
      <c r="D346" t="s">
        <v>27</v>
      </c>
      <c r="E346" t="s">
        <v>94</v>
      </c>
      <c r="F346" t="s">
        <v>110</v>
      </c>
      <c r="G346" t="s">
        <v>121</v>
      </c>
      <c r="H346" t="s">
        <v>246</v>
      </c>
      <c r="J346">
        <v>0</v>
      </c>
      <c r="K346">
        <v>1</v>
      </c>
      <c r="L346">
        <v>73.260869569999997</v>
      </c>
      <c r="M346">
        <v>34.453830549999999</v>
      </c>
      <c r="N346">
        <v>1.058333333</v>
      </c>
      <c r="O346">
        <v>120.25</v>
      </c>
      <c r="P346">
        <v>30.670450110000001</v>
      </c>
      <c r="Q346">
        <v>0.91037498500000003</v>
      </c>
      <c r="R346" t="s">
        <v>1014</v>
      </c>
      <c r="S346">
        <v>-46.989130430000003</v>
      </c>
    </row>
    <row r="347" spans="1:19" x14ac:dyDescent="0.25">
      <c r="A347" t="s">
        <v>86</v>
      </c>
      <c r="B347" t="s">
        <v>1001</v>
      </c>
      <c r="C347">
        <v>6</v>
      </c>
      <c r="D347" t="s">
        <v>27</v>
      </c>
      <c r="E347" t="s">
        <v>94</v>
      </c>
      <c r="F347" t="s">
        <v>110</v>
      </c>
      <c r="G347" t="s">
        <v>121</v>
      </c>
      <c r="H347" t="s">
        <v>242</v>
      </c>
      <c r="J347">
        <v>0</v>
      </c>
      <c r="K347">
        <v>2</v>
      </c>
      <c r="L347">
        <v>73.260869569999997</v>
      </c>
      <c r="M347">
        <v>34.453830549999999</v>
      </c>
      <c r="N347">
        <v>1.058333333</v>
      </c>
      <c r="O347">
        <v>139.375</v>
      </c>
      <c r="P347">
        <v>23.713465920000001</v>
      </c>
      <c r="Q347" t="s">
        <v>114</v>
      </c>
      <c r="R347" t="s">
        <v>1014</v>
      </c>
      <c r="S347">
        <v>-66.114130430000003</v>
      </c>
    </row>
    <row r="348" spans="1:19" x14ac:dyDescent="0.25">
      <c r="A348" t="s">
        <v>86</v>
      </c>
      <c r="B348" t="s">
        <v>1002</v>
      </c>
      <c r="C348">
        <v>6</v>
      </c>
      <c r="D348" t="s">
        <v>27</v>
      </c>
      <c r="E348" t="s">
        <v>94</v>
      </c>
      <c r="F348" t="s">
        <v>112</v>
      </c>
      <c r="G348" t="s">
        <v>110</v>
      </c>
      <c r="H348" t="s">
        <v>110</v>
      </c>
      <c r="J348">
        <v>0</v>
      </c>
      <c r="K348">
        <v>1</v>
      </c>
      <c r="L348">
        <v>65.09375</v>
      </c>
      <c r="M348">
        <v>37.895352600000002</v>
      </c>
      <c r="N348">
        <v>2.2882677779999998</v>
      </c>
      <c r="O348">
        <v>73.260869569999997</v>
      </c>
      <c r="P348">
        <v>34.453830549999999</v>
      </c>
      <c r="Q348">
        <v>1.058333333</v>
      </c>
      <c r="R348" t="s">
        <v>1014</v>
      </c>
      <c r="S348">
        <v>-8.167119569999997</v>
      </c>
    </row>
    <row r="349" spans="1:19" x14ac:dyDescent="0.25">
      <c r="A349" t="s">
        <v>86</v>
      </c>
      <c r="B349" t="s">
        <v>1002</v>
      </c>
      <c r="C349">
        <v>6</v>
      </c>
      <c r="D349" t="s">
        <v>27</v>
      </c>
      <c r="E349" t="s">
        <v>94</v>
      </c>
      <c r="F349" t="s">
        <v>112</v>
      </c>
      <c r="G349" t="s">
        <v>110</v>
      </c>
      <c r="H349" t="s">
        <v>246</v>
      </c>
      <c r="J349">
        <v>0</v>
      </c>
      <c r="K349">
        <v>1</v>
      </c>
      <c r="L349">
        <v>65.09375</v>
      </c>
      <c r="M349">
        <v>37.895352600000002</v>
      </c>
      <c r="N349">
        <v>2.2882677779999998</v>
      </c>
      <c r="O349">
        <v>120.25</v>
      </c>
      <c r="P349">
        <v>30.670450110000001</v>
      </c>
      <c r="Q349">
        <v>0.91037498500000003</v>
      </c>
      <c r="R349" t="s">
        <v>1014</v>
      </c>
      <c r="S349">
        <v>-55.15625</v>
      </c>
    </row>
    <row r="350" spans="1:19" x14ac:dyDescent="0.25">
      <c r="A350" t="s">
        <v>87</v>
      </c>
      <c r="B350" t="s">
        <v>1003</v>
      </c>
      <c r="C350">
        <v>6</v>
      </c>
      <c r="D350" t="s">
        <v>29</v>
      </c>
      <c r="E350" t="s">
        <v>95</v>
      </c>
      <c r="F350" t="s">
        <v>102</v>
      </c>
      <c r="G350" t="s">
        <v>110</v>
      </c>
      <c r="H350" t="s">
        <v>110</v>
      </c>
      <c r="J350">
        <v>0</v>
      </c>
      <c r="K350">
        <v>3</v>
      </c>
      <c r="L350">
        <v>84.740740740000007</v>
      </c>
      <c r="M350">
        <v>29.167014049999999</v>
      </c>
      <c r="N350">
        <v>1.1169849999999999</v>
      </c>
      <c r="O350">
        <v>73.260869569999997</v>
      </c>
      <c r="P350">
        <v>34.453830549999999</v>
      </c>
      <c r="Q350">
        <v>1.058333333</v>
      </c>
      <c r="R350" t="s">
        <v>1014</v>
      </c>
      <c r="S350">
        <v>11.47987117000001</v>
      </c>
    </row>
    <row r="351" spans="1:19" x14ac:dyDescent="0.25">
      <c r="A351" t="s">
        <v>87</v>
      </c>
      <c r="B351" t="s">
        <v>1003</v>
      </c>
      <c r="C351">
        <v>6</v>
      </c>
      <c r="D351" t="s">
        <v>29</v>
      </c>
      <c r="E351" t="s">
        <v>95</v>
      </c>
      <c r="F351" t="s">
        <v>102</v>
      </c>
      <c r="G351" t="s">
        <v>110</v>
      </c>
      <c r="H351" t="s">
        <v>246</v>
      </c>
      <c r="J351">
        <v>0</v>
      </c>
      <c r="K351">
        <v>1</v>
      </c>
      <c r="L351">
        <v>84.740740740000007</v>
      </c>
      <c r="M351">
        <v>29.167014049999999</v>
      </c>
      <c r="N351">
        <v>1.1169849999999999</v>
      </c>
      <c r="O351">
        <v>120.25</v>
      </c>
      <c r="P351">
        <v>30.670450110000001</v>
      </c>
      <c r="Q351">
        <v>0.91037498500000003</v>
      </c>
      <c r="R351" t="s">
        <v>1014</v>
      </c>
      <c r="S351">
        <v>-35.509259259999993</v>
      </c>
    </row>
    <row r="352" spans="1:19" x14ac:dyDescent="0.25">
      <c r="A352" t="s">
        <v>87</v>
      </c>
      <c r="B352" t="s">
        <v>1003</v>
      </c>
      <c r="C352">
        <v>6</v>
      </c>
      <c r="D352" t="s">
        <v>29</v>
      </c>
      <c r="E352" t="s">
        <v>95</v>
      </c>
      <c r="F352" t="s">
        <v>102</v>
      </c>
      <c r="G352" t="s">
        <v>110</v>
      </c>
      <c r="H352" t="s">
        <v>242</v>
      </c>
      <c r="J352">
        <v>0</v>
      </c>
      <c r="K352">
        <v>2</v>
      </c>
      <c r="L352">
        <v>84.740740740000007</v>
      </c>
      <c r="M352">
        <v>29.167014049999999</v>
      </c>
      <c r="N352">
        <v>1.1169849999999999</v>
      </c>
      <c r="O352">
        <v>139.375</v>
      </c>
      <c r="P352">
        <v>23.713465920000001</v>
      </c>
      <c r="Q352" t="s">
        <v>114</v>
      </c>
      <c r="R352" t="s">
        <v>1014</v>
      </c>
      <c r="S352">
        <v>-54.634259259999993</v>
      </c>
    </row>
    <row r="353" spans="1:19" x14ac:dyDescent="0.25">
      <c r="A353" t="s">
        <v>87</v>
      </c>
      <c r="B353" t="s">
        <v>1004</v>
      </c>
      <c r="C353">
        <v>6</v>
      </c>
      <c r="D353" t="s">
        <v>29</v>
      </c>
      <c r="E353" t="s">
        <v>95</v>
      </c>
      <c r="F353" t="s">
        <v>110</v>
      </c>
      <c r="G353" t="s">
        <v>110</v>
      </c>
      <c r="H353" t="s">
        <v>110</v>
      </c>
      <c r="J353">
        <v>0</v>
      </c>
      <c r="K353">
        <v>1</v>
      </c>
      <c r="L353">
        <v>73.260869569999997</v>
      </c>
      <c r="M353">
        <v>34.453830549999999</v>
      </c>
      <c r="N353">
        <v>1.058333333</v>
      </c>
      <c r="O353">
        <v>73.260869569999997</v>
      </c>
      <c r="P353">
        <v>34.453830549999999</v>
      </c>
      <c r="Q353">
        <v>1.058333333</v>
      </c>
      <c r="R353" t="s">
        <v>1014</v>
      </c>
      <c r="S353">
        <v>0</v>
      </c>
    </row>
    <row r="354" spans="1:19" x14ac:dyDescent="0.25">
      <c r="A354" t="s">
        <v>88</v>
      </c>
      <c r="B354" t="s">
        <v>1005</v>
      </c>
      <c r="C354">
        <v>6</v>
      </c>
      <c r="D354" t="s">
        <v>31</v>
      </c>
      <c r="E354" t="s">
        <v>95</v>
      </c>
      <c r="F354" t="s">
        <v>110</v>
      </c>
      <c r="G354" t="s">
        <v>113</v>
      </c>
      <c r="H354" t="s">
        <v>113</v>
      </c>
      <c r="J354">
        <v>0</v>
      </c>
      <c r="K354">
        <v>3</v>
      </c>
      <c r="L354">
        <v>73.260869569999997</v>
      </c>
      <c r="M354">
        <v>34.453830549999999</v>
      </c>
      <c r="N354">
        <v>1.058333333</v>
      </c>
      <c r="O354">
        <v>83.757575759999995</v>
      </c>
      <c r="P354">
        <v>22.60997987</v>
      </c>
      <c r="Q354">
        <v>0.72884000000000004</v>
      </c>
      <c r="R354" t="s">
        <v>1014</v>
      </c>
      <c r="S354">
        <v>-10.496706189999998</v>
      </c>
    </row>
    <row r="355" spans="1:19" x14ac:dyDescent="0.25">
      <c r="A355" t="s">
        <v>88</v>
      </c>
      <c r="B355" t="s">
        <v>1005</v>
      </c>
      <c r="C355">
        <v>6</v>
      </c>
      <c r="D355" t="s">
        <v>31</v>
      </c>
      <c r="E355" t="s">
        <v>95</v>
      </c>
      <c r="F355" t="s">
        <v>110</v>
      </c>
      <c r="G355" t="s">
        <v>113</v>
      </c>
      <c r="H355" t="s">
        <v>103</v>
      </c>
      <c r="J355">
        <v>0</v>
      </c>
      <c r="K355">
        <v>1</v>
      </c>
      <c r="L355">
        <v>73.260869569999997</v>
      </c>
      <c r="M355">
        <v>34.453830549999999</v>
      </c>
      <c r="N355">
        <v>1.058333333</v>
      </c>
      <c r="O355">
        <v>98.291666669999998</v>
      </c>
      <c r="P355">
        <v>30.315130790000001</v>
      </c>
      <c r="Q355">
        <v>5.0803484000000003E-2</v>
      </c>
      <c r="R355" t="s">
        <v>1014</v>
      </c>
      <c r="S355">
        <v>-25.030797100000001</v>
      </c>
    </row>
    <row r="356" spans="1:19" x14ac:dyDescent="0.25">
      <c r="A356" t="s">
        <v>88</v>
      </c>
      <c r="B356" t="s">
        <v>1006</v>
      </c>
      <c r="C356">
        <v>6</v>
      </c>
      <c r="D356" t="s">
        <v>31</v>
      </c>
      <c r="E356" t="s">
        <v>95</v>
      </c>
      <c r="F356" t="s">
        <v>112</v>
      </c>
      <c r="G356" t="s">
        <v>113</v>
      </c>
      <c r="H356" t="s">
        <v>113</v>
      </c>
      <c r="J356">
        <v>0</v>
      </c>
      <c r="K356">
        <v>2</v>
      </c>
      <c r="L356">
        <v>65.09375</v>
      </c>
      <c r="M356">
        <v>37.895352600000002</v>
      </c>
      <c r="N356">
        <v>2.2882677779999998</v>
      </c>
      <c r="O356">
        <v>83.757575759999995</v>
      </c>
      <c r="P356">
        <v>22.60997987</v>
      </c>
      <c r="Q356">
        <v>0.72884000000000004</v>
      </c>
      <c r="R356" t="s">
        <v>1014</v>
      </c>
      <c r="S356">
        <v>-18.663825759999995</v>
      </c>
    </row>
    <row r="357" spans="1:19" x14ac:dyDescent="0.25">
      <c r="A357" t="s">
        <v>89</v>
      </c>
      <c r="B357" t="s">
        <v>1007</v>
      </c>
      <c r="C357">
        <v>6</v>
      </c>
      <c r="D357" t="s">
        <v>33</v>
      </c>
      <c r="E357" t="s">
        <v>95</v>
      </c>
      <c r="F357" t="s">
        <v>104</v>
      </c>
      <c r="G357" t="s">
        <v>104</v>
      </c>
      <c r="H357" t="s">
        <v>104</v>
      </c>
      <c r="J357">
        <v>1</v>
      </c>
      <c r="K357">
        <v>1</v>
      </c>
      <c r="L357">
        <v>113.9375</v>
      </c>
      <c r="M357">
        <v>33.375507550000002</v>
      </c>
      <c r="N357">
        <v>2.4262999999999999</v>
      </c>
      <c r="O357">
        <v>113.9375</v>
      </c>
      <c r="P357">
        <v>33.375507550000002</v>
      </c>
      <c r="Q357">
        <v>2.4262999999999999</v>
      </c>
      <c r="R357" t="s">
        <v>1014</v>
      </c>
      <c r="S357">
        <v>0</v>
      </c>
    </row>
    <row r="358" spans="1:19" x14ac:dyDescent="0.25">
      <c r="A358" t="s">
        <v>89</v>
      </c>
      <c r="B358" t="s">
        <v>1007</v>
      </c>
      <c r="C358">
        <v>6</v>
      </c>
      <c r="D358" t="s">
        <v>33</v>
      </c>
      <c r="E358" t="s">
        <v>95</v>
      </c>
      <c r="F358" t="s">
        <v>104</v>
      </c>
      <c r="G358" t="s">
        <v>104</v>
      </c>
      <c r="H358" t="s">
        <v>103</v>
      </c>
      <c r="J358">
        <v>1</v>
      </c>
      <c r="K358">
        <v>1</v>
      </c>
      <c r="L358">
        <v>113.9375</v>
      </c>
      <c r="M358">
        <v>33.375507550000002</v>
      </c>
      <c r="N358">
        <v>2.4262999999999999</v>
      </c>
      <c r="O358">
        <v>98.291666669999998</v>
      </c>
      <c r="P358">
        <v>30.315130790000001</v>
      </c>
      <c r="Q358">
        <v>5.0803484000000003E-2</v>
      </c>
      <c r="R358" t="s">
        <v>1014</v>
      </c>
      <c r="S358">
        <v>15.645833330000002</v>
      </c>
    </row>
    <row r="359" spans="1:19" x14ac:dyDescent="0.25">
      <c r="A359" t="s">
        <v>89</v>
      </c>
      <c r="B359" t="s">
        <v>1007</v>
      </c>
      <c r="C359">
        <v>6</v>
      </c>
      <c r="D359" t="s">
        <v>33</v>
      </c>
      <c r="E359" t="s">
        <v>95</v>
      </c>
      <c r="F359" t="s">
        <v>104</v>
      </c>
      <c r="G359" t="s">
        <v>104</v>
      </c>
      <c r="H359" t="s">
        <v>246</v>
      </c>
      <c r="J359">
        <v>1</v>
      </c>
      <c r="K359">
        <v>1</v>
      </c>
      <c r="L359">
        <v>113.9375</v>
      </c>
      <c r="M359">
        <v>33.375507550000002</v>
      </c>
      <c r="N359">
        <v>2.4262999999999999</v>
      </c>
      <c r="O359">
        <v>120.25</v>
      </c>
      <c r="P359">
        <v>30.670450110000001</v>
      </c>
      <c r="Q359">
        <v>0.91037498500000003</v>
      </c>
      <c r="R359" t="s">
        <v>1014</v>
      </c>
      <c r="S359">
        <v>-6.3125</v>
      </c>
    </row>
    <row r="360" spans="1:19" x14ac:dyDescent="0.25">
      <c r="A360" t="s">
        <v>89</v>
      </c>
      <c r="B360" t="s">
        <v>1008</v>
      </c>
      <c r="C360">
        <v>6</v>
      </c>
      <c r="D360" t="s">
        <v>33</v>
      </c>
      <c r="E360" t="s">
        <v>95</v>
      </c>
      <c r="F360" t="s">
        <v>112</v>
      </c>
      <c r="G360" t="s">
        <v>113</v>
      </c>
      <c r="H360" t="s">
        <v>113</v>
      </c>
      <c r="I360" t="s">
        <v>255</v>
      </c>
      <c r="J360">
        <v>0</v>
      </c>
      <c r="K360">
        <v>4</v>
      </c>
      <c r="L360">
        <v>65.09375</v>
      </c>
      <c r="M360">
        <v>37.895352600000002</v>
      </c>
      <c r="N360">
        <v>2.2882677779999998</v>
      </c>
      <c r="O360">
        <v>83.757575759999995</v>
      </c>
      <c r="P360">
        <v>22.60997987</v>
      </c>
      <c r="Q360">
        <v>0.72884000000000004</v>
      </c>
      <c r="R360" t="s">
        <v>1014</v>
      </c>
      <c r="S360">
        <v>-18.663825759999995</v>
      </c>
    </row>
    <row r="361" spans="1:19" x14ac:dyDescent="0.25">
      <c r="A361" t="s">
        <v>90</v>
      </c>
      <c r="B361" t="s">
        <v>1009</v>
      </c>
      <c r="C361">
        <v>6</v>
      </c>
      <c r="D361" t="s">
        <v>35</v>
      </c>
      <c r="E361" t="s">
        <v>94</v>
      </c>
      <c r="F361" t="s">
        <v>111</v>
      </c>
      <c r="G361" t="s">
        <v>121</v>
      </c>
      <c r="H361" t="s">
        <v>253</v>
      </c>
      <c r="J361">
        <v>0</v>
      </c>
      <c r="K361">
        <v>3</v>
      </c>
      <c r="L361">
        <v>94.97142857</v>
      </c>
      <c r="M361">
        <v>24.31591813</v>
      </c>
      <c r="N361">
        <v>0.122951111</v>
      </c>
      <c r="O361">
        <v>172.08823530000001</v>
      </c>
      <c r="P361">
        <v>29.581605960000001</v>
      </c>
      <c r="Q361">
        <v>0.24280444400000001</v>
      </c>
      <c r="R361" t="s">
        <v>1014</v>
      </c>
      <c r="S361">
        <v>-77.116806730000008</v>
      </c>
    </row>
    <row r="362" spans="1:19" x14ac:dyDescent="0.25">
      <c r="A362" t="s">
        <v>90</v>
      </c>
      <c r="B362" t="s">
        <v>1009</v>
      </c>
      <c r="C362">
        <v>6</v>
      </c>
      <c r="D362" t="s">
        <v>35</v>
      </c>
      <c r="E362" t="s">
        <v>94</v>
      </c>
      <c r="F362" t="s">
        <v>111</v>
      </c>
      <c r="G362" t="s">
        <v>121</v>
      </c>
      <c r="H362" t="s">
        <v>162</v>
      </c>
      <c r="J362">
        <v>0</v>
      </c>
      <c r="K362">
        <v>1</v>
      </c>
      <c r="L362">
        <v>94.97142857</v>
      </c>
      <c r="M362">
        <v>24.31591813</v>
      </c>
      <c r="N362">
        <v>0.122951111</v>
      </c>
      <c r="O362">
        <v>82.53846154</v>
      </c>
      <c r="P362">
        <v>35.660530039999998</v>
      </c>
      <c r="Q362">
        <v>3.3754499999999998</v>
      </c>
      <c r="R362" t="s">
        <v>1014</v>
      </c>
      <c r="S362">
        <v>12.43296703</v>
      </c>
    </row>
    <row r="363" spans="1:19" x14ac:dyDescent="0.25">
      <c r="A363" t="s">
        <v>90</v>
      </c>
      <c r="B363" t="s">
        <v>1010</v>
      </c>
      <c r="C363">
        <v>6</v>
      </c>
      <c r="D363" t="s">
        <v>35</v>
      </c>
      <c r="E363" t="s">
        <v>94</v>
      </c>
      <c r="F363" t="s">
        <v>104</v>
      </c>
      <c r="G363" t="s">
        <v>111</v>
      </c>
      <c r="H363" t="s">
        <v>111</v>
      </c>
      <c r="J363">
        <v>1</v>
      </c>
      <c r="K363">
        <v>1</v>
      </c>
      <c r="L363">
        <v>113.9375</v>
      </c>
      <c r="M363">
        <v>33.375507550000002</v>
      </c>
      <c r="N363">
        <v>2.4262999999999999</v>
      </c>
      <c r="O363">
        <v>94.97142857</v>
      </c>
      <c r="P363">
        <v>24.31591813</v>
      </c>
      <c r="Q363">
        <v>0.122951111</v>
      </c>
      <c r="R363" t="s">
        <v>1014</v>
      </c>
      <c r="S363">
        <v>18.96607143</v>
      </c>
    </row>
    <row r="364" spans="1:19" x14ac:dyDescent="0.25">
      <c r="A364" t="s">
        <v>90</v>
      </c>
      <c r="B364" t="s">
        <v>1010</v>
      </c>
      <c r="C364">
        <v>6</v>
      </c>
      <c r="D364" t="s">
        <v>35</v>
      </c>
      <c r="E364" t="s">
        <v>94</v>
      </c>
      <c r="F364" t="s">
        <v>104</v>
      </c>
      <c r="G364" t="s">
        <v>111</v>
      </c>
      <c r="H364" t="s">
        <v>253</v>
      </c>
      <c r="J364">
        <v>1</v>
      </c>
      <c r="K364">
        <v>2</v>
      </c>
      <c r="L364">
        <v>113.9375</v>
      </c>
      <c r="M364">
        <v>33.375507550000002</v>
      </c>
      <c r="N364">
        <v>2.4262999999999999</v>
      </c>
      <c r="O364">
        <v>172.08823530000001</v>
      </c>
      <c r="P364">
        <v>29.581605960000001</v>
      </c>
      <c r="Q364">
        <v>0.24280444400000001</v>
      </c>
      <c r="R364" t="s">
        <v>1014</v>
      </c>
      <c r="S364">
        <v>-58.150735300000008</v>
      </c>
    </row>
    <row r="365" spans="1:19" x14ac:dyDescent="0.25">
      <c r="A365" t="s">
        <v>91</v>
      </c>
      <c r="B365" t="s">
        <v>1011</v>
      </c>
      <c r="C365">
        <v>6</v>
      </c>
      <c r="D365" t="s">
        <v>37</v>
      </c>
      <c r="E365" t="s">
        <v>94</v>
      </c>
      <c r="F365" t="s">
        <v>112</v>
      </c>
      <c r="G365" t="s">
        <v>112</v>
      </c>
      <c r="H365" t="s">
        <v>112</v>
      </c>
      <c r="J365">
        <v>0</v>
      </c>
      <c r="K365">
        <v>1</v>
      </c>
      <c r="L365">
        <v>65.09375</v>
      </c>
      <c r="M365">
        <v>37.895352600000002</v>
      </c>
      <c r="N365">
        <v>2.2882677779999998</v>
      </c>
      <c r="O365">
        <v>65.09375</v>
      </c>
      <c r="P365">
        <v>37.895352600000002</v>
      </c>
      <c r="Q365">
        <v>2.2882677779999998</v>
      </c>
      <c r="R365" t="s">
        <v>1014</v>
      </c>
      <c r="S365">
        <v>0</v>
      </c>
    </row>
    <row r="366" spans="1:19" x14ac:dyDescent="0.25">
      <c r="A366" t="s">
        <v>92</v>
      </c>
      <c r="B366" t="s">
        <v>1012</v>
      </c>
      <c r="C366">
        <v>6</v>
      </c>
      <c r="D366" t="s">
        <v>64</v>
      </c>
      <c r="E366" t="s">
        <v>94</v>
      </c>
      <c r="F366" t="s">
        <v>112</v>
      </c>
      <c r="G366" t="s">
        <v>102</v>
      </c>
      <c r="H366" t="s">
        <v>102</v>
      </c>
      <c r="J366">
        <v>0</v>
      </c>
      <c r="K366">
        <v>2</v>
      </c>
      <c r="L366">
        <v>65.09375</v>
      </c>
      <c r="M366">
        <v>37.895352600000002</v>
      </c>
      <c r="N366">
        <v>2.2882677779999998</v>
      </c>
      <c r="O366">
        <v>84.740740740000007</v>
      </c>
      <c r="P366">
        <v>29.167014049999999</v>
      </c>
      <c r="Q366">
        <v>1.1169849999999999</v>
      </c>
      <c r="R366" t="s">
        <v>1014</v>
      </c>
      <c r="S366">
        <v>-19.646990740000007</v>
      </c>
    </row>
    <row r="367" spans="1:19" x14ac:dyDescent="0.25">
      <c r="A367" t="s">
        <v>92</v>
      </c>
      <c r="B367" t="s">
        <v>1012</v>
      </c>
      <c r="C367">
        <v>6</v>
      </c>
      <c r="D367" t="s">
        <v>64</v>
      </c>
      <c r="E367" t="s">
        <v>94</v>
      </c>
      <c r="F367" t="s">
        <v>112</v>
      </c>
      <c r="G367" t="s">
        <v>102</v>
      </c>
      <c r="H367" t="s">
        <v>241</v>
      </c>
      <c r="J367">
        <v>0</v>
      </c>
      <c r="K367">
        <v>1</v>
      </c>
      <c r="L367">
        <v>65.09375</v>
      </c>
      <c r="M367">
        <v>37.895352600000002</v>
      </c>
      <c r="N367">
        <v>2.2882677779999998</v>
      </c>
      <c r="O367">
        <v>114</v>
      </c>
      <c r="P367">
        <v>30.43077242</v>
      </c>
      <c r="Q367">
        <v>0.53383111100000002</v>
      </c>
      <c r="R367" t="s">
        <v>1014</v>
      </c>
      <c r="S367">
        <v>-48.90625</v>
      </c>
    </row>
    <row r="368" spans="1:19" x14ac:dyDescent="0.25">
      <c r="A368" t="s">
        <v>93</v>
      </c>
      <c r="B368" t="s">
        <v>1013</v>
      </c>
      <c r="C368">
        <v>6</v>
      </c>
      <c r="D368" t="s">
        <v>66</v>
      </c>
      <c r="E368" t="s">
        <v>95</v>
      </c>
      <c r="F368" t="s">
        <v>104</v>
      </c>
      <c r="G368" t="s">
        <v>103</v>
      </c>
      <c r="H368" t="s">
        <v>104</v>
      </c>
      <c r="J368">
        <v>0</v>
      </c>
      <c r="K368">
        <v>1</v>
      </c>
      <c r="L368">
        <v>113.9375</v>
      </c>
      <c r="M368">
        <v>33.375507550000002</v>
      </c>
      <c r="N368">
        <v>2.4262999999999999</v>
      </c>
      <c r="O368">
        <v>113.9375</v>
      </c>
      <c r="P368">
        <v>33.375507550000002</v>
      </c>
      <c r="Q368">
        <v>2.4262999999999999</v>
      </c>
      <c r="R368" t="s">
        <v>1014</v>
      </c>
      <c r="S368">
        <v>0</v>
      </c>
    </row>
    <row r="369" spans="1:19" x14ac:dyDescent="0.25">
      <c r="A369" t="s">
        <v>93</v>
      </c>
      <c r="B369" t="s">
        <v>1013</v>
      </c>
      <c r="C369">
        <v>6</v>
      </c>
      <c r="D369" t="s">
        <v>66</v>
      </c>
      <c r="E369" t="s">
        <v>95</v>
      </c>
      <c r="F369" t="s">
        <v>104</v>
      </c>
      <c r="G369" t="s">
        <v>103</v>
      </c>
      <c r="H369" t="s">
        <v>111</v>
      </c>
      <c r="J369">
        <v>0</v>
      </c>
      <c r="K369">
        <v>1</v>
      </c>
      <c r="L369">
        <v>113.9375</v>
      </c>
      <c r="M369">
        <v>33.375507550000002</v>
      </c>
      <c r="N369">
        <v>2.4262999999999999</v>
      </c>
      <c r="O369">
        <v>94.97142857</v>
      </c>
      <c r="P369">
        <v>24.31591813</v>
      </c>
      <c r="Q369">
        <v>0.122951111</v>
      </c>
      <c r="R369" t="s">
        <v>1014</v>
      </c>
      <c r="S369">
        <v>18.96607143</v>
      </c>
    </row>
    <row r="370" spans="1:19" x14ac:dyDescent="0.25">
      <c r="A370" t="s">
        <v>93</v>
      </c>
      <c r="B370" t="s">
        <v>1013</v>
      </c>
      <c r="C370">
        <v>6</v>
      </c>
      <c r="D370" t="s">
        <v>66</v>
      </c>
      <c r="E370" t="s">
        <v>95</v>
      </c>
      <c r="F370" t="s">
        <v>104</v>
      </c>
      <c r="G370" t="s">
        <v>103</v>
      </c>
      <c r="H370" t="s">
        <v>103</v>
      </c>
      <c r="J370">
        <v>0</v>
      </c>
      <c r="K370">
        <v>4</v>
      </c>
      <c r="L370">
        <v>113.9375</v>
      </c>
      <c r="M370">
        <v>33.375507550000002</v>
      </c>
      <c r="N370">
        <v>2.4262999999999999</v>
      </c>
      <c r="O370">
        <v>98.291666669999998</v>
      </c>
      <c r="P370">
        <v>30.315130790000001</v>
      </c>
      <c r="Q370">
        <v>5.0803484000000003E-2</v>
      </c>
      <c r="R370" t="s">
        <v>1014</v>
      </c>
      <c r="S370">
        <v>15.645833330000002</v>
      </c>
    </row>
    <row r="371" spans="1:19" x14ac:dyDescent="0.25">
      <c r="A371" t="s">
        <v>93</v>
      </c>
      <c r="B371" t="s">
        <v>1013</v>
      </c>
      <c r="C371">
        <v>6</v>
      </c>
      <c r="D371" t="s">
        <v>66</v>
      </c>
      <c r="E371" t="s">
        <v>95</v>
      </c>
      <c r="F371" t="s">
        <v>104</v>
      </c>
      <c r="G371" t="s">
        <v>103</v>
      </c>
      <c r="H371" t="s">
        <v>238</v>
      </c>
      <c r="J371">
        <v>0</v>
      </c>
      <c r="K371">
        <v>2</v>
      </c>
      <c r="L371">
        <v>113.9375</v>
      </c>
      <c r="M371">
        <v>33.375507550000002</v>
      </c>
      <c r="N371">
        <v>2.4262999999999999</v>
      </c>
      <c r="O371">
        <v>87.5</v>
      </c>
      <c r="P371">
        <v>29.478311600000001</v>
      </c>
      <c r="Q371">
        <v>3.0797751000000002E-2</v>
      </c>
      <c r="R371" t="s">
        <v>1014</v>
      </c>
      <c r="S371">
        <v>26.4375</v>
      </c>
    </row>
    <row r="372" spans="1:19" x14ac:dyDescent="0.25">
      <c r="A372" t="s">
        <v>93</v>
      </c>
      <c r="B372" t="s">
        <v>1013</v>
      </c>
      <c r="C372">
        <v>6</v>
      </c>
      <c r="D372" t="s">
        <v>66</v>
      </c>
      <c r="E372" t="s">
        <v>95</v>
      </c>
      <c r="F372" t="s">
        <v>104</v>
      </c>
      <c r="G372" t="s">
        <v>103</v>
      </c>
      <c r="H372" t="s">
        <v>246</v>
      </c>
      <c r="J372">
        <v>0</v>
      </c>
      <c r="K372">
        <v>1</v>
      </c>
      <c r="L372">
        <v>113.9375</v>
      </c>
      <c r="M372">
        <v>33.375507550000002</v>
      </c>
      <c r="N372">
        <v>2.4262999999999999</v>
      </c>
      <c r="O372">
        <v>120.25</v>
      </c>
      <c r="P372">
        <v>30.670450110000001</v>
      </c>
      <c r="Q372">
        <v>0.91037498500000003</v>
      </c>
      <c r="R372" t="s">
        <v>1014</v>
      </c>
      <c r="S372">
        <v>-6.3125</v>
      </c>
    </row>
    <row r="373" spans="1:19" x14ac:dyDescent="0.25">
      <c r="A373" t="s">
        <v>67</v>
      </c>
      <c r="B373" t="s">
        <v>820</v>
      </c>
      <c r="C373">
        <v>10</v>
      </c>
      <c r="D373" t="s">
        <v>11</v>
      </c>
      <c r="E373" t="s">
        <v>94</v>
      </c>
      <c r="F373" t="s">
        <v>113</v>
      </c>
      <c r="G373" t="s">
        <v>121</v>
      </c>
      <c r="H373" t="s">
        <v>113</v>
      </c>
      <c r="J373">
        <v>0</v>
      </c>
      <c r="K373">
        <v>2</v>
      </c>
      <c r="L373">
        <v>83.757575759999995</v>
      </c>
      <c r="M373">
        <v>22.60997987</v>
      </c>
      <c r="N373">
        <v>0.72884000000000004</v>
      </c>
      <c r="O373">
        <v>83.757575759999995</v>
      </c>
      <c r="P373">
        <v>22.60997987</v>
      </c>
      <c r="Q373">
        <v>0.72884000000000004</v>
      </c>
      <c r="R373" t="s">
        <v>1015</v>
      </c>
      <c r="S373">
        <v>0</v>
      </c>
    </row>
    <row r="374" spans="1:19" x14ac:dyDescent="0.25">
      <c r="A374" t="s">
        <v>67</v>
      </c>
      <c r="B374" t="s">
        <v>820</v>
      </c>
      <c r="C374">
        <v>10</v>
      </c>
      <c r="D374" t="s">
        <v>11</v>
      </c>
      <c r="E374" t="s">
        <v>94</v>
      </c>
      <c r="F374" t="s">
        <v>113</v>
      </c>
      <c r="G374" t="s">
        <v>121</v>
      </c>
      <c r="H374" t="s">
        <v>248</v>
      </c>
      <c r="J374">
        <v>0</v>
      </c>
      <c r="K374">
        <v>1</v>
      </c>
      <c r="L374">
        <v>83.757575759999995</v>
      </c>
      <c r="M374">
        <v>22.60997987</v>
      </c>
      <c r="N374">
        <v>0.72884000000000004</v>
      </c>
      <c r="O374">
        <v>83.92307692</v>
      </c>
      <c r="P374">
        <v>44.319135699999997</v>
      </c>
      <c r="Q374">
        <v>5.9548609999999997E-3</v>
      </c>
      <c r="R374" t="s">
        <v>1015</v>
      </c>
      <c r="S374">
        <v>0.16550116000000514</v>
      </c>
    </row>
    <row r="375" spans="1:19" x14ac:dyDescent="0.25">
      <c r="A375" t="s">
        <v>67</v>
      </c>
      <c r="B375" t="s">
        <v>821</v>
      </c>
      <c r="C375">
        <v>10</v>
      </c>
      <c r="D375" t="s">
        <v>11</v>
      </c>
      <c r="E375" t="s">
        <v>94</v>
      </c>
      <c r="F375" t="s">
        <v>103</v>
      </c>
      <c r="G375" t="s">
        <v>121</v>
      </c>
      <c r="H375" t="s">
        <v>103</v>
      </c>
      <c r="J375">
        <v>0</v>
      </c>
      <c r="K375">
        <v>1</v>
      </c>
      <c r="L375">
        <v>98.291666669999998</v>
      </c>
      <c r="M375">
        <v>30.315130790000001</v>
      </c>
      <c r="N375">
        <v>5.0803484000000003E-2</v>
      </c>
      <c r="O375">
        <v>98.291666669999998</v>
      </c>
      <c r="P375">
        <v>30.315130790000001</v>
      </c>
      <c r="Q375">
        <v>5.0803484000000003E-2</v>
      </c>
      <c r="R375" t="s">
        <v>1015</v>
      </c>
      <c r="S375">
        <v>0</v>
      </c>
    </row>
    <row r="376" spans="1:19" x14ac:dyDescent="0.25">
      <c r="A376" t="s">
        <v>67</v>
      </c>
      <c r="B376" t="s">
        <v>822</v>
      </c>
      <c r="C376">
        <v>10</v>
      </c>
      <c r="D376" t="s">
        <v>11</v>
      </c>
      <c r="E376" t="s">
        <v>94</v>
      </c>
      <c r="F376" t="s">
        <v>112</v>
      </c>
      <c r="G376" t="s">
        <v>121</v>
      </c>
      <c r="H376" t="s">
        <v>235</v>
      </c>
      <c r="J376">
        <v>0</v>
      </c>
      <c r="K376">
        <v>1</v>
      </c>
      <c r="L376">
        <v>65.09375</v>
      </c>
      <c r="M376">
        <v>37.895352600000002</v>
      </c>
      <c r="N376">
        <v>2.2882677779999998</v>
      </c>
      <c r="O376">
        <v>132.27272730000001</v>
      </c>
      <c r="P376">
        <v>20.180448590000001</v>
      </c>
      <c r="Q376">
        <v>3.7813451999999997E-2</v>
      </c>
      <c r="R376" t="s">
        <v>1015</v>
      </c>
      <c r="S376">
        <v>67.178977300000014</v>
      </c>
    </row>
    <row r="377" spans="1:19" x14ac:dyDescent="0.25">
      <c r="A377" t="s">
        <v>67</v>
      </c>
      <c r="B377" t="s">
        <v>822</v>
      </c>
      <c r="C377">
        <v>10</v>
      </c>
      <c r="D377" t="s">
        <v>11</v>
      </c>
      <c r="E377" t="s">
        <v>94</v>
      </c>
      <c r="F377" t="s">
        <v>112</v>
      </c>
      <c r="G377" t="s">
        <v>121</v>
      </c>
      <c r="H377" t="s">
        <v>248</v>
      </c>
      <c r="J377">
        <v>0</v>
      </c>
      <c r="K377">
        <v>2</v>
      </c>
      <c r="L377">
        <v>65.09375</v>
      </c>
      <c r="M377">
        <v>37.895352600000002</v>
      </c>
      <c r="N377">
        <v>2.2882677779999998</v>
      </c>
      <c r="O377">
        <v>83.92307692</v>
      </c>
      <c r="P377">
        <v>44.319135699999997</v>
      </c>
      <c r="Q377">
        <v>5.9548609999999997E-3</v>
      </c>
      <c r="R377" t="s">
        <v>1015</v>
      </c>
      <c r="S377">
        <v>18.82932692</v>
      </c>
    </row>
    <row r="378" spans="1:19" x14ac:dyDescent="0.25">
      <c r="A378" t="s">
        <v>68</v>
      </c>
      <c r="B378" t="s">
        <v>823</v>
      </c>
      <c r="C378">
        <v>10</v>
      </c>
      <c r="D378" t="s">
        <v>15</v>
      </c>
      <c r="E378" t="s">
        <v>95</v>
      </c>
      <c r="F378" t="s">
        <v>113</v>
      </c>
      <c r="G378" t="s">
        <v>121</v>
      </c>
      <c r="H378" t="s">
        <v>113</v>
      </c>
      <c r="J378">
        <v>0</v>
      </c>
      <c r="K378">
        <v>1</v>
      </c>
      <c r="L378">
        <v>83.757575759999995</v>
      </c>
      <c r="M378">
        <v>22.60997987</v>
      </c>
      <c r="N378">
        <v>0.72884000000000004</v>
      </c>
      <c r="O378">
        <v>83.757575759999995</v>
      </c>
      <c r="P378">
        <v>22.60997987</v>
      </c>
      <c r="Q378">
        <v>0.72884000000000004</v>
      </c>
      <c r="R378" t="s">
        <v>1015</v>
      </c>
      <c r="S378">
        <v>0</v>
      </c>
    </row>
    <row r="379" spans="1:19" x14ac:dyDescent="0.25">
      <c r="A379" t="s">
        <v>68</v>
      </c>
      <c r="B379" t="s">
        <v>824</v>
      </c>
      <c r="C379">
        <v>10</v>
      </c>
      <c r="D379" t="s">
        <v>15</v>
      </c>
      <c r="E379" t="s">
        <v>95</v>
      </c>
      <c r="F379" t="s">
        <v>110</v>
      </c>
      <c r="G379" t="s">
        <v>113</v>
      </c>
      <c r="H379" t="s">
        <v>113</v>
      </c>
      <c r="J379">
        <v>0</v>
      </c>
      <c r="K379">
        <v>2</v>
      </c>
      <c r="L379">
        <v>73.260869569999997</v>
      </c>
      <c r="M379">
        <v>34.453830549999999</v>
      </c>
      <c r="N379">
        <v>1.058333333</v>
      </c>
      <c r="O379">
        <v>83.757575759999995</v>
      </c>
      <c r="P379">
        <v>22.60997987</v>
      </c>
      <c r="Q379">
        <v>0.72884000000000004</v>
      </c>
      <c r="R379" t="s">
        <v>1015</v>
      </c>
      <c r="S379">
        <v>10.496706189999998</v>
      </c>
    </row>
    <row r="380" spans="1:19" x14ac:dyDescent="0.25">
      <c r="A380" t="s">
        <v>68</v>
      </c>
      <c r="B380" t="s">
        <v>825</v>
      </c>
      <c r="C380">
        <v>10</v>
      </c>
      <c r="D380" t="s">
        <v>15</v>
      </c>
      <c r="E380" t="s">
        <v>95</v>
      </c>
      <c r="F380" t="s">
        <v>111</v>
      </c>
      <c r="G380" t="s">
        <v>121</v>
      </c>
      <c r="H380" t="s">
        <v>239</v>
      </c>
      <c r="J380">
        <v>0</v>
      </c>
      <c r="K380">
        <v>1</v>
      </c>
      <c r="L380">
        <v>94.97142857</v>
      </c>
      <c r="M380">
        <v>24.31591813</v>
      </c>
      <c r="N380">
        <v>0.122951111</v>
      </c>
      <c r="O380">
        <v>100.45454549999999</v>
      </c>
      <c r="P380">
        <v>26.754810689999999</v>
      </c>
      <c r="Q380">
        <v>0.75829999999999997</v>
      </c>
      <c r="R380" t="s">
        <v>1015</v>
      </c>
      <c r="S380">
        <v>5.4831169299999942</v>
      </c>
    </row>
    <row r="381" spans="1:19" x14ac:dyDescent="0.25">
      <c r="A381" t="s">
        <v>68</v>
      </c>
      <c r="B381" t="s">
        <v>826</v>
      </c>
      <c r="C381">
        <v>10</v>
      </c>
      <c r="D381" t="s">
        <v>15</v>
      </c>
      <c r="E381" t="s">
        <v>95</v>
      </c>
      <c r="F381" t="s">
        <v>104</v>
      </c>
      <c r="G381" t="s">
        <v>121</v>
      </c>
      <c r="H381" t="s">
        <v>114</v>
      </c>
      <c r="I381" t="s">
        <v>161</v>
      </c>
      <c r="J381">
        <v>1</v>
      </c>
      <c r="K381">
        <v>0</v>
      </c>
      <c r="L381">
        <v>113.9375</v>
      </c>
      <c r="M381">
        <v>33.375507550000002</v>
      </c>
      <c r="N381">
        <v>2.4262999999999999</v>
      </c>
      <c r="O381" t="s">
        <v>114</v>
      </c>
      <c r="P381" t="s">
        <v>114</v>
      </c>
      <c r="Q381" t="s">
        <v>114</v>
      </c>
      <c r="R381" t="s">
        <v>1015</v>
      </c>
      <c r="S381" t="s">
        <v>114</v>
      </c>
    </row>
    <row r="382" spans="1:19" x14ac:dyDescent="0.25">
      <c r="A382" t="s">
        <v>69</v>
      </c>
      <c r="B382" t="s">
        <v>827</v>
      </c>
      <c r="C382">
        <v>10</v>
      </c>
      <c r="D382" t="s">
        <v>17</v>
      </c>
      <c r="E382" t="s">
        <v>95</v>
      </c>
      <c r="F382" t="s">
        <v>102</v>
      </c>
      <c r="G382" t="s">
        <v>102</v>
      </c>
      <c r="H382" t="s">
        <v>102</v>
      </c>
      <c r="J382">
        <v>0</v>
      </c>
      <c r="K382">
        <v>1</v>
      </c>
      <c r="L382">
        <v>84.740740740000007</v>
      </c>
      <c r="M382">
        <v>29.167014049999999</v>
      </c>
      <c r="N382">
        <v>1.1169849999999999</v>
      </c>
      <c r="O382">
        <v>84.740740740000007</v>
      </c>
      <c r="P382">
        <v>29.167014049999999</v>
      </c>
      <c r="Q382">
        <v>1.1169849999999999</v>
      </c>
      <c r="R382" t="s">
        <v>1015</v>
      </c>
      <c r="S382">
        <v>0</v>
      </c>
    </row>
    <row r="383" spans="1:19" x14ac:dyDescent="0.25">
      <c r="A383" t="s">
        <v>69</v>
      </c>
      <c r="B383" t="s">
        <v>827</v>
      </c>
      <c r="C383">
        <v>10</v>
      </c>
      <c r="D383" t="s">
        <v>17</v>
      </c>
      <c r="E383" t="s">
        <v>95</v>
      </c>
      <c r="F383" t="s">
        <v>102</v>
      </c>
      <c r="G383" t="s">
        <v>102</v>
      </c>
      <c r="H383" t="s">
        <v>235</v>
      </c>
      <c r="J383">
        <v>0</v>
      </c>
      <c r="K383">
        <v>2</v>
      </c>
      <c r="L383">
        <v>84.740740740000007</v>
      </c>
      <c r="M383">
        <v>29.167014049999999</v>
      </c>
      <c r="N383">
        <v>1.1169849999999999</v>
      </c>
      <c r="O383">
        <v>132.27272730000001</v>
      </c>
      <c r="P383">
        <v>20.180448590000001</v>
      </c>
      <c r="Q383">
        <v>3.7813451999999997E-2</v>
      </c>
      <c r="R383" t="s">
        <v>1015</v>
      </c>
      <c r="S383">
        <v>47.53198656</v>
      </c>
    </row>
    <row r="384" spans="1:19" x14ac:dyDescent="0.25">
      <c r="A384" t="s">
        <v>69</v>
      </c>
      <c r="B384" t="s">
        <v>828</v>
      </c>
      <c r="C384">
        <v>10</v>
      </c>
      <c r="D384" t="s">
        <v>17</v>
      </c>
      <c r="E384" t="s">
        <v>95</v>
      </c>
      <c r="F384" t="s">
        <v>113</v>
      </c>
      <c r="G384" t="s">
        <v>113</v>
      </c>
      <c r="H384" t="s">
        <v>113</v>
      </c>
      <c r="J384">
        <v>0</v>
      </c>
      <c r="K384">
        <v>1</v>
      </c>
      <c r="L384">
        <v>83.757575759999995</v>
      </c>
      <c r="M384">
        <v>22.60997987</v>
      </c>
      <c r="N384">
        <v>0.72884000000000004</v>
      </c>
      <c r="O384">
        <v>83.757575759999995</v>
      </c>
      <c r="P384">
        <v>22.60997987</v>
      </c>
      <c r="Q384">
        <v>0.72884000000000004</v>
      </c>
      <c r="R384" t="s">
        <v>1015</v>
      </c>
      <c r="S384">
        <v>0</v>
      </c>
    </row>
    <row r="385" spans="1:19" x14ac:dyDescent="0.25">
      <c r="A385" t="s">
        <v>69</v>
      </c>
      <c r="B385" t="s">
        <v>828</v>
      </c>
      <c r="C385">
        <v>10</v>
      </c>
      <c r="D385" t="s">
        <v>17</v>
      </c>
      <c r="E385" t="s">
        <v>95</v>
      </c>
      <c r="F385" t="s">
        <v>113</v>
      </c>
      <c r="G385" t="s">
        <v>113</v>
      </c>
      <c r="H385" t="s">
        <v>235</v>
      </c>
      <c r="J385">
        <v>0</v>
      </c>
      <c r="K385">
        <v>2</v>
      </c>
      <c r="L385">
        <v>83.757575759999995</v>
      </c>
      <c r="M385">
        <v>22.60997987</v>
      </c>
      <c r="N385">
        <v>0.72884000000000004</v>
      </c>
      <c r="O385">
        <v>132.27272730000001</v>
      </c>
      <c r="P385">
        <v>20.180448590000001</v>
      </c>
      <c r="Q385">
        <v>3.7813451999999997E-2</v>
      </c>
      <c r="R385" t="s">
        <v>1015</v>
      </c>
      <c r="S385">
        <v>48.515151540000019</v>
      </c>
    </row>
    <row r="386" spans="1:19" x14ac:dyDescent="0.25">
      <c r="A386" t="s">
        <v>69</v>
      </c>
      <c r="B386" t="s">
        <v>829</v>
      </c>
      <c r="C386">
        <v>10</v>
      </c>
      <c r="D386" t="s">
        <v>17</v>
      </c>
      <c r="E386" t="s">
        <v>95</v>
      </c>
      <c r="F386" t="s">
        <v>103</v>
      </c>
      <c r="G386" t="s">
        <v>103</v>
      </c>
      <c r="H386" t="s">
        <v>103</v>
      </c>
      <c r="J386">
        <v>0</v>
      </c>
      <c r="K386">
        <v>1</v>
      </c>
      <c r="L386">
        <v>98.291666669999998</v>
      </c>
      <c r="M386">
        <v>30.315130790000001</v>
      </c>
      <c r="N386">
        <v>5.0803484000000003E-2</v>
      </c>
      <c r="O386">
        <v>98.291666669999998</v>
      </c>
      <c r="P386">
        <v>30.315130790000001</v>
      </c>
      <c r="Q386">
        <v>5.0803484000000003E-2</v>
      </c>
      <c r="R386" t="s">
        <v>1015</v>
      </c>
      <c r="S386">
        <v>0</v>
      </c>
    </row>
    <row r="387" spans="1:19" x14ac:dyDescent="0.25">
      <c r="A387" t="s">
        <v>69</v>
      </c>
      <c r="B387" t="s">
        <v>829</v>
      </c>
      <c r="C387">
        <v>10</v>
      </c>
      <c r="D387" t="s">
        <v>17</v>
      </c>
      <c r="E387" t="s">
        <v>95</v>
      </c>
      <c r="F387" t="s">
        <v>103</v>
      </c>
      <c r="G387" t="s">
        <v>103</v>
      </c>
      <c r="H387" t="s">
        <v>241</v>
      </c>
      <c r="J387">
        <v>0</v>
      </c>
      <c r="K387">
        <v>1</v>
      </c>
      <c r="L387">
        <v>98.291666669999998</v>
      </c>
      <c r="M387">
        <v>30.315130790000001</v>
      </c>
      <c r="N387">
        <v>5.0803484000000003E-2</v>
      </c>
      <c r="O387">
        <v>114</v>
      </c>
      <c r="P387">
        <v>30.43077242</v>
      </c>
      <c r="Q387">
        <v>0.53383111100000002</v>
      </c>
      <c r="R387" t="s">
        <v>1015</v>
      </c>
      <c r="S387">
        <v>15.708333330000002</v>
      </c>
    </row>
    <row r="388" spans="1:19" x14ac:dyDescent="0.25">
      <c r="A388" t="s">
        <v>69</v>
      </c>
      <c r="B388" t="s">
        <v>829</v>
      </c>
      <c r="C388">
        <v>10</v>
      </c>
      <c r="D388" t="s">
        <v>17</v>
      </c>
      <c r="E388" t="s">
        <v>95</v>
      </c>
      <c r="F388" t="s">
        <v>103</v>
      </c>
      <c r="G388" t="s">
        <v>103</v>
      </c>
      <c r="H388" t="s">
        <v>235</v>
      </c>
      <c r="J388">
        <v>0</v>
      </c>
      <c r="K388">
        <v>1</v>
      </c>
      <c r="L388">
        <v>98.291666669999998</v>
      </c>
      <c r="M388">
        <v>30.315130790000001</v>
      </c>
      <c r="N388">
        <v>5.0803484000000003E-2</v>
      </c>
      <c r="O388">
        <v>132.27272730000001</v>
      </c>
      <c r="P388">
        <v>20.180448590000001</v>
      </c>
      <c r="Q388">
        <v>3.7813451999999997E-2</v>
      </c>
      <c r="R388" t="s">
        <v>1015</v>
      </c>
      <c r="S388">
        <v>33.981060630000016</v>
      </c>
    </row>
    <row r="389" spans="1:19" x14ac:dyDescent="0.25">
      <c r="A389" t="s">
        <v>69</v>
      </c>
      <c r="B389" t="s">
        <v>830</v>
      </c>
      <c r="C389">
        <v>10</v>
      </c>
      <c r="D389" t="s">
        <v>17</v>
      </c>
      <c r="E389" t="s">
        <v>95</v>
      </c>
      <c r="F389" t="s">
        <v>111</v>
      </c>
      <c r="G389" t="s">
        <v>121</v>
      </c>
      <c r="H389" t="s">
        <v>235</v>
      </c>
      <c r="J389">
        <v>0</v>
      </c>
      <c r="K389">
        <v>3</v>
      </c>
      <c r="L389">
        <v>94.97142857</v>
      </c>
      <c r="M389">
        <v>24.31591813</v>
      </c>
      <c r="N389">
        <v>0.122951111</v>
      </c>
      <c r="O389">
        <v>132.27272730000001</v>
      </c>
      <c r="P389">
        <v>20.180448590000001</v>
      </c>
      <c r="Q389">
        <v>3.7813451999999997E-2</v>
      </c>
      <c r="R389" t="s">
        <v>1015</v>
      </c>
      <c r="S389">
        <v>37.301298730000013</v>
      </c>
    </row>
    <row r="390" spans="1:19" x14ac:dyDescent="0.25">
      <c r="A390" t="s">
        <v>69</v>
      </c>
      <c r="B390" t="s">
        <v>831</v>
      </c>
      <c r="C390">
        <v>10</v>
      </c>
      <c r="D390" t="s">
        <v>17</v>
      </c>
      <c r="E390" t="s">
        <v>95</v>
      </c>
      <c r="F390" t="s">
        <v>112</v>
      </c>
      <c r="G390" t="s">
        <v>121</v>
      </c>
      <c r="H390" t="s">
        <v>235</v>
      </c>
      <c r="I390" t="s">
        <v>252</v>
      </c>
      <c r="J390">
        <v>1</v>
      </c>
      <c r="K390">
        <v>2</v>
      </c>
      <c r="L390">
        <v>65.09375</v>
      </c>
      <c r="M390">
        <v>37.895352600000002</v>
      </c>
      <c r="N390">
        <v>2.2882677779999998</v>
      </c>
      <c r="O390">
        <v>132.27272730000001</v>
      </c>
      <c r="P390">
        <v>20.180448590000001</v>
      </c>
      <c r="Q390">
        <v>3.7813451999999997E-2</v>
      </c>
      <c r="R390" t="s">
        <v>1015</v>
      </c>
      <c r="S390">
        <v>67.178977300000014</v>
      </c>
    </row>
    <row r="391" spans="1:19" x14ac:dyDescent="0.25">
      <c r="A391" t="s">
        <v>70</v>
      </c>
      <c r="B391" t="s">
        <v>832</v>
      </c>
      <c r="C391">
        <v>10</v>
      </c>
      <c r="D391" t="s">
        <v>19</v>
      </c>
      <c r="E391" t="s">
        <v>95</v>
      </c>
      <c r="F391" t="s">
        <v>102</v>
      </c>
      <c r="G391" t="s">
        <v>121</v>
      </c>
      <c r="H391" t="s">
        <v>102</v>
      </c>
      <c r="J391">
        <v>0</v>
      </c>
      <c r="K391">
        <v>1</v>
      </c>
      <c r="L391">
        <v>84.740740740000007</v>
      </c>
      <c r="M391">
        <v>29.167014049999999</v>
      </c>
      <c r="N391">
        <v>1.1169849999999999</v>
      </c>
      <c r="O391">
        <v>84.740740740000007</v>
      </c>
      <c r="P391">
        <v>29.167014049999999</v>
      </c>
      <c r="Q391">
        <v>1.1169849999999999</v>
      </c>
      <c r="R391" t="s">
        <v>1015</v>
      </c>
      <c r="S391">
        <v>0</v>
      </c>
    </row>
    <row r="392" spans="1:19" x14ac:dyDescent="0.25">
      <c r="A392" t="s">
        <v>70</v>
      </c>
      <c r="B392" t="s">
        <v>832</v>
      </c>
      <c r="C392">
        <v>10</v>
      </c>
      <c r="D392" t="s">
        <v>19</v>
      </c>
      <c r="E392" t="s">
        <v>95</v>
      </c>
      <c r="F392" t="s">
        <v>102</v>
      </c>
      <c r="G392" t="s">
        <v>121</v>
      </c>
      <c r="H392" t="s">
        <v>236</v>
      </c>
      <c r="J392">
        <v>0</v>
      </c>
      <c r="K392">
        <v>1</v>
      </c>
      <c r="L392">
        <v>84.740740740000007</v>
      </c>
      <c r="M392">
        <v>29.167014049999999</v>
      </c>
      <c r="N392">
        <v>1.1169849999999999</v>
      </c>
      <c r="O392">
        <v>113.33333330000001</v>
      </c>
      <c r="P392">
        <v>26.41632581</v>
      </c>
      <c r="Q392">
        <v>1.6844570160000001</v>
      </c>
      <c r="R392" t="s">
        <v>1015</v>
      </c>
      <c r="S392">
        <v>28.59259256</v>
      </c>
    </row>
    <row r="393" spans="1:19" x14ac:dyDescent="0.25">
      <c r="A393" t="s">
        <v>70</v>
      </c>
      <c r="B393" t="s">
        <v>833</v>
      </c>
      <c r="C393">
        <v>10</v>
      </c>
      <c r="D393" t="s">
        <v>19</v>
      </c>
      <c r="E393" t="s">
        <v>95</v>
      </c>
      <c r="F393" t="s">
        <v>105</v>
      </c>
      <c r="G393" t="s">
        <v>121</v>
      </c>
      <c r="H393" t="s">
        <v>235</v>
      </c>
      <c r="J393">
        <v>0</v>
      </c>
      <c r="K393">
        <v>1</v>
      </c>
      <c r="L393">
        <v>67.5</v>
      </c>
      <c r="M393">
        <v>47.937235809999997</v>
      </c>
      <c r="N393">
        <v>0.41599678000000001</v>
      </c>
      <c r="O393">
        <v>132.27272730000001</v>
      </c>
      <c r="P393">
        <v>20.180448590000001</v>
      </c>
      <c r="Q393">
        <v>3.7813451999999997E-2</v>
      </c>
      <c r="R393" t="s">
        <v>1015</v>
      </c>
      <c r="S393">
        <v>64.772727300000014</v>
      </c>
    </row>
    <row r="394" spans="1:19" x14ac:dyDescent="0.25">
      <c r="A394" t="s">
        <v>70</v>
      </c>
      <c r="B394" t="s">
        <v>833</v>
      </c>
      <c r="C394">
        <v>10</v>
      </c>
      <c r="D394" t="s">
        <v>19</v>
      </c>
      <c r="E394" t="s">
        <v>95</v>
      </c>
      <c r="F394" t="s">
        <v>105</v>
      </c>
      <c r="G394" t="s">
        <v>121</v>
      </c>
      <c r="H394" t="s">
        <v>236</v>
      </c>
      <c r="J394">
        <v>0</v>
      </c>
      <c r="K394">
        <v>2</v>
      </c>
      <c r="L394">
        <v>67.5</v>
      </c>
      <c r="M394">
        <v>47.937235809999997</v>
      </c>
      <c r="N394">
        <v>0.41599678000000001</v>
      </c>
      <c r="O394">
        <v>113.33333330000001</v>
      </c>
      <c r="P394">
        <v>26.41632581</v>
      </c>
      <c r="Q394">
        <v>1.6844570160000001</v>
      </c>
      <c r="R394" t="s">
        <v>1015</v>
      </c>
      <c r="S394">
        <v>45.833333300000007</v>
      </c>
    </row>
    <row r="395" spans="1:19" x14ac:dyDescent="0.25">
      <c r="A395" t="s">
        <v>70</v>
      </c>
      <c r="B395" t="s">
        <v>833</v>
      </c>
      <c r="C395">
        <v>10</v>
      </c>
      <c r="D395" t="s">
        <v>19</v>
      </c>
      <c r="E395" t="s">
        <v>95</v>
      </c>
      <c r="F395" t="s">
        <v>105</v>
      </c>
      <c r="G395" t="s">
        <v>121</v>
      </c>
      <c r="H395" t="s">
        <v>162</v>
      </c>
      <c r="J395">
        <v>0</v>
      </c>
      <c r="K395">
        <v>1</v>
      </c>
      <c r="L395">
        <v>67.5</v>
      </c>
      <c r="M395">
        <v>47.937235809999997</v>
      </c>
      <c r="N395">
        <v>0.41599678000000001</v>
      </c>
      <c r="O395">
        <v>82.53846154</v>
      </c>
      <c r="P395">
        <v>35.660530039999998</v>
      </c>
      <c r="Q395">
        <v>3.3754499999999998</v>
      </c>
      <c r="R395" t="s">
        <v>1015</v>
      </c>
      <c r="S395">
        <v>15.03846154</v>
      </c>
    </row>
    <row r="396" spans="1:19" x14ac:dyDescent="0.25">
      <c r="A396" t="s">
        <v>70</v>
      </c>
      <c r="B396" t="s">
        <v>834</v>
      </c>
      <c r="C396">
        <v>10</v>
      </c>
      <c r="D396" t="s">
        <v>19</v>
      </c>
      <c r="E396" t="s">
        <v>95</v>
      </c>
      <c r="F396" t="s">
        <v>111</v>
      </c>
      <c r="G396" t="s">
        <v>121</v>
      </c>
      <c r="H396" t="s">
        <v>235</v>
      </c>
      <c r="J396">
        <v>0</v>
      </c>
      <c r="K396">
        <v>1</v>
      </c>
      <c r="L396">
        <v>94.97142857</v>
      </c>
      <c r="M396">
        <v>24.31591813</v>
      </c>
      <c r="N396">
        <v>0.122951111</v>
      </c>
      <c r="O396">
        <v>132.27272730000001</v>
      </c>
      <c r="P396">
        <v>20.180448590000001</v>
      </c>
      <c r="Q396">
        <v>3.7813451999999997E-2</v>
      </c>
      <c r="R396" t="s">
        <v>1015</v>
      </c>
      <c r="S396">
        <v>37.301298730000013</v>
      </c>
    </row>
    <row r="397" spans="1:19" x14ac:dyDescent="0.25">
      <c r="A397" t="s">
        <v>71</v>
      </c>
      <c r="B397" t="s">
        <v>835</v>
      </c>
      <c r="C397">
        <v>10</v>
      </c>
      <c r="D397" t="s">
        <v>21</v>
      </c>
      <c r="E397" t="s">
        <v>94</v>
      </c>
      <c r="F397" t="s">
        <v>102</v>
      </c>
      <c r="G397" t="s">
        <v>121</v>
      </c>
      <c r="H397" t="s">
        <v>114</v>
      </c>
      <c r="J397">
        <v>0</v>
      </c>
      <c r="K397" t="s">
        <v>114</v>
      </c>
      <c r="L397">
        <v>84.740740740000007</v>
      </c>
      <c r="M397">
        <v>29.167014049999999</v>
      </c>
      <c r="N397">
        <v>1.1169849999999999</v>
      </c>
      <c r="O397" t="s">
        <v>114</v>
      </c>
      <c r="P397" t="s">
        <v>114</v>
      </c>
      <c r="Q397" t="s">
        <v>114</v>
      </c>
      <c r="R397" t="s">
        <v>1015</v>
      </c>
      <c r="S397" t="s">
        <v>114</v>
      </c>
    </row>
    <row r="398" spans="1:19" x14ac:dyDescent="0.25">
      <c r="A398" t="s">
        <v>71</v>
      </c>
      <c r="B398" t="s">
        <v>836</v>
      </c>
      <c r="C398">
        <v>10</v>
      </c>
      <c r="D398" t="s">
        <v>21</v>
      </c>
      <c r="E398" t="s">
        <v>94</v>
      </c>
      <c r="F398" t="s">
        <v>111</v>
      </c>
      <c r="G398" t="s">
        <v>111</v>
      </c>
      <c r="H398" t="s">
        <v>111</v>
      </c>
      <c r="J398">
        <v>0</v>
      </c>
      <c r="K398">
        <v>1</v>
      </c>
      <c r="L398">
        <v>94.97142857</v>
      </c>
      <c r="M398">
        <v>24.31591813</v>
      </c>
      <c r="N398">
        <v>0.122951111</v>
      </c>
      <c r="O398">
        <v>94.97142857</v>
      </c>
      <c r="P398">
        <v>24.31591813</v>
      </c>
      <c r="Q398">
        <v>0.122951111</v>
      </c>
      <c r="R398" t="s">
        <v>1015</v>
      </c>
      <c r="S398">
        <v>0</v>
      </c>
    </row>
    <row r="399" spans="1:19" x14ac:dyDescent="0.25">
      <c r="A399" t="s">
        <v>71</v>
      </c>
      <c r="B399" t="s">
        <v>836</v>
      </c>
      <c r="C399">
        <v>10</v>
      </c>
      <c r="D399" t="s">
        <v>21</v>
      </c>
      <c r="E399" t="s">
        <v>94</v>
      </c>
      <c r="F399" t="s">
        <v>111</v>
      </c>
      <c r="G399" t="s">
        <v>111</v>
      </c>
      <c r="H399" t="s">
        <v>250</v>
      </c>
      <c r="J399">
        <v>0</v>
      </c>
      <c r="K399">
        <v>1</v>
      </c>
      <c r="L399">
        <v>94.97142857</v>
      </c>
      <c r="M399">
        <v>24.31591813</v>
      </c>
      <c r="N399">
        <v>0.122951111</v>
      </c>
      <c r="O399">
        <v>157.14285709999999</v>
      </c>
      <c r="P399">
        <v>28.969081320000001</v>
      </c>
      <c r="Q399">
        <v>0.55164111100000002</v>
      </c>
      <c r="R399" t="s">
        <v>1015</v>
      </c>
      <c r="S399">
        <v>62.171428529999986</v>
      </c>
    </row>
    <row r="400" spans="1:19" x14ac:dyDescent="0.25">
      <c r="A400" t="s">
        <v>71</v>
      </c>
      <c r="B400" t="s">
        <v>837</v>
      </c>
      <c r="C400">
        <v>10</v>
      </c>
      <c r="D400" t="s">
        <v>21</v>
      </c>
      <c r="E400" t="s">
        <v>94</v>
      </c>
      <c r="F400" t="s">
        <v>104</v>
      </c>
      <c r="G400" t="s">
        <v>104</v>
      </c>
      <c r="H400" t="s">
        <v>104</v>
      </c>
      <c r="J400">
        <v>0</v>
      </c>
      <c r="K400">
        <v>1</v>
      </c>
      <c r="L400">
        <v>113.9375</v>
      </c>
      <c r="M400">
        <v>33.375507550000002</v>
      </c>
      <c r="N400">
        <v>2.4262999999999999</v>
      </c>
      <c r="O400">
        <v>113.9375</v>
      </c>
      <c r="P400">
        <v>33.375507550000002</v>
      </c>
      <c r="Q400">
        <v>2.4262999999999999</v>
      </c>
      <c r="R400" t="s">
        <v>1015</v>
      </c>
      <c r="S400">
        <v>0</v>
      </c>
    </row>
    <row r="401" spans="1:19" x14ac:dyDescent="0.25">
      <c r="A401" t="s">
        <v>72</v>
      </c>
      <c r="B401" t="s">
        <v>838</v>
      </c>
      <c r="C401">
        <v>10</v>
      </c>
      <c r="D401" t="s">
        <v>23</v>
      </c>
      <c r="E401" t="s">
        <v>95</v>
      </c>
      <c r="F401" t="s">
        <v>105</v>
      </c>
      <c r="G401" t="s">
        <v>121</v>
      </c>
      <c r="H401" t="s">
        <v>238</v>
      </c>
      <c r="J401">
        <v>0</v>
      </c>
      <c r="K401">
        <v>1</v>
      </c>
      <c r="L401">
        <v>67.5</v>
      </c>
      <c r="M401">
        <v>47.937235809999997</v>
      </c>
      <c r="N401">
        <v>0.41599678000000001</v>
      </c>
      <c r="O401">
        <v>87.5</v>
      </c>
      <c r="P401">
        <v>29.478311600000001</v>
      </c>
      <c r="Q401">
        <v>3.0797751000000002E-2</v>
      </c>
      <c r="R401" t="s">
        <v>1015</v>
      </c>
      <c r="S401">
        <v>20</v>
      </c>
    </row>
    <row r="402" spans="1:19" x14ac:dyDescent="0.25">
      <c r="A402" t="s">
        <v>72</v>
      </c>
      <c r="B402" t="s">
        <v>839</v>
      </c>
      <c r="C402">
        <v>10</v>
      </c>
      <c r="D402" t="s">
        <v>23</v>
      </c>
      <c r="E402" t="s">
        <v>95</v>
      </c>
      <c r="F402" t="s">
        <v>111</v>
      </c>
      <c r="G402" t="s">
        <v>121</v>
      </c>
      <c r="H402" t="s">
        <v>114</v>
      </c>
      <c r="J402">
        <v>0</v>
      </c>
      <c r="K402">
        <v>0</v>
      </c>
      <c r="L402">
        <v>94.97142857</v>
      </c>
      <c r="M402">
        <v>24.31591813</v>
      </c>
      <c r="N402">
        <v>0.122951111</v>
      </c>
      <c r="O402" t="s">
        <v>114</v>
      </c>
      <c r="P402" t="s">
        <v>114</v>
      </c>
      <c r="Q402" t="s">
        <v>114</v>
      </c>
      <c r="R402" t="s">
        <v>1015</v>
      </c>
      <c r="S402" t="s">
        <v>114</v>
      </c>
    </row>
    <row r="403" spans="1:19" x14ac:dyDescent="0.25">
      <c r="A403" t="s">
        <v>72</v>
      </c>
      <c r="B403" t="s">
        <v>840</v>
      </c>
      <c r="C403">
        <v>10</v>
      </c>
      <c r="D403" t="s">
        <v>23</v>
      </c>
      <c r="E403" t="s">
        <v>95</v>
      </c>
      <c r="F403" t="s">
        <v>104</v>
      </c>
      <c r="G403" t="s">
        <v>104</v>
      </c>
      <c r="H403" t="s">
        <v>104</v>
      </c>
      <c r="J403">
        <v>0</v>
      </c>
      <c r="K403">
        <v>1</v>
      </c>
      <c r="L403">
        <v>113.9375</v>
      </c>
      <c r="M403">
        <v>33.375507550000002</v>
      </c>
      <c r="N403">
        <v>2.4262999999999999</v>
      </c>
      <c r="O403">
        <v>113.9375</v>
      </c>
      <c r="P403">
        <v>33.375507550000002</v>
      </c>
      <c r="Q403">
        <v>2.4262999999999999</v>
      </c>
      <c r="R403" t="s">
        <v>1015</v>
      </c>
      <c r="S403">
        <v>0</v>
      </c>
    </row>
    <row r="404" spans="1:19" x14ac:dyDescent="0.25">
      <c r="A404" t="s">
        <v>72</v>
      </c>
      <c r="B404" t="s">
        <v>840</v>
      </c>
      <c r="C404">
        <v>10</v>
      </c>
      <c r="D404" t="s">
        <v>23</v>
      </c>
      <c r="E404" t="s">
        <v>95</v>
      </c>
      <c r="F404" t="s">
        <v>104</v>
      </c>
      <c r="G404" t="s">
        <v>104</v>
      </c>
      <c r="H404" t="s">
        <v>244</v>
      </c>
      <c r="J404">
        <v>0</v>
      </c>
      <c r="K404">
        <v>1</v>
      </c>
      <c r="L404">
        <v>113.9375</v>
      </c>
      <c r="M404">
        <v>33.375507550000002</v>
      </c>
      <c r="N404">
        <v>2.4262999999999999</v>
      </c>
      <c r="O404">
        <v>75</v>
      </c>
      <c r="P404">
        <v>28.80614499</v>
      </c>
      <c r="Q404">
        <v>2.3860428570000001</v>
      </c>
      <c r="R404" t="s">
        <v>1015</v>
      </c>
      <c r="S404">
        <v>38.9375</v>
      </c>
    </row>
    <row r="405" spans="1:19" x14ac:dyDescent="0.25">
      <c r="A405" t="s">
        <v>72</v>
      </c>
      <c r="B405" t="s">
        <v>841</v>
      </c>
      <c r="C405">
        <v>10</v>
      </c>
      <c r="D405" t="s">
        <v>23</v>
      </c>
      <c r="E405" t="s">
        <v>95</v>
      </c>
      <c r="F405" t="s">
        <v>112</v>
      </c>
      <c r="G405" t="s">
        <v>121</v>
      </c>
      <c r="H405" t="s">
        <v>238</v>
      </c>
      <c r="J405">
        <v>0</v>
      </c>
      <c r="K405">
        <v>1</v>
      </c>
      <c r="L405">
        <v>65.09375</v>
      </c>
      <c r="M405">
        <v>37.895352600000002</v>
      </c>
      <c r="N405">
        <v>2.2882677779999998</v>
      </c>
      <c r="O405">
        <v>87.5</v>
      </c>
      <c r="P405">
        <v>29.478311600000001</v>
      </c>
      <c r="Q405">
        <v>3.0797751000000002E-2</v>
      </c>
      <c r="R405" t="s">
        <v>1015</v>
      </c>
      <c r="S405">
        <v>22.40625</v>
      </c>
    </row>
    <row r="406" spans="1:19" x14ac:dyDescent="0.25">
      <c r="A406" t="s">
        <v>73</v>
      </c>
      <c r="B406" t="s">
        <v>842</v>
      </c>
      <c r="C406">
        <v>10</v>
      </c>
      <c r="D406" t="s">
        <v>25</v>
      </c>
      <c r="E406" t="s">
        <v>94</v>
      </c>
      <c r="F406" t="s">
        <v>105</v>
      </c>
      <c r="G406" t="s">
        <v>112</v>
      </c>
      <c r="H406" t="s">
        <v>112</v>
      </c>
      <c r="J406">
        <v>0</v>
      </c>
      <c r="K406">
        <v>1</v>
      </c>
      <c r="L406">
        <v>67.5</v>
      </c>
      <c r="M406">
        <v>47.937235809999997</v>
      </c>
      <c r="N406">
        <v>0.41599678000000001</v>
      </c>
      <c r="O406">
        <v>65.09375</v>
      </c>
      <c r="P406">
        <v>37.895352600000002</v>
      </c>
      <c r="Q406">
        <v>2.2882677779999998</v>
      </c>
      <c r="R406" t="s">
        <v>1015</v>
      </c>
      <c r="S406">
        <v>2.40625</v>
      </c>
    </row>
    <row r="407" spans="1:19" x14ac:dyDescent="0.25">
      <c r="A407" t="s">
        <v>73</v>
      </c>
      <c r="B407" t="s">
        <v>843</v>
      </c>
      <c r="C407">
        <v>10</v>
      </c>
      <c r="D407" t="s">
        <v>25</v>
      </c>
      <c r="E407" t="s">
        <v>94</v>
      </c>
      <c r="F407" t="s">
        <v>110</v>
      </c>
      <c r="G407" t="s">
        <v>110</v>
      </c>
      <c r="H407" t="s">
        <v>110</v>
      </c>
      <c r="J407">
        <v>0</v>
      </c>
      <c r="K407">
        <v>3</v>
      </c>
      <c r="L407">
        <v>73.260869569999997</v>
      </c>
      <c r="M407">
        <v>34.453830549999999</v>
      </c>
      <c r="N407">
        <v>1.058333333</v>
      </c>
      <c r="O407">
        <v>73.260869569999997</v>
      </c>
      <c r="P407">
        <v>34.453830549999999</v>
      </c>
      <c r="Q407">
        <v>1.058333333</v>
      </c>
      <c r="R407" t="s">
        <v>1015</v>
      </c>
      <c r="S407">
        <v>0</v>
      </c>
    </row>
    <row r="408" spans="1:19" x14ac:dyDescent="0.25">
      <c r="A408" t="s">
        <v>73</v>
      </c>
      <c r="B408" t="s">
        <v>843</v>
      </c>
      <c r="C408">
        <v>10</v>
      </c>
      <c r="D408" t="s">
        <v>25</v>
      </c>
      <c r="E408" t="s">
        <v>94</v>
      </c>
      <c r="F408" t="s">
        <v>110</v>
      </c>
      <c r="G408" t="s">
        <v>110</v>
      </c>
      <c r="H408" t="s">
        <v>251</v>
      </c>
      <c r="J408">
        <v>0</v>
      </c>
      <c r="K408">
        <v>1</v>
      </c>
      <c r="L408">
        <v>73.260869569999997</v>
      </c>
      <c r="M408">
        <v>34.453830549999999</v>
      </c>
      <c r="N408">
        <v>1.058333333</v>
      </c>
      <c r="O408">
        <v>85</v>
      </c>
      <c r="P408">
        <v>37.099157669999997</v>
      </c>
      <c r="Q408">
        <v>0.65291888899999995</v>
      </c>
      <c r="R408" t="s">
        <v>1015</v>
      </c>
      <c r="S408">
        <v>11.739130430000003</v>
      </c>
    </row>
    <row r="409" spans="1:19" x14ac:dyDescent="0.25">
      <c r="A409" t="s">
        <v>73</v>
      </c>
      <c r="B409" t="s">
        <v>843</v>
      </c>
      <c r="C409">
        <v>10</v>
      </c>
      <c r="D409" t="s">
        <v>25</v>
      </c>
      <c r="E409" t="s">
        <v>94</v>
      </c>
      <c r="F409" t="s">
        <v>110</v>
      </c>
      <c r="G409" t="s">
        <v>110</v>
      </c>
      <c r="H409" t="s">
        <v>246</v>
      </c>
      <c r="J409">
        <v>0</v>
      </c>
      <c r="K409">
        <v>1</v>
      </c>
      <c r="L409">
        <v>73.260869569999997</v>
      </c>
      <c r="M409">
        <v>34.453830549999999</v>
      </c>
      <c r="N409">
        <v>1.058333333</v>
      </c>
      <c r="O409">
        <v>120.25</v>
      </c>
      <c r="P409">
        <v>30.670450110000001</v>
      </c>
      <c r="Q409">
        <v>0.91037498500000003</v>
      </c>
      <c r="R409" t="s">
        <v>1015</v>
      </c>
      <c r="S409">
        <v>46.989130430000003</v>
      </c>
    </row>
    <row r="410" spans="1:19" x14ac:dyDescent="0.25">
      <c r="A410" t="s">
        <v>73</v>
      </c>
      <c r="B410" t="s">
        <v>844</v>
      </c>
      <c r="C410">
        <v>10</v>
      </c>
      <c r="D410" t="s">
        <v>25</v>
      </c>
      <c r="E410" t="s">
        <v>94</v>
      </c>
      <c r="F410" t="s">
        <v>104</v>
      </c>
      <c r="G410" t="s">
        <v>104</v>
      </c>
      <c r="H410" t="s">
        <v>104</v>
      </c>
      <c r="J410">
        <v>0</v>
      </c>
      <c r="K410">
        <v>1</v>
      </c>
      <c r="L410">
        <v>113.9375</v>
      </c>
      <c r="M410">
        <v>33.375507550000002</v>
      </c>
      <c r="N410">
        <v>2.4262999999999999</v>
      </c>
      <c r="O410">
        <v>113.9375</v>
      </c>
      <c r="P410">
        <v>33.375507550000002</v>
      </c>
      <c r="Q410">
        <v>2.4262999999999999</v>
      </c>
      <c r="R410" t="s">
        <v>1015</v>
      </c>
      <c r="S410">
        <v>0</v>
      </c>
    </row>
    <row r="411" spans="1:19" x14ac:dyDescent="0.25">
      <c r="A411" t="s">
        <v>73</v>
      </c>
      <c r="B411" t="s">
        <v>845</v>
      </c>
      <c r="C411">
        <v>10</v>
      </c>
      <c r="D411" t="s">
        <v>25</v>
      </c>
      <c r="E411" t="s">
        <v>94</v>
      </c>
      <c r="F411" t="s">
        <v>112</v>
      </c>
      <c r="G411" t="s">
        <v>121</v>
      </c>
      <c r="H411" t="s">
        <v>114</v>
      </c>
      <c r="J411">
        <v>0</v>
      </c>
      <c r="K411" t="s">
        <v>114</v>
      </c>
      <c r="L411">
        <v>65.09375</v>
      </c>
      <c r="M411">
        <v>37.895352600000002</v>
      </c>
      <c r="N411">
        <v>2.2882677779999998</v>
      </c>
      <c r="O411" t="s">
        <v>114</v>
      </c>
      <c r="P411" t="s">
        <v>114</v>
      </c>
      <c r="Q411" t="s">
        <v>114</v>
      </c>
      <c r="R411" t="s">
        <v>1015</v>
      </c>
      <c r="S411" t="s">
        <v>114</v>
      </c>
    </row>
    <row r="412" spans="1:19" x14ac:dyDescent="0.25">
      <c r="A412" t="s">
        <v>74</v>
      </c>
      <c r="B412" t="s">
        <v>846</v>
      </c>
      <c r="C412">
        <v>10</v>
      </c>
      <c r="D412" t="s">
        <v>27</v>
      </c>
      <c r="E412" t="s">
        <v>95</v>
      </c>
      <c r="F412" t="s">
        <v>102</v>
      </c>
      <c r="G412" t="s">
        <v>113</v>
      </c>
      <c r="H412" t="s">
        <v>113</v>
      </c>
      <c r="J412">
        <v>0</v>
      </c>
      <c r="K412">
        <v>3</v>
      </c>
      <c r="L412">
        <v>84.740740740000007</v>
      </c>
      <c r="M412">
        <v>29.167014049999999</v>
      </c>
      <c r="N412">
        <v>1.1169849999999999</v>
      </c>
      <c r="O412">
        <v>83.757575759999995</v>
      </c>
      <c r="P412">
        <v>22.60997987</v>
      </c>
      <c r="Q412">
        <v>0.72884000000000004</v>
      </c>
      <c r="R412" t="s">
        <v>1015</v>
      </c>
      <c r="S412">
        <v>0.98316498000001218</v>
      </c>
    </row>
    <row r="413" spans="1:19" x14ac:dyDescent="0.25">
      <c r="A413" t="s">
        <v>74</v>
      </c>
      <c r="B413" t="s">
        <v>846</v>
      </c>
      <c r="C413">
        <v>10</v>
      </c>
      <c r="D413" t="s">
        <v>27</v>
      </c>
      <c r="E413" t="s">
        <v>95</v>
      </c>
      <c r="F413" t="s">
        <v>102</v>
      </c>
      <c r="G413" t="s">
        <v>113</v>
      </c>
      <c r="H413" t="s">
        <v>103</v>
      </c>
      <c r="J413">
        <v>0</v>
      </c>
      <c r="K413">
        <v>1</v>
      </c>
      <c r="L413">
        <v>84.740740740000007</v>
      </c>
      <c r="M413">
        <v>29.167014049999999</v>
      </c>
      <c r="N413">
        <v>1.1169849999999999</v>
      </c>
      <c r="O413">
        <v>98.291666669999998</v>
      </c>
      <c r="P413">
        <v>30.315130790000001</v>
      </c>
      <c r="Q413">
        <v>5.0803484000000003E-2</v>
      </c>
      <c r="R413" t="s">
        <v>1015</v>
      </c>
      <c r="S413">
        <v>13.550925929999991</v>
      </c>
    </row>
    <row r="414" spans="1:19" x14ac:dyDescent="0.25">
      <c r="A414" t="s">
        <v>74</v>
      </c>
      <c r="B414" t="s">
        <v>847</v>
      </c>
      <c r="C414">
        <v>10</v>
      </c>
      <c r="D414" t="s">
        <v>27</v>
      </c>
      <c r="E414" t="s">
        <v>95</v>
      </c>
      <c r="F414" t="s">
        <v>113</v>
      </c>
      <c r="G414" t="s">
        <v>113</v>
      </c>
      <c r="H414" t="s">
        <v>113</v>
      </c>
      <c r="J414">
        <v>0</v>
      </c>
      <c r="K414">
        <v>1</v>
      </c>
      <c r="L414">
        <v>83.757575759999995</v>
      </c>
      <c r="M414">
        <v>22.60997987</v>
      </c>
      <c r="N414">
        <v>0.72884000000000004</v>
      </c>
      <c r="O414">
        <v>83.757575759999995</v>
      </c>
      <c r="P414">
        <v>22.60997987</v>
      </c>
      <c r="Q414">
        <v>0.72884000000000004</v>
      </c>
      <c r="R414" t="s">
        <v>1015</v>
      </c>
      <c r="S414">
        <v>0</v>
      </c>
    </row>
    <row r="415" spans="1:19" x14ac:dyDescent="0.25">
      <c r="A415" t="s">
        <v>74</v>
      </c>
      <c r="B415" t="s">
        <v>847</v>
      </c>
      <c r="C415">
        <v>10</v>
      </c>
      <c r="D415" t="s">
        <v>27</v>
      </c>
      <c r="E415" t="s">
        <v>95</v>
      </c>
      <c r="F415" t="s">
        <v>113</v>
      </c>
      <c r="G415" t="s">
        <v>113</v>
      </c>
      <c r="H415" t="s">
        <v>248</v>
      </c>
      <c r="J415">
        <v>0</v>
      </c>
      <c r="K415">
        <v>2</v>
      </c>
      <c r="L415">
        <v>83.757575759999995</v>
      </c>
      <c r="M415">
        <v>22.60997987</v>
      </c>
      <c r="N415">
        <v>0.72884000000000004</v>
      </c>
      <c r="O415">
        <v>83.92307692</v>
      </c>
      <c r="P415">
        <v>44.319135699999997</v>
      </c>
      <c r="Q415">
        <v>5.9548609999999997E-3</v>
      </c>
      <c r="R415" t="s">
        <v>1015</v>
      </c>
      <c r="S415">
        <v>0.16550116000000514</v>
      </c>
    </row>
    <row r="416" spans="1:19" x14ac:dyDescent="0.25">
      <c r="A416" t="s">
        <v>74</v>
      </c>
      <c r="B416" t="s">
        <v>848</v>
      </c>
      <c r="C416">
        <v>10</v>
      </c>
      <c r="D416" t="s">
        <v>27</v>
      </c>
      <c r="E416" t="s">
        <v>95</v>
      </c>
      <c r="F416" t="s">
        <v>103</v>
      </c>
      <c r="G416" t="s">
        <v>113</v>
      </c>
      <c r="H416" t="s">
        <v>113</v>
      </c>
      <c r="J416">
        <v>0</v>
      </c>
      <c r="K416">
        <v>1</v>
      </c>
      <c r="L416">
        <v>98.291666669999998</v>
      </c>
      <c r="M416">
        <v>30.315130790000001</v>
      </c>
      <c r="N416">
        <v>5.0803484000000003E-2</v>
      </c>
      <c r="O416">
        <v>83.757575759999995</v>
      </c>
      <c r="P416">
        <v>22.60997987</v>
      </c>
      <c r="Q416">
        <v>0.72884000000000004</v>
      </c>
      <c r="R416" t="s">
        <v>1015</v>
      </c>
      <c r="S416">
        <v>14.534090910000003</v>
      </c>
    </row>
    <row r="417" spans="1:19" x14ac:dyDescent="0.25">
      <c r="A417" t="s">
        <v>75</v>
      </c>
      <c r="B417" t="s">
        <v>849</v>
      </c>
      <c r="C417">
        <v>10</v>
      </c>
      <c r="D417" t="s">
        <v>29</v>
      </c>
      <c r="E417" t="s">
        <v>94</v>
      </c>
      <c r="F417" t="s">
        <v>105</v>
      </c>
      <c r="G417" t="s">
        <v>121</v>
      </c>
      <c r="H417" t="s">
        <v>251</v>
      </c>
      <c r="J417">
        <v>0</v>
      </c>
      <c r="K417">
        <v>1</v>
      </c>
      <c r="L417">
        <v>67.5</v>
      </c>
      <c r="M417">
        <v>47.937235809999997</v>
      </c>
      <c r="N417">
        <v>0.41599678000000001</v>
      </c>
      <c r="O417">
        <v>85</v>
      </c>
      <c r="P417">
        <v>37.099157669999997</v>
      </c>
      <c r="Q417">
        <v>0.65291888899999995</v>
      </c>
      <c r="R417" t="s">
        <v>1015</v>
      </c>
      <c r="S417">
        <v>17.5</v>
      </c>
    </row>
    <row r="418" spans="1:19" x14ac:dyDescent="0.25">
      <c r="A418" t="s">
        <v>75</v>
      </c>
      <c r="B418" t="s">
        <v>849</v>
      </c>
      <c r="C418">
        <v>10</v>
      </c>
      <c r="D418" t="s">
        <v>29</v>
      </c>
      <c r="E418" t="s">
        <v>94</v>
      </c>
      <c r="F418" t="s">
        <v>105</v>
      </c>
      <c r="G418" t="s">
        <v>121</v>
      </c>
      <c r="H418" t="s">
        <v>244</v>
      </c>
      <c r="J418">
        <v>0</v>
      </c>
      <c r="K418">
        <v>1</v>
      </c>
      <c r="L418">
        <v>67.5</v>
      </c>
      <c r="M418">
        <v>47.937235809999997</v>
      </c>
      <c r="N418">
        <v>0.41599678000000001</v>
      </c>
      <c r="O418">
        <v>75</v>
      </c>
      <c r="P418">
        <v>28.80614499</v>
      </c>
      <c r="Q418">
        <v>2.3860428570000001</v>
      </c>
      <c r="R418" t="s">
        <v>1015</v>
      </c>
      <c r="S418">
        <v>7.5</v>
      </c>
    </row>
    <row r="419" spans="1:19" x14ac:dyDescent="0.25">
      <c r="A419" t="s">
        <v>75</v>
      </c>
      <c r="B419" t="s">
        <v>850</v>
      </c>
      <c r="C419">
        <v>10</v>
      </c>
      <c r="D419" t="s">
        <v>29</v>
      </c>
      <c r="E419" t="s">
        <v>94</v>
      </c>
      <c r="F419" t="s">
        <v>110</v>
      </c>
      <c r="G419" t="s">
        <v>104</v>
      </c>
      <c r="H419" t="s">
        <v>104</v>
      </c>
      <c r="J419">
        <v>0</v>
      </c>
      <c r="K419">
        <v>2</v>
      </c>
      <c r="L419">
        <v>73.260869569999997</v>
      </c>
      <c r="M419">
        <v>34.453830549999999</v>
      </c>
      <c r="N419">
        <v>1.058333333</v>
      </c>
      <c r="O419">
        <v>113.9375</v>
      </c>
      <c r="P419">
        <v>33.375507550000002</v>
      </c>
      <c r="Q419">
        <v>2.4262999999999999</v>
      </c>
      <c r="R419" t="s">
        <v>1015</v>
      </c>
      <c r="S419">
        <v>40.676630430000003</v>
      </c>
    </row>
    <row r="420" spans="1:19" x14ac:dyDescent="0.25">
      <c r="A420" t="s">
        <v>75</v>
      </c>
      <c r="B420" t="s">
        <v>851</v>
      </c>
      <c r="C420">
        <v>10</v>
      </c>
      <c r="D420" t="s">
        <v>29</v>
      </c>
      <c r="E420" t="s">
        <v>94</v>
      </c>
      <c r="F420" t="s">
        <v>103</v>
      </c>
      <c r="G420" t="s">
        <v>121</v>
      </c>
      <c r="H420" t="s">
        <v>251</v>
      </c>
      <c r="J420">
        <v>0</v>
      </c>
      <c r="K420">
        <v>1</v>
      </c>
      <c r="L420">
        <v>98.291666669999998</v>
      </c>
      <c r="M420">
        <v>30.315130790000001</v>
      </c>
      <c r="N420">
        <v>5.0803484000000003E-2</v>
      </c>
      <c r="O420">
        <v>85</v>
      </c>
      <c r="P420">
        <v>37.099157669999997</v>
      </c>
      <c r="Q420">
        <v>0.65291888899999995</v>
      </c>
      <c r="R420" t="s">
        <v>1015</v>
      </c>
      <c r="S420">
        <v>13.291666669999998</v>
      </c>
    </row>
    <row r="421" spans="1:19" x14ac:dyDescent="0.25">
      <c r="A421" t="s">
        <v>75</v>
      </c>
      <c r="B421" t="s">
        <v>851</v>
      </c>
      <c r="C421">
        <v>10</v>
      </c>
      <c r="D421" t="s">
        <v>29</v>
      </c>
      <c r="E421" t="s">
        <v>94</v>
      </c>
      <c r="F421" t="s">
        <v>103</v>
      </c>
      <c r="G421" t="s">
        <v>121</v>
      </c>
      <c r="H421" t="s">
        <v>233</v>
      </c>
      <c r="J421">
        <v>0</v>
      </c>
      <c r="K421">
        <v>1</v>
      </c>
      <c r="L421">
        <v>98.291666669999998</v>
      </c>
      <c r="M421">
        <v>30.315130790000001</v>
      </c>
      <c r="N421">
        <v>5.0803484000000003E-2</v>
      </c>
      <c r="O421">
        <v>106.0540541</v>
      </c>
      <c r="P421">
        <v>52.690533369999997</v>
      </c>
      <c r="Q421">
        <v>7.6058968000000005E-2</v>
      </c>
      <c r="R421" t="s">
        <v>1015</v>
      </c>
      <c r="S421">
        <v>7.762387430000004</v>
      </c>
    </row>
    <row r="422" spans="1:19" x14ac:dyDescent="0.25">
      <c r="A422" t="s">
        <v>75</v>
      </c>
      <c r="B422" t="s">
        <v>851</v>
      </c>
      <c r="C422">
        <v>10</v>
      </c>
      <c r="D422" t="s">
        <v>29</v>
      </c>
      <c r="E422" t="s">
        <v>94</v>
      </c>
      <c r="F422" t="s">
        <v>103</v>
      </c>
      <c r="G422" t="s">
        <v>121</v>
      </c>
      <c r="H422" t="s">
        <v>105</v>
      </c>
      <c r="J422">
        <v>0</v>
      </c>
      <c r="K422">
        <v>1</v>
      </c>
      <c r="L422">
        <v>98.291666669999998</v>
      </c>
      <c r="M422">
        <v>30.315130790000001</v>
      </c>
      <c r="N422">
        <v>5.0803484000000003E-2</v>
      </c>
      <c r="O422">
        <v>67.5</v>
      </c>
      <c r="P422">
        <v>47.937235809999997</v>
      </c>
      <c r="Q422">
        <v>0.41599678000000001</v>
      </c>
      <c r="R422" t="s">
        <v>1015</v>
      </c>
      <c r="S422">
        <v>30.791666669999998</v>
      </c>
    </row>
    <row r="423" spans="1:19" x14ac:dyDescent="0.25">
      <c r="A423" t="s">
        <v>76</v>
      </c>
      <c r="B423" t="s">
        <v>852</v>
      </c>
      <c r="C423">
        <v>10</v>
      </c>
      <c r="D423" t="s">
        <v>31</v>
      </c>
      <c r="E423" t="s">
        <v>94</v>
      </c>
      <c r="F423" t="s">
        <v>113</v>
      </c>
      <c r="G423" t="s">
        <v>113</v>
      </c>
      <c r="H423" t="s">
        <v>113</v>
      </c>
      <c r="J423">
        <v>0</v>
      </c>
      <c r="K423">
        <v>2</v>
      </c>
      <c r="L423">
        <v>83.757575759999995</v>
      </c>
      <c r="M423">
        <v>22.60997987</v>
      </c>
      <c r="N423">
        <v>0.72884000000000004</v>
      </c>
      <c r="O423">
        <v>83.757575759999995</v>
      </c>
      <c r="P423">
        <v>22.60997987</v>
      </c>
      <c r="Q423">
        <v>0.72884000000000004</v>
      </c>
      <c r="R423" t="s">
        <v>1015</v>
      </c>
      <c r="S423">
        <v>0</v>
      </c>
    </row>
    <row r="424" spans="1:19" x14ac:dyDescent="0.25">
      <c r="A424" t="s">
        <v>76</v>
      </c>
      <c r="B424" t="s">
        <v>852</v>
      </c>
      <c r="C424">
        <v>10</v>
      </c>
      <c r="D424" t="s">
        <v>31</v>
      </c>
      <c r="E424" t="s">
        <v>94</v>
      </c>
      <c r="F424" t="s">
        <v>113</v>
      </c>
      <c r="G424" t="s">
        <v>113</v>
      </c>
      <c r="H424" t="s">
        <v>238</v>
      </c>
      <c r="J424">
        <v>0</v>
      </c>
      <c r="K424">
        <v>1</v>
      </c>
      <c r="L424">
        <v>83.757575759999995</v>
      </c>
      <c r="M424">
        <v>22.60997987</v>
      </c>
      <c r="N424">
        <v>0.72884000000000004</v>
      </c>
      <c r="O424">
        <v>87.5</v>
      </c>
      <c r="P424">
        <v>29.478311600000001</v>
      </c>
      <c r="Q424">
        <v>3.0797751000000002E-2</v>
      </c>
      <c r="R424" t="s">
        <v>1015</v>
      </c>
      <c r="S424">
        <v>3.7424242400000054</v>
      </c>
    </row>
    <row r="425" spans="1:19" x14ac:dyDescent="0.25">
      <c r="A425" t="s">
        <v>76</v>
      </c>
      <c r="B425" t="s">
        <v>852</v>
      </c>
      <c r="C425">
        <v>10</v>
      </c>
      <c r="D425" t="s">
        <v>31</v>
      </c>
      <c r="E425" t="s">
        <v>94</v>
      </c>
      <c r="F425" t="s">
        <v>113</v>
      </c>
      <c r="G425" t="s">
        <v>113</v>
      </c>
      <c r="H425" t="s">
        <v>235</v>
      </c>
      <c r="J425">
        <v>0</v>
      </c>
      <c r="K425">
        <v>5</v>
      </c>
      <c r="L425">
        <v>83.757575759999995</v>
      </c>
      <c r="M425">
        <v>22.60997987</v>
      </c>
      <c r="N425">
        <v>0.72884000000000004</v>
      </c>
      <c r="O425">
        <v>132.27272730000001</v>
      </c>
      <c r="P425">
        <v>20.180448590000001</v>
      </c>
      <c r="Q425">
        <v>3.7813451999999997E-2</v>
      </c>
      <c r="R425" t="s">
        <v>1015</v>
      </c>
      <c r="S425">
        <v>48.515151540000019</v>
      </c>
    </row>
    <row r="426" spans="1:19" x14ac:dyDescent="0.25">
      <c r="A426" t="s">
        <v>77</v>
      </c>
      <c r="B426" t="s">
        <v>853</v>
      </c>
      <c r="C426">
        <v>10</v>
      </c>
      <c r="D426" t="s">
        <v>33</v>
      </c>
      <c r="E426" t="s">
        <v>94</v>
      </c>
      <c r="F426" t="s">
        <v>102</v>
      </c>
      <c r="G426" t="s">
        <v>110</v>
      </c>
      <c r="H426" t="s">
        <v>110</v>
      </c>
      <c r="J426">
        <v>0</v>
      </c>
      <c r="K426">
        <v>1</v>
      </c>
      <c r="L426">
        <v>84.740740740000007</v>
      </c>
      <c r="M426">
        <v>29.167014049999999</v>
      </c>
      <c r="N426">
        <v>1.1169849999999999</v>
      </c>
      <c r="O426">
        <v>73.260869569999997</v>
      </c>
      <c r="P426">
        <v>34.453830549999999</v>
      </c>
      <c r="Q426">
        <v>1.058333333</v>
      </c>
      <c r="R426" t="s">
        <v>1015</v>
      </c>
      <c r="S426">
        <v>11.47987117000001</v>
      </c>
    </row>
    <row r="427" spans="1:19" x14ac:dyDescent="0.25">
      <c r="A427" t="s">
        <v>77</v>
      </c>
      <c r="B427" t="s">
        <v>853</v>
      </c>
      <c r="C427">
        <v>10</v>
      </c>
      <c r="D427" t="s">
        <v>33</v>
      </c>
      <c r="E427" t="s">
        <v>94</v>
      </c>
      <c r="F427" t="s">
        <v>102</v>
      </c>
      <c r="G427" t="s">
        <v>110</v>
      </c>
      <c r="H427" t="s">
        <v>162</v>
      </c>
      <c r="J427">
        <v>0</v>
      </c>
      <c r="K427">
        <v>1</v>
      </c>
      <c r="L427">
        <v>84.740740740000007</v>
      </c>
      <c r="M427">
        <v>29.167014049999999</v>
      </c>
      <c r="N427">
        <v>1.1169849999999999</v>
      </c>
      <c r="O427">
        <v>82.53846154</v>
      </c>
      <c r="P427">
        <v>35.660530039999998</v>
      </c>
      <c r="Q427">
        <v>3.3754499999999998</v>
      </c>
      <c r="R427" t="s">
        <v>1015</v>
      </c>
      <c r="S427">
        <v>2.2022792000000067</v>
      </c>
    </row>
    <row r="428" spans="1:19" x14ac:dyDescent="0.25">
      <c r="A428" t="s">
        <v>77</v>
      </c>
      <c r="B428" t="s">
        <v>854</v>
      </c>
      <c r="C428">
        <v>10</v>
      </c>
      <c r="D428" t="s">
        <v>33</v>
      </c>
      <c r="E428" t="s">
        <v>94</v>
      </c>
      <c r="F428" t="s">
        <v>110</v>
      </c>
      <c r="G428" t="s">
        <v>110</v>
      </c>
      <c r="H428" t="s">
        <v>110</v>
      </c>
      <c r="J428">
        <v>0</v>
      </c>
      <c r="K428">
        <v>3</v>
      </c>
      <c r="L428">
        <v>73.260869569999997</v>
      </c>
      <c r="M428">
        <v>34.453830549999999</v>
      </c>
      <c r="N428">
        <v>1.058333333</v>
      </c>
      <c r="O428">
        <v>73.260869569999997</v>
      </c>
      <c r="P428">
        <v>34.453830549999999</v>
      </c>
      <c r="Q428">
        <v>1.058333333</v>
      </c>
      <c r="R428" t="s">
        <v>1015</v>
      </c>
      <c r="S428">
        <v>0</v>
      </c>
    </row>
    <row r="429" spans="1:19" x14ac:dyDescent="0.25">
      <c r="A429" t="s">
        <v>78</v>
      </c>
      <c r="B429" t="s">
        <v>855</v>
      </c>
      <c r="C429">
        <v>10</v>
      </c>
      <c r="D429" t="s">
        <v>35</v>
      </c>
      <c r="E429" t="s">
        <v>94</v>
      </c>
      <c r="F429" t="s">
        <v>111</v>
      </c>
      <c r="G429" t="s">
        <v>121</v>
      </c>
      <c r="H429" t="s">
        <v>114</v>
      </c>
      <c r="J429">
        <v>0</v>
      </c>
      <c r="K429">
        <v>0</v>
      </c>
      <c r="L429">
        <v>94.97142857</v>
      </c>
      <c r="M429">
        <v>24.31591813</v>
      </c>
      <c r="N429">
        <v>0.122951111</v>
      </c>
      <c r="O429" t="s">
        <v>114</v>
      </c>
      <c r="P429" t="s">
        <v>114</v>
      </c>
      <c r="Q429" t="s">
        <v>114</v>
      </c>
      <c r="R429" t="s">
        <v>1015</v>
      </c>
      <c r="S429" t="s">
        <v>114</v>
      </c>
    </row>
    <row r="430" spans="1:19" x14ac:dyDescent="0.25">
      <c r="A430" t="s">
        <v>50</v>
      </c>
      <c r="B430" t="s">
        <v>856</v>
      </c>
      <c r="C430">
        <v>12</v>
      </c>
      <c r="D430" t="s">
        <v>11</v>
      </c>
      <c r="E430" t="s">
        <v>95</v>
      </c>
      <c r="F430" t="s">
        <v>113</v>
      </c>
      <c r="G430" t="s">
        <v>113</v>
      </c>
      <c r="H430" t="s">
        <v>113</v>
      </c>
      <c r="J430">
        <v>0</v>
      </c>
      <c r="K430">
        <v>6</v>
      </c>
      <c r="L430">
        <v>83.757575759999995</v>
      </c>
      <c r="M430">
        <v>22.60997987</v>
      </c>
      <c r="N430">
        <v>0.72884000000000004</v>
      </c>
      <c r="O430">
        <v>83.757575759999995</v>
      </c>
      <c r="P430">
        <v>22.60997987</v>
      </c>
      <c r="Q430">
        <v>0.72884000000000004</v>
      </c>
      <c r="R430" t="s">
        <v>1015</v>
      </c>
      <c r="S430">
        <v>0</v>
      </c>
    </row>
    <row r="431" spans="1:19" x14ac:dyDescent="0.25">
      <c r="A431" t="s">
        <v>50</v>
      </c>
      <c r="B431" t="s">
        <v>856</v>
      </c>
      <c r="C431">
        <v>12</v>
      </c>
      <c r="D431" t="s">
        <v>11</v>
      </c>
      <c r="E431" t="s">
        <v>95</v>
      </c>
      <c r="F431" t="s">
        <v>113</v>
      </c>
      <c r="G431" t="s">
        <v>113</v>
      </c>
      <c r="H431" t="s">
        <v>238</v>
      </c>
      <c r="J431">
        <v>0</v>
      </c>
      <c r="K431">
        <v>1</v>
      </c>
      <c r="L431">
        <v>83.757575759999995</v>
      </c>
      <c r="M431">
        <v>22.60997987</v>
      </c>
      <c r="N431">
        <v>0.72884000000000004</v>
      </c>
      <c r="O431">
        <v>87.5</v>
      </c>
      <c r="P431">
        <v>29.478311600000001</v>
      </c>
      <c r="Q431">
        <v>3.0797751000000002E-2</v>
      </c>
      <c r="R431" t="s">
        <v>1015</v>
      </c>
      <c r="S431">
        <v>3.7424242400000054</v>
      </c>
    </row>
    <row r="432" spans="1:19" x14ac:dyDescent="0.25">
      <c r="A432" t="s">
        <v>50</v>
      </c>
      <c r="B432" t="s">
        <v>857</v>
      </c>
      <c r="C432">
        <v>12</v>
      </c>
      <c r="D432" t="s">
        <v>11</v>
      </c>
      <c r="E432" t="s">
        <v>95</v>
      </c>
      <c r="F432" t="s">
        <v>103</v>
      </c>
      <c r="G432" t="s">
        <v>113</v>
      </c>
      <c r="H432" t="s">
        <v>113</v>
      </c>
      <c r="J432">
        <v>0</v>
      </c>
      <c r="K432">
        <v>4</v>
      </c>
      <c r="L432">
        <v>98.291666669999998</v>
      </c>
      <c r="M432">
        <v>30.315130790000001</v>
      </c>
      <c r="N432">
        <v>5.0803484000000003E-2</v>
      </c>
      <c r="O432">
        <v>83.757575759999995</v>
      </c>
      <c r="P432">
        <v>22.60997987</v>
      </c>
      <c r="Q432">
        <v>0.72884000000000004</v>
      </c>
      <c r="R432" t="s">
        <v>1015</v>
      </c>
      <c r="S432">
        <v>14.534090910000003</v>
      </c>
    </row>
    <row r="433" spans="1:19" x14ac:dyDescent="0.25">
      <c r="A433" t="s">
        <v>50</v>
      </c>
      <c r="B433" t="s">
        <v>857</v>
      </c>
      <c r="C433">
        <v>12</v>
      </c>
      <c r="D433" t="s">
        <v>11</v>
      </c>
      <c r="E433" t="s">
        <v>95</v>
      </c>
      <c r="F433" t="s">
        <v>103</v>
      </c>
      <c r="G433" t="s">
        <v>113</v>
      </c>
      <c r="H433" t="s">
        <v>242</v>
      </c>
      <c r="J433">
        <v>0</v>
      </c>
      <c r="K433">
        <v>3</v>
      </c>
      <c r="L433">
        <v>98.291666669999998</v>
      </c>
      <c r="M433">
        <v>30.315130790000001</v>
      </c>
      <c r="N433">
        <v>5.0803484000000003E-2</v>
      </c>
      <c r="O433">
        <v>139.375</v>
      </c>
      <c r="P433">
        <v>23.713465920000001</v>
      </c>
      <c r="Q433" t="s">
        <v>114</v>
      </c>
      <c r="R433" t="s">
        <v>1015</v>
      </c>
      <c r="S433">
        <v>41.083333330000002</v>
      </c>
    </row>
    <row r="434" spans="1:19" x14ac:dyDescent="0.25">
      <c r="A434" t="s">
        <v>50</v>
      </c>
      <c r="B434" t="s">
        <v>858</v>
      </c>
      <c r="C434">
        <v>12</v>
      </c>
      <c r="D434" t="s">
        <v>11</v>
      </c>
      <c r="E434" t="s">
        <v>95</v>
      </c>
      <c r="F434" t="s">
        <v>111</v>
      </c>
      <c r="G434" t="s">
        <v>113</v>
      </c>
      <c r="H434" t="s">
        <v>113</v>
      </c>
      <c r="J434">
        <v>0</v>
      </c>
      <c r="K434">
        <v>3</v>
      </c>
      <c r="L434">
        <v>94.97142857</v>
      </c>
      <c r="M434">
        <v>24.31591813</v>
      </c>
      <c r="N434">
        <v>0.122951111</v>
      </c>
      <c r="O434">
        <v>83.757575759999995</v>
      </c>
      <c r="P434">
        <v>22.60997987</v>
      </c>
      <c r="Q434">
        <v>0.72884000000000004</v>
      </c>
      <c r="R434" t="s">
        <v>1015</v>
      </c>
      <c r="S434">
        <v>11.213852810000006</v>
      </c>
    </row>
    <row r="435" spans="1:19" x14ac:dyDescent="0.25">
      <c r="A435" t="s">
        <v>50</v>
      </c>
      <c r="B435" t="s">
        <v>858</v>
      </c>
      <c r="C435">
        <v>12</v>
      </c>
      <c r="D435" t="s">
        <v>11</v>
      </c>
      <c r="E435" t="s">
        <v>95</v>
      </c>
      <c r="F435" t="s">
        <v>111</v>
      </c>
      <c r="G435" t="s">
        <v>113</v>
      </c>
      <c r="H435" t="s">
        <v>242</v>
      </c>
      <c r="J435">
        <v>0</v>
      </c>
      <c r="K435">
        <v>2</v>
      </c>
      <c r="L435">
        <v>94.97142857</v>
      </c>
      <c r="M435">
        <v>24.31591813</v>
      </c>
      <c r="N435">
        <v>0.122951111</v>
      </c>
      <c r="O435">
        <v>139.375</v>
      </c>
      <c r="P435">
        <v>23.713465920000001</v>
      </c>
      <c r="Q435" t="s">
        <v>114</v>
      </c>
      <c r="R435" t="s">
        <v>1015</v>
      </c>
      <c r="S435">
        <v>44.40357143</v>
      </c>
    </row>
    <row r="436" spans="1:19" x14ac:dyDescent="0.25">
      <c r="A436" t="s">
        <v>50</v>
      </c>
      <c r="B436" t="s">
        <v>859</v>
      </c>
      <c r="C436">
        <v>12</v>
      </c>
      <c r="D436" t="s">
        <v>11</v>
      </c>
      <c r="E436" t="s">
        <v>95</v>
      </c>
      <c r="F436" t="s">
        <v>104</v>
      </c>
      <c r="G436" t="s">
        <v>121</v>
      </c>
      <c r="H436" t="s">
        <v>103</v>
      </c>
      <c r="J436">
        <v>0</v>
      </c>
      <c r="K436">
        <v>1</v>
      </c>
      <c r="L436">
        <v>113.9375</v>
      </c>
      <c r="M436">
        <v>33.375507550000002</v>
      </c>
      <c r="N436">
        <v>2.4262999999999999</v>
      </c>
      <c r="O436">
        <v>98.291666669999998</v>
      </c>
      <c r="P436">
        <v>30.315130790000001</v>
      </c>
      <c r="Q436">
        <v>5.0803484000000003E-2</v>
      </c>
      <c r="R436" t="s">
        <v>1015</v>
      </c>
      <c r="S436">
        <v>15.645833330000002</v>
      </c>
    </row>
    <row r="437" spans="1:19" x14ac:dyDescent="0.25">
      <c r="A437" t="s">
        <v>50</v>
      </c>
      <c r="B437" t="s">
        <v>859</v>
      </c>
      <c r="C437">
        <v>12</v>
      </c>
      <c r="D437" t="s">
        <v>11</v>
      </c>
      <c r="E437" t="s">
        <v>95</v>
      </c>
      <c r="F437" t="s">
        <v>104</v>
      </c>
      <c r="G437" t="s">
        <v>121</v>
      </c>
      <c r="H437" t="s">
        <v>238</v>
      </c>
      <c r="J437">
        <v>0</v>
      </c>
      <c r="K437">
        <v>1</v>
      </c>
      <c r="L437">
        <v>113.9375</v>
      </c>
      <c r="M437">
        <v>33.375507550000002</v>
      </c>
      <c r="N437">
        <v>2.4262999999999999</v>
      </c>
      <c r="O437">
        <v>87.5</v>
      </c>
      <c r="P437">
        <v>29.478311600000001</v>
      </c>
      <c r="Q437">
        <v>3.0797751000000002E-2</v>
      </c>
      <c r="R437" t="s">
        <v>1015</v>
      </c>
      <c r="S437">
        <v>26.4375</v>
      </c>
    </row>
    <row r="438" spans="1:19" x14ac:dyDescent="0.25">
      <c r="A438" t="s">
        <v>51</v>
      </c>
      <c r="B438" t="s">
        <v>860</v>
      </c>
      <c r="C438">
        <v>12</v>
      </c>
      <c r="D438" t="s">
        <v>15</v>
      </c>
      <c r="E438" t="s">
        <v>94</v>
      </c>
      <c r="F438" t="s">
        <v>105</v>
      </c>
      <c r="G438" t="s">
        <v>104</v>
      </c>
      <c r="H438" t="s">
        <v>104</v>
      </c>
      <c r="J438">
        <v>0</v>
      </c>
      <c r="K438">
        <v>2</v>
      </c>
      <c r="L438">
        <v>67.5</v>
      </c>
      <c r="M438">
        <v>47.937235809999997</v>
      </c>
      <c r="N438">
        <v>0.41599678000000001</v>
      </c>
      <c r="O438">
        <v>113.9375</v>
      </c>
      <c r="P438">
        <v>33.375507550000002</v>
      </c>
      <c r="Q438">
        <v>2.4262999999999999</v>
      </c>
      <c r="R438" t="s">
        <v>1015</v>
      </c>
      <c r="S438">
        <v>46.4375</v>
      </c>
    </row>
    <row r="439" spans="1:19" x14ac:dyDescent="0.25">
      <c r="A439" t="s">
        <v>51</v>
      </c>
      <c r="B439" t="s">
        <v>861</v>
      </c>
      <c r="C439">
        <v>12</v>
      </c>
      <c r="D439" t="s">
        <v>15</v>
      </c>
      <c r="E439" t="s">
        <v>94</v>
      </c>
      <c r="F439" t="s">
        <v>111</v>
      </c>
      <c r="G439" t="s">
        <v>121</v>
      </c>
      <c r="H439" t="s">
        <v>241</v>
      </c>
      <c r="J439">
        <v>0</v>
      </c>
      <c r="K439">
        <v>1</v>
      </c>
      <c r="L439">
        <v>94.97142857</v>
      </c>
      <c r="M439">
        <v>24.31591813</v>
      </c>
      <c r="N439">
        <v>0.122951111</v>
      </c>
      <c r="O439">
        <v>114</v>
      </c>
      <c r="P439">
        <v>30.43077242</v>
      </c>
      <c r="Q439">
        <v>0.53383111100000002</v>
      </c>
      <c r="R439" t="s">
        <v>1015</v>
      </c>
      <c r="S439">
        <v>19.02857143</v>
      </c>
    </row>
    <row r="440" spans="1:19" x14ac:dyDescent="0.25">
      <c r="A440" t="s">
        <v>51</v>
      </c>
      <c r="B440" t="s">
        <v>862</v>
      </c>
      <c r="C440">
        <v>12</v>
      </c>
      <c r="D440" t="s">
        <v>15</v>
      </c>
      <c r="E440" t="s">
        <v>94</v>
      </c>
      <c r="F440" t="s">
        <v>112</v>
      </c>
      <c r="G440" t="s">
        <v>112</v>
      </c>
      <c r="H440" t="s">
        <v>112</v>
      </c>
      <c r="J440">
        <v>0</v>
      </c>
      <c r="K440">
        <v>2</v>
      </c>
      <c r="L440">
        <v>65.09375</v>
      </c>
      <c r="M440">
        <v>37.895352600000002</v>
      </c>
      <c r="N440">
        <v>2.2882677779999998</v>
      </c>
      <c r="O440">
        <v>65.09375</v>
      </c>
      <c r="P440">
        <v>37.895352600000002</v>
      </c>
      <c r="Q440">
        <v>2.2882677779999998</v>
      </c>
      <c r="R440" t="s">
        <v>1015</v>
      </c>
      <c r="S440">
        <v>0</v>
      </c>
    </row>
    <row r="441" spans="1:19" x14ac:dyDescent="0.25">
      <c r="A441" t="s">
        <v>52</v>
      </c>
      <c r="B441" t="s">
        <v>863</v>
      </c>
      <c r="C441">
        <v>12</v>
      </c>
      <c r="D441" t="s">
        <v>17</v>
      </c>
      <c r="E441" t="s">
        <v>95</v>
      </c>
      <c r="F441" t="s">
        <v>102</v>
      </c>
      <c r="G441" t="s">
        <v>121</v>
      </c>
      <c r="H441" t="s">
        <v>238</v>
      </c>
      <c r="J441">
        <v>0</v>
      </c>
      <c r="K441">
        <v>1</v>
      </c>
      <c r="L441">
        <v>84.740740740000007</v>
      </c>
      <c r="M441">
        <v>29.167014049999999</v>
      </c>
      <c r="N441">
        <v>1.1169849999999999</v>
      </c>
      <c r="O441">
        <v>87.5</v>
      </c>
      <c r="P441">
        <v>29.478311600000001</v>
      </c>
      <c r="Q441">
        <v>3.0797751000000002E-2</v>
      </c>
      <c r="R441" t="s">
        <v>1015</v>
      </c>
      <c r="S441">
        <v>2.7592592599999932</v>
      </c>
    </row>
    <row r="442" spans="1:19" x14ac:dyDescent="0.25">
      <c r="A442" t="s">
        <v>52</v>
      </c>
      <c r="B442" t="s">
        <v>863</v>
      </c>
      <c r="C442">
        <v>12</v>
      </c>
      <c r="D442" t="s">
        <v>17</v>
      </c>
      <c r="E442" t="s">
        <v>95</v>
      </c>
      <c r="F442" t="s">
        <v>102</v>
      </c>
      <c r="G442" t="s">
        <v>121</v>
      </c>
      <c r="H442" t="s">
        <v>113</v>
      </c>
      <c r="J442">
        <v>0</v>
      </c>
      <c r="K442">
        <v>1</v>
      </c>
      <c r="L442">
        <v>84.740740740000007</v>
      </c>
      <c r="M442">
        <v>29.167014049999999</v>
      </c>
      <c r="N442">
        <v>1.1169849999999999</v>
      </c>
      <c r="O442">
        <v>83.757575759999995</v>
      </c>
      <c r="P442">
        <v>22.60997987</v>
      </c>
      <c r="Q442">
        <v>0.72884000000000004</v>
      </c>
      <c r="R442" t="s">
        <v>1015</v>
      </c>
      <c r="S442">
        <v>0.98316498000001218</v>
      </c>
    </row>
    <row r="443" spans="1:19" x14ac:dyDescent="0.25">
      <c r="A443" t="s">
        <v>52</v>
      </c>
      <c r="B443" t="s">
        <v>864</v>
      </c>
      <c r="C443">
        <v>12</v>
      </c>
      <c r="D443" t="s">
        <v>17</v>
      </c>
      <c r="E443" t="s">
        <v>95</v>
      </c>
      <c r="F443" t="s">
        <v>103</v>
      </c>
      <c r="G443" t="s">
        <v>121</v>
      </c>
      <c r="H443" t="s">
        <v>234</v>
      </c>
      <c r="J443">
        <v>0</v>
      </c>
      <c r="K443">
        <v>5</v>
      </c>
      <c r="L443">
        <v>98.291666669999998</v>
      </c>
      <c r="M443">
        <v>30.315130790000001</v>
      </c>
      <c r="N443">
        <v>5.0803484000000003E-2</v>
      </c>
      <c r="O443">
        <v>89.8125</v>
      </c>
      <c r="P443">
        <v>34.754706650000003</v>
      </c>
      <c r="Q443">
        <v>2.3065078999999999E-2</v>
      </c>
      <c r="R443" t="s">
        <v>1015</v>
      </c>
      <c r="S443">
        <v>8.4791666699999979</v>
      </c>
    </row>
    <row r="444" spans="1:19" x14ac:dyDescent="0.25">
      <c r="A444" t="s">
        <v>52</v>
      </c>
      <c r="B444" t="s">
        <v>865</v>
      </c>
      <c r="C444">
        <v>12</v>
      </c>
      <c r="D444" t="s">
        <v>17</v>
      </c>
      <c r="E444" t="s">
        <v>95</v>
      </c>
      <c r="F444" t="s">
        <v>111</v>
      </c>
      <c r="G444" t="s">
        <v>103</v>
      </c>
      <c r="H444" t="s">
        <v>103</v>
      </c>
      <c r="J444">
        <v>0</v>
      </c>
      <c r="K444">
        <v>1</v>
      </c>
      <c r="L444">
        <v>94.97142857</v>
      </c>
      <c r="M444">
        <v>24.31591813</v>
      </c>
      <c r="N444">
        <v>0.122951111</v>
      </c>
      <c r="O444">
        <v>98.291666669999998</v>
      </c>
      <c r="P444">
        <v>30.315130790000001</v>
      </c>
      <c r="Q444">
        <v>5.0803484000000003E-2</v>
      </c>
      <c r="R444" t="s">
        <v>1015</v>
      </c>
      <c r="S444">
        <v>3.3202380999999974</v>
      </c>
    </row>
    <row r="445" spans="1:19" x14ac:dyDescent="0.25">
      <c r="A445" t="s">
        <v>52</v>
      </c>
      <c r="B445" t="s">
        <v>866</v>
      </c>
      <c r="C445">
        <v>12</v>
      </c>
      <c r="D445" t="s">
        <v>17</v>
      </c>
      <c r="E445" t="s">
        <v>95</v>
      </c>
      <c r="F445" t="s">
        <v>112</v>
      </c>
      <c r="G445" t="s">
        <v>121</v>
      </c>
      <c r="H445" t="s">
        <v>235</v>
      </c>
      <c r="J445">
        <v>0</v>
      </c>
      <c r="K445">
        <v>1</v>
      </c>
      <c r="L445">
        <v>65.09375</v>
      </c>
      <c r="M445">
        <v>37.895352600000002</v>
      </c>
      <c r="N445">
        <v>2.2882677779999998</v>
      </c>
      <c r="O445">
        <v>132.27272730000001</v>
      </c>
      <c r="P445">
        <v>20.180448590000001</v>
      </c>
      <c r="Q445">
        <v>3.7813451999999997E-2</v>
      </c>
      <c r="R445" t="s">
        <v>1015</v>
      </c>
      <c r="S445">
        <v>67.178977300000014</v>
      </c>
    </row>
    <row r="446" spans="1:19" x14ac:dyDescent="0.25">
      <c r="A446" t="s">
        <v>53</v>
      </c>
      <c r="B446" t="s">
        <v>867</v>
      </c>
      <c r="C446">
        <v>12</v>
      </c>
      <c r="D446" t="s">
        <v>19</v>
      </c>
      <c r="E446" t="s">
        <v>94</v>
      </c>
      <c r="F446" t="s">
        <v>102</v>
      </c>
      <c r="G446" t="s">
        <v>121</v>
      </c>
      <c r="H446" t="s">
        <v>808</v>
      </c>
      <c r="J446">
        <v>0</v>
      </c>
      <c r="K446">
        <v>1</v>
      </c>
      <c r="L446">
        <v>84.740740740000007</v>
      </c>
      <c r="M446">
        <v>29.167014049999999</v>
      </c>
      <c r="N446">
        <v>1.1169849999999999</v>
      </c>
      <c r="O446">
        <v>102.79166669999999</v>
      </c>
      <c r="P446">
        <v>27.057373470000002</v>
      </c>
      <c r="Q446">
        <v>6.3567849939999999</v>
      </c>
      <c r="R446" t="s">
        <v>1015</v>
      </c>
      <c r="S446">
        <v>18.050925959999987</v>
      </c>
    </row>
    <row r="447" spans="1:19" x14ac:dyDescent="0.25">
      <c r="A447" t="s">
        <v>53</v>
      </c>
      <c r="B447" t="s">
        <v>867</v>
      </c>
      <c r="C447">
        <v>12</v>
      </c>
      <c r="D447" t="s">
        <v>19</v>
      </c>
      <c r="E447" t="s">
        <v>94</v>
      </c>
      <c r="F447" t="s">
        <v>102</v>
      </c>
      <c r="G447" t="s">
        <v>121</v>
      </c>
      <c r="H447" t="s">
        <v>241</v>
      </c>
      <c r="J447">
        <v>0</v>
      </c>
      <c r="K447">
        <v>1</v>
      </c>
      <c r="L447">
        <v>84.740740740000007</v>
      </c>
      <c r="M447">
        <v>29.167014049999999</v>
      </c>
      <c r="N447">
        <v>1.1169849999999999</v>
      </c>
      <c r="O447">
        <v>114</v>
      </c>
      <c r="P447">
        <v>30.43077242</v>
      </c>
      <c r="Q447">
        <v>0.53383111100000002</v>
      </c>
      <c r="R447" t="s">
        <v>1015</v>
      </c>
      <c r="S447">
        <v>29.259259259999993</v>
      </c>
    </row>
    <row r="448" spans="1:19" x14ac:dyDescent="0.25">
      <c r="A448" t="s">
        <v>53</v>
      </c>
      <c r="B448" t="s">
        <v>868</v>
      </c>
      <c r="C448">
        <v>12</v>
      </c>
      <c r="D448" t="s">
        <v>19</v>
      </c>
      <c r="E448" t="s">
        <v>94</v>
      </c>
      <c r="F448" t="s">
        <v>113</v>
      </c>
      <c r="G448" t="s">
        <v>121</v>
      </c>
      <c r="H448" t="s">
        <v>103</v>
      </c>
      <c r="J448">
        <v>0</v>
      </c>
      <c r="K448">
        <v>1</v>
      </c>
      <c r="L448">
        <v>83.757575759999995</v>
      </c>
      <c r="M448">
        <v>22.60997987</v>
      </c>
      <c r="N448">
        <v>0.72884000000000004</v>
      </c>
      <c r="O448">
        <v>98.291666669999998</v>
      </c>
      <c r="P448">
        <v>30.315130790000001</v>
      </c>
      <c r="Q448">
        <v>5.0803484000000003E-2</v>
      </c>
      <c r="R448" t="s">
        <v>1015</v>
      </c>
      <c r="S448">
        <v>14.534090910000003</v>
      </c>
    </row>
    <row r="449" spans="1:19" x14ac:dyDescent="0.25">
      <c r="A449" t="s">
        <v>53</v>
      </c>
      <c r="B449" t="s">
        <v>868</v>
      </c>
      <c r="C449">
        <v>12</v>
      </c>
      <c r="D449" t="s">
        <v>19</v>
      </c>
      <c r="E449" t="s">
        <v>94</v>
      </c>
      <c r="F449" t="s">
        <v>113</v>
      </c>
      <c r="G449" t="s">
        <v>121</v>
      </c>
      <c r="H449" t="s">
        <v>238</v>
      </c>
      <c r="J449">
        <v>0</v>
      </c>
      <c r="K449">
        <v>1</v>
      </c>
      <c r="L449">
        <v>83.757575759999995</v>
      </c>
      <c r="M449">
        <v>22.60997987</v>
      </c>
      <c r="N449">
        <v>0.72884000000000004</v>
      </c>
      <c r="O449">
        <v>87.5</v>
      </c>
      <c r="P449">
        <v>29.478311600000001</v>
      </c>
      <c r="Q449">
        <v>3.0797751000000002E-2</v>
      </c>
      <c r="R449" t="s">
        <v>1015</v>
      </c>
      <c r="S449">
        <v>3.7424242400000054</v>
      </c>
    </row>
    <row r="450" spans="1:19" x14ac:dyDescent="0.25">
      <c r="A450" t="s">
        <v>53</v>
      </c>
      <c r="B450" t="s">
        <v>868</v>
      </c>
      <c r="C450">
        <v>12</v>
      </c>
      <c r="D450" t="s">
        <v>19</v>
      </c>
      <c r="E450" t="s">
        <v>94</v>
      </c>
      <c r="F450" t="s">
        <v>113</v>
      </c>
      <c r="G450" t="s">
        <v>121</v>
      </c>
      <c r="H450" t="s">
        <v>235</v>
      </c>
      <c r="J450">
        <v>0</v>
      </c>
      <c r="K450">
        <v>1</v>
      </c>
      <c r="L450">
        <v>83.757575759999995</v>
      </c>
      <c r="M450">
        <v>22.60997987</v>
      </c>
      <c r="N450">
        <v>0.72884000000000004</v>
      </c>
      <c r="O450">
        <v>132.27272730000001</v>
      </c>
      <c r="P450">
        <v>20.180448590000001</v>
      </c>
      <c r="Q450">
        <v>3.7813451999999997E-2</v>
      </c>
      <c r="R450" t="s">
        <v>1015</v>
      </c>
      <c r="S450">
        <v>48.515151540000019</v>
      </c>
    </row>
    <row r="451" spans="1:19" x14ac:dyDescent="0.25">
      <c r="A451" t="s">
        <v>53</v>
      </c>
      <c r="B451" t="s">
        <v>868</v>
      </c>
      <c r="C451">
        <v>12</v>
      </c>
      <c r="D451" t="s">
        <v>19</v>
      </c>
      <c r="E451" t="s">
        <v>94</v>
      </c>
      <c r="F451" t="s">
        <v>113</v>
      </c>
      <c r="G451" t="s">
        <v>121</v>
      </c>
      <c r="H451" t="s">
        <v>241</v>
      </c>
      <c r="J451">
        <v>0</v>
      </c>
      <c r="K451">
        <v>2</v>
      </c>
      <c r="L451">
        <v>83.757575759999995</v>
      </c>
      <c r="M451">
        <v>22.60997987</v>
      </c>
      <c r="N451">
        <v>0.72884000000000004</v>
      </c>
      <c r="O451">
        <v>114</v>
      </c>
      <c r="P451">
        <v>30.43077242</v>
      </c>
      <c r="Q451">
        <v>0.53383111100000002</v>
      </c>
      <c r="R451" t="s">
        <v>1015</v>
      </c>
      <c r="S451">
        <v>30.242424240000005</v>
      </c>
    </row>
    <row r="452" spans="1:19" x14ac:dyDescent="0.25">
      <c r="A452" t="s">
        <v>53</v>
      </c>
      <c r="B452" t="s">
        <v>868</v>
      </c>
      <c r="C452">
        <v>12</v>
      </c>
      <c r="D452" t="s">
        <v>19</v>
      </c>
      <c r="E452" t="s">
        <v>94</v>
      </c>
      <c r="F452" t="s">
        <v>113</v>
      </c>
      <c r="G452" t="s">
        <v>121</v>
      </c>
      <c r="H452" t="s">
        <v>242</v>
      </c>
      <c r="J452">
        <v>0</v>
      </c>
      <c r="K452">
        <v>1</v>
      </c>
      <c r="L452">
        <v>83.757575759999995</v>
      </c>
      <c r="M452">
        <v>22.60997987</v>
      </c>
      <c r="N452">
        <v>0.72884000000000004</v>
      </c>
      <c r="O452">
        <v>139.375</v>
      </c>
      <c r="P452">
        <v>23.713465920000001</v>
      </c>
      <c r="Q452" t="s">
        <v>114</v>
      </c>
      <c r="R452" t="s">
        <v>1015</v>
      </c>
      <c r="S452">
        <v>55.617424240000005</v>
      </c>
    </row>
    <row r="453" spans="1:19" x14ac:dyDescent="0.25">
      <c r="A453" t="s">
        <v>53</v>
      </c>
      <c r="B453" t="s">
        <v>868</v>
      </c>
      <c r="C453">
        <v>12</v>
      </c>
      <c r="D453" t="s">
        <v>19</v>
      </c>
      <c r="E453" t="s">
        <v>94</v>
      </c>
      <c r="F453" t="s">
        <v>113</v>
      </c>
      <c r="G453" t="s">
        <v>121</v>
      </c>
      <c r="H453" t="s">
        <v>112</v>
      </c>
      <c r="J453">
        <v>0</v>
      </c>
      <c r="K453">
        <v>1</v>
      </c>
      <c r="L453">
        <v>83.757575759999995</v>
      </c>
      <c r="M453">
        <v>22.60997987</v>
      </c>
      <c r="N453">
        <v>0.72884000000000004</v>
      </c>
      <c r="O453">
        <v>65.09375</v>
      </c>
      <c r="P453">
        <v>37.895352600000002</v>
      </c>
      <c r="Q453">
        <v>2.2882677779999998</v>
      </c>
      <c r="R453" t="s">
        <v>1015</v>
      </c>
      <c r="S453">
        <v>18.663825759999995</v>
      </c>
    </row>
    <row r="454" spans="1:19" x14ac:dyDescent="0.25">
      <c r="A454" t="s">
        <v>53</v>
      </c>
      <c r="B454" t="s">
        <v>869</v>
      </c>
      <c r="C454">
        <v>12</v>
      </c>
      <c r="D454" t="s">
        <v>19</v>
      </c>
      <c r="E454" t="s">
        <v>94</v>
      </c>
      <c r="F454" t="s">
        <v>103</v>
      </c>
      <c r="G454" t="s">
        <v>121</v>
      </c>
      <c r="H454" t="s">
        <v>103</v>
      </c>
      <c r="J454">
        <v>0</v>
      </c>
      <c r="K454">
        <v>1</v>
      </c>
      <c r="L454">
        <v>98.291666669999998</v>
      </c>
      <c r="M454">
        <v>30.315130790000001</v>
      </c>
      <c r="N454">
        <v>5.0803484000000003E-2</v>
      </c>
      <c r="O454">
        <v>98.291666669999998</v>
      </c>
      <c r="P454">
        <v>30.315130790000001</v>
      </c>
      <c r="Q454">
        <v>5.0803484000000003E-2</v>
      </c>
      <c r="R454" t="s">
        <v>1015</v>
      </c>
      <c r="S454">
        <v>0</v>
      </c>
    </row>
    <row r="455" spans="1:19" x14ac:dyDescent="0.25">
      <c r="A455" t="s">
        <v>53</v>
      </c>
      <c r="B455" t="s">
        <v>869</v>
      </c>
      <c r="C455">
        <v>12</v>
      </c>
      <c r="D455" t="s">
        <v>19</v>
      </c>
      <c r="E455" t="s">
        <v>94</v>
      </c>
      <c r="F455" t="s">
        <v>103</v>
      </c>
      <c r="G455" t="s">
        <v>121</v>
      </c>
      <c r="H455" t="s">
        <v>241</v>
      </c>
      <c r="J455">
        <v>0</v>
      </c>
      <c r="K455">
        <v>1</v>
      </c>
      <c r="L455">
        <v>98.291666669999998</v>
      </c>
      <c r="M455">
        <v>30.315130790000001</v>
      </c>
      <c r="N455">
        <v>5.0803484000000003E-2</v>
      </c>
      <c r="O455">
        <v>114</v>
      </c>
      <c r="P455">
        <v>30.43077242</v>
      </c>
      <c r="Q455">
        <v>0.53383111100000002</v>
      </c>
      <c r="R455" t="s">
        <v>1015</v>
      </c>
      <c r="S455">
        <v>15.708333330000002</v>
      </c>
    </row>
    <row r="456" spans="1:19" x14ac:dyDescent="0.25">
      <c r="A456" t="s">
        <v>53</v>
      </c>
      <c r="B456" t="s">
        <v>870</v>
      </c>
      <c r="C456">
        <v>12</v>
      </c>
      <c r="D456" t="s">
        <v>19</v>
      </c>
      <c r="E456" t="s">
        <v>94</v>
      </c>
      <c r="F456" t="s">
        <v>112</v>
      </c>
      <c r="G456" t="s">
        <v>121</v>
      </c>
      <c r="H456" t="s">
        <v>114</v>
      </c>
      <c r="J456">
        <v>0</v>
      </c>
      <c r="K456">
        <v>0</v>
      </c>
      <c r="L456">
        <v>65.09375</v>
      </c>
      <c r="M456">
        <v>37.895352600000002</v>
      </c>
      <c r="N456">
        <v>2.2882677779999998</v>
      </c>
      <c r="O456" t="s">
        <v>114</v>
      </c>
      <c r="P456" t="s">
        <v>114</v>
      </c>
      <c r="Q456" t="s">
        <v>114</v>
      </c>
      <c r="R456" t="s">
        <v>1015</v>
      </c>
      <c r="S456" t="s">
        <v>114</v>
      </c>
    </row>
    <row r="457" spans="1:19" x14ac:dyDescent="0.25">
      <c r="A457" t="s">
        <v>54</v>
      </c>
      <c r="B457" t="s">
        <v>871</v>
      </c>
      <c r="C457">
        <v>12</v>
      </c>
      <c r="D457" t="s">
        <v>21</v>
      </c>
      <c r="E457" t="s">
        <v>95</v>
      </c>
      <c r="F457" t="s">
        <v>113</v>
      </c>
      <c r="G457" t="s">
        <v>121</v>
      </c>
      <c r="H457" t="s">
        <v>241</v>
      </c>
      <c r="J457">
        <v>0</v>
      </c>
      <c r="K457">
        <v>2</v>
      </c>
      <c r="L457">
        <v>83.757575759999995</v>
      </c>
      <c r="M457">
        <v>22.60997987</v>
      </c>
      <c r="N457">
        <v>0.72884000000000004</v>
      </c>
      <c r="O457">
        <v>114</v>
      </c>
      <c r="P457">
        <v>30.43077242</v>
      </c>
      <c r="Q457">
        <v>0.53383111100000002</v>
      </c>
      <c r="R457" t="s">
        <v>1015</v>
      </c>
      <c r="S457">
        <v>30.242424240000005</v>
      </c>
    </row>
    <row r="458" spans="1:19" x14ac:dyDescent="0.25">
      <c r="A458" t="s">
        <v>54</v>
      </c>
      <c r="B458" t="s">
        <v>872</v>
      </c>
      <c r="C458">
        <v>12</v>
      </c>
      <c r="D458" t="s">
        <v>21</v>
      </c>
      <c r="E458" t="s">
        <v>95</v>
      </c>
      <c r="F458" t="s">
        <v>110</v>
      </c>
      <c r="G458" t="s">
        <v>121</v>
      </c>
      <c r="H458" t="s">
        <v>241</v>
      </c>
      <c r="I458" t="s">
        <v>162</v>
      </c>
      <c r="J458">
        <v>1</v>
      </c>
      <c r="K458">
        <v>2</v>
      </c>
      <c r="L458">
        <v>73.260869569999997</v>
      </c>
      <c r="M458">
        <v>34.453830549999999</v>
      </c>
      <c r="N458">
        <v>1.058333333</v>
      </c>
      <c r="O458">
        <v>114</v>
      </c>
      <c r="P458">
        <v>30.43077242</v>
      </c>
      <c r="Q458">
        <v>0.53383111100000002</v>
      </c>
      <c r="R458" t="s">
        <v>1015</v>
      </c>
      <c r="S458">
        <v>40.739130430000003</v>
      </c>
    </row>
    <row r="459" spans="1:19" x14ac:dyDescent="0.25">
      <c r="A459" t="s">
        <v>54</v>
      </c>
      <c r="B459" t="s">
        <v>873</v>
      </c>
      <c r="C459">
        <v>12</v>
      </c>
      <c r="D459" t="s">
        <v>21</v>
      </c>
      <c r="E459" t="s">
        <v>95</v>
      </c>
      <c r="F459" t="s">
        <v>111</v>
      </c>
      <c r="G459" t="s">
        <v>121</v>
      </c>
      <c r="H459" t="s">
        <v>162</v>
      </c>
      <c r="J459">
        <v>0</v>
      </c>
      <c r="K459">
        <v>1</v>
      </c>
      <c r="L459">
        <v>94.97142857</v>
      </c>
      <c r="M459">
        <v>24.31591813</v>
      </c>
      <c r="N459">
        <v>0.122951111</v>
      </c>
      <c r="O459">
        <v>82.53846154</v>
      </c>
      <c r="P459">
        <v>35.660530039999998</v>
      </c>
      <c r="Q459">
        <v>3.3754499999999998</v>
      </c>
      <c r="R459" t="s">
        <v>1015</v>
      </c>
      <c r="S459">
        <v>12.43296703</v>
      </c>
    </row>
    <row r="460" spans="1:19" x14ac:dyDescent="0.25">
      <c r="A460" t="s">
        <v>55</v>
      </c>
      <c r="B460" t="s">
        <v>874</v>
      </c>
      <c r="C460">
        <v>12</v>
      </c>
      <c r="D460" t="s">
        <v>23</v>
      </c>
      <c r="E460" t="s">
        <v>94</v>
      </c>
      <c r="F460" t="s">
        <v>113</v>
      </c>
      <c r="G460" t="s">
        <v>110</v>
      </c>
      <c r="H460" t="s">
        <v>238</v>
      </c>
      <c r="J460">
        <v>0</v>
      </c>
      <c r="K460">
        <v>1</v>
      </c>
      <c r="L460">
        <v>83.757575759999995</v>
      </c>
      <c r="M460">
        <v>22.60997987</v>
      </c>
      <c r="N460">
        <v>0.72884000000000004</v>
      </c>
      <c r="O460">
        <v>87.5</v>
      </c>
      <c r="P460">
        <v>29.478311600000001</v>
      </c>
      <c r="Q460">
        <v>3.0797751000000002E-2</v>
      </c>
      <c r="R460" t="s">
        <v>1015</v>
      </c>
      <c r="S460">
        <v>3.7424242400000054</v>
      </c>
    </row>
    <row r="461" spans="1:19" x14ac:dyDescent="0.25">
      <c r="A461" t="s">
        <v>55</v>
      </c>
      <c r="B461" t="s">
        <v>874</v>
      </c>
      <c r="C461">
        <v>12</v>
      </c>
      <c r="D461" t="s">
        <v>23</v>
      </c>
      <c r="E461" t="s">
        <v>94</v>
      </c>
      <c r="F461" t="s">
        <v>113</v>
      </c>
      <c r="G461" t="s">
        <v>110</v>
      </c>
      <c r="H461" t="s">
        <v>103</v>
      </c>
      <c r="J461">
        <v>0</v>
      </c>
      <c r="K461">
        <v>1</v>
      </c>
      <c r="L461">
        <v>83.757575759999995</v>
      </c>
      <c r="M461">
        <v>22.60997987</v>
      </c>
      <c r="N461">
        <v>0.72884000000000004</v>
      </c>
      <c r="O461">
        <v>98.291666669999998</v>
      </c>
      <c r="P461">
        <v>30.315130790000001</v>
      </c>
      <c r="Q461">
        <v>5.0803484000000003E-2</v>
      </c>
      <c r="R461" t="s">
        <v>1015</v>
      </c>
      <c r="S461">
        <v>14.534090910000003</v>
      </c>
    </row>
    <row r="462" spans="1:19" x14ac:dyDescent="0.25">
      <c r="A462" t="s">
        <v>55</v>
      </c>
      <c r="B462" t="s">
        <v>874</v>
      </c>
      <c r="C462">
        <v>12</v>
      </c>
      <c r="D462" t="s">
        <v>23</v>
      </c>
      <c r="E462" t="s">
        <v>94</v>
      </c>
      <c r="F462" t="s">
        <v>113</v>
      </c>
      <c r="G462" t="s">
        <v>110</v>
      </c>
      <c r="H462" t="s">
        <v>808</v>
      </c>
      <c r="J462">
        <v>0</v>
      </c>
      <c r="K462">
        <v>1</v>
      </c>
      <c r="L462">
        <v>83.757575759999995</v>
      </c>
      <c r="M462">
        <v>22.60997987</v>
      </c>
      <c r="N462">
        <v>0.72884000000000004</v>
      </c>
      <c r="O462">
        <v>102.79166669999999</v>
      </c>
      <c r="P462">
        <v>27.057373470000002</v>
      </c>
      <c r="Q462">
        <v>6.3567849939999999</v>
      </c>
      <c r="R462" t="s">
        <v>1015</v>
      </c>
      <c r="S462">
        <v>19.034090939999999</v>
      </c>
    </row>
    <row r="463" spans="1:19" x14ac:dyDescent="0.25">
      <c r="A463" t="s">
        <v>55</v>
      </c>
      <c r="B463" t="s">
        <v>874</v>
      </c>
      <c r="C463">
        <v>12</v>
      </c>
      <c r="D463" t="s">
        <v>23</v>
      </c>
      <c r="E463" t="s">
        <v>94</v>
      </c>
      <c r="F463" t="s">
        <v>113</v>
      </c>
      <c r="G463" t="s">
        <v>110</v>
      </c>
      <c r="H463" t="s">
        <v>113</v>
      </c>
      <c r="J463">
        <v>0</v>
      </c>
      <c r="K463">
        <v>1</v>
      </c>
      <c r="L463">
        <v>83.757575759999995</v>
      </c>
      <c r="M463">
        <v>22.60997987</v>
      </c>
      <c r="N463">
        <v>0.72884000000000004</v>
      </c>
      <c r="O463">
        <v>83.757575759999995</v>
      </c>
      <c r="P463">
        <v>22.60997987</v>
      </c>
      <c r="Q463">
        <v>0.72884000000000004</v>
      </c>
      <c r="R463" t="s">
        <v>1015</v>
      </c>
      <c r="S463">
        <v>0</v>
      </c>
    </row>
    <row r="464" spans="1:19" x14ac:dyDescent="0.25">
      <c r="A464" t="s">
        <v>55</v>
      </c>
      <c r="B464" t="s">
        <v>875</v>
      </c>
      <c r="C464">
        <v>12</v>
      </c>
      <c r="D464" t="s">
        <v>23</v>
      </c>
      <c r="E464" t="s">
        <v>94</v>
      </c>
      <c r="F464" t="s">
        <v>110</v>
      </c>
      <c r="G464" t="s">
        <v>103</v>
      </c>
      <c r="H464" t="s">
        <v>114</v>
      </c>
      <c r="J464">
        <v>0</v>
      </c>
      <c r="K464" t="s">
        <v>114</v>
      </c>
      <c r="L464">
        <v>73.260869569999997</v>
      </c>
      <c r="M464">
        <v>34.453830549999999</v>
      </c>
      <c r="N464">
        <v>1.058333333</v>
      </c>
      <c r="O464" t="s">
        <v>114</v>
      </c>
      <c r="P464" t="s">
        <v>114</v>
      </c>
      <c r="Q464" t="s">
        <v>114</v>
      </c>
      <c r="R464" t="s">
        <v>1015</v>
      </c>
      <c r="S464" t="s">
        <v>114</v>
      </c>
    </row>
    <row r="465" spans="1:19" x14ac:dyDescent="0.25">
      <c r="A465" t="s">
        <v>55</v>
      </c>
      <c r="B465" t="s">
        <v>876</v>
      </c>
      <c r="C465">
        <v>12</v>
      </c>
      <c r="D465" t="s">
        <v>23</v>
      </c>
      <c r="E465" t="s">
        <v>94</v>
      </c>
      <c r="F465" t="s">
        <v>103</v>
      </c>
      <c r="G465" t="s">
        <v>103</v>
      </c>
      <c r="H465" t="s">
        <v>114</v>
      </c>
      <c r="J465">
        <v>0</v>
      </c>
      <c r="K465" t="s">
        <v>114</v>
      </c>
      <c r="L465">
        <v>98.291666669999998</v>
      </c>
      <c r="M465">
        <v>30.315130790000001</v>
      </c>
      <c r="N465">
        <v>5.0803484000000003E-2</v>
      </c>
      <c r="O465" t="s">
        <v>114</v>
      </c>
      <c r="P465" t="s">
        <v>114</v>
      </c>
      <c r="Q465" t="s">
        <v>114</v>
      </c>
      <c r="R465" t="s">
        <v>1015</v>
      </c>
      <c r="S465" t="s">
        <v>114</v>
      </c>
    </row>
    <row r="466" spans="1:19" x14ac:dyDescent="0.25">
      <c r="A466" t="s">
        <v>55</v>
      </c>
      <c r="B466" t="s">
        <v>877</v>
      </c>
      <c r="C466">
        <v>12</v>
      </c>
      <c r="D466" t="s">
        <v>23</v>
      </c>
      <c r="E466" t="s">
        <v>94</v>
      </c>
      <c r="F466" t="s">
        <v>111</v>
      </c>
      <c r="G466" t="s">
        <v>113</v>
      </c>
      <c r="H466" t="s">
        <v>113</v>
      </c>
      <c r="J466">
        <v>0</v>
      </c>
      <c r="K466">
        <v>2</v>
      </c>
      <c r="L466">
        <v>94.97142857</v>
      </c>
      <c r="M466">
        <v>24.31591813</v>
      </c>
      <c r="N466">
        <v>0.122951111</v>
      </c>
      <c r="O466">
        <v>83.757575759999995</v>
      </c>
      <c r="P466">
        <v>22.60997987</v>
      </c>
      <c r="Q466">
        <v>0.72884000000000004</v>
      </c>
      <c r="R466" t="s">
        <v>1015</v>
      </c>
      <c r="S466">
        <v>11.213852810000006</v>
      </c>
    </row>
    <row r="467" spans="1:19" x14ac:dyDescent="0.25">
      <c r="A467" t="s">
        <v>55</v>
      </c>
      <c r="B467" t="s">
        <v>877</v>
      </c>
      <c r="C467">
        <v>12</v>
      </c>
      <c r="D467" t="s">
        <v>23</v>
      </c>
      <c r="E467" t="s">
        <v>94</v>
      </c>
      <c r="F467" t="s">
        <v>111</v>
      </c>
      <c r="G467" t="s">
        <v>113</v>
      </c>
      <c r="H467" t="s">
        <v>797</v>
      </c>
      <c r="J467">
        <v>0</v>
      </c>
      <c r="K467">
        <v>1</v>
      </c>
      <c r="L467">
        <v>94.97142857</v>
      </c>
      <c r="M467">
        <v>24.31591813</v>
      </c>
      <c r="N467">
        <v>0.122951111</v>
      </c>
      <c r="O467">
        <v>179.45454549999999</v>
      </c>
      <c r="P467">
        <v>26.326869609999999</v>
      </c>
      <c r="Q467">
        <v>2.3456094639999998</v>
      </c>
      <c r="R467" t="s">
        <v>1015</v>
      </c>
      <c r="S467">
        <v>84.483116929999994</v>
      </c>
    </row>
    <row r="468" spans="1:19" x14ac:dyDescent="0.25">
      <c r="A468" t="s">
        <v>56</v>
      </c>
      <c r="B468" t="s">
        <v>878</v>
      </c>
      <c r="C468">
        <v>12</v>
      </c>
      <c r="D468" t="s">
        <v>25</v>
      </c>
      <c r="E468" t="s">
        <v>94</v>
      </c>
      <c r="F468" t="s">
        <v>113</v>
      </c>
      <c r="G468" t="s">
        <v>113</v>
      </c>
      <c r="H468" t="s">
        <v>113</v>
      </c>
      <c r="J468">
        <v>0</v>
      </c>
      <c r="K468">
        <v>3</v>
      </c>
      <c r="L468">
        <v>83.757575759999995</v>
      </c>
      <c r="M468">
        <v>22.60997987</v>
      </c>
      <c r="N468">
        <v>0.72884000000000004</v>
      </c>
      <c r="O468">
        <v>83.757575759999995</v>
      </c>
      <c r="P468">
        <v>22.60997987</v>
      </c>
      <c r="Q468">
        <v>0.72884000000000004</v>
      </c>
      <c r="R468" t="s">
        <v>1015</v>
      </c>
      <c r="S468">
        <v>0</v>
      </c>
    </row>
    <row r="469" spans="1:19" x14ac:dyDescent="0.25">
      <c r="A469" t="s">
        <v>56</v>
      </c>
      <c r="B469" t="s">
        <v>879</v>
      </c>
      <c r="C469">
        <v>12</v>
      </c>
      <c r="D469" t="s">
        <v>25</v>
      </c>
      <c r="E469" t="s">
        <v>94</v>
      </c>
      <c r="F469" t="s">
        <v>111</v>
      </c>
      <c r="G469" t="s">
        <v>121</v>
      </c>
      <c r="H469" t="s">
        <v>112</v>
      </c>
      <c r="J469">
        <v>0</v>
      </c>
      <c r="K469">
        <v>1</v>
      </c>
      <c r="L469">
        <v>94.97142857</v>
      </c>
      <c r="M469">
        <v>24.31591813</v>
      </c>
      <c r="N469">
        <v>0.122951111</v>
      </c>
      <c r="O469">
        <v>65.09375</v>
      </c>
      <c r="P469">
        <v>37.895352600000002</v>
      </c>
      <c r="Q469">
        <v>2.2882677779999998</v>
      </c>
      <c r="R469" t="s">
        <v>1015</v>
      </c>
      <c r="S469">
        <v>29.87767857</v>
      </c>
    </row>
    <row r="470" spans="1:19" x14ac:dyDescent="0.25">
      <c r="A470" t="s">
        <v>56</v>
      </c>
      <c r="B470" t="s">
        <v>880</v>
      </c>
      <c r="C470">
        <v>12</v>
      </c>
      <c r="D470" t="s">
        <v>25</v>
      </c>
      <c r="E470" t="s">
        <v>94</v>
      </c>
      <c r="F470" t="s">
        <v>104</v>
      </c>
      <c r="G470" t="s">
        <v>121</v>
      </c>
      <c r="H470" t="s">
        <v>104</v>
      </c>
      <c r="J470">
        <v>0</v>
      </c>
      <c r="K470">
        <v>1</v>
      </c>
      <c r="L470">
        <v>113.9375</v>
      </c>
      <c r="M470">
        <v>33.375507550000002</v>
      </c>
      <c r="N470">
        <v>2.4262999999999999</v>
      </c>
      <c r="O470">
        <v>113.9375</v>
      </c>
      <c r="P470">
        <v>33.375507550000002</v>
      </c>
      <c r="Q470">
        <v>2.4262999999999999</v>
      </c>
      <c r="R470" t="s">
        <v>1015</v>
      </c>
      <c r="S470">
        <v>0</v>
      </c>
    </row>
    <row r="471" spans="1:19" x14ac:dyDescent="0.25">
      <c r="A471" t="s">
        <v>56</v>
      </c>
      <c r="B471" t="s">
        <v>881</v>
      </c>
      <c r="C471">
        <v>12</v>
      </c>
      <c r="D471" t="s">
        <v>25</v>
      </c>
      <c r="E471" t="s">
        <v>94</v>
      </c>
      <c r="F471" t="s">
        <v>112</v>
      </c>
      <c r="G471" t="s">
        <v>121</v>
      </c>
      <c r="H471" t="s">
        <v>241</v>
      </c>
      <c r="J471">
        <v>0</v>
      </c>
      <c r="K471">
        <v>4</v>
      </c>
      <c r="L471">
        <v>65.09375</v>
      </c>
      <c r="M471">
        <v>37.895352600000002</v>
      </c>
      <c r="N471">
        <v>2.2882677779999998</v>
      </c>
      <c r="O471">
        <v>114</v>
      </c>
      <c r="P471">
        <v>30.43077242</v>
      </c>
      <c r="Q471">
        <v>0.53383111100000002</v>
      </c>
      <c r="R471" t="s">
        <v>1015</v>
      </c>
      <c r="S471">
        <v>48.90625</v>
      </c>
    </row>
    <row r="472" spans="1:19" x14ac:dyDescent="0.25">
      <c r="A472" t="s">
        <v>57</v>
      </c>
      <c r="B472" t="s">
        <v>882</v>
      </c>
      <c r="C472">
        <v>12</v>
      </c>
      <c r="D472" t="s">
        <v>27</v>
      </c>
      <c r="E472" t="s">
        <v>94</v>
      </c>
      <c r="F472" t="s">
        <v>105</v>
      </c>
      <c r="G472" t="s">
        <v>121</v>
      </c>
      <c r="H472" t="s">
        <v>247</v>
      </c>
      <c r="J472">
        <v>0</v>
      </c>
      <c r="K472">
        <v>1</v>
      </c>
      <c r="L472">
        <v>67.5</v>
      </c>
      <c r="M472">
        <v>47.937235809999997</v>
      </c>
      <c r="N472">
        <v>0.41599678000000001</v>
      </c>
      <c r="O472">
        <v>65.791044779999993</v>
      </c>
      <c r="P472">
        <v>22.94519201</v>
      </c>
      <c r="Q472">
        <v>8.1320334999999994E-2</v>
      </c>
      <c r="R472" t="s">
        <v>1015</v>
      </c>
      <c r="S472">
        <v>1.7089552200000071</v>
      </c>
    </row>
    <row r="473" spans="1:19" x14ac:dyDescent="0.25">
      <c r="A473" t="s">
        <v>57</v>
      </c>
      <c r="B473" t="s">
        <v>882</v>
      </c>
      <c r="C473">
        <v>12</v>
      </c>
      <c r="D473" t="s">
        <v>27</v>
      </c>
      <c r="E473" t="s">
        <v>94</v>
      </c>
      <c r="F473" t="s">
        <v>105</v>
      </c>
      <c r="G473" t="s">
        <v>121</v>
      </c>
      <c r="H473" t="s">
        <v>103</v>
      </c>
      <c r="J473">
        <v>0</v>
      </c>
      <c r="K473">
        <v>1</v>
      </c>
      <c r="L473">
        <v>67.5</v>
      </c>
      <c r="M473">
        <v>47.937235809999997</v>
      </c>
      <c r="N473">
        <v>0.41599678000000001</v>
      </c>
      <c r="O473">
        <v>98.291666669999998</v>
      </c>
      <c r="P473">
        <v>30.315130790000001</v>
      </c>
      <c r="Q473">
        <v>5.0803484000000003E-2</v>
      </c>
      <c r="R473" t="s">
        <v>1015</v>
      </c>
      <c r="S473">
        <v>30.791666669999998</v>
      </c>
    </row>
    <row r="474" spans="1:19" x14ac:dyDescent="0.25">
      <c r="A474" t="s">
        <v>57</v>
      </c>
      <c r="B474" t="s">
        <v>882</v>
      </c>
      <c r="C474">
        <v>12</v>
      </c>
      <c r="D474" t="s">
        <v>27</v>
      </c>
      <c r="E474" t="s">
        <v>94</v>
      </c>
      <c r="F474" t="s">
        <v>105</v>
      </c>
      <c r="G474" t="s">
        <v>121</v>
      </c>
      <c r="H474" t="s">
        <v>233</v>
      </c>
      <c r="J474">
        <v>0</v>
      </c>
      <c r="K474">
        <v>6</v>
      </c>
      <c r="L474">
        <v>67.5</v>
      </c>
      <c r="M474">
        <v>47.937235809999997</v>
      </c>
      <c r="N474">
        <v>0.41599678000000001</v>
      </c>
      <c r="O474">
        <v>106.0540541</v>
      </c>
      <c r="P474">
        <v>52.690533369999997</v>
      </c>
      <c r="Q474">
        <v>7.6058968000000005E-2</v>
      </c>
      <c r="R474" t="s">
        <v>1015</v>
      </c>
      <c r="S474">
        <v>38.554054100000002</v>
      </c>
    </row>
    <row r="475" spans="1:19" x14ac:dyDescent="0.25">
      <c r="A475" t="s">
        <v>57</v>
      </c>
      <c r="B475" t="s">
        <v>883</v>
      </c>
      <c r="C475">
        <v>12</v>
      </c>
      <c r="D475" t="s">
        <v>27</v>
      </c>
      <c r="E475" t="s">
        <v>94</v>
      </c>
      <c r="F475" t="s">
        <v>113</v>
      </c>
      <c r="G475" t="s">
        <v>121</v>
      </c>
      <c r="H475" t="s">
        <v>114</v>
      </c>
      <c r="J475">
        <v>0</v>
      </c>
      <c r="K475" t="s">
        <v>114</v>
      </c>
      <c r="L475">
        <v>83.757575759999995</v>
      </c>
      <c r="M475">
        <v>22.60997987</v>
      </c>
      <c r="N475">
        <v>0.72884000000000004</v>
      </c>
      <c r="O475" t="s">
        <v>114</v>
      </c>
      <c r="P475" t="s">
        <v>114</v>
      </c>
      <c r="Q475" t="s">
        <v>114</v>
      </c>
      <c r="R475" t="s">
        <v>1015</v>
      </c>
      <c r="S475" t="s">
        <v>114</v>
      </c>
    </row>
    <row r="476" spans="1:19" x14ac:dyDescent="0.25">
      <c r="A476" t="s">
        <v>57</v>
      </c>
      <c r="B476" t="s">
        <v>884</v>
      </c>
      <c r="C476">
        <v>12</v>
      </c>
      <c r="D476" t="s">
        <v>27</v>
      </c>
      <c r="E476" t="s">
        <v>94</v>
      </c>
      <c r="F476" t="s">
        <v>112</v>
      </c>
      <c r="G476" t="s">
        <v>112</v>
      </c>
      <c r="H476" t="s">
        <v>112</v>
      </c>
      <c r="J476">
        <v>0</v>
      </c>
      <c r="K476">
        <v>2</v>
      </c>
      <c r="L476">
        <v>65.09375</v>
      </c>
      <c r="M476">
        <v>37.895352600000002</v>
      </c>
      <c r="N476">
        <v>2.2882677779999998</v>
      </c>
      <c r="O476">
        <v>65.09375</v>
      </c>
      <c r="P476">
        <v>37.895352600000002</v>
      </c>
      <c r="Q476">
        <v>2.2882677779999998</v>
      </c>
      <c r="R476" t="s">
        <v>1015</v>
      </c>
      <c r="S476">
        <v>0</v>
      </c>
    </row>
    <row r="477" spans="1:19" x14ac:dyDescent="0.25">
      <c r="A477" t="s">
        <v>57</v>
      </c>
      <c r="B477" t="s">
        <v>884</v>
      </c>
      <c r="C477">
        <v>12</v>
      </c>
      <c r="D477" t="s">
        <v>27</v>
      </c>
      <c r="E477" t="s">
        <v>94</v>
      </c>
      <c r="F477" t="s">
        <v>112</v>
      </c>
      <c r="G477" t="s">
        <v>112</v>
      </c>
      <c r="H477" t="s">
        <v>247</v>
      </c>
      <c r="J477">
        <v>0</v>
      </c>
      <c r="K477">
        <v>1</v>
      </c>
      <c r="L477">
        <v>65.09375</v>
      </c>
      <c r="M477">
        <v>37.895352600000002</v>
      </c>
      <c r="N477">
        <v>2.2882677779999998</v>
      </c>
      <c r="O477">
        <v>65.791044779999993</v>
      </c>
      <c r="P477">
        <v>22.94519201</v>
      </c>
      <c r="Q477">
        <v>8.1320334999999994E-2</v>
      </c>
      <c r="R477" t="s">
        <v>1015</v>
      </c>
      <c r="S477">
        <v>0.6972947799999929</v>
      </c>
    </row>
    <row r="478" spans="1:19" x14ac:dyDescent="0.25">
      <c r="A478" t="s">
        <v>58</v>
      </c>
      <c r="B478" t="s">
        <v>885</v>
      </c>
      <c r="C478">
        <v>12</v>
      </c>
      <c r="D478" t="s">
        <v>29</v>
      </c>
      <c r="E478" t="s">
        <v>95</v>
      </c>
      <c r="F478" t="s">
        <v>102</v>
      </c>
      <c r="G478" t="s">
        <v>104</v>
      </c>
      <c r="H478" t="s">
        <v>104</v>
      </c>
      <c r="J478">
        <v>0</v>
      </c>
      <c r="K478">
        <v>1</v>
      </c>
      <c r="L478">
        <v>84.740740740000007</v>
      </c>
      <c r="M478">
        <v>29.167014049999999</v>
      </c>
      <c r="N478">
        <v>1.1169849999999999</v>
      </c>
      <c r="O478">
        <v>113.9375</v>
      </c>
      <c r="P478">
        <v>33.375507550000002</v>
      </c>
      <c r="Q478">
        <v>2.4262999999999999</v>
      </c>
      <c r="R478" t="s">
        <v>1015</v>
      </c>
      <c r="S478">
        <v>29.196759259999993</v>
      </c>
    </row>
    <row r="479" spans="1:19" x14ac:dyDescent="0.25">
      <c r="A479" t="s">
        <v>58</v>
      </c>
      <c r="B479" t="s">
        <v>885</v>
      </c>
      <c r="C479">
        <v>12</v>
      </c>
      <c r="D479" t="s">
        <v>29</v>
      </c>
      <c r="E479" t="s">
        <v>95</v>
      </c>
      <c r="F479" t="s">
        <v>102</v>
      </c>
      <c r="G479" t="s">
        <v>104</v>
      </c>
      <c r="H479" t="s">
        <v>246</v>
      </c>
      <c r="J479">
        <v>0</v>
      </c>
      <c r="K479">
        <v>1</v>
      </c>
      <c r="L479">
        <v>84.740740740000007</v>
      </c>
      <c r="M479">
        <v>29.167014049999999</v>
      </c>
      <c r="N479">
        <v>1.1169849999999999</v>
      </c>
      <c r="O479">
        <v>120.25</v>
      </c>
      <c r="P479">
        <v>30.670450110000001</v>
      </c>
      <c r="Q479">
        <v>0.91037498500000003</v>
      </c>
      <c r="R479" t="s">
        <v>1015</v>
      </c>
      <c r="S479">
        <v>35.509259259999993</v>
      </c>
    </row>
    <row r="480" spans="1:19" x14ac:dyDescent="0.25">
      <c r="A480" t="s">
        <v>58</v>
      </c>
      <c r="B480" t="s">
        <v>886</v>
      </c>
      <c r="C480">
        <v>12</v>
      </c>
      <c r="D480" t="s">
        <v>29</v>
      </c>
      <c r="E480" t="s">
        <v>95</v>
      </c>
      <c r="F480" t="s">
        <v>110</v>
      </c>
      <c r="G480" t="s">
        <v>121</v>
      </c>
      <c r="H480" t="s">
        <v>246</v>
      </c>
      <c r="I480" t="s">
        <v>162</v>
      </c>
      <c r="J480">
        <v>1</v>
      </c>
      <c r="K480">
        <v>1</v>
      </c>
      <c r="L480">
        <v>73.260869569999997</v>
      </c>
      <c r="M480">
        <v>34.453830549999999</v>
      </c>
      <c r="N480">
        <v>1.058333333</v>
      </c>
      <c r="O480">
        <v>120.25</v>
      </c>
      <c r="P480">
        <v>30.670450110000001</v>
      </c>
      <c r="Q480">
        <v>0.91037498500000003</v>
      </c>
      <c r="R480" t="s">
        <v>1015</v>
      </c>
      <c r="S480">
        <v>46.989130430000003</v>
      </c>
    </row>
    <row r="481" spans="1:19" x14ac:dyDescent="0.25">
      <c r="A481" t="s">
        <v>58</v>
      </c>
      <c r="B481" t="s">
        <v>886</v>
      </c>
      <c r="C481">
        <v>12</v>
      </c>
      <c r="D481" t="s">
        <v>29</v>
      </c>
      <c r="E481" t="s">
        <v>95</v>
      </c>
      <c r="F481" t="s">
        <v>110</v>
      </c>
      <c r="G481" t="s">
        <v>121</v>
      </c>
      <c r="H481" t="s">
        <v>239</v>
      </c>
      <c r="J481">
        <v>1</v>
      </c>
      <c r="K481">
        <v>1</v>
      </c>
      <c r="L481">
        <v>73.260869569999997</v>
      </c>
      <c r="M481">
        <v>34.453830549999999</v>
      </c>
      <c r="N481">
        <v>1.058333333</v>
      </c>
      <c r="O481">
        <v>100.45454549999999</v>
      </c>
      <c r="P481">
        <v>26.754810689999999</v>
      </c>
      <c r="Q481">
        <v>0.75829999999999997</v>
      </c>
      <c r="R481" t="s">
        <v>1015</v>
      </c>
      <c r="S481">
        <v>27.193675929999998</v>
      </c>
    </row>
    <row r="482" spans="1:19" x14ac:dyDescent="0.25">
      <c r="A482" t="s">
        <v>58</v>
      </c>
      <c r="B482" t="s">
        <v>887</v>
      </c>
      <c r="C482">
        <v>12</v>
      </c>
      <c r="D482" t="s">
        <v>29</v>
      </c>
      <c r="E482" t="s">
        <v>95</v>
      </c>
      <c r="F482" t="s">
        <v>103</v>
      </c>
      <c r="G482" t="s">
        <v>121</v>
      </c>
      <c r="H482" t="s">
        <v>249</v>
      </c>
      <c r="J482">
        <v>0</v>
      </c>
      <c r="K482">
        <v>1</v>
      </c>
      <c r="L482">
        <v>98.291666669999998</v>
      </c>
      <c r="M482">
        <v>30.315130790000001</v>
      </c>
      <c r="N482">
        <v>5.0803484000000003E-2</v>
      </c>
      <c r="O482">
        <v>81.666666669999998</v>
      </c>
      <c r="P482">
        <v>48.056268459999998</v>
      </c>
      <c r="Q482">
        <v>0.120291364</v>
      </c>
      <c r="R482" t="s">
        <v>1015</v>
      </c>
      <c r="S482">
        <v>16.625</v>
      </c>
    </row>
    <row r="483" spans="1:19" x14ac:dyDescent="0.25">
      <c r="A483" t="s">
        <v>58</v>
      </c>
      <c r="B483" t="s">
        <v>887</v>
      </c>
      <c r="C483">
        <v>12</v>
      </c>
      <c r="D483" t="s">
        <v>29</v>
      </c>
      <c r="E483" t="s">
        <v>95</v>
      </c>
      <c r="F483" t="s">
        <v>103</v>
      </c>
      <c r="G483" t="s">
        <v>121</v>
      </c>
      <c r="H483" t="s">
        <v>238</v>
      </c>
      <c r="J483">
        <v>0</v>
      </c>
      <c r="K483">
        <v>1</v>
      </c>
      <c r="L483">
        <v>98.291666669999998</v>
      </c>
      <c r="M483">
        <v>30.315130790000001</v>
      </c>
      <c r="N483">
        <v>5.0803484000000003E-2</v>
      </c>
      <c r="O483">
        <v>87.5</v>
      </c>
      <c r="P483">
        <v>29.478311600000001</v>
      </c>
      <c r="Q483">
        <v>3.0797751000000002E-2</v>
      </c>
      <c r="R483" t="s">
        <v>1015</v>
      </c>
      <c r="S483">
        <v>10.791666669999998</v>
      </c>
    </row>
    <row r="484" spans="1:19" x14ac:dyDescent="0.25">
      <c r="A484" t="s">
        <v>59</v>
      </c>
      <c r="B484" t="s">
        <v>888</v>
      </c>
      <c r="C484">
        <v>12</v>
      </c>
      <c r="D484" t="s">
        <v>31</v>
      </c>
      <c r="E484" t="s">
        <v>94</v>
      </c>
      <c r="F484" t="s">
        <v>105</v>
      </c>
      <c r="G484" t="s">
        <v>121</v>
      </c>
      <c r="H484" t="s">
        <v>241</v>
      </c>
      <c r="J484">
        <v>0</v>
      </c>
      <c r="K484">
        <v>1</v>
      </c>
      <c r="L484">
        <v>67.5</v>
      </c>
      <c r="M484">
        <v>47.937235809999997</v>
      </c>
      <c r="N484">
        <v>0.41599678000000001</v>
      </c>
      <c r="O484">
        <v>114</v>
      </c>
      <c r="P484">
        <v>30.43077242</v>
      </c>
      <c r="Q484">
        <v>0.53383111100000002</v>
      </c>
      <c r="R484" t="s">
        <v>1015</v>
      </c>
      <c r="S484">
        <v>46.5</v>
      </c>
    </row>
    <row r="485" spans="1:19" x14ac:dyDescent="0.25">
      <c r="A485" t="s">
        <v>59</v>
      </c>
      <c r="B485" t="s">
        <v>889</v>
      </c>
      <c r="C485">
        <v>12</v>
      </c>
      <c r="D485" t="s">
        <v>31</v>
      </c>
      <c r="E485" t="s">
        <v>94</v>
      </c>
      <c r="F485" t="s">
        <v>110</v>
      </c>
      <c r="G485" t="s">
        <v>121</v>
      </c>
      <c r="H485" t="s">
        <v>241</v>
      </c>
      <c r="J485">
        <v>0</v>
      </c>
      <c r="K485">
        <v>2</v>
      </c>
      <c r="L485">
        <v>73.260869569999997</v>
      </c>
      <c r="M485">
        <v>34.453830549999999</v>
      </c>
      <c r="N485">
        <v>1.058333333</v>
      </c>
      <c r="O485">
        <v>114</v>
      </c>
      <c r="P485">
        <v>30.43077242</v>
      </c>
      <c r="Q485">
        <v>0.53383111100000002</v>
      </c>
      <c r="R485" t="s">
        <v>1015</v>
      </c>
      <c r="S485">
        <v>40.739130430000003</v>
      </c>
    </row>
    <row r="486" spans="1:19" x14ac:dyDescent="0.25">
      <c r="A486" t="s">
        <v>60</v>
      </c>
      <c r="B486" t="s">
        <v>890</v>
      </c>
      <c r="C486">
        <v>12</v>
      </c>
      <c r="D486" t="s">
        <v>33</v>
      </c>
      <c r="E486" t="s">
        <v>95</v>
      </c>
      <c r="F486" t="s">
        <v>102</v>
      </c>
      <c r="G486" t="s">
        <v>104</v>
      </c>
      <c r="H486" t="s">
        <v>104</v>
      </c>
      <c r="J486">
        <v>0</v>
      </c>
      <c r="K486">
        <v>1</v>
      </c>
      <c r="L486">
        <v>84.740740740000007</v>
      </c>
      <c r="M486">
        <v>29.167014049999999</v>
      </c>
      <c r="N486">
        <v>1.1169849999999999</v>
      </c>
      <c r="O486">
        <v>113.9375</v>
      </c>
      <c r="P486">
        <v>33.375507550000002</v>
      </c>
      <c r="Q486">
        <v>2.4262999999999999</v>
      </c>
      <c r="R486" t="s">
        <v>1015</v>
      </c>
      <c r="S486">
        <v>29.196759259999993</v>
      </c>
    </row>
    <row r="487" spans="1:19" x14ac:dyDescent="0.25">
      <c r="A487" t="s">
        <v>60</v>
      </c>
      <c r="B487" t="s">
        <v>891</v>
      </c>
      <c r="C487">
        <v>12</v>
      </c>
      <c r="D487" t="s">
        <v>33</v>
      </c>
      <c r="E487" t="s">
        <v>95</v>
      </c>
      <c r="F487" t="s">
        <v>110</v>
      </c>
      <c r="G487" t="s">
        <v>121</v>
      </c>
      <c r="H487" t="s">
        <v>241</v>
      </c>
      <c r="J487">
        <v>0</v>
      </c>
      <c r="K487">
        <v>2</v>
      </c>
      <c r="L487">
        <v>73.260869569999997</v>
      </c>
      <c r="M487">
        <v>34.453830549999999</v>
      </c>
      <c r="N487">
        <v>1.058333333</v>
      </c>
      <c r="O487">
        <v>114</v>
      </c>
      <c r="P487">
        <v>30.43077242</v>
      </c>
      <c r="Q487">
        <v>0.53383111100000002</v>
      </c>
      <c r="R487" t="s">
        <v>1015</v>
      </c>
      <c r="S487">
        <v>40.739130430000003</v>
      </c>
    </row>
    <row r="488" spans="1:19" x14ac:dyDescent="0.25">
      <c r="A488" t="s">
        <v>60</v>
      </c>
      <c r="B488" t="s">
        <v>891</v>
      </c>
      <c r="C488">
        <v>12</v>
      </c>
      <c r="D488" t="s">
        <v>33</v>
      </c>
      <c r="E488" t="s">
        <v>95</v>
      </c>
      <c r="F488" t="s">
        <v>110</v>
      </c>
      <c r="G488" t="s">
        <v>121</v>
      </c>
      <c r="H488" t="s">
        <v>246</v>
      </c>
      <c r="J488">
        <v>0</v>
      </c>
      <c r="K488">
        <v>2</v>
      </c>
      <c r="L488">
        <v>73.260869569999997</v>
      </c>
      <c r="M488">
        <v>34.453830549999999</v>
      </c>
      <c r="N488">
        <v>1.058333333</v>
      </c>
      <c r="O488">
        <v>120.25</v>
      </c>
      <c r="P488">
        <v>30.670450110000001</v>
      </c>
      <c r="Q488">
        <v>0.91037498500000003</v>
      </c>
      <c r="R488" t="s">
        <v>1015</v>
      </c>
      <c r="S488">
        <v>46.989130430000003</v>
      </c>
    </row>
    <row r="489" spans="1:19" x14ac:dyDescent="0.25">
      <c r="A489" t="s">
        <v>60</v>
      </c>
      <c r="B489" t="s">
        <v>892</v>
      </c>
      <c r="C489">
        <v>12</v>
      </c>
      <c r="D489" t="s">
        <v>33</v>
      </c>
      <c r="E489" t="s">
        <v>95</v>
      </c>
      <c r="F489" t="s">
        <v>104</v>
      </c>
      <c r="G489" t="s">
        <v>104</v>
      </c>
      <c r="H489" t="s">
        <v>104</v>
      </c>
      <c r="J489">
        <v>0</v>
      </c>
      <c r="K489">
        <v>1</v>
      </c>
      <c r="L489">
        <v>113.9375</v>
      </c>
      <c r="M489">
        <v>33.375507550000002</v>
      </c>
      <c r="N489">
        <v>2.4262999999999999</v>
      </c>
      <c r="O489">
        <v>113.9375</v>
      </c>
      <c r="P489">
        <v>33.375507550000002</v>
      </c>
      <c r="Q489">
        <v>2.4262999999999999</v>
      </c>
      <c r="R489" t="s">
        <v>1015</v>
      </c>
      <c r="S489">
        <v>0</v>
      </c>
    </row>
    <row r="490" spans="1:19" x14ac:dyDescent="0.25">
      <c r="A490" t="s">
        <v>60</v>
      </c>
      <c r="B490" t="s">
        <v>892</v>
      </c>
      <c r="C490">
        <v>12</v>
      </c>
      <c r="D490" t="s">
        <v>33</v>
      </c>
      <c r="E490" t="s">
        <v>95</v>
      </c>
      <c r="F490" t="s">
        <v>104</v>
      </c>
      <c r="G490" t="s">
        <v>104</v>
      </c>
      <c r="H490" t="s">
        <v>246</v>
      </c>
      <c r="J490">
        <v>0</v>
      </c>
      <c r="K490">
        <v>2</v>
      </c>
      <c r="L490">
        <v>113.9375</v>
      </c>
      <c r="M490">
        <v>33.375507550000002</v>
      </c>
      <c r="N490">
        <v>2.4262999999999999</v>
      </c>
      <c r="O490">
        <v>120.25</v>
      </c>
      <c r="P490">
        <v>30.670450110000001</v>
      </c>
      <c r="Q490">
        <v>0.91037498500000003</v>
      </c>
      <c r="R490" t="s">
        <v>1015</v>
      </c>
      <c r="S490">
        <v>6.3125</v>
      </c>
    </row>
    <row r="491" spans="1:19" x14ac:dyDescent="0.25">
      <c r="A491" t="s">
        <v>60</v>
      </c>
      <c r="B491" t="s">
        <v>892</v>
      </c>
      <c r="C491">
        <v>12</v>
      </c>
      <c r="D491" t="s">
        <v>33</v>
      </c>
      <c r="E491" t="s">
        <v>95</v>
      </c>
      <c r="F491" t="s">
        <v>104</v>
      </c>
      <c r="G491" t="s">
        <v>104</v>
      </c>
      <c r="H491" t="s">
        <v>797</v>
      </c>
      <c r="J491">
        <v>0</v>
      </c>
      <c r="K491">
        <v>1</v>
      </c>
      <c r="L491">
        <v>113.9375</v>
      </c>
      <c r="M491">
        <v>33.375507550000002</v>
      </c>
      <c r="N491">
        <v>2.4262999999999999</v>
      </c>
      <c r="O491">
        <v>179.45454549999999</v>
      </c>
      <c r="P491">
        <v>26.326869609999999</v>
      </c>
      <c r="Q491">
        <v>2.3456094639999998</v>
      </c>
      <c r="R491" t="s">
        <v>1015</v>
      </c>
      <c r="S491">
        <v>65.517045499999995</v>
      </c>
    </row>
    <row r="492" spans="1:19" x14ac:dyDescent="0.25">
      <c r="A492" t="s">
        <v>60</v>
      </c>
      <c r="B492" t="s">
        <v>892</v>
      </c>
      <c r="C492">
        <v>12</v>
      </c>
      <c r="D492" t="s">
        <v>33</v>
      </c>
      <c r="E492" t="s">
        <v>95</v>
      </c>
      <c r="F492" t="s">
        <v>104</v>
      </c>
      <c r="G492" t="s">
        <v>104</v>
      </c>
      <c r="H492" t="s">
        <v>247</v>
      </c>
      <c r="J492">
        <v>0</v>
      </c>
      <c r="K492">
        <v>1</v>
      </c>
      <c r="L492">
        <v>113.9375</v>
      </c>
      <c r="M492">
        <v>33.375507550000002</v>
      </c>
      <c r="N492">
        <v>2.4262999999999999</v>
      </c>
      <c r="O492">
        <v>65.791044779999993</v>
      </c>
      <c r="P492">
        <v>22.94519201</v>
      </c>
      <c r="Q492">
        <v>8.1320334999999994E-2</v>
      </c>
      <c r="R492" t="s">
        <v>1015</v>
      </c>
      <c r="S492">
        <v>48.146455220000007</v>
      </c>
    </row>
    <row r="493" spans="1:19" x14ac:dyDescent="0.25">
      <c r="A493" t="s">
        <v>60</v>
      </c>
      <c r="B493" t="s">
        <v>893</v>
      </c>
      <c r="C493">
        <v>12</v>
      </c>
      <c r="D493" t="s">
        <v>33</v>
      </c>
      <c r="E493" t="s">
        <v>95</v>
      </c>
      <c r="F493" t="s">
        <v>112</v>
      </c>
      <c r="G493" t="s">
        <v>121</v>
      </c>
      <c r="H493" t="s">
        <v>114</v>
      </c>
      <c r="J493">
        <v>0</v>
      </c>
      <c r="K493">
        <v>0</v>
      </c>
      <c r="L493">
        <v>65.09375</v>
      </c>
      <c r="M493">
        <v>37.895352600000002</v>
      </c>
      <c r="N493">
        <v>2.2882677779999998</v>
      </c>
      <c r="O493" t="s">
        <v>114</v>
      </c>
      <c r="P493" t="s">
        <v>114</v>
      </c>
      <c r="Q493" t="s">
        <v>114</v>
      </c>
      <c r="R493" t="s">
        <v>1015</v>
      </c>
      <c r="S493" t="s">
        <v>114</v>
      </c>
    </row>
    <row r="494" spans="1:19" x14ac:dyDescent="0.25">
      <c r="A494" t="s">
        <v>61</v>
      </c>
      <c r="B494" t="s">
        <v>894</v>
      </c>
      <c r="C494">
        <v>12</v>
      </c>
      <c r="D494" t="s">
        <v>35</v>
      </c>
      <c r="E494" t="s">
        <v>94</v>
      </c>
      <c r="F494" t="s">
        <v>102</v>
      </c>
      <c r="G494" t="s">
        <v>121</v>
      </c>
      <c r="H494" t="s">
        <v>162</v>
      </c>
      <c r="J494">
        <v>1</v>
      </c>
      <c r="K494">
        <v>1</v>
      </c>
      <c r="L494">
        <v>84.740740740000007</v>
      </c>
      <c r="M494">
        <v>29.167014049999999</v>
      </c>
      <c r="N494">
        <v>1.1169849999999999</v>
      </c>
      <c r="O494">
        <v>82.53846154</v>
      </c>
      <c r="P494">
        <v>35.660530039999998</v>
      </c>
      <c r="Q494">
        <v>3.3754499999999998</v>
      </c>
      <c r="R494" t="s">
        <v>1015</v>
      </c>
      <c r="S494">
        <v>2.2022792000000067</v>
      </c>
    </row>
    <row r="495" spans="1:19" x14ac:dyDescent="0.25">
      <c r="A495" t="s">
        <v>61</v>
      </c>
      <c r="B495" t="s">
        <v>895</v>
      </c>
      <c r="C495">
        <v>12</v>
      </c>
      <c r="D495" t="s">
        <v>35</v>
      </c>
      <c r="E495" t="s">
        <v>94</v>
      </c>
      <c r="F495" t="s">
        <v>110</v>
      </c>
      <c r="G495" t="s">
        <v>121</v>
      </c>
      <c r="H495" t="s">
        <v>162</v>
      </c>
      <c r="J495">
        <v>0</v>
      </c>
      <c r="K495">
        <v>1</v>
      </c>
      <c r="L495">
        <v>73.260869569999997</v>
      </c>
      <c r="M495">
        <v>34.453830549999999</v>
      </c>
      <c r="N495">
        <v>1.058333333</v>
      </c>
      <c r="O495">
        <v>82.53846154</v>
      </c>
      <c r="P495">
        <v>35.660530039999998</v>
      </c>
      <c r="Q495">
        <v>3.3754499999999998</v>
      </c>
      <c r="R495" t="s">
        <v>1015</v>
      </c>
      <c r="S495">
        <v>9.2775919700000031</v>
      </c>
    </row>
    <row r="496" spans="1:19" x14ac:dyDescent="0.25">
      <c r="A496" t="s">
        <v>61</v>
      </c>
      <c r="B496" t="s">
        <v>895</v>
      </c>
      <c r="C496">
        <v>12</v>
      </c>
      <c r="D496" t="s">
        <v>35</v>
      </c>
      <c r="E496" t="s">
        <v>94</v>
      </c>
      <c r="F496" t="s">
        <v>110</v>
      </c>
      <c r="G496" t="s">
        <v>121</v>
      </c>
      <c r="H496" t="s">
        <v>102</v>
      </c>
      <c r="J496">
        <v>0</v>
      </c>
      <c r="K496">
        <v>1</v>
      </c>
      <c r="L496">
        <v>73.260869569999997</v>
      </c>
      <c r="M496">
        <v>34.453830549999999</v>
      </c>
      <c r="N496">
        <v>1.058333333</v>
      </c>
      <c r="O496">
        <v>84.740740740000007</v>
      </c>
      <c r="P496">
        <v>29.167014049999999</v>
      </c>
      <c r="Q496">
        <v>1.1169849999999999</v>
      </c>
      <c r="R496" t="s">
        <v>1015</v>
      </c>
      <c r="S496">
        <v>11.47987117000001</v>
      </c>
    </row>
    <row r="497" spans="1:19" x14ac:dyDescent="0.25">
      <c r="A497" t="s">
        <v>61</v>
      </c>
      <c r="B497" t="s">
        <v>896</v>
      </c>
      <c r="C497">
        <v>12</v>
      </c>
      <c r="D497" t="s">
        <v>35</v>
      </c>
      <c r="E497" t="s">
        <v>94</v>
      </c>
      <c r="F497" t="s">
        <v>112</v>
      </c>
      <c r="G497" t="s">
        <v>121</v>
      </c>
      <c r="H497" t="s">
        <v>162</v>
      </c>
      <c r="J497">
        <v>0</v>
      </c>
      <c r="K497">
        <v>1</v>
      </c>
      <c r="L497">
        <v>65.09375</v>
      </c>
      <c r="M497">
        <v>37.895352600000002</v>
      </c>
      <c r="N497">
        <v>2.2882677779999998</v>
      </c>
      <c r="O497">
        <v>82.53846154</v>
      </c>
      <c r="P497">
        <v>35.660530039999998</v>
      </c>
      <c r="Q497">
        <v>3.3754499999999998</v>
      </c>
      <c r="R497" t="s">
        <v>1015</v>
      </c>
      <c r="S497">
        <v>17.44471154</v>
      </c>
    </row>
    <row r="498" spans="1:19" x14ac:dyDescent="0.25">
      <c r="A498" t="s">
        <v>62</v>
      </c>
      <c r="B498" t="s">
        <v>897</v>
      </c>
      <c r="C498">
        <v>12</v>
      </c>
      <c r="D498" t="s">
        <v>37</v>
      </c>
      <c r="E498" t="s">
        <v>95</v>
      </c>
      <c r="F498" t="s">
        <v>102</v>
      </c>
      <c r="G498" t="s">
        <v>121</v>
      </c>
      <c r="H498" t="s">
        <v>114</v>
      </c>
      <c r="J498">
        <v>0</v>
      </c>
      <c r="K498">
        <v>0</v>
      </c>
      <c r="L498">
        <v>84.740740740000007</v>
      </c>
      <c r="M498">
        <v>29.167014049999999</v>
      </c>
      <c r="N498">
        <v>1.1169849999999999</v>
      </c>
      <c r="O498" t="s">
        <v>114</v>
      </c>
      <c r="P498" t="s">
        <v>114</v>
      </c>
      <c r="Q498" t="s">
        <v>114</v>
      </c>
      <c r="R498" t="s">
        <v>1015</v>
      </c>
      <c r="S498" t="s">
        <v>114</v>
      </c>
    </row>
    <row r="499" spans="1:19" x14ac:dyDescent="0.25">
      <c r="A499" t="s">
        <v>62</v>
      </c>
      <c r="B499" t="s">
        <v>898</v>
      </c>
      <c r="C499">
        <v>12</v>
      </c>
      <c r="D499" t="s">
        <v>37</v>
      </c>
      <c r="E499" t="s">
        <v>95</v>
      </c>
      <c r="F499" t="s">
        <v>103</v>
      </c>
      <c r="G499" t="s">
        <v>121</v>
      </c>
      <c r="H499" t="s">
        <v>233</v>
      </c>
      <c r="J499">
        <v>0</v>
      </c>
      <c r="K499">
        <v>1</v>
      </c>
      <c r="L499">
        <v>98.291666669999998</v>
      </c>
      <c r="M499">
        <v>30.315130790000001</v>
      </c>
      <c r="N499">
        <v>5.0803484000000003E-2</v>
      </c>
      <c r="O499">
        <v>106.0540541</v>
      </c>
      <c r="P499">
        <v>52.690533369999997</v>
      </c>
      <c r="Q499">
        <v>7.6058968000000005E-2</v>
      </c>
      <c r="R499" t="s">
        <v>1015</v>
      </c>
      <c r="S499">
        <v>7.762387430000004</v>
      </c>
    </row>
    <row r="500" spans="1:19" x14ac:dyDescent="0.25">
      <c r="A500" t="s">
        <v>62</v>
      </c>
      <c r="B500" t="s">
        <v>898</v>
      </c>
      <c r="C500">
        <v>12</v>
      </c>
      <c r="D500" t="s">
        <v>37</v>
      </c>
      <c r="E500" t="s">
        <v>95</v>
      </c>
      <c r="F500" t="s">
        <v>103</v>
      </c>
      <c r="G500" t="s">
        <v>121</v>
      </c>
      <c r="H500" t="s">
        <v>234</v>
      </c>
      <c r="J500">
        <v>0</v>
      </c>
      <c r="K500">
        <v>1</v>
      </c>
      <c r="L500">
        <v>98.291666669999998</v>
      </c>
      <c r="M500">
        <v>30.315130790000001</v>
      </c>
      <c r="N500">
        <v>5.0803484000000003E-2</v>
      </c>
      <c r="O500">
        <v>89.8125</v>
      </c>
      <c r="P500">
        <v>34.754706650000003</v>
      </c>
      <c r="Q500">
        <v>2.3065078999999999E-2</v>
      </c>
      <c r="R500" t="s">
        <v>1015</v>
      </c>
      <c r="S500">
        <v>8.4791666699999979</v>
      </c>
    </row>
    <row r="501" spans="1:19" x14ac:dyDescent="0.25">
      <c r="A501" t="s">
        <v>62</v>
      </c>
      <c r="B501" t="s">
        <v>898</v>
      </c>
      <c r="C501">
        <v>12</v>
      </c>
      <c r="D501" t="s">
        <v>37</v>
      </c>
      <c r="E501" t="s">
        <v>95</v>
      </c>
      <c r="F501" t="s">
        <v>103</v>
      </c>
      <c r="G501" t="s">
        <v>121</v>
      </c>
      <c r="H501" t="s">
        <v>241</v>
      </c>
      <c r="J501">
        <v>0</v>
      </c>
      <c r="K501">
        <v>1</v>
      </c>
      <c r="L501">
        <v>98.291666669999998</v>
      </c>
      <c r="M501">
        <v>30.315130790000001</v>
      </c>
      <c r="N501">
        <v>5.0803484000000003E-2</v>
      </c>
      <c r="O501">
        <v>114</v>
      </c>
      <c r="P501">
        <v>30.43077242</v>
      </c>
      <c r="Q501">
        <v>0.53383111100000002</v>
      </c>
      <c r="R501" t="s">
        <v>1015</v>
      </c>
      <c r="S501">
        <v>15.708333330000002</v>
      </c>
    </row>
    <row r="502" spans="1:19" x14ac:dyDescent="0.25">
      <c r="A502" t="s">
        <v>63</v>
      </c>
      <c r="B502" t="s">
        <v>899</v>
      </c>
      <c r="C502">
        <v>12</v>
      </c>
      <c r="D502" t="s">
        <v>64</v>
      </c>
      <c r="E502" t="s">
        <v>94</v>
      </c>
      <c r="F502" t="s">
        <v>104</v>
      </c>
      <c r="G502" t="s">
        <v>121</v>
      </c>
      <c r="H502" t="s">
        <v>238</v>
      </c>
      <c r="J502">
        <v>0</v>
      </c>
      <c r="K502">
        <v>2</v>
      </c>
      <c r="L502">
        <v>113.9375</v>
      </c>
      <c r="M502">
        <v>33.375507550000002</v>
      </c>
      <c r="N502">
        <v>2.4262999999999999</v>
      </c>
      <c r="O502">
        <v>87.5</v>
      </c>
      <c r="P502">
        <v>29.478311600000001</v>
      </c>
      <c r="Q502">
        <v>3.0797751000000002E-2</v>
      </c>
      <c r="R502" t="s">
        <v>1015</v>
      </c>
      <c r="S502">
        <v>26.4375</v>
      </c>
    </row>
    <row r="503" spans="1:19" x14ac:dyDescent="0.25">
      <c r="A503" t="s">
        <v>63</v>
      </c>
      <c r="B503" t="s">
        <v>899</v>
      </c>
      <c r="C503">
        <v>12</v>
      </c>
      <c r="D503" t="s">
        <v>64</v>
      </c>
      <c r="E503" t="s">
        <v>94</v>
      </c>
      <c r="F503" t="s">
        <v>104</v>
      </c>
      <c r="G503" t="s">
        <v>121</v>
      </c>
      <c r="H503" t="s">
        <v>103</v>
      </c>
      <c r="J503">
        <v>0</v>
      </c>
      <c r="K503">
        <v>1</v>
      </c>
      <c r="L503">
        <v>113.9375</v>
      </c>
      <c r="M503">
        <v>33.375507550000002</v>
      </c>
      <c r="N503">
        <v>2.4262999999999999</v>
      </c>
      <c r="O503">
        <v>98.291666669999998</v>
      </c>
      <c r="P503">
        <v>30.315130790000001</v>
      </c>
      <c r="Q503">
        <v>5.0803484000000003E-2</v>
      </c>
      <c r="R503" t="s">
        <v>1015</v>
      </c>
      <c r="S503">
        <v>15.645833330000002</v>
      </c>
    </row>
    <row r="504" spans="1:19" x14ac:dyDescent="0.25">
      <c r="A504" t="s">
        <v>63</v>
      </c>
      <c r="B504" t="s">
        <v>899</v>
      </c>
      <c r="C504">
        <v>12</v>
      </c>
      <c r="D504" t="s">
        <v>64</v>
      </c>
      <c r="E504" t="s">
        <v>94</v>
      </c>
      <c r="F504" t="s">
        <v>104</v>
      </c>
      <c r="G504" t="s">
        <v>121</v>
      </c>
      <c r="H504" t="s">
        <v>248</v>
      </c>
      <c r="J504">
        <v>0</v>
      </c>
      <c r="K504">
        <v>2</v>
      </c>
      <c r="L504">
        <v>113.9375</v>
      </c>
      <c r="M504">
        <v>33.375507550000002</v>
      </c>
      <c r="N504">
        <v>2.4262999999999999</v>
      </c>
      <c r="O504">
        <v>83.92307692</v>
      </c>
      <c r="P504">
        <v>44.319135699999997</v>
      </c>
      <c r="Q504">
        <v>5.9548609999999997E-3</v>
      </c>
      <c r="R504" t="s">
        <v>1015</v>
      </c>
      <c r="S504">
        <v>30.01442308</v>
      </c>
    </row>
    <row r="505" spans="1:19" x14ac:dyDescent="0.25">
      <c r="A505" t="s">
        <v>65</v>
      </c>
      <c r="B505" t="s">
        <v>900</v>
      </c>
      <c r="C505">
        <v>12</v>
      </c>
      <c r="D505" t="s">
        <v>66</v>
      </c>
      <c r="E505" t="s">
        <v>95</v>
      </c>
      <c r="F505" t="s">
        <v>105</v>
      </c>
      <c r="G505" t="s">
        <v>121</v>
      </c>
      <c r="H505" t="s">
        <v>111</v>
      </c>
      <c r="J505">
        <v>0</v>
      </c>
      <c r="K505">
        <v>1</v>
      </c>
      <c r="L505">
        <v>67.5</v>
      </c>
      <c r="M505">
        <v>47.937235809999997</v>
      </c>
      <c r="N505">
        <v>0.41599678000000001</v>
      </c>
      <c r="O505">
        <v>94.97142857</v>
      </c>
      <c r="P505">
        <v>24.31591813</v>
      </c>
      <c r="Q505">
        <v>0.122951111</v>
      </c>
      <c r="R505" t="s">
        <v>1015</v>
      </c>
      <c r="S505">
        <v>27.47142857</v>
      </c>
    </row>
    <row r="506" spans="1:19" x14ac:dyDescent="0.25">
      <c r="A506" t="s">
        <v>65</v>
      </c>
      <c r="B506" t="s">
        <v>900</v>
      </c>
      <c r="C506">
        <v>12</v>
      </c>
      <c r="D506" t="s">
        <v>66</v>
      </c>
      <c r="E506" t="s">
        <v>95</v>
      </c>
      <c r="F506" t="s">
        <v>105</v>
      </c>
      <c r="G506" t="s">
        <v>121</v>
      </c>
      <c r="H506" t="s">
        <v>808</v>
      </c>
      <c r="J506">
        <v>0</v>
      </c>
      <c r="K506">
        <v>1</v>
      </c>
      <c r="L506">
        <v>67.5</v>
      </c>
      <c r="M506">
        <v>47.937235809999997</v>
      </c>
      <c r="N506">
        <v>0.41599678000000001</v>
      </c>
      <c r="O506">
        <v>102.79166669999999</v>
      </c>
      <c r="P506">
        <v>27.057373470000002</v>
      </c>
      <c r="Q506">
        <v>6.3567849939999999</v>
      </c>
      <c r="R506" t="s">
        <v>1015</v>
      </c>
      <c r="S506">
        <v>35.291666699999993</v>
      </c>
    </row>
    <row r="507" spans="1:19" x14ac:dyDescent="0.25">
      <c r="A507" t="s">
        <v>65</v>
      </c>
      <c r="B507" t="s">
        <v>900</v>
      </c>
      <c r="C507">
        <v>12</v>
      </c>
      <c r="D507" t="s">
        <v>66</v>
      </c>
      <c r="E507" t="s">
        <v>95</v>
      </c>
      <c r="F507" t="s">
        <v>105</v>
      </c>
      <c r="G507" t="s">
        <v>121</v>
      </c>
      <c r="H507" t="s">
        <v>247</v>
      </c>
      <c r="J507">
        <v>0</v>
      </c>
      <c r="K507">
        <v>1</v>
      </c>
      <c r="L507">
        <v>67.5</v>
      </c>
      <c r="M507">
        <v>47.937235809999997</v>
      </c>
      <c r="N507">
        <v>0.41599678000000001</v>
      </c>
      <c r="O507">
        <v>65.791044779999993</v>
      </c>
      <c r="P507">
        <v>22.94519201</v>
      </c>
      <c r="Q507">
        <v>8.1320334999999994E-2</v>
      </c>
      <c r="R507" t="s">
        <v>1015</v>
      </c>
      <c r="S507">
        <v>1.7089552200000071</v>
      </c>
    </row>
    <row r="508" spans="1:19" x14ac:dyDescent="0.25">
      <c r="A508" t="s">
        <v>65</v>
      </c>
      <c r="B508" t="s">
        <v>900</v>
      </c>
      <c r="C508">
        <v>12</v>
      </c>
      <c r="D508" t="s">
        <v>66</v>
      </c>
      <c r="E508" t="s">
        <v>95</v>
      </c>
      <c r="F508" t="s">
        <v>105</v>
      </c>
      <c r="G508" t="s">
        <v>121</v>
      </c>
      <c r="H508" t="s">
        <v>248</v>
      </c>
      <c r="J508">
        <v>0</v>
      </c>
      <c r="K508">
        <v>2</v>
      </c>
      <c r="L508">
        <v>67.5</v>
      </c>
      <c r="M508">
        <v>47.937235809999997</v>
      </c>
      <c r="N508">
        <v>0.41599678000000001</v>
      </c>
      <c r="O508">
        <v>83.92307692</v>
      </c>
      <c r="P508">
        <v>44.319135699999997</v>
      </c>
      <c r="Q508">
        <v>5.9548609999999997E-3</v>
      </c>
      <c r="R508" t="s">
        <v>1015</v>
      </c>
      <c r="S508">
        <v>16.42307692</v>
      </c>
    </row>
    <row r="509" spans="1:19" x14ac:dyDescent="0.25">
      <c r="A509" t="s">
        <v>10</v>
      </c>
      <c r="B509" t="s">
        <v>901</v>
      </c>
      <c r="C509">
        <v>15</v>
      </c>
      <c r="D509" t="s">
        <v>11</v>
      </c>
      <c r="E509" t="s">
        <v>94</v>
      </c>
      <c r="F509" t="s">
        <v>102</v>
      </c>
      <c r="G509" t="s">
        <v>102</v>
      </c>
      <c r="H509" t="s">
        <v>102</v>
      </c>
      <c r="J509">
        <v>0</v>
      </c>
      <c r="K509">
        <v>1</v>
      </c>
      <c r="L509">
        <v>84.740740740000007</v>
      </c>
      <c r="M509">
        <v>29.167014049999999</v>
      </c>
      <c r="N509">
        <v>1.1169849999999999</v>
      </c>
      <c r="O509">
        <v>84.740740740000007</v>
      </c>
      <c r="P509">
        <v>29.167014049999999</v>
      </c>
      <c r="Q509">
        <v>1.1169849999999999</v>
      </c>
      <c r="R509" t="s">
        <v>1015</v>
      </c>
      <c r="S509">
        <v>0</v>
      </c>
    </row>
    <row r="510" spans="1:19" x14ac:dyDescent="0.25">
      <c r="A510" t="s">
        <v>10</v>
      </c>
      <c r="B510" t="s">
        <v>901</v>
      </c>
      <c r="C510">
        <v>16</v>
      </c>
      <c r="D510" t="s">
        <v>11</v>
      </c>
      <c r="E510" t="s">
        <v>94</v>
      </c>
      <c r="F510" t="s">
        <v>102</v>
      </c>
      <c r="G510" t="s">
        <v>102</v>
      </c>
      <c r="H510" t="s">
        <v>111</v>
      </c>
      <c r="J510">
        <v>0</v>
      </c>
      <c r="K510">
        <v>1</v>
      </c>
      <c r="L510">
        <v>84.740740740000007</v>
      </c>
      <c r="M510">
        <v>29.167014049999999</v>
      </c>
      <c r="N510">
        <v>1.1169849999999999</v>
      </c>
      <c r="O510">
        <v>94.97142857</v>
      </c>
      <c r="P510">
        <v>24.31591813</v>
      </c>
      <c r="Q510">
        <v>0.122951111</v>
      </c>
      <c r="R510" t="s">
        <v>1015</v>
      </c>
      <c r="S510">
        <v>10.230687829999994</v>
      </c>
    </row>
    <row r="511" spans="1:19" x14ac:dyDescent="0.25">
      <c r="A511" t="s">
        <v>10</v>
      </c>
      <c r="B511" t="s">
        <v>902</v>
      </c>
      <c r="C511">
        <v>15</v>
      </c>
      <c r="D511" t="s">
        <v>11</v>
      </c>
      <c r="E511" t="s">
        <v>94</v>
      </c>
      <c r="F511" t="s">
        <v>105</v>
      </c>
      <c r="G511" t="s">
        <v>121</v>
      </c>
      <c r="H511" t="s">
        <v>244</v>
      </c>
      <c r="J511">
        <v>0</v>
      </c>
      <c r="K511">
        <v>2</v>
      </c>
      <c r="L511">
        <v>67.5</v>
      </c>
      <c r="M511">
        <v>47.937235809999997</v>
      </c>
      <c r="N511">
        <v>0.41599678000000001</v>
      </c>
      <c r="O511">
        <v>75</v>
      </c>
      <c r="P511">
        <v>28.80614499</v>
      </c>
      <c r="Q511">
        <v>2.3860428570000001</v>
      </c>
      <c r="R511" t="s">
        <v>1015</v>
      </c>
      <c r="S511">
        <v>7.5</v>
      </c>
    </row>
    <row r="512" spans="1:19" x14ac:dyDescent="0.25">
      <c r="A512" t="s">
        <v>10</v>
      </c>
      <c r="B512" t="s">
        <v>902</v>
      </c>
      <c r="C512">
        <v>16</v>
      </c>
      <c r="D512" t="s">
        <v>11</v>
      </c>
      <c r="E512" t="s">
        <v>94</v>
      </c>
      <c r="F512" t="s">
        <v>105</v>
      </c>
      <c r="G512" t="s">
        <v>121</v>
      </c>
      <c r="H512" t="s">
        <v>104</v>
      </c>
      <c r="J512">
        <v>0</v>
      </c>
      <c r="K512">
        <v>1</v>
      </c>
      <c r="L512">
        <v>67.5</v>
      </c>
      <c r="M512">
        <v>47.937235809999997</v>
      </c>
      <c r="N512">
        <v>0.41599678000000001</v>
      </c>
      <c r="O512">
        <v>113.9375</v>
      </c>
      <c r="P512">
        <v>33.375507550000002</v>
      </c>
      <c r="Q512">
        <v>2.4262999999999999</v>
      </c>
      <c r="R512" t="s">
        <v>1015</v>
      </c>
      <c r="S512">
        <v>46.4375</v>
      </c>
    </row>
    <row r="513" spans="1:19" x14ac:dyDescent="0.25">
      <c r="A513" t="s">
        <v>10</v>
      </c>
      <c r="B513" t="s">
        <v>903</v>
      </c>
      <c r="C513">
        <v>15</v>
      </c>
      <c r="D513" t="s">
        <v>11</v>
      </c>
      <c r="E513" t="s">
        <v>94</v>
      </c>
      <c r="F513" t="s">
        <v>103</v>
      </c>
      <c r="G513" t="s">
        <v>121</v>
      </c>
      <c r="H513" t="s">
        <v>245</v>
      </c>
      <c r="J513">
        <v>0</v>
      </c>
      <c r="K513">
        <v>1</v>
      </c>
      <c r="L513">
        <v>98.291666669999998</v>
      </c>
      <c r="M513">
        <v>30.315130790000001</v>
      </c>
      <c r="N513">
        <v>5.0803484000000003E-2</v>
      </c>
      <c r="O513" t="s">
        <v>114</v>
      </c>
      <c r="P513" t="s">
        <v>114</v>
      </c>
      <c r="Q513" t="s">
        <v>114</v>
      </c>
      <c r="R513" t="s">
        <v>1015</v>
      </c>
      <c r="S513" t="s">
        <v>114</v>
      </c>
    </row>
    <row r="514" spans="1:19" x14ac:dyDescent="0.25">
      <c r="A514" t="s">
        <v>10</v>
      </c>
      <c r="B514" t="s">
        <v>904</v>
      </c>
      <c r="C514">
        <v>15</v>
      </c>
      <c r="D514" t="s">
        <v>11</v>
      </c>
      <c r="E514" t="s">
        <v>94</v>
      </c>
      <c r="F514" t="s">
        <v>104</v>
      </c>
      <c r="G514" t="s">
        <v>121</v>
      </c>
      <c r="H514" t="s">
        <v>242</v>
      </c>
      <c r="J514">
        <v>0</v>
      </c>
      <c r="K514">
        <v>6</v>
      </c>
      <c r="L514">
        <v>113.9375</v>
      </c>
      <c r="M514">
        <v>33.375507550000002</v>
      </c>
      <c r="N514">
        <v>2.4262999999999999</v>
      </c>
      <c r="O514">
        <v>139.375</v>
      </c>
      <c r="P514">
        <v>23.713465920000001</v>
      </c>
      <c r="Q514" t="s">
        <v>114</v>
      </c>
      <c r="R514" t="s">
        <v>1015</v>
      </c>
      <c r="S514">
        <v>25.4375</v>
      </c>
    </row>
    <row r="515" spans="1:19" x14ac:dyDescent="0.25">
      <c r="A515" t="s">
        <v>14</v>
      </c>
      <c r="B515" t="s">
        <v>905</v>
      </c>
      <c r="C515">
        <v>15</v>
      </c>
      <c r="D515" t="s">
        <v>15</v>
      </c>
      <c r="E515" t="s">
        <v>94</v>
      </c>
      <c r="F515" t="s">
        <v>102</v>
      </c>
      <c r="G515" t="s">
        <v>121</v>
      </c>
      <c r="H515" t="s">
        <v>114</v>
      </c>
      <c r="J515">
        <v>0</v>
      </c>
      <c r="K515" t="s">
        <v>114</v>
      </c>
      <c r="L515">
        <v>84.740740740000007</v>
      </c>
      <c r="M515">
        <v>29.167014049999999</v>
      </c>
      <c r="N515">
        <v>1.1169849999999999</v>
      </c>
      <c r="O515" t="s">
        <v>114</v>
      </c>
      <c r="P515" t="s">
        <v>114</v>
      </c>
      <c r="Q515" t="s">
        <v>114</v>
      </c>
      <c r="R515" t="s">
        <v>1015</v>
      </c>
      <c r="S515" t="s">
        <v>114</v>
      </c>
    </row>
    <row r="516" spans="1:19" x14ac:dyDescent="0.25">
      <c r="A516" t="s">
        <v>14</v>
      </c>
      <c r="B516" t="s">
        <v>906</v>
      </c>
      <c r="C516">
        <v>15</v>
      </c>
      <c r="D516" t="s">
        <v>15</v>
      </c>
      <c r="E516" t="s">
        <v>94</v>
      </c>
      <c r="F516" t="s">
        <v>110</v>
      </c>
      <c r="G516" t="s">
        <v>121</v>
      </c>
      <c r="H516" t="s">
        <v>114</v>
      </c>
      <c r="J516">
        <v>0</v>
      </c>
      <c r="K516" t="s">
        <v>114</v>
      </c>
      <c r="L516">
        <v>73.260869569999997</v>
      </c>
      <c r="M516">
        <v>34.453830549999999</v>
      </c>
      <c r="N516">
        <v>1.058333333</v>
      </c>
      <c r="O516" t="s">
        <v>114</v>
      </c>
      <c r="P516" t="s">
        <v>114</v>
      </c>
      <c r="Q516" t="s">
        <v>114</v>
      </c>
      <c r="R516" t="s">
        <v>1015</v>
      </c>
      <c r="S516" t="s">
        <v>114</v>
      </c>
    </row>
    <row r="517" spans="1:19" x14ac:dyDescent="0.25">
      <c r="A517" t="s">
        <v>14</v>
      </c>
      <c r="B517" t="s">
        <v>907</v>
      </c>
      <c r="C517">
        <v>15</v>
      </c>
      <c r="D517" t="s">
        <v>15</v>
      </c>
      <c r="E517" t="s">
        <v>94</v>
      </c>
      <c r="F517" t="s">
        <v>111</v>
      </c>
      <c r="G517" t="s">
        <v>110</v>
      </c>
      <c r="H517" t="s">
        <v>110</v>
      </c>
      <c r="J517">
        <v>0</v>
      </c>
      <c r="K517">
        <v>1</v>
      </c>
      <c r="L517">
        <v>94.97142857</v>
      </c>
      <c r="M517">
        <v>24.31591813</v>
      </c>
      <c r="N517">
        <v>0.122951111</v>
      </c>
      <c r="O517">
        <v>73.260869569999997</v>
      </c>
      <c r="P517">
        <v>34.453830549999999</v>
      </c>
      <c r="Q517">
        <v>1.058333333</v>
      </c>
      <c r="R517" t="s">
        <v>1015</v>
      </c>
      <c r="S517">
        <v>21.710559000000003</v>
      </c>
    </row>
    <row r="518" spans="1:19" x14ac:dyDescent="0.25">
      <c r="A518" t="s">
        <v>14</v>
      </c>
      <c r="B518" t="s">
        <v>908</v>
      </c>
      <c r="C518">
        <v>15</v>
      </c>
      <c r="D518" t="s">
        <v>15</v>
      </c>
      <c r="E518" t="s">
        <v>94</v>
      </c>
      <c r="F518" t="s">
        <v>104</v>
      </c>
      <c r="G518" t="s">
        <v>110</v>
      </c>
      <c r="H518" t="s">
        <v>110</v>
      </c>
      <c r="J518">
        <v>0</v>
      </c>
      <c r="K518">
        <v>1</v>
      </c>
      <c r="L518">
        <v>113.9375</v>
      </c>
      <c r="M518">
        <v>33.375507550000002</v>
      </c>
      <c r="N518">
        <v>2.4262999999999999</v>
      </c>
      <c r="O518">
        <v>73.260869569999997</v>
      </c>
      <c r="P518">
        <v>34.453830549999999</v>
      </c>
      <c r="Q518">
        <v>1.058333333</v>
      </c>
      <c r="R518" t="s">
        <v>1015</v>
      </c>
      <c r="S518">
        <v>40.676630430000003</v>
      </c>
    </row>
    <row r="519" spans="1:19" x14ac:dyDescent="0.25">
      <c r="A519" t="s">
        <v>14</v>
      </c>
      <c r="B519" t="s">
        <v>908</v>
      </c>
      <c r="C519">
        <v>16</v>
      </c>
      <c r="D519" t="s">
        <v>15</v>
      </c>
      <c r="E519" t="s">
        <v>94</v>
      </c>
      <c r="F519" t="s">
        <v>104</v>
      </c>
      <c r="G519" t="s">
        <v>110</v>
      </c>
      <c r="H519" t="s">
        <v>104</v>
      </c>
      <c r="J519">
        <v>0</v>
      </c>
      <c r="K519">
        <v>2</v>
      </c>
      <c r="L519">
        <v>113.9375</v>
      </c>
      <c r="M519">
        <v>33.375507550000002</v>
      </c>
      <c r="N519">
        <v>2.4262999999999999</v>
      </c>
      <c r="O519">
        <v>113.9375</v>
      </c>
      <c r="P519">
        <v>33.375507550000002</v>
      </c>
      <c r="Q519">
        <v>2.4262999999999999</v>
      </c>
      <c r="R519" t="s">
        <v>1015</v>
      </c>
      <c r="S519">
        <v>0</v>
      </c>
    </row>
    <row r="520" spans="1:19" x14ac:dyDescent="0.25">
      <c r="A520" t="s">
        <v>16</v>
      </c>
      <c r="B520" t="s">
        <v>909</v>
      </c>
      <c r="C520">
        <v>15</v>
      </c>
      <c r="D520" t="s">
        <v>17</v>
      </c>
      <c r="E520" t="s">
        <v>95</v>
      </c>
      <c r="F520" t="s">
        <v>113</v>
      </c>
      <c r="G520" t="s">
        <v>104</v>
      </c>
      <c r="H520" t="s">
        <v>104</v>
      </c>
      <c r="J520">
        <v>0</v>
      </c>
      <c r="K520">
        <v>1</v>
      </c>
      <c r="L520">
        <v>83.757575759999995</v>
      </c>
      <c r="M520">
        <v>22.60997987</v>
      </c>
      <c r="N520">
        <v>0.72884000000000004</v>
      </c>
      <c r="O520">
        <v>113.9375</v>
      </c>
      <c r="P520">
        <v>33.375507550000002</v>
      </c>
      <c r="Q520">
        <v>2.4262999999999999</v>
      </c>
      <c r="R520" t="s">
        <v>1015</v>
      </c>
      <c r="S520">
        <v>30.179924240000005</v>
      </c>
    </row>
    <row r="521" spans="1:19" x14ac:dyDescent="0.25">
      <c r="A521" t="s">
        <v>16</v>
      </c>
      <c r="B521" t="s">
        <v>909</v>
      </c>
      <c r="C521">
        <v>16</v>
      </c>
      <c r="D521" t="s">
        <v>17</v>
      </c>
      <c r="E521" t="s">
        <v>95</v>
      </c>
      <c r="F521" t="s">
        <v>113</v>
      </c>
      <c r="G521" t="s">
        <v>104</v>
      </c>
      <c r="H521" t="s">
        <v>113</v>
      </c>
      <c r="J521">
        <v>0</v>
      </c>
      <c r="K521">
        <v>3</v>
      </c>
      <c r="L521">
        <v>83.757575759999995</v>
      </c>
      <c r="M521">
        <v>22.60997987</v>
      </c>
      <c r="N521">
        <v>0.72884000000000004</v>
      </c>
      <c r="O521">
        <v>83.757575759999995</v>
      </c>
      <c r="P521">
        <v>22.60997987</v>
      </c>
      <c r="Q521">
        <v>0.72884000000000004</v>
      </c>
      <c r="R521" t="s">
        <v>1015</v>
      </c>
      <c r="S521">
        <v>0</v>
      </c>
    </row>
    <row r="522" spans="1:19" x14ac:dyDescent="0.25">
      <c r="A522" t="s">
        <v>16</v>
      </c>
      <c r="B522" t="s">
        <v>910</v>
      </c>
      <c r="C522">
        <v>15</v>
      </c>
      <c r="D522" t="s">
        <v>17</v>
      </c>
      <c r="E522" t="s">
        <v>95</v>
      </c>
      <c r="F522" t="s">
        <v>110</v>
      </c>
      <c r="G522" t="s">
        <v>121</v>
      </c>
      <c r="H522" t="s">
        <v>104</v>
      </c>
      <c r="J522">
        <v>0</v>
      </c>
      <c r="K522">
        <v>1</v>
      </c>
      <c r="L522">
        <v>73.260869569999997</v>
      </c>
      <c r="M522">
        <v>34.453830549999999</v>
      </c>
      <c r="N522">
        <v>1.058333333</v>
      </c>
      <c r="O522">
        <v>113.9375</v>
      </c>
      <c r="P522">
        <v>33.375507550000002</v>
      </c>
      <c r="Q522">
        <v>2.4262999999999999</v>
      </c>
      <c r="R522" t="s">
        <v>1015</v>
      </c>
      <c r="S522">
        <v>40.676630430000003</v>
      </c>
    </row>
    <row r="523" spans="1:19" x14ac:dyDescent="0.25">
      <c r="A523" t="s">
        <v>16</v>
      </c>
      <c r="B523" t="s">
        <v>910</v>
      </c>
      <c r="C523">
        <v>16</v>
      </c>
      <c r="D523" t="s">
        <v>17</v>
      </c>
      <c r="E523" t="s">
        <v>95</v>
      </c>
      <c r="F523" t="s">
        <v>110</v>
      </c>
      <c r="G523" t="s">
        <v>121</v>
      </c>
      <c r="H523" t="s">
        <v>241</v>
      </c>
      <c r="J523">
        <v>0</v>
      </c>
      <c r="K523">
        <v>1</v>
      </c>
      <c r="L523">
        <v>73.260869569999997</v>
      </c>
      <c r="M523">
        <v>34.453830549999999</v>
      </c>
      <c r="N523">
        <v>1.058333333</v>
      </c>
      <c r="O523">
        <v>114</v>
      </c>
      <c r="P523">
        <v>30.43077242</v>
      </c>
      <c r="Q523">
        <v>0.53383111100000002</v>
      </c>
      <c r="R523" t="s">
        <v>1015</v>
      </c>
      <c r="S523">
        <v>40.739130430000003</v>
      </c>
    </row>
    <row r="524" spans="1:19" x14ac:dyDescent="0.25">
      <c r="A524" t="s">
        <v>16</v>
      </c>
      <c r="B524" t="s">
        <v>911</v>
      </c>
      <c r="C524">
        <v>15</v>
      </c>
      <c r="D524" t="s">
        <v>17</v>
      </c>
      <c r="E524" t="s">
        <v>95</v>
      </c>
      <c r="F524" t="s">
        <v>111</v>
      </c>
      <c r="G524" t="s">
        <v>113</v>
      </c>
      <c r="H524" t="s">
        <v>113</v>
      </c>
      <c r="J524">
        <v>0</v>
      </c>
      <c r="K524">
        <v>2</v>
      </c>
      <c r="L524">
        <v>94.97142857</v>
      </c>
      <c r="M524">
        <v>24.31591813</v>
      </c>
      <c r="N524">
        <v>0.122951111</v>
      </c>
      <c r="O524">
        <v>83.757575759999995</v>
      </c>
      <c r="P524">
        <v>22.60997987</v>
      </c>
      <c r="Q524">
        <v>0.72884000000000004</v>
      </c>
      <c r="R524" t="s">
        <v>1015</v>
      </c>
      <c r="S524">
        <v>11.213852810000006</v>
      </c>
    </row>
    <row r="525" spans="1:19" x14ac:dyDescent="0.25">
      <c r="A525" t="s">
        <v>16</v>
      </c>
      <c r="B525" t="s">
        <v>911</v>
      </c>
      <c r="C525">
        <v>16</v>
      </c>
      <c r="D525" t="s">
        <v>17</v>
      </c>
      <c r="E525" t="s">
        <v>95</v>
      </c>
      <c r="F525" t="s">
        <v>111</v>
      </c>
      <c r="G525" t="s">
        <v>113</v>
      </c>
      <c r="H525" t="s">
        <v>247</v>
      </c>
      <c r="J525">
        <v>0</v>
      </c>
      <c r="K525">
        <v>3</v>
      </c>
      <c r="L525">
        <v>94.97142857</v>
      </c>
      <c r="M525">
        <v>24.31591813</v>
      </c>
      <c r="N525">
        <v>0.122951111</v>
      </c>
      <c r="O525">
        <v>65.791044779999993</v>
      </c>
      <c r="P525">
        <v>22.94519201</v>
      </c>
      <c r="Q525">
        <v>8.1320334999999994E-2</v>
      </c>
      <c r="R525" t="s">
        <v>1015</v>
      </c>
      <c r="S525">
        <v>29.180383790000008</v>
      </c>
    </row>
    <row r="526" spans="1:19" x14ac:dyDescent="0.25">
      <c r="A526" t="s">
        <v>16</v>
      </c>
      <c r="B526" t="s">
        <v>912</v>
      </c>
      <c r="C526">
        <v>15</v>
      </c>
      <c r="D526" t="s">
        <v>17</v>
      </c>
      <c r="E526" t="s">
        <v>95</v>
      </c>
      <c r="F526" t="s">
        <v>104</v>
      </c>
      <c r="G526" t="s">
        <v>121</v>
      </c>
      <c r="H526" t="s">
        <v>247</v>
      </c>
      <c r="J526">
        <v>0</v>
      </c>
      <c r="K526">
        <v>1</v>
      </c>
      <c r="L526">
        <v>113.9375</v>
      </c>
      <c r="M526">
        <v>33.375507550000002</v>
      </c>
      <c r="N526">
        <v>2.4262999999999999</v>
      </c>
      <c r="O526">
        <v>65.791044779999993</v>
      </c>
      <c r="P526">
        <v>22.94519201</v>
      </c>
      <c r="Q526">
        <v>8.1320334999999994E-2</v>
      </c>
      <c r="R526" t="s">
        <v>1015</v>
      </c>
      <c r="S526">
        <v>48.146455220000007</v>
      </c>
    </row>
    <row r="527" spans="1:19" x14ac:dyDescent="0.25">
      <c r="A527" t="s">
        <v>16</v>
      </c>
      <c r="B527" t="s">
        <v>912</v>
      </c>
      <c r="C527">
        <v>16</v>
      </c>
      <c r="D527" t="s">
        <v>17</v>
      </c>
      <c r="E527" t="s">
        <v>95</v>
      </c>
      <c r="F527" t="s">
        <v>104</v>
      </c>
      <c r="G527" t="s">
        <v>121</v>
      </c>
      <c r="H527" t="s">
        <v>111</v>
      </c>
      <c r="J527">
        <v>0</v>
      </c>
      <c r="K527">
        <v>1</v>
      </c>
      <c r="L527">
        <v>113.9375</v>
      </c>
      <c r="M527">
        <v>33.375507550000002</v>
      </c>
      <c r="N527">
        <v>2.4262999999999999</v>
      </c>
      <c r="O527">
        <v>94.97142857</v>
      </c>
      <c r="P527">
        <v>24.31591813</v>
      </c>
      <c r="Q527">
        <v>0.122951111</v>
      </c>
      <c r="R527" t="s">
        <v>1015</v>
      </c>
      <c r="S527">
        <v>18.96607143</v>
      </c>
    </row>
    <row r="528" spans="1:19" x14ac:dyDescent="0.25">
      <c r="A528" t="s">
        <v>18</v>
      </c>
      <c r="B528" t="s">
        <v>913</v>
      </c>
      <c r="C528">
        <v>15</v>
      </c>
      <c r="D528" t="s">
        <v>19</v>
      </c>
      <c r="E528" t="s">
        <v>95</v>
      </c>
      <c r="F528" t="s">
        <v>113</v>
      </c>
      <c r="G528" t="s">
        <v>121</v>
      </c>
      <c r="H528" t="s">
        <v>113</v>
      </c>
      <c r="J528">
        <v>0</v>
      </c>
      <c r="K528">
        <v>3</v>
      </c>
      <c r="L528">
        <v>83.757575759999995</v>
      </c>
      <c r="M528">
        <v>22.60997987</v>
      </c>
      <c r="N528">
        <v>0.72884000000000004</v>
      </c>
      <c r="O528">
        <v>83.757575759999995</v>
      </c>
      <c r="P528">
        <v>22.60997987</v>
      </c>
      <c r="Q528">
        <v>0.72884000000000004</v>
      </c>
      <c r="R528" t="s">
        <v>1015</v>
      </c>
      <c r="S528">
        <v>0</v>
      </c>
    </row>
    <row r="529" spans="1:19" x14ac:dyDescent="0.25">
      <c r="A529" t="s">
        <v>18</v>
      </c>
      <c r="B529" t="s">
        <v>913</v>
      </c>
      <c r="C529">
        <v>16</v>
      </c>
      <c r="D529" t="s">
        <v>19</v>
      </c>
      <c r="E529" t="s">
        <v>95</v>
      </c>
      <c r="F529" t="s">
        <v>113</v>
      </c>
      <c r="G529" t="s">
        <v>121</v>
      </c>
      <c r="H529" t="s">
        <v>808</v>
      </c>
      <c r="J529">
        <v>0</v>
      </c>
      <c r="K529">
        <v>1</v>
      </c>
      <c r="L529">
        <v>83.757575759999995</v>
      </c>
      <c r="M529">
        <v>22.60997987</v>
      </c>
      <c r="N529">
        <v>0.72884000000000004</v>
      </c>
      <c r="O529">
        <v>102.79166669999999</v>
      </c>
      <c r="P529">
        <v>27.057373470000002</v>
      </c>
      <c r="Q529">
        <v>6.3567849939999999</v>
      </c>
      <c r="R529" t="s">
        <v>1015</v>
      </c>
      <c r="S529">
        <v>19.034090939999999</v>
      </c>
    </row>
    <row r="530" spans="1:19" x14ac:dyDescent="0.25">
      <c r="A530" t="s">
        <v>18</v>
      </c>
      <c r="B530" t="s">
        <v>913</v>
      </c>
      <c r="C530">
        <v>17</v>
      </c>
      <c r="D530" t="s">
        <v>19</v>
      </c>
      <c r="E530" t="s">
        <v>95</v>
      </c>
      <c r="F530" t="s">
        <v>113</v>
      </c>
      <c r="G530" t="s">
        <v>121</v>
      </c>
      <c r="H530" t="s">
        <v>242</v>
      </c>
      <c r="J530">
        <v>0</v>
      </c>
      <c r="K530">
        <v>15</v>
      </c>
      <c r="L530">
        <v>83.757575759999995</v>
      </c>
      <c r="M530">
        <v>22.60997987</v>
      </c>
      <c r="N530">
        <v>0.72884000000000004</v>
      </c>
      <c r="O530">
        <v>139.375</v>
      </c>
      <c r="P530">
        <v>23.713465920000001</v>
      </c>
      <c r="Q530" t="s">
        <v>114</v>
      </c>
      <c r="R530" t="s">
        <v>1015</v>
      </c>
      <c r="S530">
        <v>55.617424240000005</v>
      </c>
    </row>
    <row r="531" spans="1:19" x14ac:dyDescent="0.25">
      <c r="A531" t="s">
        <v>18</v>
      </c>
      <c r="B531" t="s">
        <v>914</v>
      </c>
      <c r="C531">
        <v>15</v>
      </c>
      <c r="D531" t="s">
        <v>19</v>
      </c>
      <c r="E531" t="s">
        <v>95</v>
      </c>
      <c r="F531" t="s">
        <v>111</v>
      </c>
      <c r="G531" t="s">
        <v>121</v>
      </c>
      <c r="H531" t="s">
        <v>113</v>
      </c>
      <c r="J531">
        <v>0</v>
      </c>
      <c r="K531">
        <v>2</v>
      </c>
      <c r="L531">
        <v>94.97142857</v>
      </c>
      <c r="M531">
        <v>24.31591813</v>
      </c>
      <c r="N531">
        <v>0.122951111</v>
      </c>
      <c r="O531">
        <v>83.757575759999995</v>
      </c>
      <c r="P531">
        <v>22.60997987</v>
      </c>
      <c r="Q531">
        <v>0.72884000000000004</v>
      </c>
      <c r="R531" t="s">
        <v>1015</v>
      </c>
      <c r="S531">
        <v>11.213852810000006</v>
      </c>
    </row>
    <row r="532" spans="1:19" x14ac:dyDescent="0.25">
      <c r="A532" t="s">
        <v>18</v>
      </c>
      <c r="B532" t="s">
        <v>914</v>
      </c>
      <c r="C532">
        <v>16</v>
      </c>
      <c r="D532" t="s">
        <v>19</v>
      </c>
      <c r="E532" t="s">
        <v>95</v>
      </c>
      <c r="F532" t="s">
        <v>111</v>
      </c>
      <c r="G532" t="s">
        <v>121</v>
      </c>
      <c r="H532" t="s">
        <v>242</v>
      </c>
      <c r="J532">
        <v>0</v>
      </c>
      <c r="K532">
        <v>2</v>
      </c>
      <c r="L532">
        <v>94.97142857</v>
      </c>
      <c r="M532">
        <v>24.31591813</v>
      </c>
      <c r="N532">
        <v>0.122951111</v>
      </c>
      <c r="O532">
        <v>139.375</v>
      </c>
      <c r="P532">
        <v>23.713465920000001</v>
      </c>
      <c r="Q532" t="s">
        <v>114</v>
      </c>
      <c r="R532" t="s">
        <v>1015</v>
      </c>
      <c r="S532">
        <v>44.40357143</v>
      </c>
    </row>
    <row r="533" spans="1:19" x14ac:dyDescent="0.25">
      <c r="A533" t="s">
        <v>18</v>
      </c>
      <c r="B533" t="s">
        <v>915</v>
      </c>
      <c r="C533">
        <v>15</v>
      </c>
      <c r="D533" t="s">
        <v>19</v>
      </c>
      <c r="E533" t="s">
        <v>95</v>
      </c>
      <c r="F533" t="s">
        <v>104</v>
      </c>
      <c r="G533" t="s">
        <v>121</v>
      </c>
      <c r="H533" t="s">
        <v>247</v>
      </c>
      <c r="J533">
        <v>0</v>
      </c>
      <c r="K533">
        <v>1</v>
      </c>
      <c r="L533">
        <v>113.9375</v>
      </c>
      <c r="M533">
        <v>33.375507550000002</v>
      </c>
      <c r="N533">
        <v>2.4262999999999999</v>
      </c>
      <c r="O533">
        <v>65.791044779999993</v>
      </c>
      <c r="P533">
        <v>22.94519201</v>
      </c>
      <c r="Q533">
        <v>8.1320334999999994E-2</v>
      </c>
      <c r="R533" t="s">
        <v>1015</v>
      </c>
      <c r="S533">
        <v>48.146455220000007</v>
      </c>
    </row>
    <row r="534" spans="1:19" x14ac:dyDescent="0.25">
      <c r="A534" t="s">
        <v>18</v>
      </c>
      <c r="B534" t="s">
        <v>915</v>
      </c>
      <c r="C534">
        <v>16</v>
      </c>
      <c r="D534" t="s">
        <v>19</v>
      </c>
      <c r="E534" t="s">
        <v>95</v>
      </c>
      <c r="F534" t="s">
        <v>104</v>
      </c>
      <c r="G534" t="s">
        <v>121</v>
      </c>
      <c r="H534" t="s">
        <v>113</v>
      </c>
      <c r="J534">
        <v>0</v>
      </c>
      <c r="K534">
        <v>3</v>
      </c>
      <c r="L534">
        <v>113.9375</v>
      </c>
      <c r="M534">
        <v>33.375507550000002</v>
      </c>
      <c r="N534">
        <v>2.4262999999999999</v>
      </c>
      <c r="O534">
        <v>83.757575759999995</v>
      </c>
      <c r="P534">
        <v>22.60997987</v>
      </c>
      <c r="Q534">
        <v>0.72884000000000004</v>
      </c>
      <c r="R534" t="s">
        <v>1015</v>
      </c>
      <c r="S534">
        <v>30.179924240000005</v>
      </c>
    </row>
    <row r="535" spans="1:19" x14ac:dyDescent="0.25">
      <c r="A535" t="s">
        <v>18</v>
      </c>
      <c r="B535" t="s">
        <v>916</v>
      </c>
      <c r="C535">
        <v>15</v>
      </c>
      <c r="D535" t="s">
        <v>19</v>
      </c>
      <c r="E535" t="s">
        <v>95</v>
      </c>
      <c r="F535" t="s">
        <v>112</v>
      </c>
      <c r="G535" t="s">
        <v>113</v>
      </c>
      <c r="H535" t="s">
        <v>113</v>
      </c>
      <c r="J535">
        <v>0</v>
      </c>
      <c r="K535">
        <v>1</v>
      </c>
      <c r="L535">
        <v>65.09375</v>
      </c>
      <c r="M535">
        <v>37.895352600000002</v>
      </c>
      <c r="N535">
        <v>2.2882677779999998</v>
      </c>
      <c r="O535">
        <v>83.757575759999995</v>
      </c>
      <c r="P535">
        <v>22.60997987</v>
      </c>
      <c r="Q535">
        <v>0.72884000000000004</v>
      </c>
      <c r="R535" t="s">
        <v>1015</v>
      </c>
      <c r="S535">
        <v>18.663825759999995</v>
      </c>
    </row>
    <row r="536" spans="1:19" x14ac:dyDescent="0.25">
      <c r="A536" t="s">
        <v>20</v>
      </c>
      <c r="B536" t="s">
        <v>917</v>
      </c>
      <c r="C536">
        <v>15</v>
      </c>
      <c r="D536" t="s">
        <v>21</v>
      </c>
      <c r="E536" t="s">
        <v>94</v>
      </c>
      <c r="F536" t="s">
        <v>102</v>
      </c>
      <c r="G536" t="s">
        <v>121</v>
      </c>
      <c r="H536" t="s">
        <v>246</v>
      </c>
      <c r="J536">
        <v>0</v>
      </c>
      <c r="K536">
        <v>1</v>
      </c>
      <c r="L536">
        <v>84.740740740000007</v>
      </c>
      <c r="M536">
        <v>29.167014049999999</v>
      </c>
      <c r="N536">
        <v>1.1169849999999999</v>
      </c>
      <c r="O536">
        <v>120.25</v>
      </c>
      <c r="P536">
        <v>30.670450110000001</v>
      </c>
      <c r="Q536">
        <v>0.91037498500000003</v>
      </c>
      <c r="R536" t="s">
        <v>1015</v>
      </c>
      <c r="S536">
        <v>35.509259259999993</v>
      </c>
    </row>
    <row r="537" spans="1:19" x14ac:dyDescent="0.25">
      <c r="A537" t="s">
        <v>20</v>
      </c>
      <c r="B537" t="s">
        <v>918</v>
      </c>
      <c r="C537">
        <v>15</v>
      </c>
      <c r="D537" t="s">
        <v>21</v>
      </c>
      <c r="E537" t="s">
        <v>94</v>
      </c>
      <c r="F537" t="s">
        <v>113</v>
      </c>
      <c r="G537" t="s">
        <v>113</v>
      </c>
      <c r="H537" t="s">
        <v>113</v>
      </c>
      <c r="J537">
        <v>0</v>
      </c>
      <c r="K537">
        <v>1</v>
      </c>
      <c r="L537">
        <v>83.757575759999995</v>
      </c>
      <c r="M537">
        <v>22.60997987</v>
      </c>
      <c r="N537">
        <v>0.72884000000000004</v>
      </c>
      <c r="O537">
        <v>83.757575759999995</v>
      </c>
      <c r="P537">
        <v>22.60997987</v>
      </c>
      <c r="Q537">
        <v>0.72884000000000004</v>
      </c>
      <c r="R537" t="s">
        <v>1015</v>
      </c>
      <c r="S537">
        <v>0</v>
      </c>
    </row>
    <row r="538" spans="1:19" x14ac:dyDescent="0.25">
      <c r="A538" t="s">
        <v>20</v>
      </c>
      <c r="B538" t="s">
        <v>919</v>
      </c>
      <c r="C538">
        <v>15</v>
      </c>
      <c r="D538" t="s">
        <v>21</v>
      </c>
      <c r="E538" t="s">
        <v>94</v>
      </c>
      <c r="F538" t="s">
        <v>110</v>
      </c>
      <c r="G538" t="s">
        <v>121</v>
      </c>
      <c r="H538" t="s">
        <v>113</v>
      </c>
      <c r="J538">
        <v>0</v>
      </c>
      <c r="K538">
        <v>2</v>
      </c>
      <c r="L538">
        <v>73.260869569999997</v>
      </c>
      <c r="M538">
        <v>34.453830549999999</v>
      </c>
      <c r="N538">
        <v>1.058333333</v>
      </c>
      <c r="O538">
        <v>83.757575759999995</v>
      </c>
      <c r="P538">
        <v>22.60997987</v>
      </c>
      <c r="Q538">
        <v>0.72884000000000004</v>
      </c>
      <c r="R538" t="s">
        <v>1015</v>
      </c>
      <c r="S538">
        <v>10.496706189999998</v>
      </c>
    </row>
    <row r="539" spans="1:19" x14ac:dyDescent="0.25">
      <c r="A539" t="s">
        <v>20</v>
      </c>
      <c r="B539" t="s">
        <v>919</v>
      </c>
      <c r="C539">
        <v>16</v>
      </c>
      <c r="D539" t="s">
        <v>21</v>
      </c>
      <c r="E539" t="s">
        <v>94</v>
      </c>
      <c r="F539" t="s">
        <v>110</v>
      </c>
      <c r="G539" t="s">
        <v>121</v>
      </c>
      <c r="H539" t="s">
        <v>102</v>
      </c>
      <c r="J539">
        <v>0</v>
      </c>
      <c r="K539">
        <v>1</v>
      </c>
      <c r="L539">
        <v>73.260869569999997</v>
      </c>
      <c r="M539">
        <v>34.453830549999999</v>
      </c>
      <c r="N539">
        <v>1.058333333</v>
      </c>
      <c r="O539">
        <v>84.740740740000007</v>
      </c>
      <c r="P539">
        <v>29.167014049999999</v>
      </c>
      <c r="Q539">
        <v>1.1169849999999999</v>
      </c>
      <c r="R539" t="s">
        <v>1015</v>
      </c>
      <c r="S539">
        <v>11.47987117000001</v>
      </c>
    </row>
    <row r="540" spans="1:19" x14ac:dyDescent="0.25">
      <c r="A540" t="s">
        <v>20</v>
      </c>
      <c r="B540" t="s">
        <v>920</v>
      </c>
      <c r="C540">
        <v>15</v>
      </c>
      <c r="D540" t="s">
        <v>21</v>
      </c>
      <c r="E540" t="s">
        <v>94</v>
      </c>
      <c r="F540" t="s">
        <v>111</v>
      </c>
      <c r="G540" t="s">
        <v>121</v>
      </c>
      <c r="H540" t="s">
        <v>110</v>
      </c>
      <c r="J540">
        <v>0</v>
      </c>
      <c r="K540">
        <v>1</v>
      </c>
      <c r="L540">
        <v>94.97142857</v>
      </c>
      <c r="M540">
        <v>24.31591813</v>
      </c>
      <c r="N540">
        <v>0.122951111</v>
      </c>
      <c r="O540">
        <v>73.260869569999997</v>
      </c>
      <c r="P540">
        <v>34.453830549999999</v>
      </c>
      <c r="Q540">
        <v>1.058333333</v>
      </c>
      <c r="R540" t="s">
        <v>1015</v>
      </c>
      <c r="S540">
        <v>21.710559000000003</v>
      </c>
    </row>
    <row r="541" spans="1:19" x14ac:dyDescent="0.25">
      <c r="A541" t="s">
        <v>22</v>
      </c>
      <c r="B541" t="s">
        <v>921</v>
      </c>
      <c r="C541">
        <v>15</v>
      </c>
      <c r="D541" t="s">
        <v>23</v>
      </c>
      <c r="E541" t="s">
        <v>95</v>
      </c>
      <c r="F541" t="s">
        <v>102</v>
      </c>
      <c r="G541" t="s">
        <v>121</v>
      </c>
      <c r="H541" t="s">
        <v>236</v>
      </c>
      <c r="J541">
        <v>0</v>
      </c>
      <c r="K541">
        <v>1</v>
      </c>
      <c r="L541">
        <v>84.740740740000007</v>
      </c>
      <c r="M541">
        <v>29.167014049999999</v>
      </c>
      <c r="N541">
        <v>1.1169849999999999</v>
      </c>
      <c r="O541">
        <v>113.33333330000001</v>
      </c>
      <c r="P541">
        <v>26.41632581</v>
      </c>
      <c r="Q541">
        <v>1.6844570160000001</v>
      </c>
      <c r="R541" t="s">
        <v>1015</v>
      </c>
      <c r="S541">
        <v>28.59259256</v>
      </c>
    </row>
    <row r="542" spans="1:19" x14ac:dyDescent="0.25">
      <c r="A542" t="s">
        <v>22</v>
      </c>
      <c r="B542" t="s">
        <v>922</v>
      </c>
      <c r="C542">
        <v>15</v>
      </c>
      <c r="D542" t="s">
        <v>23</v>
      </c>
      <c r="E542" t="s">
        <v>95</v>
      </c>
      <c r="F542" t="s">
        <v>105</v>
      </c>
      <c r="G542" t="s">
        <v>121</v>
      </c>
      <c r="H542" t="s">
        <v>113</v>
      </c>
      <c r="J542">
        <v>0</v>
      </c>
      <c r="K542">
        <v>4</v>
      </c>
      <c r="L542">
        <v>67.5</v>
      </c>
      <c r="M542">
        <v>47.937235809999997</v>
      </c>
      <c r="N542">
        <v>0.41599678000000001</v>
      </c>
      <c r="O542">
        <v>83.757575759999995</v>
      </c>
      <c r="P542">
        <v>22.60997987</v>
      </c>
      <c r="Q542">
        <v>0.72884000000000004</v>
      </c>
      <c r="R542" t="s">
        <v>1015</v>
      </c>
      <c r="S542">
        <v>16.257575759999995</v>
      </c>
    </row>
    <row r="543" spans="1:19" x14ac:dyDescent="0.25">
      <c r="A543" t="s">
        <v>22</v>
      </c>
      <c r="B543" t="s">
        <v>922</v>
      </c>
      <c r="C543">
        <v>16</v>
      </c>
      <c r="D543" t="s">
        <v>23</v>
      </c>
      <c r="E543" t="s">
        <v>95</v>
      </c>
      <c r="F543" t="s">
        <v>105</v>
      </c>
      <c r="G543" t="s">
        <v>121</v>
      </c>
      <c r="H543" t="s">
        <v>103</v>
      </c>
      <c r="J543">
        <v>0</v>
      </c>
      <c r="K543">
        <v>1</v>
      </c>
      <c r="L543">
        <v>67.5</v>
      </c>
      <c r="M543">
        <v>47.937235809999997</v>
      </c>
      <c r="N543">
        <v>0.41599678000000001</v>
      </c>
      <c r="O543">
        <v>98.291666669999998</v>
      </c>
      <c r="P543">
        <v>30.315130790000001</v>
      </c>
      <c r="Q543">
        <v>5.0803484000000003E-2</v>
      </c>
      <c r="R543" t="s">
        <v>1015</v>
      </c>
      <c r="S543">
        <v>30.791666669999998</v>
      </c>
    </row>
    <row r="544" spans="1:19" x14ac:dyDescent="0.25">
      <c r="A544" t="s">
        <v>22</v>
      </c>
      <c r="B544" t="s">
        <v>922</v>
      </c>
      <c r="C544">
        <v>17</v>
      </c>
      <c r="D544" t="s">
        <v>23</v>
      </c>
      <c r="E544" t="s">
        <v>95</v>
      </c>
      <c r="F544" t="s">
        <v>105</v>
      </c>
      <c r="G544" t="s">
        <v>121</v>
      </c>
      <c r="H544" t="s">
        <v>234</v>
      </c>
      <c r="J544">
        <v>0</v>
      </c>
      <c r="K544">
        <v>1</v>
      </c>
      <c r="L544">
        <v>67.5</v>
      </c>
      <c r="M544">
        <v>47.937235809999997</v>
      </c>
      <c r="N544">
        <v>0.41599678000000001</v>
      </c>
      <c r="O544">
        <v>89.8125</v>
      </c>
      <c r="P544">
        <v>34.754706650000003</v>
      </c>
      <c r="Q544">
        <v>2.3065078999999999E-2</v>
      </c>
      <c r="R544" t="s">
        <v>1015</v>
      </c>
      <c r="S544">
        <v>22.3125</v>
      </c>
    </row>
    <row r="545" spans="1:19" x14ac:dyDescent="0.25">
      <c r="A545" t="s">
        <v>22</v>
      </c>
      <c r="B545" t="s">
        <v>923</v>
      </c>
      <c r="C545">
        <v>15</v>
      </c>
      <c r="D545" t="s">
        <v>23</v>
      </c>
      <c r="E545" t="s">
        <v>95</v>
      </c>
      <c r="F545" t="s">
        <v>103</v>
      </c>
      <c r="G545" t="s">
        <v>103</v>
      </c>
      <c r="H545" t="s">
        <v>103</v>
      </c>
      <c r="J545">
        <v>0</v>
      </c>
      <c r="K545">
        <v>6</v>
      </c>
      <c r="L545">
        <v>98.291666669999998</v>
      </c>
      <c r="M545">
        <v>30.315130790000001</v>
      </c>
      <c r="N545">
        <v>5.0803484000000003E-2</v>
      </c>
      <c r="O545">
        <v>98.291666669999998</v>
      </c>
      <c r="P545">
        <v>30.315130790000001</v>
      </c>
      <c r="Q545">
        <v>5.0803484000000003E-2</v>
      </c>
      <c r="R545" t="s">
        <v>1015</v>
      </c>
      <c r="S545">
        <v>0</v>
      </c>
    </row>
    <row r="546" spans="1:19" x14ac:dyDescent="0.25">
      <c r="A546" t="s">
        <v>22</v>
      </c>
      <c r="B546" t="s">
        <v>923</v>
      </c>
      <c r="C546">
        <v>16</v>
      </c>
      <c r="D546" t="s">
        <v>23</v>
      </c>
      <c r="E546" t="s">
        <v>95</v>
      </c>
      <c r="F546" t="s">
        <v>103</v>
      </c>
      <c r="G546" t="s">
        <v>103</v>
      </c>
      <c r="H546" t="s">
        <v>248</v>
      </c>
      <c r="J546">
        <v>0</v>
      </c>
      <c r="K546">
        <v>4</v>
      </c>
      <c r="L546">
        <v>98.291666669999998</v>
      </c>
      <c r="M546">
        <v>30.315130790000001</v>
      </c>
      <c r="N546">
        <v>5.0803484000000003E-2</v>
      </c>
      <c r="O546">
        <v>83.92307692</v>
      </c>
      <c r="P546">
        <v>44.319135699999997</v>
      </c>
      <c r="Q546">
        <v>5.9548609999999997E-3</v>
      </c>
      <c r="R546" t="s">
        <v>1015</v>
      </c>
      <c r="S546">
        <v>14.368589749999998</v>
      </c>
    </row>
    <row r="547" spans="1:19" x14ac:dyDescent="0.25">
      <c r="A547" t="s">
        <v>22</v>
      </c>
      <c r="B547" t="s">
        <v>924</v>
      </c>
      <c r="C547">
        <v>15</v>
      </c>
      <c r="D547" t="s">
        <v>23</v>
      </c>
      <c r="E547" t="s">
        <v>95</v>
      </c>
      <c r="F547" t="s">
        <v>111</v>
      </c>
      <c r="G547" t="s">
        <v>121</v>
      </c>
      <c r="H547" t="s">
        <v>112</v>
      </c>
      <c r="J547">
        <v>1</v>
      </c>
      <c r="K547">
        <v>1</v>
      </c>
      <c r="L547">
        <v>94.97142857</v>
      </c>
      <c r="M547">
        <v>24.31591813</v>
      </c>
      <c r="N547">
        <v>0.122951111</v>
      </c>
      <c r="O547">
        <v>65.09375</v>
      </c>
      <c r="P547">
        <v>37.895352600000002</v>
      </c>
      <c r="Q547">
        <v>2.2882677779999998</v>
      </c>
      <c r="R547" t="s">
        <v>1015</v>
      </c>
      <c r="S547">
        <v>29.87767857</v>
      </c>
    </row>
    <row r="548" spans="1:19" x14ac:dyDescent="0.25">
      <c r="A548" t="s">
        <v>22</v>
      </c>
      <c r="B548" t="s">
        <v>924</v>
      </c>
      <c r="C548">
        <v>16</v>
      </c>
      <c r="D548" t="s">
        <v>23</v>
      </c>
      <c r="E548" t="s">
        <v>95</v>
      </c>
      <c r="F548" t="s">
        <v>111</v>
      </c>
      <c r="G548" t="s">
        <v>121</v>
      </c>
      <c r="H548" t="s">
        <v>239</v>
      </c>
      <c r="J548">
        <v>1</v>
      </c>
      <c r="K548">
        <v>1</v>
      </c>
      <c r="L548">
        <v>94.97142857</v>
      </c>
      <c r="M548">
        <v>24.31591813</v>
      </c>
      <c r="N548">
        <v>0.122951111</v>
      </c>
      <c r="O548">
        <v>100.45454549999999</v>
      </c>
      <c r="P548">
        <v>26.754810689999999</v>
      </c>
      <c r="Q548">
        <v>0.75829999999999997</v>
      </c>
      <c r="R548" t="s">
        <v>1015</v>
      </c>
      <c r="S548">
        <v>5.4831169299999942</v>
      </c>
    </row>
    <row r="549" spans="1:19" x14ac:dyDescent="0.25">
      <c r="A549" t="s">
        <v>22</v>
      </c>
      <c r="B549" t="s">
        <v>924</v>
      </c>
      <c r="C549">
        <v>17</v>
      </c>
      <c r="D549" t="s">
        <v>23</v>
      </c>
      <c r="E549" t="s">
        <v>95</v>
      </c>
      <c r="F549" t="s">
        <v>111</v>
      </c>
      <c r="G549" t="s">
        <v>121</v>
      </c>
      <c r="H549" t="s">
        <v>248</v>
      </c>
      <c r="J549">
        <v>1</v>
      </c>
      <c r="K549">
        <v>5</v>
      </c>
      <c r="L549">
        <v>94.97142857</v>
      </c>
      <c r="M549">
        <v>24.31591813</v>
      </c>
      <c r="N549">
        <v>0.122951111</v>
      </c>
      <c r="O549">
        <v>83.92307692</v>
      </c>
      <c r="P549">
        <v>44.319135699999997</v>
      </c>
      <c r="Q549">
        <v>5.9548609999999997E-3</v>
      </c>
      <c r="R549" t="s">
        <v>1015</v>
      </c>
      <c r="S549">
        <v>11.048351650000001</v>
      </c>
    </row>
    <row r="550" spans="1:19" x14ac:dyDescent="0.25">
      <c r="A550" t="s">
        <v>22</v>
      </c>
      <c r="B550" t="s">
        <v>925</v>
      </c>
      <c r="C550">
        <v>15</v>
      </c>
      <c r="D550" t="s">
        <v>23</v>
      </c>
      <c r="E550" t="s">
        <v>95</v>
      </c>
      <c r="F550" t="s">
        <v>112</v>
      </c>
      <c r="G550" t="s">
        <v>103</v>
      </c>
      <c r="H550" t="s">
        <v>103</v>
      </c>
      <c r="J550">
        <v>0</v>
      </c>
      <c r="K550">
        <v>3</v>
      </c>
      <c r="L550">
        <v>65.09375</v>
      </c>
      <c r="M550">
        <v>37.895352600000002</v>
      </c>
      <c r="N550">
        <v>2.2882677779999998</v>
      </c>
      <c r="O550">
        <v>98.291666669999998</v>
      </c>
      <c r="P550">
        <v>30.315130790000001</v>
      </c>
      <c r="Q550">
        <v>5.0803484000000003E-2</v>
      </c>
      <c r="R550" t="s">
        <v>1015</v>
      </c>
      <c r="S550">
        <v>33.197916669999998</v>
      </c>
    </row>
    <row r="551" spans="1:19" x14ac:dyDescent="0.25">
      <c r="A551" t="s">
        <v>22</v>
      </c>
      <c r="B551" t="s">
        <v>925</v>
      </c>
      <c r="C551">
        <v>16</v>
      </c>
      <c r="D551" t="s">
        <v>23</v>
      </c>
      <c r="E551" t="s">
        <v>95</v>
      </c>
      <c r="F551" t="s">
        <v>112</v>
      </c>
      <c r="G551" t="s">
        <v>103</v>
      </c>
      <c r="H551" t="s">
        <v>113</v>
      </c>
      <c r="J551">
        <v>0</v>
      </c>
      <c r="K551">
        <v>2</v>
      </c>
      <c r="L551">
        <v>65.09375</v>
      </c>
      <c r="M551">
        <v>37.895352600000002</v>
      </c>
      <c r="N551">
        <v>2.2882677779999998</v>
      </c>
      <c r="O551">
        <v>83.757575759999995</v>
      </c>
      <c r="P551">
        <v>22.60997987</v>
      </c>
      <c r="Q551">
        <v>0.72884000000000004</v>
      </c>
      <c r="R551" t="s">
        <v>1015</v>
      </c>
      <c r="S551">
        <v>18.663825759999995</v>
      </c>
    </row>
    <row r="552" spans="1:19" x14ac:dyDescent="0.25">
      <c r="A552" t="s">
        <v>22</v>
      </c>
      <c r="B552" t="s">
        <v>925</v>
      </c>
      <c r="C552">
        <v>17</v>
      </c>
      <c r="D552" t="s">
        <v>23</v>
      </c>
      <c r="E552" t="s">
        <v>95</v>
      </c>
      <c r="F552" t="s">
        <v>112</v>
      </c>
      <c r="G552" t="s">
        <v>103</v>
      </c>
      <c r="H552" t="s">
        <v>247</v>
      </c>
      <c r="J552">
        <v>0</v>
      </c>
      <c r="K552">
        <v>1</v>
      </c>
      <c r="L552">
        <v>65.09375</v>
      </c>
      <c r="M552">
        <v>37.895352600000002</v>
      </c>
      <c r="N552">
        <v>2.2882677779999998</v>
      </c>
      <c r="O552">
        <v>65.791044779999993</v>
      </c>
      <c r="P552">
        <v>22.94519201</v>
      </c>
      <c r="Q552">
        <v>8.1320334999999994E-2</v>
      </c>
      <c r="R552" t="s">
        <v>1015</v>
      </c>
      <c r="S552">
        <v>0.6972947799999929</v>
      </c>
    </row>
    <row r="553" spans="1:19" x14ac:dyDescent="0.25">
      <c r="A553" t="s">
        <v>22</v>
      </c>
      <c r="B553" t="s">
        <v>925</v>
      </c>
      <c r="C553">
        <v>18</v>
      </c>
      <c r="D553" t="s">
        <v>23</v>
      </c>
      <c r="E553" t="s">
        <v>95</v>
      </c>
      <c r="F553" t="s">
        <v>112</v>
      </c>
      <c r="G553" t="s">
        <v>103</v>
      </c>
      <c r="H553" t="s">
        <v>248</v>
      </c>
      <c r="J553">
        <v>0</v>
      </c>
      <c r="K553">
        <v>3</v>
      </c>
      <c r="L553">
        <v>65.09375</v>
      </c>
      <c r="M553">
        <v>37.895352600000002</v>
      </c>
      <c r="N553">
        <v>2.2882677779999998</v>
      </c>
      <c r="O553">
        <v>83.92307692</v>
      </c>
      <c r="P553">
        <v>44.319135699999997</v>
      </c>
      <c r="Q553">
        <v>5.9548609999999997E-3</v>
      </c>
      <c r="R553" t="s">
        <v>1015</v>
      </c>
      <c r="S553">
        <v>18.82932692</v>
      </c>
    </row>
    <row r="554" spans="1:19" x14ac:dyDescent="0.25">
      <c r="A554" t="s">
        <v>24</v>
      </c>
      <c r="B554" t="s">
        <v>926</v>
      </c>
      <c r="C554">
        <v>15</v>
      </c>
      <c r="D554" t="s">
        <v>25</v>
      </c>
      <c r="E554" t="s">
        <v>95</v>
      </c>
      <c r="F554" t="s">
        <v>105</v>
      </c>
      <c r="G554" t="s">
        <v>121</v>
      </c>
      <c r="H554" t="s">
        <v>111</v>
      </c>
      <c r="J554">
        <v>0</v>
      </c>
      <c r="K554">
        <v>1</v>
      </c>
      <c r="L554">
        <v>67.5</v>
      </c>
      <c r="M554">
        <v>47.937235809999997</v>
      </c>
      <c r="N554">
        <v>0.41599678000000001</v>
      </c>
      <c r="O554">
        <v>94.97142857</v>
      </c>
      <c r="P554">
        <v>24.31591813</v>
      </c>
      <c r="Q554">
        <v>0.122951111</v>
      </c>
      <c r="R554" t="s">
        <v>1015</v>
      </c>
      <c r="S554">
        <v>27.47142857</v>
      </c>
    </row>
    <row r="555" spans="1:19" x14ac:dyDescent="0.25">
      <c r="A555" t="s">
        <v>24</v>
      </c>
      <c r="B555" t="s">
        <v>926</v>
      </c>
      <c r="C555">
        <v>16</v>
      </c>
      <c r="D555" t="s">
        <v>25</v>
      </c>
      <c r="E555" t="s">
        <v>95</v>
      </c>
      <c r="F555" t="s">
        <v>105</v>
      </c>
      <c r="G555" t="s">
        <v>121</v>
      </c>
      <c r="H555" t="s">
        <v>104</v>
      </c>
      <c r="J555">
        <v>0</v>
      </c>
      <c r="K555">
        <v>1</v>
      </c>
      <c r="L555">
        <v>67.5</v>
      </c>
      <c r="M555">
        <v>47.937235809999997</v>
      </c>
      <c r="N555">
        <v>0.41599678000000001</v>
      </c>
      <c r="O555">
        <v>113.9375</v>
      </c>
      <c r="P555">
        <v>33.375507550000002</v>
      </c>
      <c r="Q555">
        <v>2.4262999999999999</v>
      </c>
      <c r="R555" t="s">
        <v>1015</v>
      </c>
      <c r="S555">
        <v>46.4375</v>
      </c>
    </row>
    <row r="556" spans="1:19" x14ac:dyDescent="0.25">
      <c r="A556" t="s">
        <v>24</v>
      </c>
      <c r="B556" t="s">
        <v>927</v>
      </c>
      <c r="C556">
        <v>15</v>
      </c>
      <c r="D556" t="s">
        <v>25</v>
      </c>
      <c r="E556" t="s">
        <v>95</v>
      </c>
      <c r="F556" t="s">
        <v>112</v>
      </c>
      <c r="G556" t="s">
        <v>112</v>
      </c>
      <c r="H556" t="s">
        <v>112</v>
      </c>
      <c r="J556">
        <v>0</v>
      </c>
      <c r="K556">
        <v>1</v>
      </c>
      <c r="L556">
        <v>65.09375</v>
      </c>
      <c r="M556">
        <v>37.895352600000002</v>
      </c>
      <c r="N556">
        <v>2.2882677779999998</v>
      </c>
      <c r="O556">
        <v>65.09375</v>
      </c>
      <c r="P556">
        <v>37.895352600000002</v>
      </c>
      <c r="Q556">
        <v>2.2882677779999998</v>
      </c>
      <c r="R556" t="s">
        <v>1015</v>
      </c>
      <c r="S556">
        <v>0</v>
      </c>
    </row>
    <row r="557" spans="1:19" x14ac:dyDescent="0.25">
      <c r="A557" t="s">
        <v>26</v>
      </c>
      <c r="B557" t="s">
        <v>928</v>
      </c>
      <c r="C557">
        <v>15</v>
      </c>
      <c r="D557" t="s">
        <v>27</v>
      </c>
      <c r="E557" t="s">
        <v>95</v>
      </c>
      <c r="F557" t="s">
        <v>105</v>
      </c>
      <c r="G557" t="s">
        <v>102</v>
      </c>
      <c r="H557" t="s">
        <v>102</v>
      </c>
      <c r="J557">
        <v>0</v>
      </c>
      <c r="K557">
        <v>1</v>
      </c>
      <c r="L557">
        <v>67.5</v>
      </c>
      <c r="M557">
        <v>47.937235809999997</v>
      </c>
      <c r="N557">
        <v>0.41599678000000001</v>
      </c>
      <c r="O557">
        <v>84.740740740000007</v>
      </c>
      <c r="P557">
        <v>29.167014049999999</v>
      </c>
      <c r="Q557">
        <v>1.1169849999999999</v>
      </c>
      <c r="R557" t="s">
        <v>1015</v>
      </c>
      <c r="S557">
        <v>17.240740740000007</v>
      </c>
    </row>
    <row r="558" spans="1:19" x14ac:dyDescent="0.25">
      <c r="A558" t="s">
        <v>26</v>
      </c>
      <c r="B558" t="s">
        <v>928</v>
      </c>
      <c r="C558">
        <v>16</v>
      </c>
      <c r="D558" t="s">
        <v>27</v>
      </c>
      <c r="E558" t="s">
        <v>95</v>
      </c>
      <c r="F558" t="s">
        <v>105</v>
      </c>
      <c r="G558" t="s">
        <v>102</v>
      </c>
      <c r="H558" t="s">
        <v>111</v>
      </c>
      <c r="J558">
        <v>0</v>
      </c>
      <c r="K558">
        <v>1</v>
      </c>
      <c r="L558">
        <v>67.5</v>
      </c>
      <c r="M558">
        <v>47.937235809999997</v>
      </c>
      <c r="N558">
        <v>0.41599678000000001</v>
      </c>
      <c r="O558">
        <v>94.97142857</v>
      </c>
      <c r="P558">
        <v>24.31591813</v>
      </c>
      <c r="Q558">
        <v>0.122951111</v>
      </c>
      <c r="R558" t="s">
        <v>1015</v>
      </c>
      <c r="S558">
        <v>27.47142857</v>
      </c>
    </row>
    <row r="559" spans="1:19" x14ac:dyDescent="0.25">
      <c r="A559" t="s">
        <v>26</v>
      </c>
      <c r="B559" t="s">
        <v>928</v>
      </c>
      <c r="C559">
        <v>17</v>
      </c>
      <c r="D559" t="s">
        <v>27</v>
      </c>
      <c r="E559" t="s">
        <v>95</v>
      </c>
      <c r="F559" t="s">
        <v>105</v>
      </c>
      <c r="G559" t="s">
        <v>102</v>
      </c>
      <c r="H559" t="s">
        <v>242</v>
      </c>
      <c r="J559">
        <v>0</v>
      </c>
      <c r="K559">
        <v>1</v>
      </c>
      <c r="L559">
        <v>67.5</v>
      </c>
      <c r="M559">
        <v>47.937235809999997</v>
      </c>
      <c r="N559">
        <v>0.41599678000000001</v>
      </c>
      <c r="O559">
        <v>139.375</v>
      </c>
      <c r="P559">
        <v>23.713465920000001</v>
      </c>
      <c r="Q559" t="s">
        <v>114</v>
      </c>
      <c r="R559" t="s">
        <v>1015</v>
      </c>
      <c r="S559">
        <v>71.875</v>
      </c>
    </row>
    <row r="560" spans="1:19" x14ac:dyDescent="0.25">
      <c r="A560" t="s">
        <v>26</v>
      </c>
      <c r="B560" t="s">
        <v>929</v>
      </c>
      <c r="C560">
        <v>15</v>
      </c>
      <c r="D560" t="s">
        <v>27</v>
      </c>
      <c r="E560" t="s">
        <v>95</v>
      </c>
      <c r="F560" t="s">
        <v>110</v>
      </c>
      <c r="G560" t="s">
        <v>111</v>
      </c>
      <c r="H560" t="s">
        <v>111</v>
      </c>
      <c r="J560">
        <v>0</v>
      </c>
      <c r="K560">
        <v>1</v>
      </c>
      <c r="L560">
        <v>73.260869569999997</v>
      </c>
      <c r="M560">
        <v>34.453830549999999</v>
      </c>
      <c r="N560">
        <v>1.058333333</v>
      </c>
      <c r="O560">
        <v>94.97142857</v>
      </c>
      <c r="P560">
        <v>24.31591813</v>
      </c>
      <c r="Q560">
        <v>0.122951111</v>
      </c>
      <c r="R560" t="s">
        <v>1015</v>
      </c>
      <c r="S560">
        <v>21.710559000000003</v>
      </c>
    </row>
    <row r="561" spans="1:19" x14ac:dyDescent="0.25">
      <c r="A561" t="s">
        <v>26</v>
      </c>
      <c r="B561" t="s">
        <v>929</v>
      </c>
      <c r="C561">
        <v>16</v>
      </c>
      <c r="D561" t="s">
        <v>27</v>
      </c>
      <c r="E561" t="s">
        <v>95</v>
      </c>
      <c r="F561" t="s">
        <v>110</v>
      </c>
      <c r="G561" t="s">
        <v>111</v>
      </c>
      <c r="H561" t="s">
        <v>242</v>
      </c>
      <c r="J561">
        <v>0</v>
      </c>
      <c r="K561">
        <v>8</v>
      </c>
      <c r="L561">
        <v>73.260869569999997</v>
      </c>
      <c r="M561">
        <v>34.453830549999999</v>
      </c>
      <c r="N561">
        <v>1.058333333</v>
      </c>
      <c r="O561">
        <v>139.375</v>
      </c>
      <c r="P561">
        <v>23.713465920000001</v>
      </c>
      <c r="Q561" t="s">
        <v>114</v>
      </c>
      <c r="R561" t="s">
        <v>1015</v>
      </c>
      <c r="S561">
        <v>66.114130430000003</v>
      </c>
    </row>
    <row r="562" spans="1:19" x14ac:dyDescent="0.25">
      <c r="A562" t="s">
        <v>26</v>
      </c>
      <c r="B562" t="s">
        <v>930</v>
      </c>
      <c r="C562">
        <v>15</v>
      </c>
      <c r="D562" t="s">
        <v>27</v>
      </c>
      <c r="E562" t="s">
        <v>95</v>
      </c>
      <c r="F562" t="s">
        <v>111</v>
      </c>
      <c r="G562" t="s">
        <v>102</v>
      </c>
      <c r="H562" t="s">
        <v>244</v>
      </c>
      <c r="J562">
        <v>0</v>
      </c>
      <c r="K562">
        <v>1</v>
      </c>
      <c r="L562">
        <v>94.97142857</v>
      </c>
      <c r="M562">
        <v>24.31591813</v>
      </c>
      <c r="N562">
        <v>0.122951111</v>
      </c>
      <c r="O562">
        <v>75</v>
      </c>
      <c r="P562">
        <v>28.80614499</v>
      </c>
      <c r="Q562">
        <v>2.3860428570000001</v>
      </c>
      <c r="R562" t="s">
        <v>1015</v>
      </c>
      <c r="S562">
        <v>19.97142857</v>
      </c>
    </row>
    <row r="563" spans="1:19" x14ac:dyDescent="0.25">
      <c r="A563" t="s">
        <v>26</v>
      </c>
      <c r="B563" t="s">
        <v>930</v>
      </c>
      <c r="C563">
        <v>16</v>
      </c>
      <c r="D563" t="s">
        <v>27</v>
      </c>
      <c r="E563" t="s">
        <v>95</v>
      </c>
      <c r="F563" t="s">
        <v>111</v>
      </c>
      <c r="G563" t="s">
        <v>102</v>
      </c>
      <c r="H563" t="s">
        <v>236</v>
      </c>
      <c r="J563">
        <v>0</v>
      </c>
      <c r="K563">
        <v>1</v>
      </c>
      <c r="L563">
        <v>94.97142857</v>
      </c>
      <c r="M563">
        <v>24.31591813</v>
      </c>
      <c r="N563">
        <v>0.122951111</v>
      </c>
      <c r="O563">
        <v>113.33333330000001</v>
      </c>
      <c r="P563">
        <v>26.41632581</v>
      </c>
      <c r="Q563">
        <v>1.6844570160000001</v>
      </c>
      <c r="R563" t="s">
        <v>1015</v>
      </c>
      <c r="S563">
        <v>18.361904730000006</v>
      </c>
    </row>
    <row r="564" spans="1:19" x14ac:dyDescent="0.25">
      <c r="A564" t="s">
        <v>26</v>
      </c>
      <c r="B564" t="s">
        <v>930</v>
      </c>
      <c r="C564">
        <v>17</v>
      </c>
      <c r="D564" t="s">
        <v>27</v>
      </c>
      <c r="E564" t="s">
        <v>95</v>
      </c>
      <c r="F564" t="s">
        <v>111</v>
      </c>
      <c r="G564" t="s">
        <v>102</v>
      </c>
      <c r="H564" t="s">
        <v>102</v>
      </c>
      <c r="J564">
        <v>0</v>
      </c>
      <c r="K564">
        <v>1</v>
      </c>
      <c r="L564">
        <v>94.97142857</v>
      </c>
      <c r="M564">
        <v>24.31591813</v>
      </c>
      <c r="N564">
        <v>0.122951111</v>
      </c>
      <c r="O564">
        <v>84.740740740000007</v>
      </c>
      <c r="P564">
        <v>29.167014049999999</v>
      </c>
      <c r="Q564">
        <v>1.1169849999999999</v>
      </c>
      <c r="R564" t="s">
        <v>1015</v>
      </c>
      <c r="S564">
        <v>10.230687829999994</v>
      </c>
    </row>
    <row r="565" spans="1:19" x14ac:dyDescent="0.25">
      <c r="A565" t="s">
        <v>26</v>
      </c>
      <c r="B565" t="s">
        <v>930</v>
      </c>
      <c r="C565">
        <v>18</v>
      </c>
      <c r="D565" t="s">
        <v>27</v>
      </c>
      <c r="E565" t="s">
        <v>95</v>
      </c>
      <c r="F565" t="s">
        <v>111</v>
      </c>
      <c r="G565" t="s">
        <v>102</v>
      </c>
      <c r="H565" t="s">
        <v>242</v>
      </c>
      <c r="J565">
        <v>0</v>
      </c>
      <c r="K565">
        <v>3</v>
      </c>
      <c r="L565">
        <v>94.97142857</v>
      </c>
      <c r="M565">
        <v>24.31591813</v>
      </c>
      <c r="N565">
        <v>0.122951111</v>
      </c>
      <c r="O565">
        <v>139.375</v>
      </c>
      <c r="P565">
        <v>23.713465920000001</v>
      </c>
      <c r="Q565" t="s">
        <v>114</v>
      </c>
      <c r="R565" t="s">
        <v>1015</v>
      </c>
      <c r="S565">
        <v>44.40357143</v>
      </c>
    </row>
    <row r="566" spans="1:19" x14ac:dyDescent="0.25">
      <c r="A566" t="s">
        <v>28</v>
      </c>
      <c r="B566" t="s">
        <v>931</v>
      </c>
      <c r="C566">
        <v>15</v>
      </c>
      <c r="D566" t="s">
        <v>29</v>
      </c>
      <c r="E566" t="s">
        <v>94</v>
      </c>
      <c r="F566" t="s">
        <v>113</v>
      </c>
      <c r="G566" t="s">
        <v>113</v>
      </c>
      <c r="H566" t="s">
        <v>113</v>
      </c>
      <c r="J566">
        <v>0</v>
      </c>
      <c r="K566">
        <v>2</v>
      </c>
      <c r="L566">
        <v>83.757575759999995</v>
      </c>
      <c r="M566">
        <v>22.60997987</v>
      </c>
      <c r="N566">
        <v>0.72884000000000004</v>
      </c>
      <c r="O566">
        <v>83.757575759999995</v>
      </c>
      <c r="P566">
        <v>22.60997987</v>
      </c>
      <c r="Q566">
        <v>0.72884000000000004</v>
      </c>
      <c r="R566" t="s">
        <v>1015</v>
      </c>
      <c r="S566">
        <v>0</v>
      </c>
    </row>
    <row r="567" spans="1:19" x14ac:dyDescent="0.25">
      <c r="A567" t="s">
        <v>28</v>
      </c>
      <c r="B567" t="s">
        <v>931</v>
      </c>
      <c r="C567">
        <v>16</v>
      </c>
      <c r="D567" t="s">
        <v>29</v>
      </c>
      <c r="E567" t="s">
        <v>94</v>
      </c>
      <c r="F567" t="s">
        <v>113</v>
      </c>
      <c r="G567" t="s">
        <v>113</v>
      </c>
      <c r="H567" t="s">
        <v>248</v>
      </c>
      <c r="J567">
        <v>0</v>
      </c>
      <c r="K567">
        <v>12</v>
      </c>
      <c r="L567">
        <v>83.757575759999995</v>
      </c>
      <c r="M567">
        <v>22.60997987</v>
      </c>
      <c r="N567">
        <v>0.72884000000000004</v>
      </c>
      <c r="O567">
        <v>83.92307692</v>
      </c>
      <c r="P567">
        <v>44.319135699999997</v>
      </c>
      <c r="Q567">
        <v>5.9548609999999997E-3</v>
      </c>
      <c r="R567" t="s">
        <v>1015</v>
      </c>
      <c r="S567">
        <v>0.16550116000000514</v>
      </c>
    </row>
    <row r="568" spans="1:19" x14ac:dyDescent="0.25">
      <c r="A568" t="s">
        <v>28</v>
      </c>
      <c r="B568" t="s">
        <v>931</v>
      </c>
      <c r="C568">
        <v>17</v>
      </c>
      <c r="D568" t="s">
        <v>29</v>
      </c>
      <c r="E568" t="s">
        <v>94</v>
      </c>
      <c r="F568" t="s">
        <v>113</v>
      </c>
      <c r="G568" t="s">
        <v>113</v>
      </c>
      <c r="H568" t="s">
        <v>247</v>
      </c>
      <c r="J568">
        <v>0</v>
      </c>
      <c r="K568">
        <v>1</v>
      </c>
      <c r="L568">
        <v>83.757575759999995</v>
      </c>
      <c r="M568">
        <v>22.60997987</v>
      </c>
      <c r="N568">
        <v>0.72884000000000004</v>
      </c>
      <c r="O568">
        <v>65.791044779999993</v>
      </c>
      <c r="P568">
        <v>22.94519201</v>
      </c>
      <c r="Q568">
        <v>8.1320334999999994E-2</v>
      </c>
      <c r="R568" t="s">
        <v>1015</v>
      </c>
      <c r="S568">
        <v>17.966530980000002</v>
      </c>
    </row>
    <row r="569" spans="1:19" x14ac:dyDescent="0.25">
      <c r="A569" t="s">
        <v>28</v>
      </c>
      <c r="B569" t="s">
        <v>931</v>
      </c>
      <c r="C569">
        <v>18</v>
      </c>
      <c r="D569" t="s">
        <v>29</v>
      </c>
      <c r="E569" t="s">
        <v>94</v>
      </c>
      <c r="F569" t="s">
        <v>113</v>
      </c>
      <c r="G569" t="s">
        <v>113</v>
      </c>
      <c r="H569" t="s">
        <v>239</v>
      </c>
      <c r="J569">
        <v>0</v>
      </c>
      <c r="K569">
        <v>1</v>
      </c>
      <c r="L569">
        <v>83.757575759999995</v>
      </c>
      <c r="M569">
        <v>22.60997987</v>
      </c>
      <c r="N569">
        <v>0.72884000000000004</v>
      </c>
      <c r="O569">
        <v>100.45454549999999</v>
      </c>
      <c r="P569">
        <v>26.754810689999999</v>
      </c>
      <c r="Q569">
        <v>0.75829999999999997</v>
      </c>
      <c r="R569" t="s">
        <v>1015</v>
      </c>
      <c r="S569">
        <v>16.69696974</v>
      </c>
    </row>
    <row r="570" spans="1:19" x14ac:dyDescent="0.25">
      <c r="A570" t="s">
        <v>28</v>
      </c>
      <c r="B570" t="s">
        <v>932</v>
      </c>
      <c r="C570">
        <v>15</v>
      </c>
      <c r="D570" t="s">
        <v>29</v>
      </c>
      <c r="E570" t="s">
        <v>94</v>
      </c>
      <c r="F570" t="s">
        <v>103</v>
      </c>
      <c r="G570" t="s">
        <v>102</v>
      </c>
      <c r="H570" t="s">
        <v>102</v>
      </c>
      <c r="J570">
        <v>0</v>
      </c>
      <c r="K570">
        <v>1</v>
      </c>
      <c r="L570">
        <v>98.291666669999998</v>
      </c>
      <c r="M570">
        <v>30.315130790000001</v>
      </c>
      <c r="N570">
        <v>5.0803484000000003E-2</v>
      </c>
      <c r="O570">
        <v>84.740740740000007</v>
      </c>
      <c r="P570">
        <v>29.167014049999999</v>
      </c>
      <c r="Q570">
        <v>1.1169849999999999</v>
      </c>
      <c r="R570" t="s">
        <v>1015</v>
      </c>
      <c r="S570">
        <v>13.550925929999991</v>
      </c>
    </row>
    <row r="571" spans="1:19" x14ac:dyDescent="0.25">
      <c r="A571" t="s">
        <v>28</v>
      </c>
      <c r="B571" t="s">
        <v>932</v>
      </c>
      <c r="C571">
        <v>16</v>
      </c>
      <c r="D571" t="s">
        <v>29</v>
      </c>
      <c r="E571" t="s">
        <v>94</v>
      </c>
      <c r="F571" t="s">
        <v>103</v>
      </c>
      <c r="G571" t="s">
        <v>102</v>
      </c>
      <c r="H571" t="s">
        <v>103</v>
      </c>
      <c r="J571">
        <v>0</v>
      </c>
      <c r="K571">
        <v>2</v>
      </c>
      <c r="L571">
        <v>98.291666669999998</v>
      </c>
      <c r="M571">
        <v>30.315130790000001</v>
      </c>
      <c r="N571">
        <v>5.0803484000000003E-2</v>
      </c>
      <c r="O571">
        <v>98.291666669999998</v>
      </c>
      <c r="P571">
        <v>30.315130790000001</v>
      </c>
      <c r="Q571">
        <v>5.0803484000000003E-2</v>
      </c>
      <c r="R571" t="s">
        <v>1015</v>
      </c>
      <c r="S571">
        <v>0</v>
      </c>
    </row>
    <row r="572" spans="1:19" x14ac:dyDescent="0.25">
      <c r="A572" t="s">
        <v>28</v>
      </c>
      <c r="B572" t="s">
        <v>933</v>
      </c>
      <c r="C572">
        <v>15</v>
      </c>
      <c r="D572" t="s">
        <v>29</v>
      </c>
      <c r="E572" t="s">
        <v>94</v>
      </c>
      <c r="F572" t="s">
        <v>111</v>
      </c>
      <c r="G572" t="s">
        <v>121</v>
      </c>
      <c r="H572" t="s">
        <v>247</v>
      </c>
      <c r="J572">
        <v>0</v>
      </c>
      <c r="K572">
        <v>1</v>
      </c>
      <c r="L572">
        <v>94.97142857</v>
      </c>
      <c r="M572">
        <v>24.31591813</v>
      </c>
      <c r="N572">
        <v>0.122951111</v>
      </c>
      <c r="O572">
        <v>65.791044779999993</v>
      </c>
      <c r="P572">
        <v>22.94519201</v>
      </c>
      <c r="Q572">
        <v>8.1320334999999994E-2</v>
      </c>
      <c r="R572" t="s">
        <v>1015</v>
      </c>
      <c r="S572">
        <v>29.180383790000008</v>
      </c>
    </row>
    <row r="573" spans="1:19" x14ac:dyDescent="0.25">
      <c r="A573" t="s">
        <v>28</v>
      </c>
      <c r="B573" t="s">
        <v>933</v>
      </c>
      <c r="C573">
        <v>16</v>
      </c>
      <c r="D573" t="s">
        <v>29</v>
      </c>
      <c r="E573" t="s">
        <v>94</v>
      </c>
      <c r="F573" t="s">
        <v>111</v>
      </c>
      <c r="G573" t="s">
        <v>121</v>
      </c>
      <c r="H573" t="s">
        <v>113</v>
      </c>
      <c r="J573">
        <v>0</v>
      </c>
      <c r="K573">
        <v>3</v>
      </c>
      <c r="L573">
        <v>94.97142857</v>
      </c>
      <c r="M573">
        <v>24.31591813</v>
      </c>
      <c r="N573">
        <v>0.122951111</v>
      </c>
      <c r="O573">
        <v>83.757575759999995</v>
      </c>
      <c r="P573">
        <v>22.60997987</v>
      </c>
      <c r="Q573">
        <v>0.72884000000000004</v>
      </c>
      <c r="R573" t="s">
        <v>1015</v>
      </c>
      <c r="S573">
        <v>11.213852810000006</v>
      </c>
    </row>
    <row r="574" spans="1:19" x14ac:dyDescent="0.25">
      <c r="A574" t="s">
        <v>28</v>
      </c>
      <c r="B574" t="s">
        <v>933</v>
      </c>
      <c r="C574">
        <v>17</v>
      </c>
      <c r="D574" t="s">
        <v>29</v>
      </c>
      <c r="E574" t="s">
        <v>94</v>
      </c>
      <c r="F574" t="s">
        <v>111</v>
      </c>
      <c r="G574" t="s">
        <v>121</v>
      </c>
      <c r="H574" t="s">
        <v>248</v>
      </c>
      <c r="J574">
        <v>0</v>
      </c>
      <c r="K574">
        <v>1</v>
      </c>
      <c r="L574">
        <v>94.97142857</v>
      </c>
      <c r="M574">
        <v>24.31591813</v>
      </c>
      <c r="N574">
        <v>0.122951111</v>
      </c>
      <c r="O574">
        <v>83.92307692</v>
      </c>
      <c r="P574">
        <v>44.319135699999997</v>
      </c>
      <c r="Q574">
        <v>5.9548609999999997E-3</v>
      </c>
      <c r="R574" t="s">
        <v>1015</v>
      </c>
      <c r="S574">
        <v>11.048351650000001</v>
      </c>
    </row>
    <row r="575" spans="1:19" x14ac:dyDescent="0.25">
      <c r="A575" t="s">
        <v>28</v>
      </c>
      <c r="B575" t="s">
        <v>934</v>
      </c>
      <c r="C575">
        <v>15</v>
      </c>
      <c r="D575" t="s">
        <v>29</v>
      </c>
      <c r="E575" t="s">
        <v>94</v>
      </c>
      <c r="F575" t="s">
        <v>112</v>
      </c>
      <c r="G575" t="s">
        <v>121</v>
      </c>
      <c r="H575" t="s">
        <v>103</v>
      </c>
      <c r="J575">
        <v>0</v>
      </c>
      <c r="K575">
        <v>4</v>
      </c>
      <c r="L575">
        <v>65.09375</v>
      </c>
      <c r="M575">
        <v>37.895352600000002</v>
      </c>
      <c r="N575">
        <v>2.2882677779999998</v>
      </c>
      <c r="O575">
        <v>98.291666669999998</v>
      </c>
      <c r="P575">
        <v>30.315130790000001</v>
      </c>
      <c r="Q575">
        <v>5.0803484000000003E-2</v>
      </c>
      <c r="R575" t="s">
        <v>1015</v>
      </c>
      <c r="S575">
        <v>33.197916669999998</v>
      </c>
    </row>
    <row r="576" spans="1:19" x14ac:dyDescent="0.25">
      <c r="A576" t="s">
        <v>28</v>
      </c>
      <c r="B576" t="s">
        <v>934</v>
      </c>
      <c r="C576">
        <v>16</v>
      </c>
      <c r="D576" t="s">
        <v>29</v>
      </c>
      <c r="E576" t="s">
        <v>94</v>
      </c>
      <c r="F576" t="s">
        <v>112</v>
      </c>
      <c r="G576" t="s">
        <v>121</v>
      </c>
      <c r="H576" t="s">
        <v>113</v>
      </c>
      <c r="J576">
        <v>0</v>
      </c>
      <c r="K576">
        <v>6</v>
      </c>
      <c r="L576">
        <v>65.09375</v>
      </c>
      <c r="M576">
        <v>37.895352600000002</v>
      </c>
      <c r="N576">
        <v>2.2882677779999998</v>
      </c>
      <c r="O576">
        <v>83.757575759999995</v>
      </c>
      <c r="P576">
        <v>22.60997987</v>
      </c>
      <c r="Q576">
        <v>0.72884000000000004</v>
      </c>
      <c r="R576" t="s">
        <v>1015</v>
      </c>
      <c r="S576">
        <v>18.663825759999995</v>
      </c>
    </row>
    <row r="577" spans="1:19" x14ac:dyDescent="0.25">
      <c r="A577" t="s">
        <v>28</v>
      </c>
      <c r="B577" t="s">
        <v>934</v>
      </c>
      <c r="C577">
        <v>17</v>
      </c>
      <c r="D577" t="s">
        <v>29</v>
      </c>
      <c r="E577" t="s">
        <v>94</v>
      </c>
      <c r="F577" t="s">
        <v>112</v>
      </c>
      <c r="G577" t="s">
        <v>121</v>
      </c>
      <c r="H577" t="s">
        <v>248</v>
      </c>
      <c r="J577">
        <v>0</v>
      </c>
      <c r="K577">
        <v>3</v>
      </c>
      <c r="L577">
        <v>65.09375</v>
      </c>
      <c r="M577">
        <v>37.895352600000002</v>
      </c>
      <c r="N577">
        <v>2.2882677779999998</v>
      </c>
      <c r="O577">
        <v>83.92307692</v>
      </c>
      <c r="P577">
        <v>44.319135699999997</v>
      </c>
      <c r="Q577">
        <v>5.9548609999999997E-3</v>
      </c>
      <c r="R577" t="s">
        <v>1015</v>
      </c>
      <c r="S577">
        <v>18.82932692</v>
      </c>
    </row>
    <row r="578" spans="1:19" x14ac:dyDescent="0.25">
      <c r="A578" t="s">
        <v>30</v>
      </c>
      <c r="B578" t="s">
        <v>935</v>
      </c>
      <c r="C578">
        <v>15</v>
      </c>
      <c r="D578" t="s">
        <v>31</v>
      </c>
      <c r="E578" t="s">
        <v>95</v>
      </c>
      <c r="F578" t="s">
        <v>113</v>
      </c>
      <c r="G578" t="s">
        <v>121</v>
      </c>
      <c r="H578" t="s">
        <v>113</v>
      </c>
      <c r="J578">
        <v>0</v>
      </c>
      <c r="K578">
        <v>1</v>
      </c>
      <c r="L578">
        <v>83.757575759999995</v>
      </c>
      <c r="M578">
        <v>22.60997987</v>
      </c>
      <c r="N578">
        <v>0.72884000000000004</v>
      </c>
      <c r="O578">
        <v>83.757575759999995</v>
      </c>
      <c r="P578">
        <v>22.60997987</v>
      </c>
      <c r="Q578">
        <v>0.72884000000000004</v>
      </c>
      <c r="R578" t="s">
        <v>1015</v>
      </c>
      <c r="S578">
        <v>0</v>
      </c>
    </row>
    <row r="579" spans="1:19" x14ac:dyDescent="0.25">
      <c r="A579" t="s">
        <v>30</v>
      </c>
      <c r="B579" t="s">
        <v>935</v>
      </c>
      <c r="C579">
        <v>16</v>
      </c>
      <c r="D579" t="s">
        <v>31</v>
      </c>
      <c r="E579" t="s">
        <v>95</v>
      </c>
      <c r="F579" t="s">
        <v>113</v>
      </c>
      <c r="G579" t="s">
        <v>121</v>
      </c>
      <c r="H579" t="s">
        <v>103</v>
      </c>
      <c r="J579">
        <v>0</v>
      </c>
      <c r="K579">
        <v>2</v>
      </c>
      <c r="L579">
        <v>83.757575759999995</v>
      </c>
      <c r="M579">
        <v>22.60997987</v>
      </c>
      <c r="N579">
        <v>0.72884000000000004</v>
      </c>
      <c r="O579">
        <v>98.291666669999998</v>
      </c>
      <c r="P579">
        <v>30.315130790000001</v>
      </c>
      <c r="Q579">
        <v>5.0803484000000003E-2</v>
      </c>
      <c r="R579" t="s">
        <v>1015</v>
      </c>
      <c r="S579">
        <v>14.534090910000003</v>
      </c>
    </row>
    <row r="580" spans="1:19" x14ac:dyDescent="0.25">
      <c r="A580" t="s">
        <v>30</v>
      </c>
      <c r="B580" t="s">
        <v>935</v>
      </c>
      <c r="C580">
        <v>17</v>
      </c>
      <c r="D580" t="s">
        <v>31</v>
      </c>
      <c r="E580" t="s">
        <v>95</v>
      </c>
      <c r="F580" t="s">
        <v>113</v>
      </c>
      <c r="G580" t="s">
        <v>121</v>
      </c>
      <c r="H580" t="s">
        <v>248</v>
      </c>
      <c r="J580">
        <v>0</v>
      </c>
      <c r="K580">
        <v>9</v>
      </c>
      <c r="L580">
        <v>83.757575759999995</v>
      </c>
      <c r="M580">
        <v>22.60997987</v>
      </c>
      <c r="N580">
        <v>0.72884000000000004</v>
      </c>
      <c r="O580">
        <v>83.92307692</v>
      </c>
      <c r="P580">
        <v>44.319135699999997</v>
      </c>
      <c r="Q580">
        <v>5.9548609999999997E-3</v>
      </c>
      <c r="R580" t="s">
        <v>1015</v>
      </c>
      <c r="S580">
        <v>0.16550116000000514</v>
      </c>
    </row>
    <row r="581" spans="1:19" x14ac:dyDescent="0.25">
      <c r="A581" t="s">
        <v>30</v>
      </c>
      <c r="B581" t="s">
        <v>935</v>
      </c>
      <c r="C581">
        <v>18</v>
      </c>
      <c r="D581" t="s">
        <v>31</v>
      </c>
      <c r="E581" t="s">
        <v>95</v>
      </c>
      <c r="F581" t="s">
        <v>113</v>
      </c>
      <c r="G581" t="s">
        <v>121</v>
      </c>
      <c r="H581" t="s">
        <v>111</v>
      </c>
      <c r="J581">
        <v>0</v>
      </c>
      <c r="K581">
        <v>1</v>
      </c>
      <c r="L581">
        <v>83.757575759999995</v>
      </c>
      <c r="M581">
        <v>22.60997987</v>
      </c>
      <c r="N581">
        <v>0.72884000000000004</v>
      </c>
      <c r="O581">
        <v>94.97142857</v>
      </c>
      <c r="P581">
        <v>24.31591813</v>
      </c>
      <c r="Q581">
        <v>0.122951111</v>
      </c>
      <c r="R581" t="s">
        <v>1015</v>
      </c>
      <c r="S581">
        <v>11.213852810000006</v>
      </c>
    </row>
    <row r="582" spans="1:19" x14ac:dyDescent="0.25">
      <c r="A582" t="s">
        <v>30</v>
      </c>
      <c r="B582" t="s">
        <v>936</v>
      </c>
      <c r="C582">
        <v>15</v>
      </c>
      <c r="D582" t="s">
        <v>31</v>
      </c>
      <c r="E582" t="s">
        <v>95</v>
      </c>
      <c r="F582" t="s">
        <v>103</v>
      </c>
      <c r="G582" t="s">
        <v>113</v>
      </c>
      <c r="H582" t="s">
        <v>113</v>
      </c>
      <c r="J582">
        <v>0</v>
      </c>
      <c r="K582">
        <v>3</v>
      </c>
      <c r="L582">
        <v>98.291666669999998</v>
      </c>
      <c r="M582">
        <v>30.315130790000001</v>
      </c>
      <c r="N582">
        <v>5.0803484000000003E-2</v>
      </c>
      <c r="O582">
        <v>83.757575759999995</v>
      </c>
      <c r="P582">
        <v>22.60997987</v>
      </c>
      <c r="Q582">
        <v>0.72884000000000004</v>
      </c>
      <c r="R582" t="s">
        <v>1015</v>
      </c>
      <c r="S582">
        <v>14.534090910000003</v>
      </c>
    </row>
    <row r="583" spans="1:19" x14ac:dyDescent="0.25">
      <c r="A583" t="s">
        <v>30</v>
      </c>
      <c r="B583" t="s">
        <v>936</v>
      </c>
      <c r="C583">
        <v>16</v>
      </c>
      <c r="D583" t="s">
        <v>31</v>
      </c>
      <c r="E583" t="s">
        <v>95</v>
      </c>
      <c r="F583" t="s">
        <v>103</v>
      </c>
      <c r="G583" t="s">
        <v>113</v>
      </c>
      <c r="H583" t="s">
        <v>247</v>
      </c>
      <c r="J583">
        <v>0</v>
      </c>
      <c r="K583">
        <v>1</v>
      </c>
      <c r="L583">
        <v>98.291666669999998</v>
      </c>
      <c r="M583">
        <v>30.315130790000001</v>
      </c>
      <c r="N583">
        <v>5.0803484000000003E-2</v>
      </c>
      <c r="O583">
        <v>65.791044779999993</v>
      </c>
      <c r="P583">
        <v>22.94519201</v>
      </c>
      <c r="Q583">
        <v>8.1320334999999994E-2</v>
      </c>
      <c r="R583" t="s">
        <v>1015</v>
      </c>
      <c r="S583">
        <v>32.500621890000005</v>
      </c>
    </row>
    <row r="584" spans="1:19" x14ac:dyDescent="0.25">
      <c r="A584" t="s">
        <v>30</v>
      </c>
      <c r="B584" t="s">
        <v>936</v>
      </c>
      <c r="C584">
        <v>17</v>
      </c>
      <c r="D584" t="s">
        <v>31</v>
      </c>
      <c r="E584" t="s">
        <v>95</v>
      </c>
      <c r="F584" t="s">
        <v>103</v>
      </c>
      <c r="G584" t="s">
        <v>113</v>
      </c>
      <c r="H584" t="s">
        <v>111</v>
      </c>
      <c r="J584">
        <v>0</v>
      </c>
      <c r="K584">
        <v>1</v>
      </c>
      <c r="L584">
        <v>98.291666669999998</v>
      </c>
      <c r="M584">
        <v>30.315130790000001</v>
      </c>
      <c r="N584">
        <v>5.0803484000000003E-2</v>
      </c>
      <c r="O584">
        <v>94.97142857</v>
      </c>
      <c r="P584">
        <v>24.31591813</v>
      </c>
      <c r="Q584">
        <v>0.122951111</v>
      </c>
      <c r="R584" t="s">
        <v>1015</v>
      </c>
      <c r="S584">
        <v>3.3202380999999974</v>
      </c>
    </row>
    <row r="585" spans="1:19" x14ac:dyDescent="0.25">
      <c r="A585" t="s">
        <v>30</v>
      </c>
      <c r="B585" t="s">
        <v>936</v>
      </c>
      <c r="C585">
        <v>18</v>
      </c>
      <c r="D585" t="s">
        <v>31</v>
      </c>
      <c r="E585" t="s">
        <v>95</v>
      </c>
      <c r="F585" t="s">
        <v>103</v>
      </c>
      <c r="G585" t="s">
        <v>113</v>
      </c>
      <c r="H585" t="s">
        <v>234</v>
      </c>
      <c r="J585">
        <v>0</v>
      </c>
      <c r="K585">
        <v>1</v>
      </c>
      <c r="L585">
        <v>98.291666669999998</v>
      </c>
      <c r="M585">
        <v>30.315130790000001</v>
      </c>
      <c r="N585">
        <v>5.0803484000000003E-2</v>
      </c>
      <c r="O585">
        <v>89.8125</v>
      </c>
      <c r="P585">
        <v>34.754706650000003</v>
      </c>
      <c r="Q585">
        <v>2.3065078999999999E-2</v>
      </c>
      <c r="R585" t="s">
        <v>1015</v>
      </c>
      <c r="S585">
        <v>8.4791666699999979</v>
      </c>
    </row>
    <row r="586" spans="1:19" x14ac:dyDescent="0.25">
      <c r="A586" t="s">
        <v>30</v>
      </c>
      <c r="B586" t="s">
        <v>936</v>
      </c>
      <c r="C586">
        <v>19</v>
      </c>
      <c r="D586" t="s">
        <v>31</v>
      </c>
      <c r="E586" t="s">
        <v>95</v>
      </c>
      <c r="F586" t="s">
        <v>103</v>
      </c>
      <c r="G586" t="s">
        <v>113</v>
      </c>
      <c r="H586" t="s">
        <v>241</v>
      </c>
      <c r="J586">
        <v>0</v>
      </c>
      <c r="K586">
        <v>1</v>
      </c>
      <c r="L586">
        <v>98.291666669999998</v>
      </c>
      <c r="M586">
        <v>30.315130790000001</v>
      </c>
      <c r="N586">
        <v>5.0803484000000003E-2</v>
      </c>
      <c r="O586">
        <v>114</v>
      </c>
      <c r="P586">
        <v>30.43077242</v>
      </c>
      <c r="Q586">
        <v>0.53383111100000002</v>
      </c>
      <c r="R586" t="s">
        <v>1015</v>
      </c>
      <c r="S586">
        <v>15.708333330000002</v>
      </c>
    </row>
    <row r="587" spans="1:19" x14ac:dyDescent="0.25">
      <c r="A587" t="s">
        <v>30</v>
      </c>
      <c r="B587" t="s">
        <v>937</v>
      </c>
      <c r="C587">
        <v>15</v>
      </c>
      <c r="D587" t="s">
        <v>31</v>
      </c>
      <c r="E587" t="s">
        <v>95</v>
      </c>
      <c r="F587" t="s">
        <v>112</v>
      </c>
      <c r="G587" t="s">
        <v>103</v>
      </c>
      <c r="H587" t="s">
        <v>114</v>
      </c>
      <c r="J587">
        <v>0</v>
      </c>
      <c r="K587" t="s">
        <v>114</v>
      </c>
      <c r="L587">
        <v>65.09375</v>
      </c>
      <c r="M587">
        <v>37.895352600000002</v>
      </c>
      <c r="N587">
        <v>2.2882677779999998</v>
      </c>
      <c r="O587" t="s">
        <v>114</v>
      </c>
      <c r="P587" t="s">
        <v>114</v>
      </c>
      <c r="Q587" t="s">
        <v>114</v>
      </c>
      <c r="R587" t="s">
        <v>1015</v>
      </c>
      <c r="S587" t="s">
        <v>114</v>
      </c>
    </row>
    <row r="588" spans="1:19" x14ac:dyDescent="0.25">
      <c r="A588" t="s">
        <v>32</v>
      </c>
      <c r="B588" t="s">
        <v>938</v>
      </c>
      <c r="C588">
        <v>15</v>
      </c>
      <c r="D588" t="s">
        <v>33</v>
      </c>
      <c r="E588" t="s">
        <v>94</v>
      </c>
      <c r="F588" t="s">
        <v>105</v>
      </c>
      <c r="G588" t="s">
        <v>121</v>
      </c>
      <c r="H588" t="s">
        <v>247</v>
      </c>
      <c r="J588">
        <v>0</v>
      </c>
      <c r="K588">
        <v>2</v>
      </c>
      <c r="L588">
        <v>67.5</v>
      </c>
      <c r="M588">
        <v>47.937235809999997</v>
      </c>
      <c r="N588">
        <v>0.41599678000000001</v>
      </c>
      <c r="O588">
        <v>65.791044779999993</v>
      </c>
      <c r="P588">
        <v>22.94519201</v>
      </c>
      <c r="Q588">
        <v>8.1320334999999994E-2</v>
      </c>
      <c r="R588" t="s">
        <v>1015</v>
      </c>
      <c r="S588">
        <v>1.7089552200000071</v>
      </c>
    </row>
    <row r="589" spans="1:19" x14ac:dyDescent="0.25">
      <c r="A589" t="s">
        <v>32</v>
      </c>
      <c r="B589" t="s">
        <v>938</v>
      </c>
      <c r="C589">
        <v>16</v>
      </c>
      <c r="D589" t="s">
        <v>33</v>
      </c>
      <c r="E589" t="s">
        <v>94</v>
      </c>
      <c r="F589" t="s">
        <v>105</v>
      </c>
      <c r="G589" t="s">
        <v>121</v>
      </c>
      <c r="H589" t="s">
        <v>249</v>
      </c>
      <c r="J589">
        <v>0</v>
      </c>
      <c r="K589">
        <v>1</v>
      </c>
      <c r="L589">
        <v>67.5</v>
      </c>
      <c r="M589">
        <v>47.937235809999997</v>
      </c>
      <c r="N589">
        <v>0.41599678000000001</v>
      </c>
      <c r="O589">
        <v>81.666666669999998</v>
      </c>
      <c r="P589">
        <v>48.056268459999998</v>
      </c>
      <c r="Q589">
        <v>0.120291364</v>
      </c>
      <c r="R589" t="s">
        <v>1015</v>
      </c>
      <c r="S589">
        <v>14.166666669999998</v>
      </c>
    </row>
    <row r="590" spans="1:19" x14ac:dyDescent="0.25">
      <c r="A590" t="s">
        <v>34</v>
      </c>
      <c r="B590" t="s">
        <v>939</v>
      </c>
      <c r="C590">
        <v>15</v>
      </c>
      <c r="D590" t="s">
        <v>35</v>
      </c>
      <c r="E590" t="s">
        <v>94</v>
      </c>
      <c r="F590" t="s">
        <v>112</v>
      </c>
      <c r="G590" t="s">
        <v>112</v>
      </c>
      <c r="H590" t="s">
        <v>112</v>
      </c>
      <c r="J590">
        <v>0</v>
      </c>
      <c r="K590">
        <v>1</v>
      </c>
      <c r="L590">
        <v>65.09375</v>
      </c>
      <c r="M590">
        <v>37.895352600000002</v>
      </c>
      <c r="N590">
        <v>2.2882677779999998</v>
      </c>
      <c r="O590">
        <v>65.09375</v>
      </c>
      <c r="P590">
        <v>37.895352600000002</v>
      </c>
      <c r="Q590">
        <v>2.2882677779999998</v>
      </c>
      <c r="R590" t="s">
        <v>1015</v>
      </c>
      <c r="S590">
        <v>0</v>
      </c>
    </row>
    <row r="591" spans="1:19" x14ac:dyDescent="0.25">
      <c r="A591" t="s">
        <v>36</v>
      </c>
      <c r="B591" t="s">
        <v>940</v>
      </c>
      <c r="C591">
        <v>15</v>
      </c>
      <c r="D591" t="s">
        <v>37</v>
      </c>
      <c r="E591" t="s">
        <v>95</v>
      </c>
      <c r="F591" t="s">
        <v>110</v>
      </c>
      <c r="G591" t="s">
        <v>121</v>
      </c>
      <c r="H591" t="s">
        <v>110</v>
      </c>
      <c r="J591">
        <v>0</v>
      </c>
      <c r="K591">
        <v>1</v>
      </c>
      <c r="L591">
        <v>73.260869569999997</v>
      </c>
      <c r="M591">
        <v>34.453830549999999</v>
      </c>
      <c r="N591">
        <v>1.058333333</v>
      </c>
      <c r="O591">
        <v>73.260869569999997</v>
      </c>
      <c r="P591">
        <v>34.453830549999999</v>
      </c>
      <c r="Q591">
        <v>1.058333333</v>
      </c>
      <c r="R591" t="s">
        <v>1015</v>
      </c>
      <c r="S591">
        <v>0</v>
      </c>
    </row>
    <row r="592" spans="1:19" x14ac:dyDescent="0.25">
      <c r="A592" t="s">
        <v>36</v>
      </c>
      <c r="B592" t="s">
        <v>941</v>
      </c>
      <c r="C592">
        <v>15</v>
      </c>
      <c r="D592" t="s">
        <v>37</v>
      </c>
      <c r="E592" t="s">
        <v>95</v>
      </c>
      <c r="F592" t="s">
        <v>104</v>
      </c>
      <c r="G592" t="s">
        <v>121</v>
      </c>
      <c r="H592" t="s">
        <v>104</v>
      </c>
      <c r="J592">
        <v>0</v>
      </c>
      <c r="K592">
        <v>1</v>
      </c>
      <c r="L592">
        <v>113.9375</v>
      </c>
      <c r="M592">
        <v>33.375507550000002</v>
      </c>
      <c r="N592">
        <v>2.4262999999999999</v>
      </c>
      <c r="O592">
        <v>113.9375</v>
      </c>
      <c r="P592">
        <v>33.375507550000002</v>
      </c>
      <c r="Q592">
        <v>2.4262999999999999</v>
      </c>
      <c r="R592" t="s">
        <v>1015</v>
      </c>
      <c r="S592">
        <v>0</v>
      </c>
    </row>
    <row r="593" spans="1:19" x14ac:dyDescent="0.25">
      <c r="A593" t="s">
        <v>36</v>
      </c>
      <c r="B593" t="s">
        <v>941</v>
      </c>
      <c r="C593">
        <v>16</v>
      </c>
      <c r="D593" t="s">
        <v>37</v>
      </c>
      <c r="E593" t="s">
        <v>95</v>
      </c>
      <c r="F593" t="s">
        <v>104</v>
      </c>
      <c r="G593" t="s">
        <v>121</v>
      </c>
      <c r="H593" t="s">
        <v>111</v>
      </c>
      <c r="J593">
        <v>0</v>
      </c>
      <c r="K593">
        <v>1</v>
      </c>
      <c r="L593">
        <v>113.9375</v>
      </c>
      <c r="M593">
        <v>33.375507550000002</v>
      </c>
      <c r="N593">
        <v>2.4262999999999999</v>
      </c>
      <c r="O593">
        <v>94.97142857</v>
      </c>
      <c r="P593">
        <v>24.31591813</v>
      </c>
      <c r="Q593">
        <v>0.122951111</v>
      </c>
      <c r="R593" t="s">
        <v>1015</v>
      </c>
      <c r="S593">
        <v>18.96607143</v>
      </c>
    </row>
    <row r="594" spans="1:19" x14ac:dyDescent="0.25">
      <c r="A594" t="s">
        <v>36</v>
      </c>
      <c r="B594" t="s">
        <v>941</v>
      </c>
      <c r="C594">
        <v>17</v>
      </c>
      <c r="D594" t="s">
        <v>37</v>
      </c>
      <c r="E594" t="s">
        <v>95</v>
      </c>
      <c r="F594" t="s">
        <v>104</v>
      </c>
      <c r="G594" t="s">
        <v>121</v>
      </c>
      <c r="H594" t="s">
        <v>162</v>
      </c>
      <c r="J594">
        <v>0</v>
      </c>
      <c r="K594">
        <v>1</v>
      </c>
      <c r="L594">
        <v>113.9375</v>
      </c>
      <c r="M594">
        <v>33.375507550000002</v>
      </c>
      <c r="N594">
        <v>2.4262999999999999</v>
      </c>
      <c r="O594">
        <v>82.53846154</v>
      </c>
      <c r="P594">
        <v>35.660530039999998</v>
      </c>
      <c r="Q594">
        <v>3.3754499999999998</v>
      </c>
      <c r="R594" t="s">
        <v>1015</v>
      </c>
      <c r="S594">
        <v>31.39903846</v>
      </c>
    </row>
    <row r="595" spans="1:19" x14ac:dyDescent="0.25">
      <c r="A595" t="s">
        <v>38</v>
      </c>
      <c r="B595" t="s">
        <v>942</v>
      </c>
      <c r="C595">
        <v>2</v>
      </c>
      <c r="D595" t="s">
        <v>11</v>
      </c>
      <c r="E595" t="s">
        <v>95</v>
      </c>
      <c r="F595" t="s">
        <v>113</v>
      </c>
      <c r="G595" t="s">
        <v>103</v>
      </c>
      <c r="H595" t="s">
        <v>103</v>
      </c>
      <c r="J595">
        <v>0</v>
      </c>
      <c r="K595">
        <v>3</v>
      </c>
      <c r="L595">
        <v>83.757575759999995</v>
      </c>
      <c r="M595">
        <v>22.60997987</v>
      </c>
      <c r="N595">
        <v>0.72884000000000004</v>
      </c>
      <c r="O595">
        <v>98.291666669999998</v>
      </c>
      <c r="P595">
        <v>30.315130790000001</v>
      </c>
      <c r="Q595">
        <v>5.0803484000000003E-2</v>
      </c>
      <c r="R595" t="s">
        <v>1015</v>
      </c>
      <c r="S595">
        <v>14.534090910000003</v>
      </c>
    </row>
    <row r="596" spans="1:19" x14ac:dyDescent="0.25">
      <c r="A596" t="s">
        <v>38</v>
      </c>
      <c r="B596" t="s">
        <v>943</v>
      </c>
      <c r="C596">
        <v>2</v>
      </c>
      <c r="D596" t="s">
        <v>11</v>
      </c>
      <c r="E596" t="s">
        <v>95</v>
      </c>
      <c r="F596" t="s">
        <v>103</v>
      </c>
      <c r="G596" t="s">
        <v>103</v>
      </c>
      <c r="H596" t="s">
        <v>103</v>
      </c>
      <c r="J596">
        <v>0</v>
      </c>
      <c r="K596">
        <v>7</v>
      </c>
      <c r="L596">
        <v>98.291666669999998</v>
      </c>
      <c r="M596">
        <v>30.315130790000001</v>
      </c>
      <c r="N596">
        <v>5.0803484000000003E-2</v>
      </c>
      <c r="O596">
        <v>98.291666669999998</v>
      </c>
      <c r="P596">
        <v>30.315130790000001</v>
      </c>
      <c r="Q596">
        <v>5.0803484000000003E-2</v>
      </c>
      <c r="R596" t="s">
        <v>1015</v>
      </c>
      <c r="S596">
        <v>0</v>
      </c>
    </row>
    <row r="597" spans="1:19" x14ac:dyDescent="0.25">
      <c r="A597" t="s">
        <v>38</v>
      </c>
      <c r="B597" t="s">
        <v>943</v>
      </c>
      <c r="C597">
        <v>2</v>
      </c>
      <c r="D597" t="s">
        <v>11</v>
      </c>
      <c r="E597" t="s">
        <v>95</v>
      </c>
      <c r="F597" t="s">
        <v>103</v>
      </c>
      <c r="G597" t="s">
        <v>103</v>
      </c>
      <c r="H597" t="s">
        <v>113</v>
      </c>
      <c r="J597">
        <v>0</v>
      </c>
      <c r="K597">
        <v>2</v>
      </c>
      <c r="L597">
        <v>98.291666669999998</v>
      </c>
      <c r="M597">
        <v>30.315130790000001</v>
      </c>
      <c r="N597">
        <v>5.0803484000000003E-2</v>
      </c>
      <c r="O597">
        <v>83.757575759999995</v>
      </c>
      <c r="P597">
        <v>22.60997987</v>
      </c>
      <c r="Q597">
        <v>0.72884000000000004</v>
      </c>
      <c r="R597" t="s">
        <v>1015</v>
      </c>
      <c r="S597">
        <v>14.534090910000003</v>
      </c>
    </row>
    <row r="598" spans="1:19" x14ac:dyDescent="0.25">
      <c r="A598" t="s">
        <v>38</v>
      </c>
      <c r="B598" t="s">
        <v>944</v>
      </c>
      <c r="C598">
        <v>2</v>
      </c>
      <c r="D598" t="s">
        <v>11</v>
      </c>
      <c r="E598" t="s">
        <v>95</v>
      </c>
      <c r="F598" t="s">
        <v>111</v>
      </c>
      <c r="G598" t="s">
        <v>103</v>
      </c>
      <c r="H598" t="s">
        <v>103</v>
      </c>
      <c r="J598">
        <v>0</v>
      </c>
      <c r="K598">
        <v>2</v>
      </c>
      <c r="L598">
        <v>94.97142857</v>
      </c>
      <c r="M598">
        <v>24.31591813</v>
      </c>
      <c r="N598">
        <v>0.122951111</v>
      </c>
      <c r="O598">
        <v>98.291666669999998</v>
      </c>
      <c r="P598">
        <v>30.315130790000001</v>
      </c>
      <c r="Q598">
        <v>5.0803484000000003E-2</v>
      </c>
      <c r="R598" t="s">
        <v>1015</v>
      </c>
      <c r="S598">
        <v>3.3202380999999974</v>
      </c>
    </row>
    <row r="599" spans="1:19" x14ac:dyDescent="0.25">
      <c r="A599" t="s">
        <v>39</v>
      </c>
      <c r="B599" t="s">
        <v>945</v>
      </c>
      <c r="C599">
        <v>2</v>
      </c>
      <c r="D599" t="s">
        <v>15</v>
      </c>
      <c r="E599" t="s">
        <v>94</v>
      </c>
      <c r="F599" t="s">
        <v>102</v>
      </c>
      <c r="G599" t="s">
        <v>102</v>
      </c>
      <c r="H599" t="s">
        <v>235</v>
      </c>
      <c r="J599">
        <v>0</v>
      </c>
      <c r="K599">
        <v>1</v>
      </c>
      <c r="L599">
        <v>84.740740740000007</v>
      </c>
      <c r="M599">
        <v>29.167014049999999</v>
      </c>
      <c r="N599">
        <v>1.1169849999999999</v>
      </c>
      <c r="O599">
        <v>132.27272730000001</v>
      </c>
      <c r="P599">
        <v>20.180448590000001</v>
      </c>
      <c r="Q599">
        <v>3.7813451999999997E-2</v>
      </c>
      <c r="R599" t="s">
        <v>1015</v>
      </c>
      <c r="S599">
        <v>47.531986560000007</v>
      </c>
    </row>
    <row r="600" spans="1:19" x14ac:dyDescent="0.25">
      <c r="A600" t="s">
        <v>39</v>
      </c>
      <c r="B600" t="s">
        <v>945</v>
      </c>
      <c r="C600">
        <v>2</v>
      </c>
      <c r="D600" t="s">
        <v>15</v>
      </c>
      <c r="E600" t="s">
        <v>94</v>
      </c>
      <c r="F600" t="s">
        <v>102</v>
      </c>
      <c r="G600" t="s">
        <v>102</v>
      </c>
      <c r="H600" t="s">
        <v>113</v>
      </c>
      <c r="J600">
        <v>0</v>
      </c>
      <c r="K600">
        <v>2</v>
      </c>
      <c r="L600">
        <v>84.740740740000007</v>
      </c>
      <c r="M600">
        <v>29.167014049999999</v>
      </c>
      <c r="N600">
        <v>1.1169849999999999</v>
      </c>
      <c r="O600">
        <v>83.757575759999995</v>
      </c>
      <c r="P600">
        <v>22.60997987</v>
      </c>
      <c r="Q600">
        <v>0.72884000000000004</v>
      </c>
      <c r="R600" t="s">
        <v>1015</v>
      </c>
      <c r="S600">
        <v>0.98316498000001218</v>
      </c>
    </row>
    <row r="601" spans="1:19" x14ac:dyDescent="0.25">
      <c r="A601" t="s">
        <v>39</v>
      </c>
      <c r="B601" t="s">
        <v>945</v>
      </c>
      <c r="C601">
        <v>2</v>
      </c>
      <c r="D601" t="s">
        <v>15</v>
      </c>
      <c r="E601" t="s">
        <v>94</v>
      </c>
      <c r="F601" t="s">
        <v>102</v>
      </c>
      <c r="G601" t="s">
        <v>102</v>
      </c>
      <c r="H601" t="s">
        <v>103</v>
      </c>
      <c r="J601">
        <v>0</v>
      </c>
      <c r="K601">
        <v>3</v>
      </c>
      <c r="L601">
        <v>84.740740740000007</v>
      </c>
      <c r="M601">
        <v>29.167014049999999</v>
      </c>
      <c r="N601">
        <v>1.1169849999999999</v>
      </c>
      <c r="O601">
        <v>98.291666669999998</v>
      </c>
      <c r="P601">
        <v>30.315130790000001</v>
      </c>
      <c r="Q601">
        <v>5.0803484000000003E-2</v>
      </c>
      <c r="R601" t="s">
        <v>1015</v>
      </c>
      <c r="S601">
        <v>13.550925929999991</v>
      </c>
    </row>
    <row r="602" spans="1:19" x14ac:dyDescent="0.25">
      <c r="A602" t="s">
        <v>39</v>
      </c>
      <c r="B602" t="s">
        <v>945</v>
      </c>
      <c r="C602">
        <v>2</v>
      </c>
      <c r="D602" t="s">
        <v>15</v>
      </c>
      <c r="E602" t="s">
        <v>94</v>
      </c>
      <c r="F602" t="s">
        <v>102</v>
      </c>
      <c r="G602" t="s">
        <v>102</v>
      </c>
      <c r="H602" t="s">
        <v>233</v>
      </c>
      <c r="J602">
        <v>0</v>
      </c>
      <c r="K602">
        <v>1</v>
      </c>
      <c r="L602">
        <v>84.740740740000007</v>
      </c>
      <c r="M602">
        <v>29.167014049999999</v>
      </c>
      <c r="N602">
        <v>1.1169849999999999</v>
      </c>
      <c r="O602">
        <v>106.0540541</v>
      </c>
      <c r="P602">
        <v>52.690533369999997</v>
      </c>
      <c r="Q602">
        <v>7.6058968000000005E-2</v>
      </c>
      <c r="R602" t="s">
        <v>1015</v>
      </c>
      <c r="S602">
        <v>21.313313359999995</v>
      </c>
    </row>
    <row r="603" spans="1:19" x14ac:dyDescent="0.25">
      <c r="A603" t="s">
        <v>39</v>
      </c>
      <c r="B603" t="s">
        <v>945</v>
      </c>
      <c r="C603">
        <v>2</v>
      </c>
      <c r="D603" t="s">
        <v>15</v>
      </c>
      <c r="E603" t="s">
        <v>94</v>
      </c>
      <c r="F603" t="s">
        <v>102</v>
      </c>
      <c r="G603" t="s">
        <v>102</v>
      </c>
      <c r="H603" t="s">
        <v>104</v>
      </c>
      <c r="J603">
        <v>0</v>
      </c>
      <c r="K603">
        <v>1</v>
      </c>
      <c r="L603">
        <v>84.740740740000007</v>
      </c>
      <c r="M603">
        <v>29.167014049999999</v>
      </c>
      <c r="N603">
        <v>1.1169849999999999</v>
      </c>
      <c r="O603">
        <v>113.9375</v>
      </c>
      <c r="P603">
        <v>33.375507550000002</v>
      </c>
      <c r="Q603">
        <v>2.4262999999999999</v>
      </c>
      <c r="R603" t="s">
        <v>1015</v>
      </c>
      <c r="S603">
        <v>29.196759259999993</v>
      </c>
    </row>
    <row r="604" spans="1:19" x14ac:dyDescent="0.25">
      <c r="A604" t="s">
        <v>39</v>
      </c>
      <c r="B604" t="s">
        <v>946</v>
      </c>
      <c r="C604">
        <v>2</v>
      </c>
      <c r="D604" t="s">
        <v>15</v>
      </c>
      <c r="E604" t="s">
        <v>94</v>
      </c>
      <c r="F604" t="s">
        <v>113</v>
      </c>
      <c r="G604" t="s">
        <v>113</v>
      </c>
      <c r="H604" t="s">
        <v>113</v>
      </c>
      <c r="J604">
        <v>0</v>
      </c>
      <c r="K604">
        <v>5</v>
      </c>
      <c r="L604">
        <v>83.757575759999995</v>
      </c>
      <c r="M604">
        <v>22.60997987</v>
      </c>
      <c r="N604">
        <v>0.72884000000000004</v>
      </c>
      <c r="O604">
        <v>83.757575759999995</v>
      </c>
      <c r="P604">
        <v>22.60997987</v>
      </c>
      <c r="Q604">
        <v>0.72884000000000004</v>
      </c>
      <c r="R604" t="s">
        <v>1015</v>
      </c>
      <c r="S604">
        <v>0</v>
      </c>
    </row>
    <row r="605" spans="1:19" x14ac:dyDescent="0.25">
      <c r="A605" t="s">
        <v>39</v>
      </c>
      <c r="B605" t="s">
        <v>946</v>
      </c>
      <c r="C605">
        <v>2</v>
      </c>
      <c r="D605" t="s">
        <v>15</v>
      </c>
      <c r="E605" t="s">
        <v>94</v>
      </c>
      <c r="F605" t="s">
        <v>113</v>
      </c>
      <c r="G605" t="s">
        <v>113</v>
      </c>
      <c r="H605" t="s">
        <v>233</v>
      </c>
      <c r="J605">
        <v>0</v>
      </c>
      <c r="K605">
        <v>4</v>
      </c>
      <c r="L605">
        <v>83.757575759999995</v>
      </c>
      <c r="M605">
        <v>22.60997987</v>
      </c>
      <c r="N605">
        <v>0.72884000000000004</v>
      </c>
      <c r="O605">
        <v>106.0540541</v>
      </c>
      <c r="P605">
        <v>52.690533369999997</v>
      </c>
      <c r="Q605">
        <v>7.6058968000000005E-2</v>
      </c>
      <c r="R605" t="s">
        <v>1015</v>
      </c>
      <c r="S605">
        <v>22.296478340000007</v>
      </c>
    </row>
    <row r="606" spans="1:19" x14ac:dyDescent="0.25">
      <c r="A606" t="s">
        <v>39</v>
      </c>
      <c r="B606" t="s">
        <v>946</v>
      </c>
      <c r="C606">
        <v>2</v>
      </c>
      <c r="D606" t="s">
        <v>15</v>
      </c>
      <c r="E606" t="s">
        <v>94</v>
      </c>
      <c r="F606" t="s">
        <v>113</v>
      </c>
      <c r="G606" t="s">
        <v>113</v>
      </c>
      <c r="H606" t="s">
        <v>234</v>
      </c>
      <c r="J606">
        <v>0</v>
      </c>
      <c r="K606">
        <v>1</v>
      </c>
      <c r="L606">
        <v>83.757575759999995</v>
      </c>
      <c r="M606">
        <v>22.60997987</v>
      </c>
      <c r="N606">
        <v>0.72884000000000004</v>
      </c>
      <c r="O606">
        <v>89.8125</v>
      </c>
      <c r="P606">
        <v>34.754706650000003</v>
      </c>
      <c r="Q606">
        <v>2.3065078999999999E-2</v>
      </c>
      <c r="R606" t="s">
        <v>1015</v>
      </c>
      <c r="S606">
        <v>6.0549242400000054</v>
      </c>
    </row>
    <row r="607" spans="1:19" x14ac:dyDescent="0.25">
      <c r="A607" t="s">
        <v>39</v>
      </c>
      <c r="B607" t="s">
        <v>947</v>
      </c>
      <c r="C607">
        <v>2</v>
      </c>
      <c r="D607" t="s">
        <v>15</v>
      </c>
      <c r="E607" t="s">
        <v>94</v>
      </c>
      <c r="F607" t="s">
        <v>103</v>
      </c>
      <c r="G607" t="s">
        <v>103</v>
      </c>
      <c r="H607" t="s">
        <v>103</v>
      </c>
      <c r="J607">
        <v>0</v>
      </c>
      <c r="K607">
        <v>3</v>
      </c>
      <c r="L607">
        <v>98.291666669999998</v>
      </c>
      <c r="M607">
        <v>30.315130790000001</v>
      </c>
      <c r="N607">
        <v>5.0803484000000003E-2</v>
      </c>
      <c r="O607">
        <v>98.291666669999998</v>
      </c>
      <c r="P607">
        <v>30.315130790000001</v>
      </c>
      <c r="Q607">
        <v>5.0803484000000003E-2</v>
      </c>
      <c r="R607" t="s">
        <v>1015</v>
      </c>
      <c r="S607">
        <v>0</v>
      </c>
    </row>
    <row r="608" spans="1:19" x14ac:dyDescent="0.25">
      <c r="A608" t="s">
        <v>39</v>
      </c>
      <c r="B608" t="s">
        <v>947</v>
      </c>
      <c r="C608">
        <v>2</v>
      </c>
      <c r="D608" t="s">
        <v>15</v>
      </c>
      <c r="E608" t="s">
        <v>94</v>
      </c>
      <c r="F608" t="s">
        <v>103</v>
      </c>
      <c r="G608" t="s">
        <v>103</v>
      </c>
      <c r="H608" t="s">
        <v>104</v>
      </c>
      <c r="J608">
        <v>0</v>
      </c>
      <c r="K608">
        <v>1</v>
      </c>
      <c r="L608">
        <v>98.291666669999998</v>
      </c>
      <c r="M608">
        <v>30.315130790000001</v>
      </c>
      <c r="N608">
        <v>5.0803484000000003E-2</v>
      </c>
      <c r="O608">
        <v>113.9375</v>
      </c>
      <c r="P608">
        <v>33.375507550000002</v>
      </c>
      <c r="Q608">
        <v>2.4262999999999999</v>
      </c>
      <c r="R608" t="s">
        <v>1015</v>
      </c>
      <c r="S608">
        <v>15.645833330000002</v>
      </c>
    </row>
    <row r="609" spans="1:19" x14ac:dyDescent="0.25">
      <c r="A609" t="s">
        <v>39</v>
      </c>
      <c r="B609" t="s">
        <v>947</v>
      </c>
      <c r="C609">
        <v>2</v>
      </c>
      <c r="D609" t="s">
        <v>15</v>
      </c>
      <c r="E609" t="s">
        <v>94</v>
      </c>
      <c r="F609" t="s">
        <v>103</v>
      </c>
      <c r="G609" t="s">
        <v>103</v>
      </c>
      <c r="H609" t="s">
        <v>113</v>
      </c>
      <c r="J609">
        <v>0</v>
      </c>
      <c r="K609">
        <v>4</v>
      </c>
      <c r="L609">
        <v>98.291666669999998</v>
      </c>
      <c r="M609">
        <v>30.315130790000001</v>
      </c>
      <c r="N609">
        <v>5.0803484000000003E-2</v>
      </c>
      <c r="O609">
        <v>83.757575759999995</v>
      </c>
      <c r="P609">
        <v>22.60997987</v>
      </c>
      <c r="Q609">
        <v>0.72884000000000004</v>
      </c>
      <c r="R609" t="s">
        <v>1015</v>
      </c>
      <c r="S609">
        <v>14.534090910000003</v>
      </c>
    </row>
    <row r="610" spans="1:19" x14ac:dyDescent="0.25">
      <c r="A610" t="s">
        <v>39</v>
      </c>
      <c r="B610" t="s">
        <v>948</v>
      </c>
      <c r="C610">
        <v>2</v>
      </c>
      <c r="D610" t="s">
        <v>15</v>
      </c>
      <c r="E610" t="s">
        <v>94</v>
      </c>
      <c r="F610" t="s">
        <v>111</v>
      </c>
      <c r="G610" t="s">
        <v>104</v>
      </c>
      <c r="H610" t="s">
        <v>236</v>
      </c>
      <c r="J610">
        <v>0</v>
      </c>
      <c r="K610">
        <v>1</v>
      </c>
      <c r="L610">
        <v>94.97142857</v>
      </c>
      <c r="M610">
        <v>24.31591813</v>
      </c>
      <c r="N610">
        <v>0.122951111</v>
      </c>
      <c r="O610">
        <v>113.33333330000001</v>
      </c>
      <c r="P610">
        <v>26.41632581</v>
      </c>
      <c r="Q610">
        <v>1.6844570160000001</v>
      </c>
      <c r="R610" t="s">
        <v>1015</v>
      </c>
      <c r="S610">
        <v>18.361904730000006</v>
      </c>
    </row>
    <row r="611" spans="1:19" x14ac:dyDescent="0.25">
      <c r="A611" t="s">
        <v>39</v>
      </c>
      <c r="B611" t="s">
        <v>948</v>
      </c>
      <c r="C611">
        <v>2</v>
      </c>
      <c r="D611" t="s">
        <v>15</v>
      </c>
      <c r="E611" t="s">
        <v>94</v>
      </c>
      <c r="F611" t="s">
        <v>111</v>
      </c>
      <c r="G611" t="s">
        <v>104</v>
      </c>
      <c r="H611" t="s">
        <v>103</v>
      </c>
      <c r="J611">
        <v>0</v>
      </c>
      <c r="K611">
        <v>1</v>
      </c>
      <c r="L611">
        <v>94.97142857</v>
      </c>
      <c r="M611">
        <v>24.31591813</v>
      </c>
      <c r="N611">
        <v>0.122951111</v>
      </c>
      <c r="O611">
        <v>98.291666669999998</v>
      </c>
      <c r="P611">
        <v>30.315130790000001</v>
      </c>
      <c r="Q611">
        <v>5.0803484000000003E-2</v>
      </c>
      <c r="R611" t="s">
        <v>1015</v>
      </c>
      <c r="S611">
        <v>3.3202380999999974</v>
      </c>
    </row>
    <row r="612" spans="1:19" x14ac:dyDescent="0.25">
      <c r="A612" t="s">
        <v>39</v>
      </c>
      <c r="B612" t="s">
        <v>948</v>
      </c>
      <c r="C612">
        <v>2</v>
      </c>
      <c r="D612" t="s">
        <v>15</v>
      </c>
      <c r="E612" t="s">
        <v>94</v>
      </c>
      <c r="F612" t="s">
        <v>111</v>
      </c>
      <c r="G612" t="s">
        <v>104</v>
      </c>
      <c r="H612" t="s">
        <v>104</v>
      </c>
      <c r="J612">
        <v>0</v>
      </c>
      <c r="K612">
        <v>1</v>
      </c>
      <c r="L612">
        <v>94.97142857</v>
      </c>
      <c r="M612">
        <v>24.31591813</v>
      </c>
      <c r="N612">
        <v>0.122951111</v>
      </c>
      <c r="O612">
        <v>113.9375</v>
      </c>
      <c r="P612">
        <v>33.375507550000002</v>
      </c>
      <c r="Q612">
        <v>2.4262999999999999</v>
      </c>
      <c r="R612" t="s">
        <v>1015</v>
      </c>
      <c r="S612">
        <v>18.96607143</v>
      </c>
    </row>
    <row r="613" spans="1:19" x14ac:dyDescent="0.25">
      <c r="A613" t="s">
        <v>39</v>
      </c>
      <c r="B613" t="s">
        <v>949</v>
      </c>
      <c r="C613">
        <v>2</v>
      </c>
      <c r="D613" t="s">
        <v>15</v>
      </c>
      <c r="E613" t="s">
        <v>94</v>
      </c>
      <c r="F613" t="s">
        <v>104</v>
      </c>
      <c r="G613" t="s">
        <v>104</v>
      </c>
      <c r="H613" t="s">
        <v>104</v>
      </c>
      <c r="J613">
        <v>0</v>
      </c>
      <c r="K613">
        <v>3</v>
      </c>
      <c r="L613">
        <v>113.9375</v>
      </c>
      <c r="M613">
        <v>33.375507550000002</v>
      </c>
      <c r="N613">
        <v>2.4262999999999999</v>
      </c>
      <c r="O613">
        <v>113.9375</v>
      </c>
      <c r="P613">
        <v>33.375507550000002</v>
      </c>
      <c r="Q613">
        <v>2.4262999999999999</v>
      </c>
      <c r="R613" t="s">
        <v>1015</v>
      </c>
      <c r="S613">
        <v>0</v>
      </c>
    </row>
    <row r="614" spans="1:19" x14ac:dyDescent="0.25">
      <c r="A614" t="s">
        <v>39</v>
      </c>
      <c r="B614" t="s">
        <v>949</v>
      </c>
      <c r="C614">
        <v>2</v>
      </c>
      <c r="D614" t="s">
        <v>15</v>
      </c>
      <c r="E614" t="s">
        <v>94</v>
      </c>
      <c r="F614" t="s">
        <v>104</v>
      </c>
      <c r="G614" t="s">
        <v>104</v>
      </c>
      <c r="H614" t="s">
        <v>113</v>
      </c>
      <c r="J614">
        <v>0</v>
      </c>
      <c r="K614">
        <v>1</v>
      </c>
      <c r="L614">
        <v>113.9375</v>
      </c>
      <c r="M614">
        <v>33.375507550000002</v>
      </c>
      <c r="N614">
        <v>2.4262999999999999</v>
      </c>
      <c r="O614">
        <v>83.757575759999995</v>
      </c>
      <c r="P614">
        <v>22.60997987</v>
      </c>
      <c r="Q614">
        <v>0.72884000000000004</v>
      </c>
      <c r="R614" t="s">
        <v>1015</v>
      </c>
      <c r="S614">
        <v>30.179924240000005</v>
      </c>
    </row>
    <row r="615" spans="1:19" x14ac:dyDescent="0.25">
      <c r="A615" t="s">
        <v>40</v>
      </c>
      <c r="B615" t="s">
        <v>950</v>
      </c>
      <c r="C615">
        <v>2</v>
      </c>
      <c r="D615" t="s">
        <v>17</v>
      </c>
      <c r="E615" t="s">
        <v>95</v>
      </c>
      <c r="F615" t="s">
        <v>113</v>
      </c>
      <c r="G615" t="s">
        <v>113</v>
      </c>
      <c r="H615" t="s">
        <v>113</v>
      </c>
      <c r="J615">
        <v>0</v>
      </c>
      <c r="K615">
        <v>1</v>
      </c>
      <c r="L615">
        <v>83.757575759999995</v>
      </c>
      <c r="M615">
        <v>22.60997987</v>
      </c>
      <c r="N615">
        <v>0.72884000000000004</v>
      </c>
      <c r="O615">
        <v>83.757575759999995</v>
      </c>
      <c r="P615">
        <v>22.60997987</v>
      </c>
      <c r="Q615">
        <v>0.72884000000000004</v>
      </c>
      <c r="R615" t="s">
        <v>1015</v>
      </c>
      <c r="S615">
        <v>0</v>
      </c>
    </row>
    <row r="616" spans="1:19" x14ac:dyDescent="0.25">
      <c r="A616" t="s">
        <v>40</v>
      </c>
      <c r="B616" t="s">
        <v>950</v>
      </c>
      <c r="C616">
        <v>2</v>
      </c>
      <c r="D616" t="s">
        <v>17</v>
      </c>
      <c r="E616" t="s">
        <v>95</v>
      </c>
      <c r="F616" t="s">
        <v>113</v>
      </c>
      <c r="G616" t="s">
        <v>113</v>
      </c>
      <c r="H616" t="s">
        <v>103</v>
      </c>
      <c r="J616">
        <v>0</v>
      </c>
      <c r="K616">
        <v>2</v>
      </c>
      <c r="L616">
        <v>83.757575759999995</v>
      </c>
      <c r="M616">
        <v>22.60997987</v>
      </c>
      <c r="N616">
        <v>0.72884000000000004</v>
      </c>
      <c r="O616">
        <v>98.291666669999998</v>
      </c>
      <c r="P616">
        <v>30.315130790000001</v>
      </c>
      <c r="Q616">
        <v>5.0803484000000003E-2</v>
      </c>
      <c r="R616" t="s">
        <v>1015</v>
      </c>
      <c r="S616">
        <v>14.534090910000003</v>
      </c>
    </row>
    <row r="617" spans="1:19" x14ac:dyDescent="0.25">
      <c r="A617" t="s">
        <v>40</v>
      </c>
      <c r="B617" t="s">
        <v>951</v>
      </c>
      <c r="C617">
        <v>2</v>
      </c>
      <c r="D617" t="s">
        <v>17</v>
      </c>
      <c r="E617" t="s">
        <v>95</v>
      </c>
      <c r="F617" t="s">
        <v>103</v>
      </c>
      <c r="G617" t="s">
        <v>103</v>
      </c>
      <c r="H617" t="s">
        <v>103</v>
      </c>
      <c r="J617">
        <v>0</v>
      </c>
      <c r="K617">
        <v>6</v>
      </c>
      <c r="L617">
        <v>98.291666669999998</v>
      </c>
      <c r="M617">
        <v>30.315130790000001</v>
      </c>
      <c r="N617">
        <v>5.0803484000000003E-2</v>
      </c>
      <c r="O617">
        <v>98.291666669999998</v>
      </c>
      <c r="P617">
        <v>30.315130790000001</v>
      </c>
      <c r="Q617">
        <v>5.0803484000000003E-2</v>
      </c>
      <c r="R617" t="s">
        <v>1015</v>
      </c>
      <c r="S617">
        <v>0</v>
      </c>
    </row>
    <row r="618" spans="1:19" x14ac:dyDescent="0.25">
      <c r="A618" t="s">
        <v>40</v>
      </c>
      <c r="B618" t="s">
        <v>952</v>
      </c>
      <c r="C618">
        <v>2</v>
      </c>
      <c r="D618" t="s">
        <v>17</v>
      </c>
      <c r="E618" t="s">
        <v>95</v>
      </c>
      <c r="F618" t="s">
        <v>112</v>
      </c>
      <c r="G618" t="s">
        <v>103</v>
      </c>
      <c r="H618" t="s">
        <v>103</v>
      </c>
      <c r="I618" t="s">
        <v>243</v>
      </c>
      <c r="J618">
        <v>1</v>
      </c>
      <c r="K618">
        <v>7</v>
      </c>
      <c r="L618">
        <v>65.09375</v>
      </c>
      <c r="M618">
        <v>37.895352600000002</v>
      </c>
      <c r="N618">
        <v>2.2882677779999998</v>
      </c>
      <c r="O618">
        <v>98.291666669999998</v>
      </c>
      <c r="P618">
        <v>30.315130790000001</v>
      </c>
      <c r="Q618">
        <v>5.0803484000000003E-2</v>
      </c>
      <c r="R618" t="s">
        <v>1015</v>
      </c>
      <c r="S618">
        <v>33.197916669999998</v>
      </c>
    </row>
    <row r="619" spans="1:19" x14ac:dyDescent="0.25">
      <c r="A619" t="s">
        <v>40</v>
      </c>
      <c r="B619" t="s">
        <v>952</v>
      </c>
      <c r="C619">
        <v>2</v>
      </c>
      <c r="D619" t="s">
        <v>17</v>
      </c>
      <c r="E619" t="s">
        <v>95</v>
      </c>
      <c r="F619" t="s">
        <v>112</v>
      </c>
      <c r="G619" t="s">
        <v>103</v>
      </c>
      <c r="H619" t="s">
        <v>113</v>
      </c>
      <c r="J619">
        <v>1</v>
      </c>
      <c r="K619">
        <v>5</v>
      </c>
      <c r="L619">
        <v>65.09375</v>
      </c>
      <c r="M619">
        <v>37.895352600000002</v>
      </c>
      <c r="N619">
        <v>2.2882677779999998</v>
      </c>
      <c r="O619">
        <v>83.757575759999995</v>
      </c>
      <c r="P619">
        <v>22.60997987</v>
      </c>
      <c r="Q619">
        <v>0.72884000000000004</v>
      </c>
      <c r="R619" t="s">
        <v>1015</v>
      </c>
      <c r="S619">
        <v>18.663825759999995</v>
      </c>
    </row>
    <row r="620" spans="1:19" x14ac:dyDescent="0.25">
      <c r="A620" t="s">
        <v>41</v>
      </c>
      <c r="B620" t="s">
        <v>953</v>
      </c>
      <c r="C620">
        <v>2</v>
      </c>
      <c r="D620" t="s">
        <v>19</v>
      </c>
      <c r="E620" t="s">
        <v>94</v>
      </c>
      <c r="F620" t="s">
        <v>105</v>
      </c>
      <c r="G620" t="s">
        <v>104</v>
      </c>
      <c r="H620" t="s">
        <v>104</v>
      </c>
      <c r="J620">
        <v>0</v>
      </c>
      <c r="K620">
        <v>3</v>
      </c>
      <c r="L620">
        <v>67.5</v>
      </c>
      <c r="M620">
        <v>47.937235809999997</v>
      </c>
      <c r="N620">
        <v>0.41599678000000001</v>
      </c>
      <c r="O620">
        <v>113.9375</v>
      </c>
      <c r="P620">
        <v>33.375507550000002</v>
      </c>
      <c r="Q620">
        <v>2.4262999999999999</v>
      </c>
      <c r="R620" t="s">
        <v>1015</v>
      </c>
      <c r="S620">
        <v>46.4375</v>
      </c>
    </row>
    <row r="621" spans="1:19" x14ac:dyDescent="0.25">
      <c r="A621" t="s">
        <v>41</v>
      </c>
      <c r="B621" t="s">
        <v>953</v>
      </c>
      <c r="C621">
        <v>2</v>
      </c>
      <c r="D621" t="s">
        <v>19</v>
      </c>
      <c r="E621" t="s">
        <v>94</v>
      </c>
      <c r="F621" t="s">
        <v>105</v>
      </c>
      <c r="G621" t="s">
        <v>104</v>
      </c>
      <c r="H621" t="s">
        <v>113</v>
      </c>
      <c r="J621">
        <v>0</v>
      </c>
      <c r="K621">
        <v>1</v>
      </c>
      <c r="L621">
        <v>67.5</v>
      </c>
      <c r="M621">
        <v>47.937235809999997</v>
      </c>
      <c r="N621">
        <v>0.41599678000000001</v>
      </c>
      <c r="O621">
        <v>83.757575759999995</v>
      </c>
      <c r="P621">
        <v>22.60997987</v>
      </c>
      <c r="Q621">
        <v>0.72884000000000004</v>
      </c>
      <c r="R621" t="s">
        <v>1015</v>
      </c>
      <c r="S621">
        <v>16.257575759999995</v>
      </c>
    </row>
    <row r="622" spans="1:19" x14ac:dyDescent="0.25">
      <c r="A622" t="s">
        <v>41</v>
      </c>
      <c r="B622" t="s">
        <v>953</v>
      </c>
      <c r="C622">
        <v>2</v>
      </c>
      <c r="D622" t="s">
        <v>19</v>
      </c>
      <c r="E622" t="s">
        <v>94</v>
      </c>
      <c r="F622" t="s">
        <v>105</v>
      </c>
      <c r="G622" t="s">
        <v>104</v>
      </c>
      <c r="H622" t="s">
        <v>237</v>
      </c>
      <c r="J622">
        <v>0</v>
      </c>
      <c r="K622">
        <v>1</v>
      </c>
      <c r="L622">
        <v>67.5</v>
      </c>
      <c r="M622">
        <v>47.937235809999997</v>
      </c>
      <c r="N622">
        <v>0.41599678000000001</v>
      </c>
      <c r="O622">
        <v>83.888888890000004</v>
      </c>
      <c r="P622">
        <v>31.026943280000001</v>
      </c>
      <c r="Q622">
        <v>0.53083999999999998</v>
      </c>
      <c r="R622" t="s">
        <v>1015</v>
      </c>
      <c r="S622">
        <v>16.388888890000004</v>
      </c>
    </row>
    <row r="623" spans="1:19" x14ac:dyDescent="0.25">
      <c r="A623" t="s">
        <v>41</v>
      </c>
      <c r="B623" t="s">
        <v>953</v>
      </c>
      <c r="C623">
        <v>2</v>
      </c>
      <c r="D623" t="s">
        <v>19</v>
      </c>
      <c r="E623" t="s">
        <v>94</v>
      </c>
      <c r="F623" t="s">
        <v>105</v>
      </c>
      <c r="G623" t="s">
        <v>104</v>
      </c>
      <c r="H623" t="s">
        <v>239</v>
      </c>
      <c r="J623">
        <v>0</v>
      </c>
      <c r="K623">
        <v>1</v>
      </c>
      <c r="L623">
        <v>67.5</v>
      </c>
      <c r="M623">
        <v>47.937235809999997</v>
      </c>
      <c r="N623">
        <v>0.41599678000000001</v>
      </c>
      <c r="O623">
        <v>100.45454549999999</v>
      </c>
      <c r="P623">
        <v>26.754810689999999</v>
      </c>
      <c r="Q623">
        <v>0.75829999999999997</v>
      </c>
      <c r="R623" t="s">
        <v>1015</v>
      </c>
      <c r="S623">
        <v>32.954545499999995</v>
      </c>
    </row>
    <row r="624" spans="1:19" x14ac:dyDescent="0.25">
      <c r="A624" t="s">
        <v>41</v>
      </c>
      <c r="B624" t="s">
        <v>954</v>
      </c>
      <c r="C624">
        <v>2</v>
      </c>
      <c r="D624" t="s">
        <v>19</v>
      </c>
      <c r="E624" t="s">
        <v>94</v>
      </c>
      <c r="F624" t="s">
        <v>113</v>
      </c>
      <c r="G624" t="s">
        <v>104</v>
      </c>
      <c r="H624" t="s">
        <v>237</v>
      </c>
      <c r="J624">
        <v>0</v>
      </c>
      <c r="K624">
        <v>1</v>
      </c>
      <c r="L624">
        <v>83.757575759999995</v>
      </c>
      <c r="M624">
        <v>22.60997987</v>
      </c>
      <c r="N624">
        <v>0.72884000000000004</v>
      </c>
      <c r="O624">
        <v>83.888888890000004</v>
      </c>
      <c r="P624">
        <v>31.026943280000001</v>
      </c>
      <c r="Q624">
        <v>0.53083999999999998</v>
      </c>
      <c r="R624" t="s">
        <v>1015</v>
      </c>
      <c r="S624">
        <v>0.13131313000000944</v>
      </c>
    </row>
    <row r="625" spans="1:19" x14ac:dyDescent="0.25">
      <c r="A625" t="s">
        <v>41</v>
      </c>
      <c r="B625" t="s">
        <v>954</v>
      </c>
      <c r="C625">
        <v>2</v>
      </c>
      <c r="D625" t="s">
        <v>19</v>
      </c>
      <c r="E625" t="s">
        <v>94</v>
      </c>
      <c r="F625" t="s">
        <v>113</v>
      </c>
      <c r="G625" t="s">
        <v>104</v>
      </c>
      <c r="H625" t="s">
        <v>113</v>
      </c>
      <c r="J625">
        <v>0</v>
      </c>
      <c r="K625">
        <v>7</v>
      </c>
      <c r="L625">
        <v>83.757575759999995</v>
      </c>
      <c r="M625">
        <v>22.60997987</v>
      </c>
      <c r="N625">
        <v>0.72884000000000004</v>
      </c>
      <c r="O625">
        <v>83.757575759999995</v>
      </c>
      <c r="P625">
        <v>22.60997987</v>
      </c>
      <c r="Q625">
        <v>0.72884000000000004</v>
      </c>
      <c r="R625" t="s">
        <v>1015</v>
      </c>
      <c r="S625">
        <v>0</v>
      </c>
    </row>
    <row r="626" spans="1:19" x14ac:dyDescent="0.25">
      <c r="A626" t="s">
        <v>41</v>
      </c>
      <c r="B626" t="s">
        <v>954</v>
      </c>
      <c r="C626">
        <v>2</v>
      </c>
      <c r="D626" t="s">
        <v>19</v>
      </c>
      <c r="E626" t="s">
        <v>94</v>
      </c>
      <c r="F626" t="s">
        <v>113</v>
      </c>
      <c r="G626" t="s">
        <v>104</v>
      </c>
      <c r="H626" t="s">
        <v>104</v>
      </c>
      <c r="J626">
        <v>0</v>
      </c>
      <c r="K626">
        <v>1</v>
      </c>
      <c r="L626">
        <v>83.757575759999995</v>
      </c>
      <c r="M626">
        <v>22.60997987</v>
      </c>
      <c r="N626">
        <v>0.72884000000000004</v>
      </c>
      <c r="O626">
        <v>113.9375</v>
      </c>
      <c r="P626">
        <v>33.375507550000002</v>
      </c>
      <c r="Q626">
        <v>2.4262999999999999</v>
      </c>
      <c r="R626" t="s">
        <v>1015</v>
      </c>
      <c r="S626">
        <v>30.179924240000005</v>
      </c>
    </row>
    <row r="627" spans="1:19" x14ac:dyDescent="0.25">
      <c r="A627" t="s">
        <v>41</v>
      </c>
      <c r="B627" t="s">
        <v>954</v>
      </c>
      <c r="C627">
        <v>2</v>
      </c>
      <c r="D627" t="s">
        <v>19</v>
      </c>
      <c r="E627" t="s">
        <v>94</v>
      </c>
      <c r="F627" t="s">
        <v>113</v>
      </c>
      <c r="G627" t="s">
        <v>104</v>
      </c>
      <c r="H627" t="s">
        <v>238</v>
      </c>
      <c r="J627">
        <v>0</v>
      </c>
      <c r="K627">
        <v>1</v>
      </c>
      <c r="L627">
        <v>83.757575759999995</v>
      </c>
      <c r="M627">
        <v>22.60997987</v>
      </c>
      <c r="N627">
        <v>0.72884000000000004</v>
      </c>
      <c r="O627">
        <v>87.5</v>
      </c>
      <c r="P627">
        <v>29.478311600000001</v>
      </c>
      <c r="Q627">
        <v>3.0797751000000002E-2</v>
      </c>
      <c r="R627" t="s">
        <v>1015</v>
      </c>
      <c r="S627">
        <v>3.7424242400000054</v>
      </c>
    </row>
    <row r="628" spans="1:19" x14ac:dyDescent="0.25">
      <c r="A628" t="s">
        <v>41</v>
      </c>
      <c r="B628" t="s">
        <v>955</v>
      </c>
      <c r="C628">
        <v>2</v>
      </c>
      <c r="D628" t="s">
        <v>19</v>
      </c>
      <c r="E628" t="s">
        <v>94</v>
      </c>
      <c r="F628" t="s">
        <v>103</v>
      </c>
      <c r="G628" t="s">
        <v>113</v>
      </c>
      <c r="H628" t="s">
        <v>103</v>
      </c>
      <c r="J628">
        <v>0</v>
      </c>
      <c r="K628">
        <v>2</v>
      </c>
      <c r="L628">
        <v>98.291666669999998</v>
      </c>
      <c r="M628">
        <v>30.315130790000001</v>
      </c>
      <c r="N628">
        <v>5.0803484000000003E-2</v>
      </c>
      <c r="O628">
        <v>98.291666669999998</v>
      </c>
      <c r="P628">
        <v>30.315130790000001</v>
      </c>
      <c r="Q628">
        <v>5.0803484000000003E-2</v>
      </c>
      <c r="R628" t="s">
        <v>1015</v>
      </c>
      <c r="S628">
        <v>0</v>
      </c>
    </row>
    <row r="629" spans="1:19" x14ac:dyDescent="0.25">
      <c r="A629" t="s">
        <v>41</v>
      </c>
      <c r="B629" t="s">
        <v>955</v>
      </c>
      <c r="C629">
        <v>2</v>
      </c>
      <c r="D629" t="s">
        <v>19</v>
      </c>
      <c r="E629" t="s">
        <v>94</v>
      </c>
      <c r="F629" t="s">
        <v>103</v>
      </c>
      <c r="G629" t="s">
        <v>113</v>
      </c>
      <c r="H629" t="s">
        <v>113</v>
      </c>
      <c r="J629">
        <v>0</v>
      </c>
      <c r="K629">
        <v>3</v>
      </c>
      <c r="L629">
        <v>98.291666669999998</v>
      </c>
      <c r="M629">
        <v>30.315130790000001</v>
      </c>
      <c r="N629">
        <v>5.0803484000000003E-2</v>
      </c>
      <c r="O629">
        <v>83.757575759999995</v>
      </c>
      <c r="P629">
        <v>22.60997987</v>
      </c>
      <c r="Q629">
        <v>0.72884000000000004</v>
      </c>
      <c r="R629" t="s">
        <v>1015</v>
      </c>
      <c r="S629">
        <v>14.534090910000003</v>
      </c>
    </row>
    <row r="630" spans="1:19" x14ac:dyDescent="0.25">
      <c r="A630" t="s">
        <v>42</v>
      </c>
      <c r="B630" t="s">
        <v>956</v>
      </c>
      <c r="C630">
        <v>2</v>
      </c>
      <c r="D630" t="s">
        <v>21</v>
      </c>
      <c r="E630" t="s">
        <v>94</v>
      </c>
      <c r="F630" t="s">
        <v>105</v>
      </c>
      <c r="G630" t="s">
        <v>121</v>
      </c>
      <c r="H630" t="s">
        <v>242</v>
      </c>
      <c r="J630">
        <v>0</v>
      </c>
      <c r="K630">
        <v>6</v>
      </c>
      <c r="L630">
        <v>67.5</v>
      </c>
      <c r="M630">
        <v>47.937235809999997</v>
      </c>
      <c r="N630">
        <v>0.41599678000000001</v>
      </c>
      <c r="O630">
        <v>139.375</v>
      </c>
      <c r="P630">
        <v>23.713465920000001</v>
      </c>
      <c r="Q630" t="s">
        <v>114</v>
      </c>
      <c r="R630" t="s">
        <v>1015</v>
      </c>
      <c r="S630">
        <v>71.875</v>
      </c>
    </row>
    <row r="631" spans="1:19" x14ac:dyDescent="0.25">
      <c r="A631" t="s">
        <v>42</v>
      </c>
      <c r="B631" t="s">
        <v>957</v>
      </c>
      <c r="C631">
        <v>2</v>
      </c>
      <c r="D631" t="s">
        <v>21</v>
      </c>
      <c r="E631" t="s">
        <v>94</v>
      </c>
      <c r="F631" t="s">
        <v>110</v>
      </c>
      <c r="G631" t="s">
        <v>113</v>
      </c>
      <c r="H631" t="s">
        <v>104</v>
      </c>
      <c r="J631">
        <v>0</v>
      </c>
      <c r="K631">
        <v>2</v>
      </c>
      <c r="L631">
        <v>73.260869569999997</v>
      </c>
      <c r="M631">
        <v>34.453830549999999</v>
      </c>
      <c r="N631">
        <v>1.058333333</v>
      </c>
      <c r="O631">
        <v>113.9375</v>
      </c>
      <c r="P631">
        <v>33.375507550000002</v>
      </c>
      <c r="Q631">
        <v>2.4262999999999999</v>
      </c>
      <c r="R631" t="s">
        <v>1015</v>
      </c>
      <c r="S631">
        <v>40.676630430000003</v>
      </c>
    </row>
    <row r="632" spans="1:19" x14ac:dyDescent="0.25">
      <c r="A632" t="s">
        <v>42</v>
      </c>
      <c r="B632" t="s">
        <v>957</v>
      </c>
      <c r="C632">
        <v>2</v>
      </c>
      <c r="D632" t="s">
        <v>21</v>
      </c>
      <c r="E632" t="s">
        <v>94</v>
      </c>
      <c r="F632" t="s">
        <v>110</v>
      </c>
      <c r="G632" t="s">
        <v>113</v>
      </c>
      <c r="H632" t="s">
        <v>242</v>
      </c>
      <c r="J632">
        <v>0</v>
      </c>
      <c r="K632">
        <v>5</v>
      </c>
      <c r="L632">
        <v>73.260869569999997</v>
      </c>
      <c r="M632">
        <v>34.453830549999999</v>
      </c>
      <c r="N632">
        <v>1.058333333</v>
      </c>
      <c r="O632">
        <v>139.375</v>
      </c>
      <c r="P632">
        <v>23.713465920000001</v>
      </c>
      <c r="Q632" t="s">
        <v>114</v>
      </c>
      <c r="R632" t="s">
        <v>1015</v>
      </c>
      <c r="S632">
        <v>66.114130430000003</v>
      </c>
    </row>
    <row r="633" spans="1:19" x14ac:dyDescent="0.25">
      <c r="A633" t="s">
        <v>42</v>
      </c>
      <c r="B633" t="s">
        <v>957</v>
      </c>
      <c r="C633">
        <v>2</v>
      </c>
      <c r="D633" t="s">
        <v>21</v>
      </c>
      <c r="E633" t="s">
        <v>94</v>
      </c>
      <c r="F633" t="s">
        <v>110</v>
      </c>
      <c r="G633" t="s">
        <v>113</v>
      </c>
      <c r="H633" t="s">
        <v>113</v>
      </c>
      <c r="J633">
        <v>0</v>
      </c>
      <c r="K633">
        <v>2</v>
      </c>
      <c r="L633">
        <v>73.260869569999997</v>
      </c>
      <c r="M633">
        <v>34.453830549999999</v>
      </c>
      <c r="N633">
        <v>1.058333333</v>
      </c>
      <c r="O633">
        <v>83.757575759999995</v>
      </c>
      <c r="P633">
        <v>22.60997987</v>
      </c>
      <c r="Q633">
        <v>0.72884000000000004</v>
      </c>
      <c r="R633" t="s">
        <v>1015</v>
      </c>
      <c r="S633">
        <v>10.496706189999998</v>
      </c>
    </row>
    <row r="634" spans="1:19" x14ac:dyDescent="0.25">
      <c r="A634" t="s">
        <v>42</v>
      </c>
      <c r="B634" t="s">
        <v>958</v>
      </c>
      <c r="C634">
        <v>2</v>
      </c>
      <c r="D634" t="s">
        <v>21</v>
      </c>
      <c r="E634" t="s">
        <v>94</v>
      </c>
      <c r="F634" t="s">
        <v>111</v>
      </c>
      <c r="G634" t="s">
        <v>110</v>
      </c>
      <c r="H634" t="s">
        <v>113</v>
      </c>
      <c r="J634">
        <v>0</v>
      </c>
      <c r="K634">
        <v>1</v>
      </c>
      <c r="L634">
        <v>94.97142857</v>
      </c>
      <c r="M634">
        <v>24.31591813</v>
      </c>
      <c r="N634">
        <v>0.122951111</v>
      </c>
      <c r="O634">
        <v>83.757575759999995</v>
      </c>
      <c r="P634">
        <v>22.60997987</v>
      </c>
      <c r="Q634">
        <v>0.72884000000000004</v>
      </c>
      <c r="R634" t="s">
        <v>1015</v>
      </c>
      <c r="S634">
        <v>11.213852810000006</v>
      </c>
    </row>
    <row r="635" spans="1:19" x14ac:dyDescent="0.25">
      <c r="A635" t="s">
        <v>42</v>
      </c>
      <c r="B635" t="s">
        <v>958</v>
      </c>
      <c r="C635">
        <v>2</v>
      </c>
      <c r="D635" t="s">
        <v>21</v>
      </c>
      <c r="E635" t="s">
        <v>94</v>
      </c>
      <c r="F635" t="s">
        <v>111</v>
      </c>
      <c r="G635" t="s">
        <v>110</v>
      </c>
      <c r="H635" t="s">
        <v>110</v>
      </c>
      <c r="J635">
        <v>0</v>
      </c>
      <c r="K635">
        <v>1</v>
      </c>
      <c r="L635">
        <v>94.97142857</v>
      </c>
      <c r="M635">
        <v>24.31591813</v>
      </c>
      <c r="N635">
        <v>0.122951111</v>
      </c>
      <c r="O635">
        <v>73.260869569999997</v>
      </c>
      <c r="P635">
        <v>34.453830549999999</v>
      </c>
      <c r="Q635">
        <v>1.058333333</v>
      </c>
      <c r="R635" t="s">
        <v>1015</v>
      </c>
      <c r="S635">
        <v>21.710559000000003</v>
      </c>
    </row>
    <row r="636" spans="1:19" x14ac:dyDescent="0.25">
      <c r="A636" t="s">
        <v>42</v>
      </c>
      <c r="B636" t="s">
        <v>959</v>
      </c>
      <c r="C636">
        <v>2</v>
      </c>
      <c r="D636" t="s">
        <v>21</v>
      </c>
      <c r="E636" t="s">
        <v>94</v>
      </c>
      <c r="F636" t="s">
        <v>104</v>
      </c>
      <c r="G636" t="s">
        <v>121</v>
      </c>
      <c r="H636" t="s">
        <v>110</v>
      </c>
      <c r="J636">
        <v>1</v>
      </c>
      <c r="K636">
        <v>2</v>
      </c>
      <c r="L636">
        <v>113.9375</v>
      </c>
      <c r="M636">
        <v>33.375507550000002</v>
      </c>
      <c r="N636">
        <v>2.4262999999999999</v>
      </c>
      <c r="O636">
        <v>73.260869569999997</v>
      </c>
      <c r="P636">
        <v>34.453830549999999</v>
      </c>
      <c r="Q636">
        <v>1.058333333</v>
      </c>
      <c r="R636" t="s">
        <v>1015</v>
      </c>
      <c r="S636">
        <v>40.676630430000003</v>
      </c>
    </row>
    <row r="637" spans="1:19" x14ac:dyDescent="0.25">
      <c r="A637" t="s">
        <v>42</v>
      </c>
      <c r="B637" t="s">
        <v>959</v>
      </c>
      <c r="C637">
        <v>2</v>
      </c>
      <c r="D637" t="s">
        <v>21</v>
      </c>
      <c r="E637" t="s">
        <v>94</v>
      </c>
      <c r="F637" t="s">
        <v>104</v>
      </c>
      <c r="G637" t="s">
        <v>121</v>
      </c>
      <c r="H637" t="s">
        <v>240</v>
      </c>
      <c r="J637">
        <v>1</v>
      </c>
      <c r="K637">
        <v>2</v>
      </c>
      <c r="L637">
        <v>113.9375</v>
      </c>
      <c r="M637">
        <v>33.375507550000002</v>
      </c>
      <c r="N637">
        <v>2.4262999999999999</v>
      </c>
      <c r="O637">
        <v>104.83333330000001</v>
      </c>
      <c r="P637">
        <v>43.798647680000002</v>
      </c>
      <c r="Q637">
        <v>7.7741939999999999E-3</v>
      </c>
      <c r="R637" t="s">
        <v>1015</v>
      </c>
      <c r="S637">
        <v>9.1041666999999933</v>
      </c>
    </row>
    <row r="638" spans="1:19" x14ac:dyDescent="0.25">
      <c r="A638" t="s">
        <v>42</v>
      </c>
      <c r="B638" t="s">
        <v>959</v>
      </c>
      <c r="C638">
        <v>2</v>
      </c>
      <c r="D638" t="s">
        <v>21</v>
      </c>
      <c r="E638" t="s">
        <v>94</v>
      </c>
      <c r="F638" t="s">
        <v>104</v>
      </c>
      <c r="G638" t="s">
        <v>121</v>
      </c>
      <c r="H638" t="s">
        <v>241</v>
      </c>
      <c r="J638">
        <v>1</v>
      </c>
      <c r="K638">
        <v>1</v>
      </c>
      <c r="L638">
        <v>113.9375</v>
      </c>
      <c r="M638">
        <v>33.375507550000002</v>
      </c>
      <c r="N638">
        <v>2.4262999999999999</v>
      </c>
      <c r="O638">
        <v>114</v>
      </c>
      <c r="P638">
        <v>30.43077242</v>
      </c>
      <c r="Q638">
        <v>0.53383111100000002</v>
      </c>
      <c r="R638" t="s">
        <v>1015</v>
      </c>
      <c r="S638">
        <v>6.25E-2</v>
      </c>
    </row>
    <row r="639" spans="1:19" x14ac:dyDescent="0.25">
      <c r="A639" t="s">
        <v>43</v>
      </c>
      <c r="B639" t="s">
        <v>960</v>
      </c>
      <c r="C639">
        <v>2</v>
      </c>
      <c r="D639" t="s">
        <v>23</v>
      </c>
      <c r="E639" t="s">
        <v>94</v>
      </c>
      <c r="F639" t="s">
        <v>105</v>
      </c>
      <c r="G639" t="s">
        <v>104</v>
      </c>
      <c r="H639" t="s">
        <v>104</v>
      </c>
      <c r="J639">
        <v>0</v>
      </c>
      <c r="K639">
        <v>1</v>
      </c>
      <c r="L639">
        <v>67.5</v>
      </c>
      <c r="M639">
        <v>47.937235809999997</v>
      </c>
      <c r="N639">
        <v>0.41599678000000001</v>
      </c>
      <c r="O639">
        <v>113.9375</v>
      </c>
      <c r="P639">
        <v>33.375507550000002</v>
      </c>
      <c r="Q639">
        <v>2.4262999999999999</v>
      </c>
      <c r="R639" t="s">
        <v>1015</v>
      </c>
      <c r="S639">
        <v>46.4375</v>
      </c>
    </row>
    <row r="640" spans="1:19" x14ac:dyDescent="0.25">
      <c r="A640" t="s">
        <v>43</v>
      </c>
      <c r="B640" t="s">
        <v>961</v>
      </c>
      <c r="C640">
        <v>2</v>
      </c>
      <c r="D640" t="s">
        <v>23</v>
      </c>
      <c r="E640" t="s">
        <v>94</v>
      </c>
      <c r="F640" t="s">
        <v>110</v>
      </c>
      <c r="G640" t="s">
        <v>110</v>
      </c>
      <c r="H640" t="s">
        <v>110</v>
      </c>
      <c r="J640">
        <v>0</v>
      </c>
      <c r="K640">
        <v>1</v>
      </c>
      <c r="L640">
        <v>73.260869569999997</v>
      </c>
      <c r="M640">
        <v>34.453830549999999</v>
      </c>
      <c r="N640">
        <v>1.058333333</v>
      </c>
      <c r="O640">
        <v>73.260869569999997</v>
      </c>
      <c r="P640">
        <v>34.453830549999999</v>
      </c>
      <c r="Q640">
        <v>1.058333333</v>
      </c>
      <c r="R640" t="s">
        <v>1015</v>
      </c>
      <c r="S640">
        <v>0</v>
      </c>
    </row>
    <row r="641" spans="1:19" x14ac:dyDescent="0.25">
      <c r="A641" t="s">
        <v>43</v>
      </c>
      <c r="B641" t="s">
        <v>962</v>
      </c>
      <c r="C641">
        <v>2</v>
      </c>
      <c r="D641" t="s">
        <v>23</v>
      </c>
      <c r="E641" t="s">
        <v>94</v>
      </c>
      <c r="F641" t="s">
        <v>111</v>
      </c>
      <c r="G641" t="s">
        <v>121</v>
      </c>
      <c r="H641" t="s">
        <v>114</v>
      </c>
      <c r="J641">
        <v>0</v>
      </c>
      <c r="K641" t="s">
        <v>114</v>
      </c>
      <c r="L641">
        <v>94.97142857</v>
      </c>
      <c r="M641">
        <v>24.31591813</v>
      </c>
      <c r="N641">
        <v>0.122951111</v>
      </c>
      <c r="O641" t="s">
        <v>114</v>
      </c>
      <c r="P641" t="s">
        <v>114</v>
      </c>
      <c r="Q641" t="s">
        <v>114</v>
      </c>
      <c r="R641" t="s">
        <v>1015</v>
      </c>
      <c r="S641" t="s">
        <v>114</v>
      </c>
    </row>
    <row r="642" spans="1:19" x14ac:dyDescent="0.25">
      <c r="A642" t="s">
        <v>43</v>
      </c>
      <c r="B642" t="s">
        <v>963</v>
      </c>
      <c r="C642">
        <v>2</v>
      </c>
      <c r="D642" t="s">
        <v>23</v>
      </c>
      <c r="E642" t="s">
        <v>94</v>
      </c>
      <c r="F642" t="s">
        <v>104</v>
      </c>
      <c r="G642" t="s">
        <v>104</v>
      </c>
      <c r="H642" t="s">
        <v>104</v>
      </c>
      <c r="J642">
        <v>0</v>
      </c>
      <c r="K642">
        <v>1</v>
      </c>
      <c r="L642">
        <v>113.9375</v>
      </c>
      <c r="M642">
        <v>33.375507550000002</v>
      </c>
      <c r="N642">
        <v>2.4262999999999999</v>
      </c>
      <c r="O642">
        <v>113.9375</v>
      </c>
      <c r="P642">
        <v>33.375507550000002</v>
      </c>
      <c r="Q642">
        <v>2.4262999999999999</v>
      </c>
      <c r="R642" t="s">
        <v>1015</v>
      </c>
      <c r="S642">
        <v>0</v>
      </c>
    </row>
    <row r="643" spans="1:19" x14ac:dyDescent="0.25">
      <c r="A643" t="s">
        <v>43</v>
      </c>
      <c r="B643" t="s">
        <v>963</v>
      </c>
      <c r="C643">
        <v>2</v>
      </c>
      <c r="D643" t="s">
        <v>23</v>
      </c>
      <c r="E643" t="s">
        <v>94</v>
      </c>
      <c r="F643" t="s">
        <v>104</v>
      </c>
      <c r="G643" t="s">
        <v>104</v>
      </c>
      <c r="H643" t="s">
        <v>808</v>
      </c>
      <c r="J643">
        <v>0</v>
      </c>
      <c r="K643">
        <v>1</v>
      </c>
      <c r="L643">
        <v>113.9375</v>
      </c>
      <c r="M643">
        <v>33.375507550000002</v>
      </c>
      <c r="N643">
        <v>2.4262999999999999</v>
      </c>
      <c r="O643">
        <v>102.79166669999999</v>
      </c>
      <c r="P643">
        <v>27.057373470000002</v>
      </c>
      <c r="Q643">
        <v>6.3567849939999999</v>
      </c>
      <c r="R643" t="s">
        <v>1015</v>
      </c>
      <c r="S643">
        <v>11.145833300000007</v>
      </c>
    </row>
    <row r="644" spans="1:19" x14ac:dyDescent="0.25">
      <c r="A644" t="s">
        <v>44</v>
      </c>
      <c r="B644" t="s">
        <v>964</v>
      </c>
      <c r="C644">
        <v>2</v>
      </c>
      <c r="D644" t="s">
        <v>25</v>
      </c>
      <c r="E644" t="s">
        <v>95</v>
      </c>
      <c r="F644" t="s">
        <v>102</v>
      </c>
      <c r="G644" t="s">
        <v>102</v>
      </c>
      <c r="H644" t="s">
        <v>102</v>
      </c>
      <c r="J644">
        <v>0</v>
      </c>
      <c r="K644">
        <v>1</v>
      </c>
      <c r="L644">
        <v>84.740740740000007</v>
      </c>
      <c r="M644">
        <v>29.167014049999999</v>
      </c>
      <c r="N644">
        <v>1.1169849999999999</v>
      </c>
      <c r="O644">
        <v>84.740740740000007</v>
      </c>
      <c r="P644">
        <v>29.167014049999999</v>
      </c>
      <c r="Q644">
        <v>1.1169849999999999</v>
      </c>
      <c r="R644" t="s">
        <v>1015</v>
      </c>
      <c r="S644">
        <v>0</v>
      </c>
    </row>
    <row r="645" spans="1:19" x14ac:dyDescent="0.25">
      <c r="A645" t="s">
        <v>44</v>
      </c>
      <c r="B645" t="s">
        <v>965</v>
      </c>
      <c r="C645">
        <v>2</v>
      </c>
      <c r="D645" t="s">
        <v>25</v>
      </c>
      <c r="E645" t="s">
        <v>95</v>
      </c>
      <c r="F645" t="s">
        <v>110</v>
      </c>
      <c r="G645" t="s">
        <v>121</v>
      </c>
      <c r="H645" t="s">
        <v>114</v>
      </c>
      <c r="I645" t="s">
        <v>162</v>
      </c>
      <c r="J645">
        <v>1</v>
      </c>
      <c r="K645">
        <v>0</v>
      </c>
      <c r="L645">
        <v>73.260869569999997</v>
      </c>
      <c r="M645">
        <v>34.453830549999999</v>
      </c>
      <c r="N645">
        <v>1.058333333</v>
      </c>
      <c r="O645" t="s">
        <v>114</v>
      </c>
      <c r="P645" t="s">
        <v>114</v>
      </c>
      <c r="Q645" t="s">
        <v>114</v>
      </c>
      <c r="R645" t="s">
        <v>1015</v>
      </c>
      <c r="S645" t="s">
        <v>114</v>
      </c>
    </row>
    <row r="646" spans="1:19" x14ac:dyDescent="0.25">
      <c r="A646" t="s">
        <v>44</v>
      </c>
      <c r="B646" t="s">
        <v>966</v>
      </c>
      <c r="C646">
        <v>2</v>
      </c>
      <c r="D646" t="s">
        <v>25</v>
      </c>
      <c r="E646" t="s">
        <v>95</v>
      </c>
      <c r="F646" t="s">
        <v>104</v>
      </c>
      <c r="G646" t="s">
        <v>112</v>
      </c>
      <c r="H646" t="s">
        <v>112</v>
      </c>
      <c r="J646">
        <v>0</v>
      </c>
      <c r="K646">
        <v>1</v>
      </c>
      <c r="L646">
        <v>113.9375</v>
      </c>
      <c r="M646">
        <v>33.375507550000002</v>
      </c>
      <c r="N646">
        <v>2.4262999999999999</v>
      </c>
      <c r="O646">
        <v>65.09375</v>
      </c>
      <c r="P646">
        <v>37.895352600000002</v>
      </c>
      <c r="Q646">
        <v>2.2882677779999998</v>
      </c>
      <c r="R646" t="s">
        <v>1015</v>
      </c>
      <c r="S646">
        <v>48.84375</v>
      </c>
    </row>
    <row r="647" spans="1:19" x14ac:dyDescent="0.25">
      <c r="A647" t="s">
        <v>44</v>
      </c>
      <c r="B647" t="s">
        <v>966</v>
      </c>
      <c r="C647">
        <v>2</v>
      </c>
      <c r="D647" t="s">
        <v>25</v>
      </c>
      <c r="E647" t="s">
        <v>95</v>
      </c>
      <c r="F647" t="s">
        <v>104</v>
      </c>
      <c r="G647" t="s">
        <v>112</v>
      </c>
      <c r="H647" t="s">
        <v>162</v>
      </c>
      <c r="J647">
        <v>0</v>
      </c>
      <c r="K647">
        <v>1</v>
      </c>
      <c r="L647">
        <v>113.9375</v>
      </c>
      <c r="M647">
        <v>33.375507550000002</v>
      </c>
      <c r="N647">
        <v>2.4262999999999999</v>
      </c>
      <c r="O647">
        <v>82.53846154</v>
      </c>
      <c r="P647">
        <v>35.660530039999998</v>
      </c>
      <c r="Q647">
        <v>3.3754499999999998</v>
      </c>
      <c r="R647" t="s">
        <v>1015</v>
      </c>
      <c r="S647">
        <v>31.39903846</v>
      </c>
    </row>
    <row r="648" spans="1:19" x14ac:dyDescent="0.25">
      <c r="A648" t="s">
        <v>44</v>
      </c>
      <c r="B648" t="s">
        <v>966</v>
      </c>
      <c r="C648">
        <v>2</v>
      </c>
      <c r="D648" t="s">
        <v>25</v>
      </c>
      <c r="E648" t="s">
        <v>95</v>
      </c>
      <c r="F648" t="s">
        <v>104</v>
      </c>
      <c r="G648" t="s">
        <v>112</v>
      </c>
      <c r="H648" t="s">
        <v>113</v>
      </c>
      <c r="J648">
        <v>0</v>
      </c>
      <c r="K648">
        <v>1</v>
      </c>
      <c r="L648">
        <v>113.9375</v>
      </c>
      <c r="M648">
        <v>33.375507550000002</v>
      </c>
      <c r="N648">
        <v>2.4262999999999999</v>
      </c>
      <c r="O648">
        <v>83.757575759999995</v>
      </c>
      <c r="P648">
        <v>22.60997987</v>
      </c>
      <c r="Q648">
        <v>0.72884000000000004</v>
      </c>
      <c r="R648" t="s">
        <v>1015</v>
      </c>
      <c r="S648">
        <v>30.179924240000005</v>
      </c>
    </row>
    <row r="649" spans="1:19" x14ac:dyDescent="0.25">
      <c r="A649" t="s">
        <v>44</v>
      </c>
      <c r="B649" t="s">
        <v>967</v>
      </c>
      <c r="C649">
        <v>2</v>
      </c>
      <c r="D649" t="s">
        <v>25</v>
      </c>
      <c r="E649" t="s">
        <v>95</v>
      </c>
      <c r="F649" t="s">
        <v>112</v>
      </c>
      <c r="G649" t="s">
        <v>121</v>
      </c>
      <c r="H649" t="s">
        <v>114</v>
      </c>
      <c r="J649">
        <v>0</v>
      </c>
      <c r="K649" t="s">
        <v>114</v>
      </c>
      <c r="L649">
        <v>65.09375</v>
      </c>
      <c r="M649">
        <v>37.895352600000002</v>
      </c>
      <c r="N649">
        <v>2.2882677779999998</v>
      </c>
      <c r="O649" t="s">
        <v>114</v>
      </c>
      <c r="P649" t="s">
        <v>114</v>
      </c>
      <c r="Q649" t="s">
        <v>114</v>
      </c>
      <c r="R649" t="s">
        <v>1015</v>
      </c>
      <c r="S649" t="s">
        <v>114</v>
      </c>
    </row>
    <row r="650" spans="1:19" x14ac:dyDescent="0.25">
      <c r="A650" t="s">
        <v>45</v>
      </c>
      <c r="B650" t="s">
        <v>968</v>
      </c>
      <c r="C650">
        <v>2</v>
      </c>
      <c r="D650" t="s">
        <v>27</v>
      </c>
      <c r="E650" t="s">
        <v>95</v>
      </c>
      <c r="F650" t="s">
        <v>102</v>
      </c>
      <c r="G650" t="s">
        <v>113</v>
      </c>
      <c r="H650" t="s">
        <v>113</v>
      </c>
      <c r="J650">
        <v>0</v>
      </c>
      <c r="K650">
        <v>2</v>
      </c>
      <c r="L650">
        <v>84.740740740000007</v>
      </c>
      <c r="M650">
        <v>29.167014049999999</v>
      </c>
      <c r="N650">
        <v>1.1169849999999999</v>
      </c>
      <c r="O650">
        <v>83.757575759999995</v>
      </c>
      <c r="P650">
        <v>22.60997987</v>
      </c>
      <c r="Q650">
        <v>0.72884000000000004</v>
      </c>
      <c r="R650" t="s">
        <v>1015</v>
      </c>
      <c r="S650">
        <v>0.98316498000001218</v>
      </c>
    </row>
    <row r="651" spans="1:19" x14ac:dyDescent="0.25">
      <c r="A651" t="s">
        <v>45</v>
      </c>
      <c r="B651" t="s">
        <v>969</v>
      </c>
      <c r="C651">
        <v>2</v>
      </c>
      <c r="D651" t="s">
        <v>27</v>
      </c>
      <c r="E651" t="s">
        <v>95</v>
      </c>
      <c r="F651" t="s">
        <v>105</v>
      </c>
      <c r="G651" t="s">
        <v>113</v>
      </c>
      <c r="H651" t="s">
        <v>113</v>
      </c>
      <c r="J651">
        <v>0</v>
      </c>
      <c r="K651">
        <v>6</v>
      </c>
      <c r="L651">
        <v>67.5</v>
      </c>
      <c r="M651">
        <v>47.937235809999997</v>
      </c>
      <c r="N651">
        <v>0.41599678000000001</v>
      </c>
      <c r="O651">
        <v>83.757575759999995</v>
      </c>
      <c r="P651">
        <v>22.60997987</v>
      </c>
      <c r="Q651">
        <v>0.72884000000000004</v>
      </c>
      <c r="R651" t="s">
        <v>1015</v>
      </c>
      <c r="S651">
        <v>16.257575759999995</v>
      </c>
    </row>
    <row r="652" spans="1:19" x14ac:dyDescent="0.25">
      <c r="A652" t="s">
        <v>45</v>
      </c>
      <c r="B652" t="s">
        <v>970</v>
      </c>
      <c r="C652">
        <v>2</v>
      </c>
      <c r="D652" t="s">
        <v>27</v>
      </c>
      <c r="E652" t="s">
        <v>95</v>
      </c>
      <c r="F652" t="s">
        <v>112</v>
      </c>
      <c r="G652" t="s">
        <v>121</v>
      </c>
      <c r="H652" t="s">
        <v>113</v>
      </c>
      <c r="J652">
        <v>0</v>
      </c>
      <c r="K652">
        <v>8</v>
      </c>
      <c r="L652">
        <v>65.09375</v>
      </c>
      <c r="M652">
        <v>37.895352600000002</v>
      </c>
      <c r="N652">
        <v>2.2882677779999998</v>
      </c>
      <c r="O652">
        <v>83.757575759999995</v>
      </c>
      <c r="P652">
        <v>22.60997987</v>
      </c>
      <c r="Q652">
        <v>0.72884000000000004</v>
      </c>
      <c r="R652" t="s">
        <v>1015</v>
      </c>
      <c r="S652">
        <v>18.663825759999995</v>
      </c>
    </row>
    <row r="653" spans="1:19" x14ac:dyDescent="0.25">
      <c r="A653" t="s">
        <v>45</v>
      </c>
      <c r="B653" t="s">
        <v>970</v>
      </c>
      <c r="C653">
        <v>2</v>
      </c>
      <c r="D653" t="s">
        <v>27</v>
      </c>
      <c r="E653" t="s">
        <v>95</v>
      </c>
      <c r="F653" t="s">
        <v>112</v>
      </c>
      <c r="G653" t="s">
        <v>121</v>
      </c>
      <c r="H653" t="s">
        <v>103</v>
      </c>
      <c r="J653">
        <v>0</v>
      </c>
      <c r="K653">
        <v>1</v>
      </c>
      <c r="L653">
        <v>65.09375</v>
      </c>
      <c r="M653">
        <v>37.895352600000002</v>
      </c>
      <c r="N653">
        <v>2.2882677779999998</v>
      </c>
      <c r="O653">
        <v>98.291666669999998</v>
      </c>
      <c r="P653">
        <v>30.315130790000001</v>
      </c>
      <c r="Q653">
        <v>5.0803484000000003E-2</v>
      </c>
      <c r="R653" t="s">
        <v>1015</v>
      </c>
      <c r="S653">
        <v>33.197916669999998</v>
      </c>
    </row>
    <row r="654" spans="1:19" x14ac:dyDescent="0.25">
      <c r="A654" t="s">
        <v>46</v>
      </c>
      <c r="B654" t="s">
        <v>971</v>
      </c>
      <c r="C654">
        <v>2</v>
      </c>
      <c r="D654" t="s">
        <v>29</v>
      </c>
      <c r="E654" t="s">
        <v>95</v>
      </c>
      <c r="F654" t="s">
        <v>102</v>
      </c>
      <c r="G654" t="s">
        <v>121</v>
      </c>
      <c r="H654" t="s">
        <v>114</v>
      </c>
      <c r="J654">
        <v>0</v>
      </c>
      <c r="K654" t="s">
        <v>114</v>
      </c>
      <c r="L654">
        <v>84.740740740000007</v>
      </c>
      <c r="M654">
        <v>29.167014049999999</v>
      </c>
      <c r="N654">
        <v>1.1169849999999999</v>
      </c>
      <c r="O654" t="s">
        <v>114</v>
      </c>
      <c r="P654" t="s">
        <v>114</v>
      </c>
      <c r="Q654" t="s">
        <v>114</v>
      </c>
      <c r="R654" t="s">
        <v>1015</v>
      </c>
      <c r="S654" t="s">
        <v>114</v>
      </c>
    </row>
    <row r="655" spans="1:19" x14ac:dyDescent="0.25">
      <c r="A655" t="s">
        <v>46</v>
      </c>
      <c r="B655" t="s">
        <v>972</v>
      </c>
      <c r="C655">
        <v>2</v>
      </c>
      <c r="D655" t="s">
        <v>29</v>
      </c>
      <c r="E655" t="s">
        <v>95</v>
      </c>
      <c r="F655" t="s">
        <v>110</v>
      </c>
      <c r="G655" t="s">
        <v>113</v>
      </c>
      <c r="H655" t="s">
        <v>113</v>
      </c>
      <c r="J655">
        <v>0</v>
      </c>
      <c r="K655">
        <v>3</v>
      </c>
      <c r="L655">
        <v>73.260869569999997</v>
      </c>
      <c r="M655">
        <v>34.453830549999999</v>
      </c>
      <c r="N655">
        <v>1.058333333</v>
      </c>
      <c r="O655">
        <v>83.757575759999995</v>
      </c>
      <c r="P655">
        <v>22.60997987</v>
      </c>
      <c r="Q655">
        <v>0.72884000000000004</v>
      </c>
      <c r="R655" t="s">
        <v>1015</v>
      </c>
      <c r="S655">
        <v>10.496706189999998</v>
      </c>
    </row>
    <row r="656" spans="1:19" x14ac:dyDescent="0.25">
      <c r="A656" t="s">
        <v>46</v>
      </c>
      <c r="B656" t="s">
        <v>973</v>
      </c>
      <c r="C656">
        <v>2</v>
      </c>
      <c r="D656" t="s">
        <v>29</v>
      </c>
      <c r="E656" t="s">
        <v>95</v>
      </c>
      <c r="F656" t="s">
        <v>112</v>
      </c>
      <c r="G656" t="s">
        <v>121</v>
      </c>
      <c r="H656" t="s">
        <v>114</v>
      </c>
      <c r="J656">
        <v>0</v>
      </c>
      <c r="K656" t="s">
        <v>114</v>
      </c>
      <c r="L656">
        <v>65.09375</v>
      </c>
      <c r="M656">
        <v>37.895352600000002</v>
      </c>
      <c r="N656">
        <v>2.2882677779999998</v>
      </c>
      <c r="O656" t="s">
        <v>114</v>
      </c>
      <c r="P656" t="s">
        <v>114</v>
      </c>
      <c r="Q656" t="s">
        <v>114</v>
      </c>
      <c r="R656" t="s">
        <v>1015</v>
      </c>
      <c r="S656" t="s">
        <v>114</v>
      </c>
    </row>
    <row r="657" spans="1:19" x14ac:dyDescent="0.25">
      <c r="A657" t="s">
        <v>47</v>
      </c>
      <c r="B657" t="s">
        <v>974</v>
      </c>
      <c r="C657">
        <v>2</v>
      </c>
      <c r="D657" t="s">
        <v>31</v>
      </c>
      <c r="E657" t="s">
        <v>94</v>
      </c>
      <c r="F657" t="s">
        <v>112</v>
      </c>
      <c r="G657" t="s">
        <v>112</v>
      </c>
      <c r="H657" t="s">
        <v>112</v>
      </c>
      <c r="J657">
        <v>0</v>
      </c>
      <c r="K657">
        <v>1</v>
      </c>
      <c r="L657">
        <v>65.09375</v>
      </c>
      <c r="M657">
        <v>37.895352600000002</v>
      </c>
      <c r="N657">
        <v>2.2882677779999998</v>
      </c>
      <c r="O657">
        <v>65.09375</v>
      </c>
      <c r="P657">
        <v>37.895352600000002</v>
      </c>
      <c r="Q657">
        <v>2.2882677779999998</v>
      </c>
      <c r="R657" t="s">
        <v>1015</v>
      </c>
      <c r="S657">
        <v>0</v>
      </c>
    </row>
    <row r="658" spans="1:19" x14ac:dyDescent="0.25">
      <c r="A658" t="s">
        <v>47</v>
      </c>
      <c r="B658" t="s">
        <v>974</v>
      </c>
      <c r="C658">
        <v>2</v>
      </c>
      <c r="D658" t="s">
        <v>31</v>
      </c>
      <c r="E658" t="s">
        <v>94</v>
      </c>
      <c r="F658" t="s">
        <v>112</v>
      </c>
      <c r="G658" t="s">
        <v>112</v>
      </c>
      <c r="H658" t="s">
        <v>113</v>
      </c>
      <c r="J658">
        <v>0</v>
      </c>
      <c r="K658">
        <v>1</v>
      </c>
      <c r="L658">
        <v>65.09375</v>
      </c>
      <c r="M658">
        <v>37.895352600000002</v>
      </c>
      <c r="N658">
        <v>2.2882677779999998</v>
      </c>
      <c r="O658">
        <v>83.757575759999995</v>
      </c>
      <c r="P658">
        <v>22.60997987</v>
      </c>
      <c r="Q658">
        <v>0.72884000000000004</v>
      </c>
      <c r="R658" t="s">
        <v>1015</v>
      </c>
      <c r="S658">
        <v>18.663825759999995</v>
      </c>
    </row>
    <row r="659" spans="1:19" x14ac:dyDescent="0.25">
      <c r="A659" t="s">
        <v>48</v>
      </c>
      <c r="B659" t="s">
        <v>975</v>
      </c>
      <c r="C659">
        <v>2</v>
      </c>
      <c r="D659" t="s">
        <v>33</v>
      </c>
      <c r="E659" t="s">
        <v>95</v>
      </c>
      <c r="F659" t="s">
        <v>105</v>
      </c>
      <c r="G659" t="s">
        <v>104</v>
      </c>
      <c r="H659" t="s">
        <v>103</v>
      </c>
      <c r="J659">
        <v>0</v>
      </c>
      <c r="K659">
        <v>1</v>
      </c>
      <c r="L659">
        <v>67.5</v>
      </c>
      <c r="M659">
        <v>47.937235809999997</v>
      </c>
      <c r="N659">
        <v>0.41599678000000001</v>
      </c>
      <c r="O659">
        <v>98.291666669999998</v>
      </c>
      <c r="P659">
        <v>30.315130790000001</v>
      </c>
      <c r="Q659">
        <v>5.0803484000000003E-2</v>
      </c>
      <c r="R659" t="s">
        <v>1015</v>
      </c>
      <c r="S659">
        <v>30.791666669999998</v>
      </c>
    </row>
    <row r="660" spans="1:19" x14ac:dyDescent="0.25">
      <c r="A660" t="s">
        <v>48</v>
      </c>
      <c r="B660" t="s">
        <v>975</v>
      </c>
      <c r="C660">
        <v>2</v>
      </c>
      <c r="D660" t="s">
        <v>33</v>
      </c>
      <c r="E660" t="s">
        <v>95</v>
      </c>
      <c r="F660" t="s">
        <v>105</v>
      </c>
      <c r="G660" t="s">
        <v>104</v>
      </c>
      <c r="H660" t="s">
        <v>104</v>
      </c>
      <c r="J660">
        <v>0</v>
      </c>
      <c r="K660">
        <v>2</v>
      </c>
      <c r="L660">
        <v>67.5</v>
      </c>
      <c r="M660">
        <v>47.937235809999997</v>
      </c>
      <c r="N660">
        <v>0.41599678000000001</v>
      </c>
      <c r="O660">
        <v>113.9375</v>
      </c>
      <c r="P660">
        <v>33.375507550000002</v>
      </c>
      <c r="Q660">
        <v>2.4262999999999999</v>
      </c>
      <c r="R660" t="s">
        <v>1015</v>
      </c>
      <c r="S660">
        <v>46.4375</v>
      </c>
    </row>
    <row r="661" spans="1:19" x14ac:dyDescent="0.25">
      <c r="A661" t="s">
        <v>48</v>
      </c>
      <c r="B661" t="s">
        <v>976</v>
      </c>
      <c r="C661">
        <v>2</v>
      </c>
      <c r="D661" t="s">
        <v>33</v>
      </c>
      <c r="E661" t="s">
        <v>95</v>
      </c>
      <c r="F661" t="s">
        <v>111</v>
      </c>
      <c r="G661" t="s">
        <v>113</v>
      </c>
      <c r="H661" t="s">
        <v>113</v>
      </c>
      <c r="J661">
        <v>0</v>
      </c>
      <c r="K661">
        <v>1</v>
      </c>
      <c r="L661">
        <v>94.97142857</v>
      </c>
      <c r="M661">
        <v>24.31591813</v>
      </c>
      <c r="N661">
        <v>0.122951111</v>
      </c>
      <c r="O661">
        <v>83.757575759999995</v>
      </c>
      <c r="P661">
        <v>22.60997987</v>
      </c>
      <c r="Q661">
        <v>0.72884000000000004</v>
      </c>
      <c r="R661" t="s">
        <v>1015</v>
      </c>
      <c r="S661">
        <v>11.213852810000006</v>
      </c>
    </row>
    <row r="662" spans="1:19" x14ac:dyDescent="0.25">
      <c r="A662" t="s">
        <v>48</v>
      </c>
      <c r="B662" t="s">
        <v>976</v>
      </c>
      <c r="C662">
        <v>2</v>
      </c>
      <c r="D662" t="s">
        <v>33</v>
      </c>
      <c r="E662" t="s">
        <v>95</v>
      </c>
      <c r="F662" t="s">
        <v>111</v>
      </c>
      <c r="G662" t="s">
        <v>113</v>
      </c>
      <c r="H662" t="s">
        <v>241</v>
      </c>
      <c r="J662">
        <v>0</v>
      </c>
      <c r="K662">
        <v>1</v>
      </c>
      <c r="L662">
        <v>94.97142857</v>
      </c>
      <c r="M662">
        <v>24.31591813</v>
      </c>
      <c r="N662">
        <v>0.122951111</v>
      </c>
      <c r="O662">
        <v>114</v>
      </c>
      <c r="P662">
        <v>30.43077242</v>
      </c>
      <c r="Q662">
        <v>0.53383111100000002</v>
      </c>
      <c r="R662" t="s">
        <v>1015</v>
      </c>
      <c r="S662">
        <v>19.02857143</v>
      </c>
    </row>
    <row r="663" spans="1:19" x14ac:dyDescent="0.25">
      <c r="A663" t="s">
        <v>48</v>
      </c>
      <c r="B663" t="s">
        <v>977</v>
      </c>
      <c r="C663">
        <v>2</v>
      </c>
      <c r="D663" t="s">
        <v>33</v>
      </c>
      <c r="E663" t="s">
        <v>95</v>
      </c>
      <c r="F663" t="s">
        <v>104</v>
      </c>
      <c r="G663" t="s">
        <v>121</v>
      </c>
      <c r="H663" t="s">
        <v>113</v>
      </c>
      <c r="J663">
        <v>0</v>
      </c>
      <c r="K663">
        <v>5</v>
      </c>
      <c r="L663">
        <v>113.9375</v>
      </c>
      <c r="M663">
        <v>33.375507550000002</v>
      </c>
      <c r="N663">
        <v>2.4262999999999999</v>
      </c>
      <c r="O663">
        <v>83.757575759999995</v>
      </c>
      <c r="P663">
        <v>22.60997987</v>
      </c>
      <c r="Q663">
        <v>0.72884000000000004</v>
      </c>
      <c r="R663" t="s">
        <v>1015</v>
      </c>
      <c r="S663">
        <v>30.179924240000005</v>
      </c>
    </row>
    <row r="664" spans="1:19" x14ac:dyDescent="0.25">
      <c r="A664" t="s">
        <v>48</v>
      </c>
      <c r="B664" t="s">
        <v>977</v>
      </c>
      <c r="C664">
        <v>2</v>
      </c>
      <c r="D664" t="s">
        <v>33</v>
      </c>
      <c r="E664" t="s">
        <v>95</v>
      </c>
      <c r="F664" t="s">
        <v>104</v>
      </c>
      <c r="G664" t="s">
        <v>121</v>
      </c>
      <c r="H664" t="s">
        <v>104</v>
      </c>
      <c r="J664">
        <v>0</v>
      </c>
      <c r="K664">
        <v>2</v>
      </c>
      <c r="L664">
        <v>113.9375</v>
      </c>
      <c r="M664">
        <v>33.375507550000002</v>
      </c>
      <c r="N664">
        <v>2.4262999999999999</v>
      </c>
      <c r="O664">
        <v>113.9375</v>
      </c>
      <c r="P664">
        <v>33.375507550000002</v>
      </c>
      <c r="Q664">
        <v>2.4262999999999999</v>
      </c>
      <c r="R664" t="s">
        <v>1015</v>
      </c>
      <c r="S664">
        <v>0</v>
      </c>
    </row>
    <row r="665" spans="1:19" x14ac:dyDescent="0.25">
      <c r="A665" t="s">
        <v>48</v>
      </c>
      <c r="B665" t="s">
        <v>977</v>
      </c>
      <c r="C665">
        <v>2</v>
      </c>
      <c r="D665" t="s">
        <v>33</v>
      </c>
      <c r="E665" t="s">
        <v>95</v>
      </c>
      <c r="F665" t="s">
        <v>104</v>
      </c>
      <c r="G665" t="s">
        <v>121</v>
      </c>
      <c r="H665" t="s">
        <v>103</v>
      </c>
      <c r="J665">
        <v>0</v>
      </c>
      <c r="K665">
        <v>1</v>
      </c>
      <c r="L665">
        <v>113.9375</v>
      </c>
      <c r="M665">
        <v>33.375507550000002</v>
      </c>
      <c r="N665">
        <v>2.4262999999999999</v>
      </c>
      <c r="O665">
        <v>98.291666669999998</v>
      </c>
      <c r="P665">
        <v>30.315130790000001</v>
      </c>
      <c r="Q665">
        <v>5.0803484000000003E-2</v>
      </c>
      <c r="R665" t="s">
        <v>1015</v>
      </c>
      <c r="S665">
        <v>15.645833330000002</v>
      </c>
    </row>
    <row r="666" spans="1:19" x14ac:dyDescent="0.25">
      <c r="A666" t="s">
        <v>49</v>
      </c>
      <c r="B666" t="s">
        <v>978</v>
      </c>
      <c r="C666">
        <v>2</v>
      </c>
      <c r="D666" t="s">
        <v>35</v>
      </c>
      <c r="E666" t="s">
        <v>94</v>
      </c>
      <c r="F666" t="s">
        <v>102</v>
      </c>
      <c r="G666" t="s">
        <v>112</v>
      </c>
      <c r="H666" t="s">
        <v>112</v>
      </c>
      <c r="J666">
        <v>0</v>
      </c>
      <c r="K666">
        <v>1</v>
      </c>
      <c r="L666">
        <v>84.740740740000007</v>
      </c>
      <c r="M666">
        <v>29.167014049999999</v>
      </c>
      <c r="N666">
        <v>1.1169849999999999</v>
      </c>
      <c r="O666">
        <v>65.09375</v>
      </c>
      <c r="P666">
        <v>37.895352600000002</v>
      </c>
      <c r="Q666">
        <v>2.2882677779999998</v>
      </c>
      <c r="R666" t="s">
        <v>1015</v>
      </c>
      <c r="S666">
        <v>19.646990740000007</v>
      </c>
    </row>
    <row r="667" spans="1:19" x14ac:dyDescent="0.25">
      <c r="A667" t="s">
        <v>49</v>
      </c>
      <c r="B667" t="s">
        <v>978</v>
      </c>
      <c r="C667">
        <v>2</v>
      </c>
      <c r="D667" t="s">
        <v>35</v>
      </c>
      <c r="E667" t="s">
        <v>94</v>
      </c>
      <c r="F667" t="s">
        <v>102</v>
      </c>
      <c r="G667" t="s">
        <v>112</v>
      </c>
      <c r="H667" t="s">
        <v>104</v>
      </c>
      <c r="J667">
        <v>0</v>
      </c>
      <c r="K667">
        <v>5</v>
      </c>
      <c r="L667">
        <v>84.740740740000007</v>
      </c>
      <c r="M667">
        <v>29.167014049999999</v>
      </c>
      <c r="N667">
        <v>1.1169849999999999</v>
      </c>
      <c r="O667">
        <v>113.9375</v>
      </c>
      <c r="P667">
        <v>33.375507550000002</v>
      </c>
      <c r="Q667">
        <v>2.4262999999999999</v>
      </c>
      <c r="R667" t="s">
        <v>1015</v>
      </c>
      <c r="S667">
        <v>29.196759259999993</v>
      </c>
    </row>
    <row r="668" spans="1:19" x14ac:dyDescent="0.25">
      <c r="A668" t="s">
        <v>49</v>
      </c>
      <c r="B668" t="s">
        <v>979</v>
      </c>
      <c r="C668">
        <v>2</v>
      </c>
      <c r="D668" t="s">
        <v>35</v>
      </c>
      <c r="E668" t="s">
        <v>94</v>
      </c>
      <c r="F668" t="s">
        <v>112</v>
      </c>
      <c r="G668" t="s">
        <v>112</v>
      </c>
      <c r="H668" t="s">
        <v>112</v>
      </c>
      <c r="J668">
        <v>0</v>
      </c>
      <c r="K668">
        <v>1</v>
      </c>
      <c r="L668">
        <v>65.09375</v>
      </c>
      <c r="M668">
        <v>37.895352600000002</v>
      </c>
      <c r="N668">
        <v>2.2882677779999998</v>
      </c>
      <c r="O668">
        <v>65.09375</v>
      </c>
      <c r="P668">
        <v>37.895352600000002</v>
      </c>
      <c r="Q668">
        <v>2.2882677779999998</v>
      </c>
      <c r="R668" t="s">
        <v>1015</v>
      </c>
      <c r="S668">
        <v>0</v>
      </c>
    </row>
    <row r="669" spans="1:19" x14ac:dyDescent="0.25">
      <c r="A669" t="s">
        <v>49</v>
      </c>
      <c r="B669" t="s">
        <v>979</v>
      </c>
      <c r="C669">
        <v>2</v>
      </c>
      <c r="D669" t="s">
        <v>35</v>
      </c>
      <c r="E669" t="s">
        <v>94</v>
      </c>
      <c r="F669" t="s">
        <v>112</v>
      </c>
      <c r="G669" t="s">
        <v>112</v>
      </c>
      <c r="H669" t="s">
        <v>103</v>
      </c>
      <c r="J669">
        <v>0</v>
      </c>
      <c r="K669">
        <v>1</v>
      </c>
      <c r="L669">
        <v>65.09375</v>
      </c>
      <c r="M669">
        <v>37.895352600000002</v>
      </c>
      <c r="N669">
        <v>2.2882677779999998</v>
      </c>
      <c r="O669">
        <v>98.291666669999998</v>
      </c>
      <c r="P669">
        <v>30.315130790000001</v>
      </c>
      <c r="Q669">
        <v>5.0803484000000003E-2</v>
      </c>
      <c r="R669" t="s">
        <v>1015</v>
      </c>
      <c r="S669">
        <v>33.197916669999998</v>
      </c>
    </row>
    <row r="670" spans="1:19" x14ac:dyDescent="0.25">
      <c r="A670" t="s">
        <v>79</v>
      </c>
      <c r="B670" t="s">
        <v>980</v>
      </c>
      <c r="C670">
        <v>6</v>
      </c>
      <c r="D670" t="s">
        <v>11</v>
      </c>
      <c r="E670" t="s">
        <v>95</v>
      </c>
      <c r="F670" t="s">
        <v>113</v>
      </c>
      <c r="G670" t="s">
        <v>113</v>
      </c>
      <c r="H670" t="s">
        <v>113</v>
      </c>
      <c r="J670">
        <v>0</v>
      </c>
      <c r="K670">
        <v>4</v>
      </c>
      <c r="L670">
        <v>83.757575759999995</v>
      </c>
      <c r="M670">
        <v>22.60997987</v>
      </c>
      <c r="N670">
        <v>0.72884000000000004</v>
      </c>
      <c r="O670">
        <v>83.757575759999995</v>
      </c>
      <c r="P670">
        <v>22.60997987</v>
      </c>
      <c r="Q670">
        <v>0.72884000000000004</v>
      </c>
      <c r="R670" t="s">
        <v>1015</v>
      </c>
      <c r="S670">
        <v>0</v>
      </c>
    </row>
    <row r="671" spans="1:19" x14ac:dyDescent="0.25">
      <c r="A671" t="s">
        <v>79</v>
      </c>
      <c r="B671" t="s">
        <v>981</v>
      </c>
      <c r="C671">
        <v>6</v>
      </c>
      <c r="D671" t="s">
        <v>11</v>
      </c>
      <c r="E671" t="s">
        <v>95</v>
      </c>
      <c r="F671" t="s">
        <v>103</v>
      </c>
      <c r="G671" t="s">
        <v>113</v>
      </c>
      <c r="H671" t="s">
        <v>113</v>
      </c>
      <c r="J671">
        <v>0</v>
      </c>
      <c r="K671">
        <v>7</v>
      </c>
      <c r="L671">
        <v>98.291666669999998</v>
      </c>
      <c r="M671">
        <v>30.315130790000001</v>
      </c>
      <c r="N671">
        <v>5.0803484000000003E-2</v>
      </c>
      <c r="O671">
        <v>83.757575759999995</v>
      </c>
      <c r="P671">
        <v>22.60997987</v>
      </c>
      <c r="Q671">
        <v>0.72884000000000004</v>
      </c>
      <c r="R671" t="s">
        <v>1015</v>
      </c>
      <c r="S671">
        <v>14.534090910000003</v>
      </c>
    </row>
    <row r="672" spans="1:19" x14ac:dyDescent="0.25">
      <c r="A672" t="s">
        <v>79</v>
      </c>
      <c r="B672" t="s">
        <v>981</v>
      </c>
      <c r="C672">
        <v>6</v>
      </c>
      <c r="D672" t="s">
        <v>11</v>
      </c>
      <c r="E672" t="s">
        <v>95</v>
      </c>
      <c r="F672" t="s">
        <v>103</v>
      </c>
      <c r="G672" t="s">
        <v>113</v>
      </c>
      <c r="H672" t="s">
        <v>103</v>
      </c>
      <c r="J672">
        <v>0</v>
      </c>
      <c r="K672">
        <v>4</v>
      </c>
      <c r="L672">
        <v>98.291666669999998</v>
      </c>
      <c r="M672">
        <v>30.315130790000001</v>
      </c>
      <c r="N672">
        <v>5.0803484000000003E-2</v>
      </c>
      <c r="O672">
        <v>98.291666669999998</v>
      </c>
      <c r="P672">
        <v>30.315130790000001</v>
      </c>
      <c r="Q672">
        <v>5.0803484000000003E-2</v>
      </c>
      <c r="R672" t="s">
        <v>1015</v>
      </c>
      <c r="S672">
        <v>0</v>
      </c>
    </row>
    <row r="673" spans="1:19" x14ac:dyDescent="0.25">
      <c r="A673" t="s">
        <v>79</v>
      </c>
      <c r="B673" t="s">
        <v>982</v>
      </c>
      <c r="C673">
        <v>6</v>
      </c>
      <c r="D673" t="s">
        <v>11</v>
      </c>
      <c r="E673" t="s">
        <v>95</v>
      </c>
      <c r="F673" t="s">
        <v>111</v>
      </c>
      <c r="G673" t="s">
        <v>113</v>
      </c>
      <c r="H673" t="s">
        <v>234</v>
      </c>
      <c r="J673">
        <v>0</v>
      </c>
      <c r="K673">
        <v>1</v>
      </c>
      <c r="L673">
        <v>94.97142857</v>
      </c>
      <c r="M673">
        <v>24.31591813</v>
      </c>
      <c r="N673">
        <v>0.122951111</v>
      </c>
      <c r="O673">
        <v>89.8125</v>
      </c>
      <c r="P673">
        <v>34.754706650000003</v>
      </c>
      <c r="Q673">
        <v>2.3065078999999999E-2</v>
      </c>
      <c r="R673" t="s">
        <v>1015</v>
      </c>
      <c r="S673">
        <v>5.1589285700000005</v>
      </c>
    </row>
    <row r="674" spans="1:19" x14ac:dyDescent="0.25">
      <c r="A674" t="s">
        <v>79</v>
      </c>
      <c r="B674" t="s">
        <v>982</v>
      </c>
      <c r="C674">
        <v>6</v>
      </c>
      <c r="D674" t="s">
        <v>11</v>
      </c>
      <c r="E674" t="s">
        <v>95</v>
      </c>
      <c r="F674" t="s">
        <v>111</v>
      </c>
      <c r="G674" t="s">
        <v>113</v>
      </c>
      <c r="H674" t="s">
        <v>113</v>
      </c>
      <c r="J674">
        <v>0</v>
      </c>
      <c r="K674">
        <v>5</v>
      </c>
      <c r="L674">
        <v>94.97142857</v>
      </c>
      <c r="M674">
        <v>24.31591813</v>
      </c>
      <c r="N674">
        <v>0.122951111</v>
      </c>
      <c r="O674">
        <v>83.757575759999995</v>
      </c>
      <c r="P674">
        <v>22.60997987</v>
      </c>
      <c r="Q674">
        <v>0.72884000000000004</v>
      </c>
      <c r="R674" t="s">
        <v>1015</v>
      </c>
      <c r="S674">
        <v>11.213852810000006</v>
      </c>
    </row>
    <row r="675" spans="1:19" x14ac:dyDescent="0.25">
      <c r="A675" t="s">
        <v>79</v>
      </c>
      <c r="B675" t="s">
        <v>982</v>
      </c>
      <c r="C675">
        <v>6</v>
      </c>
      <c r="D675" t="s">
        <v>11</v>
      </c>
      <c r="E675" t="s">
        <v>95</v>
      </c>
      <c r="F675" t="s">
        <v>111</v>
      </c>
      <c r="G675" t="s">
        <v>113</v>
      </c>
      <c r="H675" t="s">
        <v>103</v>
      </c>
      <c r="J675">
        <v>0</v>
      </c>
      <c r="K675">
        <v>1</v>
      </c>
      <c r="L675">
        <v>94.97142857</v>
      </c>
      <c r="M675">
        <v>24.31591813</v>
      </c>
      <c r="N675">
        <v>0.122951111</v>
      </c>
      <c r="O675">
        <v>98.291666669999998</v>
      </c>
      <c r="P675">
        <v>30.315130790000001</v>
      </c>
      <c r="Q675">
        <v>5.0803484000000003E-2</v>
      </c>
      <c r="R675" t="s">
        <v>1015</v>
      </c>
      <c r="S675">
        <v>3.3202380999999974</v>
      </c>
    </row>
    <row r="676" spans="1:19" x14ac:dyDescent="0.25">
      <c r="A676" t="s">
        <v>80</v>
      </c>
      <c r="B676" t="s">
        <v>983</v>
      </c>
      <c r="C676">
        <v>6</v>
      </c>
      <c r="D676" t="s">
        <v>15</v>
      </c>
      <c r="E676" t="s">
        <v>95</v>
      </c>
      <c r="F676" t="s">
        <v>105</v>
      </c>
      <c r="G676" t="s">
        <v>121</v>
      </c>
      <c r="H676" t="s">
        <v>113</v>
      </c>
      <c r="J676">
        <v>0</v>
      </c>
      <c r="K676">
        <v>1</v>
      </c>
      <c r="L676">
        <v>67.5</v>
      </c>
      <c r="M676">
        <v>47.937235809999997</v>
      </c>
      <c r="N676">
        <v>0.41599678000000001</v>
      </c>
      <c r="O676">
        <v>83.757575759999995</v>
      </c>
      <c r="P676">
        <v>22.60997987</v>
      </c>
      <c r="Q676">
        <v>0.72884000000000004</v>
      </c>
      <c r="R676" t="s">
        <v>1015</v>
      </c>
      <c r="S676">
        <v>16.257575759999995</v>
      </c>
    </row>
    <row r="677" spans="1:19" x14ac:dyDescent="0.25">
      <c r="A677" t="s">
        <v>80</v>
      </c>
      <c r="B677" t="s">
        <v>983</v>
      </c>
      <c r="C677">
        <v>6</v>
      </c>
      <c r="D677" t="s">
        <v>15</v>
      </c>
      <c r="E677" t="s">
        <v>95</v>
      </c>
      <c r="F677" t="s">
        <v>105</v>
      </c>
      <c r="G677" t="s">
        <v>121</v>
      </c>
      <c r="H677" t="s">
        <v>103</v>
      </c>
      <c r="J677">
        <v>0</v>
      </c>
      <c r="K677">
        <v>9</v>
      </c>
      <c r="L677">
        <v>67.5</v>
      </c>
      <c r="M677">
        <v>47.937235809999997</v>
      </c>
      <c r="N677">
        <v>0.41599678000000001</v>
      </c>
      <c r="O677">
        <v>98.291666669999998</v>
      </c>
      <c r="P677">
        <v>30.315130790000001</v>
      </c>
      <c r="Q677">
        <v>5.0803484000000003E-2</v>
      </c>
      <c r="R677" t="s">
        <v>1015</v>
      </c>
      <c r="S677">
        <v>30.791666669999998</v>
      </c>
    </row>
    <row r="678" spans="1:19" x14ac:dyDescent="0.25">
      <c r="A678" t="s">
        <v>80</v>
      </c>
      <c r="B678" t="s">
        <v>984</v>
      </c>
      <c r="C678">
        <v>6</v>
      </c>
      <c r="D678" t="s">
        <v>15</v>
      </c>
      <c r="E678" t="s">
        <v>95</v>
      </c>
      <c r="F678" t="s">
        <v>113</v>
      </c>
      <c r="G678" t="s">
        <v>113</v>
      </c>
      <c r="H678" t="s">
        <v>113</v>
      </c>
      <c r="J678">
        <v>0</v>
      </c>
      <c r="K678">
        <v>6</v>
      </c>
      <c r="L678">
        <v>83.757575759999995</v>
      </c>
      <c r="M678">
        <v>22.60997987</v>
      </c>
      <c r="N678">
        <v>0.72884000000000004</v>
      </c>
      <c r="O678">
        <v>83.757575759999995</v>
      </c>
      <c r="P678">
        <v>22.60997987</v>
      </c>
      <c r="Q678">
        <v>0.72884000000000004</v>
      </c>
      <c r="R678" t="s">
        <v>1015</v>
      </c>
      <c r="S678">
        <v>0</v>
      </c>
    </row>
    <row r="679" spans="1:19" x14ac:dyDescent="0.25">
      <c r="A679" t="s">
        <v>80</v>
      </c>
      <c r="B679" t="s">
        <v>985</v>
      </c>
      <c r="C679">
        <v>6</v>
      </c>
      <c r="D679" t="s">
        <v>15</v>
      </c>
      <c r="E679" t="s">
        <v>95</v>
      </c>
      <c r="F679" t="s">
        <v>103</v>
      </c>
      <c r="G679" t="s">
        <v>113</v>
      </c>
      <c r="H679" t="s">
        <v>113</v>
      </c>
      <c r="J679">
        <v>0</v>
      </c>
      <c r="K679">
        <v>1</v>
      </c>
      <c r="L679">
        <v>98.291666669999998</v>
      </c>
      <c r="M679">
        <v>30.315130790000001</v>
      </c>
      <c r="N679">
        <v>5.0803484000000003E-2</v>
      </c>
      <c r="O679">
        <v>83.757575759999995</v>
      </c>
      <c r="P679">
        <v>22.60997987</v>
      </c>
      <c r="Q679">
        <v>0.72884000000000004</v>
      </c>
      <c r="R679" t="s">
        <v>1015</v>
      </c>
      <c r="S679">
        <v>14.534090910000003</v>
      </c>
    </row>
    <row r="680" spans="1:19" x14ac:dyDescent="0.25">
      <c r="A680" t="s">
        <v>80</v>
      </c>
      <c r="B680" t="s">
        <v>985</v>
      </c>
      <c r="C680">
        <v>6</v>
      </c>
      <c r="D680" t="s">
        <v>15</v>
      </c>
      <c r="E680" t="s">
        <v>95</v>
      </c>
      <c r="F680" t="s">
        <v>103</v>
      </c>
      <c r="G680" t="s">
        <v>113</v>
      </c>
      <c r="H680" t="s">
        <v>103</v>
      </c>
      <c r="J680">
        <v>0</v>
      </c>
      <c r="K680">
        <v>2</v>
      </c>
      <c r="L680">
        <v>98.291666669999998</v>
      </c>
      <c r="M680">
        <v>30.315130790000001</v>
      </c>
      <c r="N680">
        <v>5.0803484000000003E-2</v>
      </c>
      <c r="O680">
        <v>98.291666669999998</v>
      </c>
      <c r="P680">
        <v>30.315130790000001</v>
      </c>
      <c r="Q680">
        <v>5.0803484000000003E-2</v>
      </c>
      <c r="R680" t="s">
        <v>1015</v>
      </c>
      <c r="S680">
        <v>0</v>
      </c>
    </row>
    <row r="681" spans="1:19" x14ac:dyDescent="0.25">
      <c r="A681" t="s">
        <v>81</v>
      </c>
      <c r="B681" t="s">
        <v>986</v>
      </c>
      <c r="C681">
        <v>6</v>
      </c>
      <c r="D681" t="s">
        <v>17</v>
      </c>
      <c r="E681" t="s">
        <v>94</v>
      </c>
      <c r="F681" t="s">
        <v>105</v>
      </c>
      <c r="G681" t="s">
        <v>113</v>
      </c>
      <c r="H681" t="s">
        <v>113</v>
      </c>
      <c r="J681">
        <v>0</v>
      </c>
      <c r="K681">
        <v>6</v>
      </c>
      <c r="L681">
        <v>67.5</v>
      </c>
      <c r="M681">
        <v>47.937235809999997</v>
      </c>
      <c r="N681">
        <v>0.41599678000000001</v>
      </c>
      <c r="O681">
        <v>83.757575759999995</v>
      </c>
      <c r="P681">
        <v>22.60997987</v>
      </c>
      <c r="Q681">
        <v>0.72884000000000004</v>
      </c>
      <c r="R681" t="s">
        <v>1015</v>
      </c>
      <c r="S681">
        <v>16.257575759999995</v>
      </c>
    </row>
    <row r="682" spans="1:19" x14ac:dyDescent="0.25">
      <c r="A682" t="s">
        <v>81</v>
      </c>
      <c r="B682" t="s">
        <v>987</v>
      </c>
      <c r="C682">
        <v>6</v>
      </c>
      <c r="D682" t="s">
        <v>17</v>
      </c>
      <c r="E682" t="s">
        <v>94</v>
      </c>
      <c r="F682" t="s">
        <v>113</v>
      </c>
      <c r="G682" t="s">
        <v>113</v>
      </c>
      <c r="H682" t="s">
        <v>113</v>
      </c>
      <c r="J682">
        <v>0</v>
      </c>
      <c r="K682">
        <v>6</v>
      </c>
      <c r="L682">
        <v>83.757575759999995</v>
      </c>
      <c r="M682">
        <v>22.60997987</v>
      </c>
      <c r="N682">
        <v>0.72884000000000004</v>
      </c>
      <c r="O682">
        <v>83.757575759999995</v>
      </c>
      <c r="P682">
        <v>22.60997987</v>
      </c>
      <c r="Q682">
        <v>0.72884000000000004</v>
      </c>
      <c r="R682" t="s">
        <v>1015</v>
      </c>
      <c r="S682">
        <v>0</v>
      </c>
    </row>
    <row r="683" spans="1:19" x14ac:dyDescent="0.25">
      <c r="A683" t="s">
        <v>81</v>
      </c>
      <c r="B683" t="s">
        <v>988</v>
      </c>
      <c r="C683">
        <v>6</v>
      </c>
      <c r="D683" t="s">
        <v>17</v>
      </c>
      <c r="E683" t="s">
        <v>94</v>
      </c>
      <c r="F683" t="s">
        <v>103</v>
      </c>
      <c r="G683" t="s">
        <v>113</v>
      </c>
      <c r="H683" t="s">
        <v>113</v>
      </c>
      <c r="J683">
        <v>0</v>
      </c>
      <c r="K683">
        <v>5</v>
      </c>
      <c r="L683">
        <v>98.291666669999998</v>
      </c>
      <c r="M683">
        <v>30.315130790000001</v>
      </c>
      <c r="N683">
        <v>5.0803484000000003E-2</v>
      </c>
      <c r="O683">
        <v>83.757575759999995</v>
      </c>
      <c r="P683">
        <v>22.60997987</v>
      </c>
      <c r="Q683">
        <v>0.72884000000000004</v>
      </c>
      <c r="R683" t="s">
        <v>1015</v>
      </c>
      <c r="S683">
        <v>14.534090910000003</v>
      </c>
    </row>
    <row r="684" spans="1:19" x14ac:dyDescent="0.25">
      <c r="A684" t="s">
        <v>81</v>
      </c>
      <c r="B684" t="s">
        <v>988</v>
      </c>
      <c r="C684">
        <v>6</v>
      </c>
      <c r="D684" t="s">
        <v>17</v>
      </c>
      <c r="E684" t="s">
        <v>94</v>
      </c>
      <c r="F684" t="s">
        <v>103</v>
      </c>
      <c r="G684" t="s">
        <v>113</v>
      </c>
      <c r="H684" t="s">
        <v>103</v>
      </c>
      <c r="J684">
        <v>0</v>
      </c>
      <c r="K684">
        <v>1</v>
      </c>
      <c r="L684">
        <v>98.291666669999998</v>
      </c>
      <c r="M684">
        <v>30.315130790000001</v>
      </c>
      <c r="N684">
        <v>5.0803484000000003E-2</v>
      </c>
      <c r="O684">
        <v>98.291666669999998</v>
      </c>
      <c r="P684">
        <v>30.315130790000001</v>
      </c>
      <c r="Q684">
        <v>5.0803484000000003E-2</v>
      </c>
      <c r="R684" t="s">
        <v>1015</v>
      </c>
      <c r="S684">
        <v>0</v>
      </c>
    </row>
    <row r="685" spans="1:19" x14ac:dyDescent="0.25">
      <c r="A685" t="s">
        <v>82</v>
      </c>
      <c r="B685" t="s">
        <v>989</v>
      </c>
      <c r="C685">
        <v>6</v>
      </c>
      <c r="D685" t="s">
        <v>19</v>
      </c>
      <c r="E685" t="s">
        <v>94</v>
      </c>
      <c r="F685" t="s">
        <v>102</v>
      </c>
      <c r="G685" t="s">
        <v>102</v>
      </c>
      <c r="H685" t="s">
        <v>102</v>
      </c>
      <c r="J685">
        <v>0</v>
      </c>
      <c r="K685">
        <v>1</v>
      </c>
      <c r="L685">
        <v>84.740740740000007</v>
      </c>
      <c r="M685">
        <v>29.167014049999999</v>
      </c>
      <c r="N685">
        <v>1.1169849999999999</v>
      </c>
      <c r="O685">
        <v>84.740740740000007</v>
      </c>
      <c r="P685">
        <v>29.167014049999999</v>
      </c>
      <c r="Q685">
        <v>1.1169849999999999</v>
      </c>
      <c r="R685" t="s">
        <v>1015</v>
      </c>
      <c r="S685">
        <v>0</v>
      </c>
    </row>
    <row r="686" spans="1:19" x14ac:dyDescent="0.25">
      <c r="A686" t="s">
        <v>82</v>
      </c>
      <c r="B686" t="s">
        <v>990</v>
      </c>
      <c r="C686">
        <v>6</v>
      </c>
      <c r="D686" t="s">
        <v>19</v>
      </c>
      <c r="E686" t="s">
        <v>94</v>
      </c>
      <c r="F686" t="s">
        <v>113</v>
      </c>
      <c r="G686" t="s">
        <v>113</v>
      </c>
      <c r="H686" t="s">
        <v>113</v>
      </c>
      <c r="J686">
        <v>0</v>
      </c>
      <c r="K686">
        <v>4</v>
      </c>
      <c r="L686">
        <v>83.757575759999995</v>
      </c>
      <c r="M686">
        <v>22.60997987</v>
      </c>
      <c r="N686">
        <v>0.72884000000000004</v>
      </c>
      <c r="O686">
        <v>83.757575759999995</v>
      </c>
      <c r="P686">
        <v>22.60997987</v>
      </c>
      <c r="Q686">
        <v>0.72884000000000004</v>
      </c>
      <c r="R686" t="s">
        <v>1015</v>
      </c>
      <c r="S686">
        <v>0</v>
      </c>
    </row>
    <row r="687" spans="1:19" x14ac:dyDescent="0.25">
      <c r="A687" t="s">
        <v>82</v>
      </c>
      <c r="B687" t="s">
        <v>990</v>
      </c>
      <c r="C687">
        <v>6</v>
      </c>
      <c r="D687" t="s">
        <v>19</v>
      </c>
      <c r="E687" t="s">
        <v>94</v>
      </c>
      <c r="F687" t="s">
        <v>113</v>
      </c>
      <c r="G687" t="s">
        <v>113</v>
      </c>
      <c r="H687" t="s">
        <v>241</v>
      </c>
      <c r="J687">
        <v>0</v>
      </c>
      <c r="K687">
        <v>1</v>
      </c>
      <c r="L687">
        <v>83.757575759999995</v>
      </c>
      <c r="M687">
        <v>22.60997987</v>
      </c>
      <c r="N687">
        <v>0.72884000000000004</v>
      </c>
      <c r="O687">
        <v>114</v>
      </c>
      <c r="P687">
        <v>30.43077242</v>
      </c>
      <c r="Q687">
        <v>0.53383111100000002</v>
      </c>
      <c r="R687" t="s">
        <v>1015</v>
      </c>
      <c r="S687">
        <v>30.242424240000005</v>
      </c>
    </row>
    <row r="688" spans="1:19" x14ac:dyDescent="0.25">
      <c r="A688" t="s">
        <v>82</v>
      </c>
      <c r="B688" t="s">
        <v>990</v>
      </c>
      <c r="C688">
        <v>6</v>
      </c>
      <c r="D688" t="s">
        <v>19</v>
      </c>
      <c r="E688" t="s">
        <v>94</v>
      </c>
      <c r="F688" t="s">
        <v>113</v>
      </c>
      <c r="G688" t="s">
        <v>113</v>
      </c>
      <c r="H688" t="s">
        <v>808</v>
      </c>
      <c r="J688">
        <v>0</v>
      </c>
      <c r="K688">
        <v>1</v>
      </c>
      <c r="L688">
        <v>83.757575759999995</v>
      </c>
      <c r="M688">
        <v>22.60997987</v>
      </c>
      <c r="N688">
        <v>0.72884000000000004</v>
      </c>
      <c r="O688">
        <v>102.79166669999999</v>
      </c>
      <c r="P688">
        <v>27.057373470000002</v>
      </c>
      <c r="Q688">
        <v>6.3567849939999999</v>
      </c>
      <c r="R688" t="s">
        <v>1015</v>
      </c>
      <c r="S688">
        <v>19.034090939999999</v>
      </c>
    </row>
    <row r="689" spans="1:19" x14ac:dyDescent="0.25">
      <c r="A689" t="s">
        <v>82</v>
      </c>
      <c r="B689" t="s">
        <v>990</v>
      </c>
      <c r="C689">
        <v>6</v>
      </c>
      <c r="D689" t="s">
        <v>19</v>
      </c>
      <c r="E689" t="s">
        <v>94</v>
      </c>
      <c r="F689" t="s">
        <v>113</v>
      </c>
      <c r="G689" t="s">
        <v>113</v>
      </c>
      <c r="H689" t="s">
        <v>103</v>
      </c>
      <c r="J689">
        <v>0</v>
      </c>
      <c r="K689">
        <v>1</v>
      </c>
      <c r="L689">
        <v>83.757575759999995</v>
      </c>
      <c r="M689">
        <v>22.60997987</v>
      </c>
      <c r="N689">
        <v>0.72884000000000004</v>
      </c>
      <c r="O689">
        <v>98.291666669999998</v>
      </c>
      <c r="P689">
        <v>30.315130790000001</v>
      </c>
      <c r="Q689">
        <v>5.0803484000000003E-2</v>
      </c>
      <c r="R689" t="s">
        <v>1015</v>
      </c>
      <c r="S689">
        <v>14.534090910000003</v>
      </c>
    </row>
    <row r="690" spans="1:19" x14ac:dyDescent="0.25">
      <c r="A690" t="s">
        <v>82</v>
      </c>
      <c r="B690" t="s">
        <v>991</v>
      </c>
      <c r="C690">
        <v>6</v>
      </c>
      <c r="D690" t="s">
        <v>19</v>
      </c>
      <c r="E690" t="s">
        <v>94</v>
      </c>
      <c r="F690" t="s">
        <v>104</v>
      </c>
      <c r="G690" t="s">
        <v>113</v>
      </c>
      <c r="H690" t="s">
        <v>113</v>
      </c>
      <c r="J690">
        <v>0</v>
      </c>
      <c r="K690">
        <v>3</v>
      </c>
      <c r="L690">
        <v>113.9375</v>
      </c>
      <c r="M690">
        <v>33.375507550000002</v>
      </c>
      <c r="N690">
        <v>2.4262999999999999</v>
      </c>
      <c r="O690">
        <v>83.757575759999995</v>
      </c>
      <c r="P690">
        <v>22.60997987</v>
      </c>
      <c r="Q690">
        <v>0.72884000000000004</v>
      </c>
      <c r="R690" t="s">
        <v>1015</v>
      </c>
      <c r="S690">
        <v>30.179924240000005</v>
      </c>
    </row>
    <row r="691" spans="1:19" x14ac:dyDescent="0.25">
      <c r="A691" t="s">
        <v>83</v>
      </c>
      <c r="B691" t="s">
        <v>992</v>
      </c>
      <c r="C691">
        <v>6</v>
      </c>
      <c r="D691" t="s">
        <v>21</v>
      </c>
      <c r="E691" t="s">
        <v>94</v>
      </c>
      <c r="F691" t="s">
        <v>102</v>
      </c>
      <c r="G691" t="s">
        <v>121</v>
      </c>
      <c r="H691" t="s">
        <v>114</v>
      </c>
      <c r="J691">
        <v>0</v>
      </c>
      <c r="K691">
        <v>0</v>
      </c>
      <c r="L691">
        <v>84.740740740000007</v>
      </c>
      <c r="M691">
        <v>29.167014049999999</v>
      </c>
      <c r="N691">
        <v>1.1169849999999999</v>
      </c>
      <c r="O691" t="s">
        <v>114</v>
      </c>
      <c r="P691" t="s">
        <v>114</v>
      </c>
      <c r="Q691" t="s">
        <v>114</v>
      </c>
      <c r="R691" t="s">
        <v>1015</v>
      </c>
      <c r="S691" t="s">
        <v>114</v>
      </c>
    </row>
    <row r="692" spans="1:19" x14ac:dyDescent="0.25">
      <c r="A692" t="s">
        <v>83</v>
      </c>
      <c r="B692" t="s">
        <v>993</v>
      </c>
      <c r="C692">
        <v>6</v>
      </c>
      <c r="D692" t="s">
        <v>21</v>
      </c>
      <c r="E692" t="s">
        <v>94</v>
      </c>
      <c r="F692" t="s">
        <v>103</v>
      </c>
      <c r="G692" t="s">
        <v>103</v>
      </c>
      <c r="H692" t="s">
        <v>103</v>
      </c>
      <c r="J692">
        <v>0</v>
      </c>
      <c r="K692">
        <v>2</v>
      </c>
      <c r="L692">
        <v>98.291666669999998</v>
      </c>
      <c r="M692">
        <v>30.315130790000001</v>
      </c>
      <c r="N692">
        <v>5.0803484000000003E-2</v>
      </c>
      <c r="O692">
        <v>98.291666669999998</v>
      </c>
      <c r="P692">
        <v>30.315130790000001</v>
      </c>
      <c r="Q692">
        <v>5.0803484000000003E-2</v>
      </c>
      <c r="R692" t="s">
        <v>1015</v>
      </c>
      <c r="S692">
        <v>0</v>
      </c>
    </row>
    <row r="693" spans="1:19" x14ac:dyDescent="0.25">
      <c r="A693" t="s">
        <v>83</v>
      </c>
      <c r="B693" t="s">
        <v>993</v>
      </c>
      <c r="C693">
        <v>6</v>
      </c>
      <c r="D693" t="s">
        <v>21</v>
      </c>
      <c r="E693" t="s">
        <v>94</v>
      </c>
      <c r="F693" t="s">
        <v>103</v>
      </c>
      <c r="G693" t="s">
        <v>103</v>
      </c>
      <c r="H693" t="s">
        <v>246</v>
      </c>
      <c r="J693">
        <v>0</v>
      </c>
      <c r="K693">
        <v>1</v>
      </c>
      <c r="L693">
        <v>98.291666669999998</v>
      </c>
      <c r="M693">
        <v>30.315130790000001</v>
      </c>
      <c r="N693">
        <v>5.0803484000000003E-2</v>
      </c>
      <c r="O693">
        <v>120.25</v>
      </c>
      <c r="P693">
        <v>30.670450110000001</v>
      </c>
      <c r="Q693">
        <v>0.91037498500000003</v>
      </c>
      <c r="R693" t="s">
        <v>1015</v>
      </c>
      <c r="S693">
        <v>21.958333330000002</v>
      </c>
    </row>
    <row r="694" spans="1:19" x14ac:dyDescent="0.25">
      <c r="A694" t="s">
        <v>83</v>
      </c>
      <c r="B694" t="s">
        <v>993</v>
      </c>
      <c r="C694">
        <v>6</v>
      </c>
      <c r="D694" t="s">
        <v>21</v>
      </c>
      <c r="E694" t="s">
        <v>94</v>
      </c>
      <c r="F694" t="s">
        <v>103</v>
      </c>
      <c r="G694" t="s">
        <v>103</v>
      </c>
      <c r="H694" t="s">
        <v>239</v>
      </c>
      <c r="J694">
        <v>0</v>
      </c>
      <c r="K694">
        <v>1</v>
      </c>
      <c r="L694">
        <v>98.291666669999998</v>
      </c>
      <c r="M694">
        <v>30.315130790000001</v>
      </c>
      <c r="N694">
        <v>5.0803484000000003E-2</v>
      </c>
      <c r="O694">
        <v>100.45454549999999</v>
      </c>
      <c r="P694">
        <v>26.754810689999999</v>
      </c>
      <c r="Q694">
        <v>0.75829999999999997</v>
      </c>
      <c r="R694" t="s">
        <v>1015</v>
      </c>
      <c r="S694">
        <v>2.1628788299999968</v>
      </c>
    </row>
    <row r="695" spans="1:19" x14ac:dyDescent="0.25">
      <c r="A695" t="s">
        <v>83</v>
      </c>
      <c r="B695" t="s">
        <v>994</v>
      </c>
      <c r="C695">
        <v>6</v>
      </c>
      <c r="D695" t="s">
        <v>21</v>
      </c>
      <c r="E695" t="s">
        <v>94</v>
      </c>
      <c r="F695" t="s">
        <v>111</v>
      </c>
      <c r="G695" t="s">
        <v>121</v>
      </c>
      <c r="H695" t="s">
        <v>114</v>
      </c>
      <c r="J695">
        <v>0</v>
      </c>
      <c r="K695">
        <v>0</v>
      </c>
      <c r="L695">
        <v>94.97142857</v>
      </c>
      <c r="M695">
        <v>24.31591813</v>
      </c>
      <c r="N695">
        <v>0.122951111</v>
      </c>
      <c r="O695" t="s">
        <v>114</v>
      </c>
      <c r="P695" t="s">
        <v>114</v>
      </c>
      <c r="Q695" t="s">
        <v>114</v>
      </c>
      <c r="R695" t="s">
        <v>1015</v>
      </c>
      <c r="S695" t="s">
        <v>114</v>
      </c>
    </row>
    <row r="696" spans="1:19" x14ac:dyDescent="0.25">
      <c r="A696" t="s">
        <v>84</v>
      </c>
      <c r="B696" t="s">
        <v>995</v>
      </c>
      <c r="C696">
        <v>6</v>
      </c>
      <c r="D696" t="s">
        <v>23</v>
      </c>
      <c r="E696" t="s">
        <v>95</v>
      </c>
      <c r="F696" t="s">
        <v>102</v>
      </c>
      <c r="G696" t="s">
        <v>121</v>
      </c>
      <c r="H696" t="s">
        <v>254</v>
      </c>
      <c r="J696">
        <v>0</v>
      </c>
      <c r="K696">
        <v>3</v>
      </c>
      <c r="L696">
        <v>84.740740740000007</v>
      </c>
      <c r="M696">
        <v>29.167014049999999</v>
      </c>
      <c r="N696">
        <v>1.1169849999999999</v>
      </c>
      <c r="O696" t="s">
        <v>114</v>
      </c>
      <c r="P696" t="s">
        <v>114</v>
      </c>
      <c r="Q696" t="s">
        <v>114</v>
      </c>
      <c r="R696" t="s">
        <v>1015</v>
      </c>
      <c r="S696" t="s">
        <v>114</v>
      </c>
    </row>
    <row r="697" spans="1:19" x14ac:dyDescent="0.25">
      <c r="A697" t="s">
        <v>84</v>
      </c>
      <c r="B697" t="s">
        <v>995</v>
      </c>
      <c r="C697">
        <v>6</v>
      </c>
      <c r="D697" t="s">
        <v>23</v>
      </c>
      <c r="E697" t="s">
        <v>95</v>
      </c>
      <c r="F697" t="s">
        <v>102</v>
      </c>
      <c r="G697" t="s">
        <v>121</v>
      </c>
      <c r="H697" t="s">
        <v>248</v>
      </c>
      <c r="J697">
        <v>0</v>
      </c>
      <c r="K697">
        <v>1</v>
      </c>
      <c r="L697">
        <v>84.740740740000007</v>
      </c>
      <c r="M697">
        <v>29.167014049999999</v>
      </c>
      <c r="N697">
        <v>1.1169849999999999</v>
      </c>
      <c r="O697">
        <v>83.92307692</v>
      </c>
      <c r="P697">
        <v>44.319135699999997</v>
      </c>
      <c r="Q697">
        <v>5.9548609999999997E-3</v>
      </c>
      <c r="R697" t="s">
        <v>1015</v>
      </c>
      <c r="S697">
        <v>0.81766382000000704</v>
      </c>
    </row>
    <row r="698" spans="1:19" x14ac:dyDescent="0.25">
      <c r="A698" t="s">
        <v>84</v>
      </c>
      <c r="B698" t="s">
        <v>995</v>
      </c>
      <c r="C698">
        <v>6</v>
      </c>
      <c r="D698" t="s">
        <v>23</v>
      </c>
      <c r="E698" t="s">
        <v>95</v>
      </c>
      <c r="F698" t="s">
        <v>102</v>
      </c>
      <c r="G698" t="s">
        <v>121</v>
      </c>
      <c r="H698" t="s">
        <v>233</v>
      </c>
      <c r="J698">
        <v>0</v>
      </c>
      <c r="K698">
        <v>1</v>
      </c>
      <c r="L698">
        <v>84.740740740000007</v>
      </c>
      <c r="M698">
        <v>29.167014049999999</v>
      </c>
      <c r="N698">
        <v>1.1169849999999999</v>
      </c>
      <c r="O698">
        <v>106.0540541</v>
      </c>
      <c r="P698">
        <v>52.690533369999997</v>
      </c>
      <c r="Q698">
        <v>7.6058968000000005E-2</v>
      </c>
      <c r="R698" t="s">
        <v>1015</v>
      </c>
      <c r="S698">
        <v>21.313313359999995</v>
      </c>
    </row>
    <row r="699" spans="1:19" x14ac:dyDescent="0.25">
      <c r="A699" t="s">
        <v>84</v>
      </c>
      <c r="B699" t="s">
        <v>995</v>
      </c>
      <c r="C699">
        <v>6</v>
      </c>
      <c r="D699" t="s">
        <v>23</v>
      </c>
      <c r="E699" t="s">
        <v>95</v>
      </c>
      <c r="F699" t="s">
        <v>102</v>
      </c>
      <c r="G699" t="s">
        <v>121</v>
      </c>
      <c r="H699" t="s">
        <v>103</v>
      </c>
      <c r="J699">
        <v>0</v>
      </c>
      <c r="K699">
        <v>5</v>
      </c>
      <c r="L699">
        <v>84.740740740000007</v>
      </c>
      <c r="M699">
        <v>29.167014049999999</v>
      </c>
      <c r="N699">
        <v>1.1169849999999999</v>
      </c>
      <c r="O699">
        <v>98.291666669999998</v>
      </c>
      <c r="P699">
        <v>30.315130790000001</v>
      </c>
      <c r="Q699">
        <v>5.0803484000000003E-2</v>
      </c>
      <c r="R699" t="s">
        <v>1015</v>
      </c>
      <c r="S699">
        <v>13.550925929999991</v>
      </c>
    </row>
    <row r="700" spans="1:19" x14ac:dyDescent="0.25">
      <c r="A700" t="s">
        <v>84</v>
      </c>
      <c r="B700" t="s">
        <v>996</v>
      </c>
      <c r="C700">
        <v>6</v>
      </c>
      <c r="D700" t="s">
        <v>23</v>
      </c>
      <c r="E700" t="s">
        <v>95</v>
      </c>
      <c r="F700" t="s">
        <v>105</v>
      </c>
      <c r="G700" t="s">
        <v>103</v>
      </c>
      <c r="H700" t="s">
        <v>114</v>
      </c>
      <c r="J700">
        <v>0</v>
      </c>
      <c r="K700" t="s">
        <v>114</v>
      </c>
      <c r="L700">
        <v>67.5</v>
      </c>
      <c r="M700">
        <v>47.937235809999997</v>
      </c>
      <c r="N700">
        <v>0.41599678000000001</v>
      </c>
      <c r="O700" t="s">
        <v>114</v>
      </c>
      <c r="P700" t="s">
        <v>114</v>
      </c>
      <c r="Q700" t="s">
        <v>114</v>
      </c>
      <c r="R700" t="s">
        <v>1015</v>
      </c>
      <c r="S700" t="s">
        <v>114</v>
      </c>
    </row>
    <row r="701" spans="1:19" x14ac:dyDescent="0.25">
      <c r="A701" t="s">
        <v>84</v>
      </c>
      <c r="B701" t="s">
        <v>997</v>
      </c>
      <c r="C701">
        <v>6</v>
      </c>
      <c r="D701" t="s">
        <v>23</v>
      </c>
      <c r="E701" t="s">
        <v>95</v>
      </c>
      <c r="F701" t="s">
        <v>111</v>
      </c>
      <c r="G701" t="s">
        <v>103</v>
      </c>
      <c r="H701" t="s">
        <v>103</v>
      </c>
      <c r="J701">
        <v>0</v>
      </c>
      <c r="K701">
        <v>2</v>
      </c>
      <c r="L701">
        <v>94.97142857</v>
      </c>
      <c r="M701">
        <v>24.31591813</v>
      </c>
      <c r="N701">
        <v>0.122951111</v>
      </c>
      <c r="O701">
        <v>98.291666669999998</v>
      </c>
      <c r="P701">
        <v>30.315130790000001</v>
      </c>
      <c r="Q701">
        <v>5.0803484000000003E-2</v>
      </c>
      <c r="R701" t="s">
        <v>1015</v>
      </c>
      <c r="S701">
        <v>3.3202380999999974</v>
      </c>
    </row>
    <row r="702" spans="1:19" x14ac:dyDescent="0.25">
      <c r="A702" t="s">
        <v>84</v>
      </c>
      <c r="B702" t="s">
        <v>997</v>
      </c>
      <c r="C702">
        <v>6</v>
      </c>
      <c r="D702" t="s">
        <v>23</v>
      </c>
      <c r="E702" t="s">
        <v>95</v>
      </c>
      <c r="F702" t="s">
        <v>111</v>
      </c>
      <c r="G702" t="s">
        <v>103</v>
      </c>
      <c r="H702" t="s">
        <v>247</v>
      </c>
      <c r="J702">
        <v>0</v>
      </c>
      <c r="K702">
        <v>1</v>
      </c>
      <c r="L702">
        <v>94.97142857</v>
      </c>
      <c r="M702">
        <v>24.31591813</v>
      </c>
      <c r="N702">
        <v>0.122951111</v>
      </c>
      <c r="O702">
        <v>65.791044779999993</v>
      </c>
      <c r="P702">
        <v>22.94519201</v>
      </c>
      <c r="Q702">
        <v>8.1320334999999994E-2</v>
      </c>
      <c r="R702" t="s">
        <v>1015</v>
      </c>
      <c r="S702">
        <v>29.180383790000008</v>
      </c>
    </row>
    <row r="703" spans="1:19" x14ac:dyDescent="0.25">
      <c r="A703" t="s">
        <v>84</v>
      </c>
      <c r="B703" t="s">
        <v>997</v>
      </c>
      <c r="C703">
        <v>6</v>
      </c>
      <c r="D703" t="s">
        <v>23</v>
      </c>
      <c r="E703" t="s">
        <v>95</v>
      </c>
      <c r="F703" t="s">
        <v>111</v>
      </c>
      <c r="G703" t="s">
        <v>103</v>
      </c>
      <c r="H703" t="s">
        <v>233</v>
      </c>
      <c r="J703">
        <v>0</v>
      </c>
      <c r="K703">
        <v>1</v>
      </c>
      <c r="L703">
        <v>94.97142857</v>
      </c>
      <c r="M703">
        <v>24.31591813</v>
      </c>
      <c r="N703">
        <v>0.122951111</v>
      </c>
      <c r="O703">
        <v>106.0540541</v>
      </c>
      <c r="P703">
        <v>52.690533369999997</v>
      </c>
      <c r="Q703">
        <v>7.6058968000000005E-2</v>
      </c>
      <c r="R703" t="s">
        <v>1015</v>
      </c>
      <c r="S703">
        <v>11.082625530000001</v>
      </c>
    </row>
    <row r="704" spans="1:19" x14ac:dyDescent="0.25">
      <c r="A704" t="s">
        <v>84</v>
      </c>
      <c r="B704" t="s">
        <v>997</v>
      </c>
      <c r="C704">
        <v>6</v>
      </c>
      <c r="D704" t="s">
        <v>23</v>
      </c>
      <c r="E704" t="s">
        <v>95</v>
      </c>
      <c r="F704" t="s">
        <v>111</v>
      </c>
      <c r="G704" t="s">
        <v>103</v>
      </c>
      <c r="H704" t="s">
        <v>808</v>
      </c>
      <c r="J704">
        <v>0</v>
      </c>
      <c r="K704">
        <v>1</v>
      </c>
      <c r="L704">
        <v>94.97142857</v>
      </c>
      <c r="M704">
        <v>24.31591813</v>
      </c>
      <c r="N704">
        <v>0.122951111</v>
      </c>
      <c r="O704">
        <v>102.79166669999999</v>
      </c>
      <c r="P704">
        <v>27.057373470000002</v>
      </c>
      <c r="Q704">
        <v>6.3567849939999999</v>
      </c>
      <c r="R704" t="s">
        <v>1015</v>
      </c>
      <c r="S704">
        <v>7.8202381299999928</v>
      </c>
    </row>
    <row r="705" spans="1:19" x14ac:dyDescent="0.25">
      <c r="A705" t="s">
        <v>84</v>
      </c>
      <c r="B705" t="s">
        <v>998</v>
      </c>
      <c r="C705">
        <v>6</v>
      </c>
      <c r="D705" t="s">
        <v>23</v>
      </c>
      <c r="E705" t="s">
        <v>95</v>
      </c>
      <c r="F705" t="s">
        <v>112</v>
      </c>
      <c r="G705" t="s">
        <v>103</v>
      </c>
      <c r="H705" t="s">
        <v>236</v>
      </c>
      <c r="J705">
        <v>0</v>
      </c>
      <c r="K705">
        <v>1</v>
      </c>
      <c r="L705">
        <v>65.09375</v>
      </c>
      <c r="M705">
        <v>37.895352600000002</v>
      </c>
      <c r="N705">
        <v>2.2882677779999998</v>
      </c>
      <c r="O705">
        <v>113.33333330000001</v>
      </c>
      <c r="P705">
        <v>26.41632581</v>
      </c>
      <c r="Q705">
        <v>1.6844570160000001</v>
      </c>
      <c r="R705" t="s">
        <v>1015</v>
      </c>
      <c r="S705">
        <v>48.239583300000007</v>
      </c>
    </row>
    <row r="706" spans="1:19" x14ac:dyDescent="0.25">
      <c r="A706" t="s">
        <v>84</v>
      </c>
      <c r="B706" t="s">
        <v>998</v>
      </c>
      <c r="C706">
        <v>6</v>
      </c>
      <c r="D706" t="s">
        <v>23</v>
      </c>
      <c r="E706" t="s">
        <v>95</v>
      </c>
      <c r="F706" t="s">
        <v>112</v>
      </c>
      <c r="G706" t="s">
        <v>103</v>
      </c>
      <c r="H706" t="s">
        <v>103</v>
      </c>
      <c r="J706">
        <v>0</v>
      </c>
      <c r="K706">
        <v>2</v>
      </c>
      <c r="L706">
        <v>65.09375</v>
      </c>
      <c r="M706">
        <v>37.895352600000002</v>
      </c>
      <c r="N706">
        <v>2.2882677779999998</v>
      </c>
      <c r="O706">
        <v>98.291666669999998</v>
      </c>
      <c r="P706">
        <v>30.315130790000001</v>
      </c>
      <c r="Q706">
        <v>5.0803484000000003E-2</v>
      </c>
      <c r="R706" t="s">
        <v>1015</v>
      </c>
      <c r="S706">
        <v>33.197916669999998</v>
      </c>
    </row>
    <row r="707" spans="1:19" x14ac:dyDescent="0.25">
      <c r="A707" t="s">
        <v>84</v>
      </c>
      <c r="B707" t="s">
        <v>998</v>
      </c>
      <c r="C707">
        <v>6</v>
      </c>
      <c r="D707" t="s">
        <v>23</v>
      </c>
      <c r="E707" t="s">
        <v>95</v>
      </c>
      <c r="F707" t="s">
        <v>112</v>
      </c>
      <c r="G707" t="s">
        <v>103</v>
      </c>
      <c r="H707" t="s">
        <v>808</v>
      </c>
      <c r="J707">
        <v>0</v>
      </c>
      <c r="K707">
        <v>1</v>
      </c>
      <c r="L707">
        <v>65.09375</v>
      </c>
      <c r="M707">
        <v>37.895352600000002</v>
      </c>
      <c r="N707">
        <v>2.2882677779999998</v>
      </c>
      <c r="O707">
        <v>102.79166669999999</v>
      </c>
      <c r="P707">
        <v>27.057373470000002</v>
      </c>
      <c r="Q707">
        <v>6.3567849939999999</v>
      </c>
      <c r="R707" t="s">
        <v>1015</v>
      </c>
      <c r="S707">
        <v>37.697916699999993</v>
      </c>
    </row>
    <row r="708" spans="1:19" x14ac:dyDescent="0.25">
      <c r="A708" t="s">
        <v>84</v>
      </c>
      <c r="B708" t="s">
        <v>998</v>
      </c>
      <c r="C708">
        <v>6</v>
      </c>
      <c r="D708" t="s">
        <v>23</v>
      </c>
      <c r="E708" t="s">
        <v>95</v>
      </c>
      <c r="F708" t="s">
        <v>112</v>
      </c>
      <c r="G708" t="s">
        <v>103</v>
      </c>
      <c r="H708" t="s">
        <v>239</v>
      </c>
      <c r="J708">
        <v>0</v>
      </c>
      <c r="K708">
        <v>2</v>
      </c>
      <c r="L708">
        <v>65.09375</v>
      </c>
      <c r="M708">
        <v>37.895352600000002</v>
      </c>
      <c r="N708">
        <v>2.2882677779999998</v>
      </c>
      <c r="O708">
        <v>100.45454549999999</v>
      </c>
      <c r="P708">
        <v>26.754810689999999</v>
      </c>
      <c r="Q708">
        <v>0.75829999999999997</v>
      </c>
      <c r="R708" t="s">
        <v>1015</v>
      </c>
      <c r="S708">
        <v>35.360795499999995</v>
      </c>
    </row>
    <row r="709" spans="1:19" x14ac:dyDescent="0.25">
      <c r="A709" t="s">
        <v>85</v>
      </c>
      <c r="B709" t="s">
        <v>999</v>
      </c>
      <c r="C709">
        <v>6</v>
      </c>
      <c r="D709" t="s">
        <v>25</v>
      </c>
      <c r="E709" t="s">
        <v>94</v>
      </c>
      <c r="F709" t="s">
        <v>105</v>
      </c>
      <c r="G709" t="s">
        <v>103</v>
      </c>
      <c r="H709" t="s">
        <v>810</v>
      </c>
      <c r="J709">
        <v>0</v>
      </c>
      <c r="K709">
        <v>1</v>
      </c>
      <c r="L709">
        <v>67.5</v>
      </c>
      <c r="M709">
        <v>47.937235809999997</v>
      </c>
      <c r="N709">
        <v>0.41599678000000001</v>
      </c>
      <c r="O709">
        <v>77.055555560000002</v>
      </c>
      <c r="P709">
        <v>18.389110710000001</v>
      </c>
      <c r="Q709">
        <v>1.5559800079999999</v>
      </c>
      <c r="R709" t="s">
        <v>1015</v>
      </c>
      <c r="S709">
        <v>9.5555555600000019</v>
      </c>
    </row>
    <row r="710" spans="1:19" x14ac:dyDescent="0.25">
      <c r="A710" t="s">
        <v>85</v>
      </c>
      <c r="B710" t="s">
        <v>999</v>
      </c>
      <c r="C710">
        <v>6</v>
      </c>
      <c r="D710" t="s">
        <v>25</v>
      </c>
      <c r="E710" t="s">
        <v>94</v>
      </c>
      <c r="F710" t="s">
        <v>105</v>
      </c>
      <c r="G710" t="s">
        <v>103</v>
      </c>
      <c r="H710" t="s">
        <v>104</v>
      </c>
      <c r="J710">
        <v>0</v>
      </c>
      <c r="K710">
        <v>1</v>
      </c>
      <c r="L710">
        <v>67.5</v>
      </c>
      <c r="M710">
        <v>47.937235809999997</v>
      </c>
      <c r="N710">
        <v>0.41599678000000001</v>
      </c>
      <c r="O710">
        <v>113.9375</v>
      </c>
      <c r="P710">
        <v>33.375507550000002</v>
      </c>
      <c r="Q710">
        <v>2.4262999999999999</v>
      </c>
      <c r="R710" t="s">
        <v>1015</v>
      </c>
      <c r="S710">
        <v>46.4375</v>
      </c>
    </row>
    <row r="711" spans="1:19" x14ac:dyDescent="0.25">
      <c r="A711" t="s">
        <v>85</v>
      </c>
      <c r="B711" t="s">
        <v>999</v>
      </c>
      <c r="C711">
        <v>6</v>
      </c>
      <c r="D711" t="s">
        <v>25</v>
      </c>
      <c r="E711" t="s">
        <v>94</v>
      </c>
      <c r="F711" t="s">
        <v>105</v>
      </c>
      <c r="G711" t="s">
        <v>103</v>
      </c>
      <c r="H711" t="s">
        <v>110</v>
      </c>
      <c r="J711">
        <v>0</v>
      </c>
      <c r="K711">
        <v>1</v>
      </c>
      <c r="L711">
        <v>67.5</v>
      </c>
      <c r="M711">
        <v>47.937235809999997</v>
      </c>
      <c r="N711">
        <v>0.41599678000000001</v>
      </c>
      <c r="O711">
        <v>73.260869569999997</v>
      </c>
      <c r="P711">
        <v>34.453830549999999</v>
      </c>
      <c r="Q711">
        <v>1.058333333</v>
      </c>
      <c r="R711" t="s">
        <v>1015</v>
      </c>
      <c r="S711">
        <v>5.760869569999997</v>
      </c>
    </row>
    <row r="712" spans="1:19" x14ac:dyDescent="0.25">
      <c r="A712" t="s">
        <v>85</v>
      </c>
      <c r="B712" t="s">
        <v>999</v>
      </c>
      <c r="C712">
        <v>6</v>
      </c>
      <c r="D712" t="s">
        <v>25</v>
      </c>
      <c r="E712" t="s">
        <v>94</v>
      </c>
      <c r="F712" t="s">
        <v>105</v>
      </c>
      <c r="G712" t="s">
        <v>103</v>
      </c>
      <c r="H712" t="s">
        <v>103</v>
      </c>
      <c r="J712">
        <v>0</v>
      </c>
      <c r="K712">
        <v>4</v>
      </c>
      <c r="L712">
        <v>67.5</v>
      </c>
      <c r="M712">
        <v>47.937235809999997</v>
      </c>
      <c r="N712">
        <v>0.41599678000000001</v>
      </c>
      <c r="O712">
        <v>98.291666669999998</v>
      </c>
      <c r="P712">
        <v>30.315130790000001</v>
      </c>
      <c r="Q712">
        <v>5.0803484000000003E-2</v>
      </c>
      <c r="R712" t="s">
        <v>1015</v>
      </c>
      <c r="S712">
        <v>30.791666669999998</v>
      </c>
    </row>
    <row r="713" spans="1:19" x14ac:dyDescent="0.25">
      <c r="A713" t="s">
        <v>85</v>
      </c>
      <c r="B713" t="s">
        <v>1000</v>
      </c>
      <c r="C713">
        <v>6</v>
      </c>
      <c r="D713" t="s">
        <v>25</v>
      </c>
      <c r="E713" t="s">
        <v>94</v>
      </c>
      <c r="F713" t="s">
        <v>110</v>
      </c>
      <c r="G713" t="s">
        <v>103</v>
      </c>
      <c r="H713" t="s">
        <v>103</v>
      </c>
      <c r="J713">
        <v>0</v>
      </c>
      <c r="K713">
        <v>9</v>
      </c>
      <c r="L713">
        <v>73.260869569999997</v>
      </c>
      <c r="M713">
        <v>34.453830549999999</v>
      </c>
      <c r="N713">
        <v>1.058333333</v>
      </c>
      <c r="O713">
        <v>98.291666669999998</v>
      </c>
      <c r="P713">
        <v>30.315130790000001</v>
      </c>
      <c r="Q713">
        <v>5.0803484000000003E-2</v>
      </c>
      <c r="R713" t="s">
        <v>1015</v>
      </c>
      <c r="S713">
        <v>25.030797100000001</v>
      </c>
    </row>
    <row r="714" spans="1:19" x14ac:dyDescent="0.25">
      <c r="A714" t="s">
        <v>85</v>
      </c>
      <c r="B714" t="s">
        <v>1000</v>
      </c>
      <c r="C714">
        <v>6</v>
      </c>
      <c r="D714" t="s">
        <v>25</v>
      </c>
      <c r="E714" t="s">
        <v>94</v>
      </c>
      <c r="F714" t="s">
        <v>110</v>
      </c>
      <c r="G714" t="s">
        <v>103</v>
      </c>
      <c r="H714" t="s">
        <v>248</v>
      </c>
      <c r="J714">
        <v>0</v>
      </c>
      <c r="K714">
        <v>4</v>
      </c>
      <c r="L714">
        <v>73.260869569999997</v>
      </c>
      <c r="M714">
        <v>34.453830549999999</v>
      </c>
      <c r="N714">
        <v>1.058333333</v>
      </c>
      <c r="O714">
        <v>83.92307692</v>
      </c>
      <c r="P714">
        <v>44.319135699999997</v>
      </c>
      <c r="Q714">
        <v>5.9548609999999997E-3</v>
      </c>
      <c r="R714" t="s">
        <v>1015</v>
      </c>
      <c r="S714">
        <v>10.662207350000003</v>
      </c>
    </row>
    <row r="715" spans="1:19" x14ac:dyDescent="0.25">
      <c r="A715" t="s">
        <v>85</v>
      </c>
      <c r="B715" t="s">
        <v>1000</v>
      </c>
      <c r="C715">
        <v>6</v>
      </c>
      <c r="D715" t="s">
        <v>25</v>
      </c>
      <c r="E715" t="s">
        <v>94</v>
      </c>
      <c r="F715" t="s">
        <v>110</v>
      </c>
      <c r="G715" t="s">
        <v>103</v>
      </c>
      <c r="H715" t="s">
        <v>233</v>
      </c>
      <c r="J715">
        <v>0</v>
      </c>
      <c r="K715">
        <v>3</v>
      </c>
      <c r="L715">
        <v>73.260869569999997</v>
      </c>
      <c r="M715">
        <v>34.453830549999999</v>
      </c>
      <c r="N715">
        <v>1.058333333</v>
      </c>
      <c r="O715">
        <v>106.0540541</v>
      </c>
      <c r="P715">
        <v>52.690533369999997</v>
      </c>
      <c r="Q715">
        <v>7.6058968000000005E-2</v>
      </c>
      <c r="R715" t="s">
        <v>1015</v>
      </c>
      <c r="S715">
        <v>32.793184530000005</v>
      </c>
    </row>
    <row r="716" spans="1:19" x14ac:dyDescent="0.25">
      <c r="A716" t="s">
        <v>85</v>
      </c>
      <c r="B716" t="s">
        <v>1000</v>
      </c>
      <c r="C716">
        <v>6</v>
      </c>
      <c r="D716" t="s">
        <v>25</v>
      </c>
      <c r="E716" t="s">
        <v>94</v>
      </c>
      <c r="F716" t="s">
        <v>110</v>
      </c>
      <c r="G716" t="s">
        <v>103</v>
      </c>
      <c r="H716" t="s">
        <v>110</v>
      </c>
      <c r="J716">
        <v>0</v>
      </c>
      <c r="K716">
        <v>1</v>
      </c>
      <c r="L716">
        <v>73.260869569999997</v>
      </c>
      <c r="M716">
        <v>34.453830549999999</v>
      </c>
      <c r="N716">
        <v>1.058333333</v>
      </c>
      <c r="O716">
        <v>73.260869569999997</v>
      </c>
      <c r="P716">
        <v>34.453830549999999</v>
      </c>
      <c r="Q716">
        <v>1.058333333</v>
      </c>
      <c r="R716" t="s">
        <v>1015</v>
      </c>
      <c r="S716">
        <v>0</v>
      </c>
    </row>
    <row r="717" spans="1:19" x14ac:dyDescent="0.25">
      <c r="A717" t="s">
        <v>86</v>
      </c>
      <c r="B717" t="s">
        <v>1001</v>
      </c>
      <c r="C717">
        <v>6</v>
      </c>
      <c r="D717" t="s">
        <v>27</v>
      </c>
      <c r="E717" t="s">
        <v>94</v>
      </c>
      <c r="F717" t="s">
        <v>110</v>
      </c>
      <c r="G717" t="s">
        <v>121</v>
      </c>
      <c r="H717" t="s">
        <v>246</v>
      </c>
      <c r="J717">
        <v>0</v>
      </c>
      <c r="K717">
        <v>1</v>
      </c>
      <c r="L717">
        <v>73.260869569999997</v>
      </c>
      <c r="M717">
        <v>34.453830549999999</v>
      </c>
      <c r="N717">
        <v>1.058333333</v>
      </c>
      <c r="O717">
        <v>120.25</v>
      </c>
      <c r="P717">
        <v>30.670450110000001</v>
      </c>
      <c r="Q717">
        <v>0.91037498500000003</v>
      </c>
      <c r="R717" t="s">
        <v>1015</v>
      </c>
      <c r="S717">
        <v>46.989130430000003</v>
      </c>
    </row>
    <row r="718" spans="1:19" x14ac:dyDescent="0.25">
      <c r="A718" t="s">
        <v>86</v>
      </c>
      <c r="B718" t="s">
        <v>1001</v>
      </c>
      <c r="C718">
        <v>6</v>
      </c>
      <c r="D718" t="s">
        <v>27</v>
      </c>
      <c r="E718" t="s">
        <v>94</v>
      </c>
      <c r="F718" t="s">
        <v>110</v>
      </c>
      <c r="G718" t="s">
        <v>121</v>
      </c>
      <c r="H718" t="s">
        <v>242</v>
      </c>
      <c r="J718">
        <v>0</v>
      </c>
      <c r="K718">
        <v>2</v>
      </c>
      <c r="L718">
        <v>73.260869569999997</v>
      </c>
      <c r="M718">
        <v>34.453830549999999</v>
      </c>
      <c r="N718">
        <v>1.058333333</v>
      </c>
      <c r="O718">
        <v>139.375</v>
      </c>
      <c r="P718">
        <v>23.713465920000001</v>
      </c>
      <c r="Q718" t="s">
        <v>114</v>
      </c>
      <c r="R718" t="s">
        <v>1015</v>
      </c>
      <c r="S718">
        <v>66.114130430000003</v>
      </c>
    </row>
    <row r="719" spans="1:19" x14ac:dyDescent="0.25">
      <c r="A719" t="s">
        <v>86</v>
      </c>
      <c r="B719" t="s">
        <v>1002</v>
      </c>
      <c r="C719">
        <v>6</v>
      </c>
      <c r="D719" t="s">
        <v>27</v>
      </c>
      <c r="E719" t="s">
        <v>94</v>
      </c>
      <c r="F719" t="s">
        <v>112</v>
      </c>
      <c r="G719" t="s">
        <v>110</v>
      </c>
      <c r="H719" t="s">
        <v>110</v>
      </c>
      <c r="J719">
        <v>0</v>
      </c>
      <c r="K719">
        <v>1</v>
      </c>
      <c r="L719">
        <v>65.09375</v>
      </c>
      <c r="M719">
        <v>37.895352600000002</v>
      </c>
      <c r="N719">
        <v>2.2882677779999998</v>
      </c>
      <c r="O719">
        <v>73.260869569999997</v>
      </c>
      <c r="P719">
        <v>34.453830549999999</v>
      </c>
      <c r="Q719">
        <v>1.058333333</v>
      </c>
      <c r="R719" t="s">
        <v>1015</v>
      </c>
      <c r="S719">
        <v>8.167119569999997</v>
      </c>
    </row>
    <row r="720" spans="1:19" x14ac:dyDescent="0.25">
      <c r="A720" t="s">
        <v>86</v>
      </c>
      <c r="B720" t="s">
        <v>1002</v>
      </c>
      <c r="C720">
        <v>6</v>
      </c>
      <c r="D720" t="s">
        <v>27</v>
      </c>
      <c r="E720" t="s">
        <v>94</v>
      </c>
      <c r="F720" t="s">
        <v>112</v>
      </c>
      <c r="G720" t="s">
        <v>110</v>
      </c>
      <c r="H720" t="s">
        <v>246</v>
      </c>
      <c r="J720">
        <v>0</v>
      </c>
      <c r="K720">
        <v>1</v>
      </c>
      <c r="L720">
        <v>65.09375</v>
      </c>
      <c r="M720">
        <v>37.895352600000002</v>
      </c>
      <c r="N720">
        <v>2.2882677779999998</v>
      </c>
      <c r="O720">
        <v>120.25</v>
      </c>
      <c r="P720">
        <v>30.670450110000001</v>
      </c>
      <c r="Q720">
        <v>0.91037498500000003</v>
      </c>
      <c r="R720" t="s">
        <v>1015</v>
      </c>
      <c r="S720">
        <v>55.15625</v>
      </c>
    </row>
    <row r="721" spans="1:19" x14ac:dyDescent="0.25">
      <c r="A721" t="s">
        <v>87</v>
      </c>
      <c r="B721" t="s">
        <v>1003</v>
      </c>
      <c r="C721">
        <v>6</v>
      </c>
      <c r="D721" t="s">
        <v>29</v>
      </c>
      <c r="E721" t="s">
        <v>95</v>
      </c>
      <c r="F721" t="s">
        <v>102</v>
      </c>
      <c r="G721" t="s">
        <v>110</v>
      </c>
      <c r="H721" t="s">
        <v>110</v>
      </c>
      <c r="J721">
        <v>0</v>
      </c>
      <c r="K721">
        <v>3</v>
      </c>
      <c r="L721">
        <v>84.740740740000007</v>
      </c>
      <c r="M721">
        <v>29.167014049999999</v>
      </c>
      <c r="N721">
        <v>1.1169849999999999</v>
      </c>
      <c r="O721">
        <v>73.260869569999997</v>
      </c>
      <c r="P721">
        <v>34.453830549999999</v>
      </c>
      <c r="Q721">
        <v>1.058333333</v>
      </c>
      <c r="R721" t="s">
        <v>1015</v>
      </c>
      <c r="S721">
        <v>11.47987117000001</v>
      </c>
    </row>
    <row r="722" spans="1:19" x14ac:dyDescent="0.25">
      <c r="A722" t="s">
        <v>87</v>
      </c>
      <c r="B722" t="s">
        <v>1003</v>
      </c>
      <c r="C722">
        <v>6</v>
      </c>
      <c r="D722" t="s">
        <v>29</v>
      </c>
      <c r="E722" t="s">
        <v>95</v>
      </c>
      <c r="F722" t="s">
        <v>102</v>
      </c>
      <c r="G722" t="s">
        <v>110</v>
      </c>
      <c r="H722" t="s">
        <v>246</v>
      </c>
      <c r="J722">
        <v>0</v>
      </c>
      <c r="K722">
        <v>1</v>
      </c>
      <c r="L722">
        <v>84.740740740000007</v>
      </c>
      <c r="M722">
        <v>29.167014049999999</v>
      </c>
      <c r="N722">
        <v>1.1169849999999999</v>
      </c>
      <c r="O722">
        <v>120.25</v>
      </c>
      <c r="P722">
        <v>30.670450110000001</v>
      </c>
      <c r="Q722">
        <v>0.91037498500000003</v>
      </c>
      <c r="R722" t="s">
        <v>1015</v>
      </c>
      <c r="S722">
        <v>35.509259259999993</v>
      </c>
    </row>
    <row r="723" spans="1:19" x14ac:dyDescent="0.25">
      <c r="A723" t="s">
        <v>87</v>
      </c>
      <c r="B723" t="s">
        <v>1003</v>
      </c>
      <c r="C723">
        <v>6</v>
      </c>
      <c r="D723" t="s">
        <v>29</v>
      </c>
      <c r="E723" t="s">
        <v>95</v>
      </c>
      <c r="F723" t="s">
        <v>102</v>
      </c>
      <c r="G723" t="s">
        <v>110</v>
      </c>
      <c r="H723" t="s">
        <v>242</v>
      </c>
      <c r="J723">
        <v>0</v>
      </c>
      <c r="K723">
        <v>2</v>
      </c>
      <c r="L723">
        <v>84.740740740000007</v>
      </c>
      <c r="M723">
        <v>29.167014049999999</v>
      </c>
      <c r="N723">
        <v>1.1169849999999999</v>
      </c>
      <c r="O723">
        <v>139.375</v>
      </c>
      <c r="P723">
        <v>23.713465920000001</v>
      </c>
      <c r="Q723" t="s">
        <v>114</v>
      </c>
      <c r="R723" t="s">
        <v>1015</v>
      </c>
      <c r="S723">
        <v>54.634259259999993</v>
      </c>
    </row>
    <row r="724" spans="1:19" x14ac:dyDescent="0.25">
      <c r="A724" t="s">
        <v>87</v>
      </c>
      <c r="B724" t="s">
        <v>1004</v>
      </c>
      <c r="C724">
        <v>6</v>
      </c>
      <c r="D724" t="s">
        <v>29</v>
      </c>
      <c r="E724" t="s">
        <v>95</v>
      </c>
      <c r="F724" t="s">
        <v>110</v>
      </c>
      <c r="G724" t="s">
        <v>110</v>
      </c>
      <c r="H724" t="s">
        <v>110</v>
      </c>
      <c r="J724">
        <v>0</v>
      </c>
      <c r="K724">
        <v>1</v>
      </c>
      <c r="L724">
        <v>73.260869569999997</v>
      </c>
      <c r="M724">
        <v>34.453830549999999</v>
      </c>
      <c r="N724">
        <v>1.058333333</v>
      </c>
      <c r="O724">
        <v>73.260869569999997</v>
      </c>
      <c r="P724">
        <v>34.453830549999999</v>
      </c>
      <c r="Q724">
        <v>1.058333333</v>
      </c>
      <c r="R724" t="s">
        <v>1015</v>
      </c>
      <c r="S724">
        <v>0</v>
      </c>
    </row>
    <row r="725" spans="1:19" x14ac:dyDescent="0.25">
      <c r="A725" t="s">
        <v>88</v>
      </c>
      <c r="B725" t="s">
        <v>1005</v>
      </c>
      <c r="C725">
        <v>6</v>
      </c>
      <c r="D725" t="s">
        <v>31</v>
      </c>
      <c r="E725" t="s">
        <v>95</v>
      </c>
      <c r="F725" t="s">
        <v>110</v>
      </c>
      <c r="G725" t="s">
        <v>113</v>
      </c>
      <c r="H725" t="s">
        <v>113</v>
      </c>
      <c r="J725">
        <v>0</v>
      </c>
      <c r="K725">
        <v>3</v>
      </c>
      <c r="L725">
        <v>73.260869569999997</v>
      </c>
      <c r="M725">
        <v>34.453830549999999</v>
      </c>
      <c r="N725">
        <v>1.058333333</v>
      </c>
      <c r="O725">
        <v>83.757575759999995</v>
      </c>
      <c r="P725">
        <v>22.60997987</v>
      </c>
      <c r="Q725">
        <v>0.72884000000000004</v>
      </c>
      <c r="R725" t="s">
        <v>1015</v>
      </c>
      <c r="S725">
        <v>10.496706189999998</v>
      </c>
    </row>
    <row r="726" spans="1:19" x14ac:dyDescent="0.25">
      <c r="A726" t="s">
        <v>88</v>
      </c>
      <c r="B726" t="s">
        <v>1005</v>
      </c>
      <c r="C726">
        <v>6</v>
      </c>
      <c r="D726" t="s">
        <v>31</v>
      </c>
      <c r="E726" t="s">
        <v>95</v>
      </c>
      <c r="F726" t="s">
        <v>110</v>
      </c>
      <c r="G726" t="s">
        <v>113</v>
      </c>
      <c r="H726" t="s">
        <v>103</v>
      </c>
      <c r="J726">
        <v>0</v>
      </c>
      <c r="K726">
        <v>1</v>
      </c>
      <c r="L726">
        <v>73.260869569999997</v>
      </c>
      <c r="M726">
        <v>34.453830549999999</v>
      </c>
      <c r="N726">
        <v>1.058333333</v>
      </c>
      <c r="O726">
        <v>98.291666669999998</v>
      </c>
      <c r="P726">
        <v>30.315130790000001</v>
      </c>
      <c r="Q726">
        <v>5.0803484000000003E-2</v>
      </c>
      <c r="R726" t="s">
        <v>1015</v>
      </c>
      <c r="S726">
        <v>25.030797100000001</v>
      </c>
    </row>
    <row r="727" spans="1:19" x14ac:dyDescent="0.25">
      <c r="A727" t="s">
        <v>88</v>
      </c>
      <c r="B727" t="s">
        <v>1006</v>
      </c>
      <c r="C727">
        <v>6</v>
      </c>
      <c r="D727" t="s">
        <v>31</v>
      </c>
      <c r="E727" t="s">
        <v>95</v>
      </c>
      <c r="F727" t="s">
        <v>112</v>
      </c>
      <c r="G727" t="s">
        <v>113</v>
      </c>
      <c r="H727" t="s">
        <v>113</v>
      </c>
      <c r="J727">
        <v>0</v>
      </c>
      <c r="K727">
        <v>2</v>
      </c>
      <c r="L727">
        <v>65.09375</v>
      </c>
      <c r="M727">
        <v>37.895352600000002</v>
      </c>
      <c r="N727">
        <v>2.2882677779999998</v>
      </c>
      <c r="O727">
        <v>83.757575759999995</v>
      </c>
      <c r="P727">
        <v>22.60997987</v>
      </c>
      <c r="Q727">
        <v>0.72884000000000004</v>
      </c>
      <c r="R727" t="s">
        <v>1015</v>
      </c>
      <c r="S727">
        <v>18.663825759999995</v>
      </c>
    </row>
    <row r="728" spans="1:19" x14ac:dyDescent="0.25">
      <c r="A728" t="s">
        <v>89</v>
      </c>
      <c r="B728" t="s">
        <v>1007</v>
      </c>
      <c r="C728">
        <v>6</v>
      </c>
      <c r="D728" t="s">
        <v>33</v>
      </c>
      <c r="E728" t="s">
        <v>95</v>
      </c>
      <c r="F728" t="s">
        <v>104</v>
      </c>
      <c r="G728" t="s">
        <v>104</v>
      </c>
      <c r="H728" t="s">
        <v>104</v>
      </c>
      <c r="J728">
        <v>1</v>
      </c>
      <c r="K728">
        <v>1</v>
      </c>
      <c r="L728">
        <v>113.9375</v>
      </c>
      <c r="M728">
        <v>33.375507550000002</v>
      </c>
      <c r="N728">
        <v>2.4262999999999999</v>
      </c>
      <c r="O728">
        <v>113.9375</v>
      </c>
      <c r="P728">
        <v>33.375507550000002</v>
      </c>
      <c r="Q728">
        <v>2.4262999999999999</v>
      </c>
      <c r="R728" t="s">
        <v>1015</v>
      </c>
      <c r="S728">
        <v>0</v>
      </c>
    </row>
    <row r="729" spans="1:19" x14ac:dyDescent="0.25">
      <c r="A729" t="s">
        <v>89</v>
      </c>
      <c r="B729" t="s">
        <v>1007</v>
      </c>
      <c r="C729">
        <v>6</v>
      </c>
      <c r="D729" t="s">
        <v>33</v>
      </c>
      <c r="E729" t="s">
        <v>95</v>
      </c>
      <c r="F729" t="s">
        <v>104</v>
      </c>
      <c r="G729" t="s">
        <v>104</v>
      </c>
      <c r="H729" t="s">
        <v>103</v>
      </c>
      <c r="J729">
        <v>1</v>
      </c>
      <c r="K729">
        <v>1</v>
      </c>
      <c r="L729">
        <v>113.9375</v>
      </c>
      <c r="M729">
        <v>33.375507550000002</v>
      </c>
      <c r="N729">
        <v>2.4262999999999999</v>
      </c>
      <c r="O729">
        <v>98.291666669999998</v>
      </c>
      <c r="P729">
        <v>30.315130790000001</v>
      </c>
      <c r="Q729">
        <v>5.0803484000000003E-2</v>
      </c>
      <c r="R729" t="s">
        <v>1015</v>
      </c>
      <c r="S729">
        <v>15.645833330000002</v>
      </c>
    </row>
    <row r="730" spans="1:19" x14ac:dyDescent="0.25">
      <c r="A730" t="s">
        <v>89</v>
      </c>
      <c r="B730" t="s">
        <v>1007</v>
      </c>
      <c r="C730">
        <v>6</v>
      </c>
      <c r="D730" t="s">
        <v>33</v>
      </c>
      <c r="E730" t="s">
        <v>95</v>
      </c>
      <c r="F730" t="s">
        <v>104</v>
      </c>
      <c r="G730" t="s">
        <v>104</v>
      </c>
      <c r="H730" t="s">
        <v>246</v>
      </c>
      <c r="J730">
        <v>1</v>
      </c>
      <c r="K730">
        <v>1</v>
      </c>
      <c r="L730">
        <v>113.9375</v>
      </c>
      <c r="M730">
        <v>33.375507550000002</v>
      </c>
      <c r="N730">
        <v>2.4262999999999999</v>
      </c>
      <c r="O730">
        <v>120.25</v>
      </c>
      <c r="P730">
        <v>30.670450110000001</v>
      </c>
      <c r="Q730">
        <v>0.91037498500000003</v>
      </c>
      <c r="R730" t="s">
        <v>1015</v>
      </c>
      <c r="S730">
        <v>6.3125</v>
      </c>
    </row>
    <row r="731" spans="1:19" x14ac:dyDescent="0.25">
      <c r="A731" t="s">
        <v>89</v>
      </c>
      <c r="B731" t="s">
        <v>1008</v>
      </c>
      <c r="C731">
        <v>6</v>
      </c>
      <c r="D731" t="s">
        <v>33</v>
      </c>
      <c r="E731" t="s">
        <v>95</v>
      </c>
      <c r="F731" t="s">
        <v>112</v>
      </c>
      <c r="G731" t="s">
        <v>113</v>
      </c>
      <c r="H731" t="s">
        <v>113</v>
      </c>
      <c r="I731" t="s">
        <v>255</v>
      </c>
      <c r="J731">
        <v>0</v>
      </c>
      <c r="K731">
        <v>4</v>
      </c>
      <c r="L731">
        <v>65.09375</v>
      </c>
      <c r="M731">
        <v>37.895352600000002</v>
      </c>
      <c r="N731">
        <v>2.2882677779999998</v>
      </c>
      <c r="O731">
        <v>83.757575759999995</v>
      </c>
      <c r="P731">
        <v>22.60997987</v>
      </c>
      <c r="Q731">
        <v>0.72884000000000004</v>
      </c>
      <c r="R731" t="s">
        <v>1015</v>
      </c>
      <c r="S731">
        <v>18.663825759999995</v>
      </c>
    </row>
    <row r="732" spans="1:19" x14ac:dyDescent="0.25">
      <c r="A732" t="s">
        <v>90</v>
      </c>
      <c r="B732" t="s">
        <v>1009</v>
      </c>
      <c r="C732">
        <v>6</v>
      </c>
      <c r="D732" t="s">
        <v>35</v>
      </c>
      <c r="E732" t="s">
        <v>94</v>
      </c>
      <c r="F732" t="s">
        <v>111</v>
      </c>
      <c r="G732" t="s">
        <v>121</v>
      </c>
      <c r="H732" t="s">
        <v>253</v>
      </c>
      <c r="J732">
        <v>0</v>
      </c>
      <c r="K732">
        <v>3</v>
      </c>
      <c r="L732">
        <v>94.97142857</v>
      </c>
      <c r="M732">
        <v>24.31591813</v>
      </c>
      <c r="N732">
        <v>0.122951111</v>
      </c>
      <c r="O732">
        <v>172.08823530000001</v>
      </c>
      <c r="P732">
        <v>29.581605960000001</v>
      </c>
      <c r="Q732">
        <v>0.24280444400000001</v>
      </c>
      <c r="R732" t="s">
        <v>1015</v>
      </c>
      <c r="S732">
        <v>77.116806730000008</v>
      </c>
    </row>
    <row r="733" spans="1:19" x14ac:dyDescent="0.25">
      <c r="A733" t="s">
        <v>90</v>
      </c>
      <c r="B733" t="s">
        <v>1009</v>
      </c>
      <c r="C733">
        <v>6</v>
      </c>
      <c r="D733" t="s">
        <v>35</v>
      </c>
      <c r="E733" t="s">
        <v>94</v>
      </c>
      <c r="F733" t="s">
        <v>111</v>
      </c>
      <c r="G733" t="s">
        <v>121</v>
      </c>
      <c r="H733" t="s">
        <v>162</v>
      </c>
      <c r="J733">
        <v>0</v>
      </c>
      <c r="K733">
        <v>1</v>
      </c>
      <c r="L733">
        <v>94.97142857</v>
      </c>
      <c r="M733">
        <v>24.31591813</v>
      </c>
      <c r="N733">
        <v>0.122951111</v>
      </c>
      <c r="O733">
        <v>82.53846154</v>
      </c>
      <c r="P733">
        <v>35.660530039999998</v>
      </c>
      <c r="Q733">
        <v>3.3754499999999998</v>
      </c>
      <c r="R733" t="s">
        <v>1015</v>
      </c>
      <c r="S733">
        <v>12.43296703</v>
      </c>
    </row>
    <row r="734" spans="1:19" x14ac:dyDescent="0.25">
      <c r="A734" t="s">
        <v>90</v>
      </c>
      <c r="B734" t="s">
        <v>1010</v>
      </c>
      <c r="C734">
        <v>6</v>
      </c>
      <c r="D734" t="s">
        <v>35</v>
      </c>
      <c r="E734" t="s">
        <v>94</v>
      </c>
      <c r="F734" t="s">
        <v>104</v>
      </c>
      <c r="G734" t="s">
        <v>111</v>
      </c>
      <c r="H734" t="s">
        <v>111</v>
      </c>
      <c r="J734">
        <v>1</v>
      </c>
      <c r="K734">
        <v>1</v>
      </c>
      <c r="L734">
        <v>113.9375</v>
      </c>
      <c r="M734">
        <v>33.375507550000002</v>
      </c>
      <c r="N734">
        <v>2.4262999999999999</v>
      </c>
      <c r="O734">
        <v>94.97142857</v>
      </c>
      <c r="P734">
        <v>24.31591813</v>
      </c>
      <c r="Q734">
        <v>0.122951111</v>
      </c>
      <c r="R734" t="s">
        <v>1015</v>
      </c>
      <c r="S734">
        <v>18.96607143</v>
      </c>
    </row>
    <row r="735" spans="1:19" x14ac:dyDescent="0.25">
      <c r="A735" t="s">
        <v>90</v>
      </c>
      <c r="B735" t="s">
        <v>1010</v>
      </c>
      <c r="C735">
        <v>6</v>
      </c>
      <c r="D735" t="s">
        <v>35</v>
      </c>
      <c r="E735" t="s">
        <v>94</v>
      </c>
      <c r="F735" t="s">
        <v>104</v>
      </c>
      <c r="G735" t="s">
        <v>111</v>
      </c>
      <c r="H735" t="s">
        <v>253</v>
      </c>
      <c r="J735">
        <v>1</v>
      </c>
      <c r="K735">
        <v>2</v>
      </c>
      <c r="L735">
        <v>113.9375</v>
      </c>
      <c r="M735">
        <v>33.375507550000002</v>
      </c>
      <c r="N735">
        <v>2.4262999999999999</v>
      </c>
      <c r="O735">
        <v>172.08823530000001</v>
      </c>
      <c r="P735">
        <v>29.581605960000001</v>
      </c>
      <c r="Q735">
        <v>0.24280444400000001</v>
      </c>
      <c r="R735" t="s">
        <v>1015</v>
      </c>
      <c r="S735">
        <v>58.150735300000008</v>
      </c>
    </row>
    <row r="736" spans="1:19" x14ac:dyDescent="0.25">
      <c r="A736" t="s">
        <v>91</v>
      </c>
      <c r="B736" t="s">
        <v>1011</v>
      </c>
      <c r="C736">
        <v>6</v>
      </c>
      <c r="D736" t="s">
        <v>37</v>
      </c>
      <c r="E736" t="s">
        <v>94</v>
      </c>
      <c r="F736" t="s">
        <v>112</v>
      </c>
      <c r="G736" t="s">
        <v>112</v>
      </c>
      <c r="H736" t="s">
        <v>112</v>
      </c>
      <c r="J736">
        <v>0</v>
      </c>
      <c r="K736">
        <v>1</v>
      </c>
      <c r="L736">
        <v>65.09375</v>
      </c>
      <c r="M736">
        <v>37.895352600000002</v>
      </c>
      <c r="N736">
        <v>2.2882677779999998</v>
      </c>
      <c r="O736">
        <v>65.09375</v>
      </c>
      <c r="P736">
        <v>37.895352600000002</v>
      </c>
      <c r="Q736">
        <v>2.2882677779999998</v>
      </c>
      <c r="R736" t="s">
        <v>1015</v>
      </c>
      <c r="S736">
        <v>0</v>
      </c>
    </row>
    <row r="737" spans="1:19" x14ac:dyDescent="0.25">
      <c r="A737" t="s">
        <v>92</v>
      </c>
      <c r="B737" t="s">
        <v>1012</v>
      </c>
      <c r="C737">
        <v>6</v>
      </c>
      <c r="D737" t="s">
        <v>64</v>
      </c>
      <c r="E737" t="s">
        <v>94</v>
      </c>
      <c r="F737" t="s">
        <v>112</v>
      </c>
      <c r="G737" t="s">
        <v>102</v>
      </c>
      <c r="H737" t="s">
        <v>102</v>
      </c>
      <c r="J737">
        <v>0</v>
      </c>
      <c r="K737">
        <v>2</v>
      </c>
      <c r="L737">
        <v>65.09375</v>
      </c>
      <c r="M737">
        <v>37.895352600000002</v>
      </c>
      <c r="N737">
        <v>2.2882677779999998</v>
      </c>
      <c r="O737">
        <v>84.740740740000007</v>
      </c>
      <c r="P737">
        <v>29.167014049999999</v>
      </c>
      <c r="Q737">
        <v>1.1169849999999999</v>
      </c>
      <c r="R737" t="s">
        <v>1015</v>
      </c>
      <c r="S737">
        <v>19.646990740000007</v>
      </c>
    </row>
    <row r="738" spans="1:19" x14ac:dyDescent="0.25">
      <c r="A738" t="s">
        <v>92</v>
      </c>
      <c r="B738" t="s">
        <v>1012</v>
      </c>
      <c r="C738">
        <v>6</v>
      </c>
      <c r="D738" t="s">
        <v>64</v>
      </c>
      <c r="E738" t="s">
        <v>94</v>
      </c>
      <c r="F738" t="s">
        <v>112</v>
      </c>
      <c r="G738" t="s">
        <v>102</v>
      </c>
      <c r="H738" t="s">
        <v>241</v>
      </c>
      <c r="J738">
        <v>0</v>
      </c>
      <c r="K738">
        <v>1</v>
      </c>
      <c r="L738">
        <v>65.09375</v>
      </c>
      <c r="M738">
        <v>37.895352600000002</v>
      </c>
      <c r="N738">
        <v>2.2882677779999998</v>
      </c>
      <c r="O738">
        <v>114</v>
      </c>
      <c r="P738">
        <v>30.43077242</v>
      </c>
      <c r="Q738">
        <v>0.53383111100000002</v>
      </c>
      <c r="R738" t="s">
        <v>1015</v>
      </c>
      <c r="S738">
        <v>48.90625</v>
      </c>
    </row>
    <row r="739" spans="1:19" x14ac:dyDescent="0.25">
      <c r="A739" t="s">
        <v>93</v>
      </c>
      <c r="B739" t="s">
        <v>1013</v>
      </c>
      <c r="C739">
        <v>6</v>
      </c>
      <c r="D739" t="s">
        <v>66</v>
      </c>
      <c r="E739" t="s">
        <v>95</v>
      </c>
      <c r="F739" t="s">
        <v>104</v>
      </c>
      <c r="G739" t="s">
        <v>103</v>
      </c>
      <c r="H739" t="s">
        <v>104</v>
      </c>
      <c r="J739">
        <v>0</v>
      </c>
      <c r="K739">
        <v>1</v>
      </c>
      <c r="L739">
        <v>113.9375</v>
      </c>
      <c r="M739">
        <v>33.375507550000002</v>
      </c>
      <c r="N739">
        <v>2.4262999999999999</v>
      </c>
      <c r="O739">
        <v>113.9375</v>
      </c>
      <c r="P739">
        <v>33.375507550000002</v>
      </c>
      <c r="Q739">
        <v>2.4262999999999999</v>
      </c>
      <c r="R739" t="s">
        <v>1015</v>
      </c>
      <c r="S739">
        <v>0</v>
      </c>
    </row>
    <row r="740" spans="1:19" x14ac:dyDescent="0.25">
      <c r="A740" t="s">
        <v>93</v>
      </c>
      <c r="B740" t="s">
        <v>1013</v>
      </c>
      <c r="C740">
        <v>6</v>
      </c>
      <c r="D740" t="s">
        <v>66</v>
      </c>
      <c r="E740" t="s">
        <v>95</v>
      </c>
      <c r="F740" t="s">
        <v>104</v>
      </c>
      <c r="G740" t="s">
        <v>103</v>
      </c>
      <c r="H740" t="s">
        <v>111</v>
      </c>
      <c r="J740">
        <v>0</v>
      </c>
      <c r="K740">
        <v>1</v>
      </c>
      <c r="L740">
        <v>113.9375</v>
      </c>
      <c r="M740">
        <v>33.375507550000002</v>
      </c>
      <c r="N740">
        <v>2.4262999999999999</v>
      </c>
      <c r="O740">
        <v>94.97142857</v>
      </c>
      <c r="P740">
        <v>24.31591813</v>
      </c>
      <c r="Q740">
        <v>0.122951111</v>
      </c>
      <c r="R740" t="s">
        <v>1015</v>
      </c>
      <c r="S740">
        <v>18.96607143</v>
      </c>
    </row>
    <row r="741" spans="1:19" x14ac:dyDescent="0.25">
      <c r="A741" t="s">
        <v>93</v>
      </c>
      <c r="B741" t="s">
        <v>1013</v>
      </c>
      <c r="C741">
        <v>6</v>
      </c>
      <c r="D741" t="s">
        <v>66</v>
      </c>
      <c r="E741" t="s">
        <v>95</v>
      </c>
      <c r="F741" t="s">
        <v>104</v>
      </c>
      <c r="G741" t="s">
        <v>103</v>
      </c>
      <c r="H741" t="s">
        <v>103</v>
      </c>
      <c r="J741">
        <v>0</v>
      </c>
      <c r="K741">
        <v>4</v>
      </c>
      <c r="L741">
        <v>113.9375</v>
      </c>
      <c r="M741">
        <v>33.375507550000002</v>
      </c>
      <c r="N741">
        <v>2.4262999999999999</v>
      </c>
      <c r="O741">
        <v>98.291666669999998</v>
      </c>
      <c r="P741">
        <v>30.315130790000001</v>
      </c>
      <c r="Q741">
        <v>5.0803484000000003E-2</v>
      </c>
      <c r="R741" t="s">
        <v>1015</v>
      </c>
      <c r="S741">
        <v>15.645833330000002</v>
      </c>
    </row>
    <row r="742" spans="1:19" x14ac:dyDescent="0.25">
      <c r="A742" t="s">
        <v>93</v>
      </c>
      <c r="B742" t="s">
        <v>1013</v>
      </c>
      <c r="C742">
        <v>6</v>
      </c>
      <c r="D742" t="s">
        <v>66</v>
      </c>
      <c r="E742" t="s">
        <v>95</v>
      </c>
      <c r="F742" t="s">
        <v>104</v>
      </c>
      <c r="G742" t="s">
        <v>103</v>
      </c>
      <c r="H742" t="s">
        <v>238</v>
      </c>
      <c r="J742">
        <v>0</v>
      </c>
      <c r="K742">
        <v>2</v>
      </c>
      <c r="L742">
        <v>113.9375</v>
      </c>
      <c r="M742">
        <v>33.375507550000002</v>
      </c>
      <c r="N742">
        <v>2.4262999999999999</v>
      </c>
      <c r="O742">
        <v>87.5</v>
      </c>
      <c r="P742">
        <v>29.478311600000001</v>
      </c>
      <c r="Q742">
        <v>3.0797751000000002E-2</v>
      </c>
      <c r="R742" t="s">
        <v>1015</v>
      </c>
      <c r="S742">
        <v>26.4375</v>
      </c>
    </row>
    <row r="743" spans="1:19" x14ac:dyDescent="0.25">
      <c r="A743" t="s">
        <v>93</v>
      </c>
      <c r="B743" t="s">
        <v>1013</v>
      </c>
      <c r="C743">
        <v>6</v>
      </c>
      <c r="D743" t="s">
        <v>66</v>
      </c>
      <c r="E743" t="s">
        <v>95</v>
      </c>
      <c r="F743" t="s">
        <v>104</v>
      </c>
      <c r="G743" t="s">
        <v>103</v>
      </c>
      <c r="H743" t="s">
        <v>246</v>
      </c>
      <c r="J743">
        <v>0</v>
      </c>
      <c r="K743">
        <v>1</v>
      </c>
      <c r="L743">
        <v>113.9375</v>
      </c>
      <c r="M743">
        <v>33.375507550000002</v>
      </c>
      <c r="N743">
        <v>2.4262999999999999</v>
      </c>
      <c r="O743">
        <v>120.25</v>
      </c>
      <c r="P743">
        <v>30.670450110000001</v>
      </c>
      <c r="Q743">
        <v>0.91037498500000003</v>
      </c>
      <c r="R743" t="s">
        <v>1015</v>
      </c>
      <c r="S743">
        <v>6.3125</v>
      </c>
    </row>
    <row r="744" spans="1:19" x14ac:dyDescent="0.25">
      <c r="A744" t="s">
        <v>67</v>
      </c>
      <c r="B744" t="s">
        <v>820</v>
      </c>
      <c r="C744">
        <v>10</v>
      </c>
      <c r="D744" t="s">
        <v>11</v>
      </c>
      <c r="E744" t="s">
        <v>94</v>
      </c>
      <c r="F744" t="s">
        <v>113</v>
      </c>
      <c r="G744" t="s">
        <v>121</v>
      </c>
      <c r="H744" t="s">
        <v>113</v>
      </c>
      <c r="J744">
        <v>0</v>
      </c>
      <c r="K744">
        <v>2</v>
      </c>
      <c r="L744">
        <v>83.757575759999995</v>
      </c>
      <c r="M744">
        <v>22.60997987</v>
      </c>
      <c r="N744">
        <v>0.72884000000000004</v>
      </c>
      <c r="O744">
        <v>83.757575759999995</v>
      </c>
      <c r="P744">
        <v>22.60997987</v>
      </c>
      <c r="Q744">
        <v>0.72884000000000004</v>
      </c>
      <c r="R744" t="s">
        <v>1016</v>
      </c>
      <c r="S744">
        <v>0</v>
      </c>
    </row>
    <row r="745" spans="1:19" x14ac:dyDescent="0.25">
      <c r="A745" t="s">
        <v>67</v>
      </c>
      <c r="B745" t="s">
        <v>820</v>
      </c>
      <c r="C745">
        <v>10</v>
      </c>
      <c r="D745" t="s">
        <v>11</v>
      </c>
      <c r="E745" t="s">
        <v>94</v>
      </c>
      <c r="F745" t="s">
        <v>113</v>
      </c>
      <c r="G745" t="s">
        <v>121</v>
      </c>
      <c r="H745" t="s">
        <v>248</v>
      </c>
      <c r="J745">
        <v>0</v>
      </c>
      <c r="K745">
        <v>1</v>
      </c>
      <c r="L745">
        <v>83.757575759999995</v>
      </c>
      <c r="M745">
        <v>22.60997987</v>
      </c>
      <c r="N745">
        <v>0.72884000000000004</v>
      </c>
      <c r="O745">
        <v>83.92307692</v>
      </c>
      <c r="P745">
        <v>44.319135699999997</v>
      </c>
      <c r="Q745">
        <v>5.9548609999999997E-3</v>
      </c>
      <c r="R745" t="s">
        <v>1016</v>
      </c>
      <c r="S745">
        <v>-21.709155829999997</v>
      </c>
    </row>
    <row r="746" spans="1:19" x14ac:dyDescent="0.25">
      <c r="A746" t="s">
        <v>67</v>
      </c>
      <c r="B746" t="s">
        <v>821</v>
      </c>
      <c r="C746">
        <v>10</v>
      </c>
      <c r="D746" t="s">
        <v>11</v>
      </c>
      <c r="E746" t="s">
        <v>94</v>
      </c>
      <c r="F746" t="s">
        <v>103</v>
      </c>
      <c r="G746" t="s">
        <v>121</v>
      </c>
      <c r="H746" t="s">
        <v>103</v>
      </c>
      <c r="J746">
        <v>0</v>
      </c>
      <c r="K746">
        <v>1</v>
      </c>
      <c r="L746">
        <v>98.291666669999998</v>
      </c>
      <c r="M746">
        <v>30.315130790000001</v>
      </c>
      <c r="N746">
        <v>5.0803484000000003E-2</v>
      </c>
      <c r="O746">
        <v>98.291666669999998</v>
      </c>
      <c r="P746">
        <v>30.315130790000001</v>
      </c>
      <c r="Q746">
        <v>5.0803484000000003E-2</v>
      </c>
      <c r="R746" t="s">
        <v>1016</v>
      </c>
      <c r="S746">
        <v>0</v>
      </c>
    </row>
    <row r="747" spans="1:19" x14ac:dyDescent="0.25">
      <c r="A747" t="s">
        <v>67</v>
      </c>
      <c r="B747" t="s">
        <v>822</v>
      </c>
      <c r="C747">
        <v>10</v>
      </c>
      <c r="D747" t="s">
        <v>11</v>
      </c>
      <c r="E747" t="s">
        <v>94</v>
      </c>
      <c r="F747" t="s">
        <v>112</v>
      </c>
      <c r="G747" t="s">
        <v>121</v>
      </c>
      <c r="H747" t="s">
        <v>235</v>
      </c>
      <c r="J747">
        <v>0</v>
      </c>
      <c r="K747">
        <v>1</v>
      </c>
      <c r="L747">
        <v>65.09375</v>
      </c>
      <c r="M747">
        <v>37.895352600000002</v>
      </c>
      <c r="N747">
        <v>2.2882677779999998</v>
      </c>
      <c r="O747">
        <v>132.27272730000001</v>
      </c>
      <c r="P747">
        <v>20.180448590000001</v>
      </c>
      <c r="Q747">
        <v>3.7813451999999997E-2</v>
      </c>
      <c r="R747" t="s">
        <v>1016</v>
      </c>
      <c r="S747">
        <v>17.714904010000001</v>
      </c>
    </row>
    <row r="748" spans="1:19" x14ac:dyDescent="0.25">
      <c r="A748" t="s">
        <v>67</v>
      </c>
      <c r="B748" t="s">
        <v>822</v>
      </c>
      <c r="C748">
        <v>10</v>
      </c>
      <c r="D748" t="s">
        <v>11</v>
      </c>
      <c r="E748" t="s">
        <v>94</v>
      </c>
      <c r="F748" t="s">
        <v>112</v>
      </c>
      <c r="G748" t="s">
        <v>121</v>
      </c>
      <c r="H748" t="s">
        <v>248</v>
      </c>
      <c r="J748">
        <v>0</v>
      </c>
      <c r="K748">
        <v>2</v>
      </c>
      <c r="L748">
        <v>65.09375</v>
      </c>
      <c r="M748">
        <v>37.895352600000002</v>
      </c>
      <c r="N748">
        <v>2.2882677779999998</v>
      </c>
      <c r="O748">
        <v>83.92307692</v>
      </c>
      <c r="P748">
        <v>44.319135699999997</v>
      </c>
      <c r="Q748">
        <v>5.9548609999999997E-3</v>
      </c>
      <c r="R748" t="s">
        <v>1016</v>
      </c>
      <c r="S748">
        <v>-6.4237830999999943</v>
      </c>
    </row>
    <row r="749" spans="1:19" x14ac:dyDescent="0.25">
      <c r="A749" t="s">
        <v>68</v>
      </c>
      <c r="B749" t="s">
        <v>823</v>
      </c>
      <c r="C749">
        <v>10</v>
      </c>
      <c r="D749" t="s">
        <v>15</v>
      </c>
      <c r="E749" t="s">
        <v>95</v>
      </c>
      <c r="F749" t="s">
        <v>113</v>
      </c>
      <c r="G749" t="s">
        <v>121</v>
      </c>
      <c r="H749" t="s">
        <v>113</v>
      </c>
      <c r="J749">
        <v>0</v>
      </c>
      <c r="K749">
        <v>1</v>
      </c>
      <c r="L749">
        <v>83.757575759999995</v>
      </c>
      <c r="M749">
        <v>22.60997987</v>
      </c>
      <c r="N749">
        <v>0.72884000000000004</v>
      </c>
      <c r="O749">
        <v>83.757575759999995</v>
      </c>
      <c r="P749">
        <v>22.60997987</v>
      </c>
      <c r="Q749">
        <v>0.72884000000000004</v>
      </c>
      <c r="R749" t="s">
        <v>1016</v>
      </c>
      <c r="S749">
        <v>0</v>
      </c>
    </row>
    <row r="750" spans="1:19" x14ac:dyDescent="0.25">
      <c r="A750" t="s">
        <v>68</v>
      </c>
      <c r="B750" t="s">
        <v>824</v>
      </c>
      <c r="C750">
        <v>10</v>
      </c>
      <c r="D750" t="s">
        <v>15</v>
      </c>
      <c r="E750" t="s">
        <v>95</v>
      </c>
      <c r="F750" t="s">
        <v>110</v>
      </c>
      <c r="G750" t="s">
        <v>113</v>
      </c>
      <c r="H750" t="s">
        <v>113</v>
      </c>
      <c r="J750">
        <v>0</v>
      </c>
      <c r="K750">
        <v>2</v>
      </c>
      <c r="L750">
        <v>73.260869569999997</v>
      </c>
      <c r="M750">
        <v>34.453830549999999</v>
      </c>
      <c r="N750">
        <v>1.058333333</v>
      </c>
      <c r="O750">
        <v>83.757575759999995</v>
      </c>
      <c r="P750">
        <v>22.60997987</v>
      </c>
      <c r="Q750">
        <v>0.72884000000000004</v>
      </c>
      <c r="R750" t="s">
        <v>1016</v>
      </c>
      <c r="S750">
        <v>11.843850679999999</v>
      </c>
    </row>
    <row r="751" spans="1:19" x14ac:dyDescent="0.25">
      <c r="A751" t="s">
        <v>68</v>
      </c>
      <c r="B751" t="s">
        <v>825</v>
      </c>
      <c r="C751">
        <v>10</v>
      </c>
      <c r="D751" t="s">
        <v>15</v>
      </c>
      <c r="E751" t="s">
        <v>95</v>
      </c>
      <c r="F751" t="s">
        <v>111</v>
      </c>
      <c r="G751" t="s">
        <v>121</v>
      </c>
      <c r="H751" t="s">
        <v>239</v>
      </c>
      <c r="J751">
        <v>0</v>
      </c>
      <c r="K751">
        <v>1</v>
      </c>
      <c r="L751">
        <v>94.97142857</v>
      </c>
      <c r="M751">
        <v>24.31591813</v>
      </c>
      <c r="N751">
        <v>0.122951111</v>
      </c>
      <c r="O751">
        <v>100.45454549999999</v>
      </c>
      <c r="P751">
        <v>26.754810689999999</v>
      </c>
      <c r="Q751">
        <v>0.75829999999999997</v>
      </c>
      <c r="R751" t="s">
        <v>1016</v>
      </c>
      <c r="S751">
        <v>-2.4388925599999993</v>
      </c>
    </row>
    <row r="752" spans="1:19" x14ac:dyDescent="0.25">
      <c r="A752" t="s">
        <v>68</v>
      </c>
      <c r="B752" t="s">
        <v>826</v>
      </c>
      <c r="C752">
        <v>10</v>
      </c>
      <c r="D752" t="s">
        <v>15</v>
      </c>
      <c r="E752" t="s">
        <v>95</v>
      </c>
      <c r="F752" t="s">
        <v>104</v>
      </c>
      <c r="G752" t="s">
        <v>121</v>
      </c>
      <c r="H752" t="s">
        <v>114</v>
      </c>
      <c r="I752" t="s">
        <v>161</v>
      </c>
      <c r="J752">
        <v>1</v>
      </c>
      <c r="K752">
        <v>0</v>
      </c>
      <c r="L752">
        <v>113.9375</v>
      </c>
      <c r="M752">
        <v>33.375507550000002</v>
      </c>
      <c r="N752">
        <v>2.4262999999999999</v>
      </c>
      <c r="O752" t="s">
        <v>114</v>
      </c>
      <c r="P752" t="s">
        <v>114</v>
      </c>
      <c r="Q752" t="s">
        <v>114</v>
      </c>
      <c r="R752" t="s">
        <v>1016</v>
      </c>
      <c r="S752" t="s">
        <v>114</v>
      </c>
    </row>
    <row r="753" spans="1:19" x14ac:dyDescent="0.25">
      <c r="A753" t="s">
        <v>69</v>
      </c>
      <c r="B753" t="s">
        <v>827</v>
      </c>
      <c r="C753">
        <v>10</v>
      </c>
      <c r="D753" t="s">
        <v>17</v>
      </c>
      <c r="E753" t="s">
        <v>95</v>
      </c>
      <c r="F753" t="s">
        <v>102</v>
      </c>
      <c r="G753" t="s">
        <v>102</v>
      </c>
      <c r="H753" t="s">
        <v>102</v>
      </c>
      <c r="J753">
        <v>0</v>
      </c>
      <c r="K753">
        <v>1</v>
      </c>
      <c r="L753">
        <v>84.740740740000007</v>
      </c>
      <c r="M753">
        <v>29.167014049999999</v>
      </c>
      <c r="N753">
        <v>1.1169849999999999</v>
      </c>
      <c r="O753">
        <v>84.740740740000007</v>
      </c>
      <c r="P753">
        <v>29.167014049999999</v>
      </c>
      <c r="Q753">
        <v>1.1169849999999999</v>
      </c>
      <c r="R753" t="s">
        <v>1016</v>
      </c>
      <c r="S753">
        <v>0</v>
      </c>
    </row>
    <row r="754" spans="1:19" x14ac:dyDescent="0.25">
      <c r="A754" t="s">
        <v>69</v>
      </c>
      <c r="B754" t="s">
        <v>827</v>
      </c>
      <c r="C754">
        <v>10</v>
      </c>
      <c r="D754" t="s">
        <v>17</v>
      </c>
      <c r="E754" t="s">
        <v>95</v>
      </c>
      <c r="F754" t="s">
        <v>102</v>
      </c>
      <c r="G754" t="s">
        <v>102</v>
      </c>
      <c r="H754" t="s">
        <v>235</v>
      </c>
      <c r="J754">
        <v>0</v>
      </c>
      <c r="K754">
        <v>2</v>
      </c>
      <c r="L754">
        <v>84.740740740000007</v>
      </c>
      <c r="M754">
        <v>29.167014049999999</v>
      </c>
      <c r="N754">
        <v>1.1169849999999999</v>
      </c>
      <c r="O754">
        <v>132.27272730000001</v>
      </c>
      <c r="P754">
        <v>20.180448590000001</v>
      </c>
      <c r="Q754">
        <v>3.7813451999999997E-2</v>
      </c>
      <c r="R754" t="s">
        <v>1016</v>
      </c>
      <c r="S754">
        <v>8.9865654599999978</v>
      </c>
    </row>
    <row r="755" spans="1:19" x14ac:dyDescent="0.25">
      <c r="A755" t="s">
        <v>69</v>
      </c>
      <c r="B755" t="s">
        <v>828</v>
      </c>
      <c r="C755">
        <v>10</v>
      </c>
      <c r="D755" t="s">
        <v>17</v>
      </c>
      <c r="E755" t="s">
        <v>95</v>
      </c>
      <c r="F755" t="s">
        <v>113</v>
      </c>
      <c r="G755" t="s">
        <v>113</v>
      </c>
      <c r="H755" t="s">
        <v>113</v>
      </c>
      <c r="J755">
        <v>0</v>
      </c>
      <c r="K755">
        <v>1</v>
      </c>
      <c r="L755">
        <v>83.757575759999995</v>
      </c>
      <c r="M755">
        <v>22.60997987</v>
      </c>
      <c r="N755">
        <v>0.72884000000000004</v>
      </c>
      <c r="O755">
        <v>83.757575759999995</v>
      </c>
      <c r="P755">
        <v>22.60997987</v>
      </c>
      <c r="Q755">
        <v>0.72884000000000004</v>
      </c>
      <c r="R755" t="s">
        <v>1016</v>
      </c>
      <c r="S755">
        <v>0</v>
      </c>
    </row>
    <row r="756" spans="1:19" x14ac:dyDescent="0.25">
      <c r="A756" t="s">
        <v>69</v>
      </c>
      <c r="B756" t="s">
        <v>828</v>
      </c>
      <c r="C756">
        <v>10</v>
      </c>
      <c r="D756" t="s">
        <v>17</v>
      </c>
      <c r="E756" t="s">
        <v>95</v>
      </c>
      <c r="F756" t="s">
        <v>113</v>
      </c>
      <c r="G756" t="s">
        <v>113</v>
      </c>
      <c r="H756" t="s">
        <v>235</v>
      </c>
      <c r="J756">
        <v>0</v>
      </c>
      <c r="K756">
        <v>2</v>
      </c>
      <c r="L756">
        <v>83.757575759999995</v>
      </c>
      <c r="M756">
        <v>22.60997987</v>
      </c>
      <c r="N756">
        <v>0.72884000000000004</v>
      </c>
      <c r="O756">
        <v>132.27272730000001</v>
      </c>
      <c r="P756">
        <v>20.180448590000001</v>
      </c>
      <c r="Q756">
        <v>3.7813451999999997E-2</v>
      </c>
      <c r="R756" t="s">
        <v>1016</v>
      </c>
      <c r="S756">
        <v>2.4295312799999991</v>
      </c>
    </row>
    <row r="757" spans="1:19" x14ac:dyDescent="0.25">
      <c r="A757" t="s">
        <v>69</v>
      </c>
      <c r="B757" t="s">
        <v>829</v>
      </c>
      <c r="C757">
        <v>10</v>
      </c>
      <c r="D757" t="s">
        <v>17</v>
      </c>
      <c r="E757" t="s">
        <v>95</v>
      </c>
      <c r="F757" t="s">
        <v>103</v>
      </c>
      <c r="G757" t="s">
        <v>103</v>
      </c>
      <c r="H757" t="s">
        <v>103</v>
      </c>
      <c r="J757">
        <v>0</v>
      </c>
      <c r="K757">
        <v>1</v>
      </c>
      <c r="L757">
        <v>98.291666669999998</v>
      </c>
      <c r="M757">
        <v>30.315130790000001</v>
      </c>
      <c r="N757">
        <v>5.0803484000000003E-2</v>
      </c>
      <c r="O757">
        <v>98.291666669999998</v>
      </c>
      <c r="P757">
        <v>30.315130790000001</v>
      </c>
      <c r="Q757">
        <v>5.0803484000000003E-2</v>
      </c>
      <c r="R757" t="s">
        <v>1016</v>
      </c>
      <c r="S757">
        <v>0</v>
      </c>
    </row>
    <row r="758" spans="1:19" x14ac:dyDescent="0.25">
      <c r="A758" t="s">
        <v>69</v>
      </c>
      <c r="B758" t="s">
        <v>829</v>
      </c>
      <c r="C758">
        <v>10</v>
      </c>
      <c r="D758" t="s">
        <v>17</v>
      </c>
      <c r="E758" t="s">
        <v>95</v>
      </c>
      <c r="F758" t="s">
        <v>103</v>
      </c>
      <c r="G758" t="s">
        <v>103</v>
      </c>
      <c r="H758" t="s">
        <v>241</v>
      </c>
      <c r="J758">
        <v>0</v>
      </c>
      <c r="K758">
        <v>1</v>
      </c>
      <c r="L758">
        <v>98.291666669999998</v>
      </c>
      <c r="M758">
        <v>30.315130790000001</v>
      </c>
      <c r="N758">
        <v>5.0803484000000003E-2</v>
      </c>
      <c r="O758">
        <v>114</v>
      </c>
      <c r="P758">
        <v>30.43077242</v>
      </c>
      <c r="Q758">
        <v>0.53383111100000002</v>
      </c>
      <c r="R758" t="s">
        <v>1016</v>
      </c>
      <c r="S758">
        <v>-0.11564162999999894</v>
      </c>
    </row>
    <row r="759" spans="1:19" x14ac:dyDescent="0.25">
      <c r="A759" t="s">
        <v>69</v>
      </c>
      <c r="B759" t="s">
        <v>829</v>
      </c>
      <c r="C759">
        <v>10</v>
      </c>
      <c r="D759" t="s">
        <v>17</v>
      </c>
      <c r="E759" t="s">
        <v>95</v>
      </c>
      <c r="F759" t="s">
        <v>103</v>
      </c>
      <c r="G759" t="s">
        <v>103</v>
      </c>
      <c r="H759" t="s">
        <v>235</v>
      </c>
      <c r="J759">
        <v>0</v>
      </c>
      <c r="K759">
        <v>1</v>
      </c>
      <c r="L759">
        <v>98.291666669999998</v>
      </c>
      <c r="M759">
        <v>30.315130790000001</v>
      </c>
      <c r="N759">
        <v>5.0803484000000003E-2</v>
      </c>
      <c r="O759">
        <v>132.27272730000001</v>
      </c>
      <c r="P759">
        <v>20.180448590000001</v>
      </c>
      <c r="Q759">
        <v>3.7813451999999997E-2</v>
      </c>
      <c r="R759" t="s">
        <v>1016</v>
      </c>
      <c r="S759">
        <v>10.1346822</v>
      </c>
    </row>
    <row r="760" spans="1:19" x14ac:dyDescent="0.25">
      <c r="A760" t="s">
        <v>69</v>
      </c>
      <c r="B760" t="s">
        <v>830</v>
      </c>
      <c r="C760">
        <v>10</v>
      </c>
      <c r="D760" t="s">
        <v>17</v>
      </c>
      <c r="E760" t="s">
        <v>95</v>
      </c>
      <c r="F760" t="s">
        <v>111</v>
      </c>
      <c r="G760" t="s">
        <v>121</v>
      </c>
      <c r="H760" t="s">
        <v>235</v>
      </c>
      <c r="J760">
        <v>0</v>
      </c>
      <c r="K760">
        <v>3</v>
      </c>
      <c r="L760">
        <v>94.97142857</v>
      </c>
      <c r="M760">
        <v>24.31591813</v>
      </c>
      <c r="N760">
        <v>0.122951111</v>
      </c>
      <c r="O760">
        <v>132.27272730000001</v>
      </c>
      <c r="P760">
        <v>20.180448590000001</v>
      </c>
      <c r="Q760">
        <v>3.7813451999999997E-2</v>
      </c>
      <c r="R760" t="s">
        <v>1016</v>
      </c>
      <c r="S760">
        <v>4.135469539999999</v>
      </c>
    </row>
    <row r="761" spans="1:19" x14ac:dyDescent="0.25">
      <c r="A761" t="s">
        <v>69</v>
      </c>
      <c r="B761" t="s">
        <v>831</v>
      </c>
      <c r="C761">
        <v>10</v>
      </c>
      <c r="D761" t="s">
        <v>17</v>
      </c>
      <c r="E761" t="s">
        <v>95</v>
      </c>
      <c r="F761" t="s">
        <v>112</v>
      </c>
      <c r="G761" t="s">
        <v>121</v>
      </c>
      <c r="H761" t="s">
        <v>235</v>
      </c>
      <c r="I761" t="s">
        <v>252</v>
      </c>
      <c r="J761">
        <v>1</v>
      </c>
      <c r="K761">
        <v>2</v>
      </c>
      <c r="L761">
        <v>65.09375</v>
      </c>
      <c r="M761">
        <v>37.895352600000002</v>
      </c>
      <c r="N761">
        <v>2.2882677779999998</v>
      </c>
      <c r="O761">
        <v>132.27272730000001</v>
      </c>
      <c r="P761">
        <v>20.180448590000001</v>
      </c>
      <c r="Q761">
        <v>3.7813451999999997E-2</v>
      </c>
      <c r="R761" t="s">
        <v>1016</v>
      </c>
      <c r="S761">
        <v>17.714904010000001</v>
      </c>
    </row>
    <row r="762" spans="1:19" x14ac:dyDescent="0.25">
      <c r="A762" t="s">
        <v>70</v>
      </c>
      <c r="B762" t="s">
        <v>832</v>
      </c>
      <c r="C762">
        <v>10</v>
      </c>
      <c r="D762" t="s">
        <v>19</v>
      </c>
      <c r="E762" t="s">
        <v>95</v>
      </c>
      <c r="F762" t="s">
        <v>102</v>
      </c>
      <c r="G762" t="s">
        <v>121</v>
      </c>
      <c r="H762" t="s">
        <v>102</v>
      </c>
      <c r="J762">
        <v>0</v>
      </c>
      <c r="K762">
        <v>1</v>
      </c>
      <c r="L762">
        <v>84.740740740000007</v>
      </c>
      <c r="M762">
        <v>29.167014049999999</v>
      </c>
      <c r="N762">
        <v>1.1169849999999999</v>
      </c>
      <c r="O762">
        <v>84.740740740000007</v>
      </c>
      <c r="P762">
        <v>29.167014049999999</v>
      </c>
      <c r="Q762">
        <v>1.1169849999999999</v>
      </c>
      <c r="R762" t="s">
        <v>1016</v>
      </c>
      <c r="S762">
        <v>0</v>
      </c>
    </row>
    <row r="763" spans="1:19" x14ac:dyDescent="0.25">
      <c r="A763" t="s">
        <v>70</v>
      </c>
      <c r="B763" t="s">
        <v>832</v>
      </c>
      <c r="C763">
        <v>10</v>
      </c>
      <c r="D763" t="s">
        <v>19</v>
      </c>
      <c r="E763" t="s">
        <v>95</v>
      </c>
      <c r="F763" t="s">
        <v>102</v>
      </c>
      <c r="G763" t="s">
        <v>121</v>
      </c>
      <c r="H763" t="s">
        <v>236</v>
      </c>
      <c r="J763">
        <v>0</v>
      </c>
      <c r="K763">
        <v>1</v>
      </c>
      <c r="L763">
        <v>84.740740740000007</v>
      </c>
      <c r="M763">
        <v>29.167014049999999</v>
      </c>
      <c r="N763">
        <v>1.1169849999999999</v>
      </c>
      <c r="O763">
        <v>113.33333330000001</v>
      </c>
      <c r="P763">
        <v>26.41632581</v>
      </c>
      <c r="Q763">
        <v>1.6844570160000001</v>
      </c>
      <c r="R763" t="s">
        <v>1016</v>
      </c>
      <c r="S763">
        <v>2.7506882399999988</v>
      </c>
    </row>
    <row r="764" spans="1:19" x14ac:dyDescent="0.25">
      <c r="A764" t="s">
        <v>70</v>
      </c>
      <c r="B764" t="s">
        <v>833</v>
      </c>
      <c r="C764">
        <v>10</v>
      </c>
      <c r="D764" t="s">
        <v>19</v>
      </c>
      <c r="E764" t="s">
        <v>95</v>
      </c>
      <c r="F764" t="s">
        <v>105</v>
      </c>
      <c r="G764" t="s">
        <v>121</v>
      </c>
      <c r="H764" t="s">
        <v>235</v>
      </c>
      <c r="J764">
        <v>0</v>
      </c>
      <c r="K764">
        <v>1</v>
      </c>
      <c r="L764">
        <v>67.5</v>
      </c>
      <c r="M764">
        <v>47.937235809999997</v>
      </c>
      <c r="N764">
        <v>0.41599678000000001</v>
      </c>
      <c r="O764">
        <v>132.27272730000001</v>
      </c>
      <c r="P764">
        <v>20.180448590000001</v>
      </c>
      <c r="Q764">
        <v>3.7813451999999997E-2</v>
      </c>
      <c r="R764" t="s">
        <v>1016</v>
      </c>
      <c r="S764">
        <v>27.75678722</v>
      </c>
    </row>
    <row r="765" spans="1:19" x14ac:dyDescent="0.25">
      <c r="A765" t="s">
        <v>70</v>
      </c>
      <c r="B765" t="s">
        <v>833</v>
      </c>
      <c r="C765">
        <v>10</v>
      </c>
      <c r="D765" t="s">
        <v>19</v>
      </c>
      <c r="E765" t="s">
        <v>95</v>
      </c>
      <c r="F765" t="s">
        <v>105</v>
      </c>
      <c r="G765" t="s">
        <v>121</v>
      </c>
      <c r="H765" t="s">
        <v>236</v>
      </c>
      <c r="J765">
        <v>0</v>
      </c>
      <c r="K765">
        <v>2</v>
      </c>
      <c r="L765">
        <v>67.5</v>
      </c>
      <c r="M765">
        <v>47.937235809999997</v>
      </c>
      <c r="N765">
        <v>0.41599678000000001</v>
      </c>
      <c r="O765">
        <v>113.33333330000001</v>
      </c>
      <c r="P765">
        <v>26.41632581</v>
      </c>
      <c r="Q765">
        <v>1.6844570160000001</v>
      </c>
      <c r="R765" t="s">
        <v>1016</v>
      </c>
      <c r="S765">
        <v>21.520909999999997</v>
      </c>
    </row>
    <row r="766" spans="1:19" x14ac:dyDescent="0.25">
      <c r="A766" t="s">
        <v>70</v>
      </c>
      <c r="B766" t="s">
        <v>833</v>
      </c>
      <c r="C766">
        <v>10</v>
      </c>
      <c r="D766" t="s">
        <v>19</v>
      </c>
      <c r="E766" t="s">
        <v>95</v>
      </c>
      <c r="F766" t="s">
        <v>105</v>
      </c>
      <c r="G766" t="s">
        <v>121</v>
      </c>
      <c r="H766" t="s">
        <v>162</v>
      </c>
      <c r="J766">
        <v>0</v>
      </c>
      <c r="K766">
        <v>1</v>
      </c>
      <c r="L766">
        <v>67.5</v>
      </c>
      <c r="M766">
        <v>47.937235809999997</v>
      </c>
      <c r="N766">
        <v>0.41599678000000001</v>
      </c>
      <c r="O766">
        <v>82.53846154</v>
      </c>
      <c r="P766">
        <v>35.660530039999998</v>
      </c>
      <c r="Q766">
        <v>3.3754499999999998</v>
      </c>
      <c r="R766" t="s">
        <v>1016</v>
      </c>
      <c r="S766">
        <v>12.27670577</v>
      </c>
    </row>
    <row r="767" spans="1:19" x14ac:dyDescent="0.25">
      <c r="A767" t="s">
        <v>70</v>
      </c>
      <c r="B767" t="s">
        <v>834</v>
      </c>
      <c r="C767">
        <v>10</v>
      </c>
      <c r="D767" t="s">
        <v>19</v>
      </c>
      <c r="E767" t="s">
        <v>95</v>
      </c>
      <c r="F767" t="s">
        <v>111</v>
      </c>
      <c r="G767" t="s">
        <v>121</v>
      </c>
      <c r="H767" t="s">
        <v>235</v>
      </c>
      <c r="J767">
        <v>0</v>
      </c>
      <c r="K767">
        <v>1</v>
      </c>
      <c r="L767">
        <v>94.97142857</v>
      </c>
      <c r="M767">
        <v>24.31591813</v>
      </c>
      <c r="N767">
        <v>0.122951111</v>
      </c>
      <c r="O767">
        <v>132.27272730000001</v>
      </c>
      <c r="P767">
        <v>20.180448590000001</v>
      </c>
      <c r="Q767">
        <v>3.7813451999999997E-2</v>
      </c>
      <c r="R767" t="s">
        <v>1016</v>
      </c>
      <c r="S767">
        <v>4.135469539999999</v>
      </c>
    </row>
    <row r="768" spans="1:19" x14ac:dyDescent="0.25">
      <c r="A768" t="s">
        <v>71</v>
      </c>
      <c r="B768" t="s">
        <v>835</v>
      </c>
      <c r="C768">
        <v>10</v>
      </c>
      <c r="D768" t="s">
        <v>21</v>
      </c>
      <c r="E768" t="s">
        <v>94</v>
      </c>
      <c r="F768" t="s">
        <v>102</v>
      </c>
      <c r="G768" t="s">
        <v>121</v>
      </c>
      <c r="H768" t="s">
        <v>114</v>
      </c>
      <c r="J768">
        <v>0</v>
      </c>
      <c r="K768" t="s">
        <v>114</v>
      </c>
      <c r="L768">
        <v>84.740740740000007</v>
      </c>
      <c r="M768">
        <v>29.167014049999999</v>
      </c>
      <c r="N768">
        <v>1.1169849999999999</v>
      </c>
      <c r="O768" t="s">
        <v>114</v>
      </c>
      <c r="P768" t="s">
        <v>114</v>
      </c>
      <c r="Q768" t="s">
        <v>114</v>
      </c>
      <c r="R768" t="s">
        <v>1016</v>
      </c>
      <c r="S768" t="s">
        <v>114</v>
      </c>
    </row>
    <row r="769" spans="1:19" x14ac:dyDescent="0.25">
      <c r="A769" t="s">
        <v>71</v>
      </c>
      <c r="B769" t="s">
        <v>836</v>
      </c>
      <c r="C769">
        <v>10</v>
      </c>
      <c r="D769" t="s">
        <v>21</v>
      </c>
      <c r="E769" t="s">
        <v>94</v>
      </c>
      <c r="F769" t="s">
        <v>111</v>
      </c>
      <c r="G769" t="s">
        <v>111</v>
      </c>
      <c r="H769" t="s">
        <v>111</v>
      </c>
      <c r="J769">
        <v>0</v>
      </c>
      <c r="K769">
        <v>1</v>
      </c>
      <c r="L769">
        <v>94.97142857</v>
      </c>
      <c r="M769">
        <v>24.31591813</v>
      </c>
      <c r="N769">
        <v>0.122951111</v>
      </c>
      <c r="O769">
        <v>94.97142857</v>
      </c>
      <c r="P769">
        <v>24.31591813</v>
      </c>
      <c r="Q769">
        <v>0.122951111</v>
      </c>
      <c r="R769" t="s">
        <v>1016</v>
      </c>
      <c r="S769">
        <v>0</v>
      </c>
    </row>
    <row r="770" spans="1:19" x14ac:dyDescent="0.25">
      <c r="A770" t="s">
        <v>71</v>
      </c>
      <c r="B770" t="s">
        <v>836</v>
      </c>
      <c r="C770">
        <v>10</v>
      </c>
      <c r="D770" t="s">
        <v>21</v>
      </c>
      <c r="E770" t="s">
        <v>94</v>
      </c>
      <c r="F770" t="s">
        <v>111</v>
      </c>
      <c r="G770" t="s">
        <v>111</v>
      </c>
      <c r="H770" t="s">
        <v>250</v>
      </c>
      <c r="J770">
        <v>0</v>
      </c>
      <c r="K770">
        <v>1</v>
      </c>
      <c r="L770">
        <v>94.97142857</v>
      </c>
      <c r="M770">
        <v>24.31591813</v>
      </c>
      <c r="N770">
        <v>0.122951111</v>
      </c>
      <c r="O770">
        <v>157.14285709999999</v>
      </c>
      <c r="P770">
        <v>28.969081320000001</v>
      </c>
      <c r="Q770">
        <v>0.55164111100000002</v>
      </c>
      <c r="R770" t="s">
        <v>1016</v>
      </c>
      <c r="S770">
        <v>-4.6531631900000008</v>
      </c>
    </row>
    <row r="771" spans="1:19" x14ac:dyDescent="0.25">
      <c r="A771" t="s">
        <v>71</v>
      </c>
      <c r="B771" t="s">
        <v>837</v>
      </c>
      <c r="C771">
        <v>10</v>
      </c>
      <c r="D771" t="s">
        <v>21</v>
      </c>
      <c r="E771" t="s">
        <v>94</v>
      </c>
      <c r="F771" t="s">
        <v>104</v>
      </c>
      <c r="G771" t="s">
        <v>104</v>
      </c>
      <c r="H771" t="s">
        <v>104</v>
      </c>
      <c r="J771">
        <v>0</v>
      </c>
      <c r="K771">
        <v>1</v>
      </c>
      <c r="L771">
        <v>113.9375</v>
      </c>
      <c r="M771">
        <v>33.375507550000002</v>
      </c>
      <c r="N771">
        <v>2.4262999999999999</v>
      </c>
      <c r="O771">
        <v>113.9375</v>
      </c>
      <c r="P771">
        <v>33.375507550000002</v>
      </c>
      <c r="Q771">
        <v>2.4262999999999999</v>
      </c>
      <c r="R771" t="s">
        <v>1016</v>
      </c>
      <c r="S771">
        <v>0</v>
      </c>
    </row>
    <row r="772" spans="1:19" x14ac:dyDescent="0.25">
      <c r="A772" t="s">
        <v>72</v>
      </c>
      <c r="B772" t="s">
        <v>838</v>
      </c>
      <c r="C772">
        <v>10</v>
      </c>
      <c r="D772" t="s">
        <v>23</v>
      </c>
      <c r="E772" t="s">
        <v>95</v>
      </c>
      <c r="F772" t="s">
        <v>105</v>
      </c>
      <c r="G772" t="s">
        <v>121</v>
      </c>
      <c r="H772" t="s">
        <v>238</v>
      </c>
      <c r="J772">
        <v>0</v>
      </c>
      <c r="K772">
        <v>1</v>
      </c>
      <c r="L772">
        <v>67.5</v>
      </c>
      <c r="M772">
        <v>47.937235809999997</v>
      </c>
      <c r="N772">
        <v>0.41599678000000001</v>
      </c>
      <c r="O772">
        <v>87.5</v>
      </c>
      <c r="P772">
        <v>29.478311600000001</v>
      </c>
      <c r="Q772">
        <v>3.0797751000000002E-2</v>
      </c>
      <c r="R772" t="s">
        <v>1016</v>
      </c>
      <c r="S772">
        <v>18.458924209999996</v>
      </c>
    </row>
    <row r="773" spans="1:19" x14ac:dyDescent="0.25">
      <c r="A773" t="s">
        <v>72</v>
      </c>
      <c r="B773" t="s">
        <v>839</v>
      </c>
      <c r="C773">
        <v>10</v>
      </c>
      <c r="D773" t="s">
        <v>23</v>
      </c>
      <c r="E773" t="s">
        <v>95</v>
      </c>
      <c r="F773" t="s">
        <v>111</v>
      </c>
      <c r="G773" t="s">
        <v>121</v>
      </c>
      <c r="H773" t="s">
        <v>114</v>
      </c>
      <c r="J773">
        <v>0</v>
      </c>
      <c r="K773">
        <v>0</v>
      </c>
      <c r="L773">
        <v>94.97142857</v>
      </c>
      <c r="M773">
        <v>24.31591813</v>
      </c>
      <c r="N773">
        <v>0.122951111</v>
      </c>
      <c r="O773" t="s">
        <v>114</v>
      </c>
      <c r="P773" t="s">
        <v>114</v>
      </c>
      <c r="Q773" t="s">
        <v>114</v>
      </c>
      <c r="R773" t="s">
        <v>1016</v>
      </c>
      <c r="S773" t="s">
        <v>114</v>
      </c>
    </row>
    <row r="774" spans="1:19" x14ac:dyDescent="0.25">
      <c r="A774" t="s">
        <v>72</v>
      </c>
      <c r="B774" t="s">
        <v>840</v>
      </c>
      <c r="C774">
        <v>10</v>
      </c>
      <c r="D774" t="s">
        <v>23</v>
      </c>
      <c r="E774" t="s">
        <v>95</v>
      </c>
      <c r="F774" t="s">
        <v>104</v>
      </c>
      <c r="G774" t="s">
        <v>104</v>
      </c>
      <c r="H774" t="s">
        <v>104</v>
      </c>
      <c r="J774">
        <v>0</v>
      </c>
      <c r="K774">
        <v>1</v>
      </c>
      <c r="L774">
        <v>113.9375</v>
      </c>
      <c r="M774">
        <v>33.375507550000002</v>
      </c>
      <c r="N774">
        <v>2.4262999999999999</v>
      </c>
      <c r="O774">
        <v>113.9375</v>
      </c>
      <c r="P774">
        <v>33.375507550000002</v>
      </c>
      <c r="Q774">
        <v>2.4262999999999999</v>
      </c>
      <c r="R774" t="s">
        <v>1016</v>
      </c>
      <c r="S774">
        <v>0</v>
      </c>
    </row>
    <row r="775" spans="1:19" x14ac:dyDescent="0.25">
      <c r="A775" t="s">
        <v>72</v>
      </c>
      <c r="B775" t="s">
        <v>840</v>
      </c>
      <c r="C775">
        <v>10</v>
      </c>
      <c r="D775" t="s">
        <v>23</v>
      </c>
      <c r="E775" t="s">
        <v>95</v>
      </c>
      <c r="F775" t="s">
        <v>104</v>
      </c>
      <c r="G775" t="s">
        <v>104</v>
      </c>
      <c r="H775" t="s">
        <v>244</v>
      </c>
      <c r="J775">
        <v>0</v>
      </c>
      <c r="K775">
        <v>1</v>
      </c>
      <c r="L775">
        <v>113.9375</v>
      </c>
      <c r="M775">
        <v>33.375507550000002</v>
      </c>
      <c r="N775">
        <v>2.4262999999999999</v>
      </c>
      <c r="O775">
        <v>75</v>
      </c>
      <c r="P775">
        <v>28.80614499</v>
      </c>
      <c r="Q775">
        <v>2.3860428570000001</v>
      </c>
      <c r="R775" t="s">
        <v>1016</v>
      </c>
      <c r="S775">
        <v>4.5693625600000018</v>
      </c>
    </row>
    <row r="776" spans="1:19" x14ac:dyDescent="0.25">
      <c r="A776" t="s">
        <v>72</v>
      </c>
      <c r="B776" t="s">
        <v>841</v>
      </c>
      <c r="C776">
        <v>10</v>
      </c>
      <c r="D776" t="s">
        <v>23</v>
      </c>
      <c r="E776" t="s">
        <v>95</v>
      </c>
      <c r="F776" t="s">
        <v>112</v>
      </c>
      <c r="G776" t="s">
        <v>121</v>
      </c>
      <c r="H776" t="s">
        <v>238</v>
      </c>
      <c r="J776">
        <v>0</v>
      </c>
      <c r="K776">
        <v>1</v>
      </c>
      <c r="L776">
        <v>65.09375</v>
      </c>
      <c r="M776">
        <v>37.895352600000002</v>
      </c>
      <c r="N776">
        <v>2.2882677779999998</v>
      </c>
      <c r="O776">
        <v>87.5</v>
      </c>
      <c r="P776">
        <v>29.478311600000001</v>
      </c>
      <c r="Q776">
        <v>3.0797751000000002E-2</v>
      </c>
      <c r="R776" t="s">
        <v>1016</v>
      </c>
      <c r="S776">
        <v>8.4170410000000011</v>
      </c>
    </row>
    <row r="777" spans="1:19" x14ac:dyDescent="0.25">
      <c r="A777" t="s">
        <v>73</v>
      </c>
      <c r="B777" t="s">
        <v>842</v>
      </c>
      <c r="C777">
        <v>10</v>
      </c>
      <c r="D777" t="s">
        <v>25</v>
      </c>
      <c r="E777" t="s">
        <v>94</v>
      </c>
      <c r="F777" t="s">
        <v>105</v>
      </c>
      <c r="G777" t="s">
        <v>112</v>
      </c>
      <c r="H777" t="s">
        <v>112</v>
      </c>
      <c r="J777">
        <v>0</v>
      </c>
      <c r="K777">
        <v>1</v>
      </c>
      <c r="L777">
        <v>67.5</v>
      </c>
      <c r="M777">
        <v>47.937235809999997</v>
      </c>
      <c r="N777">
        <v>0.41599678000000001</v>
      </c>
      <c r="O777">
        <v>65.09375</v>
      </c>
      <c r="P777">
        <v>37.895352600000002</v>
      </c>
      <c r="Q777">
        <v>2.2882677779999998</v>
      </c>
      <c r="R777" t="s">
        <v>1016</v>
      </c>
      <c r="S777">
        <v>10.041883209999995</v>
      </c>
    </row>
    <row r="778" spans="1:19" x14ac:dyDescent="0.25">
      <c r="A778" t="s">
        <v>73</v>
      </c>
      <c r="B778" t="s">
        <v>843</v>
      </c>
      <c r="C778">
        <v>10</v>
      </c>
      <c r="D778" t="s">
        <v>25</v>
      </c>
      <c r="E778" t="s">
        <v>94</v>
      </c>
      <c r="F778" t="s">
        <v>110</v>
      </c>
      <c r="G778" t="s">
        <v>110</v>
      </c>
      <c r="H778" t="s">
        <v>110</v>
      </c>
      <c r="J778">
        <v>0</v>
      </c>
      <c r="K778">
        <v>3</v>
      </c>
      <c r="L778">
        <v>73.260869569999997</v>
      </c>
      <c r="M778">
        <v>34.453830549999999</v>
      </c>
      <c r="N778">
        <v>1.058333333</v>
      </c>
      <c r="O778">
        <v>73.260869569999997</v>
      </c>
      <c r="P778">
        <v>34.453830549999999</v>
      </c>
      <c r="Q778">
        <v>1.058333333</v>
      </c>
      <c r="R778" t="s">
        <v>1016</v>
      </c>
      <c r="S778">
        <v>0</v>
      </c>
    </row>
    <row r="779" spans="1:19" x14ac:dyDescent="0.25">
      <c r="A779" t="s">
        <v>73</v>
      </c>
      <c r="B779" t="s">
        <v>843</v>
      </c>
      <c r="C779">
        <v>10</v>
      </c>
      <c r="D779" t="s">
        <v>25</v>
      </c>
      <c r="E779" t="s">
        <v>94</v>
      </c>
      <c r="F779" t="s">
        <v>110</v>
      </c>
      <c r="G779" t="s">
        <v>110</v>
      </c>
      <c r="H779" t="s">
        <v>251</v>
      </c>
      <c r="J779">
        <v>0</v>
      </c>
      <c r="K779">
        <v>1</v>
      </c>
      <c r="L779">
        <v>73.260869569999997</v>
      </c>
      <c r="M779">
        <v>34.453830549999999</v>
      </c>
      <c r="N779">
        <v>1.058333333</v>
      </c>
      <c r="O779">
        <v>85</v>
      </c>
      <c r="P779">
        <v>37.099157669999997</v>
      </c>
      <c r="Q779">
        <v>0.65291888899999995</v>
      </c>
      <c r="R779" t="s">
        <v>1016</v>
      </c>
      <c r="S779">
        <v>-2.6453271199999975</v>
      </c>
    </row>
    <row r="780" spans="1:19" x14ac:dyDescent="0.25">
      <c r="A780" t="s">
        <v>73</v>
      </c>
      <c r="B780" t="s">
        <v>843</v>
      </c>
      <c r="C780">
        <v>10</v>
      </c>
      <c r="D780" t="s">
        <v>25</v>
      </c>
      <c r="E780" t="s">
        <v>94</v>
      </c>
      <c r="F780" t="s">
        <v>110</v>
      </c>
      <c r="G780" t="s">
        <v>110</v>
      </c>
      <c r="H780" t="s">
        <v>246</v>
      </c>
      <c r="J780">
        <v>0</v>
      </c>
      <c r="K780">
        <v>1</v>
      </c>
      <c r="L780">
        <v>73.260869569999997</v>
      </c>
      <c r="M780">
        <v>34.453830549999999</v>
      </c>
      <c r="N780">
        <v>1.058333333</v>
      </c>
      <c r="O780">
        <v>120.25</v>
      </c>
      <c r="P780">
        <v>30.670450110000001</v>
      </c>
      <c r="Q780">
        <v>0.91037498500000003</v>
      </c>
      <c r="R780" t="s">
        <v>1016</v>
      </c>
      <c r="S780">
        <v>3.7833804399999984</v>
      </c>
    </row>
    <row r="781" spans="1:19" x14ac:dyDescent="0.25">
      <c r="A781" t="s">
        <v>73</v>
      </c>
      <c r="B781" t="s">
        <v>844</v>
      </c>
      <c r="C781">
        <v>10</v>
      </c>
      <c r="D781" t="s">
        <v>25</v>
      </c>
      <c r="E781" t="s">
        <v>94</v>
      </c>
      <c r="F781" t="s">
        <v>104</v>
      </c>
      <c r="G781" t="s">
        <v>104</v>
      </c>
      <c r="H781" t="s">
        <v>104</v>
      </c>
      <c r="J781">
        <v>0</v>
      </c>
      <c r="K781">
        <v>1</v>
      </c>
      <c r="L781">
        <v>113.9375</v>
      </c>
      <c r="M781">
        <v>33.375507550000002</v>
      </c>
      <c r="N781">
        <v>2.4262999999999999</v>
      </c>
      <c r="O781">
        <v>113.9375</v>
      </c>
      <c r="P781">
        <v>33.375507550000002</v>
      </c>
      <c r="Q781">
        <v>2.4262999999999999</v>
      </c>
      <c r="R781" t="s">
        <v>1016</v>
      </c>
      <c r="S781">
        <v>0</v>
      </c>
    </row>
    <row r="782" spans="1:19" x14ac:dyDescent="0.25">
      <c r="A782" t="s">
        <v>73</v>
      </c>
      <c r="B782" t="s">
        <v>845</v>
      </c>
      <c r="C782">
        <v>10</v>
      </c>
      <c r="D782" t="s">
        <v>25</v>
      </c>
      <c r="E782" t="s">
        <v>94</v>
      </c>
      <c r="F782" t="s">
        <v>112</v>
      </c>
      <c r="G782" t="s">
        <v>121</v>
      </c>
      <c r="H782" t="s">
        <v>114</v>
      </c>
      <c r="J782">
        <v>0</v>
      </c>
      <c r="K782" t="s">
        <v>114</v>
      </c>
      <c r="L782">
        <v>65.09375</v>
      </c>
      <c r="M782">
        <v>37.895352600000002</v>
      </c>
      <c r="N782">
        <v>2.2882677779999998</v>
      </c>
      <c r="O782" t="s">
        <v>114</v>
      </c>
      <c r="P782" t="s">
        <v>114</v>
      </c>
      <c r="Q782" t="s">
        <v>114</v>
      </c>
      <c r="R782" t="s">
        <v>1016</v>
      </c>
      <c r="S782" t="s">
        <v>114</v>
      </c>
    </row>
    <row r="783" spans="1:19" x14ac:dyDescent="0.25">
      <c r="A783" t="s">
        <v>74</v>
      </c>
      <c r="B783" t="s">
        <v>846</v>
      </c>
      <c r="C783">
        <v>10</v>
      </c>
      <c r="D783" t="s">
        <v>27</v>
      </c>
      <c r="E783" t="s">
        <v>95</v>
      </c>
      <c r="F783" t="s">
        <v>102</v>
      </c>
      <c r="G783" t="s">
        <v>113</v>
      </c>
      <c r="H783" t="s">
        <v>113</v>
      </c>
      <c r="J783">
        <v>0</v>
      </c>
      <c r="K783">
        <v>3</v>
      </c>
      <c r="L783">
        <v>84.740740740000007</v>
      </c>
      <c r="M783">
        <v>29.167014049999999</v>
      </c>
      <c r="N783">
        <v>1.1169849999999999</v>
      </c>
      <c r="O783">
        <v>83.757575759999995</v>
      </c>
      <c r="P783">
        <v>22.60997987</v>
      </c>
      <c r="Q783">
        <v>0.72884000000000004</v>
      </c>
      <c r="R783" t="s">
        <v>1016</v>
      </c>
      <c r="S783">
        <v>6.5570341799999987</v>
      </c>
    </row>
    <row r="784" spans="1:19" x14ac:dyDescent="0.25">
      <c r="A784" t="s">
        <v>74</v>
      </c>
      <c r="B784" t="s">
        <v>846</v>
      </c>
      <c r="C784">
        <v>10</v>
      </c>
      <c r="D784" t="s">
        <v>27</v>
      </c>
      <c r="E784" t="s">
        <v>95</v>
      </c>
      <c r="F784" t="s">
        <v>102</v>
      </c>
      <c r="G784" t="s">
        <v>113</v>
      </c>
      <c r="H784" t="s">
        <v>103</v>
      </c>
      <c r="J784">
        <v>0</v>
      </c>
      <c r="K784">
        <v>1</v>
      </c>
      <c r="L784">
        <v>84.740740740000007</v>
      </c>
      <c r="M784">
        <v>29.167014049999999</v>
      </c>
      <c r="N784">
        <v>1.1169849999999999</v>
      </c>
      <c r="O784">
        <v>98.291666669999998</v>
      </c>
      <c r="P784">
        <v>30.315130790000001</v>
      </c>
      <c r="Q784">
        <v>5.0803484000000003E-2</v>
      </c>
      <c r="R784" t="s">
        <v>1016</v>
      </c>
      <c r="S784">
        <v>-1.1481167400000025</v>
      </c>
    </row>
    <row r="785" spans="1:19" x14ac:dyDescent="0.25">
      <c r="A785" t="s">
        <v>74</v>
      </c>
      <c r="B785" t="s">
        <v>847</v>
      </c>
      <c r="C785">
        <v>10</v>
      </c>
      <c r="D785" t="s">
        <v>27</v>
      </c>
      <c r="E785" t="s">
        <v>95</v>
      </c>
      <c r="F785" t="s">
        <v>113</v>
      </c>
      <c r="G785" t="s">
        <v>113</v>
      </c>
      <c r="H785" t="s">
        <v>113</v>
      </c>
      <c r="J785">
        <v>0</v>
      </c>
      <c r="K785">
        <v>1</v>
      </c>
      <c r="L785">
        <v>83.757575759999995</v>
      </c>
      <c r="M785">
        <v>22.60997987</v>
      </c>
      <c r="N785">
        <v>0.72884000000000004</v>
      </c>
      <c r="O785">
        <v>83.757575759999995</v>
      </c>
      <c r="P785">
        <v>22.60997987</v>
      </c>
      <c r="Q785">
        <v>0.72884000000000004</v>
      </c>
      <c r="R785" t="s">
        <v>1016</v>
      </c>
      <c r="S785">
        <v>0</v>
      </c>
    </row>
    <row r="786" spans="1:19" x14ac:dyDescent="0.25">
      <c r="A786" t="s">
        <v>74</v>
      </c>
      <c r="B786" t="s">
        <v>847</v>
      </c>
      <c r="C786">
        <v>10</v>
      </c>
      <c r="D786" t="s">
        <v>27</v>
      </c>
      <c r="E786" t="s">
        <v>95</v>
      </c>
      <c r="F786" t="s">
        <v>113</v>
      </c>
      <c r="G786" t="s">
        <v>113</v>
      </c>
      <c r="H786" t="s">
        <v>248</v>
      </c>
      <c r="J786">
        <v>0</v>
      </c>
      <c r="K786">
        <v>2</v>
      </c>
      <c r="L786">
        <v>83.757575759999995</v>
      </c>
      <c r="M786">
        <v>22.60997987</v>
      </c>
      <c r="N786">
        <v>0.72884000000000004</v>
      </c>
      <c r="O786">
        <v>83.92307692</v>
      </c>
      <c r="P786">
        <v>44.319135699999997</v>
      </c>
      <c r="Q786">
        <v>5.9548609999999997E-3</v>
      </c>
      <c r="R786" t="s">
        <v>1016</v>
      </c>
      <c r="S786">
        <v>-21.709155829999997</v>
      </c>
    </row>
    <row r="787" spans="1:19" x14ac:dyDescent="0.25">
      <c r="A787" t="s">
        <v>74</v>
      </c>
      <c r="B787" t="s">
        <v>848</v>
      </c>
      <c r="C787">
        <v>10</v>
      </c>
      <c r="D787" t="s">
        <v>27</v>
      </c>
      <c r="E787" t="s">
        <v>95</v>
      </c>
      <c r="F787" t="s">
        <v>103</v>
      </c>
      <c r="G787" t="s">
        <v>113</v>
      </c>
      <c r="H787" t="s">
        <v>113</v>
      </c>
      <c r="J787">
        <v>0</v>
      </c>
      <c r="K787">
        <v>1</v>
      </c>
      <c r="L787">
        <v>98.291666669999998</v>
      </c>
      <c r="M787">
        <v>30.315130790000001</v>
      </c>
      <c r="N787">
        <v>5.0803484000000003E-2</v>
      </c>
      <c r="O787">
        <v>83.757575759999995</v>
      </c>
      <c r="P787">
        <v>22.60997987</v>
      </c>
      <c r="Q787">
        <v>0.72884000000000004</v>
      </c>
      <c r="R787" t="s">
        <v>1016</v>
      </c>
      <c r="S787">
        <v>7.7051509200000012</v>
      </c>
    </row>
    <row r="788" spans="1:19" x14ac:dyDescent="0.25">
      <c r="A788" t="s">
        <v>75</v>
      </c>
      <c r="B788" t="s">
        <v>849</v>
      </c>
      <c r="C788">
        <v>10</v>
      </c>
      <c r="D788" t="s">
        <v>29</v>
      </c>
      <c r="E788" t="s">
        <v>94</v>
      </c>
      <c r="F788" t="s">
        <v>105</v>
      </c>
      <c r="G788" t="s">
        <v>121</v>
      </c>
      <c r="H788" t="s">
        <v>251</v>
      </c>
      <c r="J788">
        <v>0</v>
      </c>
      <c r="K788">
        <v>1</v>
      </c>
      <c r="L788">
        <v>67.5</v>
      </c>
      <c r="M788">
        <v>47.937235809999997</v>
      </c>
      <c r="N788">
        <v>0.41599678000000001</v>
      </c>
      <c r="O788">
        <v>85</v>
      </c>
      <c r="P788">
        <v>37.099157669999997</v>
      </c>
      <c r="Q788">
        <v>0.65291888899999995</v>
      </c>
      <c r="R788" t="s">
        <v>1016</v>
      </c>
      <c r="S788">
        <v>10.83807814</v>
      </c>
    </row>
    <row r="789" spans="1:19" x14ac:dyDescent="0.25">
      <c r="A789" t="s">
        <v>75</v>
      </c>
      <c r="B789" t="s">
        <v>849</v>
      </c>
      <c r="C789">
        <v>10</v>
      </c>
      <c r="D789" t="s">
        <v>29</v>
      </c>
      <c r="E789" t="s">
        <v>94</v>
      </c>
      <c r="F789" t="s">
        <v>105</v>
      </c>
      <c r="G789" t="s">
        <v>121</v>
      </c>
      <c r="H789" t="s">
        <v>244</v>
      </c>
      <c r="J789">
        <v>0</v>
      </c>
      <c r="K789">
        <v>1</v>
      </c>
      <c r="L789">
        <v>67.5</v>
      </c>
      <c r="M789">
        <v>47.937235809999997</v>
      </c>
      <c r="N789">
        <v>0.41599678000000001</v>
      </c>
      <c r="O789">
        <v>75</v>
      </c>
      <c r="P789">
        <v>28.80614499</v>
      </c>
      <c r="Q789">
        <v>2.3860428570000001</v>
      </c>
      <c r="R789" t="s">
        <v>1016</v>
      </c>
      <c r="S789">
        <v>19.131090819999997</v>
      </c>
    </row>
    <row r="790" spans="1:19" x14ac:dyDescent="0.25">
      <c r="A790" t="s">
        <v>75</v>
      </c>
      <c r="B790" t="s">
        <v>850</v>
      </c>
      <c r="C790">
        <v>10</v>
      </c>
      <c r="D790" t="s">
        <v>29</v>
      </c>
      <c r="E790" t="s">
        <v>94</v>
      </c>
      <c r="F790" t="s">
        <v>110</v>
      </c>
      <c r="G790" t="s">
        <v>104</v>
      </c>
      <c r="H790" t="s">
        <v>104</v>
      </c>
      <c r="J790">
        <v>0</v>
      </c>
      <c r="K790">
        <v>2</v>
      </c>
      <c r="L790">
        <v>73.260869569999997</v>
      </c>
      <c r="M790">
        <v>34.453830549999999</v>
      </c>
      <c r="N790">
        <v>1.058333333</v>
      </c>
      <c r="O790">
        <v>113.9375</v>
      </c>
      <c r="P790">
        <v>33.375507550000002</v>
      </c>
      <c r="Q790">
        <v>2.4262999999999999</v>
      </c>
      <c r="R790" t="s">
        <v>1016</v>
      </c>
      <c r="S790">
        <v>1.0783229999999975</v>
      </c>
    </row>
    <row r="791" spans="1:19" x14ac:dyDescent="0.25">
      <c r="A791" t="s">
        <v>75</v>
      </c>
      <c r="B791" t="s">
        <v>851</v>
      </c>
      <c r="C791">
        <v>10</v>
      </c>
      <c r="D791" t="s">
        <v>29</v>
      </c>
      <c r="E791" t="s">
        <v>94</v>
      </c>
      <c r="F791" t="s">
        <v>103</v>
      </c>
      <c r="G791" t="s">
        <v>121</v>
      </c>
      <c r="H791" t="s">
        <v>251</v>
      </c>
      <c r="J791">
        <v>0</v>
      </c>
      <c r="K791">
        <v>1</v>
      </c>
      <c r="L791">
        <v>98.291666669999998</v>
      </c>
      <c r="M791">
        <v>30.315130790000001</v>
      </c>
      <c r="N791">
        <v>5.0803484000000003E-2</v>
      </c>
      <c r="O791">
        <v>85</v>
      </c>
      <c r="P791">
        <v>37.099157669999997</v>
      </c>
      <c r="Q791">
        <v>0.65291888899999995</v>
      </c>
      <c r="R791" t="s">
        <v>1016</v>
      </c>
      <c r="S791">
        <v>-6.7840268799999954</v>
      </c>
    </row>
    <row r="792" spans="1:19" x14ac:dyDescent="0.25">
      <c r="A792" t="s">
        <v>75</v>
      </c>
      <c r="B792" t="s">
        <v>851</v>
      </c>
      <c r="C792">
        <v>10</v>
      </c>
      <c r="D792" t="s">
        <v>29</v>
      </c>
      <c r="E792" t="s">
        <v>94</v>
      </c>
      <c r="F792" t="s">
        <v>103</v>
      </c>
      <c r="G792" t="s">
        <v>121</v>
      </c>
      <c r="H792" t="s">
        <v>233</v>
      </c>
      <c r="J792">
        <v>0</v>
      </c>
      <c r="K792">
        <v>1</v>
      </c>
      <c r="L792">
        <v>98.291666669999998</v>
      </c>
      <c r="M792">
        <v>30.315130790000001</v>
      </c>
      <c r="N792">
        <v>5.0803484000000003E-2</v>
      </c>
      <c r="O792">
        <v>106.0540541</v>
      </c>
      <c r="P792">
        <v>52.690533369999997</v>
      </c>
      <c r="Q792">
        <v>7.6058968000000005E-2</v>
      </c>
      <c r="R792" t="s">
        <v>1016</v>
      </c>
      <c r="S792">
        <v>-22.375402579999996</v>
      </c>
    </row>
    <row r="793" spans="1:19" x14ac:dyDescent="0.25">
      <c r="A793" t="s">
        <v>75</v>
      </c>
      <c r="B793" t="s">
        <v>851</v>
      </c>
      <c r="C793">
        <v>10</v>
      </c>
      <c r="D793" t="s">
        <v>29</v>
      </c>
      <c r="E793" t="s">
        <v>94</v>
      </c>
      <c r="F793" t="s">
        <v>103</v>
      </c>
      <c r="G793" t="s">
        <v>121</v>
      </c>
      <c r="H793" t="s">
        <v>105</v>
      </c>
      <c r="J793">
        <v>0</v>
      </c>
      <c r="K793">
        <v>1</v>
      </c>
      <c r="L793">
        <v>98.291666669999998</v>
      </c>
      <c r="M793">
        <v>30.315130790000001</v>
      </c>
      <c r="N793">
        <v>5.0803484000000003E-2</v>
      </c>
      <c r="O793">
        <v>67.5</v>
      </c>
      <c r="P793">
        <v>47.937235809999997</v>
      </c>
      <c r="Q793">
        <v>0.41599678000000001</v>
      </c>
      <c r="R793" t="s">
        <v>1016</v>
      </c>
      <c r="S793">
        <v>-17.622105019999996</v>
      </c>
    </row>
    <row r="794" spans="1:19" x14ac:dyDescent="0.25">
      <c r="A794" t="s">
        <v>76</v>
      </c>
      <c r="B794" t="s">
        <v>852</v>
      </c>
      <c r="C794">
        <v>10</v>
      </c>
      <c r="D794" t="s">
        <v>31</v>
      </c>
      <c r="E794" t="s">
        <v>94</v>
      </c>
      <c r="F794" t="s">
        <v>113</v>
      </c>
      <c r="G794" t="s">
        <v>113</v>
      </c>
      <c r="H794" t="s">
        <v>113</v>
      </c>
      <c r="J794">
        <v>0</v>
      </c>
      <c r="K794">
        <v>2</v>
      </c>
      <c r="L794">
        <v>83.757575759999995</v>
      </c>
      <c r="M794">
        <v>22.60997987</v>
      </c>
      <c r="N794">
        <v>0.72884000000000004</v>
      </c>
      <c r="O794">
        <v>83.757575759999995</v>
      </c>
      <c r="P794">
        <v>22.60997987</v>
      </c>
      <c r="Q794">
        <v>0.72884000000000004</v>
      </c>
      <c r="R794" t="s">
        <v>1016</v>
      </c>
      <c r="S794">
        <v>0</v>
      </c>
    </row>
    <row r="795" spans="1:19" x14ac:dyDescent="0.25">
      <c r="A795" t="s">
        <v>76</v>
      </c>
      <c r="B795" t="s">
        <v>852</v>
      </c>
      <c r="C795">
        <v>10</v>
      </c>
      <c r="D795" t="s">
        <v>31</v>
      </c>
      <c r="E795" t="s">
        <v>94</v>
      </c>
      <c r="F795" t="s">
        <v>113</v>
      </c>
      <c r="G795" t="s">
        <v>113</v>
      </c>
      <c r="H795" t="s">
        <v>238</v>
      </c>
      <c r="J795">
        <v>0</v>
      </c>
      <c r="K795">
        <v>1</v>
      </c>
      <c r="L795">
        <v>83.757575759999995</v>
      </c>
      <c r="M795">
        <v>22.60997987</v>
      </c>
      <c r="N795">
        <v>0.72884000000000004</v>
      </c>
      <c r="O795">
        <v>87.5</v>
      </c>
      <c r="P795">
        <v>29.478311600000001</v>
      </c>
      <c r="Q795">
        <v>3.0797751000000002E-2</v>
      </c>
      <c r="R795" t="s">
        <v>1016</v>
      </c>
      <c r="S795">
        <v>-6.8683317300000013</v>
      </c>
    </row>
    <row r="796" spans="1:19" x14ac:dyDescent="0.25">
      <c r="A796" t="s">
        <v>76</v>
      </c>
      <c r="B796" t="s">
        <v>852</v>
      </c>
      <c r="C796">
        <v>10</v>
      </c>
      <c r="D796" t="s">
        <v>31</v>
      </c>
      <c r="E796" t="s">
        <v>94</v>
      </c>
      <c r="F796" t="s">
        <v>113</v>
      </c>
      <c r="G796" t="s">
        <v>113</v>
      </c>
      <c r="H796" t="s">
        <v>235</v>
      </c>
      <c r="J796">
        <v>0</v>
      </c>
      <c r="K796">
        <v>5</v>
      </c>
      <c r="L796">
        <v>83.757575759999995</v>
      </c>
      <c r="M796">
        <v>22.60997987</v>
      </c>
      <c r="N796">
        <v>0.72884000000000004</v>
      </c>
      <c r="O796">
        <v>132.27272730000001</v>
      </c>
      <c r="P796">
        <v>20.180448590000001</v>
      </c>
      <c r="Q796">
        <v>3.7813451999999997E-2</v>
      </c>
      <c r="R796" t="s">
        <v>1016</v>
      </c>
      <c r="S796">
        <v>2.4295312799999991</v>
      </c>
    </row>
    <row r="797" spans="1:19" x14ac:dyDescent="0.25">
      <c r="A797" t="s">
        <v>77</v>
      </c>
      <c r="B797" t="s">
        <v>853</v>
      </c>
      <c r="C797">
        <v>10</v>
      </c>
      <c r="D797" t="s">
        <v>33</v>
      </c>
      <c r="E797" t="s">
        <v>94</v>
      </c>
      <c r="F797" t="s">
        <v>102</v>
      </c>
      <c r="G797" t="s">
        <v>110</v>
      </c>
      <c r="H797" t="s">
        <v>110</v>
      </c>
      <c r="J797">
        <v>0</v>
      </c>
      <c r="K797">
        <v>1</v>
      </c>
      <c r="L797">
        <v>84.740740740000007</v>
      </c>
      <c r="M797">
        <v>29.167014049999999</v>
      </c>
      <c r="N797">
        <v>1.1169849999999999</v>
      </c>
      <c r="O797">
        <v>73.260869569999997</v>
      </c>
      <c r="P797">
        <v>34.453830549999999</v>
      </c>
      <c r="Q797">
        <v>1.058333333</v>
      </c>
      <c r="R797" t="s">
        <v>1016</v>
      </c>
      <c r="S797">
        <v>-5.2868165000000005</v>
      </c>
    </row>
    <row r="798" spans="1:19" x14ac:dyDescent="0.25">
      <c r="A798" t="s">
        <v>77</v>
      </c>
      <c r="B798" t="s">
        <v>853</v>
      </c>
      <c r="C798">
        <v>10</v>
      </c>
      <c r="D798" t="s">
        <v>33</v>
      </c>
      <c r="E798" t="s">
        <v>94</v>
      </c>
      <c r="F798" t="s">
        <v>102</v>
      </c>
      <c r="G798" t="s">
        <v>110</v>
      </c>
      <c r="H798" t="s">
        <v>162</v>
      </c>
      <c r="J798">
        <v>0</v>
      </c>
      <c r="K798">
        <v>1</v>
      </c>
      <c r="L798">
        <v>84.740740740000007</v>
      </c>
      <c r="M798">
        <v>29.167014049999999</v>
      </c>
      <c r="N798">
        <v>1.1169849999999999</v>
      </c>
      <c r="O798">
        <v>82.53846154</v>
      </c>
      <c r="P798">
        <v>35.660530039999998</v>
      </c>
      <c r="Q798">
        <v>3.3754499999999998</v>
      </c>
      <c r="R798" t="s">
        <v>1016</v>
      </c>
      <c r="S798">
        <v>-6.4935159899999988</v>
      </c>
    </row>
    <row r="799" spans="1:19" x14ac:dyDescent="0.25">
      <c r="A799" t="s">
        <v>77</v>
      </c>
      <c r="B799" t="s">
        <v>854</v>
      </c>
      <c r="C799">
        <v>10</v>
      </c>
      <c r="D799" t="s">
        <v>33</v>
      </c>
      <c r="E799" t="s">
        <v>94</v>
      </c>
      <c r="F799" t="s">
        <v>110</v>
      </c>
      <c r="G799" t="s">
        <v>110</v>
      </c>
      <c r="H799" t="s">
        <v>110</v>
      </c>
      <c r="J799">
        <v>0</v>
      </c>
      <c r="K799">
        <v>3</v>
      </c>
      <c r="L799">
        <v>73.260869569999997</v>
      </c>
      <c r="M799">
        <v>34.453830549999999</v>
      </c>
      <c r="N799">
        <v>1.058333333</v>
      </c>
      <c r="O799">
        <v>73.260869569999997</v>
      </c>
      <c r="P799">
        <v>34.453830549999999</v>
      </c>
      <c r="Q799">
        <v>1.058333333</v>
      </c>
      <c r="R799" t="s">
        <v>1016</v>
      </c>
      <c r="S799">
        <v>0</v>
      </c>
    </row>
    <row r="800" spans="1:19" x14ac:dyDescent="0.25">
      <c r="A800" t="s">
        <v>78</v>
      </c>
      <c r="B800" t="s">
        <v>855</v>
      </c>
      <c r="C800">
        <v>10</v>
      </c>
      <c r="D800" t="s">
        <v>35</v>
      </c>
      <c r="E800" t="s">
        <v>94</v>
      </c>
      <c r="F800" t="s">
        <v>111</v>
      </c>
      <c r="G800" t="s">
        <v>121</v>
      </c>
      <c r="H800" t="s">
        <v>114</v>
      </c>
      <c r="J800">
        <v>0</v>
      </c>
      <c r="K800">
        <v>0</v>
      </c>
      <c r="L800">
        <v>94.97142857</v>
      </c>
      <c r="M800">
        <v>24.31591813</v>
      </c>
      <c r="N800">
        <v>0.122951111</v>
      </c>
      <c r="O800" t="s">
        <v>114</v>
      </c>
      <c r="P800" t="s">
        <v>114</v>
      </c>
      <c r="Q800" t="s">
        <v>114</v>
      </c>
      <c r="R800" t="s">
        <v>1016</v>
      </c>
      <c r="S800" t="s">
        <v>114</v>
      </c>
    </row>
    <row r="801" spans="1:19" x14ac:dyDescent="0.25">
      <c r="A801" t="s">
        <v>50</v>
      </c>
      <c r="B801" t="s">
        <v>856</v>
      </c>
      <c r="C801">
        <v>12</v>
      </c>
      <c r="D801" t="s">
        <v>11</v>
      </c>
      <c r="E801" t="s">
        <v>95</v>
      </c>
      <c r="F801" t="s">
        <v>113</v>
      </c>
      <c r="G801" t="s">
        <v>113</v>
      </c>
      <c r="H801" t="s">
        <v>113</v>
      </c>
      <c r="J801">
        <v>0</v>
      </c>
      <c r="K801">
        <v>6</v>
      </c>
      <c r="L801">
        <v>83.757575759999995</v>
      </c>
      <c r="M801">
        <v>22.60997987</v>
      </c>
      <c r="N801">
        <v>0.72884000000000004</v>
      </c>
      <c r="O801">
        <v>83.757575759999995</v>
      </c>
      <c r="P801">
        <v>22.60997987</v>
      </c>
      <c r="Q801">
        <v>0.72884000000000004</v>
      </c>
      <c r="R801" t="s">
        <v>1016</v>
      </c>
      <c r="S801">
        <v>0</v>
      </c>
    </row>
    <row r="802" spans="1:19" x14ac:dyDescent="0.25">
      <c r="A802" t="s">
        <v>50</v>
      </c>
      <c r="B802" t="s">
        <v>856</v>
      </c>
      <c r="C802">
        <v>12</v>
      </c>
      <c r="D802" t="s">
        <v>11</v>
      </c>
      <c r="E802" t="s">
        <v>95</v>
      </c>
      <c r="F802" t="s">
        <v>113</v>
      </c>
      <c r="G802" t="s">
        <v>113</v>
      </c>
      <c r="H802" t="s">
        <v>238</v>
      </c>
      <c r="J802">
        <v>0</v>
      </c>
      <c r="K802">
        <v>1</v>
      </c>
      <c r="L802">
        <v>83.757575759999995</v>
      </c>
      <c r="M802">
        <v>22.60997987</v>
      </c>
      <c r="N802">
        <v>0.72884000000000004</v>
      </c>
      <c r="O802">
        <v>87.5</v>
      </c>
      <c r="P802">
        <v>29.478311600000001</v>
      </c>
      <c r="Q802">
        <v>3.0797751000000002E-2</v>
      </c>
      <c r="R802" t="s">
        <v>1016</v>
      </c>
      <c r="S802">
        <v>-6.8683317300000013</v>
      </c>
    </row>
    <row r="803" spans="1:19" x14ac:dyDescent="0.25">
      <c r="A803" t="s">
        <v>50</v>
      </c>
      <c r="B803" t="s">
        <v>857</v>
      </c>
      <c r="C803">
        <v>12</v>
      </c>
      <c r="D803" t="s">
        <v>11</v>
      </c>
      <c r="E803" t="s">
        <v>95</v>
      </c>
      <c r="F803" t="s">
        <v>103</v>
      </c>
      <c r="G803" t="s">
        <v>113</v>
      </c>
      <c r="H803" t="s">
        <v>113</v>
      </c>
      <c r="J803">
        <v>0</v>
      </c>
      <c r="K803">
        <v>4</v>
      </c>
      <c r="L803">
        <v>98.291666669999998</v>
      </c>
      <c r="M803">
        <v>30.315130790000001</v>
      </c>
      <c r="N803">
        <v>5.0803484000000003E-2</v>
      </c>
      <c r="O803">
        <v>83.757575759999995</v>
      </c>
      <c r="P803">
        <v>22.60997987</v>
      </c>
      <c r="Q803">
        <v>0.72884000000000004</v>
      </c>
      <c r="R803" t="s">
        <v>1016</v>
      </c>
      <c r="S803">
        <v>7.7051509200000012</v>
      </c>
    </row>
    <row r="804" spans="1:19" x14ac:dyDescent="0.25">
      <c r="A804" t="s">
        <v>50</v>
      </c>
      <c r="B804" t="s">
        <v>857</v>
      </c>
      <c r="C804">
        <v>12</v>
      </c>
      <c r="D804" t="s">
        <v>11</v>
      </c>
      <c r="E804" t="s">
        <v>95</v>
      </c>
      <c r="F804" t="s">
        <v>103</v>
      </c>
      <c r="G804" t="s">
        <v>113</v>
      </c>
      <c r="H804" t="s">
        <v>242</v>
      </c>
      <c r="J804">
        <v>0</v>
      </c>
      <c r="K804">
        <v>3</v>
      </c>
      <c r="L804">
        <v>98.291666669999998</v>
      </c>
      <c r="M804">
        <v>30.315130790000001</v>
      </c>
      <c r="N804">
        <v>5.0803484000000003E-2</v>
      </c>
      <c r="O804">
        <v>139.375</v>
      </c>
      <c r="P804">
        <v>23.713465920000001</v>
      </c>
      <c r="Q804" t="s">
        <v>114</v>
      </c>
      <c r="R804" t="s">
        <v>1016</v>
      </c>
      <c r="S804">
        <v>6.6016648700000005</v>
      </c>
    </row>
    <row r="805" spans="1:19" x14ac:dyDescent="0.25">
      <c r="A805" t="s">
        <v>50</v>
      </c>
      <c r="B805" t="s">
        <v>858</v>
      </c>
      <c r="C805">
        <v>12</v>
      </c>
      <c r="D805" t="s">
        <v>11</v>
      </c>
      <c r="E805" t="s">
        <v>95</v>
      </c>
      <c r="F805" t="s">
        <v>111</v>
      </c>
      <c r="G805" t="s">
        <v>113</v>
      </c>
      <c r="H805" t="s">
        <v>113</v>
      </c>
      <c r="J805">
        <v>0</v>
      </c>
      <c r="K805">
        <v>3</v>
      </c>
      <c r="L805">
        <v>94.97142857</v>
      </c>
      <c r="M805">
        <v>24.31591813</v>
      </c>
      <c r="N805">
        <v>0.122951111</v>
      </c>
      <c r="O805">
        <v>83.757575759999995</v>
      </c>
      <c r="P805">
        <v>22.60997987</v>
      </c>
      <c r="Q805">
        <v>0.72884000000000004</v>
      </c>
      <c r="R805" t="s">
        <v>1016</v>
      </c>
      <c r="S805">
        <v>1.7059382599999999</v>
      </c>
    </row>
    <row r="806" spans="1:19" x14ac:dyDescent="0.25">
      <c r="A806" t="s">
        <v>50</v>
      </c>
      <c r="B806" t="s">
        <v>858</v>
      </c>
      <c r="C806">
        <v>12</v>
      </c>
      <c r="D806" t="s">
        <v>11</v>
      </c>
      <c r="E806" t="s">
        <v>95</v>
      </c>
      <c r="F806" t="s">
        <v>111</v>
      </c>
      <c r="G806" t="s">
        <v>113</v>
      </c>
      <c r="H806" t="s">
        <v>242</v>
      </c>
      <c r="J806">
        <v>0</v>
      </c>
      <c r="K806">
        <v>2</v>
      </c>
      <c r="L806">
        <v>94.97142857</v>
      </c>
      <c r="M806">
        <v>24.31591813</v>
      </c>
      <c r="N806">
        <v>0.122951111</v>
      </c>
      <c r="O806">
        <v>139.375</v>
      </c>
      <c r="P806">
        <v>23.713465920000001</v>
      </c>
      <c r="Q806" t="s">
        <v>114</v>
      </c>
      <c r="R806" t="s">
        <v>1016</v>
      </c>
      <c r="S806">
        <v>0.60245220999999916</v>
      </c>
    </row>
    <row r="807" spans="1:19" x14ac:dyDescent="0.25">
      <c r="A807" t="s">
        <v>50</v>
      </c>
      <c r="B807" t="s">
        <v>859</v>
      </c>
      <c r="C807">
        <v>12</v>
      </c>
      <c r="D807" t="s">
        <v>11</v>
      </c>
      <c r="E807" t="s">
        <v>95</v>
      </c>
      <c r="F807" t="s">
        <v>104</v>
      </c>
      <c r="G807" t="s">
        <v>121</v>
      </c>
      <c r="H807" t="s">
        <v>103</v>
      </c>
      <c r="J807">
        <v>0</v>
      </c>
      <c r="K807">
        <v>1</v>
      </c>
      <c r="L807">
        <v>113.9375</v>
      </c>
      <c r="M807">
        <v>33.375507550000002</v>
      </c>
      <c r="N807">
        <v>2.4262999999999999</v>
      </c>
      <c r="O807">
        <v>98.291666669999998</v>
      </c>
      <c r="P807">
        <v>30.315130790000001</v>
      </c>
      <c r="Q807">
        <v>5.0803484000000003E-2</v>
      </c>
      <c r="R807" t="s">
        <v>1016</v>
      </c>
      <c r="S807">
        <v>3.0603767600000005</v>
      </c>
    </row>
    <row r="808" spans="1:19" x14ac:dyDescent="0.25">
      <c r="A808" t="s">
        <v>50</v>
      </c>
      <c r="B808" t="s">
        <v>859</v>
      </c>
      <c r="C808">
        <v>12</v>
      </c>
      <c r="D808" t="s">
        <v>11</v>
      </c>
      <c r="E808" t="s">
        <v>95</v>
      </c>
      <c r="F808" t="s">
        <v>104</v>
      </c>
      <c r="G808" t="s">
        <v>121</v>
      </c>
      <c r="H808" t="s">
        <v>238</v>
      </c>
      <c r="J808">
        <v>0</v>
      </c>
      <c r="K808">
        <v>1</v>
      </c>
      <c r="L808">
        <v>113.9375</v>
      </c>
      <c r="M808">
        <v>33.375507550000002</v>
      </c>
      <c r="N808">
        <v>2.4262999999999999</v>
      </c>
      <c r="O808">
        <v>87.5</v>
      </c>
      <c r="P808">
        <v>29.478311600000001</v>
      </c>
      <c r="Q808">
        <v>3.0797751000000002E-2</v>
      </c>
      <c r="R808" t="s">
        <v>1016</v>
      </c>
      <c r="S808">
        <v>3.8971959500000004</v>
      </c>
    </row>
    <row r="809" spans="1:19" x14ac:dyDescent="0.25">
      <c r="A809" t="s">
        <v>51</v>
      </c>
      <c r="B809" t="s">
        <v>860</v>
      </c>
      <c r="C809">
        <v>12</v>
      </c>
      <c r="D809" t="s">
        <v>15</v>
      </c>
      <c r="E809" t="s">
        <v>94</v>
      </c>
      <c r="F809" t="s">
        <v>105</v>
      </c>
      <c r="G809" t="s">
        <v>104</v>
      </c>
      <c r="H809" t="s">
        <v>104</v>
      </c>
      <c r="J809">
        <v>0</v>
      </c>
      <c r="K809">
        <v>2</v>
      </c>
      <c r="L809">
        <v>67.5</v>
      </c>
      <c r="M809">
        <v>47.937235809999997</v>
      </c>
      <c r="N809">
        <v>0.41599678000000001</v>
      </c>
      <c r="O809">
        <v>113.9375</v>
      </c>
      <c r="P809">
        <v>33.375507550000002</v>
      </c>
      <c r="Q809">
        <v>2.4262999999999999</v>
      </c>
      <c r="R809" t="s">
        <v>1016</v>
      </c>
      <c r="S809">
        <v>14.561728259999995</v>
      </c>
    </row>
    <row r="810" spans="1:19" x14ac:dyDescent="0.25">
      <c r="A810" t="s">
        <v>51</v>
      </c>
      <c r="B810" t="s">
        <v>861</v>
      </c>
      <c r="C810">
        <v>12</v>
      </c>
      <c r="D810" t="s">
        <v>15</v>
      </c>
      <c r="E810" t="s">
        <v>94</v>
      </c>
      <c r="F810" t="s">
        <v>111</v>
      </c>
      <c r="G810" t="s">
        <v>121</v>
      </c>
      <c r="H810" t="s">
        <v>241</v>
      </c>
      <c r="J810">
        <v>0</v>
      </c>
      <c r="K810">
        <v>1</v>
      </c>
      <c r="L810">
        <v>94.97142857</v>
      </c>
      <c r="M810">
        <v>24.31591813</v>
      </c>
      <c r="N810">
        <v>0.122951111</v>
      </c>
      <c r="O810">
        <v>114</v>
      </c>
      <c r="P810">
        <v>30.43077242</v>
      </c>
      <c r="Q810">
        <v>0.53383111100000002</v>
      </c>
      <c r="R810" t="s">
        <v>1016</v>
      </c>
      <c r="S810">
        <v>-6.1148542900000002</v>
      </c>
    </row>
    <row r="811" spans="1:19" x14ac:dyDescent="0.25">
      <c r="A811" t="s">
        <v>51</v>
      </c>
      <c r="B811" t="s">
        <v>862</v>
      </c>
      <c r="C811">
        <v>12</v>
      </c>
      <c r="D811" t="s">
        <v>15</v>
      </c>
      <c r="E811" t="s">
        <v>94</v>
      </c>
      <c r="F811" t="s">
        <v>112</v>
      </c>
      <c r="G811" t="s">
        <v>112</v>
      </c>
      <c r="H811" t="s">
        <v>112</v>
      </c>
      <c r="J811">
        <v>0</v>
      </c>
      <c r="K811">
        <v>2</v>
      </c>
      <c r="L811">
        <v>65.09375</v>
      </c>
      <c r="M811">
        <v>37.895352600000002</v>
      </c>
      <c r="N811">
        <v>2.2882677779999998</v>
      </c>
      <c r="O811">
        <v>65.09375</v>
      </c>
      <c r="P811">
        <v>37.895352600000002</v>
      </c>
      <c r="Q811">
        <v>2.2882677779999998</v>
      </c>
      <c r="R811" t="s">
        <v>1016</v>
      </c>
      <c r="S811">
        <v>0</v>
      </c>
    </row>
    <row r="812" spans="1:19" x14ac:dyDescent="0.25">
      <c r="A812" t="s">
        <v>52</v>
      </c>
      <c r="B812" t="s">
        <v>863</v>
      </c>
      <c r="C812">
        <v>12</v>
      </c>
      <c r="D812" t="s">
        <v>17</v>
      </c>
      <c r="E812" t="s">
        <v>95</v>
      </c>
      <c r="F812" t="s">
        <v>102</v>
      </c>
      <c r="G812" t="s">
        <v>121</v>
      </c>
      <c r="H812" t="s">
        <v>238</v>
      </c>
      <c r="J812">
        <v>0</v>
      </c>
      <c r="K812">
        <v>1</v>
      </c>
      <c r="L812">
        <v>84.740740740000007</v>
      </c>
      <c r="M812">
        <v>29.167014049999999</v>
      </c>
      <c r="N812">
        <v>1.1169849999999999</v>
      </c>
      <c r="O812">
        <v>87.5</v>
      </c>
      <c r="P812">
        <v>29.478311600000001</v>
      </c>
      <c r="Q812">
        <v>3.0797751000000002E-2</v>
      </c>
      <c r="R812" t="s">
        <v>1016</v>
      </c>
      <c r="S812">
        <v>-0.31129755000000259</v>
      </c>
    </row>
    <row r="813" spans="1:19" x14ac:dyDescent="0.25">
      <c r="A813" t="s">
        <v>52</v>
      </c>
      <c r="B813" t="s">
        <v>863</v>
      </c>
      <c r="C813">
        <v>12</v>
      </c>
      <c r="D813" t="s">
        <v>17</v>
      </c>
      <c r="E813" t="s">
        <v>95</v>
      </c>
      <c r="F813" t="s">
        <v>102</v>
      </c>
      <c r="G813" t="s">
        <v>121</v>
      </c>
      <c r="H813" t="s">
        <v>113</v>
      </c>
      <c r="J813">
        <v>0</v>
      </c>
      <c r="K813">
        <v>1</v>
      </c>
      <c r="L813">
        <v>84.740740740000007</v>
      </c>
      <c r="M813">
        <v>29.167014049999999</v>
      </c>
      <c r="N813">
        <v>1.1169849999999999</v>
      </c>
      <c r="O813">
        <v>83.757575759999995</v>
      </c>
      <c r="P813">
        <v>22.60997987</v>
      </c>
      <c r="Q813">
        <v>0.72884000000000004</v>
      </c>
      <c r="R813" t="s">
        <v>1016</v>
      </c>
      <c r="S813">
        <v>6.5570341799999987</v>
      </c>
    </row>
    <row r="814" spans="1:19" x14ac:dyDescent="0.25">
      <c r="A814" t="s">
        <v>52</v>
      </c>
      <c r="B814" t="s">
        <v>864</v>
      </c>
      <c r="C814">
        <v>12</v>
      </c>
      <c r="D814" t="s">
        <v>17</v>
      </c>
      <c r="E814" t="s">
        <v>95</v>
      </c>
      <c r="F814" t="s">
        <v>103</v>
      </c>
      <c r="G814" t="s">
        <v>121</v>
      </c>
      <c r="H814" t="s">
        <v>234</v>
      </c>
      <c r="J814">
        <v>0</v>
      </c>
      <c r="K814">
        <v>5</v>
      </c>
      <c r="L814">
        <v>98.291666669999998</v>
      </c>
      <c r="M814">
        <v>30.315130790000001</v>
      </c>
      <c r="N814">
        <v>5.0803484000000003E-2</v>
      </c>
      <c r="O814">
        <v>89.8125</v>
      </c>
      <c r="P814">
        <v>34.754706650000003</v>
      </c>
      <c r="Q814">
        <v>2.3065078999999999E-2</v>
      </c>
      <c r="R814" t="s">
        <v>1016</v>
      </c>
      <c r="S814">
        <v>-4.4395758600000015</v>
      </c>
    </row>
    <row r="815" spans="1:19" x14ac:dyDescent="0.25">
      <c r="A815" t="s">
        <v>52</v>
      </c>
      <c r="B815" t="s">
        <v>865</v>
      </c>
      <c r="C815">
        <v>12</v>
      </c>
      <c r="D815" t="s">
        <v>17</v>
      </c>
      <c r="E815" t="s">
        <v>95</v>
      </c>
      <c r="F815" t="s">
        <v>111</v>
      </c>
      <c r="G815" t="s">
        <v>103</v>
      </c>
      <c r="H815" t="s">
        <v>103</v>
      </c>
      <c r="J815">
        <v>0</v>
      </c>
      <c r="K815">
        <v>1</v>
      </c>
      <c r="L815">
        <v>94.97142857</v>
      </c>
      <c r="M815">
        <v>24.31591813</v>
      </c>
      <c r="N815">
        <v>0.122951111</v>
      </c>
      <c r="O815">
        <v>98.291666669999998</v>
      </c>
      <c r="P815">
        <v>30.315130790000001</v>
      </c>
      <c r="Q815">
        <v>5.0803484000000003E-2</v>
      </c>
      <c r="R815" t="s">
        <v>1016</v>
      </c>
      <c r="S815">
        <v>-5.9992126600000013</v>
      </c>
    </row>
    <row r="816" spans="1:19" x14ac:dyDescent="0.25">
      <c r="A816" t="s">
        <v>52</v>
      </c>
      <c r="B816" t="s">
        <v>866</v>
      </c>
      <c r="C816">
        <v>12</v>
      </c>
      <c r="D816" t="s">
        <v>17</v>
      </c>
      <c r="E816" t="s">
        <v>95</v>
      </c>
      <c r="F816" t="s">
        <v>112</v>
      </c>
      <c r="G816" t="s">
        <v>121</v>
      </c>
      <c r="H816" t="s">
        <v>235</v>
      </c>
      <c r="J816">
        <v>0</v>
      </c>
      <c r="K816">
        <v>1</v>
      </c>
      <c r="L816">
        <v>65.09375</v>
      </c>
      <c r="M816">
        <v>37.895352600000002</v>
      </c>
      <c r="N816">
        <v>2.2882677779999998</v>
      </c>
      <c r="O816">
        <v>132.27272730000001</v>
      </c>
      <c r="P816">
        <v>20.180448590000001</v>
      </c>
      <c r="Q816">
        <v>3.7813451999999997E-2</v>
      </c>
      <c r="R816" t="s">
        <v>1016</v>
      </c>
      <c r="S816">
        <v>17.714904010000001</v>
      </c>
    </row>
    <row r="817" spans="1:19" x14ac:dyDescent="0.25">
      <c r="A817" t="s">
        <v>53</v>
      </c>
      <c r="B817" t="s">
        <v>867</v>
      </c>
      <c r="C817">
        <v>12</v>
      </c>
      <c r="D817" t="s">
        <v>19</v>
      </c>
      <c r="E817" t="s">
        <v>94</v>
      </c>
      <c r="F817" t="s">
        <v>102</v>
      </c>
      <c r="G817" t="s">
        <v>121</v>
      </c>
      <c r="H817" t="s">
        <v>808</v>
      </c>
      <c r="J817">
        <v>0</v>
      </c>
      <c r="K817">
        <v>1</v>
      </c>
      <c r="L817">
        <v>84.740740740000007</v>
      </c>
      <c r="M817">
        <v>29.167014049999999</v>
      </c>
      <c r="N817">
        <v>1.1169849999999999</v>
      </c>
      <c r="O817">
        <v>102.79166669999999</v>
      </c>
      <c r="P817">
        <v>27.057373470000002</v>
      </c>
      <c r="Q817">
        <v>6.3567849939999999</v>
      </c>
      <c r="R817" t="s">
        <v>1016</v>
      </c>
      <c r="S817">
        <v>2.1096405799999971</v>
      </c>
    </row>
    <row r="818" spans="1:19" x14ac:dyDescent="0.25">
      <c r="A818" t="s">
        <v>53</v>
      </c>
      <c r="B818" t="s">
        <v>867</v>
      </c>
      <c r="C818">
        <v>12</v>
      </c>
      <c r="D818" t="s">
        <v>19</v>
      </c>
      <c r="E818" t="s">
        <v>94</v>
      </c>
      <c r="F818" t="s">
        <v>102</v>
      </c>
      <c r="G818" t="s">
        <v>121</v>
      </c>
      <c r="H818" t="s">
        <v>241</v>
      </c>
      <c r="J818">
        <v>0</v>
      </c>
      <c r="K818">
        <v>1</v>
      </c>
      <c r="L818">
        <v>84.740740740000007</v>
      </c>
      <c r="M818">
        <v>29.167014049999999</v>
      </c>
      <c r="N818">
        <v>1.1169849999999999</v>
      </c>
      <c r="O818">
        <v>114</v>
      </c>
      <c r="P818">
        <v>30.43077242</v>
      </c>
      <c r="Q818">
        <v>0.53383111100000002</v>
      </c>
      <c r="R818" t="s">
        <v>1016</v>
      </c>
      <c r="S818">
        <v>-1.2637583700000015</v>
      </c>
    </row>
    <row r="819" spans="1:19" x14ac:dyDescent="0.25">
      <c r="A819" t="s">
        <v>53</v>
      </c>
      <c r="B819" t="s">
        <v>868</v>
      </c>
      <c r="C819">
        <v>12</v>
      </c>
      <c r="D819" t="s">
        <v>19</v>
      </c>
      <c r="E819" t="s">
        <v>94</v>
      </c>
      <c r="F819" t="s">
        <v>113</v>
      </c>
      <c r="G819" t="s">
        <v>121</v>
      </c>
      <c r="H819" t="s">
        <v>103</v>
      </c>
      <c r="J819">
        <v>0</v>
      </c>
      <c r="K819">
        <v>1</v>
      </c>
      <c r="L819">
        <v>83.757575759999995</v>
      </c>
      <c r="M819">
        <v>22.60997987</v>
      </c>
      <c r="N819">
        <v>0.72884000000000004</v>
      </c>
      <c r="O819">
        <v>98.291666669999998</v>
      </c>
      <c r="P819">
        <v>30.315130790000001</v>
      </c>
      <c r="Q819">
        <v>5.0803484000000003E-2</v>
      </c>
      <c r="R819" t="s">
        <v>1016</v>
      </c>
      <c r="S819">
        <v>-7.7051509200000012</v>
      </c>
    </row>
    <row r="820" spans="1:19" x14ac:dyDescent="0.25">
      <c r="A820" t="s">
        <v>53</v>
      </c>
      <c r="B820" t="s">
        <v>868</v>
      </c>
      <c r="C820">
        <v>12</v>
      </c>
      <c r="D820" t="s">
        <v>19</v>
      </c>
      <c r="E820" t="s">
        <v>94</v>
      </c>
      <c r="F820" t="s">
        <v>113</v>
      </c>
      <c r="G820" t="s">
        <v>121</v>
      </c>
      <c r="H820" t="s">
        <v>238</v>
      </c>
      <c r="J820">
        <v>0</v>
      </c>
      <c r="K820">
        <v>1</v>
      </c>
      <c r="L820">
        <v>83.757575759999995</v>
      </c>
      <c r="M820">
        <v>22.60997987</v>
      </c>
      <c r="N820">
        <v>0.72884000000000004</v>
      </c>
      <c r="O820">
        <v>87.5</v>
      </c>
      <c r="P820">
        <v>29.478311600000001</v>
      </c>
      <c r="Q820">
        <v>3.0797751000000002E-2</v>
      </c>
      <c r="R820" t="s">
        <v>1016</v>
      </c>
      <c r="S820">
        <v>-6.8683317300000013</v>
      </c>
    </row>
    <row r="821" spans="1:19" x14ac:dyDescent="0.25">
      <c r="A821" t="s">
        <v>53</v>
      </c>
      <c r="B821" t="s">
        <v>868</v>
      </c>
      <c r="C821">
        <v>12</v>
      </c>
      <c r="D821" t="s">
        <v>19</v>
      </c>
      <c r="E821" t="s">
        <v>94</v>
      </c>
      <c r="F821" t="s">
        <v>113</v>
      </c>
      <c r="G821" t="s">
        <v>121</v>
      </c>
      <c r="H821" t="s">
        <v>235</v>
      </c>
      <c r="J821">
        <v>0</v>
      </c>
      <c r="K821">
        <v>1</v>
      </c>
      <c r="L821">
        <v>83.757575759999995</v>
      </c>
      <c r="M821">
        <v>22.60997987</v>
      </c>
      <c r="N821">
        <v>0.72884000000000004</v>
      </c>
      <c r="O821">
        <v>132.27272730000001</v>
      </c>
      <c r="P821">
        <v>20.180448590000001</v>
      </c>
      <c r="Q821">
        <v>3.7813451999999997E-2</v>
      </c>
      <c r="R821" t="s">
        <v>1016</v>
      </c>
      <c r="S821">
        <v>2.4295312799999991</v>
      </c>
    </row>
    <row r="822" spans="1:19" x14ac:dyDescent="0.25">
      <c r="A822" t="s">
        <v>53</v>
      </c>
      <c r="B822" t="s">
        <v>868</v>
      </c>
      <c r="C822">
        <v>12</v>
      </c>
      <c r="D822" t="s">
        <v>19</v>
      </c>
      <c r="E822" t="s">
        <v>94</v>
      </c>
      <c r="F822" t="s">
        <v>113</v>
      </c>
      <c r="G822" t="s">
        <v>121</v>
      </c>
      <c r="H822" t="s">
        <v>241</v>
      </c>
      <c r="J822">
        <v>0</v>
      </c>
      <c r="K822">
        <v>2</v>
      </c>
      <c r="L822">
        <v>83.757575759999995</v>
      </c>
      <c r="M822">
        <v>22.60997987</v>
      </c>
      <c r="N822">
        <v>0.72884000000000004</v>
      </c>
      <c r="O822">
        <v>114</v>
      </c>
      <c r="P822">
        <v>30.43077242</v>
      </c>
      <c r="Q822">
        <v>0.53383111100000002</v>
      </c>
      <c r="R822" t="s">
        <v>1016</v>
      </c>
      <c r="S822">
        <v>-7.8207925500000002</v>
      </c>
    </row>
    <row r="823" spans="1:19" x14ac:dyDescent="0.25">
      <c r="A823" t="s">
        <v>53</v>
      </c>
      <c r="B823" t="s">
        <v>868</v>
      </c>
      <c r="C823">
        <v>12</v>
      </c>
      <c r="D823" t="s">
        <v>19</v>
      </c>
      <c r="E823" t="s">
        <v>94</v>
      </c>
      <c r="F823" t="s">
        <v>113</v>
      </c>
      <c r="G823" t="s">
        <v>121</v>
      </c>
      <c r="H823" t="s">
        <v>242</v>
      </c>
      <c r="J823">
        <v>0</v>
      </c>
      <c r="K823">
        <v>1</v>
      </c>
      <c r="L823">
        <v>83.757575759999995</v>
      </c>
      <c r="M823">
        <v>22.60997987</v>
      </c>
      <c r="N823">
        <v>0.72884000000000004</v>
      </c>
      <c r="O823">
        <v>139.375</v>
      </c>
      <c r="P823">
        <v>23.713465920000001</v>
      </c>
      <c r="Q823" t="s">
        <v>114</v>
      </c>
      <c r="R823" t="s">
        <v>1016</v>
      </c>
      <c r="S823">
        <v>-1.1034860500000008</v>
      </c>
    </row>
    <row r="824" spans="1:19" x14ac:dyDescent="0.25">
      <c r="A824" t="s">
        <v>53</v>
      </c>
      <c r="B824" t="s">
        <v>868</v>
      </c>
      <c r="C824">
        <v>12</v>
      </c>
      <c r="D824" t="s">
        <v>19</v>
      </c>
      <c r="E824" t="s">
        <v>94</v>
      </c>
      <c r="F824" t="s">
        <v>113</v>
      </c>
      <c r="G824" t="s">
        <v>121</v>
      </c>
      <c r="H824" t="s">
        <v>112</v>
      </c>
      <c r="J824">
        <v>0</v>
      </c>
      <c r="K824">
        <v>1</v>
      </c>
      <c r="L824">
        <v>83.757575759999995</v>
      </c>
      <c r="M824">
        <v>22.60997987</v>
      </c>
      <c r="N824">
        <v>0.72884000000000004</v>
      </c>
      <c r="O824">
        <v>65.09375</v>
      </c>
      <c r="P824">
        <v>37.895352600000002</v>
      </c>
      <c r="Q824">
        <v>2.2882677779999998</v>
      </c>
      <c r="R824" t="s">
        <v>1016</v>
      </c>
      <c r="S824">
        <v>-15.285372730000002</v>
      </c>
    </row>
    <row r="825" spans="1:19" x14ac:dyDescent="0.25">
      <c r="A825" t="s">
        <v>53</v>
      </c>
      <c r="B825" t="s">
        <v>869</v>
      </c>
      <c r="C825">
        <v>12</v>
      </c>
      <c r="D825" t="s">
        <v>19</v>
      </c>
      <c r="E825" t="s">
        <v>94</v>
      </c>
      <c r="F825" t="s">
        <v>103</v>
      </c>
      <c r="G825" t="s">
        <v>121</v>
      </c>
      <c r="H825" t="s">
        <v>103</v>
      </c>
      <c r="J825">
        <v>0</v>
      </c>
      <c r="K825">
        <v>1</v>
      </c>
      <c r="L825">
        <v>98.291666669999998</v>
      </c>
      <c r="M825">
        <v>30.315130790000001</v>
      </c>
      <c r="N825">
        <v>5.0803484000000003E-2</v>
      </c>
      <c r="O825">
        <v>98.291666669999998</v>
      </c>
      <c r="P825">
        <v>30.315130790000001</v>
      </c>
      <c r="Q825">
        <v>5.0803484000000003E-2</v>
      </c>
      <c r="R825" t="s">
        <v>1016</v>
      </c>
      <c r="S825">
        <v>0</v>
      </c>
    </row>
    <row r="826" spans="1:19" x14ac:dyDescent="0.25">
      <c r="A826" t="s">
        <v>53</v>
      </c>
      <c r="B826" t="s">
        <v>869</v>
      </c>
      <c r="C826">
        <v>12</v>
      </c>
      <c r="D826" t="s">
        <v>19</v>
      </c>
      <c r="E826" t="s">
        <v>94</v>
      </c>
      <c r="F826" t="s">
        <v>103</v>
      </c>
      <c r="G826" t="s">
        <v>121</v>
      </c>
      <c r="H826" t="s">
        <v>241</v>
      </c>
      <c r="J826">
        <v>0</v>
      </c>
      <c r="K826">
        <v>1</v>
      </c>
      <c r="L826">
        <v>98.291666669999998</v>
      </c>
      <c r="M826">
        <v>30.315130790000001</v>
      </c>
      <c r="N826">
        <v>5.0803484000000003E-2</v>
      </c>
      <c r="O826">
        <v>114</v>
      </c>
      <c r="P826">
        <v>30.43077242</v>
      </c>
      <c r="Q826">
        <v>0.53383111100000002</v>
      </c>
      <c r="R826" t="s">
        <v>1016</v>
      </c>
      <c r="S826">
        <v>-0.11564162999999894</v>
      </c>
    </row>
    <row r="827" spans="1:19" x14ac:dyDescent="0.25">
      <c r="A827" t="s">
        <v>53</v>
      </c>
      <c r="B827" t="s">
        <v>870</v>
      </c>
      <c r="C827">
        <v>12</v>
      </c>
      <c r="D827" t="s">
        <v>19</v>
      </c>
      <c r="E827" t="s">
        <v>94</v>
      </c>
      <c r="F827" t="s">
        <v>112</v>
      </c>
      <c r="G827" t="s">
        <v>121</v>
      </c>
      <c r="H827" t="s">
        <v>114</v>
      </c>
      <c r="J827">
        <v>0</v>
      </c>
      <c r="K827">
        <v>0</v>
      </c>
      <c r="L827">
        <v>65.09375</v>
      </c>
      <c r="M827">
        <v>37.895352600000002</v>
      </c>
      <c r="N827">
        <v>2.2882677779999998</v>
      </c>
      <c r="O827" t="s">
        <v>114</v>
      </c>
      <c r="P827" t="s">
        <v>114</v>
      </c>
      <c r="Q827" t="s">
        <v>114</v>
      </c>
      <c r="R827" t="s">
        <v>1016</v>
      </c>
      <c r="S827" t="s">
        <v>114</v>
      </c>
    </row>
    <row r="828" spans="1:19" x14ac:dyDescent="0.25">
      <c r="A828" t="s">
        <v>54</v>
      </c>
      <c r="B828" t="s">
        <v>871</v>
      </c>
      <c r="C828">
        <v>12</v>
      </c>
      <c r="D828" t="s">
        <v>21</v>
      </c>
      <c r="E828" t="s">
        <v>95</v>
      </c>
      <c r="F828" t="s">
        <v>113</v>
      </c>
      <c r="G828" t="s">
        <v>121</v>
      </c>
      <c r="H828" t="s">
        <v>241</v>
      </c>
      <c r="J828">
        <v>0</v>
      </c>
      <c r="K828">
        <v>2</v>
      </c>
      <c r="L828">
        <v>83.757575759999995</v>
      </c>
      <c r="M828">
        <v>22.60997987</v>
      </c>
      <c r="N828">
        <v>0.72884000000000004</v>
      </c>
      <c r="O828">
        <v>114</v>
      </c>
      <c r="P828">
        <v>30.43077242</v>
      </c>
      <c r="Q828">
        <v>0.53383111100000002</v>
      </c>
      <c r="R828" t="s">
        <v>1016</v>
      </c>
      <c r="S828">
        <v>-7.8207925500000002</v>
      </c>
    </row>
    <row r="829" spans="1:19" x14ac:dyDescent="0.25">
      <c r="A829" t="s">
        <v>54</v>
      </c>
      <c r="B829" t="s">
        <v>872</v>
      </c>
      <c r="C829">
        <v>12</v>
      </c>
      <c r="D829" t="s">
        <v>21</v>
      </c>
      <c r="E829" t="s">
        <v>95</v>
      </c>
      <c r="F829" t="s">
        <v>110</v>
      </c>
      <c r="G829" t="s">
        <v>121</v>
      </c>
      <c r="H829" t="s">
        <v>241</v>
      </c>
      <c r="I829" t="s">
        <v>162</v>
      </c>
      <c r="J829">
        <v>1</v>
      </c>
      <c r="K829">
        <v>2</v>
      </c>
      <c r="L829">
        <v>73.260869569999997</v>
      </c>
      <c r="M829">
        <v>34.453830549999999</v>
      </c>
      <c r="N829">
        <v>1.058333333</v>
      </c>
      <c r="O829">
        <v>114</v>
      </c>
      <c r="P829">
        <v>30.43077242</v>
      </c>
      <c r="Q829">
        <v>0.53383111100000002</v>
      </c>
      <c r="R829" t="s">
        <v>1016</v>
      </c>
      <c r="S829">
        <v>4.023058129999999</v>
      </c>
    </row>
    <row r="830" spans="1:19" x14ac:dyDescent="0.25">
      <c r="A830" t="s">
        <v>54</v>
      </c>
      <c r="B830" t="s">
        <v>873</v>
      </c>
      <c r="C830">
        <v>12</v>
      </c>
      <c r="D830" t="s">
        <v>21</v>
      </c>
      <c r="E830" t="s">
        <v>95</v>
      </c>
      <c r="F830" t="s">
        <v>111</v>
      </c>
      <c r="G830" t="s">
        <v>121</v>
      </c>
      <c r="H830" t="s">
        <v>162</v>
      </c>
      <c r="J830">
        <v>0</v>
      </c>
      <c r="K830">
        <v>1</v>
      </c>
      <c r="L830">
        <v>94.97142857</v>
      </c>
      <c r="M830">
        <v>24.31591813</v>
      </c>
      <c r="N830">
        <v>0.122951111</v>
      </c>
      <c r="O830">
        <v>82.53846154</v>
      </c>
      <c r="P830">
        <v>35.660530039999998</v>
      </c>
      <c r="Q830">
        <v>3.3754499999999998</v>
      </c>
      <c r="R830" t="s">
        <v>1016</v>
      </c>
      <c r="S830">
        <v>-11.344611909999998</v>
      </c>
    </row>
    <row r="831" spans="1:19" x14ac:dyDescent="0.25">
      <c r="A831" t="s">
        <v>55</v>
      </c>
      <c r="B831" t="s">
        <v>874</v>
      </c>
      <c r="C831">
        <v>12</v>
      </c>
      <c r="D831" t="s">
        <v>23</v>
      </c>
      <c r="E831" t="s">
        <v>94</v>
      </c>
      <c r="F831" t="s">
        <v>113</v>
      </c>
      <c r="G831" t="s">
        <v>110</v>
      </c>
      <c r="H831" t="s">
        <v>238</v>
      </c>
      <c r="J831">
        <v>0</v>
      </c>
      <c r="K831">
        <v>1</v>
      </c>
      <c r="L831">
        <v>83.757575759999995</v>
      </c>
      <c r="M831">
        <v>22.60997987</v>
      </c>
      <c r="N831">
        <v>0.72884000000000004</v>
      </c>
      <c r="O831">
        <v>87.5</v>
      </c>
      <c r="P831">
        <v>29.478311600000001</v>
      </c>
      <c r="Q831">
        <v>3.0797751000000002E-2</v>
      </c>
      <c r="R831" t="s">
        <v>1016</v>
      </c>
      <c r="S831">
        <v>-6.8683317300000013</v>
      </c>
    </row>
    <row r="832" spans="1:19" x14ac:dyDescent="0.25">
      <c r="A832" t="s">
        <v>55</v>
      </c>
      <c r="B832" t="s">
        <v>874</v>
      </c>
      <c r="C832">
        <v>12</v>
      </c>
      <c r="D832" t="s">
        <v>23</v>
      </c>
      <c r="E832" t="s">
        <v>94</v>
      </c>
      <c r="F832" t="s">
        <v>113</v>
      </c>
      <c r="G832" t="s">
        <v>110</v>
      </c>
      <c r="H832" t="s">
        <v>103</v>
      </c>
      <c r="J832">
        <v>0</v>
      </c>
      <c r="K832">
        <v>1</v>
      </c>
      <c r="L832">
        <v>83.757575759999995</v>
      </c>
      <c r="M832">
        <v>22.60997987</v>
      </c>
      <c r="N832">
        <v>0.72884000000000004</v>
      </c>
      <c r="O832">
        <v>98.291666669999998</v>
      </c>
      <c r="P832">
        <v>30.315130790000001</v>
      </c>
      <c r="Q832">
        <v>5.0803484000000003E-2</v>
      </c>
      <c r="R832" t="s">
        <v>1016</v>
      </c>
      <c r="S832">
        <v>-7.7051509200000012</v>
      </c>
    </row>
    <row r="833" spans="1:19" x14ac:dyDescent="0.25">
      <c r="A833" t="s">
        <v>55</v>
      </c>
      <c r="B833" t="s">
        <v>874</v>
      </c>
      <c r="C833">
        <v>12</v>
      </c>
      <c r="D833" t="s">
        <v>23</v>
      </c>
      <c r="E833" t="s">
        <v>94</v>
      </c>
      <c r="F833" t="s">
        <v>113</v>
      </c>
      <c r="G833" t="s">
        <v>110</v>
      </c>
      <c r="H833" t="s">
        <v>808</v>
      </c>
      <c r="J833">
        <v>0</v>
      </c>
      <c r="K833">
        <v>1</v>
      </c>
      <c r="L833">
        <v>83.757575759999995</v>
      </c>
      <c r="M833">
        <v>22.60997987</v>
      </c>
      <c r="N833">
        <v>0.72884000000000004</v>
      </c>
      <c r="O833">
        <v>102.79166669999999</v>
      </c>
      <c r="P833">
        <v>27.057373470000002</v>
      </c>
      <c r="Q833">
        <v>6.3567849939999999</v>
      </c>
      <c r="R833" t="s">
        <v>1016</v>
      </c>
      <c r="S833">
        <v>-4.4473936000000016</v>
      </c>
    </row>
    <row r="834" spans="1:19" x14ac:dyDescent="0.25">
      <c r="A834" t="s">
        <v>55</v>
      </c>
      <c r="B834" t="s">
        <v>874</v>
      </c>
      <c r="C834">
        <v>12</v>
      </c>
      <c r="D834" t="s">
        <v>23</v>
      </c>
      <c r="E834" t="s">
        <v>94</v>
      </c>
      <c r="F834" t="s">
        <v>113</v>
      </c>
      <c r="G834" t="s">
        <v>110</v>
      </c>
      <c r="H834" t="s">
        <v>113</v>
      </c>
      <c r="J834">
        <v>0</v>
      </c>
      <c r="K834">
        <v>1</v>
      </c>
      <c r="L834">
        <v>83.757575759999995</v>
      </c>
      <c r="M834">
        <v>22.60997987</v>
      </c>
      <c r="N834">
        <v>0.72884000000000004</v>
      </c>
      <c r="O834">
        <v>83.757575759999995</v>
      </c>
      <c r="P834">
        <v>22.60997987</v>
      </c>
      <c r="Q834">
        <v>0.72884000000000004</v>
      </c>
      <c r="R834" t="s">
        <v>1016</v>
      </c>
      <c r="S834">
        <v>0</v>
      </c>
    </row>
    <row r="835" spans="1:19" x14ac:dyDescent="0.25">
      <c r="A835" t="s">
        <v>55</v>
      </c>
      <c r="B835" t="s">
        <v>875</v>
      </c>
      <c r="C835">
        <v>12</v>
      </c>
      <c r="D835" t="s">
        <v>23</v>
      </c>
      <c r="E835" t="s">
        <v>94</v>
      </c>
      <c r="F835" t="s">
        <v>110</v>
      </c>
      <c r="G835" t="s">
        <v>103</v>
      </c>
      <c r="H835" t="s">
        <v>114</v>
      </c>
      <c r="J835">
        <v>0</v>
      </c>
      <c r="K835" t="s">
        <v>114</v>
      </c>
      <c r="L835">
        <v>73.260869569999997</v>
      </c>
      <c r="M835">
        <v>34.453830549999999</v>
      </c>
      <c r="N835">
        <v>1.058333333</v>
      </c>
      <c r="O835" t="s">
        <v>114</v>
      </c>
      <c r="P835" t="s">
        <v>114</v>
      </c>
      <c r="Q835" t="s">
        <v>114</v>
      </c>
      <c r="R835" t="s">
        <v>1016</v>
      </c>
      <c r="S835" t="s">
        <v>114</v>
      </c>
    </row>
    <row r="836" spans="1:19" x14ac:dyDescent="0.25">
      <c r="A836" t="s">
        <v>55</v>
      </c>
      <c r="B836" t="s">
        <v>876</v>
      </c>
      <c r="C836">
        <v>12</v>
      </c>
      <c r="D836" t="s">
        <v>23</v>
      </c>
      <c r="E836" t="s">
        <v>94</v>
      </c>
      <c r="F836" t="s">
        <v>103</v>
      </c>
      <c r="G836" t="s">
        <v>103</v>
      </c>
      <c r="H836" t="s">
        <v>114</v>
      </c>
      <c r="J836">
        <v>0</v>
      </c>
      <c r="K836" t="s">
        <v>114</v>
      </c>
      <c r="L836">
        <v>98.291666669999998</v>
      </c>
      <c r="M836">
        <v>30.315130790000001</v>
      </c>
      <c r="N836">
        <v>5.0803484000000003E-2</v>
      </c>
      <c r="O836" t="s">
        <v>114</v>
      </c>
      <c r="P836" t="s">
        <v>114</v>
      </c>
      <c r="Q836" t="s">
        <v>114</v>
      </c>
      <c r="R836" t="s">
        <v>1016</v>
      </c>
      <c r="S836" t="s">
        <v>114</v>
      </c>
    </row>
    <row r="837" spans="1:19" x14ac:dyDescent="0.25">
      <c r="A837" t="s">
        <v>55</v>
      </c>
      <c r="B837" t="s">
        <v>877</v>
      </c>
      <c r="C837">
        <v>12</v>
      </c>
      <c r="D837" t="s">
        <v>23</v>
      </c>
      <c r="E837" t="s">
        <v>94</v>
      </c>
      <c r="F837" t="s">
        <v>111</v>
      </c>
      <c r="G837" t="s">
        <v>113</v>
      </c>
      <c r="H837" t="s">
        <v>113</v>
      </c>
      <c r="J837">
        <v>0</v>
      </c>
      <c r="K837">
        <v>2</v>
      </c>
      <c r="L837">
        <v>94.97142857</v>
      </c>
      <c r="M837">
        <v>24.31591813</v>
      </c>
      <c r="N837">
        <v>0.122951111</v>
      </c>
      <c r="O837">
        <v>83.757575759999995</v>
      </c>
      <c r="P837">
        <v>22.60997987</v>
      </c>
      <c r="Q837">
        <v>0.72884000000000004</v>
      </c>
      <c r="R837" t="s">
        <v>1016</v>
      </c>
      <c r="S837">
        <v>1.7059382599999999</v>
      </c>
    </row>
    <row r="838" spans="1:19" x14ac:dyDescent="0.25">
      <c r="A838" t="s">
        <v>55</v>
      </c>
      <c r="B838" t="s">
        <v>877</v>
      </c>
      <c r="C838">
        <v>12</v>
      </c>
      <c r="D838" t="s">
        <v>23</v>
      </c>
      <c r="E838" t="s">
        <v>94</v>
      </c>
      <c r="F838" t="s">
        <v>111</v>
      </c>
      <c r="G838" t="s">
        <v>113</v>
      </c>
      <c r="H838" t="s">
        <v>797</v>
      </c>
      <c r="J838">
        <v>0</v>
      </c>
      <c r="K838">
        <v>1</v>
      </c>
      <c r="L838">
        <v>94.97142857</v>
      </c>
      <c r="M838">
        <v>24.31591813</v>
      </c>
      <c r="N838">
        <v>0.122951111</v>
      </c>
      <c r="O838">
        <v>179.45454549999999</v>
      </c>
      <c r="P838">
        <v>26.326869609999999</v>
      </c>
      <c r="Q838">
        <v>2.3456094639999998</v>
      </c>
      <c r="R838" t="s">
        <v>1016</v>
      </c>
      <c r="S838">
        <v>-2.0109514799999992</v>
      </c>
    </row>
    <row r="839" spans="1:19" x14ac:dyDescent="0.25">
      <c r="A839" t="s">
        <v>56</v>
      </c>
      <c r="B839" t="s">
        <v>878</v>
      </c>
      <c r="C839">
        <v>12</v>
      </c>
      <c r="D839" t="s">
        <v>25</v>
      </c>
      <c r="E839" t="s">
        <v>94</v>
      </c>
      <c r="F839" t="s">
        <v>113</v>
      </c>
      <c r="G839" t="s">
        <v>113</v>
      </c>
      <c r="H839" t="s">
        <v>113</v>
      </c>
      <c r="J839">
        <v>0</v>
      </c>
      <c r="K839">
        <v>3</v>
      </c>
      <c r="L839">
        <v>83.757575759999995</v>
      </c>
      <c r="M839">
        <v>22.60997987</v>
      </c>
      <c r="N839">
        <v>0.72884000000000004</v>
      </c>
      <c r="O839">
        <v>83.757575759999995</v>
      </c>
      <c r="P839">
        <v>22.60997987</v>
      </c>
      <c r="Q839">
        <v>0.72884000000000004</v>
      </c>
      <c r="R839" t="s">
        <v>1016</v>
      </c>
      <c r="S839">
        <v>0</v>
      </c>
    </row>
    <row r="840" spans="1:19" x14ac:dyDescent="0.25">
      <c r="A840" t="s">
        <v>56</v>
      </c>
      <c r="B840" t="s">
        <v>879</v>
      </c>
      <c r="C840">
        <v>12</v>
      </c>
      <c r="D840" t="s">
        <v>25</v>
      </c>
      <c r="E840" t="s">
        <v>94</v>
      </c>
      <c r="F840" t="s">
        <v>111</v>
      </c>
      <c r="G840" t="s">
        <v>121</v>
      </c>
      <c r="H840" t="s">
        <v>112</v>
      </c>
      <c r="J840">
        <v>0</v>
      </c>
      <c r="K840">
        <v>1</v>
      </c>
      <c r="L840">
        <v>94.97142857</v>
      </c>
      <c r="M840">
        <v>24.31591813</v>
      </c>
      <c r="N840">
        <v>0.122951111</v>
      </c>
      <c r="O840">
        <v>65.09375</v>
      </c>
      <c r="P840">
        <v>37.895352600000002</v>
      </c>
      <c r="Q840">
        <v>2.2882677779999998</v>
      </c>
      <c r="R840" t="s">
        <v>1016</v>
      </c>
      <c r="S840">
        <v>-13.579434470000002</v>
      </c>
    </row>
    <row r="841" spans="1:19" x14ac:dyDescent="0.25">
      <c r="A841" t="s">
        <v>56</v>
      </c>
      <c r="B841" t="s">
        <v>880</v>
      </c>
      <c r="C841">
        <v>12</v>
      </c>
      <c r="D841" t="s">
        <v>25</v>
      </c>
      <c r="E841" t="s">
        <v>94</v>
      </c>
      <c r="F841" t="s">
        <v>104</v>
      </c>
      <c r="G841" t="s">
        <v>121</v>
      </c>
      <c r="H841" t="s">
        <v>104</v>
      </c>
      <c r="J841">
        <v>0</v>
      </c>
      <c r="K841">
        <v>1</v>
      </c>
      <c r="L841">
        <v>113.9375</v>
      </c>
      <c r="M841">
        <v>33.375507550000002</v>
      </c>
      <c r="N841">
        <v>2.4262999999999999</v>
      </c>
      <c r="O841">
        <v>113.9375</v>
      </c>
      <c r="P841">
        <v>33.375507550000002</v>
      </c>
      <c r="Q841">
        <v>2.4262999999999999</v>
      </c>
      <c r="R841" t="s">
        <v>1016</v>
      </c>
      <c r="S841">
        <v>0</v>
      </c>
    </row>
    <row r="842" spans="1:19" x14ac:dyDescent="0.25">
      <c r="A842" t="s">
        <v>56</v>
      </c>
      <c r="B842" t="s">
        <v>881</v>
      </c>
      <c r="C842">
        <v>12</v>
      </c>
      <c r="D842" t="s">
        <v>25</v>
      </c>
      <c r="E842" t="s">
        <v>94</v>
      </c>
      <c r="F842" t="s">
        <v>112</v>
      </c>
      <c r="G842" t="s">
        <v>121</v>
      </c>
      <c r="H842" t="s">
        <v>241</v>
      </c>
      <c r="J842">
        <v>0</v>
      </c>
      <c r="K842">
        <v>4</v>
      </c>
      <c r="L842">
        <v>65.09375</v>
      </c>
      <c r="M842">
        <v>37.895352600000002</v>
      </c>
      <c r="N842">
        <v>2.2882677779999998</v>
      </c>
      <c r="O842">
        <v>114</v>
      </c>
      <c r="P842">
        <v>30.43077242</v>
      </c>
      <c r="Q842">
        <v>0.53383111100000002</v>
      </c>
      <c r="R842" t="s">
        <v>1016</v>
      </c>
      <c r="S842">
        <v>7.4645801800000022</v>
      </c>
    </row>
    <row r="843" spans="1:19" x14ac:dyDescent="0.25">
      <c r="A843" t="s">
        <v>57</v>
      </c>
      <c r="B843" t="s">
        <v>882</v>
      </c>
      <c r="C843">
        <v>12</v>
      </c>
      <c r="D843" t="s">
        <v>27</v>
      </c>
      <c r="E843" t="s">
        <v>94</v>
      </c>
      <c r="F843" t="s">
        <v>105</v>
      </c>
      <c r="G843" t="s">
        <v>121</v>
      </c>
      <c r="H843" t="s">
        <v>247</v>
      </c>
      <c r="J843">
        <v>0</v>
      </c>
      <c r="K843">
        <v>1</v>
      </c>
      <c r="L843">
        <v>67.5</v>
      </c>
      <c r="M843">
        <v>47.937235809999997</v>
      </c>
      <c r="N843">
        <v>0.41599678000000001</v>
      </c>
      <c r="O843">
        <v>65.791044779999993</v>
      </c>
      <c r="P843">
        <v>22.94519201</v>
      </c>
      <c r="Q843">
        <v>8.1320334999999994E-2</v>
      </c>
      <c r="R843" t="s">
        <v>1016</v>
      </c>
      <c r="S843">
        <v>24.992043799999998</v>
      </c>
    </row>
    <row r="844" spans="1:19" x14ac:dyDescent="0.25">
      <c r="A844" t="s">
        <v>57</v>
      </c>
      <c r="B844" t="s">
        <v>882</v>
      </c>
      <c r="C844">
        <v>12</v>
      </c>
      <c r="D844" t="s">
        <v>27</v>
      </c>
      <c r="E844" t="s">
        <v>94</v>
      </c>
      <c r="F844" t="s">
        <v>105</v>
      </c>
      <c r="G844" t="s">
        <v>121</v>
      </c>
      <c r="H844" t="s">
        <v>103</v>
      </c>
      <c r="J844">
        <v>0</v>
      </c>
      <c r="K844">
        <v>1</v>
      </c>
      <c r="L844">
        <v>67.5</v>
      </c>
      <c r="M844">
        <v>47.937235809999997</v>
      </c>
      <c r="N844">
        <v>0.41599678000000001</v>
      </c>
      <c r="O844">
        <v>98.291666669999998</v>
      </c>
      <c r="P844">
        <v>30.315130790000001</v>
      </c>
      <c r="Q844">
        <v>5.0803484000000003E-2</v>
      </c>
      <c r="R844" t="s">
        <v>1016</v>
      </c>
      <c r="S844">
        <v>17.622105019999996</v>
      </c>
    </row>
    <row r="845" spans="1:19" x14ac:dyDescent="0.25">
      <c r="A845" t="s">
        <v>57</v>
      </c>
      <c r="B845" t="s">
        <v>882</v>
      </c>
      <c r="C845">
        <v>12</v>
      </c>
      <c r="D845" t="s">
        <v>27</v>
      </c>
      <c r="E845" t="s">
        <v>94</v>
      </c>
      <c r="F845" t="s">
        <v>105</v>
      </c>
      <c r="G845" t="s">
        <v>121</v>
      </c>
      <c r="H845" t="s">
        <v>233</v>
      </c>
      <c r="J845">
        <v>0</v>
      </c>
      <c r="K845">
        <v>6</v>
      </c>
      <c r="L845">
        <v>67.5</v>
      </c>
      <c r="M845">
        <v>47.937235809999997</v>
      </c>
      <c r="N845">
        <v>0.41599678000000001</v>
      </c>
      <c r="O845">
        <v>106.0540541</v>
      </c>
      <c r="P845">
        <v>52.690533369999997</v>
      </c>
      <c r="Q845">
        <v>7.6058968000000005E-2</v>
      </c>
      <c r="R845" t="s">
        <v>1016</v>
      </c>
      <c r="S845">
        <v>-4.75329756</v>
      </c>
    </row>
    <row r="846" spans="1:19" x14ac:dyDescent="0.25">
      <c r="A846" t="s">
        <v>57</v>
      </c>
      <c r="B846" t="s">
        <v>883</v>
      </c>
      <c r="C846">
        <v>12</v>
      </c>
      <c r="D846" t="s">
        <v>27</v>
      </c>
      <c r="E846" t="s">
        <v>94</v>
      </c>
      <c r="F846" t="s">
        <v>113</v>
      </c>
      <c r="G846" t="s">
        <v>121</v>
      </c>
      <c r="H846" t="s">
        <v>114</v>
      </c>
      <c r="J846">
        <v>0</v>
      </c>
      <c r="K846" t="s">
        <v>114</v>
      </c>
      <c r="L846">
        <v>83.757575759999995</v>
      </c>
      <c r="M846">
        <v>22.60997987</v>
      </c>
      <c r="N846">
        <v>0.72884000000000004</v>
      </c>
      <c r="O846" t="s">
        <v>114</v>
      </c>
      <c r="P846" t="s">
        <v>114</v>
      </c>
      <c r="Q846" t="s">
        <v>114</v>
      </c>
      <c r="R846" t="s">
        <v>1016</v>
      </c>
      <c r="S846" t="s">
        <v>114</v>
      </c>
    </row>
    <row r="847" spans="1:19" x14ac:dyDescent="0.25">
      <c r="A847" t="s">
        <v>57</v>
      </c>
      <c r="B847" t="s">
        <v>884</v>
      </c>
      <c r="C847">
        <v>12</v>
      </c>
      <c r="D847" t="s">
        <v>27</v>
      </c>
      <c r="E847" t="s">
        <v>94</v>
      </c>
      <c r="F847" t="s">
        <v>112</v>
      </c>
      <c r="G847" t="s">
        <v>112</v>
      </c>
      <c r="H847" t="s">
        <v>112</v>
      </c>
      <c r="J847">
        <v>0</v>
      </c>
      <c r="K847">
        <v>2</v>
      </c>
      <c r="L847">
        <v>65.09375</v>
      </c>
      <c r="M847">
        <v>37.895352600000002</v>
      </c>
      <c r="N847">
        <v>2.2882677779999998</v>
      </c>
      <c r="O847">
        <v>65.09375</v>
      </c>
      <c r="P847">
        <v>37.895352600000002</v>
      </c>
      <c r="Q847">
        <v>2.2882677779999998</v>
      </c>
      <c r="R847" t="s">
        <v>1016</v>
      </c>
      <c r="S847">
        <v>0</v>
      </c>
    </row>
    <row r="848" spans="1:19" x14ac:dyDescent="0.25">
      <c r="A848" t="s">
        <v>57</v>
      </c>
      <c r="B848" t="s">
        <v>884</v>
      </c>
      <c r="C848">
        <v>12</v>
      </c>
      <c r="D848" t="s">
        <v>27</v>
      </c>
      <c r="E848" t="s">
        <v>94</v>
      </c>
      <c r="F848" t="s">
        <v>112</v>
      </c>
      <c r="G848" t="s">
        <v>112</v>
      </c>
      <c r="H848" t="s">
        <v>247</v>
      </c>
      <c r="J848">
        <v>0</v>
      </c>
      <c r="K848">
        <v>1</v>
      </c>
      <c r="L848">
        <v>65.09375</v>
      </c>
      <c r="M848">
        <v>37.895352600000002</v>
      </c>
      <c r="N848">
        <v>2.2882677779999998</v>
      </c>
      <c r="O848">
        <v>65.791044779999993</v>
      </c>
      <c r="P848">
        <v>22.94519201</v>
      </c>
      <c r="Q848">
        <v>8.1320334999999994E-2</v>
      </c>
      <c r="R848" t="s">
        <v>1016</v>
      </c>
      <c r="S848">
        <v>14.950160590000003</v>
      </c>
    </row>
    <row r="849" spans="1:19" x14ac:dyDescent="0.25">
      <c r="A849" t="s">
        <v>58</v>
      </c>
      <c r="B849" t="s">
        <v>885</v>
      </c>
      <c r="C849">
        <v>12</v>
      </c>
      <c r="D849" t="s">
        <v>29</v>
      </c>
      <c r="E849" t="s">
        <v>95</v>
      </c>
      <c r="F849" t="s">
        <v>102</v>
      </c>
      <c r="G849" t="s">
        <v>104</v>
      </c>
      <c r="H849" t="s">
        <v>104</v>
      </c>
      <c r="J849">
        <v>0</v>
      </c>
      <c r="K849">
        <v>1</v>
      </c>
      <c r="L849">
        <v>84.740740740000007</v>
      </c>
      <c r="M849">
        <v>29.167014049999999</v>
      </c>
      <c r="N849">
        <v>1.1169849999999999</v>
      </c>
      <c r="O849">
        <v>113.9375</v>
      </c>
      <c r="P849">
        <v>33.375507550000002</v>
      </c>
      <c r="Q849">
        <v>2.4262999999999999</v>
      </c>
      <c r="R849" t="s">
        <v>1016</v>
      </c>
      <c r="S849">
        <v>-4.208493500000003</v>
      </c>
    </row>
    <row r="850" spans="1:19" x14ac:dyDescent="0.25">
      <c r="A850" t="s">
        <v>58</v>
      </c>
      <c r="B850" t="s">
        <v>885</v>
      </c>
      <c r="C850">
        <v>12</v>
      </c>
      <c r="D850" t="s">
        <v>29</v>
      </c>
      <c r="E850" t="s">
        <v>95</v>
      </c>
      <c r="F850" t="s">
        <v>102</v>
      </c>
      <c r="G850" t="s">
        <v>104</v>
      </c>
      <c r="H850" t="s">
        <v>246</v>
      </c>
      <c r="J850">
        <v>0</v>
      </c>
      <c r="K850">
        <v>1</v>
      </c>
      <c r="L850">
        <v>84.740740740000007</v>
      </c>
      <c r="M850">
        <v>29.167014049999999</v>
      </c>
      <c r="N850">
        <v>1.1169849999999999</v>
      </c>
      <c r="O850">
        <v>120.25</v>
      </c>
      <c r="P850">
        <v>30.670450110000001</v>
      </c>
      <c r="Q850">
        <v>0.91037498500000003</v>
      </c>
      <c r="R850" t="s">
        <v>1016</v>
      </c>
      <c r="S850">
        <v>-1.5034360600000021</v>
      </c>
    </row>
    <row r="851" spans="1:19" x14ac:dyDescent="0.25">
      <c r="A851" t="s">
        <v>58</v>
      </c>
      <c r="B851" t="s">
        <v>886</v>
      </c>
      <c r="C851">
        <v>12</v>
      </c>
      <c r="D851" t="s">
        <v>29</v>
      </c>
      <c r="E851" t="s">
        <v>95</v>
      </c>
      <c r="F851" t="s">
        <v>110</v>
      </c>
      <c r="G851" t="s">
        <v>121</v>
      </c>
      <c r="H851" t="s">
        <v>246</v>
      </c>
      <c r="I851" t="s">
        <v>162</v>
      </c>
      <c r="J851">
        <v>1</v>
      </c>
      <c r="K851">
        <v>1</v>
      </c>
      <c r="L851">
        <v>73.260869569999997</v>
      </c>
      <c r="M851">
        <v>34.453830549999999</v>
      </c>
      <c r="N851">
        <v>1.058333333</v>
      </c>
      <c r="O851">
        <v>120.25</v>
      </c>
      <c r="P851">
        <v>30.670450110000001</v>
      </c>
      <c r="Q851">
        <v>0.91037498500000003</v>
      </c>
      <c r="R851" t="s">
        <v>1016</v>
      </c>
      <c r="S851">
        <v>3.7833804399999984</v>
      </c>
    </row>
    <row r="852" spans="1:19" x14ac:dyDescent="0.25">
      <c r="A852" t="s">
        <v>58</v>
      </c>
      <c r="B852" t="s">
        <v>886</v>
      </c>
      <c r="C852">
        <v>12</v>
      </c>
      <c r="D852" t="s">
        <v>29</v>
      </c>
      <c r="E852" t="s">
        <v>95</v>
      </c>
      <c r="F852" t="s">
        <v>110</v>
      </c>
      <c r="G852" t="s">
        <v>121</v>
      </c>
      <c r="H852" t="s">
        <v>239</v>
      </c>
      <c r="J852">
        <v>1</v>
      </c>
      <c r="K852">
        <v>1</v>
      </c>
      <c r="L852">
        <v>73.260869569999997</v>
      </c>
      <c r="M852">
        <v>34.453830549999999</v>
      </c>
      <c r="N852">
        <v>1.058333333</v>
      </c>
      <c r="O852">
        <v>100.45454549999999</v>
      </c>
      <c r="P852">
        <v>26.754810689999999</v>
      </c>
      <c r="Q852">
        <v>0.75829999999999997</v>
      </c>
      <c r="R852" t="s">
        <v>1016</v>
      </c>
      <c r="S852">
        <v>7.6990198599999999</v>
      </c>
    </row>
    <row r="853" spans="1:19" x14ac:dyDescent="0.25">
      <c r="A853" t="s">
        <v>58</v>
      </c>
      <c r="B853" t="s">
        <v>887</v>
      </c>
      <c r="C853">
        <v>12</v>
      </c>
      <c r="D853" t="s">
        <v>29</v>
      </c>
      <c r="E853" t="s">
        <v>95</v>
      </c>
      <c r="F853" t="s">
        <v>103</v>
      </c>
      <c r="G853" t="s">
        <v>121</v>
      </c>
      <c r="H853" t="s">
        <v>249</v>
      </c>
      <c r="J853">
        <v>0</v>
      </c>
      <c r="K853">
        <v>1</v>
      </c>
      <c r="L853">
        <v>98.291666669999998</v>
      </c>
      <c r="M853">
        <v>30.315130790000001</v>
      </c>
      <c r="N853">
        <v>5.0803484000000003E-2</v>
      </c>
      <c r="O853">
        <v>81.666666669999998</v>
      </c>
      <c r="P853">
        <v>48.056268459999998</v>
      </c>
      <c r="Q853">
        <v>0.120291364</v>
      </c>
      <c r="R853" t="s">
        <v>1016</v>
      </c>
      <c r="S853">
        <v>-17.741137669999997</v>
      </c>
    </row>
    <row r="854" spans="1:19" x14ac:dyDescent="0.25">
      <c r="A854" t="s">
        <v>58</v>
      </c>
      <c r="B854" t="s">
        <v>887</v>
      </c>
      <c r="C854">
        <v>12</v>
      </c>
      <c r="D854" t="s">
        <v>29</v>
      </c>
      <c r="E854" t="s">
        <v>95</v>
      </c>
      <c r="F854" t="s">
        <v>103</v>
      </c>
      <c r="G854" t="s">
        <v>121</v>
      </c>
      <c r="H854" t="s">
        <v>238</v>
      </c>
      <c r="J854">
        <v>0</v>
      </c>
      <c r="K854">
        <v>1</v>
      </c>
      <c r="L854">
        <v>98.291666669999998</v>
      </c>
      <c r="M854">
        <v>30.315130790000001</v>
      </c>
      <c r="N854">
        <v>5.0803484000000003E-2</v>
      </c>
      <c r="O854">
        <v>87.5</v>
      </c>
      <c r="P854">
        <v>29.478311600000001</v>
      </c>
      <c r="Q854">
        <v>3.0797751000000002E-2</v>
      </c>
      <c r="R854" t="s">
        <v>1016</v>
      </c>
      <c r="S854">
        <v>0.83681918999999994</v>
      </c>
    </row>
    <row r="855" spans="1:19" x14ac:dyDescent="0.25">
      <c r="A855" t="s">
        <v>59</v>
      </c>
      <c r="B855" t="s">
        <v>888</v>
      </c>
      <c r="C855">
        <v>12</v>
      </c>
      <c r="D855" t="s">
        <v>31</v>
      </c>
      <c r="E855" t="s">
        <v>94</v>
      </c>
      <c r="F855" t="s">
        <v>105</v>
      </c>
      <c r="G855" t="s">
        <v>121</v>
      </c>
      <c r="H855" t="s">
        <v>241</v>
      </c>
      <c r="J855">
        <v>0</v>
      </c>
      <c r="K855">
        <v>1</v>
      </c>
      <c r="L855">
        <v>67.5</v>
      </c>
      <c r="M855">
        <v>47.937235809999997</v>
      </c>
      <c r="N855">
        <v>0.41599678000000001</v>
      </c>
      <c r="O855">
        <v>114</v>
      </c>
      <c r="P855">
        <v>30.43077242</v>
      </c>
      <c r="Q855">
        <v>0.53383111100000002</v>
      </c>
      <c r="R855" t="s">
        <v>1016</v>
      </c>
      <c r="S855">
        <v>17.506463389999997</v>
      </c>
    </row>
    <row r="856" spans="1:19" x14ac:dyDescent="0.25">
      <c r="A856" t="s">
        <v>59</v>
      </c>
      <c r="B856" t="s">
        <v>889</v>
      </c>
      <c r="C856">
        <v>12</v>
      </c>
      <c r="D856" t="s">
        <v>31</v>
      </c>
      <c r="E856" t="s">
        <v>94</v>
      </c>
      <c r="F856" t="s">
        <v>110</v>
      </c>
      <c r="G856" t="s">
        <v>121</v>
      </c>
      <c r="H856" t="s">
        <v>241</v>
      </c>
      <c r="J856">
        <v>0</v>
      </c>
      <c r="K856">
        <v>2</v>
      </c>
      <c r="L856">
        <v>73.260869569999997</v>
      </c>
      <c r="M856">
        <v>34.453830549999999</v>
      </c>
      <c r="N856">
        <v>1.058333333</v>
      </c>
      <c r="O856">
        <v>114</v>
      </c>
      <c r="P856">
        <v>30.43077242</v>
      </c>
      <c r="Q856">
        <v>0.53383111100000002</v>
      </c>
      <c r="R856" t="s">
        <v>1016</v>
      </c>
      <c r="S856">
        <v>4.023058129999999</v>
      </c>
    </row>
    <row r="857" spans="1:19" x14ac:dyDescent="0.25">
      <c r="A857" t="s">
        <v>60</v>
      </c>
      <c r="B857" t="s">
        <v>890</v>
      </c>
      <c r="C857">
        <v>12</v>
      </c>
      <c r="D857" t="s">
        <v>33</v>
      </c>
      <c r="E857" t="s">
        <v>95</v>
      </c>
      <c r="F857" t="s">
        <v>102</v>
      </c>
      <c r="G857" t="s">
        <v>104</v>
      </c>
      <c r="H857" t="s">
        <v>104</v>
      </c>
      <c r="J857">
        <v>0</v>
      </c>
      <c r="K857">
        <v>1</v>
      </c>
      <c r="L857">
        <v>84.740740740000007</v>
      </c>
      <c r="M857">
        <v>29.167014049999999</v>
      </c>
      <c r="N857">
        <v>1.1169849999999999</v>
      </c>
      <c r="O857">
        <v>113.9375</v>
      </c>
      <c r="P857">
        <v>33.375507550000002</v>
      </c>
      <c r="Q857">
        <v>2.4262999999999999</v>
      </c>
      <c r="R857" t="s">
        <v>1016</v>
      </c>
      <c r="S857">
        <v>-4.208493500000003</v>
      </c>
    </row>
    <row r="858" spans="1:19" x14ac:dyDescent="0.25">
      <c r="A858" t="s">
        <v>60</v>
      </c>
      <c r="B858" t="s">
        <v>891</v>
      </c>
      <c r="C858">
        <v>12</v>
      </c>
      <c r="D858" t="s">
        <v>33</v>
      </c>
      <c r="E858" t="s">
        <v>95</v>
      </c>
      <c r="F858" t="s">
        <v>110</v>
      </c>
      <c r="G858" t="s">
        <v>121</v>
      </c>
      <c r="H858" t="s">
        <v>241</v>
      </c>
      <c r="J858">
        <v>0</v>
      </c>
      <c r="K858">
        <v>2</v>
      </c>
      <c r="L858">
        <v>73.260869569999997</v>
      </c>
      <c r="M858">
        <v>34.453830549999999</v>
      </c>
      <c r="N858">
        <v>1.058333333</v>
      </c>
      <c r="O858">
        <v>114</v>
      </c>
      <c r="P858">
        <v>30.43077242</v>
      </c>
      <c r="Q858">
        <v>0.53383111100000002</v>
      </c>
      <c r="R858" t="s">
        <v>1016</v>
      </c>
      <c r="S858">
        <v>4.023058129999999</v>
      </c>
    </row>
    <row r="859" spans="1:19" x14ac:dyDescent="0.25">
      <c r="A859" t="s">
        <v>60</v>
      </c>
      <c r="B859" t="s">
        <v>891</v>
      </c>
      <c r="C859">
        <v>12</v>
      </c>
      <c r="D859" t="s">
        <v>33</v>
      </c>
      <c r="E859" t="s">
        <v>95</v>
      </c>
      <c r="F859" t="s">
        <v>110</v>
      </c>
      <c r="G859" t="s">
        <v>121</v>
      </c>
      <c r="H859" t="s">
        <v>246</v>
      </c>
      <c r="J859">
        <v>0</v>
      </c>
      <c r="K859">
        <v>2</v>
      </c>
      <c r="L859">
        <v>73.260869569999997</v>
      </c>
      <c r="M859">
        <v>34.453830549999999</v>
      </c>
      <c r="N859">
        <v>1.058333333</v>
      </c>
      <c r="O859">
        <v>120.25</v>
      </c>
      <c r="P859">
        <v>30.670450110000001</v>
      </c>
      <c r="Q859">
        <v>0.91037498500000003</v>
      </c>
      <c r="R859" t="s">
        <v>1016</v>
      </c>
      <c r="S859">
        <v>3.7833804399999984</v>
      </c>
    </row>
    <row r="860" spans="1:19" x14ac:dyDescent="0.25">
      <c r="A860" t="s">
        <v>60</v>
      </c>
      <c r="B860" t="s">
        <v>892</v>
      </c>
      <c r="C860">
        <v>12</v>
      </c>
      <c r="D860" t="s">
        <v>33</v>
      </c>
      <c r="E860" t="s">
        <v>95</v>
      </c>
      <c r="F860" t="s">
        <v>104</v>
      </c>
      <c r="G860" t="s">
        <v>104</v>
      </c>
      <c r="H860" t="s">
        <v>104</v>
      </c>
      <c r="J860">
        <v>0</v>
      </c>
      <c r="K860">
        <v>1</v>
      </c>
      <c r="L860">
        <v>113.9375</v>
      </c>
      <c r="M860">
        <v>33.375507550000002</v>
      </c>
      <c r="N860">
        <v>2.4262999999999999</v>
      </c>
      <c r="O860">
        <v>113.9375</v>
      </c>
      <c r="P860">
        <v>33.375507550000002</v>
      </c>
      <c r="Q860">
        <v>2.4262999999999999</v>
      </c>
      <c r="R860" t="s">
        <v>1016</v>
      </c>
      <c r="S860">
        <v>0</v>
      </c>
    </row>
    <row r="861" spans="1:19" x14ac:dyDescent="0.25">
      <c r="A861" t="s">
        <v>60</v>
      </c>
      <c r="B861" t="s">
        <v>892</v>
      </c>
      <c r="C861">
        <v>12</v>
      </c>
      <c r="D861" t="s">
        <v>33</v>
      </c>
      <c r="E861" t="s">
        <v>95</v>
      </c>
      <c r="F861" t="s">
        <v>104</v>
      </c>
      <c r="G861" t="s">
        <v>104</v>
      </c>
      <c r="H861" t="s">
        <v>246</v>
      </c>
      <c r="J861">
        <v>0</v>
      </c>
      <c r="K861">
        <v>2</v>
      </c>
      <c r="L861">
        <v>113.9375</v>
      </c>
      <c r="M861">
        <v>33.375507550000002</v>
      </c>
      <c r="N861">
        <v>2.4262999999999999</v>
      </c>
      <c r="O861">
        <v>120.25</v>
      </c>
      <c r="P861">
        <v>30.670450110000001</v>
      </c>
      <c r="Q861">
        <v>0.91037498500000003</v>
      </c>
      <c r="R861" t="s">
        <v>1016</v>
      </c>
      <c r="S861">
        <v>2.7050574400000009</v>
      </c>
    </row>
    <row r="862" spans="1:19" x14ac:dyDescent="0.25">
      <c r="A862" t="s">
        <v>60</v>
      </c>
      <c r="B862" t="s">
        <v>892</v>
      </c>
      <c r="C862">
        <v>12</v>
      </c>
      <c r="D862" t="s">
        <v>33</v>
      </c>
      <c r="E862" t="s">
        <v>95</v>
      </c>
      <c r="F862" t="s">
        <v>104</v>
      </c>
      <c r="G862" t="s">
        <v>104</v>
      </c>
      <c r="H862" t="s">
        <v>797</v>
      </c>
      <c r="J862">
        <v>0</v>
      </c>
      <c r="K862">
        <v>1</v>
      </c>
      <c r="L862">
        <v>113.9375</v>
      </c>
      <c r="M862">
        <v>33.375507550000002</v>
      </c>
      <c r="N862">
        <v>2.4262999999999999</v>
      </c>
      <c r="O862">
        <v>179.45454549999999</v>
      </c>
      <c r="P862">
        <v>26.326869609999999</v>
      </c>
      <c r="Q862">
        <v>2.3456094639999998</v>
      </c>
      <c r="R862" t="s">
        <v>1016</v>
      </c>
      <c r="S862">
        <v>7.0486379400000025</v>
      </c>
    </row>
    <row r="863" spans="1:19" x14ac:dyDescent="0.25">
      <c r="A863" t="s">
        <v>60</v>
      </c>
      <c r="B863" t="s">
        <v>892</v>
      </c>
      <c r="C863">
        <v>12</v>
      </c>
      <c r="D863" t="s">
        <v>33</v>
      </c>
      <c r="E863" t="s">
        <v>95</v>
      </c>
      <c r="F863" t="s">
        <v>104</v>
      </c>
      <c r="G863" t="s">
        <v>104</v>
      </c>
      <c r="H863" t="s">
        <v>247</v>
      </c>
      <c r="J863">
        <v>0</v>
      </c>
      <c r="K863">
        <v>1</v>
      </c>
      <c r="L863">
        <v>113.9375</v>
      </c>
      <c r="M863">
        <v>33.375507550000002</v>
      </c>
      <c r="N863">
        <v>2.4262999999999999</v>
      </c>
      <c r="O863">
        <v>65.791044779999993</v>
      </c>
      <c r="P863">
        <v>22.94519201</v>
      </c>
      <c r="Q863">
        <v>8.1320334999999994E-2</v>
      </c>
      <c r="R863" t="s">
        <v>1016</v>
      </c>
      <c r="S863">
        <v>10.430315540000002</v>
      </c>
    </row>
    <row r="864" spans="1:19" x14ac:dyDescent="0.25">
      <c r="A864" t="s">
        <v>60</v>
      </c>
      <c r="B864" t="s">
        <v>893</v>
      </c>
      <c r="C864">
        <v>12</v>
      </c>
      <c r="D864" t="s">
        <v>33</v>
      </c>
      <c r="E864" t="s">
        <v>95</v>
      </c>
      <c r="F864" t="s">
        <v>112</v>
      </c>
      <c r="G864" t="s">
        <v>121</v>
      </c>
      <c r="H864" t="s">
        <v>114</v>
      </c>
      <c r="J864">
        <v>0</v>
      </c>
      <c r="K864">
        <v>0</v>
      </c>
      <c r="L864">
        <v>65.09375</v>
      </c>
      <c r="M864">
        <v>37.895352600000002</v>
      </c>
      <c r="N864">
        <v>2.2882677779999998</v>
      </c>
      <c r="O864" t="s">
        <v>114</v>
      </c>
      <c r="P864" t="s">
        <v>114</v>
      </c>
      <c r="Q864" t="s">
        <v>114</v>
      </c>
      <c r="R864" t="s">
        <v>1016</v>
      </c>
      <c r="S864" t="s">
        <v>114</v>
      </c>
    </row>
    <row r="865" spans="1:19" x14ac:dyDescent="0.25">
      <c r="A865" t="s">
        <v>61</v>
      </c>
      <c r="B865" t="s">
        <v>894</v>
      </c>
      <c r="C865">
        <v>12</v>
      </c>
      <c r="D865" t="s">
        <v>35</v>
      </c>
      <c r="E865" t="s">
        <v>94</v>
      </c>
      <c r="F865" t="s">
        <v>102</v>
      </c>
      <c r="G865" t="s">
        <v>121</v>
      </c>
      <c r="H865" t="s">
        <v>162</v>
      </c>
      <c r="J865">
        <v>1</v>
      </c>
      <c r="K865">
        <v>1</v>
      </c>
      <c r="L865">
        <v>84.740740740000007</v>
      </c>
      <c r="M865">
        <v>29.167014049999999</v>
      </c>
      <c r="N865">
        <v>1.1169849999999999</v>
      </c>
      <c r="O865">
        <v>82.53846154</v>
      </c>
      <c r="P865">
        <v>35.660530039999998</v>
      </c>
      <c r="Q865">
        <v>3.3754499999999998</v>
      </c>
      <c r="R865" t="s">
        <v>1016</v>
      </c>
      <c r="S865">
        <v>-6.4935159899999988</v>
      </c>
    </row>
    <row r="866" spans="1:19" x14ac:dyDescent="0.25">
      <c r="A866" t="s">
        <v>61</v>
      </c>
      <c r="B866" t="s">
        <v>895</v>
      </c>
      <c r="C866">
        <v>12</v>
      </c>
      <c r="D866" t="s">
        <v>35</v>
      </c>
      <c r="E866" t="s">
        <v>94</v>
      </c>
      <c r="F866" t="s">
        <v>110</v>
      </c>
      <c r="G866" t="s">
        <v>121</v>
      </c>
      <c r="H866" t="s">
        <v>162</v>
      </c>
      <c r="J866">
        <v>0</v>
      </c>
      <c r="K866">
        <v>1</v>
      </c>
      <c r="L866">
        <v>73.260869569999997</v>
      </c>
      <c r="M866">
        <v>34.453830549999999</v>
      </c>
      <c r="N866">
        <v>1.058333333</v>
      </c>
      <c r="O866">
        <v>82.53846154</v>
      </c>
      <c r="P866">
        <v>35.660530039999998</v>
      </c>
      <c r="Q866">
        <v>3.3754499999999998</v>
      </c>
      <c r="R866" t="s">
        <v>1016</v>
      </c>
      <c r="S866">
        <v>-1.2066994899999983</v>
      </c>
    </row>
    <row r="867" spans="1:19" x14ac:dyDescent="0.25">
      <c r="A867" t="s">
        <v>61</v>
      </c>
      <c r="B867" t="s">
        <v>895</v>
      </c>
      <c r="C867">
        <v>12</v>
      </c>
      <c r="D867" t="s">
        <v>35</v>
      </c>
      <c r="E867" t="s">
        <v>94</v>
      </c>
      <c r="F867" t="s">
        <v>110</v>
      </c>
      <c r="G867" t="s">
        <v>121</v>
      </c>
      <c r="H867" t="s">
        <v>102</v>
      </c>
      <c r="J867">
        <v>0</v>
      </c>
      <c r="K867">
        <v>1</v>
      </c>
      <c r="L867">
        <v>73.260869569999997</v>
      </c>
      <c r="M867">
        <v>34.453830549999999</v>
      </c>
      <c r="N867">
        <v>1.058333333</v>
      </c>
      <c r="O867">
        <v>84.740740740000007</v>
      </c>
      <c r="P867">
        <v>29.167014049999999</v>
      </c>
      <c r="Q867">
        <v>1.1169849999999999</v>
      </c>
      <c r="R867" t="s">
        <v>1016</v>
      </c>
      <c r="S867">
        <v>5.2868165000000005</v>
      </c>
    </row>
    <row r="868" spans="1:19" x14ac:dyDescent="0.25">
      <c r="A868" t="s">
        <v>61</v>
      </c>
      <c r="B868" t="s">
        <v>896</v>
      </c>
      <c r="C868">
        <v>12</v>
      </c>
      <c r="D868" t="s">
        <v>35</v>
      </c>
      <c r="E868" t="s">
        <v>94</v>
      </c>
      <c r="F868" t="s">
        <v>112</v>
      </c>
      <c r="G868" t="s">
        <v>121</v>
      </c>
      <c r="H868" t="s">
        <v>162</v>
      </c>
      <c r="J868">
        <v>0</v>
      </c>
      <c r="K868">
        <v>1</v>
      </c>
      <c r="L868">
        <v>65.09375</v>
      </c>
      <c r="M868">
        <v>37.895352600000002</v>
      </c>
      <c r="N868">
        <v>2.2882677779999998</v>
      </c>
      <c r="O868">
        <v>82.53846154</v>
      </c>
      <c r="P868">
        <v>35.660530039999998</v>
      </c>
      <c r="Q868">
        <v>3.3754499999999998</v>
      </c>
      <c r="R868" t="s">
        <v>1016</v>
      </c>
      <c r="S868">
        <v>2.2348225600000049</v>
      </c>
    </row>
    <row r="869" spans="1:19" x14ac:dyDescent="0.25">
      <c r="A869" t="s">
        <v>62</v>
      </c>
      <c r="B869" t="s">
        <v>897</v>
      </c>
      <c r="C869">
        <v>12</v>
      </c>
      <c r="D869" t="s">
        <v>37</v>
      </c>
      <c r="E869" t="s">
        <v>95</v>
      </c>
      <c r="F869" t="s">
        <v>102</v>
      </c>
      <c r="G869" t="s">
        <v>121</v>
      </c>
      <c r="H869" t="s">
        <v>114</v>
      </c>
      <c r="J869">
        <v>0</v>
      </c>
      <c r="K869">
        <v>0</v>
      </c>
      <c r="L869">
        <v>84.740740740000007</v>
      </c>
      <c r="M869">
        <v>29.167014049999999</v>
      </c>
      <c r="N869">
        <v>1.1169849999999999</v>
      </c>
      <c r="O869" t="s">
        <v>114</v>
      </c>
      <c r="P869" t="s">
        <v>114</v>
      </c>
      <c r="Q869" t="s">
        <v>114</v>
      </c>
      <c r="R869" t="s">
        <v>1016</v>
      </c>
      <c r="S869" t="s">
        <v>114</v>
      </c>
    </row>
    <row r="870" spans="1:19" x14ac:dyDescent="0.25">
      <c r="A870" t="s">
        <v>62</v>
      </c>
      <c r="B870" t="s">
        <v>898</v>
      </c>
      <c r="C870">
        <v>12</v>
      </c>
      <c r="D870" t="s">
        <v>37</v>
      </c>
      <c r="E870" t="s">
        <v>95</v>
      </c>
      <c r="F870" t="s">
        <v>103</v>
      </c>
      <c r="G870" t="s">
        <v>121</v>
      </c>
      <c r="H870" t="s">
        <v>233</v>
      </c>
      <c r="J870">
        <v>0</v>
      </c>
      <c r="K870">
        <v>1</v>
      </c>
      <c r="L870">
        <v>98.291666669999998</v>
      </c>
      <c r="M870">
        <v>30.315130790000001</v>
      </c>
      <c r="N870">
        <v>5.0803484000000003E-2</v>
      </c>
      <c r="O870">
        <v>106.0540541</v>
      </c>
      <c r="P870">
        <v>52.690533369999997</v>
      </c>
      <c r="Q870">
        <v>7.6058968000000005E-2</v>
      </c>
      <c r="R870" t="s">
        <v>1016</v>
      </c>
      <c r="S870">
        <v>-22.375402579999996</v>
      </c>
    </row>
    <row r="871" spans="1:19" x14ac:dyDescent="0.25">
      <c r="A871" t="s">
        <v>62</v>
      </c>
      <c r="B871" t="s">
        <v>898</v>
      </c>
      <c r="C871">
        <v>12</v>
      </c>
      <c r="D871" t="s">
        <v>37</v>
      </c>
      <c r="E871" t="s">
        <v>95</v>
      </c>
      <c r="F871" t="s">
        <v>103</v>
      </c>
      <c r="G871" t="s">
        <v>121</v>
      </c>
      <c r="H871" t="s">
        <v>234</v>
      </c>
      <c r="J871">
        <v>0</v>
      </c>
      <c r="K871">
        <v>1</v>
      </c>
      <c r="L871">
        <v>98.291666669999998</v>
      </c>
      <c r="M871">
        <v>30.315130790000001</v>
      </c>
      <c r="N871">
        <v>5.0803484000000003E-2</v>
      </c>
      <c r="O871">
        <v>89.8125</v>
      </c>
      <c r="P871">
        <v>34.754706650000003</v>
      </c>
      <c r="Q871">
        <v>2.3065078999999999E-2</v>
      </c>
      <c r="R871" t="s">
        <v>1016</v>
      </c>
      <c r="S871">
        <v>-4.4395758600000015</v>
      </c>
    </row>
    <row r="872" spans="1:19" x14ac:dyDescent="0.25">
      <c r="A872" t="s">
        <v>62</v>
      </c>
      <c r="B872" t="s">
        <v>898</v>
      </c>
      <c r="C872">
        <v>12</v>
      </c>
      <c r="D872" t="s">
        <v>37</v>
      </c>
      <c r="E872" t="s">
        <v>95</v>
      </c>
      <c r="F872" t="s">
        <v>103</v>
      </c>
      <c r="G872" t="s">
        <v>121</v>
      </c>
      <c r="H872" t="s">
        <v>241</v>
      </c>
      <c r="J872">
        <v>0</v>
      </c>
      <c r="K872">
        <v>1</v>
      </c>
      <c r="L872">
        <v>98.291666669999998</v>
      </c>
      <c r="M872">
        <v>30.315130790000001</v>
      </c>
      <c r="N872">
        <v>5.0803484000000003E-2</v>
      </c>
      <c r="O872">
        <v>114</v>
      </c>
      <c r="P872">
        <v>30.43077242</v>
      </c>
      <c r="Q872">
        <v>0.53383111100000002</v>
      </c>
      <c r="R872" t="s">
        <v>1016</v>
      </c>
      <c r="S872">
        <v>-0.11564162999999894</v>
      </c>
    </row>
    <row r="873" spans="1:19" x14ac:dyDescent="0.25">
      <c r="A873" t="s">
        <v>63</v>
      </c>
      <c r="B873" t="s">
        <v>899</v>
      </c>
      <c r="C873">
        <v>12</v>
      </c>
      <c r="D873" t="s">
        <v>64</v>
      </c>
      <c r="E873" t="s">
        <v>94</v>
      </c>
      <c r="F873" t="s">
        <v>104</v>
      </c>
      <c r="G873" t="s">
        <v>121</v>
      </c>
      <c r="H873" t="s">
        <v>238</v>
      </c>
      <c r="J873">
        <v>0</v>
      </c>
      <c r="K873">
        <v>2</v>
      </c>
      <c r="L873">
        <v>113.9375</v>
      </c>
      <c r="M873">
        <v>33.375507550000002</v>
      </c>
      <c r="N873">
        <v>2.4262999999999999</v>
      </c>
      <c r="O873">
        <v>87.5</v>
      </c>
      <c r="P873">
        <v>29.478311600000001</v>
      </c>
      <c r="Q873">
        <v>3.0797751000000002E-2</v>
      </c>
      <c r="R873" t="s">
        <v>1016</v>
      </c>
      <c r="S873">
        <v>3.8971959500000004</v>
      </c>
    </row>
    <row r="874" spans="1:19" x14ac:dyDescent="0.25">
      <c r="A874" t="s">
        <v>63</v>
      </c>
      <c r="B874" t="s">
        <v>899</v>
      </c>
      <c r="C874">
        <v>12</v>
      </c>
      <c r="D874" t="s">
        <v>64</v>
      </c>
      <c r="E874" t="s">
        <v>94</v>
      </c>
      <c r="F874" t="s">
        <v>104</v>
      </c>
      <c r="G874" t="s">
        <v>121</v>
      </c>
      <c r="H874" t="s">
        <v>103</v>
      </c>
      <c r="J874">
        <v>0</v>
      </c>
      <c r="K874">
        <v>1</v>
      </c>
      <c r="L874">
        <v>113.9375</v>
      </c>
      <c r="M874">
        <v>33.375507550000002</v>
      </c>
      <c r="N874">
        <v>2.4262999999999999</v>
      </c>
      <c r="O874">
        <v>98.291666669999998</v>
      </c>
      <c r="P874">
        <v>30.315130790000001</v>
      </c>
      <c r="Q874">
        <v>5.0803484000000003E-2</v>
      </c>
      <c r="R874" t="s">
        <v>1016</v>
      </c>
      <c r="S874">
        <v>3.0603767600000005</v>
      </c>
    </row>
    <row r="875" spans="1:19" x14ac:dyDescent="0.25">
      <c r="A875" t="s">
        <v>63</v>
      </c>
      <c r="B875" t="s">
        <v>899</v>
      </c>
      <c r="C875">
        <v>12</v>
      </c>
      <c r="D875" t="s">
        <v>64</v>
      </c>
      <c r="E875" t="s">
        <v>94</v>
      </c>
      <c r="F875" t="s">
        <v>104</v>
      </c>
      <c r="G875" t="s">
        <v>121</v>
      </c>
      <c r="H875" t="s">
        <v>248</v>
      </c>
      <c r="J875">
        <v>0</v>
      </c>
      <c r="K875">
        <v>2</v>
      </c>
      <c r="L875">
        <v>113.9375</v>
      </c>
      <c r="M875">
        <v>33.375507550000002</v>
      </c>
      <c r="N875">
        <v>2.4262999999999999</v>
      </c>
      <c r="O875">
        <v>83.92307692</v>
      </c>
      <c r="P875">
        <v>44.319135699999997</v>
      </c>
      <c r="Q875">
        <v>5.9548609999999997E-3</v>
      </c>
      <c r="R875" t="s">
        <v>1016</v>
      </c>
      <c r="S875">
        <v>-10.943628149999995</v>
      </c>
    </row>
    <row r="876" spans="1:19" x14ac:dyDescent="0.25">
      <c r="A876" t="s">
        <v>65</v>
      </c>
      <c r="B876" t="s">
        <v>900</v>
      </c>
      <c r="C876">
        <v>12</v>
      </c>
      <c r="D876" t="s">
        <v>66</v>
      </c>
      <c r="E876" t="s">
        <v>95</v>
      </c>
      <c r="F876" t="s">
        <v>105</v>
      </c>
      <c r="G876" t="s">
        <v>121</v>
      </c>
      <c r="H876" t="s">
        <v>111</v>
      </c>
      <c r="J876">
        <v>0</v>
      </c>
      <c r="K876">
        <v>1</v>
      </c>
      <c r="L876">
        <v>67.5</v>
      </c>
      <c r="M876">
        <v>47.937235809999997</v>
      </c>
      <c r="N876">
        <v>0.41599678000000001</v>
      </c>
      <c r="O876">
        <v>94.97142857</v>
      </c>
      <c r="P876">
        <v>24.31591813</v>
      </c>
      <c r="Q876">
        <v>0.122951111</v>
      </c>
      <c r="R876" t="s">
        <v>1016</v>
      </c>
      <c r="S876">
        <v>23.621317679999997</v>
      </c>
    </row>
    <row r="877" spans="1:19" x14ac:dyDescent="0.25">
      <c r="A877" t="s">
        <v>65</v>
      </c>
      <c r="B877" t="s">
        <v>900</v>
      </c>
      <c r="C877">
        <v>12</v>
      </c>
      <c r="D877" t="s">
        <v>66</v>
      </c>
      <c r="E877" t="s">
        <v>95</v>
      </c>
      <c r="F877" t="s">
        <v>105</v>
      </c>
      <c r="G877" t="s">
        <v>121</v>
      </c>
      <c r="H877" t="s">
        <v>808</v>
      </c>
      <c r="J877">
        <v>0</v>
      </c>
      <c r="K877">
        <v>1</v>
      </c>
      <c r="L877">
        <v>67.5</v>
      </c>
      <c r="M877">
        <v>47.937235809999997</v>
      </c>
      <c r="N877">
        <v>0.41599678000000001</v>
      </c>
      <c r="O877">
        <v>102.79166669999999</v>
      </c>
      <c r="P877">
        <v>27.057373470000002</v>
      </c>
      <c r="Q877">
        <v>6.3567849939999999</v>
      </c>
      <c r="R877" t="s">
        <v>1016</v>
      </c>
      <c r="S877">
        <v>20.879862339999995</v>
      </c>
    </row>
    <row r="878" spans="1:19" x14ac:dyDescent="0.25">
      <c r="A878" t="s">
        <v>65</v>
      </c>
      <c r="B878" t="s">
        <v>900</v>
      </c>
      <c r="C878">
        <v>12</v>
      </c>
      <c r="D878" t="s">
        <v>66</v>
      </c>
      <c r="E878" t="s">
        <v>95</v>
      </c>
      <c r="F878" t="s">
        <v>105</v>
      </c>
      <c r="G878" t="s">
        <v>121</v>
      </c>
      <c r="H878" t="s">
        <v>247</v>
      </c>
      <c r="J878">
        <v>0</v>
      </c>
      <c r="K878">
        <v>1</v>
      </c>
      <c r="L878">
        <v>67.5</v>
      </c>
      <c r="M878">
        <v>47.937235809999997</v>
      </c>
      <c r="N878">
        <v>0.41599678000000001</v>
      </c>
      <c r="O878">
        <v>65.791044779999993</v>
      </c>
      <c r="P878">
        <v>22.94519201</v>
      </c>
      <c r="Q878">
        <v>8.1320334999999994E-2</v>
      </c>
      <c r="R878" t="s">
        <v>1016</v>
      </c>
      <c r="S878">
        <v>24.992043799999998</v>
      </c>
    </row>
    <row r="879" spans="1:19" x14ac:dyDescent="0.25">
      <c r="A879" t="s">
        <v>65</v>
      </c>
      <c r="B879" t="s">
        <v>900</v>
      </c>
      <c r="C879">
        <v>12</v>
      </c>
      <c r="D879" t="s">
        <v>66</v>
      </c>
      <c r="E879" t="s">
        <v>95</v>
      </c>
      <c r="F879" t="s">
        <v>105</v>
      </c>
      <c r="G879" t="s">
        <v>121</v>
      </c>
      <c r="H879" t="s">
        <v>248</v>
      </c>
      <c r="J879">
        <v>0</v>
      </c>
      <c r="K879">
        <v>2</v>
      </c>
      <c r="L879">
        <v>67.5</v>
      </c>
      <c r="M879">
        <v>47.937235809999997</v>
      </c>
      <c r="N879">
        <v>0.41599678000000001</v>
      </c>
      <c r="O879">
        <v>83.92307692</v>
      </c>
      <c r="P879">
        <v>44.319135699999997</v>
      </c>
      <c r="Q879">
        <v>5.9548609999999997E-3</v>
      </c>
      <c r="R879" t="s">
        <v>1016</v>
      </c>
      <c r="S879">
        <v>3.6181001100000003</v>
      </c>
    </row>
    <row r="880" spans="1:19" x14ac:dyDescent="0.25">
      <c r="A880" t="s">
        <v>10</v>
      </c>
      <c r="B880" t="s">
        <v>901</v>
      </c>
      <c r="C880">
        <v>15</v>
      </c>
      <c r="D880" t="s">
        <v>11</v>
      </c>
      <c r="E880" t="s">
        <v>94</v>
      </c>
      <c r="F880" t="s">
        <v>102</v>
      </c>
      <c r="G880" t="s">
        <v>102</v>
      </c>
      <c r="H880" t="s">
        <v>102</v>
      </c>
      <c r="J880">
        <v>0</v>
      </c>
      <c r="K880">
        <v>1</v>
      </c>
      <c r="L880">
        <v>84.740740740000007</v>
      </c>
      <c r="M880">
        <v>29.167014049999999</v>
      </c>
      <c r="N880">
        <v>1.1169849999999999</v>
      </c>
      <c r="O880">
        <v>84.740740740000007</v>
      </c>
      <c r="P880">
        <v>29.167014049999999</v>
      </c>
      <c r="Q880">
        <v>1.1169849999999999</v>
      </c>
      <c r="R880" t="s">
        <v>1016</v>
      </c>
      <c r="S880">
        <v>0</v>
      </c>
    </row>
    <row r="881" spans="1:19" x14ac:dyDescent="0.25">
      <c r="A881" t="s">
        <v>10</v>
      </c>
      <c r="B881" t="s">
        <v>901</v>
      </c>
      <c r="C881">
        <v>16</v>
      </c>
      <c r="D881" t="s">
        <v>11</v>
      </c>
      <c r="E881" t="s">
        <v>94</v>
      </c>
      <c r="F881" t="s">
        <v>102</v>
      </c>
      <c r="G881" t="s">
        <v>102</v>
      </c>
      <c r="H881" t="s">
        <v>111</v>
      </c>
      <c r="J881">
        <v>0</v>
      </c>
      <c r="K881">
        <v>1</v>
      </c>
      <c r="L881">
        <v>84.740740740000007</v>
      </c>
      <c r="M881">
        <v>29.167014049999999</v>
      </c>
      <c r="N881">
        <v>1.1169849999999999</v>
      </c>
      <c r="O881">
        <v>94.97142857</v>
      </c>
      <c r="P881">
        <v>24.31591813</v>
      </c>
      <c r="Q881">
        <v>0.122951111</v>
      </c>
      <c r="R881" t="s">
        <v>1016</v>
      </c>
      <c r="S881">
        <v>4.8510959199999988</v>
      </c>
    </row>
    <row r="882" spans="1:19" x14ac:dyDescent="0.25">
      <c r="A882" t="s">
        <v>10</v>
      </c>
      <c r="B882" t="s">
        <v>902</v>
      </c>
      <c r="C882">
        <v>15</v>
      </c>
      <c r="D882" t="s">
        <v>11</v>
      </c>
      <c r="E882" t="s">
        <v>94</v>
      </c>
      <c r="F882" t="s">
        <v>105</v>
      </c>
      <c r="G882" t="s">
        <v>121</v>
      </c>
      <c r="H882" t="s">
        <v>244</v>
      </c>
      <c r="J882">
        <v>0</v>
      </c>
      <c r="K882">
        <v>2</v>
      </c>
      <c r="L882">
        <v>67.5</v>
      </c>
      <c r="M882">
        <v>47.937235809999997</v>
      </c>
      <c r="N882">
        <v>0.41599678000000001</v>
      </c>
      <c r="O882">
        <v>75</v>
      </c>
      <c r="P882">
        <v>28.80614499</v>
      </c>
      <c r="Q882">
        <v>2.3860428570000001</v>
      </c>
      <c r="R882" t="s">
        <v>1016</v>
      </c>
      <c r="S882">
        <v>19.131090819999997</v>
      </c>
    </row>
    <row r="883" spans="1:19" x14ac:dyDescent="0.25">
      <c r="A883" t="s">
        <v>10</v>
      </c>
      <c r="B883" t="s">
        <v>902</v>
      </c>
      <c r="C883">
        <v>16</v>
      </c>
      <c r="D883" t="s">
        <v>11</v>
      </c>
      <c r="E883" t="s">
        <v>94</v>
      </c>
      <c r="F883" t="s">
        <v>105</v>
      </c>
      <c r="G883" t="s">
        <v>121</v>
      </c>
      <c r="H883" t="s">
        <v>104</v>
      </c>
      <c r="J883">
        <v>0</v>
      </c>
      <c r="K883">
        <v>1</v>
      </c>
      <c r="L883">
        <v>67.5</v>
      </c>
      <c r="M883">
        <v>47.937235809999997</v>
      </c>
      <c r="N883">
        <v>0.41599678000000001</v>
      </c>
      <c r="O883">
        <v>113.9375</v>
      </c>
      <c r="P883">
        <v>33.375507550000002</v>
      </c>
      <c r="Q883">
        <v>2.4262999999999999</v>
      </c>
      <c r="R883" t="s">
        <v>1016</v>
      </c>
      <c r="S883">
        <v>14.561728259999995</v>
      </c>
    </row>
    <row r="884" spans="1:19" x14ac:dyDescent="0.25">
      <c r="A884" t="s">
        <v>10</v>
      </c>
      <c r="B884" t="s">
        <v>903</v>
      </c>
      <c r="C884">
        <v>15</v>
      </c>
      <c r="D884" t="s">
        <v>11</v>
      </c>
      <c r="E884" t="s">
        <v>94</v>
      </c>
      <c r="F884" t="s">
        <v>103</v>
      </c>
      <c r="G884" t="s">
        <v>121</v>
      </c>
      <c r="H884" t="s">
        <v>245</v>
      </c>
      <c r="J884">
        <v>0</v>
      </c>
      <c r="K884">
        <v>1</v>
      </c>
      <c r="L884">
        <v>98.291666669999998</v>
      </c>
      <c r="M884">
        <v>30.315130790000001</v>
      </c>
      <c r="N884">
        <v>5.0803484000000003E-2</v>
      </c>
      <c r="O884" t="s">
        <v>114</v>
      </c>
      <c r="P884" t="s">
        <v>114</v>
      </c>
      <c r="Q884" t="s">
        <v>114</v>
      </c>
      <c r="R884" t="s">
        <v>1016</v>
      </c>
      <c r="S884" t="s">
        <v>114</v>
      </c>
    </row>
    <row r="885" spans="1:19" x14ac:dyDescent="0.25">
      <c r="A885" t="s">
        <v>10</v>
      </c>
      <c r="B885" t="s">
        <v>904</v>
      </c>
      <c r="C885">
        <v>15</v>
      </c>
      <c r="D885" t="s">
        <v>11</v>
      </c>
      <c r="E885" t="s">
        <v>94</v>
      </c>
      <c r="F885" t="s">
        <v>104</v>
      </c>
      <c r="G885" t="s">
        <v>121</v>
      </c>
      <c r="H885" t="s">
        <v>242</v>
      </c>
      <c r="J885">
        <v>0</v>
      </c>
      <c r="K885">
        <v>6</v>
      </c>
      <c r="L885">
        <v>113.9375</v>
      </c>
      <c r="M885">
        <v>33.375507550000002</v>
      </c>
      <c r="N885">
        <v>2.4262999999999999</v>
      </c>
      <c r="O885">
        <v>139.375</v>
      </c>
      <c r="P885">
        <v>23.713465920000001</v>
      </c>
      <c r="Q885" t="s">
        <v>114</v>
      </c>
      <c r="R885" t="s">
        <v>1016</v>
      </c>
      <c r="S885">
        <v>9.6620416300000009</v>
      </c>
    </row>
    <row r="886" spans="1:19" x14ac:dyDescent="0.25">
      <c r="A886" t="s">
        <v>14</v>
      </c>
      <c r="B886" t="s">
        <v>905</v>
      </c>
      <c r="C886">
        <v>15</v>
      </c>
      <c r="D886" t="s">
        <v>15</v>
      </c>
      <c r="E886" t="s">
        <v>94</v>
      </c>
      <c r="F886" t="s">
        <v>102</v>
      </c>
      <c r="G886" t="s">
        <v>121</v>
      </c>
      <c r="H886" t="s">
        <v>114</v>
      </c>
      <c r="J886">
        <v>0</v>
      </c>
      <c r="K886" t="s">
        <v>114</v>
      </c>
      <c r="L886">
        <v>84.740740740000007</v>
      </c>
      <c r="M886">
        <v>29.167014049999999</v>
      </c>
      <c r="N886">
        <v>1.1169849999999999</v>
      </c>
      <c r="O886" t="s">
        <v>114</v>
      </c>
      <c r="P886" t="s">
        <v>114</v>
      </c>
      <c r="Q886" t="s">
        <v>114</v>
      </c>
      <c r="R886" t="s">
        <v>1016</v>
      </c>
      <c r="S886" t="s">
        <v>114</v>
      </c>
    </row>
    <row r="887" spans="1:19" x14ac:dyDescent="0.25">
      <c r="A887" t="s">
        <v>14</v>
      </c>
      <c r="B887" t="s">
        <v>906</v>
      </c>
      <c r="C887">
        <v>15</v>
      </c>
      <c r="D887" t="s">
        <v>15</v>
      </c>
      <c r="E887" t="s">
        <v>94</v>
      </c>
      <c r="F887" t="s">
        <v>110</v>
      </c>
      <c r="G887" t="s">
        <v>121</v>
      </c>
      <c r="H887" t="s">
        <v>114</v>
      </c>
      <c r="J887">
        <v>0</v>
      </c>
      <c r="K887" t="s">
        <v>114</v>
      </c>
      <c r="L887">
        <v>73.260869569999997</v>
      </c>
      <c r="M887">
        <v>34.453830549999999</v>
      </c>
      <c r="N887">
        <v>1.058333333</v>
      </c>
      <c r="O887" t="s">
        <v>114</v>
      </c>
      <c r="P887" t="s">
        <v>114</v>
      </c>
      <c r="Q887" t="s">
        <v>114</v>
      </c>
      <c r="R887" t="s">
        <v>1016</v>
      </c>
      <c r="S887" t="s">
        <v>114</v>
      </c>
    </row>
    <row r="888" spans="1:19" x14ac:dyDescent="0.25">
      <c r="A888" t="s">
        <v>14</v>
      </c>
      <c r="B888" t="s">
        <v>907</v>
      </c>
      <c r="C888">
        <v>15</v>
      </c>
      <c r="D888" t="s">
        <v>15</v>
      </c>
      <c r="E888" t="s">
        <v>94</v>
      </c>
      <c r="F888" t="s">
        <v>111</v>
      </c>
      <c r="G888" t="s">
        <v>110</v>
      </c>
      <c r="H888" t="s">
        <v>110</v>
      </c>
      <c r="J888">
        <v>0</v>
      </c>
      <c r="K888">
        <v>1</v>
      </c>
      <c r="L888">
        <v>94.97142857</v>
      </c>
      <c r="M888">
        <v>24.31591813</v>
      </c>
      <c r="N888">
        <v>0.122951111</v>
      </c>
      <c r="O888">
        <v>73.260869569999997</v>
      </c>
      <c r="P888">
        <v>34.453830549999999</v>
      </c>
      <c r="Q888">
        <v>1.058333333</v>
      </c>
      <c r="R888" t="s">
        <v>1016</v>
      </c>
      <c r="S888">
        <v>-10.137912419999999</v>
      </c>
    </row>
    <row r="889" spans="1:19" x14ac:dyDescent="0.25">
      <c r="A889" t="s">
        <v>14</v>
      </c>
      <c r="B889" t="s">
        <v>908</v>
      </c>
      <c r="C889">
        <v>15</v>
      </c>
      <c r="D889" t="s">
        <v>15</v>
      </c>
      <c r="E889" t="s">
        <v>94</v>
      </c>
      <c r="F889" t="s">
        <v>104</v>
      </c>
      <c r="G889" t="s">
        <v>110</v>
      </c>
      <c r="H889" t="s">
        <v>110</v>
      </c>
      <c r="J889">
        <v>0</v>
      </c>
      <c r="K889">
        <v>1</v>
      </c>
      <c r="L889">
        <v>113.9375</v>
      </c>
      <c r="M889">
        <v>33.375507550000002</v>
      </c>
      <c r="N889">
        <v>2.4262999999999999</v>
      </c>
      <c r="O889">
        <v>73.260869569999997</v>
      </c>
      <c r="P889">
        <v>34.453830549999999</v>
      </c>
      <c r="Q889">
        <v>1.058333333</v>
      </c>
      <c r="R889" t="s">
        <v>1016</v>
      </c>
      <c r="S889">
        <v>-1.0783229999999975</v>
      </c>
    </row>
    <row r="890" spans="1:19" x14ac:dyDescent="0.25">
      <c r="A890" t="s">
        <v>14</v>
      </c>
      <c r="B890" t="s">
        <v>908</v>
      </c>
      <c r="C890">
        <v>16</v>
      </c>
      <c r="D890" t="s">
        <v>15</v>
      </c>
      <c r="E890" t="s">
        <v>94</v>
      </c>
      <c r="F890" t="s">
        <v>104</v>
      </c>
      <c r="G890" t="s">
        <v>110</v>
      </c>
      <c r="H890" t="s">
        <v>104</v>
      </c>
      <c r="J890">
        <v>0</v>
      </c>
      <c r="K890">
        <v>2</v>
      </c>
      <c r="L890">
        <v>113.9375</v>
      </c>
      <c r="M890">
        <v>33.375507550000002</v>
      </c>
      <c r="N890">
        <v>2.4262999999999999</v>
      </c>
      <c r="O890">
        <v>113.9375</v>
      </c>
      <c r="P890">
        <v>33.375507550000002</v>
      </c>
      <c r="Q890">
        <v>2.4262999999999999</v>
      </c>
      <c r="R890" t="s">
        <v>1016</v>
      </c>
      <c r="S890">
        <v>0</v>
      </c>
    </row>
    <row r="891" spans="1:19" x14ac:dyDescent="0.25">
      <c r="A891" t="s">
        <v>16</v>
      </c>
      <c r="B891" t="s">
        <v>909</v>
      </c>
      <c r="C891">
        <v>15</v>
      </c>
      <c r="D891" t="s">
        <v>17</v>
      </c>
      <c r="E891" t="s">
        <v>95</v>
      </c>
      <c r="F891" t="s">
        <v>113</v>
      </c>
      <c r="G891" t="s">
        <v>104</v>
      </c>
      <c r="H891" t="s">
        <v>104</v>
      </c>
      <c r="J891">
        <v>0</v>
      </c>
      <c r="K891">
        <v>1</v>
      </c>
      <c r="L891">
        <v>83.757575759999995</v>
      </c>
      <c r="M891">
        <v>22.60997987</v>
      </c>
      <c r="N891">
        <v>0.72884000000000004</v>
      </c>
      <c r="O891">
        <v>113.9375</v>
      </c>
      <c r="P891">
        <v>33.375507550000002</v>
      </c>
      <c r="Q891">
        <v>2.4262999999999999</v>
      </c>
      <c r="R891" t="s">
        <v>1016</v>
      </c>
      <c r="S891">
        <v>-10.765527680000002</v>
      </c>
    </row>
    <row r="892" spans="1:19" x14ac:dyDescent="0.25">
      <c r="A892" t="s">
        <v>16</v>
      </c>
      <c r="B892" t="s">
        <v>909</v>
      </c>
      <c r="C892">
        <v>16</v>
      </c>
      <c r="D892" t="s">
        <v>17</v>
      </c>
      <c r="E892" t="s">
        <v>95</v>
      </c>
      <c r="F892" t="s">
        <v>113</v>
      </c>
      <c r="G892" t="s">
        <v>104</v>
      </c>
      <c r="H892" t="s">
        <v>113</v>
      </c>
      <c r="J892">
        <v>0</v>
      </c>
      <c r="K892">
        <v>3</v>
      </c>
      <c r="L892">
        <v>83.757575759999995</v>
      </c>
      <c r="M892">
        <v>22.60997987</v>
      </c>
      <c r="N892">
        <v>0.72884000000000004</v>
      </c>
      <c r="O892">
        <v>83.757575759999995</v>
      </c>
      <c r="P892">
        <v>22.60997987</v>
      </c>
      <c r="Q892">
        <v>0.72884000000000004</v>
      </c>
      <c r="R892" t="s">
        <v>1016</v>
      </c>
      <c r="S892">
        <v>0</v>
      </c>
    </row>
    <row r="893" spans="1:19" x14ac:dyDescent="0.25">
      <c r="A893" t="s">
        <v>16</v>
      </c>
      <c r="B893" t="s">
        <v>910</v>
      </c>
      <c r="C893">
        <v>15</v>
      </c>
      <c r="D893" t="s">
        <v>17</v>
      </c>
      <c r="E893" t="s">
        <v>95</v>
      </c>
      <c r="F893" t="s">
        <v>110</v>
      </c>
      <c r="G893" t="s">
        <v>121</v>
      </c>
      <c r="H893" t="s">
        <v>104</v>
      </c>
      <c r="J893">
        <v>0</v>
      </c>
      <c r="K893">
        <v>1</v>
      </c>
      <c r="L893">
        <v>73.260869569999997</v>
      </c>
      <c r="M893">
        <v>34.453830549999999</v>
      </c>
      <c r="N893">
        <v>1.058333333</v>
      </c>
      <c r="O893">
        <v>113.9375</v>
      </c>
      <c r="P893">
        <v>33.375507550000002</v>
      </c>
      <c r="Q893">
        <v>2.4262999999999999</v>
      </c>
      <c r="R893" t="s">
        <v>1016</v>
      </c>
      <c r="S893">
        <v>1.0783229999999975</v>
      </c>
    </row>
    <row r="894" spans="1:19" x14ac:dyDescent="0.25">
      <c r="A894" t="s">
        <v>16</v>
      </c>
      <c r="B894" t="s">
        <v>910</v>
      </c>
      <c r="C894">
        <v>16</v>
      </c>
      <c r="D894" t="s">
        <v>17</v>
      </c>
      <c r="E894" t="s">
        <v>95</v>
      </c>
      <c r="F894" t="s">
        <v>110</v>
      </c>
      <c r="G894" t="s">
        <v>121</v>
      </c>
      <c r="H894" t="s">
        <v>241</v>
      </c>
      <c r="J894">
        <v>0</v>
      </c>
      <c r="K894">
        <v>1</v>
      </c>
      <c r="L894">
        <v>73.260869569999997</v>
      </c>
      <c r="M894">
        <v>34.453830549999999</v>
      </c>
      <c r="N894">
        <v>1.058333333</v>
      </c>
      <c r="O894">
        <v>114</v>
      </c>
      <c r="P894">
        <v>30.43077242</v>
      </c>
      <c r="Q894">
        <v>0.53383111100000002</v>
      </c>
      <c r="R894" t="s">
        <v>1016</v>
      </c>
      <c r="S894">
        <v>4.023058129999999</v>
      </c>
    </row>
    <row r="895" spans="1:19" x14ac:dyDescent="0.25">
      <c r="A895" t="s">
        <v>16</v>
      </c>
      <c r="B895" t="s">
        <v>911</v>
      </c>
      <c r="C895">
        <v>15</v>
      </c>
      <c r="D895" t="s">
        <v>17</v>
      </c>
      <c r="E895" t="s">
        <v>95</v>
      </c>
      <c r="F895" t="s">
        <v>111</v>
      </c>
      <c r="G895" t="s">
        <v>113</v>
      </c>
      <c r="H895" t="s">
        <v>113</v>
      </c>
      <c r="J895">
        <v>0</v>
      </c>
      <c r="K895">
        <v>2</v>
      </c>
      <c r="L895">
        <v>94.97142857</v>
      </c>
      <c r="M895">
        <v>24.31591813</v>
      </c>
      <c r="N895">
        <v>0.122951111</v>
      </c>
      <c r="O895">
        <v>83.757575759999995</v>
      </c>
      <c r="P895">
        <v>22.60997987</v>
      </c>
      <c r="Q895">
        <v>0.72884000000000004</v>
      </c>
      <c r="R895" t="s">
        <v>1016</v>
      </c>
      <c r="S895">
        <v>1.7059382599999999</v>
      </c>
    </row>
    <row r="896" spans="1:19" x14ac:dyDescent="0.25">
      <c r="A896" t="s">
        <v>16</v>
      </c>
      <c r="B896" t="s">
        <v>911</v>
      </c>
      <c r="C896">
        <v>16</v>
      </c>
      <c r="D896" t="s">
        <v>17</v>
      </c>
      <c r="E896" t="s">
        <v>95</v>
      </c>
      <c r="F896" t="s">
        <v>111</v>
      </c>
      <c r="G896" t="s">
        <v>113</v>
      </c>
      <c r="H896" t="s">
        <v>247</v>
      </c>
      <c r="J896">
        <v>0</v>
      </c>
      <c r="K896">
        <v>3</v>
      </c>
      <c r="L896">
        <v>94.97142857</v>
      </c>
      <c r="M896">
        <v>24.31591813</v>
      </c>
      <c r="N896">
        <v>0.122951111</v>
      </c>
      <c r="O896">
        <v>65.791044779999993</v>
      </c>
      <c r="P896">
        <v>22.94519201</v>
      </c>
      <c r="Q896">
        <v>8.1320334999999994E-2</v>
      </c>
      <c r="R896" t="s">
        <v>1016</v>
      </c>
      <c r="S896">
        <v>1.3707261200000005</v>
      </c>
    </row>
    <row r="897" spans="1:19" x14ac:dyDescent="0.25">
      <c r="A897" t="s">
        <v>16</v>
      </c>
      <c r="B897" t="s">
        <v>912</v>
      </c>
      <c r="C897">
        <v>15</v>
      </c>
      <c r="D897" t="s">
        <v>17</v>
      </c>
      <c r="E897" t="s">
        <v>95</v>
      </c>
      <c r="F897" t="s">
        <v>104</v>
      </c>
      <c r="G897" t="s">
        <v>121</v>
      </c>
      <c r="H897" t="s">
        <v>247</v>
      </c>
      <c r="J897">
        <v>0</v>
      </c>
      <c r="K897">
        <v>1</v>
      </c>
      <c r="L897">
        <v>113.9375</v>
      </c>
      <c r="M897">
        <v>33.375507550000002</v>
      </c>
      <c r="N897">
        <v>2.4262999999999999</v>
      </c>
      <c r="O897">
        <v>65.791044779999993</v>
      </c>
      <c r="P897">
        <v>22.94519201</v>
      </c>
      <c r="Q897">
        <v>8.1320334999999994E-2</v>
      </c>
      <c r="R897" t="s">
        <v>1016</v>
      </c>
      <c r="S897">
        <v>10.430315540000002</v>
      </c>
    </row>
    <row r="898" spans="1:19" x14ac:dyDescent="0.25">
      <c r="A898" t="s">
        <v>16</v>
      </c>
      <c r="B898" t="s">
        <v>912</v>
      </c>
      <c r="C898">
        <v>16</v>
      </c>
      <c r="D898" t="s">
        <v>17</v>
      </c>
      <c r="E898" t="s">
        <v>95</v>
      </c>
      <c r="F898" t="s">
        <v>104</v>
      </c>
      <c r="G898" t="s">
        <v>121</v>
      </c>
      <c r="H898" t="s">
        <v>111</v>
      </c>
      <c r="J898">
        <v>0</v>
      </c>
      <c r="K898">
        <v>1</v>
      </c>
      <c r="L898">
        <v>113.9375</v>
      </c>
      <c r="M898">
        <v>33.375507550000002</v>
      </c>
      <c r="N898">
        <v>2.4262999999999999</v>
      </c>
      <c r="O898">
        <v>94.97142857</v>
      </c>
      <c r="P898">
        <v>24.31591813</v>
      </c>
      <c r="Q898">
        <v>0.122951111</v>
      </c>
      <c r="R898" t="s">
        <v>1016</v>
      </c>
      <c r="S898">
        <v>9.0595894200000018</v>
      </c>
    </row>
    <row r="899" spans="1:19" x14ac:dyDescent="0.25">
      <c r="A899" t="s">
        <v>18</v>
      </c>
      <c r="B899" t="s">
        <v>913</v>
      </c>
      <c r="C899">
        <v>15</v>
      </c>
      <c r="D899" t="s">
        <v>19</v>
      </c>
      <c r="E899" t="s">
        <v>95</v>
      </c>
      <c r="F899" t="s">
        <v>113</v>
      </c>
      <c r="G899" t="s">
        <v>121</v>
      </c>
      <c r="H899" t="s">
        <v>113</v>
      </c>
      <c r="J899">
        <v>0</v>
      </c>
      <c r="K899">
        <v>3</v>
      </c>
      <c r="L899">
        <v>83.757575759999995</v>
      </c>
      <c r="M899">
        <v>22.60997987</v>
      </c>
      <c r="N899">
        <v>0.72884000000000004</v>
      </c>
      <c r="O899">
        <v>83.757575759999995</v>
      </c>
      <c r="P899">
        <v>22.60997987</v>
      </c>
      <c r="Q899">
        <v>0.72884000000000004</v>
      </c>
      <c r="R899" t="s">
        <v>1016</v>
      </c>
      <c r="S899">
        <v>0</v>
      </c>
    </row>
    <row r="900" spans="1:19" x14ac:dyDescent="0.25">
      <c r="A900" t="s">
        <v>18</v>
      </c>
      <c r="B900" t="s">
        <v>913</v>
      </c>
      <c r="C900">
        <v>16</v>
      </c>
      <c r="D900" t="s">
        <v>19</v>
      </c>
      <c r="E900" t="s">
        <v>95</v>
      </c>
      <c r="F900" t="s">
        <v>113</v>
      </c>
      <c r="G900" t="s">
        <v>121</v>
      </c>
      <c r="H900" t="s">
        <v>808</v>
      </c>
      <c r="J900">
        <v>0</v>
      </c>
      <c r="K900">
        <v>1</v>
      </c>
      <c r="L900">
        <v>83.757575759999995</v>
      </c>
      <c r="M900">
        <v>22.60997987</v>
      </c>
      <c r="N900">
        <v>0.72884000000000004</v>
      </c>
      <c r="O900">
        <v>102.79166669999999</v>
      </c>
      <c r="P900">
        <v>27.057373470000002</v>
      </c>
      <c r="Q900">
        <v>6.3567849939999999</v>
      </c>
      <c r="R900" t="s">
        <v>1016</v>
      </c>
      <c r="S900">
        <v>-4.4473936000000016</v>
      </c>
    </row>
    <row r="901" spans="1:19" x14ac:dyDescent="0.25">
      <c r="A901" t="s">
        <v>18</v>
      </c>
      <c r="B901" t="s">
        <v>913</v>
      </c>
      <c r="C901">
        <v>17</v>
      </c>
      <c r="D901" t="s">
        <v>19</v>
      </c>
      <c r="E901" t="s">
        <v>95</v>
      </c>
      <c r="F901" t="s">
        <v>113</v>
      </c>
      <c r="G901" t="s">
        <v>121</v>
      </c>
      <c r="H901" t="s">
        <v>242</v>
      </c>
      <c r="J901">
        <v>0</v>
      </c>
      <c r="K901">
        <v>15</v>
      </c>
      <c r="L901">
        <v>83.757575759999995</v>
      </c>
      <c r="M901">
        <v>22.60997987</v>
      </c>
      <c r="N901">
        <v>0.72884000000000004</v>
      </c>
      <c r="O901">
        <v>139.375</v>
      </c>
      <c r="P901">
        <v>23.713465920000001</v>
      </c>
      <c r="Q901" t="s">
        <v>114</v>
      </c>
      <c r="R901" t="s">
        <v>1016</v>
      </c>
      <c r="S901">
        <v>-1.1034860500000008</v>
      </c>
    </row>
    <row r="902" spans="1:19" x14ac:dyDescent="0.25">
      <c r="A902" t="s">
        <v>18</v>
      </c>
      <c r="B902" t="s">
        <v>914</v>
      </c>
      <c r="C902">
        <v>15</v>
      </c>
      <c r="D902" t="s">
        <v>19</v>
      </c>
      <c r="E902" t="s">
        <v>95</v>
      </c>
      <c r="F902" t="s">
        <v>111</v>
      </c>
      <c r="G902" t="s">
        <v>121</v>
      </c>
      <c r="H902" t="s">
        <v>113</v>
      </c>
      <c r="J902">
        <v>0</v>
      </c>
      <c r="K902">
        <v>2</v>
      </c>
      <c r="L902">
        <v>94.97142857</v>
      </c>
      <c r="M902">
        <v>24.31591813</v>
      </c>
      <c r="N902">
        <v>0.122951111</v>
      </c>
      <c r="O902">
        <v>83.757575759999995</v>
      </c>
      <c r="P902">
        <v>22.60997987</v>
      </c>
      <c r="Q902">
        <v>0.72884000000000004</v>
      </c>
      <c r="R902" t="s">
        <v>1016</v>
      </c>
      <c r="S902">
        <v>1.7059382599999999</v>
      </c>
    </row>
    <row r="903" spans="1:19" x14ac:dyDescent="0.25">
      <c r="A903" t="s">
        <v>18</v>
      </c>
      <c r="B903" t="s">
        <v>914</v>
      </c>
      <c r="C903">
        <v>16</v>
      </c>
      <c r="D903" t="s">
        <v>19</v>
      </c>
      <c r="E903" t="s">
        <v>95</v>
      </c>
      <c r="F903" t="s">
        <v>111</v>
      </c>
      <c r="G903" t="s">
        <v>121</v>
      </c>
      <c r="H903" t="s">
        <v>242</v>
      </c>
      <c r="J903">
        <v>0</v>
      </c>
      <c r="K903">
        <v>2</v>
      </c>
      <c r="L903">
        <v>94.97142857</v>
      </c>
      <c r="M903">
        <v>24.31591813</v>
      </c>
      <c r="N903">
        <v>0.122951111</v>
      </c>
      <c r="O903">
        <v>139.375</v>
      </c>
      <c r="P903">
        <v>23.713465920000001</v>
      </c>
      <c r="Q903" t="s">
        <v>114</v>
      </c>
      <c r="R903" t="s">
        <v>1016</v>
      </c>
      <c r="S903">
        <v>0.60245220999999916</v>
      </c>
    </row>
    <row r="904" spans="1:19" x14ac:dyDescent="0.25">
      <c r="A904" t="s">
        <v>18</v>
      </c>
      <c r="B904" t="s">
        <v>915</v>
      </c>
      <c r="C904">
        <v>15</v>
      </c>
      <c r="D904" t="s">
        <v>19</v>
      </c>
      <c r="E904" t="s">
        <v>95</v>
      </c>
      <c r="F904" t="s">
        <v>104</v>
      </c>
      <c r="G904" t="s">
        <v>121</v>
      </c>
      <c r="H904" t="s">
        <v>247</v>
      </c>
      <c r="J904">
        <v>0</v>
      </c>
      <c r="K904">
        <v>1</v>
      </c>
      <c r="L904">
        <v>113.9375</v>
      </c>
      <c r="M904">
        <v>33.375507550000002</v>
      </c>
      <c r="N904">
        <v>2.4262999999999999</v>
      </c>
      <c r="O904">
        <v>65.791044779999993</v>
      </c>
      <c r="P904">
        <v>22.94519201</v>
      </c>
      <c r="Q904">
        <v>8.1320334999999994E-2</v>
      </c>
      <c r="R904" t="s">
        <v>1016</v>
      </c>
      <c r="S904">
        <v>10.430315540000002</v>
      </c>
    </row>
    <row r="905" spans="1:19" x14ac:dyDescent="0.25">
      <c r="A905" t="s">
        <v>18</v>
      </c>
      <c r="B905" t="s">
        <v>915</v>
      </c>
      <c r="C905">
        <v>16</v>
      </c>
      <c r="D905" t="s">
        <v>19</v>
      </c>
      <c r="E905" t="s">
        <v>95</v>
      </c>
      <c r="F905" t="s">
        <v>104</v>
      </c>
      <c r="G905" t="s">
        <v>121</v>
      </c>
      <c r="H905" t="s">
        <v>113</v>
      </c>
      <c r="J905">
        <v>0</v>
      </c>
      <c r="K905">
        <v>3</v>
      </c>
      <c r="L905">
        <v>113.9375</v>
      </c>
      <c r="M905">
        <v>33.375507550000002</v>
      </c>
      <c r="N905">
        <v>2.4262999999999999</v>
      </c>
      <c r="O905">
        <v>83.757575759999995</v>
      </c>
      <c r="P905">
        <v>22.60997987</v>
      </c>
      <c r="Q905">
        <v>0.72884000000000004</v>
      </c>
      <c r="R905" t="s">
        <v>1016</v>
      </c>
      <c r="S905">
        <v>10.765527680000002</v>
      </c>
    </row>
    <row r="906" spans="1:19" x14ac:dyDescent="0.25">
      <c r="A906" t="s">
        <v>18</v>
      </c>
      <c r="B906" t="s">
        <v>916</v>
      </c>
      <c r="C906">
        <v>15</v>
      </c>
      <c r="D906" t="s">
        <v>19</v>
      </c>
      <c r="E906" t="s">
        <v>95</v>
      </c>
      <c r="F906" t="s">
        <v>112</v>
      </c>
      <c r="G906" t="s">
        <v>113</v>
      </c>
      <c r="H906" t="s">
        <v>113</v>
      </c>
      <c r="J906">
        <v>0</v>
      </c>
      <c r="K906">
        <v>1</v>
      </c>
      <c r="L906">
        <v>65.09375</v>
      </c>
      <c r="M906">
        <v>37.895352600000002</v>
      </c>
      <c r="N906">
        <v>2.2882677779999998</v>
      </c>
      <c r="O906">
        <v>83.757575759999995</v>
      </c>
      <c r="P906">
        <v>22.60997987</v>
      </c>
      <c r="Q906">
        <v>0.72884000000000004</v>
      </c>
      <c r="R906" t="s">
        <v>1016</v>
      </c>
      <c r="S906">
        <v>15.285372730000002</v>
      </c>
    </row>
    <row r="907" spans="1:19" x14ac:dyDescent="0.25">
      <c r="A907" t="s">
        <v>20</v>
      </c>
      <c r="B907" t="s">
        <v>917</v>
      </c>
      <c r="C907">
        <v>15</v>
      </c>
      <c r="D907" t="s">
        <v>21</v>
      </c>
      <c r="E907" t="s">
        <v>94</v>
      </c>
      <c r="F907" t="s">
        <v>102</v>
      </c>
      <c r="G907" t="s">
        <v>121</v>
      </c>
      <c r="H907" t="s">
        <v>246</v>
      </c>
      <c r="J907">
        <v>0</v>
      </c>
      <c r="K907">
        <v>1</v>
      </c>
      <c r="L907">
        <v>84.740740740000007</v>
      </c>
      <c r="M907">
        <v>29.167014049999999</v>
      </c>
      <c r="N907">
        <v>1.1169849999999999</v>
      </c>
      <c r="O907">
        <v>120.25</v>
      </c>
      <c r="P907">
        <v>30.670450110000001</v>
      </c>
      <c r="Q907">
        <v>0.91037498500000003</v>
      </c>
      <c r="R907" t="s">
        <v>1016</v>
      </c>
      <c r="S907">
        <v>-1.5034360600000021</v>
      </c>
    </row>
    <row r="908" spans="1:19" x14ac:dyDescent="0.25">
      <c r="A908" t="s">
        <v>20</v>
      </c>
      <c r="B908" t="s">
        <v>918</v>
      </c>
      <c r="C908">
        <v>15</v>
      </c>
      <c r="D908" t="s">
        <v>21</v>
      </c>
      <c r="E908" t="s">
        <v>94</v>
      </c>
      <c r="F908" t="s">
        <v>113</v>
      </c>
      <c r="G908" t="s">
        <v>113</v>
      </c>
      <c r="H908" t="s">
        <v>113</v>
      </c>
      <c r="J908">
        <v>0</v>
      </c>
      <c r="K908">
        <v>1</v>
      </c>
      <c r="L908">
        <v>83.757575759999995</v>
      </c>
      <c r="M908">
        <v>22.60997987</v>
      </c>
      <c r="N908">
        <v>0.72884000000000004</v>
      </c>
      <c r="O908">
        <v>83.757575759999995</v>
      </c>
      <c r="P908">
        <v>22.60997987</v>
      </c>
      <c r="Q908">
        <v>0.72884000000000004</v>
      </c>
      <c r="R908" t="s">
        <v>1016</v>
      </c>
      <c r="S908">
        <v>0</v>
      </c>
    </row>
    <row r="909" spans="1:19" x14ac:dyDescent="0.25">
      <c r="A909" t="s">
        <v>20</v>
      </c>
      <c r="B909" t="s">
        <v>919</v>
      </c>
      <c r="C909">
        <v>15</v>
      </c>
      <c r="D909" t="s">
        <v>21</v>
      </c>
      <c r="E909" t="s">
        <v>94</v>
      </c>
      <c r="F909" t="s">
        <v>110</v>
      </c>
      <c r="G909" t="s">
        <v>121</v>
      </c>
      <c r="H909" t="s">
        <v>113</v>
      </c>
      <c r="J909">
        <v>0</v>
      </c>
      <c r="K909">
        <v>2</v>
      </c>
      <c r="L909">
        <v>73.260869569999997</v>
      </c>
      <c r="M909">
        <v>34.453830549999999</v>
      </c>
      <c r="N909">
        <v>1.058333333</v>
      </c>
      <c r="O909">
        <v>83.757575759999995</v>
      </c>
      <c r="P909">
        <v>22.60997987</v>
      </c>
      <c r="Q909">
        <v>0.72884000000000004</v>
      </c>
      <c r="R909" t="s">
        <v>1016</v>
      </c>
      <c r="S909">
        <v>11.843850679999999</v>
      </c>
    </row>
    <row r="910" spans="1:19" x14ac:dyDescent="0.25">
      <c r="A910" t="s">
        <v>20</v>
      </c>
      <c r="B910" t="s">
        <v>919</v>
      </c>
      <c r="C910">
        <v>16</v>
      </c>
      <c r="D910" t="s">
        <v>21</v>
      </c>
      <c r="E910" t="s">
        <v>94</v>
      </c>
      <c r="F910" t="s">
        <v>110</v>
      </c>
      <c r="G910" t="s">
        <v>121</v>
      </c>
      <c r="H910" t="s">
        <v>102</v>
      </c>
      <c r="J910">
        <v>0</v>
      </c>
      <c r="K910">
        <v>1</v>
      </c>
      <c r="L910">
        <v>73.260869569999997</v>
      </c>
      <c r="M910">
        <v>34.453830549999999</v>
      </c>
      <c r="N910">
        <v>1.058333333</v>
      </c>
      <c r="O910">
        <v>84.740740740000007</v>
      </c>
      <c r="P910">
        <v>29.167014049999999</v>
      </c>
      <c r="Q910">
        <v>1.1169849999999999</v>
      </c>
      <c r="R910" t="s">
        <v>1016</v>
      </c>
      <c r="S910">
        <v>5.2868165000000005</v>
      </c>
    </row>
    <row r="911" spans="1:19" x14ac:dyDescent="0.25">
      <c r="A911" t="s">
        <v>20</v>
      </c>
      <c r="B911" t="s">
        <v>920</v>
      </c>
      <c r="C911">
        <v>15</v>
      </c>
      <c r="D911" t="s">
        <v>21</v>
      </c>
      <c r="E911" t="s">
        <v>94</v>
      </c>
      <c r="F911" t="s">
        <v>111</v>
      </c>
      <c r="G911" t="s">
        <v>121</v>
      </c>
      <c r="H911" t="s">
        <v>110</v>
      </c>
      <c r="J911">
        <v>0</v>
      </c>
      <c r="K911">
        <v>1</v>
      </c>
      <c r="L911">
        <v>94.97142857</v>
      </c>
      <c r="M911">
        <v>24.31591813</v>
      </c>
      <c r="N911">
        <v>0.122951111</v>
      </c>
      <c r="O911">
        <v>73.260869569999997</v>
      </c>
      <c r="P911">
        <v>34.453830549999999</v>
      </c>
      <c r="Q911">
        <v>1.058333333</v>
      </c>
      <c r="R911" t="s">
        <v>1016</v>
      </c>
      <c r="S911">
        <v>-10.137912419999999</v>
      </c>
    </row>
    <row r="912" spans="1:19" x14ac:dyDescent="0.25">
      <c r="A912" t="s">
        <v>22</v>
      </c>
      <c r="B912" t="s">
        <v>921</v>
      </c>
      <c r="C912">
        <v>15</v>
      </c>
      <c r="D912" t="s">
        <v>23</v>
      </c>
      <c r="E912" t="s">
        <v>95</v>
      </c>
      <c r="F912" t="s">
        <v>102</v>
      </c>
      <c r="G912" t="s">
        <v>121</v>
      </c>
      <c r="H912" t="s">
        <v>236</v>
      </c>
      <c r="J912">
        <v>0</v>
      </c>
      <c r="K912">
        <v>1</v>
      </c>
      <c r="L912">
        <v>84.740740740000007</v>
      </c>
      <c r="M912">
        <v>29.167014049999999</v>
      </c>
      <c r="N912">
        <v>1.1169849999999999</v>
      </c>
      <c r="O912">
        <v>113.33333330000001</v>
      </c>
      <c r="P912">
        <v>26.41632581</v>
      </c>
      <c r="Q912">
        <v>1.6844570160000001</v>
      </c>
      <c r="R912" t="s">
        <v>1016</v>
      </c>
      <c r="S912">
        <v>2.7506882399999988</v>
      </c>
    </row>
    <row r="913" spans="1:19" x14ac:dyDescent="0.25">
      <c r="A913" t="s">
        <v>22</v>
      </c>
      <c r="B913" t="s">
        <v>922</v>
      </c>
      <c r="C913">
        <v>15</v>
      </c>
      <c r="D913" t="s">
        <v>23</v>
      </c>
      <c r="E913" t="s">
        <v>95</v>
      </c>
      <c r="F913" t="s">
        <v>105</v>
      </c>
      <c r="G913" t="s">
        <v>121</v>
      </c>
      <c r="H913" t="s">
        <v>113</v>
      </c>
      <c r="J913">
        <v>0</v>
      </c>
      <c r="K913">
        <v>4</v>
      </c>
      <c r="L913">
        <v>67.5</v>
      </c>
      <c r="M913">
        <v>47.937235809999997</v>
      </c>
      <c r="N913">
        <v>0.41599678000000001</v>
      </c>
      <c r="O913">
        <v>83.757575759999995</v>
      </c>
      <c r="P913">
        <v>22.60997987</v>
      </c>
      <c r="Q913">
        <v>0.72884000000000004</v>
      </c>
      <c r="R913" t="s">
        <v>1016</v>
      </c>
      <c r="S913">
        <v>25.327255939999997</v>
      </c>
    </row>
    <row r="914" spans="1:19" x14ac:dyDescent="0.25">
      <c r="A914" t="s">
        <v>22</v>
      </c>
      <c r="B914" t="s">
        <v>922</v>
      </c>
      <c r="C914">
        <v>16</v>
      </c>
      <c r="D914" t="s">
        <v>23</v>
      </c>
      <c r="E914" t="s">
        <v>95</v>
      </c>
      <c r="F914" t="s">
        <v>105</v>
      </c>
      <c r="G914" t="s">
        <v>121</v>
      </c>
      <c r="H914" t="s">
        <v>103</v>
      </c>
      <c r="J914">
        <v>0</v>
      </c>
      <c r="K914">
        <v>1</v>
      </c>
      <c r="L914">
        <v>67.5</v>
      </c>
      <c r="M914">
        <v>47.937235809999997</v>
      </c>
      <c r="N914">
        <v>0.41599678000000001</v>
      </c>
      <c r="O914">
        <v>98.291666669999998</v>
      </c>
      <c r="P914">
        <v>30.315130790000001</v>
      </c>
      <c r="Q914">
        <v>5.0803484000000003E-2</v>
      </c>
      <c r="R914" t="s">
        <v>1016</v>
      </c>
      <c r="S914">
        <v>17.622105019999996</v>
      </c>
    </row>
    <row r="915" spans="1:19" x14ac:dyDescent="0.25">
      <c r="A915" t="s">
        <v>22</v>
      </c>
      <c r="B915" t="s">
        <v>922</v>
      </c>
      <c r="C915">
        <v>17</v>
      </c>
      <c r="D915" t="s">
        <v>23</v>
      </c>
      <c r="E915" t="s">
        <v>95</v>
      </c>
      <c r="F915" t="s">
        <v>105</v>
      </c>
      <c r="G915" t="s">
        <v>121</v>
      </c>
      <c r="H915" t="s">
        <v>234</v>
      </c>
      <c r="J915">
        <v>0</v>
      </c>
      <c r="K915">
        <v>1</v>
      </c>
      <c r="L915">
        <v>67.5</v>
      </c>
      <c r="M915">
        <v>47.937235809999997</v>
      </c>
      <c r="N915">
        <v>0.41599678000000001</v>
      </c>
      <c r="O915">
        <v>89.8125</v>
      </c>
      <c r="P915">
        <v>34.754706650000003</v>
      </c>
      <c r="Q915">
        <v>2.3065078999999999E-2</v>
      </c>
      <c r="R915" t="s">
        <v>1016</v>
      </c>
      <c r="S915">
        <v>13.182529159999994</v>
      </c>
    </row>
    <row r="916" spans="1:19" x14ac:dyDescent="0.25">
      <c r="A916" t="s">
        <v>22</v>
      </c>
      <c r="B916" t="s">
        <v>923</v>
      </c>
      <c r="C916">
        <v>15</v>
      </c>
      <c r="D916" t="s">
        <v>23</v>
      </c>
      <c r="E916" t="s">
        <v>95</v>
      </c>
      <c r="F916" t="s">
        <v>103</v>
      </c>
      <c r="G916" t="s">
        <v>103</v>
      </c>
      <c r="H916" t="s">
        <v>103</v>
      </c>
      <c r="J916">
        <v>0</v>
      </c>
      <c r="K916">
        <v>6</v>
      </c>
      <c r="L916">
        <v>98.291666669999998</v>
      </c>
      <c r="M916">
        <v>30.315130790000001</v>
      </c>
      <c r="N916">
        <v>5.0803484000000003E-2</v>
      </c>
      <c r="O916">
        <v>98.291666669999998</v>
      </c>
      <c r="P916">
        <v>30.315130790000001</v>
      </c>
      <c r="Q916">
        <v>5.0803484000000003E-2</v>
      </c>
      <c r="R916" t="s">
        <v>1016</v>
      </c>
      <c r="S916">
        <v>0</v>
      </c>
    </row>
    <row r="917" spans="1:19" x14ac:dyDescent="0.25">
      <c r="A917" t="s">
        <v>22</v>
      </c>
      <c r="B917" t="s">
        <v>923</v>
      </c>
      <c r="C917">
        <v>16</v>
      </c>
      <c r="D917" t="s">
        <v>23</v>
      </c>
      <c r="E917" t="s">
        <v>95</v>
      </c>
      <c r="F917" t="s">
        <v>103</v>
      </c>
      <c r="G917" t="s">
        <v>103</v>
      </c>
      <c r="H917" t="s">
        <v>248</v>
      </c>
      <c r="J917">
        <v>0</v>
      </c>
      <c r="K917">
        <v>4</v>
      </c>
      <c r="L917">
        <v>98.291666669999998</v>
      </c>
      <c r="M917">
        <v>30.315130790000001</v>
      </c>
      <c r="N917">
        <v>5.0803484000000003E-2</v>
      </c>
      <c r="O917">
        <v>83.92307692</v>
      </c>
      <c r="P917">
        <v>44.319135699999997</v>
      </c>
      <c r="Q917">
        <v>5.9548609999999997E-3</v>
      </c>
      <c r="R917" t="s">
        <v>1016</v>
      </c>
      <c r="S917">
        <v>-14.004004909999995</v>
      </c>
    </row>
    <row r="918" spans="1:19" x14ac:dyDescent="0.25">
      <c r="A918" t="s">
        <v>22</v>
      </c>
      <c r="B918" t="s">
        <v>924</v>
      </c>
      <c r="C918">
        <v>15</v>
      </c>
      <c r="D918" t="s">
        <v>23</v>
      </c>
      <c r="E918" t="s">
        <v>95</v>
      </c>
      <c r="F918" t="s">
        <v>111</v>
      </c>
      <c r="G918" t="s">
        <v>121</v>
      </c>
      <c r="H918" t="s">
        <v>112</v>
      </c>
      <c r="J918">
        <v>1</v>
      </c>
      <c r="K918">
        <v>1</v>
      </c>
      <c r="L918">
        <v>94.97142857</v>
      </c>
      <c r="M918">
        <v>24.31591813</v>
      </c>
      <c r="N918">
        <v>0.122951111</v>
      </c>
      <c r="O918">
        <v>65.09375</v>
      </c>
      <c r="P918">
        <v>37.895352600000002</v>
      </c>
      <c r="Q918">
        <v>2.2882677779999998</v>
      </c>
      <c r="R918" t="s">
        <v>1016</v>
      </c>
      <c r="S918">
        <v>-13.579434470000002</v>
      </c>
    </row>
    <row r="919" spans="1:19" x14ac:dyDescent="0.25">
      <c r="A919" t="s">
        <v>22</v>
      </c>
      <c r="B919" t="s">
        <v>924</v>
      </c>
      <c r="C919">
        <v>16</v>
      </c>
      <c r="D919" t="s">
        <v>23</v>
      </c>
      <c r="E919" t="s">
        <v>95</v>
      </c>
      <c r="F919" t="s">
        <v>111</v>
      </c>
      <c r="G919" t="s">
        <v>121</v>
      </c>
      <c r="H919" t="s">
        <v>239</v>
      </c>
      <c r="J919">
        <v>1</v>
      </c>
      <c r="K919">
        <v>1</v>
      </c>
      <c r="L919">
        <v>94.97142857</v>
      </c>
      <c r="M919">
        <v>24.31591813</v>
      </c>
      <c r="N919">
        <v>0.122951111</v>
      </c>
      <c r="O919">
        <v>100.45454549999999</v>
      </c>
      <c r="P919">
        <v>26.754810689999999</v>
      </c>
      <c r="Q919">
        <v>0.75829999999999997</v>
      </c>
      <c r="R919" t="s">
        <v>1016</v>
      </c>
      <c r="S919">
        <v>-2.4388925599999993</v>
      </c>
    </row>
    <row r="920" spans="1:19" x14ac:dyDescent="0.25">
      <c r="A920" t="s">
        <v>22</v>
      </c>
      <c r="B920" t="s">
        <v>924</v>
      </c>
      <c r="C920">
        <v>17</v>
      </c>
      <c r="D920" t="s">
        <v>23</v>
      </c>
      <c r="E920" t="s">
        <v>95</v>
      </c>
      <c r="F920" t="s">
        <v>111</v>
      </c>
      <c r="G920" t="s">
        <v>121</v>
      </c>
      <c r="H920" t="s">
        <v>248</v>
      </c>
      <c r="J920">
        <v>1</v>
      </c>
      <c r="K920">
        <v>5</v>
      </c>
      <c r="L920">
        <v>94.97142857</v>
      </c>
      <c r="M920">
        <v>24.31591813</v>
      </c>
      <c r="N920">
        <v>0.122951111</v>
      </c>
      <c r="O920">
        <v>83.92307692</v>
      </c>
      <c r="P920">
        <v>44.319135699999997</v>
      </c>
      <c r="Q920">
        <v>5.9548609999999997E-3</v>
      </c>
      <c r="R920" t="s">
        <v>1016</v>
      </c>
      <c r="S920">
        <v>-20.003217569999997</v>
      </c>
    </row>
    <row r="921" spans="1:19" x14ac:dyDescent="0.25">
      <c r="A921" t="s">
        <v>22</v>
      </c>
      <c r="B921" t="s">
        <v>925</v>
      </c>
      <c r="C921">
        <v>15</v>
      </c>
      <c r="D921" t="s">
        <v>23</v>
      </c>
      <c r="E921" t="s">
        <v>95</v>
      </c>
      <c r="F921" t="s">
        <v>112</v>
      </c>
      <c r="G921" t="s">
        <v>103</v>
      </c>
      <c r="H921" t="s">
        <v>103</v>
      </c>
      <c r="J921">
        <v>0</v>
      </c>
      <c r="K921">
        <v>3</v>
      </c>
      <c r="L921">
        <v>65.09375</v>
      </c>
      <c r="M921">
        <v>37.895352600000002</v>
      </c>
      <c r="N921">
        <v>2.2882677779999998</v>
      </c>
      <c r="O921">
        <v>98.291666669999998</v>
      </c>
      <c r="P921">
        <v>30.315130790000001</v>
      </c>
      <c r="Q921">
        <v>5.0803484000000003E-2</v>
      </c>
      <c r="R921" t="s">
        <v>1016</v>
      </c>
      <c r="S921">
        <v>7.5802218100000012</v>
      </c>
    </row>
    <row r="922" spans="1:19" x14ac:dyDescent="0.25">
      <c r="A922" t="s">
        <v>22</v>
      </c>
      <c r="B922" t="s">
        <v>925</v>
      </c>
      <c r="C922">
        <v>16</v>
      </c>
      <c r="D922" t="s">
        <v>23</v>
      </c>
      <c r="E922" t="s">
        <v>95</v>
      </c>
      <c r="F922" t="s">
        <v>112</v>
      </c>
      <c r="G922" t="s">
        <v>103</v>
      </c>
      <c r="H922" t="s">
        <v>113</v>
      </c>
      <c r="J922">
        <v>0</v>
      </c>
      <c r="K922">
        <v>2</v>
      </c>
      <c r="L922">
        <v>65.09375</v>
      </c>
      <c r="M922">
        <v>37.895352600000002</v>
      </c>
      <c r="N922">
        <v>2.2882677779999998</v>
      </c>
      <c r="O922">
        <v>83.757575759999995</v>
      </c>
      <c r="P922">
        <v>22.60997987</v>
      </c>
      <c r="Q922">
        <v>0.72884000000000004</v>
      </c>
      <c r="R922" t="s">
        <v>1016</v>
      </c>
      <c r="S922">
        <v>15.285372730000002</v>
      </c>
    </row>
    <row r="923" spans="1:19" x14ac:dyDescent="0.25">
      <c r="A923" t="s">
        <v>22</v>
      </c>
      <c r="B923" t="s">
        <v>925</v>
      </c>
      <c r="C923">
        <v>17</v>
      </c>
      <c r="D923" t="s">
        <v>23</v>
      </c>
      <c r="E923" t="s">
        <v>95</v>
      </c>
      <c r="F923" t="s">
        <v>112</v>
      </c>
      <c r="G923" t="s">
        <v>103</v>
      </c>
      <c r="H923" t="s">
        <v>247</v>
      </c>
      <c r="J923">
        <v>0</v>
      </c>
      <c r="K923">
        <v>1</v>
      </c>
      <c r="L923">
        <v>65.09375</v>
      </c>
      <c r="M923">
        <v>37.895352600000002</v>
      </c>
      <c r="N923">
        <v>2.2882677779999998</v>
      </c>
      <c r="O923">
        <v>65.791044779999993</v>
      </c>
      <c r="P923">
        <v>22.94519201</v>
      </c>
      <c r="Q923">
        <v>8.1320334999999994E-2</v>
      </c>
      <c r="R923" t="s">
        <v>1016</v>
      </c>
      <c r="S923">
        <v>14.950160590000003</v>
      </c>
    </row>
    <row r="924" spans="1:19" x14ac:dyDescent="0.25">
      <c r="A924" t="s">
        <v>22</v>
      </c>
      <c r="B924" t="s">
        <v>925</v>
      </c>
      <c r="C924">
        <v>18</v>
      </c>
      <c r="D924" t="s">
        <v>23</v>
      </c>
      <c r="E924" t="s">
        <v>95</v>
      </c>
      <c r="F924" t="s">
        <v>112</v>
      </c>
      <c r="G924" t="s">
        <v>103</v>
      </c>
      <c r="H924" t="s">
        <v>248</v>
      </c>
      <c r="J924">
        <v>0</v>
      </c>
      <c r="K924">
        <v>3</v>
      </c>
      <c r="L924">
        <v>65.09375</v>
      </c>
      <c r="M924">
        <v>37.895352600000002</v>
      </c>
      <c r="N924">
        <v>2.2882677779999998</v>
      </c>
      <c r="O924">
        <v>83.92307692</v>
      </c>
      <c r="P924">
        <v>44.319135699999997</v>
      </c>
      <c r="Q924">
        <v>5.9548609999999997E-3</v>
      </c>
      <c r="R924" t="s">
        <v>1016</v>
      </c>
      <c r="S924">
        <v>-6.4237830999999943</v>
      </c>
    </row>
    <row r="925" spans="1:19" x14ac:dyDescent="0.25">
      <c r="A925" t="s">
        <v>24</v>
      </c>
      <c r="B925" t="s">
        <v>926</v>
      </c>
      <c r="C925">
        <v>15</v>
      </c>
      <c r="D925" t="s">
        <v>25</v>
      </c>
      <c r="E925" t="s">
        <v>95</v>
      </c>
      <c r="F925" t="s">
        <v>105</v>
      </c>
      <c r="G925" t="s">
        <v>121</v>
      </c>
      <c r="H925" t="s">
        <v>111</v>
      </c>
      <c r="J925">
        <v>0</v>
      </c>
      <c r="K925">
        <v>1</v>
      </c>
      <c r="L925">
        <v>67.5</v>
      </c>
      <c r="M925">
        <v>47.937235809999997</v>
      </c>
      <c r="N925">
        <v>0.41599678000000001</v>
      </c>
      <c r="O925">
        <v>94.97142857</v>
      </c>
      <c r="P925">
        <v>24.31591813</v>
      </c>
      <c r="Q925">
        <v>0.122951111</v>
      </c>
      <c r="R925" t="s">
        <v>1016</v>
      </c>
      <c r="S925">
        <v>23.621317679999997</v>
      </c>
    </row>
    <row r="926" spans="1:19" x14ac:dyDescent="0.25">
      <c r="A926" t="s">
        <v>24</v>
      </c>
      <c r="B926" t="s">
        <v>926</v>
      </c>
      <c r="C926">
        <v>16</v>
      </c>
      <c r="D926" t="s">
        <v>25</v>
      </c>
      <c r="E926" t="s">
        <v>95</v>
      </c>
      <c r="F926" t="s">
        <v>105</v>
      </c>
      <c r="G926" t="s">
        <v>121</v>
      </c>
      <c r="H926" t="s">
        <v>104</v>
      </c>
      <c r="J926">
        <v>0</v>
      </c>
      <c r="K926">
        <v>1</v>
      </c>
      <c r="L926">
        <v>67.5</v>
      </c>
      <c r="M926">
        <v>47.937235809999997</v>
      </c>
      <c r="N926">
        <v>0.41599678000000001</v>
      </c>
      <c r="O926">
        <v>113.9375</v>
      </c>
      <c r="P926">
        <v>33.375507550000002</v>
      </c>
      <c r="Q926">
        <v>2.4262999999999999</v>
      </c>
      <c r="R926" t="s">
        <v>1016</v>
      </c>
      <c r="S926">
        <v>14.561728259999995</v>
      </c>
    </row>
    <row r="927" spans="1:19" x14ac:dyDescent="0.25">
      <c r="A927" t="s">
        <v>24</v>
      </c>
      <c r="B927" t="s">
        <v>927</v>
      </c>
      <c r="C927">
        <v>15</v>
      </c>
      <c r="D927" t="s">
        <v>25</v>
      </c>
      <c r="E927" t="s">
        <v>95</v>
      </c>
      <c r="F927" t="s">
        <v>112</v>
      </c>
      <c r="G927" t="s">
        <v>112</v>
      </c>
      <c r="H927" t="s">
        <v>112</v>
      </c>
      <c r="J927">
        <v>0</v>
      </c>
      <c r="K927">
        <v>1</v>
      </c>
      <c r="L927">
        <v>65.09375</v>
      </c>
      <c r="M927">
        <v>37.895352600000002</v>
      </c>
      <c r="N927">
        <v>2.2882677779999998</v>
      </c>
      <c r="O927">
        <v>65.09375</v>
      </c>
      <c r="P927">
        <v>37.895352600000002</v>
      </c>
      <c r="Q927">
        <v>2.2882677779999998</v>
      </c>
      <c r="R927" t="s">
        <v>1016</v>
      </c>
      <c r="S927">
        <v>0</v>
      </c>
    </row>
    <row r="928" spans="1:19" x14ac:dyDescent="0.25">
      <c r="A928" t="s">
        <v>26</v>
      </c>
      <c r="B928" t="s">
        <v>928</v>
      </c>
      <c r="C928">
        <v>15</v>
      </c>
      <c r="D928" t="s">
        <v>27</v>
      </c>
      <c r="E928" t="s">
        <v>95</v>
      </c>
      <c r="F928" t="s">
        <v>105</v>
      </c>
      <c r="G928" t="s">
        <v>102</v>
      </c>
      <c r="H928" t="s">
        <v>102</v>
      </c>
      <c r="J928">
        <v>0</v>
      </c>
      <c r="K928">
        <v>1</v>
      </c>
      <c r="L928">
        <v>67.5</v>
      </c>
      <c r="M928">
        <v>47.937235809999997</v>
      </c>
      <c r="N928">
        <v>0.41599678000000001</v>
      </c>
      <c r="O928">
        <v>84.740740740000007</v>
      </c>
      <c r="P928">
        <v>29.167014049999999</v>
      </c>
      <c r="Q928">
        <v>1.1169849999999999</v>
      </c>
      <c r="R928" t="s">
        <v>1016</v>
      </c>
      <c r="S928">
        <v>18.770221759999998</v>
      </c>
    </row>
    <row r="929" spans="1:19" x14ac:dyDescent="0.25">
      <c r="A929" t="s">
        <v>26</v>
      </c>
      <c r="B929" t="s">
        <v>928</v>
      </c>
      <c r="C929">
        <v>16</v>
      </c>
      <c r="D929" t="s">
        <v>27</v>
      </c>
      <c r="E929" t="s">
        <v>95</v>
      </c>
      <c r="F929" t="s">
        <v>105</v>
      </c>
      <c r="G929" t="s">
        <v>102</v>
      </c>
      <c r="H929" t="s">
        <v>111</v>
      </c>
      <c r="J929">
        <v>0</v>
      </c>
      <c r="K929">
        <v>1</v>
      </c>
      <c r="L929">
        <v>67.5</v>
      </c>
      <c r="M929">
        <v>47.937235809999997</v>
      </c>
      <c r="N929">
        <v>0.41599678000000001</v>
      </c>
      <c r="O929">
        <v>94.97142857</v>
      </c>
      <c r="P929">
        <v>24.31591813</v>
      </c>
      <c r="Q929">
        <v>0.122951111</v>
      </c>
      <c r="R929" t="s">
        <v>1016</v>
      </c>
      <c r="S929">
        <v>23.621317679999997</v>
      </c>
    </row>
    <row r="930" spans="1:19" x14ac:dyDescent="0.25">
      <c r="A930" t="s">
        <v>26</v>
      </c>
      <c r="B930" t="s">
        <v>928</v>
      </c>
      <c r="C930">
        <v>17</v>
      </c>
      <c r="D930" t="s">
        <v>27</v>
      </c>
      <c r="E930" t="s">
        <v>95</v>
      </c>
      <c r="F930" t="s">
        <v>105</v>
      </c>
      <c r="G930" t="s">
        <v>102</v>
      </c>
      <c r="H930" t="s">
        <v>242</v>
      </c>
      <c r="J930">
        <v>0</v>
      </c>
      <c r="K930">
        <v>1</v>
      </c>
      <c r="L930">
        <v>67.5</v>
      </c>
      <c r="M930">
        <v>47.937235809999997</v>
      </c>
      <c r="N930">
        <v>0.41599678000000001</v>
      </c>
      <c r="O930">
        <v>139.375</v>
      </c>
      <c r="P930">
        <v>23.713465920000001</v>
      </c>
      <c r="Q930" t="s">
        <v>114</v>
      </c>
      <c r="R930" t="s">
        <v>1016</v>
      </c>
      <c r="S930">
        <v>24.223769889999996</v>
      </c>
    </row>
    <row r="931" spans="1:19" x14ac:dyDescent="0.25">
      <c r="A931" t="s">
        <v>26</v>
      </c>
      <c r="B931" t="s">
        <v>929</v>
      </c>
      <c r="C931">
        <v>15</v>
      </c>
      <c r="D931" t="s">
        <v>27</v>
      </c>
      <c r="E931" t="s">
        <v>95</v>
      </c>
      <c r="F931" t="s">
        <v>110</v>
      </c>
      <c r="G931" t="s">
        <v>111</v>
      </c>
      <c r="H931" t="s">
        <v>111</v>
      </c>
      <c r="J931">
        <v>0</v>
      </c>
      <c r="K931">
        <v>1</v>
      </c>
      <c r="L931">
        <v>73.260869569999997</v>
      </c>
      <c r="M931">
        <v>34.453830549999999</v>
      </c>
      <c r="N931">
        <v>1.058333333</v>
      </c>
      <c r="O931">
        <v>94.97142857</v>
      </c>
      <c r="P931">
        <v>24.31591813</v>
      </c>
      <c r="Q931">
        <v>0.122951111</v>
      </c>
      <c r="R931" t="s">
        <v>1016</v>
      </c>
      <c r="S931">
        <v>10.137912419999999</v>
      </c>
    </row>
    <row r="932" spans="1:19" x14ac:dyDescent="0.25">
      <c r="A932" t="s">
        <v>26</v>
      </c>
      <c r="B932" t="s">
        <v>929</v>
      </c>
      <c r="C932">
        <v>16</v>
      </c>
      <c r="D932" t="s">
        <v>27</v>
      </c>
      <c r="E932" t="s">
        <v>95</v>
      </c>
      <c r="F932" t="s">
        <v>110</v>
      </c>
      <c r="G932" t="s">
        <v>111</v>
      </c>
      <c r="H932" t="s">
        <v>242</v>
      </c>
      <c r="J932">
        <v>0</v>
      </c>
      <c r="K932">
        <v>8</v>
      </c>
      <c r="L932">
        <v>73.260869569999997</v>
      </c>
      <c r="M932">
        <v>34.453830549999999</v>
      </c>
      <c r="N932">
        <v>1.058333333</v>
      </c>
      <c r="O932">
        <v>139.375</v>
      </c>
      <c r="P932">
        <v>23.713465920000001</v>
      </c>
      <c r="Q932" t="s">
        <v>114</v>
      </c>
      <c r="R932" t="s">
        <v>1016</v>
      </c>
      <c r="S932">
        <v>10.740364629999998</v>
      </c>
    </row>
    <row r="933" spans="1:19" x14ac:dyDescent="0.25">
      <c r="A933" t="s">
        <v>26</v>
      </c>
      <c r="B933" t="s">
        <v>930</v>
      </c>
      <c r="C933">
        <v>15</v>
      </c>
      <c r="D933" t="s">
        <v>27</v>
      </c>
      <c r="E933" t="s">
        <v>95</v>
      </c>
      <c r="F933" t="s">
        <v>111</v>
      </c>
      <c r="G933" t="s">
        <v>102</v>
      </c>
      <c r="H933" t="s">
        <v>244</v>
      </c>
      <c r="J933">
        <v>0</v>
      </c>
      <c r="K933">
        <v>1</v>
      </c>
      <c r="L933">
        <v>94.97142857</v>
      </c>
      <c r="M933">
        <v>24.31591813</v>
      </c>
      <c r="N933">
        <v>0.122951111</v>
      </c>
      <c r="O933">
        <v>75</v>
      </c>
      <c r="P933">
        <v>28.80614499</v>
      </c>
      <c r="Q933">
        <v>2.3860428570000001</v>
      </c>
      <c r="R933" t="s">
        <v>1016</v>
      </c>
      <c r="S933">
        <v>-4.4902268599999999</v>
      </c>
    </row>
    <row r="934" spans="1:19" x14ac:dyDescent="0.25">
      <c r="A934" t="s">
        <v>26</v>
      </c>
      <c r="B934" t="s">
        <v>930</v>
      </c>
      <c r="C934">
        <v>16</v>
      </c>
      <c r="D934" t="s">
        <v>27</v>
      </c>
      <c r="E934" t="s">
        <v>95</v>
      </c>
      <c r="F934" t="s">
        <v>111</v>
      </c>
      <c r="G934" t="s">
        <v>102</v>
      </c>
      <c r="H934" t="s">
        <v>236</v>
      </c>
      <c r="J934">
        <v>0</v>
      </c>
      <c r="K934">
        <v>1</v>
      </c>
      <c r="L934">
        <v>94.97142857</v>
      </c>
      <c r="M934">
        <v>24.31591813</v>
      </c>
      <c r="N934">
        <v>0.122951111</v>
      </c>
      <c r="O934">
        <v>113.33333330000001</v>
      </c>
      <c r="P934">
        <v>26.41632581</v>
      </c>
      <c r="Q934">
        <v>1.6844570160000001</v>
      </c>
      <c r="R934" t="s">
        <v>1016</v>
      </c>
      <c r="S934">
        <v>-2.10040768</v>
      </c>
    </row>
    <row r="935" spans="1:19" x14ac:dyDescent="0.25">
      <c r="A935" t="s">
        <v>26</v>
      </c>
      <c r="B935" t="s">
        <v>930</v>
      </c>
      <c r="C935">
        <v>17</v>
      </c>
      <c r="D935" t="s">
        <v>27</v>
      </c>
      <c r="E935" t="s">
        <v>95</v>
      </c>
      <c r="F935" t="s">
        <v>111</v>
      </c>
      <c r="G935" t="s">
        <v>102</v>
      </c>
      <c r="H935" t="s">
        <v>102</v>
      </c>
      <c r="J935">
        <v>0</v>
      </c>
      <c r="K935">
        <v>1</v>
      </c>
      <c r="L935">
        <v>94.97142857</v>
      </c>
      <c r="M935">
        <v>24.31591813</v>
      </c>
      <c r="N935">
        <v>0.122951111</v>
      </c>
      <c r="O935">
        <v>84.740740740000007</v>
      </c>
      <c r="P935">
        <v>29.167014049999999</v>
      </c>
      <c r="Q935">
        <v>1.1169849999999999</v>
      </c>
      <c r="R935" t="s">
        <v>1016</v>
      </c>
      <c r="S935">
        <v>-4.8510959199999988</v>
      </c>
    </row>
    <row r="936" spans="1:19" x14ac:dyDescent="0.25">
      <c r="A936" t="s">
        <v>26</v>
      </c>
      <c r="B936" t="s">
        <v>930</v>
      </c>
      <c r="C936">
        <v>18</v>
      </c>
      <c r="D936" t="s">
        <v>27</v>
      </c>
      <c r="E936" t="s">
        <v>95</v>
      </c>
      <c r="F936" t="s">
        <v>111</v>
      </c>
      <c r="G936" t="s">
        <v>102</v>
      </c>
      <c r="H936" t="s">
        <v>242</v>
      </c>
      <c r="J936">
        <v>0</v>
      </c>
      <c r="K936">
        <v>3</v>
      </c>
      <c r="L936">
        <v>94.97142857</v>
      </c>
      <c r="M936">
        <v>24.31591813</v>
      </c>
      <c r="N936">
        <v>0.122951111</v>
      </c>
      <c r="O936">
        <v>139.375</v>
      </c>
      <c r="P936">
        <v>23.713465920000001</v>
      </c>
      <c r="Q936" t="s">
        <v>114</v>
      </c>
      <c r="R936" t="s">
        <v>1016</v>
      </c>
      <c r="S936">
        <v>0.60245220999999916</v>
      </c>
    </row>
    <row r="937" spans="1:19" x14ac:dyDescent="0.25">
      <c r="A937" t="s">
        <v>28</v>
      </c>
      <c r="B937" t="s">
        <v>931</v>
      </c>
      <c r="C937">
        <v>15</v>
      </c>
      <c r="D937" t="s">
        <v>29</v>
      </c>
      <c r="E937" t="s">
        <v>94</v>
      </c>
      <c r="F937" t="s">
        <v>113</v>
      </c>
      <c r="G937" t="s">
        <v>113</v>
      </c>
      <c r="H937" t="s">
        <v>113</v>
      </c>
      <c r="J937">
        <v>0</v>
      </c>
      <c r="K937">
        <v>2</v>
      </c>
      <c r="L937">
        <v>83.757575759999995</v>
      </c>
      <c r="M937">
        <v>22.60997987</v>
      </c>
      <c r="N937">
        <v>0.72884000000000004</v>
      </c>
      <c r="O937">
        <v>83.757575759999995</v>
      </c>
      <c r="P937">
        <v>22.60997987</v>
      </c>
      <c r="Q937">
        <v>0.72884000000000004</v>
      </c>
      <c r="R937" t="s">
        <v>1016</v>
      </c>
      <c r="S937">
        <v>0</v>
      </c>
    </row>
    <row r="938" spans="1:19" x14ac:dyDescent="0.25">
      <c r="A938" t="s">
        <v>28</v>
      </c>
      <c r="B938" t="s">
        <v>931</v>
      </c>
      <c r="C938">
        <v>16</v>
      </c>
      <c r="D938" t="s">
        <v>29</v>
      </c>
      <c r="E938" t="s">
        <v>94</v>
      </c>
      <c r="F938" t="s">
        <v>113</v>
      </c>
      <c r="G938" t="s">
        <v>113</v>
      </c>
      <c r="H938" t="s">
        <v>248</v>
      </c>
      <c r="J938">
        <v>0</v>
      </c>
      <c r="K938">
        <v>12</v>
      </c>
      <c r="L938">
        <v>83.757575759999995</v>
      </c>
      <c r="M938">
        <v>22.60997987</v>
      </c>
      <c r="N938">
        <v>0.72884000000000004</v>
      </c>
      <c r="O938">
        <v>83.92307692</v>
      </c>
      <c r="P938">
        <v>44.319135699999997</v>
      </c>
      <c r="Q938">
        <v>5.9548609999999997E-3</v>
      </c>
      <c r="R938" t="s">
        <v>1016</v>
      </c>
      <c r="S938">
        <v>-21.709155829999997</v>
      </c>
    </row>
    <row r="939" spans="1:19" x14ac:dyDescent="0.25">
      <c r="A939" t="s">
        <v>28</v>
      </c>
      <c r="B939" t="s">
        <v>931</v>
      </c>
      <c r="C939">
        <v>17</v>
      </c>
      <c r="D939" t="s">
        <v>29</v>
      </c>
      <c r="E939" t="s">
        <v>94</v>
      </c>
      <c r="F939" t="s">
        <v>113</v>
      </c>
      <c r="G939" t="s">
        <v>113</v>
      </c>
      <c r="H939" t="s">
        <v>247</v>
      </c>
      <c r="J939">
        <v>0</v>
      </c>
      <c r="K939">
        <v>1</v>
      </c>
      <c r="L939">
        <v>83.757575759999995</v>
      </c>
      <c r="M939">
        <v>22.60997987</v>
      </c>
      <c r="N939">
        <v>0.72884000000000004</v>
      </c>
      <c r="O939">
        <v>65.791044779999993</v>
      </c>
      <c r="P939">
        <v>22.94519201</v>
      </c>
      <c r="Q939">
        <v>8.1320334999999994E-2</v>
      </c>
      <c r="R939" t="s">
        <v>1016</v>
      </c>
      <c r="S939">
        <v>-0.33521213999999944</v>
      </c>
    </row>
    <row r="940" spans="1:19" x14ac:dyDescent="0.25">
      <c r="A940" t="s">
        <v>28</v>
      </c>
      <c r="B940" t="s">
        <v>931</v>
      </c>
      <c r="C940">
        <v>18</v>
      </c>
      <c r="D940" t="s">
        <v>29</v>
      </c>
      <c r="E940" t="s">
        <v>94</v>
      </c>
      <c r="F940" t="s">
        <v>113</v>
      </c>
      <c r="G940" t="s">
        <v>113</v>
      </c>
      <c r="H940" t="s">
        <v>239</v>
      </c>
      <c r="J940">
        <v>0</v>
      </c>
      <c r="K940">
        <v>1</v>
      </c>
      <c r="L940">
        <v>83.757575759999995</v>
      </c>
      <c r="M940">
        <v>22.60997987</v>
      </c>
      <c r="N940">
        <v>0.72884000000000004</v>
      </c>
      <c r="O940">
        <v>100.45454549999999</v>
      </c>
      <c r="P940">
        <v>26.754810689999999</v>
      </c>
      <c r="Q940">
        <v>0.75829999999999997</v>
      </c>
      <c r="R940" t="s">
        <v>1016</v>
      </c>
      <c r="S940">
        <v>-4.1448308199999992</v>
      </c>
    </row>
    <row r="941" spans="1:19" x14ac:dyDescent="0.25">
      <c r="A941" t="s">
        <v>28</v>
      </c>
      <c r="B941" t="s">
        <v>932</v>
      </c>
      <c r="C941">
        <v>15</v>
      </c>
      <c r="D941" t="s">
        <v>29</v>
      </c>
      <c r="E941" t="s">
        <v>94</v>
      </c>
      <c r="F941" t="s">
        <v>103</v>
      </c>
      <c r="G941" t="s">
        <v>102</v>
      </c>
      <c r="H941" t="s">
        <v>102</v>
      </c>
      <c r="J941">
        <v>0</v>
      </c>
      <c r="K941">
        <v>1</v>
      </c>
      <c r="L941">
        <v>98.291666669999998</v>
      </c>
      <c r="M941">
        <v>30.315130790000001</v>
      </c>
      <c r="N941">
        <v>5.0803484000000003E-2</v>
      </c>
      <c r="O941">
        <v>84.740740740000007</v>
      </c>
      <c r="P941">
        <v>29.167014049999999</v>
      </c>
      <c r="Q941">
        <v>1.1169849999999999</v>
      </c>
      <c r="R941" t="s">
        <v>1016</v>
      </c>
      <c r="S941">
        <v>1.1481167400000025</v>
      </c>
    </row>
    <row r="942" spans="1:19" x14ac:dyDescent="0.25">
      <c r="A942" t="s">
        <v>28</v>
      </c>
      <c r="B942" t="s">
        <v>932</v>
      </c>
      <c r="C942">
        <v>16</v>
      </c>
      <c r="D942" t="s">
        <v>29</v>
      </c>
      <c r="E942" t="s">
        <v>94</v>
      </c>
      <c r="F942" t="s">
        <v>103</v>
      </c>
      <c r="G942" t="s">
        <v>102</v>
      </c>
      <c r="H942" t="s">
        <v>103</v>
      </c>
      <c r="J942">
        <v>0</v>
      </c>
      <c r="K942">
        <v>2</v>
      </c>
      <c r="L942">
        <v>98.291666669999998</v>
      </c>
      <c r="M942">
        <v>30.315130790000001</v>
      </c>
      <c r="N942">
        <v>5.0803484000000003E-2</v>
      </c>
      <c r="O942">
        <v>98.291666669999998</v>
      </c>
      <c r="P942">
        <v>30.315130790000001</v>
      </c>
      <c r="Q942">
        <v>5.0803484000000003E-2</v>
      </c>
      <c r="R942" t="s">
        <v>1016</v>
      </c>
      <c r="S942">
        <v>0</v>
      </c>
    </row>
    <row r="943" spans="1:19" x14ac:dyDescent="0.25">
      <c r="A943" t="s">
        <v>28</v>
      </c>
      <c r="B943" t="s">
        <v>933</v>
      </c>
      <c r="C943">
        <v>15</v>
      </c>
      <c r="D943" t="s">
        <v>29</v>
      </c>
      <c r="E943" t="s">
        <v>94</v>
      </c>
      <c r="F943" t="s">
        <v>111</v>
      </c>
      <c r="G943" t="s">
        <v>121</v>
      </c>
      <c r="H943" t="s">
        <v>247</v>
      </c>
      <c r="J943">
        <v>0</v>
      </c>
      <c r="K943">
        <v>1</v>
      </c>
      <c r="L943">
        <v>94.97142857</v>
      </c>
      <c r="M943">
        <v>24.31591813</v>
      </c>
      <c r="N943">
        <v>0.122951111</v>
      </c>
      <c r="O943">
        <v>65.791044779999993</v>
      </c>
      <c r="P943">
        <v>22.94519201</v>
      </c>
      <c r="Q943">
        <v>8.1320334999999994E-2</v>
      </c>
      <c r="R943" t="s">
        <v>1016</v>
      </c>
      <c r="S943">
        <v>1.3707261200000005</v>
      </c>
    </row>
    <row r="944" spans="1:19" x14ac:dyDescent="0.25">
      <c r="A944" t="s">
        <v>28</v>
      </c>
      <c r="B944" t="s">
        <v>933</v>
      </c>
      <c r="C944">
        <v>16</v>
      </c>
      <c r="D944" t="s">
        <v>29</v>
      </c>
      <c r="E944" t="s">
        <v>94</v>
      </c>
      <c r="F944" t="s">
        <v>111</v>
      </c>
      <c r="G944" t="s">
        <v>121</v>
      </c>
      <c r="H944" t="s">
        <v>113</v>
      </c>
      <c r="J944">
        <v>0</v>
      </c>
      <c r="K944">
        <v>3</v>
      </c>
      <c r="L944">
        <v>94.97142857</v>
      </c>
      <c r="M944">
        <v>24.31591813</v>
      </c>
      <c r="N944">
        <v>0.122951111</v>
      </c>
      <c r="O944">
        <v>83.757575759999995</v>
      </c>
      <c r="P944">
        <v>22.60997987</v>
      </c>
      <c r="Q944">
        <v>0.72884000000000004</v>
      </c>
      <c r="R944" t="s">
        <v>1016</v>
      </c>
      <c r="S944">
        <v>1.7059382599999999</v>
      </c>
    </row>
    <row r="945" spans="1:19" x14ac:dyDescent="0.25">
      <c r="A945" t="s">
        <v>28</v>
      </c>
      <c r="B945" t="s">
        <v>933</v>
      </c>
      <c r="C945">
        <v>17</v>
      </c>
      <c r="D945" t="s">
        <v>29</v>
      </c>
      <c r="E945" t="s">
        <v>94</v>
      </c>
      <c r="F945" t="s">
        <v>111</v>
      </c>
      <c r="G945" t="s">
        <v>121</v>
      </c>
      <c r="H945" t="s">
        <v>248</v>
      </c>
      <c r="J945">
        <v>0</v>
      </c>
      <c r="K945">
        <v>1</v>
      </c>
      <c r="L945">
        <v>94.97142857</v>
      </c>
      <c r="M945">
        <v>24.31591813</v>
      </c>
      <c r="N945">
        <v>0.122951111</v>
      </c>
      <c r="O945">
        <v>83.92307692</v>
      </c>
      <c r="P945">
        <v>44.319135699999997</v>
      </c>
      <c r="Q945">
        <v>5.9548609999999997E-3</v>
      </c>
      <c r="R945" t="s">
        <v>1016</v>
      </c>
      <c r="S945">
        <v>-20.003217569999997</v>
      </c>
    </row>
    <row r="946" spans="1:19" x14ac:dyDescent="0.25">
      <c r="A946" t="s">
        <v>28</v>
      </c>
      <c r="B946" t="s">
        <v>934</v>
      </c>
      <c r="C946">
        <v>15</v>
      </c>
      <c r="D946" t="s">
        <v>29</v>
      </c>
      <c r="E946" t="s">
        <v>94</v>
      </c>
      <c r="F946" t="s">
        <v>112</v>
      </c>
      <c r="G946" t="s">
        <v>121</v>
      </c>
      <c r="H946" t="s">
        <v>103</v>
      </c>
      <c r="J946">
        <v>0</v>
      </c>
      <c r="K946">
        <v>4</v>
      </c>
      <c r="L946">
        <v>65.09375</v>
      </c>
      <c r="M946">
        <v>37.895352600000002</v>
      </c>
      <c r="N946">
        <v>2.2882677779999998</v>
      </c>
      <c r="O946">
        <v>98.291666669999998</v>
      </c>
      <c r="P946">
        <v>30.315130790000001</v>
      </c>
      <c r="Q946">
        <v>5.0803484000000003E-2</v>
      </c>
      <c r="R946" t="s">
        <v>1016</v>
      </c>
      <c r="S946">
        <v>7.5802218100000012</v>
      </c>
    </row>
    <row r="947" spans="1:19" x14ac:dyDescent="0.25">
      <c r="A947" t="s">
        <v>28</v>
      </c>
      <c r="B947" t="s">
        <v>934</v>
      </c>
      <c r="C947">
        <v>16</v>
      </c>
      <c r="D947" t="s">
        <v>29</v>
      </c>
      <c r="E947" t="s">
        <v>94</v>
      </c>
      <c r="F947" t="s">
        <v>112</v>
      </c>
      <c r="G947" t="s">
        <v>121</v>
      </c>
      <c r="H947" t="s">
        <v>113</v>
      </c>
      <c r="J947">
        <v>0</v>
      </c>
      <c r="K947">
        <v>6</v>
      </c>
      <c r="L947">
        <v>65.09375</v>
      </c>
      <c r="M947">
        <v>37.895352600000002</v>
      </c>
      <c r="N947">
        <v>2.2882677779999998</v>
      </c>
      <c r="O947">
        <v>83.757575759999995</v>
      </c>
      <c r="P947">
        <v>22.60997987</v>
      </c>
      <c r="Q947">
        <v>0.72884000000000004</v>
      </c>
      <c r="R947" t="s">
        <v>1016</v>
      </c>
      <c r="S947">
        <v>15.285372730000002</v>
      </c>
    </row>
    <row r="948" spans="1:19" x14ac:dyDescent="0.25">
      <c r="A948" t="s">
        <v>28</v>
      </c>
      <c r="B948" t="s">
        <v>934</v>
      </c>
      <c r="C948">
        <v>17</v>
      </c>
      <c r="D948" t="s">
        <v>29</v>
      </c>
      <c r="E948" t="s">
        <v>94</v>
      </c>
      <c r="F948" t="s">
        <v>112</v>
      </c>
      <c r="G948" t="s">
        <v>121</v>
      </c>
      <c r="H948" t="s">
        <v>248</v>
      </c>
      <c r="J948">
        <v>0</v>
      </c>
      <c r="K948">
        <v>3</v>
      </c>
      <c r="L948">
        <v>65.09375</v>
      </c>
      <c r="M948">
        <v>37.895352600000002</v>
      </c>
      <c r="N948">
        <v>2.2882677779999998</v>
      </c>
      <c r="O948">
        <v>83.92307692</v>
      </c>
      <c r="P948">
        <v>44.319135699999997</v>
      </c>
      <c r="Q948">
        <v>5.9548609999999997E-3</v>
      </c>
      <c r="R948" t="s">
        <v>1016</v>
      </c>
      <c r="S948">
        <v>-6.4237830999999943</v>
      </c>
    </row>
    <row r="949" spans="1:19" x14ac:dyDescent="0.25">
      <c r="A949" t="s">
        <v>30</v>
      </c>
      <c r="B949" t="s">
        <v>935</v>
      </c>
      <c r="C949">
        <v>15</v>
      </c>
      <c r="D949" t="s">
        <v>31</v>
      </c>
      <c r="E949" t="s">
        <v>95</v>
      </c>
      <c r="F949" t="s">
        <v>113</v>
      </c>
      <c r="G949" t="s">
        <v>121</v>
      </c>
      <c r="H949" t="s">
        <v>113</v>
      </c>
      <c r="J949">
        <v>0</v>
      </c>
      <c r="K949">
        <v>1</v>
      </c>
      <c r="L949">
        <v>83.757575759999995</v>
      </c>
      <c r="M949">
        <v>22.60997987</v>
      </c>
      <c r="N949">
        <v>0.72884000000000004</v>
      </c>
      <c r="O949">
        <v>83.757575759999995</v>
      </c>
      <c r="P949">
        <v>22.60997987</v>
      </c>
      <c r="Q949">
        <v>0.72884000000000004</v>
      </c>
      <c r="R949" t="s">
        <v>1016</v>
      </c>
      <c r="S949">
        <v>0</v>
      </c>
    </row>
    <row r="950" spans="1:19" x14ac:dyDescent="0.25">
      <c r="A950" t="s">
        <v>30</v>
      </c>
      <c r="B950" t="s">
        <v>935</v>
      </c>
      <c r="C950">
        <v>16</v>
      </c>
      <c r="D950" t="s">
        <v>31</v>
      </c>
      <c r="E950" t="s">
        <v>95</v>
      </c>
      <c r="F950" t="s">
        <v>113</v>
      </c>
      <c r="G950" t="s">
        <v>121</v>
      </c>
      <c r="H950" t="s">
        <v>103</v>
      </c>
      <c r="J950">
        <v>0</v>
      </c>
      <c r="K950">
        <v>2</v>
      </c>
      <c r="L950">
        <v>83.757575759999995</v>
      </c>
      <c r="M950">
        <v>22.60997987</v>
      </c>
      <c r="N950">
        <v>0.72884000000000004</v>
      </c>
      <c r="O950">
        <v>98.291666669999998</v>
      </c>
      <c r="P950">
        <v>30.315130790000001</v>
      </c>
      <c r="Q950">
        <v>5.0803484000000003E-2</v>
      </c>
      <c r="R950" t="s">
        <v>1016</v>
      </c>
      <c r="S950">
        <v>-7.7051509200000012</v>
      </c>
    </row>
    <row r="951" spans="1:19" x14ac:dyDescent="0.25">
      <c r="A951" t="s">
        <v>30</v>
      </c>
      <c r="B951" t="s">
        <v>935</v>
      </c>
      <c r="C951">
        <v>17</v>
      </c>
      <c r="D951" t="s">
        <v>31</v>
      </c>
      <c r="E951" t="s">
        <v>95</v>
      </c>
      <c r="F951" t="s">
        <v>113</v>
      </c>
      <c r="G951" t="s">
        <v>121</v>
      </c>
      <c r="H951" t="s">
        <v>248</v>
      </c>
      <c r="J951">
        <v>0</v>
      </c>
      <c r="K951">
        <v>9</v>
      </c>
      <c r="L951">
        <v>83.757575759999995</v>
      </c>
      <c r="M951">
        <v>22.60997987</v>
      </c>
      <c r="N951">
        <v>0.72884000000000004</v>
      </c>
      <c r="O951">
        <v>83.92307692</v>
      </c>
      <c r="P951">
        <v>44.319135699999997</v>
      </c>
      <c r="Q951">
        <v>5.9548609999999997E-3</v>
      </c>
      <c r="R951" t="s">
        <v>1016</v>
      </c>
      <c r="S951">
        <v>-21.709155829999997</v>
      </c>
    </row>
    <row r="952" spans="1:19" x14ac:dyDescent="0.25">
      <c r="A952" t="s">
        <v>30</v>
      </c>
      <c r="B952" t="s">
        <v>935</v>
      </c>
      <c r="C952">
        <v>18</v>
      </c>
      <c r="D952" t="s">
        <v>31</v>
      </c>
      <c r="E952" t="s">
        <v>95</v>
      </c>
      <c r="F952" t="s">
        <v>113</v>
      </c>
      <c r="G952" t="s">
        <v>121</v>
      </c>
      <c r="H952" t="s">
        <v>111</v>
      </c>
      <c r="J952">
        <v>0</v>
      </c>
      <c r="K952">
        <v>1</v>
      </c>
      <c r="L952">
        <v>83.757575759999995</v>
      </c>
      <c r="M952">
        <v>22.60997987</v>
      </c>
      <c r="N952">
        <v>0.72884000000000004</v>
      </c>
      <c r="O952">
        <v>94.97142857</v>
      </c>
      <c r="P952">
        <v>24.31591813</v>
      </c>
      <c r="Q952">
        <v>0.122951111</v>
      </c>
      <c r="R952" t="s">
        <v>1016</v>
      </c>
      <c r="S952">
        <v>-1.7059382599999999</v>
      </c>
    </row>
    <row r="953" spans="1:19" x14ac:dyDescent="0.25">
      <c r="A953" t="s">
        <v>30</v>
      </c>
      <c r="B953" t="s">
        <v>936</v>
      </c>
      <c r="C953">
        <v>15</v>
      </c>
      <c r="D953" t="s">
        <v>31</v>
      </c>
      <c r="E953" t="s">
        <v>95</v>
      </c>
      <c r="F953" t="s">
        <v>103</v>
      </c>
      <c r="G953" t="s">
        <v>113</v>
      </c>
      <c r="H953" t="s">
        <v>113</v>
      </c>
      <c r="J953">
        <v>0</v>
      </c>
      <c r="K953">
        <v>3</v>
      </c>
      <c r="L953">
        <v>98.291666669999998</v>
      </c>
      <c r="M953">
        <v>30.315130790000001</v>
      </c>
      <c r="N953">
        <v>5.0803484000000003E-2</v>
      </c>
      <c r="O953">
        <v>83.757575759999995</v>
      </c>
      <c r="P953">
        <v>22.60997987</v>
      </c>
      <c r="Q953">
        <v>0.72884000000000004</v>
      </c>
      <c r="R953" t="s">
        <v>1016</v>
      </c>
      <c r="S953">
        <v>7.7051509200000012</v>
      </c>
    </row>
    <row r="954" spans="1:19" x14ac:dyDescent="0.25">
      <c r="A954" t="s">
        <v>30</v>
      </c>
      <c r="B954" t="s">
        <v>936</v>
      </c>
      <c r="C954">
        <v>16</v>
      </c>
      <c r="D954" t="s">
        <v>31</v>
      </c>
      <c r="E954" t="s">
        <v>95</v>
      </c>
      <c r="F954" t="s">
        <v>103</v>
      </c>
      <c r="G954" t="s">
        <v>113</v>
      </c>
      <c r="H954" t="s">
        <v>247</v>
      </c>
      <c r="J954">
        <v>0</v>
      </c>
      <c r="K954">
        <v>1</v>
      </c>
      <c r="L954">
        <v>98.291666669999998</v>
      </c>
      <c r="M954">
        <v>30.315130790000001</v>
      </c>
      <c r="N954">
        <v>5.0803484000000003E-2</v>
      </c>
      <c r="O954">
        <v>65.791044779999993</v>
      </c>
      <c r="P954">
        <v>22.94519201</v>
      </c>
      <c r="Q954">
        <v>8.1320334999999994E-2</v>
      </c>
      <c r="R954" t="s">
        <v>1016</v>
      </c>
      <c r="S954">
        <v>7.3699387800000018</v>
      </c>
    </row>
    <row r="955" spans="1:19" x14ac:dyDescent="0.25">
      <c r="A955" t="s">
        <v>30</v>
      </c>
      <c r="B955" t="s">
        <v>936</v>
      </c>
      <c r="C955">
        <v>17</v>
      </c>
      <c r="D955" t="s">
        <v>31</v>
      </c>
      <c r="E955" t="s">
        <v>95</v>
      </c>
      <c r="F955" t="s">
        <v>103</v>
      </c>
      <c r="G955" t="s">
        <v>113</v>
      </c>
      <c r="H955" t="s">
        <v>111</v>
      </c>
      <c r="J955">
        <v>0</v>
      </c>
      <c r="K955">
        <v>1</v>
      </c>
      <c r="L955">
        <v>98.291666669999998</v>
      </c>
      <c r="M955">
        <v>30.315130790000001</v>
      </c>
      <c r="N955">
        <v>5.0803484000000003E-2</v>
      </c>
      <c r="O955">
        <v>94.97142857</v>
      </c>
      <c r="P955">
        <v>24.31591813</v>
      </c>
      <c r="Q955">
        <v>0.122951111</v>
      </c>
      <c r="R955" t="s">
        <v>1016</v>
      </c>
      <c r="S955">
        <v>5.9992126600000013</v>
      </c>
    </row>
    <row r="956" spans="1:19" x14ac:dyDescent="0.25">
      <c r="A956" t="s">
        <v>30</v>
      </c>
      <c r="B956" t="s">
        <v>936</v>
      </c>
      <c r="C956">
        <v>18</v>
      </c>
      <c r="D956" t="s">
        <v>31</v>
      </c>
      <c r="E956" t="s">
        <v>95</v>
      </c>
      <c r="F956" t="s">
        <v>103</v>
      </c>
      <c r="G956" t="s">
        <v>113</v>
      </c>
      <c r="H956" t="s">
        <v>234</v>
      </c>
      <c r="J956">
        <v>0</v>
      </c>
      <c r="K956">
        <v>1</v>
      </c>
      <c r="L956">
        <v>98.291666669999998</v>
      </c>
      <c r="M956">
        <v>30.315130790000001</v>
      </c>
      <c r="N956">
        <v>5.0803484000000003E-2</v>
      </c>
      <c r="O956">
        <v>89.8125</v>
      </c>
      <c r="P956">
        <v>34.754706650000003</v>
      </c>
      <c r="Q956">
        <v>2.3065078999999999E-2</v>
      </c>
      <c r="R956" t="s">
        <v>1016</v>
      </c>
      <c r="S956">
        <v>-4.4395758600000015</v>
      </c>
    </row>
    <row r="957" spans="1:19" x14ac:dyDescent="0.25">
      <c r="A957" t="s">
        <v>30</v>
      </c>
      <c r="B957" t="s">
        <v>936</v>
      </c>
      <c r="C957">
        <v>19</v>
      </c>
      <c r="D957" t="s">
        <v>31</v>
      </c>
      <c r="E957" t="s">
        <v>95</v>
      </c>
      <c r="F957" t="s">
        <v>103</v>
      </c>
      <c r="G957" t="s">
        <v>113</v>
      </c>
      <c r="H957" t="s">
        <v>241</v>
      </c>
      <c r="J957">
        <v>0</v>
      </c>
      <c r="K957">
        <v>1</v>
      </c>
      <c r="L957">
        <v>98.291666669999998</v>
      </c>
      <c r="M957">
        <v>30.315130790000001</v>
      </c>
      <c r="N957">
        <v>5.0803484000000003E-2</v>
      </c>
      <c r="O957">
        <v>114</v>
      </c>
      <c r="P957">
        <v>30.43077242</v>
      </c>
      <c r="Q957">
        <v>0.53383111100000002</v>
      </c>
      <c r="R957" t="s">
        <v>1016</v>
      </c>
      <c r="S957">
        <v>-0.11564162999999894</v>
      </c>
    </row>
    <row r="958" spans="1:19" x14ac:dyDescent="0.25">
      <c r="A958" t="s">
        <v>30</v>
      </c>
      <c r="B958" t="s">
        <v>937</v>
      </c>
      <c r="C958">
        <v>15</v>
      </c>
      <c r="D958" t="s">
        <v>31</v>
      </c>
      <c r="E958" t="s">
        <v>95</v>
      </c>
      <c r="F958" t="s">
        <v>112</v>
      </c>
      <c r="G958" t="s">
        <v>103</v>
      </c>
      <c r="H958" t="s">
        <v>114</v>
      </c>
      <c r="J958">
        <v>0</v>
      </c>
      <c r="K958" t="s">
        <v>114</v>
      </c>
      <c r="L958">
        <v>65.09375</v>
      </c>
      <c r="M958">
        <v>37.895352600000002</v>
      </c>
      <c r="N958">
        <v>2.2882677779999998</v>
      </c>
      <c r="O958" t="s">
        <v>114</v>
      </c>
      <c r="P958" t="s">
        <v>114</v>
      </c>
      <c r="Q958" t="s">
        <v>114</v>
      </c>
      <c r="R958" t="s">
        <v>1016</v>
      </c>
      <c r="S958" t="s">
        <v>114</v>
      </c>
    </row>
    <row r="959" spans="1:19" x14ac:dyDescent="0.25">
      <c r="A959" t="s">
        <v>32</v>
      </c>
      <c r="B959" t="s">
        <v>938</v>
      </c>
      <c r="C959">
        <v>15</v>
      </c>
      <c r="D959" t="s">
        <v>33</v>
      </c>
      <c r="E959" t="s">
        <v>94</v>
      </c>
      <c r="F959" t="s">
        <v>105</v>
      </c>
      <c r="G959" t="s">
        <v>121</v>
      </c>
      <c r="H959" t="s">
        <v>247</v>
      </c>
      <c r="J959">
        <v>0</v>
      </c>
      <c r="K959">
        <v>2</v>
      </c>
      <c r="L959">
        <v>67.5</v>
      </c>
      <c r="M959">
        <v>47.937235809999997</v>
      </c>
      <c r="N959">
        <v>0.41599678000000001</v>
      </c>
      <c r="O959">
        <v>65.791044779999993</v>
      </c>
      <c r="P959">
        <v>22.94519201</v>
      </c>
      <c r="Q959">
        <v>8.1320334999999994E-2</v>
      </c>
      <c r="R959" t="s">
        <v>1016</v>
      </c>
      <c r="S959">
        <v>24.992043799999998</v>
      </c>
    </row>
    <row r="960" spans="1:19" x14ac:dyDescent="0.25">
      <c r="A960" t="s">
        <v>32</v>
      </c>
      <c r="B960" t="s">
        <v>938</v>
      </c>
      <c r="C960">
        <v>16</v>
      </c>
      <c r="D960" t="s">
        <v>33</v>
      </c>
      <c r="E960" t="s">
        <v>94</v>
      </c>
      <c r="F960" t="s">
        <v>105</v>
      </c>
      <c r="G960" t="s">
        <v>121</v>
      </c>
      <c r="H960" t="s">
        <v>249</v>
      </c>
      <c r="J960">
        <v>0</v>
      </c>
      <c r="K960">
        <v>1</v>
      </c>
      <c r="L960">
        <v>67.5</v>
      </c>
      <c r="M960">
        <v>47.937235809999997</v>
      </c>
      <c r="N960">
        <v>0.41599678000000001</v>
      </c>
      <c r="O960">
        <v>81.666666669999998</v>
      </c>
      <c r="P960">
        <v>48.056268459999998</v>
      </c>
      <c r="Q960">
        <v>0.120291364</v>
      </c>
      <c r="R960" t="s">
        <v>1016</v>
      </c>
      <c r="S960">
        <v>-0.11903265000000118</v>
      </c>
    </row>
    <row r="961" spans="1:19" x14ac:dyDescent="0.25">
      <c r="A961" t="s">
        <v>34</v>
      </c>
      <c r="B961" t="s">
        <v>939</v>
      </c>
      <c r="C961">
        <v>15</v>
      </c>
      <c r="D961" t="s">
        <v>35</v>
      </c>
      <c r="E961" t="s">
        <v>94</v>
      </c>
      <c r="F961" t="s">
        <v>112</v>
      </c>
      <c r="G961" t="s">
        <v>112</v>
      </c>
      <c r="H961" t="s">
        <v>112</v>
      </c>
      <c r="J961">
        <v>0</v>
      </c>
      <c r="K961">
        <v>1</v>
      </c>
      <c r="L961">
        <v>65.09375</v>
      </c>
      <c r="M961">
        <v>37.895352600000002</v>
      </c>
      <c r="N961">
        <v>2.2882677779999998</v>
      </c>
      <c r="O961">
        <v>65.09375</v>
      </c>
      <c r="P961">
        <v>37.895352600000002</v>
      </c>
      <c r="Q961">
        <v>2.2882677779999998</v>
      </c>
      <c r="R961" t="s">
        <v>1016</v>
      </c>
      <c r="S961">
        <v>0</v>
      </c>
    </row>
    <row r="962" spans="1:19" x14ac:dyDescent="0.25">
      <c r="A962" t="s">
        <v>36</v>
      </c>
      <c r="B962" t="s">
        <v>940</v>
      </c>
      <c r="C962">
        <v>15</v>
      </c>
      <c r="D962" t="s">
        <v>37</v>
      </c>
      <c r="E962" t="s">
        <v>95</v>
      </c>
      <c r="F962" t="s">
        <v>110</v>
      </c>
      <c r="G962" t="s">
        <v>121</v>
      </c>
      <c r="H962" t="s">
        <v>110</v>
      </c>
      <c r="J962">
        <v>0</v>
      </c>
      <c r="K962">
        <v>1</v>
      </c>
      <c r="L962">
        <v>73.260869569999997</v>
      </c>
      <c r="M962">
        <v>34.453830549999999</v>
      </c>
      <c r="N962">
        <v>1.058333333</v>
      </c>
      <c r="O962">
        <v>73.260869569999997</v>
      </c>
      <c r="P962">
        <v>34.453830549999999</v>
      </c>
      <c r="Q962">
        <v>1.058333333</v>
      </c>
      <c r="R962" t="s">
        <v>1016</v>
      </c>
      <c r="S962">
        <v>0</v>
      </c>
    </row>
    <row r="963" spans="1:19" x14ac:dyDescent="0.25">
      <c r="A963" t="s">
        <v>36</v>
      </c>
      <c r="B963" t="s">
        <v>941</v>
      </c>
      <c r="C963">
        <v>15</v>
      </c>
      <c r="D963" t="s">
        <v>37</v>
      </c>
      <c r="E963" t="s">
        <v>95</v>
      </c>
      <c r="F963" t="s">
        <v>104</v>
      </c>
      <c r="G963" t="s">
        <v>121</v>
      </c>
      <c r="H963" t="s">
        <v>104</v>
      </c>
      <c r="J963">
        <v>0</v>
      </c>
      <c r="K963">
        <v>1</v>
      </c>
      <c r="L963">
        <v>113.9375</v>
      </c>
      <c r="M963">
        <v>33.375507550000002</v>
      </c>
      <c r="N963">
        <v>2.4262999999999999</v>
      </c>
      <c r="O963">
        <v>113.9375</v>
      </c>
      <c r="P963">
        <v>33.375507550000002</v>
      </c>
      <c r="Q963">
        <v>2.4262999999999999</v>
      </c>
      <c r="R963" t="s">
        <v>1016</v>
      </c>
      <c r="S963">
        <v>0</v>
      </c>
    </row>
    <row r="964" spans="1:19" x14ac:dyDescent="0.25">
      <c r="A964" t="s">
        <v>36</v>
      </c>
      <c r="B964" t="s">
        <v>941</v>
      </c>
      <c r="C964">
        <v>16</v>
      </c>
      <c r="D964" t="s">
        <v>37</v>
      </c>
      <c r="E964" t="s">
        <v>95</v>
      </c>
      <c r="F964" t="s">
        <v>104</v>
      </c>
      <c r="G964" t="s">
        <v>121</v>
      </c>
      <c r="H964" t="s">
        <v>111</v>
      </c>
      <c r="J964">
        <v>0</v>
      </c>
      <c r="K964">
        <v>1</v>
      </c>
      <c r="L964">
        <v>113.9375</v>
      </c>
      <c r="M964">
        <v>33.375507550000002</v>
      </c>
      <c r="N964">
        <v>2.4262999999999999</v>
      </c>
      <c r="O964">
        <v>94.97142857</v>
      </c>
      <c r="P964">
        <v>24.31591813</v>
      </c>
      <c r="Q964">
        <v>0.122951111</v>
      </c>
      <c r="R964" t="s">
        <v>1016</v>
      </c>
      <c r="S964">
        <v>9.0595894200000018</v>
      </c>
    </row>
    <row r="965" spans="1:19" x14ac:dyDescent="0.25">
      <c r="A965" t="s">
        <v>36</v>
      </c>
      <c r="B965" t="s">
        <v>941</v>
      </c>
      <c r="C965">
        <v>17</v>
      </c>
      <c r="D965" t="s">
        <v>37</v>
      </c>
      <c r="E965" t="s">
        <v>95</v>
      </c>
      <c r="F965" t="s">
        <v>104</v>
      </c>
      <c r="G965" t="s">
        <v>121</v>
      </c>
      <c r="H965" t="s">
        <v>162</v>
      </c>
      <c r="J965">
        <v>0</v>
      </c>
      <c r="K965">
        <v>1</v>
      </c>
      <c r="L965">
        <v>113.9375</v>
      </c>
      <c r="M965">
        <v>33.375507550000002</v>
      </c>
      <c r="N965">
        <v>2.4262999999999999</v>
      </c>
      <c r="O965">
        <v>82.53846154</v>
      </c>
      <c r="P965">
        <v>35.660530039999998</v>
      </c>
      <c r="Q965">
        <v>3.3754499999999998</v>
      </c>
      <c r="R965" t="s">
        <v>1016</v>
      </c>
      <c r="S965">
        <v>-2.2850224899999958</v>
      </c>
    </row>
    <row r="966" spans="1:19" x14ac:dyDescent="0.25">
      <c r="A966" t="s">
        <v>38</v>
      </c>
      <c r="B966" t="s">
        <v>942</v>
      </c>
      <c r="C966">
        <v>2</v>
      </c>
      <c r="D966" t="s">
        <v>11</v>
      </c>
      <c r="E966" t="s">
        <v>95</v>
      </c>
      <c r="F966" t="s">
        <v>113</v>
      </c>
      <c r="G966" t="s">
        <v>103</v>
      </c>
      <c r="H966" t="s">
        <v>103</v>
      </c>
      <c r="J966">
        <v>0</v>
      </c>
      <c r="K966">
        <v>3</v>
      </c>
      <c r="L966">
        <v>83.757575759999995</v>
      </c>
      <c r="M966">
        <v>22.60997987</v>
      </c>
      <c r="N966">
        <v>0.72884000000000004</v>
      </c>
      <c r="O966">
        <v>98.291666669999998</v>
      </c>
      <c r="P966">
        <v>30.315130790000001</v>
      </c>
      <c r="Q966">
        <v>5.0803484000000003E-2</v>
      </c>
      <c r="R966" t="s">
        <v>1016</v>
      </c>
      <c r="S966">
        <v>-7.7051509200000012</v>
      </c>
    </row>
    <row r="967" spans="1:19" x14ac:dyDescent="0.25">
      <c r="A967" t="s">
        <v>38</v>
      </c>
      <c r="B967" t="s">
        <v>943</v>
      </c>
      <c r="C967">
        <v>2</v>
      </c>
      <c r="D967" t="s">
        <v>11</v>
      </c>
      <c r="E967" t="s">
        <v>95</v>
      </c>
      <c r="F967" t="s">
        <v>103</v>
      </c>
      <c r="G967" t="s">
        <v>103</v>
      </c>
      <c r="H967" t="s">
        <v>103</v>
      </c>
      <c r="J967">
        <v>0</v>
      </c>
      <c r="K967">
        <v>7</v>
      </c>
      <c r="L967">
        <v>98.291666669999998</v>
      </c>
      <c r="M967">
        <v>30.315130790000001</v>
      </c>
      <c r="N967">
        <v>5.0803484000000003E-2</v>
      </c>
      <c r="O967">
        <v>98.291666669999998</v>
      </c>
      <c r="P967">
        <v>30.315130790000001</v>
      </c>
      <c r="Q967">
        <v>5.0803484000000003E-2</v>
      </c>
      <c r="R967" t="s">
        <v>1016</v>
      </c>
      <c r="S967">
        <v>0</v>
      </c>
    </row>
    <row r="968" spans="1:19" x14ac:dyDescent="0.25">
      <c r="A968" t="s">
        <v>38</v>
      </c>
      <c r="B968" t="s">
        <v>943</v>
      </c>
      <c r="C968">
        <v>2</v>
      </c>
      <c r="D968" t="s">
        <v>11</v>
      </c>
      <c r="E968" t="s">
        <v>95</v>
      </c>
      <c r="F968" t="s">
        <v>103</v>
      </c>
      <c r="G968" t="s">
        <v>103</v>
      </c>
      <c r="H968" t="s">
        <v>113</v>
      </c>
      <c r="J968">
        <v>0</v>
      </c>
      <c r="K968">
        <v>2</v>
      </c>
      <c r="L968">
        <v>98.291666669999998</v>
      </c>
      <c r="M968">
        <v>30.315130790000001</v>
      </c>
      <c r="N968">
        <v>5.0803484000000003E-2</v>
      </c>
      <c r="O968">
        <v>83.757575759999995</v>
      </c>
      <c r="P968">
        <v>22.60997987</v>
      </c>
      <c r="Q968">
        <v>0.72884000000000004</v>
      </c>
      <c r="R968" t="s">
        <v>1016</v>
      </c>
      <c r="S968">
        <v>7.7051509200000012</v>
      </c>
    </row>
    <row r="969" spans="1:19" x14ac:dyDescent="0.25">
      <c r="A969" t="s">
        <v>38</v>
      </c>
      <c r="B969" t="s">
        <v>944</v>
      </c>
      <c r="C969">
        <v>2</v>
      </c>
      <c r="D969" t="s">
        <v>11</v>
      </c>
      <c r="E969" t="s">
        <v>95</v>
      </c>
      <c r="F969" t="s">
        <v>111</v>
      </c>
      <c r="G969" t="s">
        <v>103</v>
      </c>
      <c r="H969" t="s">
        <v>103</v>
      </c>
      <c r="J969">
        <v>0</v>
      </c>
      <c r="K969">
        <v>2</v>
      </c>
      <c r="L969">
        <v>94.97142857</v>
      </c>
      <c r="M969">
        <v>24.31591813</v>
      </c>
      <c r="N969">
        <v>0.122951111</v>
      </c>
      <c r="O969">
        <v>98.291666669999998</v>
      </c>
      <c r="P969">
        <v>30.315130790000001</v>
      </c>
      <c r="Q969">
        <v>5.0803484000000003E-2</v>
      </c>
      <c r="R969" t="s">
        <v>1016</v>
      </c>
      <c r="S969">
        <v>-5.9992126600000013</v>
      </c>
    </row>
    <row r="970" spans="1:19" x14ac:dyDescent="0.25">
      <c r="A970" t="s">
        <v>39</v>
      </c>
      <c r="B970" t="s">
        <v>945</v>
      </c>
      <c r="C970">
        <v>2</v>
      </c>
      <c r="D970" t="s">
        <v>15</v>
      </c>
      <c r="E970" t="s">
        <v>94</v>
      </c>
      <c r="F970" t="s">
        <v>102</v>
      </c>
      <c r="G970" t="s">
        <v>102</v>
      </c>
      <c r="H970" t="s">
        <v>235</v>
      </c>
      <c r="J970">
        <v>0</v>
      </c>
      <c r="K970">
        <v>1</v>
      </c>
      <c r="L970">
        <v>84.740740740000007</v>
      </c>
      <c r="M970">
        <v>29.167014049999999</v>
      </c>
      <c r="N970">
        <v>1.1169849999999999</v>
      </c>
      <c r="O970">
        <v>132.27272730000001</v>
      </c>
      <c r="P970">
        <v>20.180448590000001</v>
      </c>
      <c r="Q970">
        <v>3.7813451999999997E-2</v>
      </c>
      <c r="R970" t="s">
        <v>1016</v>
      </c>
      <c r="S970">
        <v>8.9865654599999978</v>
      </c>
    </row>
    <row r="971" spans="1:19" x14ac:dyDescent="0.25">
      <c r="A971" t="s">
        <v>39</v>
      </c>
      <c r="B971" t="s">
        <v>945</v>
      </c>
      <c r="C971">
        <v>2</v>
      </c>
      <c r="D971" t="s">
        <v>15</v>
      </c>
      <c r="E971" t="s">
        <v>94</v>
      </c>
      <c r="F971" t="s">
        <v>102</v>
      </c>
      <c r="G971" t="s">
        <v>102</v>
      </c>
      <c r="H971" t="s">
        <v>113</v>
      </c>
      <c r="J971">
        <v>0</v>
      </c>
      <c r="K971">
        <v>2</v>
      </c>
      <c r="L971">
        <v>84.740740740000007</v>
      </c>
      <c r="M971">
        <v>29.167014049999999</v>
      </c>
      <c r="N971">
        <v>1.1169849999999999</v>
      </c>
      <c r="O971">
        <v>83.757575759999995</v>
      </c>
      <c r="P971">
        <v>22.60997987</v>
      </c>
      <c r="Q971">
        <v>0.72884000000000004</v>
      </c>
      <c r="R971" t="s">
        <v>1016</v>
      </c>
      <c r="S971">
        <v>6.5570341799999987</v>
      </c>
    </row>
    <row r="972" spans="1:19" x14ac:dyDescent="0.25">
      <c r="A972" t="s">
        <v>39</v>
      </c>
      <c r="B972" t="s">
        <v>945</v>
      </c>
      <c r="C972">
        <v>2</v>
      </c>
      <c r="D972" t="s">
        <v>15</v>
      </c>
      <c r="E972" t="s">
        <v>94</v>
      </c>
      <c r="F972" t="s">
        <v>102</v>
      </c>
      <c r="G972" t="s">
        <v>102</v>
      </c>
      <c r="H972" t="s">
        <v>103</v>
      </c>
      <c r="J972">
        <v>0</v>
      </c>
      <c r="K972">
        <v>3</v>
      </c>
      <c r="L972">
        <v>84.740740740000007</v>
      </c>
      <c r="M972">
        <v>29.167014049999999</v>
      </c>
      <c r="N972">
        <v>1.1169849999999999</v>
      </c>
      <c r="O972">
        <v>98.291666669999998</v>
      </c>
      <c r="P972">
        <v>30.315130790000001</v>
      </c>
      <c r="Q972">
        <v>5.0803484000000003E-2</v>
      </c>
      <c r="R972" t="s">
        <v>1016</v>
      </c>
      <c r="S972">
        <v>-1.1481167400000025</v>
      </c>
    </row>
    <row r="973" spans="1:19" x14ac:dyDescent="0.25">
      <c r="A973" t="s">
        <v>39</v>
      </c>
      <c r="B973" t="s">
        <v>945</v>
      </c>
      <c r="C973">
        <v>2</v>
      </c>
      <c r="D973" t="s">
        <v>15</v>
      </c>
      <c r="E973" t="s">
        <v>94</v>
      </c>
      <c r="F973" t="s">
        <v>102</v>
      </c>
      <c r="G973" t="s">
        <v>102</v>
      </c>
      <c r="H973" t="s">
        <v>233</v>
      </c>
      <c r="J973">
        <v>0</v>
      </c>
      <c r="K973">
        <v>1</v>
      </c>
      <c r="L973">
        <v>84.740740740000007</v>
      </c>
      <c r="M973">
        <v>29.167014049999999</v>
      </c>
      <c r="N973">
        <v>1.1169849999999999</v>
      </c>
      <c r="O973">
        <v>106.0540541</v>
      </c>
      <c r="P973">
        <v>52.690533369999997</v>
      </c>
      <c r="Q973">
        <v>7.6058968000000005E-2</v>
      </c>
      <c r="R973" t="s">
        <v>1016</v>
      </c>
      <c r="S973">
        <v>-23.523519319999998</v>
      </c>
    </row>
    <row r="974" spans="1:19" x14ac:dyDescent="0.25">
      <c r="A974" t="s">
        <v>39</v>
      </c>
      <c r="B974" t="s">
        <v>945</v>
      </c>
      <c r="C974">
        <v>2</v>
      </c>
      <c r="D974" t="s">
        <v>15</v>
      </c>
      <c r="E974" t="s">
        <v>94</v>
      </c>
      <c r="F974" t="s">
        <v>102</v>
      </c>
      <c r="G974" t="s">
        <v>102</v>
      </c>
      <c r="H974" t="s">
        <v>104</v>
      </c>
      <c r="J974">
        <v>0</v>
      </c>
      <c r="K974">
        <v>1</v>
      </c>
      <c r="L974">
        <v>84.740740740000007</v>
      </c>
      <c r="M974">
        <v>29.167014049999999</v>
      </c>
      <c r="N974">
        <v>1.1169849999999999</v>
      </c>
      <c r="O974">
        <v>113.9375</v>
      </c>
      <c r="P974">
        <v>33.375507550000002</v>
      </c>
      <c r="Q974">
        <v>2.4262999999999999</v>
      </c>
      <c r="R974" t="s">
        <v>1016</v>
      </c>
      <c r="S974">
        <v>-4.208493500000003</v>
      </c>
    </row>
    <row r="975" spans="1:19" x14ac:dyDescent="0.25">
      <c r="A975" t="s">
        <v>39</v>
      </c>
      <c r="B975" t="s">
        <v>946</v>
      </c>
      <c r="C975">
        <v>2</v>
      </c>
      <c r="D975" t="s">
        <v>15</v>
      </c>
      <c r="E975" t="s">
        <v>94</v>
      </c>
      <c r="F975" t="s">
        <v>113</v>
      </c>
      <c r="G975" t="s">
        <v>113</v>
      </c>
      <c r="H975" t="s">
        <v>113</v>
      </c>
      <c r="J975">
        <v>0</v>
      </c>
      <c r="K975">
        <v>5</v>
      </c>
      <c r="L975">
        <v>83.757575759999995</v>
      </c>
      <c r="M975">
        <v>22.60997987</v>
      </c>
      <c r="N975">
        <v>0.72884000000000004</v>
      </c>
      <c r="O975">
        <v>83.757575759999995</v>
      </c>
      <c r="P975">
        <v>22.60997987</v>
      </c>
      <c r="Q975">
        <v>0.72884000000000004</v>
      </c>
      <c r="R975" t="s">
        <v>1016</v>
      </c>
      <c r="S975">
        <v>0</v>
      </c>
    </row>
    <row r="976" spans="1:19" x14ac:dyDescent="0.25">
      <c r="A976" t="s">
        <v>39</v>
      </c>
      <c r="B976" t="s">
        <v>946</v>
      </c>
      <c r="C976">
        <v>2</v>
      </c>
      <c r="D976" t="s">
        <v>15</v>
      </c>
      <c r="E976" t="s">
        <v>94</v>
      </c>
      <c r="F976" t="s">
        <v>113</v>
      </c>
      <c r="G976" t="s">
        <v>113</v>
      </c>
      <c r="H976" t="s">
        <v>233</v>
      </c>
      <c r="J976">
        <v>0</v>
      </c>
      <c r="K976">
        <v>4</v>
      </c>
      <c r="L976">
        <v>83.757575759999995</v>
      </c>
      <c r="M976">
        <v>22.60997987</v>
      </c>
      <c r="N976">
        <v>0.72884000000000004</v>
      </c>
      <c r="O976">
        <v>106.0540541</v>
      </c>
      <c r="P976">
        <v>52.690533369999997</v>
      </c>
      <c r="Q976">
        <v>7.6058968000000005E-2</v>
      </c>
      <c r="R976" t="s">
        <v>1016</v>
      </c>
      <c r="S976">
        <v>-30.080553499999997</v>
      </c>
    </row>
    <row r="977" spans="1:19" x14ac:dyDescent="0.25">
      <c r="A977" t="s">
        <v>39</v>
      </c>
      <c r="B977" t="s">
        <v>946</v>
      </c>
      <c r="C977">
        <v>2</v>
      </c>
      <c r="D977" t="s">
        <v>15</v>
      </c>
      <c r="E977" t="s">
        <v>94</v>
      </c>
      <c r="F977" t="s">
        <v>113</v>
      </c>
      <c r="G977" t="s">
        <v>113</v>
      </c>
      <c r="H977" t="s">
        <v>234</v>
      </c>
      <c r="J977">
        <v>0</v>
      </c>
      <c r="K977">
        <v>1</v>
      </c>
      <c r="L977">
        <v>83.757575759999995</v>
      </c>
      <c r="M977">
        <v>22.60997987</v>
      </c>
      <c r="N977">
        <v>0.72884000000000004</v>
      </c>
      <c r="O977">
        <v>89.8125</v>
      </c>
      <c r="P977">
        <v>34.754706650000003</v>
      </c>
      <c r="Q977">
        <v>2.3065078999999999E-2</v>
      </c>
      <c r="R977" t="s">
        <v>1016</v>
      </c>
      <c r="S977">
        <v>-12.144726780000003</v>
      </c>
    </row>
    <row r="978" spans="1:19" x14ac:dyDescent="0.25">
      <c r="A978" t="s">
        <v>39</v>
      </c>
      <c r="B978" t="s">
        <v>947</v>
      </c>
      <c r="C978">
        <v>2</v>
      </c>
      <c r="D978" t="s">
        <v>15</v>
      </c>
      <c r="E978" t="s">
        <v>94</v>
      </c>
      <c r="F978" t="s">
        <v>103</v>
      </c>
      <c r="G978" t="s">
        <v>103</v>
      </c>
      <c r="H978" t="s">
        <v>103</v>
      </c>
      <c r="J978">
        <v>0</v>
      </c>
      <c r="K978">
        <v>3</v>
      </c>
      <c r="L978">
        <v>98.291666669999998</v>
      </c>
      <c r="M978">
        <v>30.315130790000001</v>
      </c>
      <c r="N978">
        <v>5.0803484000000003E-2</v>
      </c>
      <c r="O978">
        <v>98.291666669999998</v>
      </c>
      <c r="P978">
        <v>30.315130790000001</v>
      </c>
      <c r="Q978">
        <v>5.0803484000000003E-2</v>
      </c>
      <c r="R978" t="s">
        <v>1016</v>
      </c>
      <c r="S978">
        <v>0</v>
      </c>
    </row>
    <row r="979" spans="1:19" x14ac:dyDescent="0.25">
      <c r="A979" t="s">
        <v>39</v>
      </c>
      <c r="B979" t="s">
        <v>947</v>
      </c>
      <c r="C979">
        <v>2</v>
      </c>
      <c r="D979" t="s">
        <v>15</v>
      </c>
      <c r="E979" t="s">
        <v>94</v>
      </c>
      <c r="F979" t="s">
        <v>103</v>
      </c>
      <c r="G979" t="s">
        <v>103</v>
      </c>
      <c r="H979" t="s">
        <v>104</v>
      </c>
      <c r="J979">
        <v>0</v>
      </c>
      <c r="K979">
        <v>1</v>
      </c>
      <c r="L979">
        <v>98.291666669999998</v>
      </c>
      <c r="M979">
        <v>30.315130790000001</v>
      </c>
      <c r="N979">
        <v>5.0803484000000003E-2</v>
      </c>
      <c r="O979">
        <v>113.9375</v>
      </c>
      <c r="P979">
        <v>33.375507550000002</v>
      </c>
      <c r="Q979">
        <v>2.4262999999999999</v>
      </c>
      <c r="R979" t="s">
        <v>1016</v>
      </c>
      <c r="S979">
        <v>-3.0603767600000005</v>
      </c>
    </row>
    <row r="980" spans="1:19" x14ac:dyDescent="0.25">
      <c r="A980" t="s">
        <v>39</v>
      </c>
      <c r="B980" t="s">
        <v>947</v>
      </c>
      <c r="C980">
        <v>2</v>
      </c>
      <c r="D980" t="s">
        <v>15</v>
      </c>
      <c r="E980" t="s">
        <v>94</v>
      </c>
      <c r="F980" t="s">
        <v>103</v>
      </c>
      <c r="G980" t="s">
        <v>103</v>
      </c>
      <c r="H980" t="s">
        <v>113</v>
      </c>
      <c r="J980">
        <v>0</v>
      </c>
      <c r="K980">
        <v>4</v>
      </c>
      <c r="L980">
        <v>98.291666669999998</v>
      </c>
      <c r="M980">
        <v>30.315130790000001</v>
      </c>
      <c r="N980">
        <v>5.0803484000000003E-2</v>
      </c>
      <c r="O980">
        <v>83.757575759999995</v>
      </c>
      <c r="P980">
        <v>22.60997987</v>
      </c>
      <c r="Q980">
        <v>0.72884000000000004</v>
      </c>
      <c r="R980" t="s">
        <v>1016</v>
      </c>
      <c r="S980">
        <v>7.7051509200000012</v>
      </c>
    </row>
    <row r="981" spans="1:19" x14ac:dyDescent="0.25">
      <c r="A981" t="s">
        <v>39</v>
      </c>
      <c r="B981" t="s">
        <v>948</v>
      </c>
      <c r="C981">
        <v>2</v>
      </c>
      <c r="D981" t="s">
        <v>15</v>
      </c>
      <c r="E981" t="s">
        <v>94</v>
      </c>
      <c r="F981" t="s">
        <v>111</v>
      </c>
      <c r="G981" t="s">
        <v>104</v>
      </c>
      <c r="H981" t="s">
        <v>236</v>
      </c>
      <c r="J981">
        <v>0</v>
      </c>
      <c r="K981">
        <v>1</v>
      </c>
      <c r="L981">
        <v>94.97142857</v>
      </c>
      <c r="M981">
        <v>24.31591813</v>
      </c>
      <c r="N981">
        <v>0.122951111</v>
      </c>
      <c r="O981">
        <v>113.33333330000001</v>
      </c>
      <c r="P981">
        <v>26.41632581</v>
      </c>
      <c r="Q981">
        <v>1.6844570160000001</v>
      </c>
      <c r="R981" t="s">
        <v>1016</v>
      </c>
      <c r="S981">
        <v>-2.10040768</v>
      </c>
    </row>
    <row r="982" spans="1:19" x14ac:dyDescent="0.25">
      <c r="A982" t="s">
        <v>39</v>
      </c>
      <c r="B982" t="s">
        <v>948</v>
      </c>
      <c r="C982">
        <v>2</v>
      </c>
      <c r="D982" t="s">
        <v>15</v>
      </c>
      <c r="E982" t="s">
        <v>94</v>
      </c>
      <c r="F982" t="s">
        <v>111</v>
      </c>
      <c r="G982" t="s">
        <v>104</v>
      </c>
      <c r="H982" t="s">
        <v>103</v>
      </c>
      <c r="J982">
        <v>0</v>
      </c>
      <c r="K982">
        <v>1</v>
      </c>
      <c r="L982">
        <v>94.97142857</v>
      </c>
      <c r="M982">
        <v>24.31591813</v>
      </c>
      <c r="N982">
        <v>0.122951111</v>
      </c>
      <c r="O982">
        <v>98.291666669999998</v>
      </c>
      <c r="P982">
        <v>30.315130790000001</v>
      </c>
      <c r="Q982">
        <v>5.0803484000000003E-2</v>
      </c>
      <c r="R982" t="s">
        <v>1016</v>
      </c>
      <c r="S982">
        <v>-5.9992126600000013</v>
      </c>
    </row>
    <row r="983" spans="1:19" x14ac:dyDescent="0.25">
      <c r="A983" t="s">
        <v>39</v>
      </c>
      <c r="B983" t="s">
        <v>948</v>
      </c>
      <c r="C983">
        <v>2</v>
      </c>
      <c r="D983" t="s">
        <v>15</v>
      </c>
      <c r="E983" t="s">
        <v>94</v>
      </c>
      <c r="F983" t="s">
        <v>111</v>
      </c>
      <c r="G983" t="s">
        <v>104</v>
      </c>
      <c r="H983" t="s">
        <v>104</v>
      </c>
      <c r="J983">
        <v>0</v>
      </c>
      <c r="K983">
        <v>1</v>
      </c>
      <c r="L983">
        <v>94.97142857</v>
      </c>
      <c r="M983">
        <v>24.31591813</v>
      </c>
      <c r="N983">
        <v>0.122951111</v>
      </c>
      <c r="O983">
        <v>113.9375</v>
      </c>
      <c r="P983">
        <v>33.375507550000002</v>
      </c>
      <c r="Q983">
        <v>2.4262999999999999</v>
      </c>
      <c r="R983" t="s">
        <v>1016</v>
      </c>
      <c r="S983">
        <v>-9.0595894200000018</v>
      </c>
    </row>
    <row r="984" spans="1:19" x14ac:dyDescent="0.25">
      <c r="A984" t="s">
        <v>39</v>
      </c>
      <c r="B984" t="s">
        <v>949</v>
      </c>
      <c r="C984">
        <v>2</v>
      </c>
      <c r="D984" t="s">
        <v>15</v>
      </c>
      <c r="E984" t="s">
        <v>94</v>
      </c>
      <c r="F984" t="s">
        <v>104</v>
      </c>
      <c r="G984" t="s">
        <v>104</v>
      </c>
      <c r="H984" t="s">
        <v>104</v>
      </c>
      <c r="J984">
        <v>0</v>
      </c>
      <c r="K984">
        <v>3</v>
      </c>
      <c r="L984">
        <v>113.9375</v>
      </c>
      <c r="M984">
        <v>33.375507550000002</v>
      </c>
      <c r="N984">
        <v>2.4262999999999999</v>
      </c>
      <c r="O984">
        <v>113.9375</v>
      </c>
      <c r="P984">
        <v>33.375507550000002</v>
      </c>
      <c r="Q984">
        <v>2.4262999999999999</v>
      </c>
      <c r="R984" t="s">
        <v>1016</v>
      </c>
      <c r="S984">
        <v>0</v>
      </c>
    </row>
    <row r="985" spans="1:19" x14ac:dyDescent="0.25">
      <c r="A985" t="s">
        <v>39</v>
      </c>
      <c r="B985" t="s">
        <v>949</v>
      </c>
      <c r="C985">
        <v>2</v>
      </c>
      <c r="D985" t="s">
        <v>15</v>
      </c>
      <c r="E985" t="s">
        <v>94</v>
      </c>
      <c r="F985" t="s">
        <v>104</v>
      </c>
      <c r="G985" t="s">
        <v>104</v>
      </c>
      <c r="H985" t="s">
        <v>113</v>
      </c>
      <c r="J985">
        <v>0</v>
      </c>
      <c r="K985">
        <v>1</v>
      </c>
      <c r="L985">
        <v>113.9375</v>
      </c>
      <c r="M985">
        <v>33.375507550000002</v>
      </c>
      <c r="N985">
        <v>2.4262999999999999</v>
      </c>
      <c r="O985">
        <v>83.757575759999995</v>
      </c>
      <c r="P985">
        <v>22.60997987</v>
      </c>
      <c r="Q985">
        <v>0.72884000000000004</v>
      </c>
      <c r="R985" t="s">
        <v>1016</v>
      </c>
      <c r="S985">
        <v>10.765527680000002</v>
      </c>
    </row>
    <row r="986" spans="1:19" x14ac:dyDescent="0.25">
      <c r="A986" t="s">
        <v>40</v>
      </c>
      <c r="B986" t="s">
        <v>950</v>
      </c>
      <c r="C986">
        <v>2</v>
      </c>
      <c r="D986" t="s">
        <v>17</v>
      </c>
      <c r="E986" t="s">
        <v>95</v>
      </c>
      <c r="F986" t="s">
        <v>113</v>
      </c>
      <c r="G986" t="s">
        <v>113</v>
      </c>
      <c r="H986" t="s">
        <v>113</v>
      </c>
      <c r="J986">
        <v>0</v>
      </c>
      <c r="K986">
        <v>1</v>
      </c>
      <c r="L986">
        <v>83.757575759999995</v>
      </c>
      <c r="M986">
        <v>22.60997987</v>
      </c>
      <c r="N986">
        <v>0.72884000000000004</v>
      </c>
      <c r="O986">
        <v>83.757575759999995</v>
      </c>
      <c r="P986">
        <v>22.60997987</v>
      </c>
      <c r="Q986">
        <v>0.72884000000000004</v>
      </c>
      <c r="R986" t="s">
        <v>1016</v>
      </c>
      <c r="S986">
        <v>0</v>
      </c>
    </row>
    <row r="987" spans="1:19" x14ac:dyDescent="0.25">
      <c r="A987" t="s">
        <v>40</v>
      </c>
      <c r="B987" t="s">
        <v>950</v>
      </c>
      <c r="C987">
        <v>2</v>
      </c>
      <c r="D987" t="s">
        <v>17</v>
      </c>
      <c r="E987" t="s">
        <v>95</v>
      </c>
      <c r="F987" t="s">
        <v>113</v>
      </c>
      <c r="G987" t="s">
        <v>113</v>
      </c>
      <c r="H987" t="s">
        <v>103</v>
      </c>
      <c r="J987">
        <v>0</v>
      </c>
      <c r="K987">
        <v>2</v>
      </c>
      <c r="L987">
        <v>83.757575759999995</v>
      </c>
      <c r="M987">
        <v>22.60997987</v>
      </c>
      <c r="N987">
        <v>0.72884000000000004</v>
      </c>
      <c r="O987">
        <v>98.291666669999998</v>
      </c>
      <c r="P987">
        <v>30.315130790000001</v>
      </c>
      <c r="Q987">
        <v>5.0803484000000003E-2</v>
      </c>
      <c r="R987" t="s">
        <v>1016</v>
      </c>
      <c r="S987">
        <v>-7.7051509200000012</v>
      </c>
    </row>
    <row r="988" spans="1:19" x14ac:dyDescent="0.25">
      <c r="A988" t="s">
        <v>40</v>
      </c>
      <c r="B988" t="s">
        <v>951</v>
      </c>
      <c r="C988">
        <v>2</v>
      </c>
      <c r="D988" t="s">
        <v>17</v>
      </c>
      <c r="E988" t="s">
        <v>95</v>
      </c>
      <c r="F988" t="s">
        <v>103</v>
      </c>
      <c r="G988" t="s">
        <v>103</v>
      </c>
      <c r="H988" t="s">
        <v>103</v>
      </c>
      <c r="J988">
        <v>0</v>
      </c>
      <c r="K988">
        <v>6</v>
      </c>
      <c r="L988">
        <v>98.291666669999998</v>
      </c>
      <c r="M988">
        <v>30.315130790000001</v>
      </c>
      <c r="N988">
        <v>5.0803484000000003E-2</v>
      </c>
      <c r="O988">
        <v>98.291666669999998</v>
      </c>
      <c r="P988">
        <v>30.315130790000001</v>
      </c>
      <c r="Q988">
        <v>5.0803484000000003E-2</v>
      </c>
      <c r="R988" t="s">
        <v>1016</v>
      </c>
      <c r="S988">
        <v>0</v>
      </c>
    </row>
    <row r="989" spans="1:19" x14ac:dyDescent="0.25">
      <c r="A989" t="s">
        <v>40</v>
      </c>
      <c r="B989" t="s">
        <v>952</v>
      </c>
      <c r="C989">
        <v>2</v>
      </c>
      <c r="D989" t="s">
        <v>17</v>
      </c>
      <c r="E989" t="s">
        <v>95</v>
      </c>
      <c r="F989" t="s">
        <v>112</v>
      </c>
      <c r="G989" t="s">
        <v>103</v>
      </c>
      <c r="H989" t="s">
        <v>103</v>
      </c>
      <c r="I989" t="s">
        <v>243</v>
      </c>
      <c r="J989">
        <v>1</v>
      </c>
      <c r="K989">
        <v>7</v>
      </c>
      <c r="L989">
        <v>65.09375</v>
      </c>
      <c r="M989">
        <v>37.895352600000002</v>
      </c>
      <c r="N989">
        <v>2.2882677779999998</v>
      </c>
      <c r="O989">
        <v>98.291666669999998</v>
      </c>
      <c r="P989">
        <v>30.315130790000001</v>
      </c>
      <c r="Q989">
        <v>5.0803484000000003E-2</v>
      </c>
      <c r="R989" t="s">
        <v>1016</v>
      </c>
      <c r="S989">
        <v>7.5802218100000012</v>
      </c>
    </row>
    <row r="990" spans="1:19" x14ac:dyDescent="0.25">
      <c r="A990" t="s">
        <v>40</v>
      </c>
      <c r="B990" t="s">
        <v>952</v>
      </c>
      <c r="C990">
        <v>2</v>
      </c>
      <c r="D990" t="s">
        <v>17</v>
      </c>
      <c r="E990" t="s">
        <v>95</v>
      </c>
      <c r="F990" t="s">
        <v>112</v>
      </c>
      <c r="G990" t="s">
        <v>103</v>
      </c>
      <c r="H990" t="s">
        <v>113</v>
      </c>
      <c r="J990">
        <v>1</v>
      </c>
      <c r="K990">
        <v>5</v>
      </c>
      <c r="L990">
        <v>65.09375</v>
      </c>
      <c r="M990">
        <v>37.895352600000002</v>
      </c>
      <c r="N990">
        <v>2.2882677779999998</v>
      </c>
      <c r="O990">
        <v>83.757575759999995</v>
      </c>
      <c r="P990">
        <v>22.60997987</v>
      </c>
      <c r="Q990">
        <v>0.72884000000000004</v>
      </c>
      <c r="R990" t="s">
        <v>1016</v>
      </c>
      <c r="S990">
        <v>15.285372730000002</v>
      </c>
    </row>
    <row r="991" spans="1:19" x14ac:dyDescent="0.25">
      <c r="A991" t="s">
        <v>41</v>
      </c>
      <c r="B991" t="s">
        <v>953</v>
      </c>
      <c r="C991">
        <v>2</v>
      </c>
      <c r="D991" t="s">
        <v>19</v>
      </c>
      <c r="E991" t="s">
        <v>94</v>
      </c>
      <c r="F991" t="s">
        <v>105</v>
      </c>
      <c r="G991" t="s">
        <v>104</v>
      </c>
      <c r="H991" t="s">
        <v>104</v>
      </c>
      <c r="J991">
        <v>0</v>
      </c>
      <c r="K991">
        <v>3</v>
      </c>
      <c r="L991">
        <v>67.5</v>
      </c>
      <c r="M991">
        <v>47.937235809999997</v>
      </c>
      <c r="N991">
        <v>0.41599678000000001</v>
      </c>
      <c r="O991">
        <v>113.9375</v>
      </c>
      <c r="P991">
        <v>33.375507550000002</v>
      </c>
      <c r="Q991">
        <v>2.4262999999999999</v>
      </c>
      <c r="R991" t="s">
        <v>1016</v>
      </c>
      <c r="S991">
        <v>14.561728259999995</v>
      </c>
    </row>
    <row r="992" spans="1:19" x14ac:dyDescent="0.25">
      <c r="A992" t="s">
        <v>41</v>
      </c>
      <c r="B992" t="s">
        <v>953</v>
      </c>
      <c r="C992">
        <v>2</v>
      </c>
      <c r="D992" t="s">
        <v>19</v>
      </c>
      <c r="E992" t="s">
        <v>94</v>
      </c>
      <c r="F992" t="s">
        <v>105</v>
      </c>
      <c r="G992" t="s">
        <v>104</v>
      </c>
      <c r="H992" t="s">
        <v>113</v>
      </c>
      <c r="J992">
        <v>0</v>
      </c>
      <c r="K992">
        <v>1</v>
      </c>
      <c r="L992">
        <v>67.5</v>
      </c>
      <c r="M992">
        <v>47.937235809999997</v>
      </c>
      <c r="N992">
        <v>0.41599678000000001</v>
      </c>
      <c r="O992">
        <v>83.757575759999995</v>
      </c>
      <c r="P992">
        <v>22.60997987</v>
      </c>
      <c r="Q992">
        <v>0.72884000000000004</v>
      </c>
      <c r="R992" t="s">
        <v>1016</v>
      </c>
      <c r="S992">
        <v>25.327255939999997</v>
      </c>
    </row>
    <row r="993" spans="1:19" x14ac:dyDescent="0.25">
      <c r="A993" t="s">
        <v>41</v>
      </c>
      <c r="B993" t="s">
        <v>953</v>
      </c>
      <c r="C993">
        <v>2</v>
      </c>
      <c r="D993" t="s">
        <v>19</v>
      </c>
      <c r="E993" t="s">
        <v>94</v>
      </c>
      <c r="F993" t="s">
        <v>105</v>
      </c>
      <c r="G993" t="s">
        <v>104</v>
      </c>
      <c r="H993" t="s">
        <v>237</v>
      </c>
      <c r="J993">
        <v>0</v>
      </c>
      <c r="K993">
        <v>1</v>
      </c>
      <c r="L993">
        <v>67.5</v>
      </c>
      <c r="M993">
        <v>47.937235809999997</v>
      </c>
      <c r="N993">
        <v>0.41599678000000001</v>
      </c>
      <c r="O993">
        <v>83.888888890000004</v>
      </c>
      <c r="P993">
        <v>31.026943280000001</v>
      </c>
      <c r="Q993">
        <v>0.53083999999999998</v>
      </c>
      <c r="R993" t="s">
        <v>1016</v>
      </c>
      <c r="S993">
        <v>16.910292529999996</v>
      </c>
    </row>
    <row r="994" spans="1:19" x14ac:dyDescent="0.25">
      <c r="A994" t="s">
        <v>41</v>
      </c>
      <c r="B994" t="s">
        <v>953</v>
      </c>
      <c r="C994">
        <v>2</v>
      </c>
      <c r="D994" t="s">
        <v>19</v>
      </c>
      <c r="E994" t="s">
        <v>94</v>
      </c>
      <c r="F994" t="s">
        <v>105</v>
      </c>
      <c r="G994" t="s">
        <v>104</v>
      </c>
      <c r="H994" t="s">
        <v>239</v>
      </c>
      <c r="J994">
        <v>0</v>
      </c>
      <c r="K994">
        <v>1</v>
      </c>
      <c r="L994">
        <v>67.5</v>
      </c>
      <c r="M994">
        <v>47.937235809999997</v>
      </c>
      <c r="N994">
        <v>0.41599678000000001</v>
      </c>
      <c r="O994">
        <v>100.45454549999999</v>
      </c>
      <c r="P994">
        <v>26.754810689999999</v>
      </c>
      <c r="Q994">
        <v>0.75829999999999997</v>
      </c>
      <c r="R994" t="s">
        <v>1016</v>
      </c>
      <c r="S994">
        <v>21.182425119999998</v>
      </c>
    </row>
    <row r="995" spans="1:19" x14ac:dyDescent="0.25">
      <c r="A995" t="s">
        <v>41</v>
      </c>
      <c r="B995" t="s">
        <v>954</v>
      </c>
      <c r="C995">
        <v>2</v>
      </c>
      <c r="D995" t="s">
        <v>19</v>
      </c>
      <c r="E995" t="s">
        <v>94</v>
      </c>
      <c r="F995" t="s">
        <v>113</v>
      </c>
      <c r="G995" t="s">
        <v>104</v>
      </c>
      <c r="H995" t="s">
        <v>237</v>
      </c>
      <c r="J995">
        <v>0</v>
      </c>
      <c r="K995">
        <v>1</v>
      </c>
      <c r="L995">
        <v>83.757575759999995</v>
      </c>
      <c r="M995">
        <v>22.60997987</v>
      </c>
      <c r="N995">
        <v>0.72884000000000004</v>
      </c>
      <c r="O995">
        <v>83.888888890000004</v>
      </c>
      <c r="P995">
        <v>31.026943280000001</v>
      </c>
      <c r="Q995">
        <v>0.53083999999999998</v>
      </c>
      <c r="R995" t="s">
        <v>1016</v>
      </c>
      <c r="S995">
        <v>-8.416963410000001</v>
      </c>
    </row>
    <row r="996" spans="1:19" x14ac:dyDescent="0.25">
      <c r="A996" t="s">
        <v>41</v>
      </c>
      <c r="B996" t="s">
        <v>954</v>
      </c>
      <c r="C996">
        <v>2</v>
      </c>
      <c r="D996" t="s">
        <v>19</v>
      </c>
      <c r="E996" t="s">
        <v>94</v>
      </c>
      <c r="F996" t="s">
        <v>113</v>
      </c>
      <c r="G996" t="s">
        <v>104</v>
      </c>
      <c r="H996" t="s">
        <v>113</v>
      </c>
      <c r="J996">
        <v>0</v>
      </c>
      <c r="K996">
        <v>7</v>
      </c>
      <c r="L996">
        <v>83.757575759999995</v>
      </c>
      <c r="M996">
        <v>22.60997987</v>
      </c>
      <c r="N996">
        <v>0.72884000000000004</v>
      </c>
      <c r="O996">
        <v>83.757575759999995</v>
      </c>
      <c r="P996">
        <v>22.60997987</v>
      </c>
      <c r="Q996">
        <v>0.72884000000000004</v>
      </c>
      <c r="R996" t="s">
        <v>1016</v>
      </c>
      <c r="S996">
        <v>0</v>
      </c>
    </row>
    <row r="997" spans="1:19" x14ac:dyDescent="0.25">
      <c r="A997" t="s">
        <v>41</v>
      </c>
      <c r="B997" t="s">
        <v>954</v>
      </c>
      <c r="C997">
        <v>2</v>
      </c>
      <c r="D997" t="s">
        <v>19</v>
      </c>
      <c r="E997" t="s">
        <v>94</v>
      </c>
      <c r="F997" t="s">
        <v>113</v>
      </c>
      <c r="G997" t="s">
        <v>104</v>
      </c>
      <c r="H997" t="s">
        <v>104</v>
      </c>
      <c r="J997">
        <v>0</v>
      </c>
      <c r="K997">
        <v>1</v>
      </c>
      <c r="L997">
        <v>83.757575759999995</v>
      </c>
      <c r="M997">
        <v>22.60997987</v>
      </c>
      <c r="N997">
        <v>0.72884000000000004</v>
      </c>
      <c r="O997">
        <v>113.9375</v>
      </c>
      <c r="P997">
        <v>33.375507550000002</v>
      </c>
      <c r="Q997">
        <v>2.4262999999999999</v>
      </c>
      <c r="R997" t="s">
        <v>1016</v>
      </c>
      <c r="S997">
        <v>-10.765527680000002</v>
      </c>
    </row>
    <row r="998" spans="1:19" x14ac:dyDescent="0.25">
      <c r="A998" t="s">
        <v>41</v>
      </c>
      <c r="B998" t="s">
        <v>954</v>
      </c>
      <c r="C998">
        <v>2</v>
      </c>
      <c r="D998" t="s">
        <v>19</v>
      </c>
      <c r="E998" t="s">
        <v>94</v>
      </c>
      <c r="F998" t="s">
        <v>113</v>
      </c>
      <c r="G998" t="s">
        <v>104</v>
      </c>
      <c r="H998" t="s">
        <v>238</v>
      </c>
      <c r="J998">
        <v>0</v>
      </c>
      <c r="K998">
        <v>1</v>
      </c>
      <c r="L998">
        <v>83.757575759999995</v>
      </c>
      <c r="M998">
        <v>22.60997987</v>
      </c>
      <c r="N998">
        <v>0.72884000000000004</v>
      </c>
      <c r="O998">
        <v>87.5</v>
      </c>
      <c r="P998">
        <v>29.478311600000001</v>
      </c>
      <c r="Q998">
        <v>3.0797751000000002E-2</v>
      </c>
      <c r="R998" t="s">
        <v>1016</v>
      </c>
      <c r="S998">
        <v>-6.8683317300000013</v>
      </c>
    </row>
    <row r="999" spans="1:19" x14ac:dyDescent="0.25">
      <c r="A999" t="s">
        <v>41</v>
      </c>
      <c r="B999" t="s">
        <v>955</v>
      </c>
      <c r="C999">
        <v>2</v>
      </c>
      <c r="D999" t="s">
        <v>19</v>
      </c>
      <c r="E999" t="s">
        <v>94</v>
      </c>
      <c r="F999" t="s">
        <v>103</v>
      </c>
      <c r="G999" t="s">
        <v>113</v>
      </c>
      <c r="H999" t="s">
        <v>103</v>
      </c>
      <c r="J999">
        <v>0</v>
      </c>
      <c r="K999">
        <v>2</v>
      </c>
      <c r="L999">
        <v>98.291666669999998</v>
      </c>
      <c r="M999">
        <v>30.315130790000001</v>
      </c>
      <c r="N999">
        <v>5.0803484000000003E-2</v>
      </c>
      <c r="O999">
        <v>98.291666669999998</v>
      </c>
      <c r="P999">
        <v>30.315130790000001</v>
      </c>
      <c r="Q999">
        <v>5.0803484000000003E-2</v>
      </c>
      <c r="R999" t="s">
        <v>1016</v>
      </c>
      <c r="S999">
        <v>0</v>
      </c>
    </row>
    <row r="1000" spans="1:19" x14ac:dyDescent="0.25">
      <c r="A1000" t="s">
        <v>41</v>
      </c>
      <c r="B1000" t="s">
        <v>955</v>
      </c>
      <c r="C1000">
        <v>2</v>
      </c>
      <c r="D1000" t="s">
        <v>19</v>
      </c>
      <c r="E1000" t="s">
        <v>94</v>
      </c>
      <c r="F1000" t="s">
        <v>103</v>
      </c>
      <c r="G1000" t="s">
        <v>113</v>
      </c>
      <c r="H1000" t="s">
        <v>113</v>
      </c>
      <c r="J1000">
        <v>0</v>
      </c>
      <c r="K1000">
        <v>3</v>
      </c>
      <c r="L1000">
        <v>98.291666669999998</v>
      </c>
      <c r="M1000">
        <v>30.315130790000001</v>
      </c>
      <c r="N1000">
        <v>5.0803484000000003E-2</v>
      </c>
      <c r="O1000">
        <v>83.757575759999995</v>
      </c>
      <c r="P1000">
        <v>22.60997987</v>
      </c>
      <c r="Q1000">
        <v>0.72884000000000004</v>
      </c>
      <c r="R1000" t="s">
        <v>1016</v>
      </c>
      <c r="S1000">
        <v>7.7051509200000012</v>
      </c>
    </row>
    <row r="1001" spans="1:19" x14ac:dyDescent="0.25">
      <c r="A1001" t="s">
        <v>42</v>
      </c>
      <c r="B1001" t="s">
        <v>956</v>
      </c>
      <c r="C1001">
        <v>2</v>
      </c>
      <c r="D1001" t="s">
        <v>21</v>
      </c>
      <c r="E1001" t="s">
        <v>94</v>
      </c>
      <c r="F1001" t="s">
        <v>105</v>
      </c>
      <c r="G1001" t="s">
        <v>121</v>
      </c>
      <c r="H1001" t="s">
        <v>242</v>
      </c>
      <c r="J1001">
        <v>0</v>
      </c>
      <c r="K1001">
        <v>6</v>
      </c>
      <c r="L1001">
        <v>67.5</v>
      </c>
      <c r="M1001">
        <v>47.937235809999997</v>
      </c>
      <c r="N1001">
        <v>0.41599678000000001</v>
      </c>
      <c r="O1001">
        <v>139.375</v>
      </c>
      <c r="P1001">
        <v>23.713465920000001</v>
      </c>
      <c r="Q1001" t="s">
        <v>114</v>
      </c>
      <c r="R1001" t="s">
        <v>1016</v>
      </c>
      <c r="S1001">
        <v>24.223769889999996</v>
      </c>
    </row>
    <row r="1002" spans="1:19" x14ac:dyDescent="0.25">
      <c r="A1002" t="s">
        <v>42</v>
      </c>
      <c r="B1002" t="s">
        <v>957</v>
      </c>
      <c r="C1002">
        <v>2</v>
      </c>
      <c r="D1002" t="s">
        <v>21</v>
      </c>
      <c r="E1002" t="s">
        <v>94</v>
      </c>
      <c r="F1002" t="s">
        <v>110</v>
      </c>
      <c r="G1002" t="s">
        <v>113</v>
      </c>
      <c r="H1002" t="s">
        <v>104</v>
      </c>
      <c r="J1002">
        <v>0</v>
      </c>
      <c r="K1002">
        <v>2</v>
      </c>
      <c r="L1002">
        <v>73.260869569999997</v>
      </c>
      <c r="M1002">
        <v>34.453830549999999</v>
      </c>
      <c r="N1002">
        <v>1.058333333</v>
      </c>
      <c r="O1002">
        <v>113.9375</v>
      </c>
      <c r="P1002">
        <v>33.375507550000002</v>
      </c>
      <c r="Q1002">
        <v>2.4262999999999999</v>
      </c>
      <c r="R1002" t="s">
        <v>1016</v>
      </c>
      <c r="S1002">
        <v>1.0783229999999975</v>
      </c>
    </row>
    <row r="1003" spans="1:19" x14ac:dyDescent="0.25">
      <c r="A1003" t="s">
        <v>42</v>
      </c>
      <c r="B1003" t="s">
        <v>957</v>
      </c>
      <c r="C1003">
        <v>2</v>
      </c>
      <c r="D1003" t="s">
        <v>21</v>
      </c>
      <c r="E1003" t="s">
        <v>94</v>
      </c>
      <c r="F1003" t="s">
        <v>110</v>
      </c>
      <c r="G1003" t="s">
        <v>113</v>
      </c>
      <c r="H1003" t="s">
        <v>242</v>
      </c>
      <c r="J1003">
        <v>0</v>
      </c>
      <c r="K1003">
        <v>5</v>
      </c>
      <c r="L1003">
        <v>73.260869569999997</v>
      </c>
      <c r="M1003">
        <v>34.453830549999999</v>
      </c>
      <c r="N1003">
        <v>1.058333333</v>
      </c>
      <c r="O1003">
        <v>139.375</v>
      </c>
      <c r="P1003">
        <v>23.713465920000001</v>
      </c>
      <c r="Q1003" t="s">
        <v>114</v>
      </c>
      <c r="R1003" t="s">
        <v>1016</v>
      </c>
      <c r="S1003">
        <v>10.740364629999998</v>
      </c>
    </row>
    <row r="1004" spans="1:19" x14ac:dyDescent="0.25">
      <c r="A1004" t="s">
        <v>42</v>
      </c>
      <c r="B1004" t="s">
        <v>957</v>
      </c>
      <c r="C1004">
        <v>2</v>
      </c>
      <c r="D1004" t="s">
        <v>21</v>
      </c>
      <c r="E1004" t="s">
        <v>94</v>
      </c>
      <c r="F1004" t="s">
        <v>110</v>
      </c>
      <c r="G1004" t="s">
        <v>113</v>
      </c>
      <c r="H1004" t="s">
        <v>113</v>
      </c>
      <c r="J1004">
        <v>0</v>
      </c>
      <c r="K1004">
        <v>2</v>
      </c>
      <c r="L1004">
        <v>73.260869569999997</v>
      </c>
      <c r="M1004">
        <v>34.453830549999999</v>
      </c>
      <c r="N1004">
        <v>1.058333333</v>
      </c>
      <c r="O1004">
        <v>83.757575759999995</v>
      </c>
      <c r="P1004">
        <v>22.60997987</v>
      </c>
      <c r="Q1004">
        <v>0.72884000000000004</v>
      </c>
      <c r="R1004" t="s">
        <v>1016</v>
      </c>
      <c r="S1004">
        <v>11.843850679999999</v>
      </c>
    </row>
    <row r="1005" spans="1:19" x14ac:dyDescent="0.25">
      <c r="A1005" t="s">
        <v>42</v>
      </c>
      <c r="B1005" t="s">
        <v>958</v>
      </c>
      <c r="C1005">
        <v>2</v>
      </c>
      <c r="D1005" t="s">
        <v>21</v>
      </c>
      <c r="E1005" t="s">
        <v>94</v>
      </c>
      <c r="F1005" t="s">
        <v>111</v>
      </c>
      <c r="G1005" t="s">
        <v>110</v>
      </c>
      <c r="H1005" t="s">
        <v>113</v>
      </c>
      <c r="J1005">
        <v>0</v>
      </c>
      <c r="K1005">
        <v>1</v>
      </c>
      <c r="L1005">
        <v>94.97142857</v>
      </c>
      <c r="M1005">
        <v>24.31591813</v>
      </c>
      <c r="N1005">
        <v>0.122951111</v>
      </c>
      <c r="O1005">
        <v>83.757575759999995</v>
      </c>
      <c r="P1005">
        <v>22.60997987</v>
      </c>
      <c r="Q1005">
        <v>0.72884000000000004</v>
      </c>
      <c r="R1005" t="s">
        <v>1016</v>
      </c>
      <c r="S1005">
        <v>1.7059382599999999</v>
      </c>
    </row>
    <row r="1006" spans="1:19" x14ac:dyDescent="0.25">
      <c r="A1006" t="s">
        <v>42</v>
      </c>
      <c r="B1006" t="s">
        <v>958</v>
      </c>
      <c r="C1006">
        <v>2</v>
      </c>
      <c r="D1006" t="s">
        <v>21</v>
      </c>
      <c r="E1006" t="s">
        <v>94</v>
      </c>
      <c r="F1006" t="s">
        <v>111</v>
      </c>
      <c r="G1006" t="s">
        <v>110</v>
      </c>
      <c r="H1006" t="s">
        <v>110</v>
      </c>
      <c r="J1006">
        <v>0</v>
      </c>
      <c r="K1006">
        <v>1</v>
      </c>
      <c r="L1006">
        <v>94.97142857</v>
      </c>
      <c r="M1006">
        <v>24.31591813</v>
      </c>
      <c r="N1006">
        <v>0.122951111</v>
      </c>
      <c r="O1006">
        <v>73.260869569999997</v>
      </c>
      <c r="P1006">
        <v>34.453830549999999</v>
      </c>
      <c r="Q1006">
        <v>1.058333333</v>
      </c>
      <c r="R1006" t="s">
        <v>1016</v>
      </c>
      <c r="S1006">
        <v>-10.137912419999999</v>
      </c>
    </row>
    <row r="1007" spans="1:19" x14ac:dyDescent="0.25">
      <c r="A1007" t="s">
        <v>42</v>
      </c>
      <c r="B1007" t="s">
        <v>959</v>
      </c>
      <c r="C1007">
        <v>2</v>
      </c>
      <c r="D1007" t="s">
        <v>21</v>
      </c>
      <c r="E1007" t="s">
        <v>94</v>
      </c>
      <c r="F1007" t="s">
        <v>104</v>
      </c>
      <c r="G1007" t="s">
        <v>121</v>
      </c>
      <c r="H1007" t="s">
        <v>110</v>
      </c>
      <c r="J1007">
        <v>1</v>
      </c>
      <c r="K1007">
        <v>2</v>
      </c>
      <c r="L1007">
        <v>113.9375</v>
      </c>
      <c r="M1007">
        <v>33.375507550000002</v>
      </c>
      <c r="N1007">
        <v>2.4262999999999999</v>
      </c>
      <c r="O1007">
        <v>73.260869569999997</v>
      </c>
      <c r="P1007">
        <v>34.453830549999999</v>
      </c>
      <c r="Q1007">
        <v>1.058333333</v>
      </c>
      <c r="R1007" t="s">
        <v>1016</v>
      </c>
      <c r="S1007">
        <v>-1.0783229999999975</v>
      </c>
    </row>
    <row r="1008" spans="1:19" x14ac:dyDescent="0.25">
      <c r="A1008" t="s">
        <v>42</v>
      </c>
      <c r="B1008" t="s">
        <v>959</v>
      </c>
      <c r="C1008">
        <v>2</v>
      </c>
      <c r="D1008" t="s">
        <v>21</v>
      </c>
      <c r="E1008" t="s">
        <v>94</v>
      </c>
      <c r="F1008" t="s">
        <v>104</v>
      </c>
      <c r="G1008" t="s">
        <v>121</v>
      </c>
      <c r="H1008" t="s">
        <v>240</v>
      </c>
      <c r="J1008">
        <v>1</v>
      </c>
      <c r="K1008">
        <v>2</v>
      </c>
      <c r="L1008">
        <v>113.9375</v>
      </c>
      <c r="M1008">
        <v>33.375507550000002</v>
      </c>
      <c r="N1008">
        <v>2.4262999999999999</v>
      </c>
      <c r="O1008">
        <v>104.83333330000001</v>
      </c>
      <c r="P1008">
        <v>43.798647680000002</v>
      </c>
      <c r="Q1008">
        <v>7.7741939999999999E-3</v>
      </c>
      <c r="R1008" t="s">
        <v>1016</v>
      </c>
      <c r="S1008">
        <v>-10.42314013</v>
      </c>
    </row>
    <row r="1009" spans="1:19" x14ac:dyDescent="0.25">
      <c r="A1009" t="s">
        <v>42</v>
      </c>
      <c r="B1009" t="s">
        <v>959</v>
      </c>
      <c r="C1009">
        <v>2</v>
      </c>
      <c r="D1009" t="s">
        <v>21</v>
      </c>
      <c r="E1009" t="s">
        <v>94</v>
      </c>
      <c r="F1009" t="s">
        <v>104</v>
      </c>
      <c r="G1009" t="s">
        <v>121</v>
      </c>
      <c r="H1009" t="s">
        <v>241</v>
      </c>
      <c r="J1009">
        <v>1</v>
      </c>
      <c r="K1009">
        <v>1</v>
      </c>
      <c r="L1009">
        <v>113.9375</v>
      </c>
      <c r="M1009">
        <v>33.375507550000002</v>
      </c>
      <c r="N1009">
        <v>2.4262999999999999</v>
      </c>
      <c r="O1009">
        <v>114</v>
      </c>
      <c r="P1009">
        <v>30.43077242</v>
      </c>
      <c r="Q1009">
        <v>0.53383111100000002</v>
      </c>
      <c r="R1009" t="s">
        <v>1016</v>
      </c>
      <c r="S1009">
        <v>2.9447351300000015</v>
      </c>
    </row>
    <row r="1010" spans="1:19" x14ac:dyDescent="0.25">
      <c r="A1010" t="s">
        <v>43</v>
      </c>
      <c r="B1010" t="s">
        <v>960</v>
      </c>
      <c r="C1010">
        <v>2</v>
      </c>
      <c r="D1010" t="s">
        <v>23</v>
      </c>
      <c r="E1010" t="s">
        <v>94</v>
      </c>
      <c r="F1010" t="s">
        <v>105</v>
      </c>
      <c r="G1010" t="s">
        <v>104</v>
      </c>
      <c r="H1010" t="s">
        <v>104</v>
      </c>
      <c r="J1010">
        <v>0</v>
      </c>
      <c r="K1010">
        <v>1</v>
      </c>
      <c r="L1010">
        <v>67.5</v>
      </c>
      <c r="M1010">
        <v>47.937235809999997</v>
      </c>
      <c r="N1010">
        <v>0.41599678000000001</v>
      </c>
      <c r="O1010">
        <v>113.9375</v>
      </c>
      <c r="P1010">
        <v>33.375507550000002</v>
      </c>
      <c r="Q1010">
        <v>2.4262999999999999</v>
      </c>
      <c r="R1010" t="s">
        <v>1016</v>
      </c>
      <c r="S1010">
        <v>14.561728259999995</v>
      </c>
    </row>
    <row r="1011" spans="1:19" x14ac:dyDescent="0.25">
      <c r="A1011" t="s">
        <v>43</v>
      </c>
      <c r="B1011" t="s">
        <v>961</v>
      </c>
      <c r="C1011">
        <v>2</v>
      </c>
      <c r="D1011" t="s">
        <v>23</v>
      </c>
      <c r="E1011" t="s">
        <v>94</v>
      </c>
      <c r="F1011" t="s">
        <v>110</v>
      </c>
      <c r="G1011" t="s">
        <v>110</v>
      </c>
      <c r="H1011" t="s">
        <v>110</v>
      </c>
      <c r="J1011">
        <v>0</v>
      </c>
      <c r="K1011">
        <v>1</v>
      </c>
      <c r="L1011">
        <v>73.260869569999997</v>
      </c>
      <c r="M1011">
        <v>34.453830549999999</v>
      </c>
      <c r="N1011">
        <v>1.058333333</v>
      </c>
      <c r="O1011">
        <v>73.260869569999997</v>
      </c>
      <c r="P1011">
        <v>34.453830549999999</v>
      </c>
      <c r="Q1011">
        <v>1.058333333</v>
      </c>
      <c r="R1011" t="s">
        <v>1016</v>
      </c>
      <c r="S1011">
        <v>0</v>
      </c>
    </row>
    <row r="1012" spans="1:19" x14ac:dyDescent="0.25">
      <c r="A1012" t="s">
        <v>43</v>
      </c>
      <c r="B1012" t="s">
        <v>962</v>
      </c>
      <c r="C1012">
        <v>2</v>
      </c>
      <c r="D1012" t="s">
        <v>23</v>
      </c>
      <c r="E1012" t="s">
        <v>94</v>
      </c>
      <c r="F1012" t="s">
        <v>111</v>
      </c>
      <c r="G1012" t="s">
        <v>121</v>
      </c>
      <c r="H1012" t="s">
        <v>114</v>
      </c>
      <c r="J1012">
        <v>0</v>
      </c>
      <c r="K1012" t="s">
        <v>114</v>
      </c>
      <c r="L1012">
        <v>94.97142857</v>
      </c>
      <c r="M1012">
        <v>24.31591813</v>
      </c>
      <c r="N1012">
        <v>0.122951111</v>
      </c>
      <c r="O1012" t="s">
        <v>114</v>
      </c>
      <c r="P1012" t="s">
        <v>114</v>
      </c>
      <c r="Q1012" t="s">
        <v>114</v>
      </c>
      <c r="R1012" t="s">
        <v>1016</v>
      </c>
      <c r="S1012" t="s">
        <v>114</v>
      </c>
    </row>
    <row r="1013" spans="1:19" x14ac:dyDescent="0.25">
      <c r="A1013" t="s">
        <v>43</v>
      </c>
      <c r="B1013" t="s">
        <v>963</v>
      </c>
      <c r="C1013">
        <v>2</v>
      </c>
      <c r="D1013" t="s">
        <v>23</v>
      </c>
      <c r="E1013" t="s">
        <v>94</v>
      </c>
      <c r="F1013" t="s">
        <v>104</v>
      </c>
      <c r="G1013" t="s">
        <v>104</v>
      </c>
      <c r="H1013" t="s">
        <v>104</v>
      </c>
      <c r="J1013">
        <v>0</v>
      </c>
      <c r="K1013">
        <v>1</v>
      </c>
      <c r="L1013">
        <v>113.9375</v>
      </c>
      <c r="M1013">
        <v>33.375507550000002</v>
      </c>
      <c r="N1013">
        <v>2.4262999999999999</v>
      </c>
      <c r="O1013">
        <v>113.9375</v>
      </c>
      <c r="P1013">
        <v>33.375507550000002</v>
      </c>
      <c r="Q1013">
        <v>2.4262999999999999</v>
      </c>
      <c r="R1013" t="s">
        <v>1016</v>
      </c>
      <c r="S1013">
        <v>0</v>
      </c>
    </row>
    <row r="1014" spans="1:19" x14ac:dyDescent="0.25">
      <c r="A1014" t="s">
        <v>43</v>
      </c>
      <c r="B1014" t="s">
        <v>963</v>
      </c>
      <c r="C1014">
        <v>2</v>
      </c>
      <c r="D1014" t="s">
        <v>23</v>
      </c>
      <c r="E1014" t="s">
        <v>94</v>
      </c>
      <c r="F1014" t="s">
        <v>104</v>
      </c>
      <c r="G1014" t="s">
        <v>104</v>
      </c>
      <c r="H1014" t="s">
        <v>808</v>
      </c>
      <c r="J1014">
        <v>0</v>
      </c>
      <c r="K1014">
        <v>1</v>
      </c>
      <c r="L1014">
        <v>113.9375</v>
      </c>
      <c r="M1014">
        <v>33.375507550000002</v>
      </c>
      <c r="N1014">
        <v>2.4262999999999999</v>
      </c>
      <c r="O1014">
        <v>102.79166669999999</v>
      </c>
      <c r="P1014">
        <v>27.057373470000002</v>
      </c>
      <c r="Q1014">
        <v>6.3567849939999999</v>
      </c>
      <c r="R1014" t="s">
        <v>1016</v>
      </c>
      <c r="S1014">
        <v>6.3181340800000001</v>
      </c>
    </row>
    <row r="1015" spans="1:19" x14ac:dyDescent="0.25">
      <c r="A1015" t="s">
        <v>44</v>
      </c>
      <c r="B1015" t="s">
        <v>964</v>
      </c>
      <c r="C1015">
        <v>2</v>
      </c>
      <c r="D1015" t="s">
        <v>25</v>
      </c>
      <c r="E1015" t="s">
        <v>95</v>
      </c>
      <c r="F1015" t="s">
        <v>102</v>
      </c>
      <c r="G1015" t="s">
        <v>102</v>
      </c>
      <c r="H1015" t="s">
        <v>102</v>
      </c>
      <c r="J1015">
        <v>0</v>
      </c>
      <c r="K1015">
        <v>1</v>
      </c>
      <c r="L1015">
        <v>84.740740740000007</v>
      </c>
      <c r="M1015">
        <v>29.167014049999999</v>
      </c>
      <c r="N1015">
        <v>1.1169849999999999</v>
      </c>
      <c r="O1015">
        <v>84.740740740000007</v>
      </c>
      <c r="P1015">
        <v>29.167014049999999</v>
      </c>
      <c r="Q1015">
        <v>1.1169849999999999</v>
      </c>
      <c r="R1015" t="s">
        <v>1016</v>
      </c>
      <c r="S1015">
        <v>0</v>
      </c>
    </row>
    <row r="1016" spans="1:19" x14ac:dyDescent="0.25">
      <c r="A1016" t="s">
        <v>44</v>
      </c>
      <c r="B1016" t="s">
        <v>965</v>
      </c>
      <c r="C1016">
        <v>2</v>
      </c>
      <c r="D1016" t="s">
        <v>25</v>
      </c>
      <c r="E1016" t="s">
        <v>95</v>
      </c>
      <c r="F1016" t="s">
        <v>110</v>
      </c>
      <c r="G1016" t="s">
        <v>121</v>
      </c>
      <c r="H1016" t="s">
        <v>114</v>
      </c>
      <c r="I1016" t="s">
        <v>162</v>
      </c>
      <c r="J1016">
        <v>1</v>
      </c>
      <c r="K1016">
        <v>0</v>
      </c>
      <c r="L1016">
        <v>73.260869569999997</v>
      </c>
      <c r="M1016">
        <v>34.453830549999999</v>
      </c>
      <c r="N1016">
        <v>1.058333333</v>
      </c>
      <c r="O1016" t="s">
        <v>114</v>
      </c>
      <c r="P1016" t="s">
        <v>114</v>
      </c>
      <c r="Q1016" t="s">
        <v>114</v>
      </c>
      <c r="R1016" t="s">
        <v>1016</v>
      </c>
      <c r="S1016" t="s">
        <v>114</v>
      </c>
    </row>
    <row r="1017" spans="1:19" x14ac:dyDescent="0.25">
      <c r="A1017" t="s">
        <v>44</v>
      </c>
      <c r="B1017" t="s">
        <v>966</v>
      </c>
      <c r="C1017">
        <v>2</v>
      </c>
      <c r="D1017" t="s">
        <v>25</v>
      </c>
      <c r="E1017" t="s">
        <v>95</v>
      </c>
      <c r="F1017" t="s">
        <v>104</v>
      </c>
      <c r="G1017" t="s">
        <v>112</v>
      </c>
      <c r="H1017" t="s">
        <v>112</v>
      </c>
      <c r="J1017">
        <v>0</v>
      </c>
      <c r="K1017">
        <v>1</v>
      </c>
      <c r="L1017">
        <v>113.9375</v>
      </c>
      <c r="M1017">
        <v>33.375507550000002</v>
      </c>
      <c r="N1017">
        <v>2.4262999999999999</v>
      </c>
      <c r="O1017">
        <v>65.09375</v>
      </c>
      <c r="P1017">
        <v>37.895352600000002</v>
      </c>
      <c r="Q1017">
        <v>2.2882677779999998</v>
      </c>
      <c r="R1017" t="s">
        <v>1016</v>
      </c>
      <c r="S1017">
        <v>-4.5198450500000007</v>
      </c>
    </row>
    <row r="1018" spans="1:19" x14ac:dyDescent="0.25">
      <c r="A1018" t="s">
        <v>44</v>
      </c>
      <c r="B1018" t="s">
        <v>966</v>
      </c>
      <c r="C1018">
        <v>2</v>
      </c>
      <c r="D1018" t="s">
        <v>25</v>
      </c>
      <c r="E1018" t="s">
        <v>95</v>
      </c>
      <c r="F1018" t="s">
        <v>104</v>
      </c>
      <c r="G1018" t="s">
        <v>112</v>
      </c>
      <c r="H1018" t="s">
        <v>162</v>
      </c>
      <c r="J1018">
        <v>0</v>
      </c>
      <c r="K1018">
        <v>1</v>
      </c>
      <c r="L1018">
        <v>113.9375</v>
      </c>
      <c r="M1018">
        <v>33.375507550000002</v>
      </c>
      <c r="N1018">
        <v>2.4262999999999999</v>
      </c>
      <c r="O1018">
        <v>82.53846154</v>
      </c>
      <c r="P1018">
        <v>35.660530039999998</v>
      </c>
      <c r="Q1018">
        <v>3.3754499999999998</v>
      </c>
      <c r="R1018" t="s">
        <v>1016</v>
      </c>
      <c r="S1018">
        <v>-2.2850224899999958</v>
      </c>
    </row>
    <row r="1019" spans="1:19" x14ac:dyDescent="0.25">
      <c r="A1019" t="s">
        <v>44</v>
      </c>
      <c r="B1019" t="s">
        <v>966</v>
      </c>
      <c r="C1019">
        <v>2</v>
      </c>
      <c r="D1019" t="s">
        <v>25</v>
      </c>
      <c r="E1019" t="s">
        <v>95</v>
      </c>
      <c r="F1019" t="s">
        <v>104</v>
      </c>
      <c r="G1019" t="s">
        <v>112</v>
      </c>
      <c r="H1019" t="s">
        <v>113</v>
      </c>
      <c r="J1019">
        <v>0</v>
      </c>
      <c r="K1019">
        <v>1</v>
      </c>
      <c r="L1019">
        <v>113.9375</v>
      </c>
      <c r="M1019">
        <v>33.375507550000002</v>
      </c>
      <c r="N1019">
        <v>2.4262999999999999</v>
      </c>
      <c r="O1019">
        <v>83.757575759999995</v>
      </c>
      <c r="P1019">
        <v>22.60997987</v>
      </c>
      <c r="Q1019">
        <v>0.72884000000000004</v>
      </c>
      <c r="R1019" t="s">
        <v>1016</v>
      </c>
      <c r="S1019">
        <v>10.765527680000002</v>
      </c>
    </row>
    <row r="1020" spans="1:19" x14ac:dyDescent="0.25">
      <c r="A1020" t="s">
        <v>44</v>
      </c>
      <c r="B1020" t="s">
        <v>967</v>
      </c>
      <c r="C1020">
        <v>2</v>
      </c>
      <c r="D1020" t="s">
        <v>25</v>
      </c>
      <c r="E1020" t="s">
        <v>95</v>
      </c>
      <c r="F1020" t="s">
        <v>112</v>
      </c>
      <c r="G1020" t="s">
        <v>121</v>
      </c>
      <c r="H1020" t="s">
        <v>114</v>
      </c>
      <c r="J1020">
        <v>0</v>
      </c>
      <c r="K1020" t="s">
        <v>114</v>
      </c>
      <c r="L1020">
        <v>65.09375</v>
      </c>
      <c r="M1020">
        <v>37.895352600000002</v>
      </c>
      <c r="N1020">
        <v>2.2882677779999998</v>
      </c>
      <c r="O1020" t="s">
        <v>114</v>
      </c>
      <c r="P1020" t="s">
        <v>114</v>
      </c>
      <c r="Q1020" t="s">
        <v>114</v>
      </c>
      <c r="R1020" t="s">
        <v>1016</v>
      </c>
      <c r="S1020" t="s">
        <v>114</v>
      </c>
    </row>
    <row r="1021" spans="1:19" x14ac:dyDescent="0.25">
      <c r="A1021" t="s">
        <v>45</v>
      </c>
      <c r="B1021" t="s">
        <v>968</v>
      </c>
      <c r="C1021">
        <v>2</v>
      </c>
      <c r="D1021" t="s">
        <v>27</v>
      </c>
      <c r="E1021" t="s">
        <v>95</v>
      </c>
      <c r="F1021" t="s">
        <v>102</v>
      </c>
      <c r="G1021" t="s">
        <v>113</v>
      </c>
      <c r="H1021" t="s">
        <v>113</v>
      </c>
      <c r="J1021">
        <v>0</v>
      </c>
      <c r="K1021">
        <v>2</v>
      </c>
      <c r="L1021">
        <v>84.740740740000007</v>
      </c>
      <c r="M1021">
        <v>29.167014049999999</v>
      </c>
      <c r="N1021">
        <v>1.1169849999999999</v>
      </c>
      <c r="O1021">
        <v>83.757575759999995</v>
      </c>
      <c r="P1021">
        <v>22.60997987</v>
      </c>
      <c r="Q1021">
        <v>0.72884000000000004</v>
      </c>
      <c r="R1021" t="s">
        <v>1016</v>
      </c>
      <c r="S1021">
        <v>6.5570341799999987</v>
      </c>
    </row>
    <row r="1022" spans="1:19" x14ac:dyDescent="0.25">
      <c r="A1022" t="s">
        <v>45</v>
      </c>
      <c r="B1022" t="s">
        <v>969</v>
      </c>
      <c r="C1022">
        <v>2</v>
      </c>
      <c r="D1022" t="s">
        <v>27</v>
      </c>
      <c r="E1022" t="s">
        <v>95</v>
      </c>
      <c r="F1022" t="s">
        <v>105</v>
      </c>
      <c r="G1022" t="s">
        <v>113</v>
      </c>
      <c r="H1022" t="s">
        <v>113</v>
      </c>
      <c r="J1022">
        <v>0</v>
      </c>
      <c r="K1022">
        <v>6</v>
      </c>
      <c r="L1022">
        <v>67.5</v>
      </c>
      <c r="M1022">
        <v>47.937235809999997</v>
      </c>
      <c r="N1022">
        <v>0.41599678000000001</v>
      </c>
      <c r="O1022">
        <v>83.757575759999995</v>
      </c>
      <c r="P1022">
        <v>22.60997987</v>
      </c>
      <c r="Q1022">
        <v>0.72884000000000004</v>
      </c>
      <c r="R1022" t="s">
        <v>1016</v>
      </c>
      <c r="S1022">
        <v>25.327255939999997</v>
      </c>
    </row>
    <row r="1023" spans="1:19" x14ac:dyDescent="0.25">
      <c r="A1023" t="s">
        <v>45</v>
      </c>
      <c r="B1023" t="s">
        <v>970</v>
      </c>
      <c r="C1023">
        <v>2</v>
      </c>
      <c r="D1023" t="s">
        <v>27</v>
      </c>
      <c r="E1023" t="s">
        <v>95</v>
      </c>
      <c r="F1023" t="s">
        <v>112</v>
      </c>
      <c r="G1023" t="s">
        <v>121</v>
      </c>
      <c r="H1023" t="s">
        <v>113</v>
      </c>
      <c r="J1023">
        <v>0</v>
      </c>
      <c r="K1023">
        <v>8</v>
      </c>
      <c r="L1023">
        <v>65.09375</v>
      </c>
      <c r="M1023">
        <v>37.895352600000002</v>
      </c>
      <c r="N1023">
        <v>2.2882677779999998</v>
      </c>
      <c r="O1023">
        <v>83.757575759999995</v>
      </c>
      <c r="P1023">
        <v>22.60997987</v>
      </c>
      <c r="Q1023">
        <v>0.72884000000000004</v>
      </c>
      <c r="R1023" t="s">
        <v>1016</v>
      </c>
      <c r="S1023">
        <v>15.285372730000002</v>
      </c>
    </row>
    <row r="1024" spans="1:19" x14ac:dyDescent="0.25">
      <c r="A1024" t="s">
        <v>45</v>
      </c>
      <c r="B1024" t="s">
        <v>970</v>
      </c>
      <c r="C1024">
        <v>2</v>
      </c>
      <c r="D1024" t="s">
        <v>27</v>
      </c>
      <c r="E1024" t="s">
        <v>95</v>
      </c>
      <c r="F1024" t="s">
        <v>112</v>
      </c>
      <c r="G1024" t="s">
        <v>121</v>
      </c>
      <c r="H1024" t="s">
        <v>103</v>
      </c>
      <c r="J1024">
        <v>0</v>
      </c>
      <c r="K1024">
        <v>1</v>
      </c>
      <c r="L1024">
        <v>65.09375</v>
      </c>
      <c r="M1024">
        <v>37.895352600000002</v>
      </c>
      <c r="N1024">
        <v>2.2882677779999998</v>
      </c>
      <c r="O1024">
        <v>98.291666669999998</v>
      </c>
      <c r="P1024">
        <v>30.315130790000001</v>
      </c>
      <c r="Q1024">
        <v>5.0803484000000003E-2</v>
      </c>
      <c r="R1024" t="s">
        <v>1016</v>
      </c>
      <c r="S1024">
        <v>7.5802218100000012</v>
      </c>
    </row>
    <row r="1025" spans="1:19" x14ac:dyDescent="0.25">
      <c r="A1025" t="s">
        <v>46</v>
      </c>
      <c r="B1025" t="s">
        <v>971</v>
      </c>
      <c r="C1025">
        <v>2</v>
      </c>
      <c r="D1025" t="s">
        <v>29</v>
      </c>
      <c r="E1025" t="s">
        <v>95</v>
      </c>
      <c r="F1025" t="s">
        <v>102</v>
      </c>
      <c r="G1025" t="s">
        <v>121</v>
      </c>
      <c r="H1025" t="s">
        <v>114</v>
      </c>
      <c r="J1025">
        <v>0</v>
      </c>
      <c r="K1025" t="s">
        <v>114</v>
      </c>
      <c r="L1025">
        <v>84.740740740000007</v>
      </c>
      <c r="M1025">
        <v>29.167014049999999</v>
      </c>
      <c r="N1025">
        <v>1.1169849999999999</v>
      </c>
      <c r="O1025" t="s">
        <v>114</v>
      </c>
      <c r="P1025" t="s">
        <v>114</v>
      </c>
      <c r="Q1025" t="s">
        <v>114</v>
      </c>
      <c r="R1025" t="s">
        <v>1016</v>
      </c>
      <c r="S1025" t="s">
        <v>114</v>
      </c>
    </row>
    <row r="1026" spans="1:19" x14ac:dyDescent="0.25">
      <c r="A1026" t="s">
        <v>46</v>
      </c>
      <c r="B1026" t="s">
        <v>972</v>
      </c>
      <c r="C1026">
        <v>2</v>
      </c>
      <c r="D1026" t="s">
        <v>29</v>
      </c>
      <c r="E1026" t="s">
        <v>95</v>
      </c>
      <c r="F1026" t="s">
        <v>110</v>
      </c>
      <c r="G1026" t="s">
        <v>113</v>
      </c>
      <c r="H1026" t="s">
        <v>113</v>
      </c>
      <c r="J1026">
        <v>0</v>
      </c>
      <c r="K1026">
        <v>3</v>
      </c>
      <c r="L1026">
        <v>73.260869569999997</v>
      </c>
      <c r="M1026">
        <v>34.453830549999999</v>
      </c>
      <c r="N1026">
        <v>1.058333333</v>
      </c>
      <c r="O1026">
        <v>83.757575759999995</v>
      </c>
      <c r="P1026">
        <v>22.60997987</v>
      </c>
      <c r="Q1026">
        <v>0.72884000000000004</v>
      </c>
      <c r="R1026" t="s">
        <v>1016</v>
      </c>
      <c r="S1026">
        <v>11.843850679999999</v>
      </c>
    </row>
    <row r="1027" spans="1:19" x14ac:dyDescent="0.25">
      <c r="A1027" t="s">
        <v>46</v>
      </c>
      <c r="B1027" t="s">
        <v>973</v>
      </c>
      <c r="C1027">
        <v>2</v>
      </c>
      <c r="D1027" t="s">
        <v>29</v>
      </c>
      <c r="E1027" t="s">
        <v>95</v>
      </c>
      <c r="F1027" t="s">
        <v>112</v>
      </c>
      <c r="G1027" t="s">
        <v>121</v>
      </c>
      <c r="H1027" t="s">
        <v>114</v>
      </c>
      <c r="J1027">
        <v>0</v>
      </c>
      <c r="K1027" t="s">
        <v>114</v>
      </c>
      <c r="L1027">
        <v>65.09375</v>
      </c>
      <c r="M1027">
        <v>37.895352600000002</v>
      </c>
      <c r="N1027">
        <v>2.2882677779999998</v>
      </c>
      <c r="O1027" t="s">
        <v>114</v>
      </c>
      <c r="P1027" t="s">
        <v>114</v>
      </c>
      <c r="Q1027" t="s">
        <v>114</v>
      </c>
      <c r="R1027" t="s">
        <v>1016</v>
      </c>
      <c r="S1027" t="s">
        <v>114</v>
      </c>
    </row>
    <row r="1028" spans="1:19" x14ac:dyDescent="0.25">
      <c r="A1028" t="s">
        <v>47</v>
      </c>
      <c r="B1028" t="s">
        <v>974</v>
      </c>
      <c r="C1028">
        <v>2</v>
      </c>
      <c r="D1028" t="s">
        <v>31</v>
      </c>
      <c r="E1028" t="s">
        <v>94</v>
      </c>
      <c r="F1028" t="s">
        <v>112</v>
      </c>
      <c r="G1028" t="s">
        <v>112</v>
      </c>
      <c r="H1028" t="s">
        <v>112</v>
      </c>
      <c r="J1028">
        <v>0</v>
      </c>
      <c r="K1028">
        <v>1</v>
      </c>
      <c r="L1028">
        <v>65.09375</v>
      </c>
      <c r="M1028">
        <v>37.895352600000002</v>
      </c>
      <c r="N1028">
        <v>2.2882677779999998</v>
      </c>
      <c r="O1028">
        <v>65.09375</v>
      </c>
      <c r="P1028">
        <v>37.895352600000002</v>
      </c>
      <c r="Q1028">
        <v>2.2882677779999998</v>
      </c>
      <c r="R1028" t="s">
        <v>1016</v>
      </c>
      <c r="S1028">
        <v>0</v>
      </c>
    </row>
    <row r="1029" spans="1:19" x14ac:dyDescent="0.25">
      <c r="A1029" t="s">
        <v>47</v>
      </c>
      <c r="B1029" t="s">
        <v>974</v>
      </c>
      <c r="C1029">
        <v>2</v>
      </c>
      <c r="D1029" t="s">
        <v>31</v>
      </c>
      <c r="E1029" t="s">
        <v>94</v>
      </c>
      <c r="F1029" t="s">
        <v>112</v>
      </c>
      <c r="G1029" t="s">
        <v>112</v>
      </c>
      <c r="H1029" t="s">
        <v>113</v>
      </c>
      <c r="J1029">
        <v>0</v>
      </c>
      <c r="K1029">
        <v>1</v>
      </c>
      <c r="L1029">
        <v>65.09375</v>
      </c>
      <c r="M1029">
        <v>37.895352600000002</v>
      </c>
      <c r="N1029">
        <v>2.2882677779999998</v>
      </c>
      <c r="O1029">
        <v>83.757575759999995</v>
      </c>
      <c r="P1029">
        <v>22.60997987</v>
      </c>
      <c r="Q1029">
        <v>0.72884000000000004</v>
      </c>
      <c r="R1029" t="s">
        <v>1016</v>
      </c>
      <c r="S1029">
        <v>15.285372730000002</v>
      </c>
    </row>
    <row r="1030" spans="1:19" x14ac:dyDescent="0.25">
      <c r="A1030" t="s">
        <v>48</v>
      </c>
      <c r="B1030" t="s">
        <v>975</v>
      </c>
      <c r="C1030">
        <v>2</v>
      </c>
      <c r="D1030" t="s">
        <v>33</v>
      </c>
      <c r="E1030" t="s">
        <v>95</v>
      </c>
      <c r="F1030" t="s">
        <v>105</v>
      </c>
      <c r="G1030" t="s">
        <v>104</v>
      </c>
      <c r="H1030" t="s">
        <v>103</v>
      </c>
      <c r="J1030">
        <v>0</v>
      </c>
      <c r="K1030">
        <v>1</v>
      </c>
      <c r="L1030">
        <v>67.5</v>
      </c>
      <c r="M1030">
        <v>47.937235809999997</v>
      </c>
      <c r="N1030">
        <v>0.41599678000000001</v>
      </c>
      <c r="O1030">
        <v>98.291666669999998</v>
      </c>
      <c r="P1030">
        <v>30.315130790000001</v>
      </c>
      <c r="Q1030">
        <v>5.0803484000000003E-2</v>
      </c>
      <c r="R1030" t="s">
        <v>1016</v>
      </c>
      <c r="S1030">
        <v>17.622105019999996</v>
      </c>
    </row>
    <row r="1031" spans="1:19" x14ac:dyDescent="0.25">
      <c r="A1031" t="s">
        <v>48</v>
      </c>
      <c r="B1031" t="s">
        <v>975</v>
      </c>
      <c r="C1031">
        <v>2</v>
      </c>
      <c r="D1031" t="s">
        <v>33</v>
      </c>
      <c r="E1031" t="s">
        <v>95</v>
      </c>
      <c r="F1031" t="s">
        <v>105</v>
      </c>
      <c r="G1031" t="s">
        <v>104</v>
      </c>
      <c r="H1031" t="s">
        <v>104</v>
      </c>
      <c r="J1031">
        <v>0</v>
      </c>
      <c r="K1031">
        <v>2</v>
      </c>
      <c r="L1031">
        <v>67.5</v>
      </c>
      <c r="M1031">
        <v>47.937235809999997</v>
      </c>
      <c r="N1031">
        <v>0.41599678000000001</v>
      </c>
      <c r="O1031">
        <v>113.9375</v>
      </c>
      <c r="P1031">
        <v>33.375507550000002</v>
      </c>
      <c r="Q1031">
        <v>2.4262999999999999</v>
      </c>
      <c r="R1031" t="s">
        <v>1016</v>
      </c>
      <c r="S1031">
        <v>14.561728259999995</v>
      </c>
    </row>
    <row r="1032" spans="1:19" x14ac:dyDescent="0.25">
      <c r="A1032" t="s">
        <v>48</v>
      </c>
      <c r="B1032" t="s">
        <v>976</v>
      </c>
      <c r="C1032">
        <v>2</v>
      </c>
      <c r="D1032" t="s">
        <v>33</v>
      </c>
      <c r="E1032" t="s">
        <v>95</v>
      </c>
      <c r="F1032" t="s">
        <v>111</v>
      </c>
      <c r="G1032" t="s">
        <v>113</v>
      </c>
      <c r="H1032" t="s">
        <v>113</v>
      </c>
      <c r="J1032">
        <v>0</v>
      </c>
      <c r="K1032">
        <v>1</v>
      </c>
      <c r="L1032">
        <v>94.97142857</v>
      </c>
      <c r="M1032">
        <v>24.31591813</v>
      </c>
      <c r="N1032">
        <v>0.122951111</v>
      </c>
      <c r="O1032">
        <v>83.757575759999995</v>
      </c>
      <c r="P1032">
        <v>22.60997987</v>
      </c>
      <c r="Q1032">
        <v>0.72884000000000004</v>
      </c>
      <c r="R1032" t="s">
        <v>1016</v>
      </c>
      <c r="S1032">
        <v>1.7059382599999999</v>
      </c>
    </row>
    <row r="1033" spans="1:19" x14ac:dyDescent="0.25">
      <c r="A1033" t="s">
        <v>48</v>
      </c>
      <c r="B1033" t="s">
        <v>976</v>
      </c>
      <c r="C1033">
        <v>2</v>
      </c>
      <c r="D1033" t="s">
        <v>33</v>
      </c>
      <c r="E1033" t="s">
        <v>95</v>
      </c>
      <c r="F1033" t="s">
        <v>111</v>
      </c>
      <c r="G1033" t="s">
        <v>113</v>
      </c>
      <c r="H1033" t="s">
        <v>241</v>
      </c>
      <c r="J1033">
        <v>0</v>
      </c>
      <c r="K1033">
        <v>1</v>
      </c>
      <c r="L1033">
        <v>94.97142857</v>
      </c>
      <c r="M1033">
        <v>24.31591813</v>
      </c>
      <c r="N1033">
        <v>0.122951111</v>
      </c>
      <c r="O1033">
        <v>114</v>
      </c>
      <c r="P1033">
        <v>30.43077242</v>
      </c>
      <c r="Q1033">
        <v>0.53383111100000002</v>
      </c>
      <c r="R1033" t="s">
        <v>1016</v>
      </c>
      <c r="S1033">
        <v>-6.1148542900000002</v>
      </c>
    </row>
    <row r="1034" spans="1:19" x14ac:dyDescent="0.25">
      <c r="A1034" t="s">
        <v>48</v>
      </c>
      <c r="B1034" t="s">
        <v>977</v>
      </c>
      <c r="C1034">
        <v>2</v>
      </c>
      <c r="D1034" t="s">
        <v>33</v>
      </c>
      <c r="E1034" t="s">
        <v>95</v>
      </c>
      <c r="F1034" t="s">
        <v>104</v>
      </c>
      <c r="G1034" t="s">
        <v>121</v>
      </c>
      <c r="H1034" t="s">
        <v>113</v>
      </c>
      <c r="J1034">
        <v>0</v>
      </c>
      <c r="K1034">
        <v>5</v>
      </c>
      <c r="L1034">
        <v>113.9375</v>
      </c>
      <c r="M1034">
        <v>33.375507550000002</v>
      </c>
      <c r="N1034">
        <v>2.4262999999999999</v>
      </c>
      <c r="O1034">
        <v>83.757575759999995</v>
      </c>
      <c r="P1034">
        <v>22.60997987</v>
      </c>
      <c r="Q1034">
        <v>0.72884000000000004</v>
      </c>
      <c r="R1034" t="s">
        <v>1016</v>
      </c>
      <c r="S1034">
        <v>10.765527680000002</v>
      </c>
    </row>
    <row r="1035" spans="1:19" x14ac:dyDescent="0.25">
      <c r="A1035" t="s">
        <v>48</v>
      </c>
      <c r="B1035" t="s">
        <v>977</v>
      </c>
      <c r="C1035">
        <v>2</v>
      </c>
      <c r="D1035" t="s">
        <v>33</v>
      </c>
      <c r="E1035" t="s">
        <v>95</v>
      </c>
      <c r="F1035" t="s">
        <v>104</v>
      </c>
      <c r="G1035" t="s">
        <v>121</v>
      </c>
      <c r="H1035" t="s">
        <v>104</v>
      </c>
      <c r="J1035">
        <v>0</v>
      </c>
      <c r="K1035">
        <v>2</v>
      </c>
      <c r="L1035">
        <v>113.9375</v>
      </c>
      <c r="M1035">
        <v>33.375507550000002</v>
      </c>
      <c r="N1035">
        <v>2.4262999999999999</v>
      </c>
      <c r="O1035">
        <v>113.9375</v>
      </c>
      <c r="P1035">
        <v>33.375507550000002</v>
      </c>
      <c r="Q1035">
        <v>2.4262999999999999</v>
      </c>
      <c r="R1035" t="s">
        <v>1016</v>
      </c>
      <c r="S1035">
        <v>0</v>
      </c>
    </row>
    <row r="1036" spans="1:19" x14ac:dyDescent="0.25">
      <c r="A1036" t="s">
        <v>48</v>
      </c>
      <c r="B1036" t="s">
        <v>977</v>
      </c>
      <c r="C1036">
        <v>2</v>
      </c>
      <c r="D1036" t="s">
        <v>33</v>
      </c>
      <c r="E1036" t="s">
        <v>95</v>
      </c>
      <c r="F1036" t="s">
        <v>104</v>
      </c>
      <c r="G1036" t="s">
        <v>121</v>
      </c>
      <c r="H1036" t="s">
        <v>103</v>
      </c>
      <c r="J1036">
        <v>0</v>
      </c>
      <c r="K1036">
        <v>1</v>
      </c>
      <c r="L1036">
        <v>113.9375</v>
      </c>
      <c r="M1036">
        <v>33.375507550000002</v>
      </c>
      <c r="N1036">
        <v>2.4262999999999999</v>
      </c>
      <c r="O1036">
        <v>98.291666669999998</v>
      </c>
      <c r="P1036">
        <v>30.315130790000001</v>
      </c>
      <c r="Q1036">
        <v>5.0803484000000003E-2</v>
      </c>
      <c r="R1036" t="s">
        <v>1016</v>
      </c>
      <c r="S1036">
        <v>3.0603767600000005</v>
      </c>
    </row>
    <row r="1037" spans="1:19" x14ac:dyDescent="0.25">
      <c r="A1037" t="s">
        <v>49</v>
      </c>
      <c r="B1037" t="s">
        <v>978</v>
      </c>
      <c r="C1037">
        <v>2</v>
      </c>
      <c r="D1037" t="s">
        <v>35</v>
      </c>
      <c r="E1037" t="s">
        <v>94</v>
      </c>
      <c r="F1037" t="s">
        <v>102</v>
      </c>
      <c r="G1037" t="s">
        <v>112</v>
      </c>
      <c r="H1037" t="s">
        <v>112</v>
      </c>
      <c r="J1037">
        <v>0</v>
      </c>
      <c r="K1037">
        <v>1</v>
      </c>
      <c r="L1037">
        <v>84.740740740000007</v>
      </c>
      <c r="M1037">
        <v>29.167014049999999</v>
      </c>
      <c r="N1037">
        <v>1.1169849999999999</v>
      </c>
      <c r="O1037">
        <v>65.09375</v>
      </c>
      <c r="P1037">
        <v>37.895352600000002</v>
      </c>
      <c r="Q1037">
        <v>2.2882677779999998</v>
      </c>
      <c r="R1037" t="s">
        <v>1016</v>
      </c>
      <c r="S1037">
        <v>-8.7283385500000037</v>
      </c>
    </row>
    <row r="1038" spans="1:19" x14ac:dyDescent="0.25">
      <c r="A1038" t="s">
        <v>49</v>
      </c>
      <c r="B1038" t="s">
        <v>978</v>
      </c>
      <c r="C1038">
        <v>2</v>
      </c>
      <c r="D1038" t="s">
        <v>35</v>
      </c>
      <c r="E1038" t="s">
        <v>94</v>
      </c>
      <c r="F1038" t="s">
        <v>102</v>
      </c>
      <c r="G1038" t="s">
        <v>112</v>
      </c>
      <c r="H1038" t="s">
        <v>104</v>
      </c>
      <c r="J1038">
        <v>0</v>
      </c>
      <c r="K1038">
        <v>5</v>
      </c>
      <c r="L1038">
        <v>84.740740740000007</v>
      </c>
      <c r="M1038">
        <v>29.167014049999999</v>
      </c>
      <c r="N1038">
        <v>1.1169849999999999</v>
      </c>
      <c r="O1038">
        <v>113.9375</v>
      </c>
      <c r="P1038">
        <v>33.375507550000002</v>
      </c>
      <c r="Q1038">
        <v>2.4262999999999999</v>
      </c>
      <c r="R1038" t="s">
        <v>1016</v>
      </c>
      <c r="S1038">
        <v>-4.208493500000003</v>
      </c>
    </row>
    <row r="1039" spans="1:19" x14ac:dyDescent="0.25">
      <c r="A1039" t="s">
        <v>49</v>
      </c>
      <c r="B1039" t="s">
        <v>979</v>
      </c>
      <c r="C1039">
        <v>2</v>
      </c>
      <c r="D1039" t="s">
        <v>35</v>
      </c>
      <c r="E1039" t="s">
        <v>94</v>
      </c>
      <c r="F1039" t="s">
        <v>112</v>
      </c>
      <c r="G1039" t="s">
        <v>112</v>
      </c>
      <c r="H1039" t="s">
        <v>112</v>
      </c>
      <c r="J1039">
        <v>0</v>
      </c>
      <c r="K1039">
        <v>1</v>
      </c>
      <c r="L1039">
        <v>65.09375</v>
      </c>
      <c r="M1039">
        <v>37.895352600000002</v>
      </c>
      <c r="N1039">
        <v>2.2882677779999998</v>
      </c>
      <c r="O1039">
        <v>65.09375</v>
      </c>
      <c r="P1039">
        <v>37.895352600000002</v>
      </c>
      <c r="Q1039">
        <v>2.2882677779999998</v>
      </c>
      <c r="R1039" t="s">
        <v>1016</v>
      </c>
      <c r="S1039">
        <v>0</v>
      </c>
    </row>
    <row r="1040" spans="1:19" x14ac:dyDescent="0.25">
      <c r="A1040" t="s">
        <v>49</v>
      </c>
      <c r="B1040" t="s">
        <v>979</v>
      </c>
      <c r="C1040">
        <v>2</v>
      </c>
      <c r="D1040" t="s">
        <v>35</v>
      </c>
      <c r="E1040" t="s">
        <v>94</v>
      </c>
      <c r="F1040" t="s">
        <v>112</v>
      </c>
      <c r="G1040" t="s">
        <v>112</v>
      </c>
      <c r="H1040" t="s">
        <v>103</v>
      </c>
      <c r="J1040">
        <v>0</v>
      </c>
      <c r="K1040">
        <v>1</v>
      </c>
      <c r="L1040">
        <v>65.09375</v>
      </c>
      <c r="M1040">
        <v>37.895352600000002</v>
      </c>
      <c r="N1040">
        <v>2.2882677779999998</v>
      </c>
      <c r="O1040">
        <v>98.291666669999998</v>
      </c>
      <c r="P1040">
        <v>30.315130790000001</v>
      </c>
      <c r="Q1040">
        <v>5.0803484000000003E-2</v>
      </c>
      <c r="R1040" t="s">
        <v>1016</v>
      </c>
      <c r="S1040">
        <v>7.5802218100000012</v>
      </c>
    </row>
    <row r="1041" spans="1:19" x14ac:dyDescent="0.25">
      <c r="A1041" t="s">
        <v>79</v>
      </c>
      <c r="B1041" t="s">
        <v>980</v>
      </c>
      <c r="C1041">
        <v>6</v>
      </c>
      <c r="D1041" t="s">
        <v>11</v>
      </c>
      <c r="E1041" t="s">
        <v>95</v>
      </c>
      <c r="F1041" t="s">
        <v>113</v>
      </c>
      <c r="G1041" t="s">
        <v>113</v>
      </c>
      <c r="H1041" t="s">
        <v>113</v>
      </c>
      <c r="J1041">
        <v>0</v>
      </c>
      <c r="K1041">
        <v>4</v>
      </c>
      <c r="L1041">
        <v>83.757575759999995</v>
      </c>
      <c r="M1041">
        <v>22.60997987</v>
      </c>
      <c r="N1041">
        <v>0.72884000000000004</v>
      </c>
      <c r="O1041">
        <v>83.757575759999995</v>
      </c>
      <c r="P1041">
        <v>22.60997987</v>
      </c>
      <c r="Q1041">
        <v>0.72884000000000004</v>
      </c>
      <c r="R1041" t="s">
        <v>1016</v>
      </c>
      <c r="S1041">
        <v>0</v>
      </c>
    </row>
    <row r="1042" spans="1:19" x14ac:dyDescent="0.25">
      <c r="A1042" t="s">
        <v>79</v>
      </c>
      <c r="B1042" t="s">
        <v>981</v>
      </c>
      <c r="C1042">
        <v>6</v>
      </c>
      <c r="D1042" t="s">
        <v>11</v>
      </c>
      <c r="E1042" t="s">
        <v>95</v>
      </c>
      <c r="F1042" t="s">
        <v>103</v>
      </c>
      <c r="G1042" t="s">
        <v>113</v>
      </c>
      <c r="H1042" t="s">
        <v>113</v>
      </c>
      <c r="J1042">
        <v>0</v>
      </c>
      <c r="K1042">
        <v>7</v>
      </c>
      <c r="L1042">
        <v>98.291666669999998</v>
      </c>
      <c r="M1042">
        <v>30.315130790000001</v>
      </c>
      <c r="N1042">
        <v>5.0803484000000003E-2</v>
      </c>
      <c r="O1042">
        <v>83.757575759999995</v>
      </c>
      <c r="P1042">
        <v>22.60997987</v>
      </c>
      <c r="Q1042">
        <v>0.72884000000000004</v>
      </c>
      <c r="R1042" t="s">
        <v>1016</v>
      </c>
      <c r="S1042">
        <v>7.7051509200000012</v>
      </c>
    </row>
    <row r="1043" spans="1:19" x14ac:dyDescent="0.25">
      <c r="A1043" t="s">
        <v>79</v>
      </c>
      <c r="B1043" t="s">
        <v>981</v>
      </c>
      <c r="C1043">
        <v>6</v>
      </c>
      <c r="D1043" t="s">
        <v>11</v>
      </c>
      <c r="E1043" t="s">
        <v>95</v>
      </c>
      <c r="F1043" t="s">
        <v>103</v>
      </c>
      <c r="G1043" t="s">
        <v>113</v>
      </c>
      <c r="H1043" t="s">
        <v>103</v>
      </c>
      <c r="J1043">
        <v>0</v>
      </c>
      <c r="K1043">
        <v>4</v>
      </c>
      <c r="L1043">
        <v>98.291666669999998</v>
      </c>
      <c r="M1043">
        <v>30.315130790000001</v>
      </c>
      <c r="N1043">
        <v>5.0803484000000003E-2</v>
      </c>
      <c r="O1043">
        <v>98.291666669999998</v>
      </c>
      <c r="P1043">
        <v>30.315130790000001</v>
      </c>
      <c r="Q1043">
        <v>5.0803484000000003E-2</v>
      </c>
      <c r="R1043" t="s">
        <v>1016</v>
      </c>
      <c r="S1043">
        <v>0</v>
      </c>
    </row>
    <row r="1044" spans="1:19" x14ac:dyDescent="0.25">
      <c r="A1044" t="s">
        <v>79</v>
      </c>
      <c r="B1044" t="s">
        <v>982</v>
      </c>
      <c r="C1044">
        <v>6</v>
      </c>
      <c r="D1044" t="s">
        <v>11</v>
      </c>
      <c r="E1044" t="s">
        <v>95</v>
      </c>
      <c r="F1044" t="s">
        <v>111</v>
      </c>
      <c r="G1044" t="s">
        <v>113</v>
      </c>
      <c r="H1044" t="s">
        <v>234</v>
      </c>
      <c r="J1044">
        <v>0</v>
      </c>
      <c r="K1044">
        <v>1</v>
      </c>
      <c r="L1044">
        <v>94.97142857</v>
      </c>
      <c r="M1044">
        <v>24.31591813</v>
      </c>
      <c r="N1044">
        <v>0.122951111</v>
      </c>
      <c r="O1044">
        <v>89.8125</v>
      </c>
      <c r="P1044">
        <v>34.754706650000003</v>
      </c>
      <c r="Q1044">
        <v>2.3065078999999999E-2</v>
      </c>
      <c r="R1044" t="s">
        <v>1016</v>
      </c>
      <c r="S1044">
        <v>-10.438788520000003</v>
      </c>
    </row>
    <row r="1045" spans="1:19" x14ac:dyDescent="0.25">
      <c r="A1045" t="s">
        <v>79</v>
      </c>
      <c r="B1045" t="s">
        <v>982</v>
      </c>
      <c r="C1045">
        <v>6</v>
      </c>
      <c r="D1045" t="s">
        <v>11</v>
      </c>
      <c r="E1045" t="s">
        <v>95</v>
      </c>
      <c r="F1045" t="s">
        <v>111</v>
      </c>
      <c r="G1045" t="s">
        <v>113</v>
      </c>
      <c r="H1045" t="s">
        <v>113</v>
      </c>
      <c r="J1045">
        <v>0</v>
      </c>
      <c r="K1045">
        <v>5</v>
      </c>
      <c r="L1045">
        <v>94.97142857</v>
      </c>
      <c r="M1045">
        <v>24.31591813</v>
      </c>
      <c r="N1045">
        <v>0.122951111</v>
      </c>
      <c r="O1045">
        <v>83.757575759999995</v>
      </c>
      <c r="P1045">
        <v>22.60997987</v>
      </c>
      <c r="Q1045">
        <v>0.72884000000000004</v>
      </c>
      <c r="R1045" t="s">
        <v>1016</v>
      </c>
      <c r="S1045">
        <v>1.7059382599999999</v>
      </c>
    </row>
    <row r="1046" spans="1:19" x14ac:dyDescent="0.25">
      <c r="A1046" t="s">
        <v>79</v>
      </c>
      <c r="B1046" t="s">
        <v>982</v>
      </c>
      <c r="C1046">
        <v>6</v>
      </c>
      <c r="D1046" t="s">
        <v>11</v>
      </c>
      <c r="E1046" t="s">
        <v>95</v>
      </c>
      <c r="F1046" t="s">
        <v>111</v>
      </c>
      <c r="G1046" t="s">
        <v>113</v>
      </c>
      <c r="H1046" t="s">
        <v>103</v>
      </c>
      <c r="J1046">
        <v>0</v>
      </c>
      <c r="K1046">
        <v>1</v>
      </c>
      <c r="L1046">
        <v>94.97142857</v>
      </c>
      <c r="M1046">
        <v>24.31591813</v>
      </c>
      <c r="N1046">
        <v>0.122951111</v>
      </c>
      <c r="O1046">
        <v>98.291666669999998</v>
      </c>
      <c r="P1046">
        <v>30.315130790000001</v>
      </c>
      <c r="Q1046">
        <v>5.0803484000000003E-2</v>
      </c>
      <c r="R1046" t="s">
        <v>1016</v>
      </c>
      <c r="S1046">
        <v>-5.9992126600000013</v>
      </c>
    </row>
    <row r="1047" spans="1:19" x14ac:dyDescent="0.25">
      <c r="A1047" t="s">
        <v>80</v>
      </c>
      <c r="B1047" t="s">
        <v>983</v>
      </c>
      <c r="C1047">
        <v>6</v>
      </c>
      <c r="D1047" t="s">
        <v>15</v>
      </c>
      <c r="E1047" t="s">
        <v>95</v>
      </c>
      <c r="F1047" t="s">
        <v>105</v>
      </c>
      <c r="G1047" t="s">
        <v>121</v>
      </c>
      <c r="H1047" t="s">
        <v>113</v>
      </c>
      <c r="J1047">
        <v>0</v>
      </c>
      <c r="K1047">
        <v>1</v>
      </c>
      <c r="L1047">
        <v>67.5</v>
      </c>
      <c r="M1047">
        <v>47.937235809999997</v>
      </c>
      <c r="N1047">
        <v>0.41599678000000001</v>
      </c>
      <c r="O1047">
        <v>83.757575759999995</v>
      </c>
      <c r="P1047">
        <v>22.60997987</v>
      </c>
      <c r="Q1047">
        <v>0.72884000000000004</v>
      </c>
      <c r="R1047" t="s">
        <v>1016</v>
      </c>
      <c r="S1047">
        <v>25.327255939999997</v>
      </c>
    </row>
    <row r="1048" spans="1:19" x14ac:dyDescent="0.25">
      <c r="A1048" t="s">
        <v>80</v>
      </c>
      <c r="B1048" t="s">
        <v>983</v>
      </c>
      <c r="C1048">
        <v>6</v>
      </c>
      <c r="D1048" t="s">
        <v>15</v>
      </c>
      <c r="E1048" t="s">
        <v>95</v>
      </c>
      <c r="F1048" t="s">
        <v>105</v>
      </c>
      <c r="G1048" t="s">
        <v>121</v>
      </c>
      <c r="H1048" t="s">
        <v>103</v>
      </c>
      <c r="J1048">
        <v>0</v>
      </c>
      <c r="K1048">
        <v>9</v>
      </c>
      <c r="L1048">
        <v>67.5</v>
      </c>
      <c r="M1048">
        <v>47.937235809999997</v>
      </c>
      <c r="N1048">
        <v>0.41599678000000001</v>
      </c>
      <c r="O1048">
        <v>98.291666669999998</v>
      </c>
      <c r="P1048">
        <v>30.315130790000001</v>
      </c>
      <c r="Q1048">
        <v>5.0803484000000003E-2</v>
      </c>
      <c r="R1048" t="s">
        <v>1016</v>
      </c>
      <c r="S1048">
        <v>17.622105019999996</v>
      </c>
    </row>
    <row r="1049" spans="1:19" x14ac:dyDescent="0.25">
      <c r="A1049" t="s">
        <v>80</v>
      </c>
      <c r="B1049" t="s">
        <v>984</v>
      </c>
      <c r="C1049">
        <v>6</v>
      </c>
      <c r="D1049" t="s">
        <v>15</v>
      </c>
      <c r="E1049" t="s">
        <v>95</v>
      </c>
      <c r="F1049" t="s">
        <v>113</v>
      </c>
      <c r="G1049" t="s">
        <v>113</v>
      </c>
      <c r="H1049" t="s">
        <v>113</v>
      </c>
      <c r="J1049">
        <v>0</v>
      </c>
      <c r="K1049">
        <v>6</v>
      </c>
      <c r="L1049">
        <v>83.757575759999995</v>
      </c>
      <c r="M1049">
        <v>22.60997987</v>
      </c>
      <c r="N1049">
        <v>0.72884000000000004</v>
      </c>
      <c r="O1049">
        <v>83.757575759999995</v>
      </c>
      <c r="P1049">
        <v>22.60997987</v>
      </c>
      <c r="Q1049">
        <v>0.72884000000000004</v>
      </c>
      <c r="R1049" t="s">
        <v>1016</v>
      </c>
      <c r="S1049">
        <v>0</v>
      </c>
    </row>
    <row r="1050" spans="1:19" x14ac:dyDescent="0.25">
      <c r="A1050" t="s">
        <v>80</v>
      </c>
      <c r="B1050" t="s">
        <v>985</v>
      </c>
      <c r="C1050">
        <v>6</v>
      </c>
      <c r="D1050" t="s">
        <v>15</v>
      </c>
      <c r="E1050" t="s">
        <v>95</v>
      </c>
      <c r="F1050" t="s">
        <v>103</v>
      </c>
      <c r="G1050" t="s">
        <v>113</v>
      </c>
      <c r="H1050" t="s">
        <v>113</v>
      </c>
      <c r="J1050">
        <v>0</v>
      </c>
      <c r="K1050">
        <v>1</v>
      </c>
      <c r="L1050">
        <v>98.291666669999998</v>
      </c>
      <c r="M1050">
        <v>30.315130790000001</v>
      </c>
      <c r="N1050">
        <v>5.0803484000000003E-2</v>
      </c>
      <c r="O1050">
        <v>83.757575759999995</v>
      </c>
      <c r="P1050">
        <v>22.60997987</v>
      </c>
      <c r="Q1050">
        <v>0.72884000000000004</v>
      </c>
      <c r="R1050" t="s">
        <v>1016</v>
      </c>
      <c r="S1050">
        <v>7.7051509200000012</v>
      </c>
    </row>
    <row r="1051" spans="1:19" x14ac:dyDescent="0.25">
      <c r="A1051" t="s">
        <v>80</v>
      </c>
      <c r="B1051" t="s">
        <v>985</v>
      </c>
      <c r="C1051">
        <v>6</v>
      </c>
      <c r="D1051" t="s">
        <v>15</v>
      </c>
      <c r="E1051" t="s">
        <v>95</v>
      </c>
      <c r="F1051" t="s">
        <v>103</v>
      </c>
      <c r="G1051" t="s">
        <v>113</v>
      </c>
      <c r="H1051" t="s">
        <v>103</v>
      </c>
      <c r="J1051">
        <v>0</v>
      </c>
      <c r="K1051">
        <v>2</v>
      </c>
      <c r="L1051">
        <v>98.291666669999998</v>
      </c>
      <c r="M1051">
        <v>30.315130790000001</v>
      </c>
      <c r="N1051">
        <v>5.0803484000000003E-2</v>
      </c>
      <c r="O1051">
        <v>98.291666669999998</v>
      </c>
      <c r="P1051">
        <v>30.315130790000001</v>
      </c>
      <c r="Q1051">
        <v>5.0803484000000003E-2</v>
      </c>
      <c r="R1051" t="s">
        <v>1016</v>
      </c>
      <c r="S1051">
        <v>0</v>
      </c>
    </row>
    <row r="1052" spans="1:19" x14ac:dyDescent="0.25">
      <c r="A1052" t="s">
        <v>81</v>
      </c>
      <c r="B1052" t="s">
        <v>986</v>
      </c>
      <c r="C1052">
        <v>6</v>
      </c>
      <c r="D1052" t="s">
        <v>17</v>
      </c>
      <c r="E1052" t="s">
        <v>94</v>
      </c>
      <c r="F1052" t="s">
        <v>105</v>
      </c>
      <c r="G1052" t="s">
        <v>113</v>
      </c>
      <c r="H1052" t="s">
        <v>113</v>
      </c>
      <c r="J1052">
        <v>0</v>
      </c>
      <c r="K1052">
        <v>6</v>
      </c>
      <c r="L1052">
        <v>67.5</v>
      </c>
      <c r="M1052">
        <v>47.937235809999997</v>
      </c>
      <c r="N1052">
        <v>0.41599678000000001</v>
      </c>
      <c r="O1052">
        <v>83.757575759999995</v>
      </c>
      <c r="P1052">
        <v>22.60997987</v>
      </c>
      <c r="Q1052">
        <v>0.72884000000000004</v>
      </c>
      <c r="R1052" t="s">
        <v>1016</v>
      </c>
      <c r="S1052">
        <v>25.327255939999997</v>
      </c>
    </row>
    <row r="1053" spans="1:19" x14ac:dyDescent="0.25">
      <c r="A1053" t="s">
        <v>81</v>
      </c>
      <c r="B1053" t="s">
        <v>987</v>
      </c>
      <c r="C1053">
        <v>6</v>
      </c>
      <c r="D1053" t="s">
        <v>17</v>
      </c>
      <c r="E1053" t="s">
        <v>94</v>
      </c>
      <c r="F1053" t="s">
        <v>113</v>
      </c>
      <c r="G1053" t="s">
        <v>113</v>
      </c>
      <c r="H1053" t="s">
        <v>113</v>
      </c>
      <c r="J1053">
        <v>0</v>
      </c>
      <c r="K1053">
        <v>6</v>
      </c>
      <c r="L1053">
        <v>83.757575759999995</v>
      </c>
      <c r="M1053">
        <v>22.60997987</v>
      </c>
      <c r="N1053">
        <v>0.72884000000000004</v>
      </c>
      <c r="O1053">
        <v>83.757575759999995</v>
      </c>
      <c r="P1053">
        <v>22.60997987</v>
      </c>
      <c r="Q1053">
        <v>0.72884000000000004</v>
      </c>
      <c r="R1053" t="s">
        <v>1016</v>
      </c>
      <c r="S1053">
        <v>0</v>
      </c>
    </row>
    <row r="1054" spans="1:19" x14ac:dyDescent="0.25">
      <c r="A1054" t="s">
        <v>81</v>
      </c>
      <c r="B1054" t="s">
        <v>988</v>
      </c>
      <c r="C1054">
        <v>6</v>
      </c>
      <c r="D1054" t="s">
        <v>17</v>
      </c>
      <c r="E1054" t="s">
        <v>94</v>
      </c>
      <c r="F1054" t="s">
        <v>103</v>
      </c>
      <c r="G1054" t="s">
        <v>113</v>
      </c>
      <c r="H1054" t="s">
        <v>113</v>
      </c>
      <c r="J1054">
        <v>0</v>
      </c>
      <c r="K1054">
        <v>5</v>
      </c>
      <c r="L1054">
        <v>98.291666669999998</v>
      </c>
      <c r="M1054">
        <v>30.315130790000001</v>
      </c>
      <c r="N1054">
        <v>5.0803484000000003E-2</v>
      </c>
      <c r="O1054">
        <v>83.757575759999995</v>
      </c>
      <c r="P1054">
        <v>22.60997987</v>
      </c>
      <c r="Q1054">
        <v>0.72884000000000004</v>
      </c>
      <c r="R1054" t="s">
        <v>1016</v>
      </c>
      <c r="S1054">
        <v>7.7051509200000012</v>
      </c>
    </row>
    <row r="1055" spans="1:19" x14ac:dyDescent="0.25">
      <c r="A1055" t="s">
        <v>81</v>
      </c>
      <c r="B1055" t="s">
        <v>988</v>
      </c>
      <c r="C1055">
        <v>6</v>
      </c>
      <c r="D1055" t="s">
        <v>17</v>
      </c>
      <c r="E1055" t="s">
        <v>94</v>
      </c>
      <c r="F1055" t="s">
        <v>103</v>
      </c>
      <c r="G1055" t="s">
        <v>113</v>
      </c>
      <c r="H1055" t="s">
        <v>103</v>
      </c>
      <c r="J1055">
        <v>0</v>
      </c>
      <c r="K1055">
        <v>1</v>
      </c>
      <c r="L1055">
        <v>98.291666669999998</v>
      </c>
      <c r="M1055">
        <v>30.315130790000001</v>
      </c>
      <c r="N1055">
        <v>5.0803484000000003E-2</v>
      </c>
      <c r="O1055">
        <v>98.291666669999998</v>
      </c>
      <c r="P1055">
        <v>30.315130790000001</v>
      </c>
      <c r="Q1055">
        <v>5.0803484000000003E-2</v>
      </c>
      <c r="R1055" t="s">
        <v>1016</v>
      </c>
      <c r="S1055">
        <v>0</v>
      </c>
    </row>
    <row r="1056" spans="1:19" x14ac:dyDescent="0.25">
      <c r="A1056" t="s">
        <v>82</v>
      </c>
      <c r="B1056" t="s">
        <v>989</v>
      </c>
      <c r="C1056">
        <v>6</v>
      </c>
      <c r="D1056" t="s">
        <v>19</v>
      </c>
      <c r="E1056" t="s">
        <v>94</v>
      </c>
      <c r="F1056" t="s">
        <v>102</v>
      </c>
      <c r="G1056" t="s">
        <v>102</v>
      </c>
      <c r="H1056" t="s">
        <v>102</v>
      </c>
      <c r="J1056">
        <v>0</v>
      </c>
      <c r="K1056">
        <v>1</v>
      </c>
      <c r="L1056">
        <v>84.740740740000007</v>
      </c>
      <c r="M1056">
        <v>29.167014049999999</v>
      </c>
      <c r="N1056">
        <v>1.1169849999999999</v>
      </c>
      <c r="O1056">
        <v>84.740740740000007</v>
      </c>
      <c r="P1056">
        <v>29.167014049999999</v>
      </c>
      <c r="Q1056">
        <v>1.1169849999999999</v>
      </c>
      <c r="R1056" t="s">
        <v>1016</v>
      </c>
      <c r="S1056">
        <v>0</v>
      </c>
    </row>
    <row r="1057" spans="1:19" x14ac:dyDescent="0.25">
      <c r="A1057" t="s">
        <v>82</v>
      </c>
      <c r="B1057" t="s">
        <v>990</v>
      </c>
      <c r="C1057">
        <v>6</v>
      </c>
      <c r="D1057" t="s">
        <v>19</v>
      </c>
      <c r="E1057" t="s">
        <v>94</v>
      </c>
      <c r="F1057" t="s">
        <v>113</v>
      </c>
      <c r="G1057" t="s">
        <v>113</v>
      </c>
      <c r="H1057" t="s">
        <v>113</v>
      </c>
      <c r="J1057">
        <v>0</v>
      </c>
      <c r="K1057">
        <v>4</v>
      </c>
      <c r="L1057">
        <v>83.757575759999995</v>
      </c>
      <c r="M1057">
        <v>22.60997987</v>
      </c>
      <c r="N1057">
        <v>0.72884000000000004</v>
      </c>
      <c r="O1057">
        <v>83.757575759999995</v>
      </c>
      <c r="P1057">
        <v>22.60997987</v>
      </c>
      <c r="Q1057">
        <v>0.72884000000000004</v>
      </c>
      <c r="R1057" t="s">
        <v>1016</v>
      </c>
      <c r="S1057">
        <v>0</v>
      </c>
    </row>
    <row r="1058" spans="1:19" x14ac:dyDescent="0.25">
      <c r="A1058" t="s">
        <v>82</v>
      </c>
      <c r="B1058" t="s">
        <v>990</v>
      </c>
      <c r="C1058">
        <v>6</v>
      </c>
      <c r="D1058" t="s">
        <v>19</v>
      </c>
      <c r="E1058" t="s">
        <v>94</v>
      </c>
      <c r="F1058" t="s">
        <v>113</v>
      </c>
      <c r="G1058" t="s">
        <v>113</v>
      </c>
      <c r="H1058" t="s">
        <v>241</v>
      </c>
      <c r="J1058">
        <v>0</v>
      </c>
      <c r="K1058">
        <v>1</v>
      </c>
      <c r="L1058">
        <v>83.757575759999995</v>
      </c>
      <c r="M1058">
        <v>22.60997987</v>
      </c>
      <c r="N1058">
        <v>0.72884000000000004</v>
      </c>
      <c r="O1058">
        <v>114</v>
      </c>
      <c r="P1058">
        <v>30.43077242</v>
      </c>
      <c r="Q1058">
        <v>0.53383111100000002</v>
      </c>
      <c r="R1058" t="s">
        <v>1016</v>
      </c>
      <c r="S1058">
        <v>-7.8207925500000002</v>
      </c>
    </row>
    <row r="1059" spans="1:19" x14ac:dyDescent="0.25">
      <c r="A1059" t="s">
        <v>82</v>
      </c>
      <c r="B1059" t="s">
        <v>990</v>
      </c>
      <c r="C1059">
        <v>6</v>
      </c>
      <c r="D1059" t="s">
        <v>19</v>
      </c>
      <c r="E1059" t="s">
        <v>94</v>
      </c>
      <c r="F1059" t="s">
        <v>113</v>
      </c>
      <c r="G1059" t="s">
        <v>113</v>
      </c>
      <c r="H1059" t="s">
        <v>808</v>
      </c>
      <c r="J1059">
        <v>0</v>
      </c>
      <c r="K1059">
        <v>1</v>
      </c>
      <c r="L1059">
        <v>83.757575759999995</v>
      </c>
      <c r="M1059">
        <v>22.60997987</v>
      </c>
      <c r="N1059">
        <v>0.72884000000000004</v>
      </c>
      <c r="O1059">
        <v>102.79166669999999</v>
      </c>
      <c r="P1059">
        <v>27.057373470000002</v>
      </c>
      <c r="Q1059">
        <v>6.3567849939999999</v>
      </c>
      <c r="R1059" t="s">
        <v>1016</v>
      </c>
      <c r="S1059">
        <v>-4.4473936000000016</v>
      </c>
    </row>
    <row r="1060" spans="1:19" x14ac:dyDescent="0.25">
      <c r="A1060" t="s">
        <v>82</v>
      </c>
      <c r="B1060" t="s">
        <v>990</v>
      </c>
      <c r="C1060">
        <v>6</v>
      </c>
      <c r="D1060" t="s">
        <v>19</v>
      </c>
      <c r="E1060" t="s">
        <v>94</v>
      </c>
      <c r="F1060" t="s">
        <v>113</v>
      </c>
      <c r="G1060" t="s">
        <v>113</v>
      </c>
      <c r="H1060" t="s">
        <v>103</v>
      </c>
      <c r="J1060">
        <v>0</v>
      </c>
      <c r="K1060">
        <v>1</v>
      </c>
      <c r="L1060">
        <v>83.757575759999995</v>
      </c>
      <c r="M1060">
        <v>22.60997987</v>
      </c>
      <c r="N1060">
        <v>0.72884000000000004</v>
      </c>
      <c r="O1060">
        <v>98.291666669999998</v>
      </c>
      <c r="P1060">
        <v>30.315130790000001</v>
      </c>
      <c r="Q1060">
        <v>5.0803484000000003E-2</v>
      </c>
      <c r="R1060" t="s">
        <v>1016</v>
      </c>
      <c r="S1060">
        <v>-7.7051509200000012</v>
      </c>
    </row>
    <row r="1061" spans="1:19" x14ac:dyDescent="0.25">
      <c r="A1061" t="s">
        <v>82</v>
      </c>
      <c r="B1061" t="s">
        <v>991</v>
      </c>
      <c r="C1061">
        <v>6</v>
      </c>
      <c r="D1061" t="s">
        <v>19</v>
      </c>
      <c r="E1061" t="s">
        <v>94</v>
      </c>
      <c r="F1061" t="s">
        <v>104</v>
      </c>
      <c r="G1061" t="s">
        <v>113</v>
      </c>
      <c r="H1061" t="s">
        <v>113</v>
      </c>
      <c r="J1061">
        <v>0</v>
      </c>
      <c r="K1061">
        <v>3</v>
      </c>
      <c r="L1061">
        <v>113.9375</v>
      </c>
      <c r="M1061">
        <v>33.375507550000002</v>
      </c>
      <c r="N1061">
        <v>2.4262999999999999</v>
      </c>
      <c r="O1061">
        <v>83.757575759999995</v>
      </c>
      <c r="P1061">
        <v>22.60997987</v>
      </c>
      <c r="Q1061">
        <v>0.72884000000000004</v>
      </c>
      <c r="R1061" t="s">
        <v>1016</v>
      </c>
      <c r="S1061">
        <v>10.765527680000002</v>
      </c>
    </row>
    <row r="1062" spans="1:19" x14ac:dyDescent="0.25">
      <c r="A1062" t="s">
        <v>83</v>
      </c>
      <c r="B1062" t="s">
        <v>992</v>
      </c>
      <c r="C1062">
        <v>6</v>
      </c>
      <c r="D1062" t="s">
        <v>21</v>
      </c>
      <c r="E1062" t="s">
        <v>94</v>
      </c>
      <c r="F1062" t="s">
        <v>102</v>
      </c>
      <c r="G1062" t="s">
        <v>121</v>
      </c>
      <c r="H1062" t="s">
        <v>114</v>
      </c>
      <c r="J1062">
        <v>0</v>
      </c>
      <c r="K1062">
        <v>0</v>
      </c>
      <c r="L1062">
        <v>84.740740740000007</v>
      </c>
      <c r="M1062">
        <v>29.167014049999999</v>
      </c>
      <c r="N1062">
        <v>1.1169849999999999</v>
      </c>
      <c r="O1062" t="s">
        <v>114</v>
      </c>
      <c r="P1062" t="s">
        <v>114</v>
      </c>
      <c r="Q1062" t="s">
        <v>114</v>
      </c>
      <c r="R1062" t="s">
        <v>1016</v>
      </c>
      <c r="S1062" t="s">
        <v>114</v>
      </c>
    </row>
    <row r="1063" spans="1:19" x14ac:dyDescent="0.25">
      <c r="A1063" t="s">
        <v>83</v>
      </c>
      <c r="B1063" t="s">
        <v>993</v>
      </c>
      <c r="C1063">
        <v>6</v>
      </c>
      <c r="D1063" t="s">
        <v>21</v>
      </c>
      <c r="E1063" t="s">
        <v>94</v>
      </c>
      <c r="F1063" t="s">
        <v>103</v>
      </c>
      <c r="G1063" t="s">
        <v>103</v>
      </c>
      <c r="H1063" t="s">
        <v>103</v>
      </c>
      <c r="J1063">
        <v>0</v>
      </c>
      <c r="K1063">
        <v>2</v>
      </c>
      <c r="L1063">
        <v>98.291666669999998</v>
      </c>
      <c r="M1063">
        <v>30.315130790000001</v>
      </c>
      <c r="N1063">
        <v>5.0803484000000003E-2</v>
      </c>
      <c r="O1063">
        <v>98.291666669999998</v>
      </c>
      <c r="P1063">
        <v>30.315130790000001</v>
      </c>
      <c r="Q1063">
        <v>5.0803484000000003E-2</v>
      </c>
      <c r="R1063" t="s">
        <v>1016</v>
      </c>
      <c r="S1063">
        <v>0</v>
      </c>
    </row>
    <row r="1064" spans="1:19" x14ac:dyDescent="0.25">
      <c r="A1064" t="s">
        <v>83</v>
      </c>
      <c r="B1064" t="s">
        <v>993</v>
      </c>
      <c r="C1064">
        <v>6</v>
      </c>
      <c r="D1064" t="s">
        <v>21</v>
      </c>
      <c r="E1064" t="s">
        <v>94</v>
      </c>
      <c r="F1064" t="s">
        <v>103</v>
      </c>
      <c r="G1064" t="s">
        <v>103</v>
      </c>
      <c r="H1064" t="s">
        <v>246</v>
      </c>
      <c r="J1064">
        <v>0</v>
      </c>
      <c r="K1064">
        <v>1</v>
      </c>
      <c r="L1064">
        <v>98.291666669999998</v>
      </c>
      <c r="M1064">
        <v>30.315130790000001</v>
      </c>
      <c r="N1064">
        <v>5.0803484000000003E-2</v>
      </c>
      <c r="O1064">
        <v>120.25</v>
      </c>
      <c r="P1064">
        <v>30.670450110000001</v>
      </c>
      <c r="Q1064">
        <v>0.91037498500000003</v>
      </c>
      <c r="R1064" t="s">
        <v>1016</v>
      </c>
      <c r="S1064">
        <v>-0.35531931999999955</v>
      </c>
    </row>
    <row r="1065" spans="1:19" x14ac:dyDescent="0.25">
      <c r="A1065" t="s">
        <v>83</v>
      </c>
      <c r="B1065" t="s">
        <v>993</v>
      </c>
      <c r="C1065">
        <v>6</v>
      </c>
      <c r="D1065" t="s">
        <v>21</v>
      </c>
      <c r="E1065" t="s">
        <v>94</v>
      </c>
      <c r="F1065" t="s">
        <v>103</v>
      </c>
      <c r="G1065" t="s">
        <v>103</v>
      </c>
      <c r="H1065" t="s">
        <v>239</v>
      </c>
      <c r="J1065">
        <v>0</v>
      </c>
      <c r="K1065">
        <v>1</v>
      </c>
      <c r="L1065">
        <v>98.291666669999998</v>
      </c>
      <c r="M1065">
        <v>30.315130790000001</v>
      </c>
      <c r="N1065">
        <v>5.0803484000000003E-2</v>
      </c>
      <c r="O1065">
        <v>100.45454549999999</v>
      </c>
      <c r="P1065">
        <v>26.754810689999999</v>
      </c>
      <c r="Q1065">
        <v>0.75829999999999997</v>
      </c>
      <c r="R1065" t="s">
        <v>1016</v>
      </c>
      <c r="S1065">
        <v>3.560320100000002</v>
      </c>
    </row>
    <row r="1066" spans="1:19" x14ac:dyDescent="0.25">
      <c r="A1066" t="s">
        <v>83</v>
      </c>
      <c r="B1066" t="s">
        <v>994</v>
      </c>
      <c r="C1066">
        <v>6</v>
      </c>
      <c r="D1066" t="s">
        <v>21</v>
      </c>
      <c r="E1066" t="s">
        <v>94</v>
      </c>
      <c r="F1066" t="s">
        <v>111</v>
      </c>
      <c r="G1066" t="s">
        <v>121</v>
      </c>
      <c r="H1066" t="s">
        <v>114</v>
      </c>
      <c r="J1066">
        <v>0</v>
      </c>
      <c r="K1066">
        <v>0</v>
      </c>
      <c r="L1066">
        <v>94.97142857</v>
      </c>
      <c r="M1066">
        <v>24.31591813</v>
      </c>
      <c r="N1066">
        <v>0.122951111</v>
      </c>
      <c r="O1066" t="s">
        <v>114</v>
      </c>
      <c r="P1066" t="s">
        <v>114</v>
      </c>
      <c r="Q1066" t="s">
        <v>114</v>
      </c>
      <c r="R1066" t="s">
        <v>1016</v>
      </c>
      <c r="S1066" t="s">
        <v>114</v>
      </c>
    </row>
    <row r="1067" spans="1:19" x14ac:dyDescent="0.25">
      <c r="A1067" t="s">
        <v>84</v>
      </c>
      <c r="B1067" t="s">
        <v>995</v>
      </c>
      <c r="C1067">
        <v>6</v>
      </c>
      <c r="D1067" t="s">
        <v>23</v>
      </c>
      <c r="E1067" t="s">
        <v>95</v>
      </c>
      <c r="F1067" t="s">
        <v>102</v>
      </c>
      <c r="G1067" t="s">
        <v>121</v>
      </c>
      <c r="H1067" t="s">
        <v>254</v>
      </c>
      <c r="J1067">
        <v>0</v>
      </c>
      <c r="K1067">
        <v>3</v>
      </c>
      <c r="L1067">
        <v>84.740740740000007</v>
      </c>
      <c r="M1067">
        <v>29.167014049999999</v>
      </c>
      <c r="N1067">
        <v>1.1169849999999999</v>
      </c>
      <c r="O1067" t="s">
        <v>114</v>
      </c>
      <c r="P1067" t="s">
        <v>114</v>
      </c>
      <c r="Q1067" t="s">
        <v>114</v>
      </c>
      <c r="R1067" t="s">
        <v>1016</v>
      </c>
      <c r="S1067" t="s">
        <v>114</v>
      </c>
    </row>
    <row r="1068" spans="1:19" x14ac:dyDescent="0.25">
      <c r="A1068" t="s">
        <v>84</v>
      </c>
      <c r="B1068" t="s">
        <v>995</v>
      </c>
      <c r="C1068">
        <v>6</v>
      </c>
      <c r="D1068" t="s">
        <v>23</v>
      </c>
      <c r="E1068" t="s">
        <v>95</v>
      </c>
      <c r="F1068" t="s">
        <v>102</v>
      </c>
      <c r="G1068" t="s">
        <v>121</v>
      </c>
      <c r="H1068" t="s">
        <v>248</v>
      </c>
      <c r="J1068">
        <v>0</v>
      </c>
      <c r="K1068">
        <v>1</v>
      </c>
      <c r="L1068">
        <v>84.740740740000007</v>
      </c>
      <c r="M1068">
        <v>29.167014049999999</v>
      </c>
      <c r="N1068">
        <v>1.1169849999999999</v>
      </c>
      <c r="O1068">
        <v>83.92307692</v>
      </c>
      <c r="P1068">
        <v>44.319135699999997</v>
      </c>
      <c r="Q1068">
        <v>5.9548609999999997E-3</v>
      </c>
      <c r="R1068" t="s">
        <v>1016</v>
      </c>
      <c r="S1068">
        <v>-15.152121649999998</v>
      </c>
    </row>
    <row r="1069" spans="1:19" x14ac:dyDescent="0.25">
      <c r="A1069" t="s">
        <v>84</v>
      </c>
      <c r="B1069" t="s">
        <v>995</v>
      </c>
      <c r="C1069">
        <v>6</v>
      </c>
      <c r="D1069" t="s">
        <v>23</v>
      </c>
      <c r="E1069" t="s">
        <v>95</v>
      </c>
      <c r="F1069" t="s">
        <v>102</v>
      </c>
      <c r="G1069" t="s">
        <v>121</v>
      </c>
      <c r="H1069" t="s">
        <v>233</v>
      </c>
      <c r="J1069">
        <v>0</v>
      </c>
      <c r="K1069">
        <v>1</v>
      </c>
      <c r="L1069">
        <v>84.740740740000007</v>
      </c>
      <c r="M1069">
        <v>29.167014049999999</v>
      </c>
      <c r="N1069">
        <v>1.1169849999999999</v>
      </c>
      <c r="O1069">
        <v>106.0540541</v>
      </c>
      <c r="P1069">
        <v>52.690533369999997</v>
      </c>
      <c r="Q1069">
        <v>7.6058968000000005E-2</v>
      </c>
      <c r="R1069" t="s">
        <v>1016</v>
      </c>
      <c r="S1069">
        <v>-23.523519319999998</v>
      </c>
    </row>
    <row r="1070" spans="1:19" x14ac:dyDescent="0.25">
      <c r="A1070" t="s">
        <v>84</v>
      </c>
      <c r="B1070" t="s">
        <v>995</v>
      </c>
      <c r="C1070">
        <v>6</v>
      </c>
      <c r="D1070" t="s">
        <v>23</v>
      </c>
      <c r="E1070" t="s">
        <v>95</v>
      </c>
      <c r="F1070" t="s">
        <v>102</v>
      </c>
      <c r="G1070" t="s">
        <v>121</v>
      </c>
      <c r="H1070" t="s">
        <v>103</v>
      </c>
      <c r="J1070">
        <v>0</v>
      </c>
      <c r="K1070">
        <v>5</v>
      </c>
      <c r="L1070">
        <v>84.740740740000007</v>
      </c>
      <c r="M1070">
        <v>29.167014049999999</v>
      </c>
      <c r="N1070">
        <v>1.1169849999999999</v>
      </c>
      <c r="O1070">
        <v>98.291666669999998</v>
      </c>
      <c r="P1070">
        <v>30.315130790000001</v>
      </c>
      <c r="Q1070">
        <v>5.0803484000000003E-2</v>
      </c>
      <c r="R1070" t="s">
        <v>1016</v>
      </c>
      <c r="S1070">
        <v>-1.1481167400000025</v>
      </c>
    </row>
    <row r="1071" spans="1:19" x14ac:dyDescent="0.25">
      <c r="A1071" t="s">
        <v>84</v>
      </c>
      <c r="B1071" t="s">
        <v>996</v>
      </c>
      <c r="C1071">
        <v>6</v>
      </c>
      <c r="D1071" t="s">
        <v>23</v>
      </c>
      <c r="E1071" t="s">
        <v>95</v>
      </c>
      <c r="F1071" t="s">
        <v>105</v>
      </c>
      <c r="G1071" t="s">
        <v>103</v>
      </c>
      <c r="H1071" t="s">
        <v>114</v>
      </c>
      <c r="J1071">
        <v>0</v>
      </c>
      <c r="K1071" t="s">
        <v>114</v>
      </c>
      <c r="L1071">
        <v>67.5</v>
      </c>
      <c r="M1071">
        <v>47.937235809999997</v>
      </c>
      <c r="N1071">
        <v>0.41599678000000001</v>
      </c>
      <c r="O1071" t="s">
        <v>114</v>
      </c>
      <c r="P1071" t="s">
        <v>114</v>
      </c>
      <c r="Q1071" t="s">
        <v>114</v>
      </c>
      <c r="R1071" t="s">
        <v>1016</v>
      </c>
      <c r="S1071" t="s">
        <v>114</v>
      </c>
    </row>
    <row r="1072" spans="1:19" x14ac:dyDescent="0.25">
      <c r="A1072" t="s">
        <v>84</v>
      </c>
      <c r="B1072" t="s">
        <v>997</v>
      </c>
      <c r="C1072">
        <v>6</v>
      </c>
      <c r="D1072" t="s">
        <v>23</v>
      </c>
      <c r="E1072" t="s">
        <v>95</v>
      </c>
      <c r="F1072" t="s">
        <v>111</v>
      </c>
      <c r="G1072" t="s">
        <v>103</v>
      </c>
      <c r="H1072" t="s">
        <v>103</v>
      </c>
      <c r="J1072">
        <v>0</v>
      </c>
      <c r="K1072">
        <v>2</v>
      </c>
      <c r="L1072">
        <v>94.97142857</v>
      </c>
      <c r="M1072">
        <v>24.31591813</v>
      </c>
      <c r="N1072">
        <v>0.122951111</v>
      </c>
      <c r="O1072">
        <v>98.291666669999998</v>
      </c>
      <c r="P1072">
        <v>30.315130790000001</v>
      </c>
      <c r="Q1072">
        <v>5.0803484000000003E-2</v>
      </c>
      <c r="R1072" t="s">
        <v>1016</v>
      </c>
      <c r="S1072">
        <v>-5.9992126600000013</v>
      </c>
    </row>
    <row r="1073" spans="1:19" x14ac:dyDescent="0.25">
      <c r="A1073" t="s">
        <v>84</v>
      </c>
      <c r="B1073" t="s">
        <v>997</v>
      </c>
      <c r="C1073">
        <v>6</v>
      </c>
      <c r="D1073" t="s">
        <v>23</v>
      </c>
      <c r="E1073" t="s">
        <v>95</v>
      </c>
      <c r="F1073" t="s">
        <v>111</v>
      </c>
      <c r="G1073" t="s">
        <v>103</v>
      </c>
      <c r="H1073" t="s">
        <v>247</v>
      </c>
      <c r="J1073">
        <v>0</v>
      </c>
      <c r="K1073">
        <v>1</v>
      </c>
      <c r="L1073">
        <v>94.97142857</v>
      </c>
      <c r="M1073">
        <v>24.31591813</v>
      </c>
      <c r="N1073">
        <v>0.122951111</v>
      </c>
      <c r="O1073">
        <v>65.791044779999993</v>
      </c>
      <c r="P1073">
        <v>22.94519201</v>
      </c>
      <c r="Q1073">
        <v>8.1320334999999994E-2</v>
      </c>
      <c r="R1073" t="s">
        <v>1016</v>
      </c>
      <c r="S1073">
        <v>1.3707261200000005</v>
      </c>
    </row>
    <row r="1074" spans="1:19" x14ac:dyDescent="0.25">
      <c r="A1074" t="s">
        <v>84</v>
      </c>
      <c r="B1074" t="s">
        <v>997</v>
      </c>
      <c r="C1074">
        <v>6</v>
      </c>
      <c r="D1074" t="s">
        <v>23</v>
      </c>
      <c r="E1074" t="s">
        <v>95</v>
      </c>
      <c r="F1074" t="s">
        <v>111</v>
      </c>
      <c r="G1074" t="s">
        <v>103</v>
      </c>
      <c r="H1074" t="s">
        <v>233</v>
      </c>
      <c r="J1074">
        <v>0</v>
      </c>
      <c r="K1074">
        <v>1</v>
      </c>
      <c r="L1074">
        <v>94.97142857</v>
      </c>
      <c r="M1074">
        <v>24.31591813</v>
      </c>
      <c r="N1074">
        <v>0.122951111</v>
      </c>
      <c r="O1074">
        <v>106.0540541</v>
      </c>
      <c r="P1074">
        <v>52.690533369999997</v>
      </c>
      <c r="Q1074">
        <v>7.6058968000000005E-2</v>
      </c>
      <c r="R1074" t="s">
        <v>1016</v>
      </c>
      <c r="S1074">
        <v>-28.374615239999997</v>
      </c>
    </row>
    <row r="1075" spans="1:19" x14ac:dyDescent="0.25">
      <c r="A1075" t="s">
        <v>84</v>
      </c>
      <c r="B1075" t="s">
        <v>997</v>
      </c>
      <c r="C1075">
        <v>6</v>
      </c>
      <c r="D1075" t="s">
        <v>23</v>
      </c>
      <c r="E1075" t="s">
        <v>95</v>
      </c>
      <c r="F1075" t="s">
        <v>111</v>
      </c>
      <c r="G1075" t="s">
        <v>103</v>
      </c>
      <c r="H1075" t="s">
        <v>808</v>
      </c>
      <c r="J1075">
        <v>0</v>
      </c>
      <c r="K1075">
        <v>1</v>
      </c>
      <c r="L1075">
        <v>94.97142857</v>
      </c>
      <c r="M1075">
        <v>24.31591813</v>
      </c>
      <c r="N1075">
        <v>0.122951111</v>
      </c>
      <c r="O1075">
        <v>102.79166669999999</v>
      </c>
      <c r="P1075">
        <v>27.057373470000002</v>
      </c>
      <c r="Q1075">
        <v>6.3567849939999999</v>
      </c>
      <c r="R1075" t="s">
        <v>1016</v>
      </c>
      <c r="S1075">
        <v>-2.7414553400000017</v>
      </c>
    </row>
    <row r="1076" spans="1:19" x14ac:dyDescent="0.25">
      <c r="A1076" t="s">
        <v>84</v>
      </c>
      <c r="B1076" t="s">
        <v>998</v>
      </c>
      <c r="C1076">
        <v>6</v>
      </c>
      <c r="D1076" t="s">
        <v>23</v>
      </c>
      <c r="E1076" t="s">
        <v>95</v>
      </c>
      <c r="F1076" t="s">
        <v>112</v>
      </c>
      <c r="G1076" t="s">
        <v>103</v>
      </c>
      <c r="H1076" t="s">
        <v>236</v>
      </c>
      <c r="J1076">
        <v>0</v>
      </c>
      <c r="K1076">
        <v>1</v>
      </c>
      <c r="L1076">
        <v>65.09375</v>
      </c>
      <c r="M1076">
        <v>37.895352600000002</v>
      </c>
      <c r="N1076">
        <v>2.2882677779999998</v>
      </c>
      <c r="O1076">
        <v>113.33333330000001</v>
      </c>
      <c r="P1076">
        <v>26.41632581</v>
      </c>
      <c r="Q1076">
        <v>1.6844570160000001</v>
      </c>
      <c r="R1076" t="s">
        <v>1016</v>
      </c>
      <c r="S1076">
        <v>11.479026790000002</v>
      </c>
    </row>
    <row r="1077" spans="1:19" x14ac:dyDescent="0.25">
      <c r="A1077" t="s">
        <v>84</v>
      </c>
      <c r="B1077" t="s">
        <v>998</v>
      </c>
      <c r="C1077">
        <v>6</v>
      </c>
      <c r="D1077" t="s">
        <v>23</v>
      </c>
      <c r="E1077" t="s">
        <v>95</v>
      </c>
      <c r="F1077" t="s">
        <v>112</v>
      </c>
      <c r="G1077" t="s">
        <v>103</v>
      </c>
      <c r="H1077" t="s">
        <v>103</v>
      </c>
      <c r="J1077">
        <v>0</v>
      </c>
      <c r="K1077">
        <v>2</v>
      </c>
      <c r="L1077">
        <v>65.09375</v>
      </c>
      <c r="M1077">
        <v>37.895352600000002</v>
      </c>
      <c r="N1077">
        <v>2.2882677779999998</v>
      </c>
      <c r="O1077">
        <v>98.291666669999998</v>
      </c>
      <c r="P1077">
        <v>30.315130790000001</v>
      </c>
      <c r="Q1077">
        <v>5.0803484000000003E-2</v>
      </c>
      <c r="R1077" t="s">
        <v>1016</v>
      </c>
      <c r="S1077">
        <v>7.5802218100000012</v>
      </c>
    </row>
    <row r="1078" spans="1:19" x14ac:dyDescent="0.25">
      <c r="A1078" t="s">
        <v>84</v>
      </c>
      <c r="B1078" t="s">
        <v>998</v>
      </c>
      <c r="C1078">
        <v>6</v>
      </c>
      <c r="D1078" t="s">
        <v>23</v>
      </c>
      <c r="E1078" t="s">
        <v>95</v>
      </c>
      <c r="F1078" t="s">
        <v>112</v>
      </c>
      <c r="G1078" t="s">
        <v>103</v>
      </c>
      <c r="H1078" t="s">
        <v>808</v>
      </c>
      <c r="J1078">
        <v>0</v>
      </c>
      <c r="K1078">
        <v>1</v>
      </c>
      <c r="L1078">
        <v>65.09375</v>
      </c>
      <c r="M1078">
        <v>37.895352600000002</v>
      </c>
      <c r="N1078">
        <v>2.2882677779999998</v>
      </c>
      <c r="O1078">
        <v>102.79166669999999</v>
      </c>
      <c r="P1078">
        <v>27.057373470000002</v>
      </c>
      <c r="Q1078">
        <v>6.3567849939999999</v>
      </c>
      <c r="R1078" t="s">
        <v>1016</v>
      </c>
      <c r="S1078">
        <v>10.837979130000001</v>
      </c>
    </row>
    <row r="1079" spans="1:19" x14ac:dyDescent="0.25">
      <c r="A1079" t="s">
        <v>84</v>
      </c>
      <c r="B1079" t="s">
        <v>998</v>
      </c>
      <c r="C1079">
        <v>6</v>
      </c>
      <c r="D1079" t="s">
        <v>23</v>
      </c>
      <c r="E1079" t="s">
        <v>95</v>
      </c>
      <c r="F1079" t="s">
        <v>112</v>
      </c>
      <c r="G1079" t="s">
        <v>103</v>
      </c>
      <c r="H1079" t="s">
        <v>239</v>
      </c>
      <c r="J1079">
        <v>0</v>
      </c>
      <c r="K1079">
        <v>2</v>
      </c>
      <c r="L1079">
        <v>65.09375</v>
      </c>
      <c r="M1079">
        <v>37.895352600000002</v>
      </c>
      <c r="N1079">
        <v>2.2882677779999998</v>
      </c>
      <c r="O1079">
        <v>100.45454549999999</v>
      </c>
      <c r="P1079">
        <v>26.754810689999999</v>
      </c>
      <c r="Q1079">
        <v>0.75829999999999997</v>
      </c>
      <c r="R1079" t="s">
        <v>1016</v>
      </c>
      <c r="S1079">
        <v>11.140541910000003</v>
      </c>
    </row>
    <row r="1080" spans="1:19" x14ac:dyDescent="0.25">
      <c r="A1080" t="s">
        <v>85</v>
      </c>
      <c r="B1080" t="s">
        <v>999</v>
      </c>
      <c r="C1080">
        <v>6</v>
      </c>
      <c r="D1080" t="s">
        <v>25</v>
      </c>
      <c r="E1080" t="s">
        <v>94</v>
      </c>
      <c r="F1080" t="s">
        <v>105</v>
      </c>
      <c r="G1080" t="s">
        <v>103</v>
      </c>
      <c r="H1080" t="s">
        <v>810</v>
      </c>
      <c r="J1080">
        <v>0</v>
      </c>
      <c r="K1080">
        <v>1</v>
      </c>
      <c r="L1080">
        <v>67.5</v>
      </c>
      <c r="M1080">
        <v>47.937235809999997</v>
      </c>
      <c r="N1080">
        <v>0.41599678000000001</v>
      </c>
      <c r="O1080">
        <v>77.055555560000002</v>
      </c>
      <c r="P1080">
        <v>18.389110710000001</v>
      </c>
      <c r="Q1080">
        <v>1.5559800079999999</v>
      </c>
      <c r="R1080" t="s">
        <v>1016</v>
      </c>
      <c r="S1080">
        <v>29.548125099999996</v>
      </c>
    </row>
    <row r="1081" spans="1:19" x14ac:dyDescent="0.25">
      <c r="A1081" t="s">
        <v>85</v>
      </c>
      <c r="B1081" t="s">
        <v>999</v>
      </c>
      <c r="C1081">
        <v>6</v>
      </c>
      <c r="D1081" t="s">
        <v>25</v>
      </c>
      <c r="E1081" t="s">
        <v>94</v>
      </c>
      <c r="F1081" t="s">
        <v>105</v>
      </c>
      <c r="G1081" t="s">
        <v>103</v>
      </c>
      <c r="H1081" t="s">
        <v>104</v>
      </c>
      <c r="J1081">
        <v>0</v>
      </c>
      <c r="K1081">
        <v>1</v>
      </c>
      <c r="L1081">
        <v>67.5</v>
      </c>
      <c r="M1081">
        <v>47.937235809999997</v>
      </c>
      <c r="N1081">
        <v>0.41599678000000001</v>
      </c>
      <c r="O1081">
        <v>113.9375</v>
      </c>
      <c r="P1081">
        <v>33.375507550000002</v>
      </c>
      <c r="Q1081">
        <v>2.4262999999999999</v>
      </c>
      <c r="R1081" t="s">
        <v>1016</v>
      </c>
      <c r="S1081">
        <v>14.561728259999995</v>
      </c>
    </row>
    <row r="1082" spans="1:19" x14ac:dyDescent="0.25">
      <c r="A1082" t="s">
        <v>85</v>
      </c>
      <c r="B1082" t="s">
        <v>999</v>
      </c>
      <c r="C1082">
        <v>6</v>
      </c>
      <c r="D1082" t="s">
        <v>25</v>
      </c>
      <c r="E1082" t="s">
        <v>94</v>
      </c>
      <c r="F1082" t="s">
        <v>105</v>
      </c>
      <c r="G1082" t="s">
        <v>103</v>
      </c>
      <c r="H1082" t="s">
        <v>110</v>
      </c>
      <c r="J1082">
        <v>0</v>
      </c>
      <c r="K1082">
        <v>1</v>
      </c>
      <c r="L1082">
        <v>67.5</v>
      </c>
      <c r="M1082">
        <v>47.937235809999997</v>
      </c>
      <c r="N1082">
        <v>0.41599678000000001</v>
      </c>
      <c r="O1082">
        <v>73.260869569999997</v>
      </c>
      <c r="P1082">
        <v>34.453830549999999</v>
      </c>
      <c r="Q1082">
        <v>1.058333333</v>
      </c>
      <c r="R1082" t="s">
        <v>1016</v>
      </c>
      <c r="S1082">
        <v>13.483405259999998</v>
      </c>
    </row>
    <row r="1083" spans="1:19" x14ac:dyDescent="0.25">
      <c r="A1083" t="s">
        <v>85</v>
      </c>
      <c r="B1083" t="s">
        <v>999</v>
      </c>
      <c r="C1083">
        <v>6</v>
      </c>
      <c r="D1083" t="s">
        <v>25</v>
      </c>
      <c r="E1083" t="s">
        <v>94</v>
      </c>
      <c r="F1083" t="s">
        <v>105</v>
      </c>
      <c r="G1083" t="s">
        <v>103</v>
      </c>
      <c r="H1083" t="s">
        <v>103</v>
      </c>
      <c r="J1083">
        <v>0</v>
      </c>
      <c r="K1083">
        <v>4</v>
      </c>
      <c r="L1083">
        <v>67.5</v>
      </c>
      <c r="M1083">
        <v>47.937235809999997</v>
      </c>
      <c r="N1083">
        <v>0.41599678000000001</v>
      </c>
      <c r="O1083">
        <v>98.291666669999998</v>
      </c>
      <c r="P1083">
        <v>30.315130790000001</v>
      </c>
      <c r="Q1083">
        <v>5.0803484000000003E-2</v>
      </c>
      <c r="R1083" t="s">
        <v>1016</v>
      </c>
      <c r="S1083">
        <v>17.622105019999996</v>
      </c>
    </row>
    <row r="1084" spans="1:19" x14ac:dyDescent="0.25">
      <c r="A1084" t="s">
        <v>85</v>
      </c>
      <c r="B1084" t="s">
        <v>1000</v>
      </c>
      <c r="C1084">
        <v>6</v>
      </c>
      <c r="D1084" t="s">
        <v>25</v>
      </c>
      <c r="E1084" t="s">
        <v>94</v>
      </c>
      <c r="F1084" t="s">
        <v>110</v>
      </c>
      <c r="G1084" t="s">
        <v>103</v>
      </c>
      <c r="H1084" t="s">
        <v>103</v>
      </c>
      <c r="J1084">
        <v>0</v>
      </c>
      <c r="K1084">
        <v>9</v>
      </c>
      <c r="L1084">
        <v>73.260869569999997</v>
      </c>
      <c r="M1084">
        <v>34.453830549999999</v>
      </c>
      <c r="N1084">
        <v>1.058333333</v>
      </c>
      <c r="O1084">
        <v>98.291666669999998</v>
      </c>
      <c r="P1084">
        <v>30.315130790000001</v>
      </c>
      <c r="Q1084">
        <v>5.0803484000000003E-2</v>
      </c>
      <c r="R1084" t="s">
        <v>1016</v>
      </c>
      <c r="S1084">
        <v>4.138699759999998</v>
      </c>
    </row>
    <row r="1085" spans="1:19" x14ac:dyDescent="0.25">
      <c r="A1085" t="s">
        <v>85</v>
      </c>
      <c r="B1085" t="s">
        <v>1000</v>
      </c>
      <c r="C1085">
        <v>6</v>
      </c>
      <c r="D1085" t="s">
        <v>25</v>
      </c>
      <c r="E1085" t="s">
        <v>94</v>
      </c>
      <c r="F1085" t="s">
        <v>110</v>
      </c>
      <c r="G1085" t="s">
        <v>103</v>
      </c>
      <c r="H1085" t="s">
        <v>248</v>
      </c>
      <c r="J1085">
        <v>0</v>
      </c>
      <c r="K1085">
        <v>4</v>
      </c>
      <c r="L1085">
        <v>73.260869569999997</v>
      </c>
      <c r="M1085">
        <v>34.453830549999999</v>
      </c>
      <c r="N1085">
        <v>1.058333333</v>
      </c>
      <c r="O1085">
        <v>83.92307692</v>
      </c>
      <c r="P1085">
        <v>44.319135699999997</v>
      </c>
      <c r="Q1085">
        <v>5.9548609999999997E-3</v>
      </c>
      <c r="R1085" t="s">
        <v>1016</v>
      </c>
      <c r="S1085">
        <v>-9.8653051499999975</v>
      </c>
    </row>
    <row r="1086" spans="1:19" x14ac:dyDescent="0.25">
      <c r="A1086" t="s">
        <v>85</v>
      </c>
      <c r="B1086" t="s">
        <v>1000</v>
      </c>
      <c r="C1086">
        <v>6</v>
      </c>
      <c r="D1086" t="s">
        <v>25</v>
      </c>
      <c r="E1086" t="s">
        <v>94</v>
      </c>
      <c r="F1086" t="s">
        <v>110</v>
      </c>
      <c r="G1086" t="s">
        <v>103</v>
      </c>
      <c r="H1086" t="s">
        <v>233</v>
      </c>
      <c r="J1086">
        <v>0</v>
      </c>
      <c r="K1086">
        <v>3</v>
      </c>
      <c r="L1086">
        <v>73.260869569999997</v>
      </c>
      <c r="M1086">
        <v>34.453830549999999</v>
      </c>
      <c r="N1086">
        <v>1.058333333</v>
      </c>
      <c r="O1086">
        <v>106.0540541</v>
      </c>
      <c r="P1086">
        <v>52.690533369999997</v>
      </c>
      <c r="Q1086">
        <v>7.6058968000000005E-2</v>
      </c>
      <c r="R1086" t="s">
        <v>1016</v>
      </c>
      <c r="S1086">
        <v>-18.236702819999998</v>
      </c>
    </row>
    <row r="1087" spans="1:19" x14ac:dyDescent="0.25">
      <c r="A1087" t="s">
        <v>85</v>
      </c>
      <c r="B1087" t="s">
        <v>1000</v>
      </c>
      <c r="C1087">
        <v>6</v>
      </c>
      <c r="D1087" t="s">
        <v>25</v>
      </c>
      <c r="E1087" t="s">
        <v>94</v>
      </c>
      <c r="F1087" t="s">
        <v>110</v>
      </c>
      <c r="G1087" t="s">
        <v>103</v>
      </c>
      <c r="H1087" t="s">
        <v>110</v>
      </c>
      <c r="J1087">
        <v>0</v>
      </c>
      <c r="K1087">
        <v>1</v>
      </c>
      <c r="L1087">
        <v>73.260869569999997</v>
      </c>
      <c r="M1087">
        <v>34.453830549999999</v>
      </c>
      <c r="N1087">
        <v>1.058333333</v>
      </c>
      <c r="O1087">
        <v>73.260869569999997</v>
      </c>
      <c r="P1087">
        <v>34.453830549999999</v>
      </c>
      <c r="Q1087">
        <v>1.058333333</v>
      </c>
      <c r="R1087" t="s">
        <v>1016</v>
      </c>
      <c r="S1087">
        <v>0</v>
      </c>
    </row>
    <row r="1088" spans="1:19" x14ac:dyDescent="0.25">
      <c r="A1088" t="s">
        <v>86</v>
      </c>
      <c r="B1088" t="s">
        <v>1001</v>
      </c>
      <c r="C1088">
        <v>6</v>
      </c>
      <c r="D1088" t="s">
        <v>27</v>
      </c>
      <c r="E1088" t="s">
        <v>94</v>
      </c>
      <c r="F1088" t="s">
        <v>110</v>
      </c>
      <c r="G1088" t="s">
        <v>121</v>
      </c>
      <c r="H1088" t="s">
        <v>246</v>
      </c>
      <c r="J1088">
        <v>0</v>
      </c>
      <c r="K1088">
        <v>1</v>
      </c>
      <c r="L1088">
        <v>73.260869569999997</v>
      </c>
      <c r="M1088">
        <v>34.453830549999999</v>
      </c>
      <c r="N1088">
        <v>1.058333333</v>
      </c>
      <c r="O1088">
        <v>120.25</v>
      </c>
      <c r="P1088">
        <v>30.670450110000001</v>
      </c>
      <c r="Q1088">
        <v>0.91037498500000003</v>
      </c>
      <c r="R1088" t="s">
        <v>1016</v>
      </c>
      <c r="S1088">
        <v>3.7833804399999984</v>
      </c>
    </row>
    <row r="1089" spans="1:19" x14ac:dyDescent="0.25">
      <c r="A1089" t="s">
        <v>86</v>
      </c>
      <c r="B1089" t="s">
        <v>1001</v>
      </c>
      <c r="C1089">
        <v>6</v>
      </c>
      <c r="D1089" t="s">
        <v>27</v>
      </c>
      <c r="E1089" t="s">
        <v>94</v>
      </c>
      <c r="F1089" t="s">
        <v>110</v>
      </c>
      <c r="G1089" t="s">
        <v>121</v>
      </c>
      <c r="H1089" t="s">
        <v>242</v>
      </c>
      <c r="J1089">
        <v>0</v>
      </c>
      <c r="K1089">
        <v>2</v>
      </c>
      <c r="L1089">
        <v>73.260869569999997</v>
      </c>
      <c r="M1089">
        <v>34.453830549999999</v>
      </c>
      <c r="N1089">
        <v>1.058333333</v>
      </c>
      <c r="O1089">
        <v>139.375</v>
      </c>
      <c r="P1089">
        <v>23.713465920000001</v>
      </c>
      <c r="Q1089" t="s">
        <v>114</v>
      </c>
      <c r="R1089" t="s">
        <v>1016</v>
      </c>
      <c r="S1089">
        <v>10.740364629999998</v>
      </c>
    </row>
    <row r="1090" spans="1:19" x14ac:dyDescent="0.25">
      <c r="A1090" t="s">
        <v>86</v>
      </c>
      <c r="B1090" t="s">
        <v>1002</v>
      </c>
      <c r="C1090">
        <v>6</v>
      </c>
      <c r="D1090" t="s">
        <v>27</v>
      </c>
      <c r="E1090" t="s">
        <v>94</v>
      </c>
      <c r="F1090" t="s">
        <v>112</v>
      </c>
      <c r="G1090" t="s">
        <v>110</v>
      </c>
      <c r="H1090" t="s">
        <v>110</v>
      </c>
      <c r="J1090">
        <v>0</v>
      </c>
      <c r="K1090">
        <v>1</v>
      </c>
      <c r="L1090">
        <v>65.09375</v>
      </c>
      <c r="M1090">
        <v>37.895352600000002</v>
      </c>
      <c r="N1090">
        <v>2.2882677779999998</v>
      </c>
      <c r="O1090">
        <v>73.260869569999997</v>
      </c>
      <c r="P1090">
        <v>34.453830549999999</v>
      </c>
      <c r="Q1090">
        <v>1.058333333</v>
      </c>
      <c r="R1090" t="s">
        <v>1016</v>
      </c>
      <c r="S1090">
        <v>3.4415220500000032</v>
      </c>
    </row>
    <row r="1091" spans="1:19" x14ac:dyDescent="0.25">
      <c r="A1091" t="s">
        <v>86</v>
      </c>
      <c r="B1091" t="s">
        <v>1002</v>
      </c>
      <c r="C1091">
        <v>6</v>
      </c>
      <c r="D1091" t="s">
        <v>27</v>
      </c>
      <c r="E1091" t="s">
        <v>94</v>
      </c>
      <c r="F1091" t="s">
        <v>112</v>
      </c>
      <c r="G1091" t="s">
        <v>110</v>
      </c>
      <c r="H1091" t="s">
        <v>246</v>
      </c>
      <c r="J1091">
        <v>0</v>
      </c>
      <c r="K1091">
        <v>1</v>
      </c>
      <c r="L1091">
        <v>65.09375</v>
      </c>
      <c r="M1091">
        <v>37.895352600000002</v>
      </c>
      <c r="N1091">
        <v>2.2882677779999998</v>
      </c>
      <c r="O1091">
        <v>120.25</v>
      </c>
      <c r="P1091">
        <v>30.670450110000001</v>
      </c>
      <c r="Q1091">
        <v>0.91037498500000003</v>
      </c>
      <c r="R1091" t="s">
        <v>1016</v>
      </c>
      <c r="S1091">
        <v>7.2249024900000016</v>
      </c>
    </row>
    <row r="1092" spans="1:19" x14ac:dyDescent="0.25">
      <c r="A1092" t="s">
        <v>87</v>
      </c>
      <c r="B1092" t="s">
        <v>1003</v>
      </c>
      <c r="C1092">
        <v>6</v>
      </c>
      <c r="D1092" t="s">
        <v>29</v>
      </c>
      <c r="E1092" t="s">
        <v>95</v>
      </c>
      <c r="F1092" t="s">
        <v>102</v>
      </c>
      <c r="G1092" t="s">
        <v>110</v>
      </c>
      <c r="H1092" t="s">
        <v>110</v>
      </c>
      <c r="J1092">
        <v>0</v>
      </c>
      <c r="K1092">
        <v>3</v>
      </c>
      <c r="L1092">
        <v>84.740740740000007</v>
      </c>
      <c r="M1092">
        <v>29.167014049999999</v>
      </c>
      <c r="N1092">
        <v>1.1169849999999999</v>
      </c>
      <c r="O1092">
        <v>73.260869569999997</v>
      </c>
      <c r="P1092">
        <v>34.453830549999999</v>
      </c>
      <c r="Q1092">
        <v>1.058333333</v>
      </c>
      <c r="R1092" t="s">
        <v>1016</v>
      </c>
      <c r="S1092">
        <v>-5.2868165000000005</v>
      </c>
    </row>
    <row r="1093" spans="1:19" x14ac:dyDescent="0.25">
      <c r="A1093" t="s">
        <v>87</v>
      </c>
      <c r="B1093" t="s">
        <v>1003</v>
      </c>
      <c r="C1093">
        <v>6</v>
      </c>
      <c r="D1093" t="s">
        <v>29</v>
      </c>
      <c r="E1093" t="s">
        <v>95</v>
      </c>
      <c r="F1093" t="s">
        <v>102</v>
      </c>
      <c r="G1093" t="s">
        <v>110</v>
      </c>
      <c r="H1093" t="s">
        <v>246</v>
      </c>
      <c r="J1093">
        <v>0</v>
      </c>
      <c r="K1093">
        <v>1</v>
      </c>
      <c r="L1093">
        <v>84.740740740000007</v>
      </c>
      <c r="M1093">
        <v>29.167014049999999</v>
      </c>
      <c r="N1093">
        <v>1.1169849999999999</v>
      </c>
      <c r="O1093">
        <v>120.25</v>
      </c>
      <c r="P1093">
        <v>30.670450110000001</v>
      </c>
      <c r="Q1093">
        <v>0.91037498500000003</v>
      </c>
      <c r="R1093" t="s">
        <v>1016</v>
      </c>
      <c r="S1093">
        <v>-1.5034360600000021</v>
      </c>
    </row>
    <row r="1094" spans="1:19" x14ac:dyDescent="0.25">
      <c r="A1094" t="s">
        <v>87</v>
      </c>
      <c r="B1094" t="s">
        <v>1003</v>
      </c>
      <c r="C1094">
        <v>6</v>
      </c>
      <c r="D1094" t="s">
        <v>29</v>
      </c>
      <c r="E1094" t="s">
        <v>95</v>
      </c>
      <c r="F1094" t="s">
        <v>102</v>
      </c>
      <c r="G1094" t="s">
        <v>110</v>
      </c>
      <c r="H1094" t="s">
        <v>242</v>
      </c>
      <c r="J1094">
        <v>0</v>
      </c>
      <c r="K1094">
        <v>2</v>
      </c>
      <c r="L1094">
        <v>84.740740740000007</v>
      </c>
      <c r="M1094">
        <v>29.167014049999999</v>
      </c>
      <c r="N1094">
        <v>1.1169849999999999</v>
      </c>
      <c r="O1094">
        <v>139.375</v>
      </c>
      <c r="P1094">
        <v>23.713465920000001</v>
      </c>
      <c r="Q1094" t="s">
        <v>114</v>
      </c>
      <c r="R1094" t="s">
        <v>1016</v>
      </c>
      <c r="S1094">
        <v>5.4535481299999979</v>
      </c>
    </row>
    <row r="1095" spans="1:19" x14ac:dyDescent="0.25">
      <c r="A1095" t="s">
        <v>87</v>
      </c>
      <c r="B1095" t="s">
        <v>1004</v>
      </c>
      <c r="C1095">
        <v>6</v>
      </c>
      <c r="D1095" t="s">
        <v>29</v>
      </c>
      <c r="E1095" t="s">
        <v>95</v>
      </c>
      <c r="F1095" t="s">
        <v>110</v>
      </c>
      <c r="G1095" t="s">
        <v>110</v>
      </c>
      <c r="H1095" t="s">
        <v>110</v>
      </c>
      <c r="J1095">
        <v>0</v>
      </c>
      <c r="K1095">
        <v>1</v>
      </c>
      <c r="L1095">
        <v>73.260869569999997</v>
      </c>
      <c r="M1095">
        <v>34.453830549999999</v>
      </c>
      <c r="N1095">
        <v>1.058333333</v>
      </c>
      <c r="O1095">
        <v>73.260869569999997</v>
      </c>
      <c r="P1095">
        <v>34.453830549999999</v>
      </c>
      <c r="Q1095">
        <v>1.058333333</v>
      </c>
      <c r="R1095" t="s">
        <v>1016</v>
      </c>
      <c r="S1095">
        <v>0</v>
      </c>
    </row>
    <row r="1096" spans="1:19" x14ac:dyDescent="0.25">
      <c r="A1096" t="s">
        <v>88</v>
      </c>
      <c r="B1096" t="s">
        <v>1005</v>
      </c>
      <c r="C1096">
        <v>6</v>
      </c>
      <c r="D1096" t="s">
        <v>31</v>
      </c>
      <c r="E1096" t="s">
        <v>95</v>
      </c>
      <c r="F1096" t="s">
        <v>110</v>
      </c>
      <c r="G1096" t="s">
        <v>113</v>
      </c>
      <c r="H1096" t="s">
        <v>113</v>
      </c>
      <c r="J1096">
        <v>0</v>
      </c>
      <c r="K1096">
        <v>3</v>
      </c>
      <c r="L1096">
        <v>73.260869569999997</v>
      </c>
      <c r="M1096">
        <v>34.453830549999999</v>
      </c>
      <c r="N1096">
        <v>1.058333333</v>
      </c>
      <c r="O1096">
        <v>83.757575759999995</v>
      </c>
      <c r="P1096">
        <v>22.60997987</v>
      </c>
      <c r="Q1096">
        <v>0.72884000000000004</v>
      </c>
      <c r="R1096" t="s">
        <v>1016</v>
      </c>
      <c r="S1096">
        <v>11.843850679999999</v>
      </c>
    </row>
    <row r="1097" spans="1:19" x14ac:dyDescent="0.25">
      <c r="A1097" t="s">
        <v>88</v>
      </c>
      <c r="B1097" t="s">
        <v>1005</v>
      </c>
      <c r="C1097">
        <v>6</v>
      </c>
      <c r="D1097" t="s">
        <v>31</v>
      </c>
      <c r="E1097" t="s">
        <v>95</v>
      </c>
      <c r="F1097" t="s">
        <v>110</v>
      </c>
      <c r="G1097" t="s">
        <v>113</v>
      </c>
      <c r="H1097" t="s">
        <v>103</v>
      </c>
      <c r="J1097">
        <v>0</v>
      </c>
      <c r="K1097">
        <v>1</v>
      </c>
      <c r="L1097">
        <v>73.260869569999997</v>
      </c>
      <c r="M1097">
        <v>34.453830549999999</v>
      </c>
      <c r="N1097">
        <v>1.058333333</v>
      </c>
      <c r="O1097">
        <v>98.291666669999998</v>
      </c>
      <c r="P1097">
        <v>30.315130790000001</v>
      </c>
      <c r="Q1097">
        <v>5.0803484000000003E-2</v>
      </c>
      <c r="R1097" t="s">
        <v>1016</v>
      </c>
      <c r="S1097">
        <v>4.138699759999998</v>
      </c>
    </row>
    <row r="1098" spans="1:19" x14ac:dyDescent="0.25">
      <c r="A1098" t="s">
        <v>88</v>
      </c>
      <c r="B1098" t="s">
        <v>1006</v>
      </c>
      <c r="C1098">
        <v>6</v>
      </c>
      <c r="D1098" t="s">
        <v>31</v>
      </c>
      <c r="E1098" t="s">
        <v>95</v>
      </c>
      <c r="F1098" t="s">
        <v>112</v>
      </c>
      <c r="G1098" t="s">
        <v>113</v>
      </c>
      <c r="H1098" t="s">
        <v>113</v>
      </c>
      <c r="J1098">
        <v>0</v>
      </c>
      <c r="K1098">
        <v>2</v>
      </c>
      <c r="L1098">
        <v>65.09375</v>
      </c>
      <c r="M1098">
        <v>37.895352600000002</v>
      </c>
      <c r="N1098">
        <v>2.2882677779999998</v>
      </c>
      <c r="O1098">
        <v>83.757575759999995</v>
      </c>
      <c r="P1098">
        <v>22.60997987</v>
      </c>
      <c r="Q1098">
        <v>0.72884000000000004</v>
      </c>
      <c r="R1098" t="s">
        <v>1016</v>
      </c>
      <c r="S1098">
        <v>15.285372730000002</v>
      </c>
    </row>
    <row r="1099" spans="1:19" x14ac:dyDescent="0.25">
      <c r="A1099" t="s">
        <v>89</v>
      </c>
      <c r="B1099" t="s">
        <v>1007</v>
      </c>
      <c r="C1099">
        <v>6</v>
      </c>
      <c r="D1099" t="s">
        <v>33</v>
      </c>
      <c r="E1099" t="s">
        <v>95</v>
      </c>
      <c r="F1099" t="s">
        <v>104</v>
      </c>
      <c r="G1099" t="s">
        <v>104</v>
      </c>
      <c r="H1099" t="s">
        <v>104</v>
      </c>
      <c r="J1099">
        <v>1</v>
      </c>
      <c r="K1099">
        <v>1</v>
      </c>
      <c r="L1099">
        <v>113.9375</v>
      </c>
      <c r="M1099">
        <v>33.375507550000002</v>
      </c>
      <c r="N1099">
        <v>2.4262999999999999</v>
      </c>
      <c r="O1099">
        <v>113.9375</v>
      </c>
      <c r="P1099">
        <v>33.375507550000002</v>
      </c>
      <c r="Q1099">
        <v>2.4262999999999999</v>
      </c>
      <c r="R1099" t="s">
        <v>1016</v>
      </c>
      <c r="S1099">
        <v>0</v>
      </c>
    </row>
    <row r="1100" spans="1:19" x14ac:dyDescent="0.25">
      <c r="A1100" t="s">
        <v>89</v>
      </c>
      <c r="B1100" t="s">
        <v>1007</v>
      </c>
      <c r="C1100">
        <v>6</v>
      </c>
      <c r="D1100" t="s">
        <v>33</v>
      </c>
      <c r="E1100" t="s">
        <v>95</v>
      </c>
      <c r="F1100" t="s">
        <v>104</v>
      </c>
      <c r="G1100" t="s">
        <v>104</v>
      </c>
      <c r="H1100" t="s">
        <v>103</v>
      </c>
      <c r="J1100">
        <v>1</v>
      </c>
      <c r="K1100">
        <v>1</v>
      </c>
      <c r="L1100">
        <v>113.9375</v>
      </c>
      <c r="M1100">
        <v>33.375507550000002</v>
      </c>
      <c r="N1100">
        <v>2.4262999999999999</v>
      </c>
      <c r="O1100">
        <v>98.291666669999998</v>
      </c>
      <c r="P1100">
        <v>30.315130790000001</v>
      </c>
      <c r="Q1100">
        <v>5.0803484000000003E-2</v>
      </c>
      <c r="R1100" t="s">
        <v>1016</v>
      </c>
      <c r="S1100">
        <v>3.0603767600000005</v>
      </c>
    </row>
    <row r="1101" spans="1:19" x14ac:dyDescent="0.25">
      <c r="A1101" t="s">
        <v>89</v>
      </c>
      <c r="B1101" t="s">
        <v>1007</v>
      </c>
      <c r="C1101">
        <v>6</v>
      </c>
      <c r="D1101" t="s">
        <v>33</v>
      </c>
      <c r="E1101" t="s">
        <v>95</v>
      </c>
      <c r="F1101" t="s">
        <v>104</v>
      </c>
      <c r="G1101" t="s">
        <v>104</v>
      </c>
      <c r="H1101" t="s">
        <v>246</v>
      </c>
      <c r="J1101">
        <v>1</v>
      </c>
      <c r="K1101">
        <v>1</v>
      </c>
      <c r="L1101">
        <v>113.9375</v>
      </c>
      <c r="M1101">
        <v>33.375507550000002</v>
      </c>
      <c r="N1101">
        <v>2.4262999999999999</v>
      </c>
      <c r="O1101">
        <v>120.25</v>
      </c>
      <c r="P1101">
        <v>30.670450110000001</v>
      </c>
      <c r="Q1101">
        <v>0.91037498500000003</v>
      </c>
      <c r="R1101" t="s">
        <v>1016</v>
      </c>
      <c r="S1101">
        <v>2.7050574400000009</v>
      </c>
    </row>
    <row r="1102" spans="1:19" x14ac:dyDescent="0.25">
      <c r="A1102" t="s">
        <v>89</v>
      </c>
      <c r="B1102" t="s">
        <v>1008</v>
      </c>
      <c r="C1102">
        <v>6</v>
      </c>
      <c r="D1102" t="s">
        <v>33</v>
      </c>
      <c r="E1102" t="s">
        <v>95</v>
      </c>
      <c r="F1102" t="s">
        <v>112</v>
      </c>
      <c r="G1102" t="s">
        <v>113</v>
      </c>
      <c r="H1102" t="s">
        <v>113</v>
      </c>
      <c r="I1102" t="s">
        <v>255</v>
      </c>
      <c r="J1102">
        <v>0</v>
      </c>
      <c r="K1102">
        <v>4</v>
      </c>
      <c r="L1102">
        <v>65.09375</v>
      </c>
      <c r="M1102">
        <v>37.895352600000002</v>
      </c>
      <c r="N1102">
        <v>2.2882677779999998</v>
      </c>
      <c r="O1102">
        <v>83.757575759999995</v>
      </c>
      <c r="P1102">
        <v>22.60997987</v>
      </c>
      <c r="Q1102">
        <v>0.72884000000000004</v>
      </c>
      <c r="R1102" t="s">
        <v>1016</v>
      </c>
      <c r="S1102">
        <v>15.285372730000002</v>
      </c>
    </row>
    <row r="1103" spans="1:19" x14ac:dyDescent="0.25">
      <c r="A1103" t="s">
        <v>90</v>
      </c>
      <c r="B1103" t="s">
        <v>1009</v>
      </c>
      <c r="C1103">
        <v>6</v>
      </c>
      <c r="D1103" t="s">
        <v>35</v>
      </c>
      <c r="E1103" t="s">
        <v>94</v>
      </c>
      <c r="F1103" t="s">
        <v>111</v>
      </c>
      <c r="G1103" t="s">
        <v>121</v>
      </c>
      <c r="H1103" t="s">
        <v>253</v>
      </c>
      <c r="J1103">
        <v>0</v>
      </c>
      <c r="K1103">
        <v>3</v>
      </c>
      <c r="L1103">
        <v>94.97142857</v>
      </c>
      <c r="M1103">
        <v>24.31591813</v>
      </c>
      <c r="N1103">
        <v>0.122951111</v>
      </c>
      <c r="O1103">
        <v>172.08823530000001</v>
      </c>
      <c r="P1103">
        <v>29.581605960000001</v>
      </c>
      <c r="Q1103">
        <v>0.24280444400000001</v>
      </c>
      <c r="R1103" t="s">
        <v>1016</v>
      </c>
      <c r="S1103">
        <v>-5.265687830000001</v>
      </c>
    </row>
    <row r="1104" spans="1:19" x14ac:dyDescent="0.25">
      <c r="A1104" t="s">
        <v>90</v>
      </c>
      <c r="B1104" t="s">
        <v>1009</v>
      </c>
      <c r="C1104">
        <v>6</v>
      </c>
      <c r="D1104" t="s">
        <v>35</v>
      </c>
      <c r="E1104" t="s">
        <v>94</v>
      </c>
      <c r="F1104" t="s">
        <v>111</v>
      </c>
      <c r="G1104" t="s">
        <v>121</v>
      </c>
      <c r="H1104" t="s">
        <v>162</v>
      </c>
      <c r="J1104">
        <v>0</v>
      </c>
      <c r="K1104">
        <v>1</v>
      </c>
      <c r="L1104">
        <v>94.97142857</v>
      </c>
      <c r="M1104">
        <v>24.31591813</v>
      </c>
      <c r="N1104">
        <v>0.122951111</v>
      </c>
      <c r="O1104">
        <v>82.53846154</v>
      </c>
      <c r="P1104">
        <v>35.660530039999998</v>
      </c>
      <c r="Q1104">
        <v>3.3754499999999998</v>
      </c>
      <c r="R1104" t="s">
        <v>1016</v>
      </c>
      <c r="S1104">
        <v>-11.344611909999998</v>
      </c>
    </row>
    <row r="1105" spans="1:19" x14ac:dyDescent="0.25">
      <c r="A1105" t="s">
        <v>90</v>
      </c>
      <c r="B1105" t="s">
        <v>1010</v>
      </c>
      <c r="C1105">
        <v>6</v>
      </c>
      <c r="D1105" t="s">
        <v>35</v>
      </c>
      <c r="E1105" t="s">
        <v>94</v>
      </c>
      <c r="F1105" t="s">
        <v>104</v>
      </c>
      <c r="G1105" t="s">
        <v>111</v>
      </c>
      <c r="H1105" t="s">
        <v>111</v>
      </c>
      <c r="J1105">
        <v>1</v>
      </c>
      <c r="K1105">
        <v>1</v>
      </c>
      <c r="L1105">
        <v>113.9375</v>
      </c>
      <c r="M1105">
        <v>33.375507550000002</v>
      </c>
      <c r="N1105">
        <v>2.4262999999999999</v>
      </c>
      <c r="O1105">
        <v>94.97142857</v>
      </c>
      <c r="P1105">
        <v>24.31591813</v>
      </c>
      <c r="Q1105">
        <v>0.122951111</v>
      </c>
      <c r="R1105" t="s">
        <v>1016</v>
      </c>
      <c r="S1105">
        <v>9.0595894200000018</v>
      </c>
    </row>
    <row r="1106" spans="1:19" x14ac:dyDescent="0.25">
      <c r="A1106" t="s">
        <v>90</v>
      </c>
      <c r="B1106" t="s">
        <v>1010</v>
      </c>
      <c r="C1106">
        <v>6</v>
      </c>
      <c r="D1106" t="s">
        <v>35</v>
      </c>
      <c r="E1106" t="s">
        <v>94</v>
      </c>
      <c r="F1106" t="s">
        <v>104</v>
      </c>
      <c r="G1106" t="s">
        <v>111</v>
      </c>
      <c r="H1106" t="s">
        <v>253</v>
      </c>
      <c r="J1106">
        <v>1</v>
      </c>
      <c r="K1106">
        <v>2</v>
      </c>
      <c r="L1106">
        <v>113.9375</v>
      </c>
      <c r="M1106">
        <v>33.375507550000002</v>
      </c>
      <c r="N1106">
        <v>2.4262999999999999</v>
      </c>
      <c r="O1106">
        <v>172.08823530000001</v>
      </c>
      <c r="P1106">
        <v>29.581605960000001</v>
      </c>
      <c r="Q1106">
        <v>0.24280444400000001</v>
      </c>
      <c r="R1106" t="s">
        <v>1016</v>
      </c>
      <c r="S1106">
        <v>3.7939015900000008</v>
      </c>
    </row>
    <row r="1107" spans="1:19" x14ac:dyDescent="0.25">
      <c r="A1107" t="s">
        <v>91</v>
      </c>
      <c r="B1107" t="s">
        <v>1011</v>
      </c>
      <c r="C1107">
        <v>6</v>
      </c>
      <c r="D1107" t="s">
        <v>37</v>
      </c>
      <c r="E1107" t="s">
        <v>94</v>
      </c>
      <c r="F1107" t="s">
        <v>112</v>
      </c>
      <c r="G1107" t="s">
        <v>112</v>
      </c>
      <c r="H1107" t="s">
        <v>112</v>
      </c>
      <c r="J1107">
        <v>0</v>
      </c>
      <c r="K1107">
        <v>1</v>
      </c>
      <c r="L1107">
        <v>65.09375</v>
      </c>
      <c r="M1107">
        <v>37.895352600000002</v>
      </c>
      <c r="N1107">
        <v>2.2882677779999998</v>
      </c>
      <c r="O1107">
        <v>65.09375</v>
      </c>
      <c r="P1107">
        <v>37.895352600000002</v>
      </c>
      <c r="Q1107">
        <v>2.2882677779999998</v>
      </c>
      <c r="R1107" t="s">
        <v>1016</v>
      </c>
      <c r="S1107">
        <v>0</v>
      </c>
    </row>
    <row r="1108" spans="1:19" x14ac:dyDescent="0.25">
      <c r="A1108" t="s">
        <v>92</v>
      </c>
      <c r="B1108" t="s">
        <v>1012</v>
      </c>
      <c r="C1108">
        <v>6</v>
      </c>
      <c r="D1108" t="s">
        <v>64</v>
      </c>
      <c r="E1108" t="s">
        <v>94</v>
      </c>
      <c r="F1108" t="s">
        <v>112</v>
      </c>
      <c r="G1108" t="s">
        <v>102</v>
      </c>
      <c r="H1108" t="s">
        <v>102</v>
      </c>
      <c r="J1108">
        <v>0</v>
      </c>
      <c r="K1108">
        <v>2</v>
      </c>
      <c r="L1108">
        <v>65.09375</v>
      </c>
      <c r="M1108">
        <v>37.895352600000002</v>
      </c>
      <c r="N1108">
        <v>2.2882677779999998</v>
      </c>
      <c r="O1108">
        <v>84.740740740000007</v>
      </c>
      <c r="P1108">
        <v>29.167014049999999</v>
      </c>
      <c r="Q1108">
        <v>1.1169849999999999</v>
      </c>
      <c r="R1108" t="s">
        <v>1016</v>
      </c>
      <c r="S1108">
        <v>8.7283385500000037</v>
      </c>
    </row>
    <row r="1109" spans="1:19" x14ac:dyDescent="0.25">
      <c r="A1109" t="s">
        <v>92</v>
      </c>
      <c r="B1109" t="s">
        <v>1012</v>
      </c>
      <c r="C1109">
        <v>6</v>
      </c>
      <c r="D1109" t="s">
        <v>64</v>
      </c>
      <c r="E1109" t="s">
        <v>94</v>
      </c>
      <c r="F1109" t="s">
        <v>112</v>
      </c>
      <c r="G1109" t="s">
        <v>102</v>
      </c>
      <c r="H1109" t="s">
        <v>241</v>
      </c>
      <c r="J1109">
        <v>0</v>
      </c>
      <c r="K1109">
        <v>1</v>
      </c>
      <c r="L1109">
        <v>65.09375</v>
      </c>
      <c r="M1109">
        <v>37.895352600000002</v>
      </c>
      <c r="N1109">
        <v>2.2882677779999998</v>
      </c>
      <c r="O1109">
        <v>114</v>
      </c>
      <c r="P1109">
        <v>30.43077242</v>
      </c>
      <c r="Q1109">
        <v>0.53383111100000002</v>
      </c>
      <c r="R1109" t="s">
        <v>1016</v>
      </c>
      <c r="S1109">
        <v>7.4645801800000022</v>
      </c>
    </row>
    <row r="1110" spans="1:19" x14ac:dyDescent="0.25">
      <c r="A1110" t="s">
        <v>93</v>
      </c>
      <c r="B1110" t="s">
        <v>1013</v>
      </c>
      <c r="C1110">
        <v>6</v>
      </c>
      <c r="D1110" t="s">
        <v>66</v>
      </c>
      <c r="E1110" t="s">
        <v>95</v>
      </c>
      <c r="F1110" t="s">
        <v>104</v>
      </c>
      <c r="G1110" t="s">
        <v>103</v>
      </c>
      <c r="H1110" t="s">
        <v>104</v>
      </c>
      <c r="J1110">
        <v>0</v>
      </c>
      <c r="K1110">
        <v>1</v>
      </c>
      <c r="L1110">
        <v>113.9375</v>
      </c>
      <c r="M1110">
        <v>33.375507550000002</v>
      </c>
      <c r="N1110">
        <v>2.4262999999999999</v>
      </c>
      <c r="O1110">
        <v>113.9375</v>
      </c>
      <c r="P1110">
        <v>33.375507550000002</v>
      </c>
      <c r="Q1110">
        <v>2.4262999999999999</v>
      </c>
      <c r="R1110" t="s">
        <v>1016</v>
      </c>
      <c r="S1110">
        <v>0</v>
      </c>
    </row>
    <row r="1111" spans="1:19" x14ac:dyDescent="0.25">
      <c r="A1111" t="s">
        <v>93</v>
      </c>
      <c r="B1111" t="s">
        <v>1013</v>
      </c>
      <c r="C1111">
        <v>6</v>
      </c>
      <c r="D1111" t="s">
        <v>66</v>
      </c>
      <c r="E1111" t="s">
        <v>95</v>
      </c>
      <c r="F1111" t="s">
        <v>104</v>
      </c>
      <c r="G1111" t="s">
        <v>103</v>
      </c>
      <c r="H1111" t="s">
        <v>111</v>
      </c>
      <c r="J1111">
        <v>0</v>
      </c>
      <c r="K1111">
        <v>1</v>
      </c>
      <c r="L1111">
        <v>113.9375</v>
      </c>
      <c r="M1111">
        <v>33.375507550000002</v>
      </c>
      <c r="N1111">
        <v>2.4262999999999999</v>
      </c>
      <c r="O1111">
        <v>94.97142857</v>
      </c>
      <c r="P1111">
        <v>24.31591813</v>
      </c>
      <c r="Q1111">
        <v>0.122951111</v>
      </c>
      <c r="R1111" t="s">
        <v>1016</v>
      </c>
      <c r="S1111">
        <v>9.0595894200000018</v>
      </c>
    </row>
    <row r="1112" spans="1:19" x14ac:dyDescent="0.25">
      <c r="A1112" t="s">
        <v>93</v>
      </c>
      <c r="B1112" t="s">
        <v>1013</v>
      </c>
      <c r="C1112">
        <v>6</v>
      </c>
      <c r="D1112" t="s">
        <v>66</v>
      </c>
      <c r="E1112" t="s">
        <v>95</v>
      </c>
      <c r="F1112" t="s">
        <v>104</v>
      </c>
      <c r="G1112" t="s">
        <v>103</v>
      </c>
      <c r="H1112" t="s">
        <v>103</v>
      </c>
      <c r="J1112">
        <v>0</v>
      </c>
      <c r="K1112">
        <v>4</v>
      </c>
      <c r="L1112">
        <v>113.9375</v>
      </c>
      <c r="M1112">
        <v>33.375507550000002</v>
      </c>
      <c r="N1112">
        <v>2.4262999999999999</v>
      </c>
      <c r="O1112">
        <v>98.291666669999998</v>
      </c>
      <c r="P1112">
        <v>30.315130790000001</v>
      </c>
      <c r="Q1112">
        <v>5.0803484000000003E-2</v>
      </c>
      <c r="R1112" t="s">
        <v>1016</v>
      </c>
      <c r="S1112">
        <v>3.0603767600000005</v>
      </c>
    </row>
    <row r="1113" spans="1:19" x14ac:dyDescent="0.25">
      <c r="A1113" t="s">
        <v>93</v>
      </c>
      <c r="B1113" t="s">
        <v>1013</v>
      </c>
      <c r="C1113">
        <v>6</v>
      </c>
      <c r="D1113" t="s">
        <v>66</v>
      </c>
      <c r="E1113" t="s">
        <v>95</v>
      </c>
      <c r="F1113" t="s">
        <v>104</v>
      </c>
      <c r="G1113" t="s">
        <v>103</v>
      </c>
      <c r="H1113" t="s">
        <v>238</v>
      </c>
      <c r="J1113">
        <v>0</v>
      </c>
      <c r="K1113">
        <v>2</v>
      </c>
      <c r="L1113">
        <v>113.9375</v>
      </c>
      <c r="M1113">
        <v>33.375507550000002</v>
      </c>
      <c r="N1113">
        <v>2.4262999999999999</v>
      </c>
      <c r="O1113">
        <v>87.5</v>
      </c>
      <c r="P1113">
        <v>29.478311600000001</v>
      </c>
      <c r="Q1113">
        <v>3.0797751000000002E-2</v>
      </c>
      <c r="R1113" t="s">
        <v>1016</v>
      </c>
      <c r="S1113">
        <v>3.8971959500000004</v>
      </c>
    </row>
    <row r="1114" spans="1:19" x14ac:dyDescent="0.25">
      <c r="A1114" t="s">
        <v>93</v>
      </c>
      <c r="B1114" t="s">
        <v>1013</v>
      </c>
      <c r="C1114">
        <v>6</v>
      </c>
      <c r="D1114" t="s">
        <v>66</v>
      </c>
      <c r="E1114" t="s">
        <v>95</v>
      </c>
      <c r="F1114" t="s">
        <v>104</v>
      </c>
      <c r="G1114" t="s">
        <v>103</v>
      </c>
      <c r="H1114" t="s">
        <v>246</v>
      </c>
      <c r="J1114">
        <v>0</v>
      </c>
      <c r="K1114">
        <v>1</v>
      </c>
      <c r="L1114">
        <v>113.9375</v>
      </c>
      <c r="M1114">
        <v>33.375507550000002</v>
      </c>
      <c r="N1114">
        <v>2.4262999999999999</v>
      </c>
      <c r="O1114">
        <v>120.25</v>
      </c>
      <c r="P1114">
        <v>30.670450110000001</v>
      </c>
      <c r="Q1114">
        <v>0.91037498500000003</v>
      </c>
      <c r="R1114" t="s">
        <v>1016</v>
      </c>
      <c r="S1114">
        <v>2.7050574400000009</v>
      </c>
    </row>
    <row r="1115" spans="1:19" x14ac:dyDescent="0.25">
      <c r="A1115" t="s">
        <v>67</v>
      </c>
      <c r="B1115" t="s">
        <v>820</v>
      </c>
      <c r="C1115">
        <v>10</v>
      </c>
      <c r="D1115" t="s">
        <v>11</v>
      </c>
      <c r="E1115" t="s">
        <v>94</v>
      </c>
      <c r="F1115" t="s">
        <v>113</v>
      </c>
      <c r="G1115" t="s">
        <v>121</v>
      </c>
      <c r="H1115" t="s">
        <v>113</v>
      </c>
      <c r="J1115">
        <v>0</v>
      </c>
      <c r="K1115">
        <v>2</v>
      </c>
      <c r="L1115">
        <v>83.757575759999995</v>
      </c>
      <c r="M1115">
        <v>22.60997987</v>
      </c>
      <c r="N1115">
        <v>0.72884000000000004</v>
      </c>
      <c r="O1115">
        <v>83.757575759999995</v>
      </c>
      <c r="P1115">
        <v>22.60997987</v>
      </c>
      <c r="Q1115">
        <v>0.72884000000000004</v>
      </c>
      <c r="R1115" t="s">
        <v>1017</v>
      </c>
      <c r="S1115">
        <v>0</v>
      </c>
    </row>
    <row r="1116" spans="1:19" x14ac:dyDescent="0.25">
      <c r="A1116" t="s">
        <v>67</v>
      </c>
      <c r="B1116" t="s">
        <v>820</v>
      </c>
      <c r="C1116">
        <v>10</v>
      </c>
      <c r="D1116" t="s">
        <v>11</v>
      </c>
      <c r="E1116" t="s">
        <v>94</v>
      </c>
      <c r="F1116" t="s">
        <v>113</v>
      </c>
      <c r="G1116" t="s">
        <v>121</v>
      </c>
      <c r="H1116" t="s">
        <v>248</v>
      </c>
      <c r="J1116">
        <v>0</v>
      </c>
      <c r="K1116">
        <v>1</v>
      </c>
      <c r="L1116">
        <v>83.757575759999995</v>
      </c>
      <c r="M1116">
        <v>22.60997987</v>
      </c>
      <c r="N1116">
        <v>0.72884000000000004</v>
      </c>
      <c r="O1116">
        <v>83.92307692</v>
      </c>
      <c r="P1116">
        <v>44.319135699999997</v>
      </c>
      <c r="Q1116">
        <v>5.9548609999999997E-3</v>
      </c>
      <c r="R1116" t="s">
        <v>1017</v>
      </c>
      <c r="S1116">
        <v>21.709155829999997</v>
      </c>
    </row>
    <row r="1117" spans="1:19" x14ac:dyDescent="0.25">
      <c r="A1117" t="s">
        <v>67</v>
      </c>
      <c r="B1117" t="s">
        <v>821</v>
      </c>
      <c r="C1117">
        <v>10</v>
      </c>
      <c r="D1117" t="s">
        <v>11</v>
      </c>
      <c r="E1117" t="s">
        <v>94</v>
      </c>
      <c r="F1117" t="s">
        <v>103</v>
      </c>
      <c r="G1117" t="s">
        <v>121</v>
      </c>
      <c r="H1117" t="s">
        <v>103</v>
      </c>
      <c r="J1117">
        <v>0</v>
      </c>
      <c r="K1117">
        <v>1</v>
      </c>
      <c r="L1117">
        <v>98.291666669999998</v>
      </c>
      <c r="M1117">
        <v>30.315130790000001</v>
      </c>
      <c r="N1117">
        <v>5.0803484000000003E-2</v>
      </c>
      <c r="O1117">
        <v>98.291666669999998</v>
      </c>
      <c r="P1117">
        <v>30.315130790000001</v>
      </c>
      <c r="Q1117">
        <v>5.0803484000000003E-2</v>
      </c>
      <c r="R1117" t="s">
        <v>1017</v>
      </c>
      <c r="S1117">
        <v>0</v>
      </c>
    </row>
    <row r="1118" spans="1:19" x14ac:dyDescent="0.25">
      <c r="A1118" t="s">
        <v>67</v>
      </c>
      <c r="B1118" t="s">
        <v>822</v>
      </c>
      <c r="C1118">
        <v>10</v>
      </c>
      <c r="D1118" t="s">
        <v>11</v>
      </c>
      <c r="E1118" t="s">
        <v>94</v>
      </c>
      <c r="F1118" t="s">
        <v>112</v>
      </c>
      <c r="G1118" t="s">
        <v>121</v>
      </c>
      <c r="H1118" t="s">
        <v>235</v>
      </c>
      <c r="J1118">
        <v>0</v>
      </c>
      <c r="K1118">
        <v>1</v>
      </c>
      <c r="L1118">
        <v>65.09375</v>
      </c>
      <c r="M1118">
        <v>37.895352600000002</v>
      </c>
      <c r="N1118">
        <v>2.2882677779999998</v>
      </c>
      <c r="O1118">
        <v>132.27272730000001</v>
      </c>
      <c r="P1118">
        <v>20.180448590000001</v>
      </c>
      <c r="Q1118">
        <v>3.7813451999999997E-2</v>
      </c>
      <c r="R1118" t="s">
        <v>1017</v>
      </c>
      <c r="S1118">
        <v>17.714904010000001</v>
      </c>
    </row>
    <row r="1119" spans="1:19" x14ac:dyDescent="0.25">
      <c r="A1119" t="s">
        <v>67</v>
      </c>
      <c r="B1119" t="s">
        <v>822</v>
      </c>
      <c r="C1119">
        <v>10</v>
      </c>
      <c r="D1119" t="s">
        <v>11</v>
      </c>
      <c r="E1119" t="s">
        <v>94</v>
      </c>
      <c r="F1119" t="s">
        <v>112</v>
      </c>
      <c r="G1119" t="s">
        <v>121</v>
      </c>
      <c r="H1119" t="s">
        <v>248</v>
      </c>
      <c r="J1119">
        <v>0</v>
      </c>
      <c r="K1119">
        <v>2</v>
      </c>
      <c r="L1119">
        <v>65.09375</v>
      </c>
      <c r="M1119">
        <v>37.895352600000002</v>
      </c>
      <c r="N1119">
        <v>2.2882677779999998</v>
      </c>
      <c r="O1119">
        <v>83.92307692</v>
      </c>
      <c r="P1119">
        <v>44.319135699999997</v>
      </c>
      <c r="Q1119">
        <v>5.9548609999999997E-3</v>
      </c>
      <c r="R1119" t="s">
        <v>1017</v>
      </c>
      <c r="S1119">
        <v>6.4237830999999943</v>
      </c>
    </row>
    <row r="1120" spans="1:19" x14ac:dyDescent="0.25">
      <c r="A1120" t="s">
        <v>68</v>
      </c>
      <c r="B1120" t="s">
        <v>823</v>
      </c>
      <c r="C1120">
        <v>10</v>
      </c>
      <c r="D1120" t="s">
        <v>15</v>
      </c>
      <c r="E1120" t="s">
        <v>95</v>
      </c>
      <c r="F1120" t="s">
        <v>113</v>
      </c>
      <c r="G1120" t="s">
        <v>121</v>
      </c>
      <c r="H1120" t="s">
        <v>113</v>
      </c>
      <c r="J1120">
        <v>0</v>
      </c>
      <c r="K1120">
        <v>1</v>
      </c>
      <c r="L1120">
        <v>83.757575759999995</v>
      </c>
      <c r="M1120">
        <v>22.60997987</v>
      </c>
      <c r="N1120">
        <v>0.72884000000000004</v>
      </c>
      <c r="O1120">
        <v>83.757575759999995</v>
      </c>
      <c r="P1120">
        <v>22.60997987</v>
      </c>
      <c r="Q1120">
        <v>0.72884000000000004</v>
      </c>
      <c r="R1120" t="s">
        <v>1017</v>
      </c>
      <c r="S1120">
        <v>0</v>
      </c>
    </row>
    <row r="1121" spans="1:19" x14ac:dyDescent="0.25">
      <c r="A1121" t="s">
        <v>68</v>
      </c>
      <c r="B1121" t="s">
        <v>824</v>
      </c>
      <c r="C1121">
        <v>10</v>
      </c>
      <c r="D1121" t="s">
        <v>15</v>
      </c>
      <c r="E1121" t="s">
        <v>95</v>
      </c>
      <c r="F1121" t="s">
        <v>110</v>
      </c>
      <c r="G1121" t="s">
        <v>113</v>
      </c>
      <c r="H1121" t="s">
        <v>113</v>
      </c>
      <c r="J1121">
        <v>0</v>
      </c>
      <c r="K1121">
        <v>2</v>
      </c>
      <c r="L1121">
        <v>73.260869569999997</v>
      </c>
      <c r="M1121">
        <v>34.453830549999999</v>
      </c>
      <c r="N1121">
        <v>1.058333333</v>
      </c>
      <c r="O1121">
        <v>83.757575759999995</v>
      </c>
      <c r="P1121">
        <v>22.60997987</v>
      </c>
      <c r="Q1121">
        <v>0.72884000000000004</v>
      </c>
      <c r="R1121" t="s">
        <v>1017</v>
      </c>
      <c r="S1121">
        <v>11.843850679999999</v>
      </c>
    </row>
    <row r="1122" spans="1:19" x14ac:dyDescent="0.25">
      <c r="A1122" t="s">
        <v>68</v>
      </c>
      <c r="B1122" t="s">
        <v>825</v>
      </c>
      <c r="C1122">
        <v>10</v>
      </c>
      <c r="D1122" t="s">
        <v>15</v>
      </c>
      <c r="E1122" t="s">
        <v>95</v>
      </c>
      <c r="F1122" t="s">
        <v>111</v>
      </c>
      <c r="G1122" t="s">
        <v>121</v>
      </c>
      <c r="H1122" t="s">
        <v>239</v>
      </c>
      <c r="J1122">
        <v>0</v>
      </c>
      <c r="K1122">
        <v>1</v>
      </c>
      <c r="L1122">
        <v>94.97142857</v>
      </c>
      <c r="M1122">
        <v>24.31591813</v>
      </c>
      <c r="N1122">
        <v>0.122951111</v>
      </c>
      <c r="O1122">
        <v>100.45454549999999</v>
      </c>
      <c r="P1122">
        <v>26.754810689999999</v>
      </c>
      <c r="Q1122">
        <v>0.75829999999999997</v>
      </c>
      <c r="R1122" t="s">
        <v>1017</v>
      </c>
      <c r="S1122">
        <v>2.4388925599999993</v>
      </c>
    </row>
    <row r="1123" spans="1:19" x14ac:dyDescent="0.25">
      <c r="A1123" t="s">
        <v>68</v>
      </c>
      <c r="B1123" t="s">
        <v>826</v>
      </c>
      <c r="C1123">
        <v>10</v>
      </c>
      <c r="D1123" t="s">
        <v>15</v>
      </c>
      <c r="E1123" t="s">
        <v>95</v>
      </c>
      <c r="F1123" t="s">
        <v>104</v>
      </c>
      <c r="G1123" t="s">
        <v>121</v>
      </c>
      <c r="H1123" t="s">
        <v>114</v>
      </c>
      <c r="I1123" t="s">
        <v>161</v>
      </c>
      <c r="J1123">
        <v>1</v>
      </c>
      <c r="K1123">
        <v>0</v>
      </c>
      <c r="L1123">
        <v>113.9375</v>
      </c>
      <c r="M1123">
        <v>33.375507550000002</v>
      </c>
      <c r="N1123">
        <v>2.4262999999999999</v>
      </c>
      <c r="O1123" t="s">
        <v>114</v>
      </c>
      <c r="P1123" t="s">
        <v>114</v>
      </c>
      <c r="Q1123" t="s">
        <v>114</v>
      </c>
      <c r="R1123" t="s">
        <v>1017</v>
      </c>
      <c r="S1123" t="s">
        <v>114</v>
      </c>
    </row>
    <row r="1124" spans="1:19" x14ac:dyDescent="0.25">
      <c r="A1124" t="s">
        <v>69</v>
      </c>
      <c r="B1124" t="s">
        <v>827</v>
      </c>
      <c r="C1124">
        <v>10</v>
      </c>
      <c r="D1124" t="s">
        <v>17</v>
      </c>
      <c r="E1124" t="s">
        <v>95</v>
      </c>
      <c r="F1124" t="s">
        <v>102</v>
      </c>
      <c r="G1124" t="s">
        <v>102</v>
      </c>
      <c r="H1124" t="s">
        <v>102</v>
      </c>
      <c r="J1124">
        <v>0</v>
      </c>
      <c r="K1124">
        <v>1</v>
      </c>
      <c r="L1124">
        <v>84.740740740000007</v>
      </c>
      <c r="M1124">
        <v>29.167014049999999</v>
      </c>
      <c r="N1124">
        <v>1.1169849999999999</v>
      </c>
      <c r="O1124">
        <v>84.740740740000007</v>
      </c>
      <c r="P1124">
        <v>29.167014049999999</v>
      </c>
      <c r="Q1124">
        <v>1.1169849999999999</v>
      </c>
      <c r="R1124" t="s">
        <v>1017</v>
      </c>
      <c r="S1124">
        <v>0</v>
      </c>
    </row>
    <row r="1125" spans="1:19" x14ac:dyDescent="0.25">
      <c r="A1125" t="s">
        <v>69</v>
      </c>
      <c r="B1125" t="s">
        <v>827</v>
      </c>
      <c r="C1125">
        <v>10</v>
      </c>
      <c r="D1125" t="s">
        <v>17</v>
      </c>
      <c r="E1125" t="s">
        <v>95</v>
      </c>
      <c r="F1125" t="s">
        <v>102</v>
      </c>
      <c r="G1125" t="s">
        <v>102</v>
      </c>
      <c r="H1125" t="s">
        <v>235</v>
      </c>
      <c r="J1125">
        <v>0</v>
      </c>
      <c r="K1125">
        <v>2</v>
      </c>
      <c r="L1125">
        <v>84.740740740000007</v>
      </c>
      <c r="M1125">
        <v>29.167014049999999</v>
      </c>
      <c r="N1125">
        <v>1.1169849999999999</v>
      </c>
      <c r="O1125">
        <v>132.27272730000001</v>
      </c>
      <c r="P1125">
        <v>20.180448590000001</v>
      </c>
      <c r="Q1125">
        <v>3.7813451999999997E-2</v>
      </c>
      <c r="R1125" t="s">
        <v>1017</v>
      </c>
      <c r="S1125">
        <v>8.9865654599999978</v>
      </c>
    </row>
    <row r="1126" spans="1:19" x14ac:dyDescent="0.25">
      <c r="A1126" t="s">
        <v>69</v>
      </c>
      <c r="B1126" t="s">
        <v>828</v>
      </c>
      <c r="C1126">
        <v>10</v>
      </c>
      <c r="D1126" t="s">
        <v>17</v>
      </c>
      <c r="E1126" t="s">
        <v>95</v>
      </c>
      <c r="F1126" t="s">
        <v>113</v>
      </c>
      <c r="G1126" t="s">
        <v>113</v>
      </c>
      <c r="H1126" t="s">
        <v>113</v>
      </c>
      <c r="J1126">
        <v>0</v>
      </c>
      <c r="K1126">
        <v>1</v>
      </c>
      <c r="L1126">
        <v>83.757575759999995</v>
      </c>
      <c r="M1126">
        <v>22.60997987</v>
      </c>
      <c r="N1126">
        <v>0.72884000000000004</v>
      </c>
      <c r="O1126">
        <v>83.757575759999995</v>
      </c>
      <c r="P1126">
        <v>22.60997987</v>
      </c>
      <c r="Q1126">
        <v>0.72884000000000004</v>
      </c>
      <c r="R1126" t="s">
        <v>1017</v>
      </c>
      <c r="S1126">
        <v>0</v>
      </c>
    </row>
    <row r="1127" spans="1:19" x14ac:dyDescent="0.25">
      <c r="A1127" t="s">
        <v>69</v>
      </c>
      <c r="B1127" t="s">
        <v>828</v>
      </c>
      <c r="C1127">
        <v>10</v>
      </c>
      <c r="D1127" t="s">
        <v>17</v>
      </c>
      <c r="E1127" t="s">
        <v>95</v>
      </c>
      <c r="F1127" t="s">
        <v>113</v>
      </c>
      <c r="G1127" t="s">
        <v>113</v>
      </c>
      <c r="H1127" t="s">
        <v>235</v>
      </c>
      <c r="J1127">
        <v>0</v>
      </c>
      <c r="K1127">
        <v>2</v>
      </c>
      <c r="L1127">
        <v>83.757575759999995</v>
      </c>
      <c r="M1127">
        <v>22.60997987</v>
      </c>
      <c r="N1127">
        <v>0.72884000000000004</v>
      </c>
      <c r="O1127">
        <v>132.27272730000001</v>
      </c>
      <c r="P1127">
        <v>20.180448590000001</v>
      </c>
      <c r="Q1127">
        <v>3.7813451999999997E-2</v>
      </c>
      <c r="R1127" t="s">
        <v>1017</v>
      </c>
      <c r="S1127">
        <v>2.4295312799999991</v>
      </c>
    </row>
    <row r="1128" spans="1:19" x14ac:dyDescent="0.25">
      <c r="A1128" t="s">
        <v>69</v>
      </c>
      <c r="B1128" t="s">
        <v>829</v>
      </c>
      <c r="C1128">
        <v>10</v>
      </c>
      <c r="D1128" t="s">
        <v>17</v>
      </c>
      <c r="E1128" t="s">
        <v>95</v>
      </c>
      <c r="F1128" t="s">
        <v>103</v>
      </c>
      <c r="G1128" t="s">
        <v>103</v>
      </c>
      <c r="H1128" t="s">
        <v>103</v>
      </c>
      <c r="J1128">
        <v>0</v>
      </c>
      <c r="K1128">
        <v>1</v>
      </c>
      <c r="L1128">
        <v>98.291666669999998</v>
      </c>
      <c r="M1128">
        <v>30.315130790000001</v>
      </c>
      <c r="N1128">
        <v>5.0803484000000003E-2</v>
      </c>
      <c r="O1128">
        <v>98.291666669999998</v>
      </c>
      <c r="P1128">
        <v>30.315130790000001</v>
      </c>
      <c r="Q1128">
        <v>5.0803484000000003E-2</v>
      </c>
      <c r="R1128" t="s">
        <v>1017</v>
      </c>
      <c r="S1128">
        <v>0</v>
      </c>
    </row>
    <row r="1129" spans="1:19" x14ac:dyDescent="0.25">
      <c r="A1129" t="s">
        <v>69</v>
      </c>
      <c r="B1129" t="s">
        <v>829</v>
      </c>
      <c r="C1129">
        <v>10</v>
      </c>
      <c r="D1129" t="s">
        <v>17</v>
      </c>
      <c r="E1129" t="s">
        <v>95</v>
      </c>
      <c r="F1129" t="s">
        <v>103</v>
      </c>
      <c r="G1129" t="s">
        <v>103</v>
      </c>
      <c r="H1129" t="s">
        <v>241</v>
      </c>
      <c r="J1129">
        <v>0</v>
      </c>
      <c r="K1129">
        <v>1</v>
      </c>
      <c r="L1129">
        <v>98.291666669999998</v>
      </c>
      <c r="M1129">
        <v>30.315130790000001</v>
      </c>
      <c r="N1129">
        <v>5.0803484000000003E-2</v>
      </c>
      <c r="O1129">
        <v>114</v>
      </c>
      <c r="P1129">
        <v>30.43077242</v>
      </c>
      <c r="Q1129">
        <v>0.53383111100000002</v>
      </c>
      <c r="R1129" t="s">
        <v>1017</v>
      </c>
      <c r="S1129">
        <v>0.11564162999999894</v>
      </c>
    </row>
    <row r="1130" spans="1:19" x14ac:dyDescent="0.25">
      <c r="A1130" t="s">
        <v>69</v>
      </c>
      <c r="B1130" t="s">
        <v>829</v>
      </c>
      <c r="C1130">
        <v>10</v>
      </c>
      <c r="D1130" t="s">
        <v>17</v>
      </c>
      <c r="E1130" t="s">
        <v>95</v>
      </c>
      <c r="F1130" t="s">
        <v>103</v>
      </c>
      <c r="G1130" t="s">
        <v>103</v>
      </c>
      <c r="H1130" t="s">
        <v>235</v>
      </c>
      <c r="J1130">
        <v>0</v>
      </c>
      <c r="K1130">
        <v>1</v>
      </c>
      <c r="L1130">
        <v>98.291666669999998</v>
      </c>
      <c r="M1130">
        <v>30.315130790000001</v>
      </c>
      <c r="N1130">
        <v>5.0803484000000003E-2</v>
      </c>
      <c r="O1130">
        <v>132.27272730000001</v>
      </c>
      <c r="P1130">
        <v>20.180448590000001</v>
      </c>
      <c r="Q1130">
        <v>3.7813451999999997E-2</v>
      </c>
      <c r="R1130" t="s">
        <v>1017</v>
      </c>
      <c r="S1130">
        <v>10.1346822</v>
      </c>
    </row>
    <row r="1131" spans="1:19" x14ac:dyDescent="0.25">
      <c r="A1131" t="s">
        <v>69</v>
      </c>
      <c r="B1131" t="s">
        <v>830</v>
      </c>
      <c r="C1131">
        <v>10</v>
      </c>
      <c r="D1131" t="s">
        <v>17</v>
      </c>
      <c r="E1131" t="s">
        <v>95</v>
      </c>
      <c r="F1131" t="s">
        <v>111</v>
      </c>
      <c r="G1131" t="s">
        <v>121</v>
      </c>
      <c r="H1131" t="s">
        <v>235</v>
      </c>
      <c r="J1131">
        <v>0</v>
      </c>
      <c r="K1131">
        <v>3</v>
      </c>
      <c r="L1131">
        <v>94.97142857</v>
      </c>
      <c r="M1131">
        <v>24.31591813</v>
      </c>
      <c r="N1131">
        <v>0.122951111</v>
      </c>
      <c r="O1131">
        <v>132.27272730000001</v>
      </c>
      <c r="P1131">
        <v>20.180448590000001</v>
      </c>
      <c r="Q1131">
        <v>3.7813451999999997E-2</v>
      </c>
      <c r="R1131" t="s">
        <v>1017</v>
      </c>
      <c r="S1131">
        <v>4.135469539999999</v>
      </c>
    </row>
    <row r="1132" spans="1:19" x14ac:dyDescent="0.25">
      <c r="A1132" t="s">
        <v>69</v>
      </c>
      <c r="B1132" t="s">
        <v>831</v>
      </c>
      <c r="C1132">
        <v>10</v>
      </c>
      <c r="D1132" t="s">
        <v>17</v>
      </c>
      <c r="E1132" t="s">
        <v>95</v>
      </c>
      <c r="F1132" t="s">
        <v>112</v>
      </c>
      <c r="G1132" t="s">
        <v>121</v>
      </c>
      <c r="H1132" t="s">
        <v>235</v>
      </c>
      <c r="I1132" t="s">
        <v>252</v>
      </c>
      <c r="J1132">
        <v>1</v>
      </c>
      <c r="K1132">
        <v>2</v>
      </c>
      <c r="L1132">
        <v>65.09375</v>
      </c>
      <c r="M1132">
        <v>37.895352600000002</v>
      </c>
      <c r="N1132">
        <v>2.2882677779999998</v>
      </c>
      <c r="O1132">
        <v>132.27272730000001</v>
      </c>
      <c r="P1132">
        <v>20.180448590000001</v>
      </c>
      <c r="Q1132">
        <v>3.7813451999999997E-2</v>
      </c>
      <c r="R1132" t="s">
        <v>1017</v>
      </c>
      <c r="S1132">
        <v>17.714904010000001</v>
      </c>
    </row>
    <row r="1133" spans="1:19" x14ac:dyDescent="0.25">
      <c r="A1133" t="s">
        <v>70</v>
      </c>
      <c r="B1133" t="s">
        <v>832</v>
      </c>
      <c r="C1133">
        <v>10</v>
      </c>
      <c r="D1133" t="s">
        <v>19</v>
      </c>
      <c r="E1133" t="s">
        <v>95</v>
      </c>
      <c r="F1133" t="s">
        <v>102</v>
      </c>
      <c r="G1133" t="s">
        <v>121</v>
      </c>
      <c r="H1133" t="s">
        <v>102</v>
      </c>
      <c r="J1133">
        <v>0</v>
      </c>
      <c r="K1133">
        <v>1</v>
      </c>
      <c r="L1133">
        <v>84.740740740000007</v>
      </c>
      <c r="M1133">
        <v>29.167014049999999</v>
      </c>
      <c r="N1133">
        <v>1.1169849999999999</v>
      </c>
      <c r="O1133">
        <v>84.740740740000007</v>
      </c>
      <c r="P1133">
        <v>29.167014049999999</v>
      </c>
      <c r="Q1133">
        <v>1.1169849999999999</v>
      </c>
      <c r="R1133" t="s">
        <v>1017</v>
      </c>
      <c r="S1133">
        <v>0</v>
      </c>
    </row>
    <row r="1134" spans="1:19" x14ac:dyDescent="0.25">
      <c r="A1134" t="s">
        <v>70</v>
      </c>
      <c r="B1134" t="s">
        <v>832</v>
      </c>
      <c r="C1134">
        <v>10</v>
      </c>
      <c r="D1134" t="s">
        <v>19</v>
      </c>
      <c r="E1134" t="s">
        <v>95</v>
      </c>
      <c r="F1134" t="s">
        <v>102</v>
      </c>
      <c r="G1134" t="s">
        <v>121</v>
      </c>
      <c r="H1134" t="s">
        <v>236</v>
      </c>
      <c r="J1134">
        <v>0</v>
      </c>
      <c r="K1134">
        <v>1</v>
      </c>
      <c r="L1134">
        <v>84.740740740000007</v>
      </c>
      <c r="M1134">
        <v>29.167014049999999</v>
      </c>
      <c r="N1134">
        <v>1.1169849999999999</v>
      </c>
      <c r="O1134">
        <v>113.33333330000001</v>
      </c>
      <c r="P1134">
        <v>26.41632581</v>
      </c>
      <c r="Q1134">
        <v>1.6844570160000001</v>
      </c>
      <c r="R1134" t="s">
        <v>1017</v>
      </c>
      <c r="S1134">
        <v>2.7506882399999988</v>
      </c>
    </row>
    <row r="1135" spans="1:19" x14ac:dyDescent="0.25">
      <c r="A1135" t="s">
        <v>70</v>
      </c>
      <c r="B1135" t="s">
        <v>833</v>
      </c>
      <c r="C1135">
        <v>10</v>
      </c>
      <c r="D1135" t="s">
        <v>19</v>
      </c>
      <c r="E1135" t="s">
        <v>95</v>
      </c>
      <c r="F1135" t="s">
        <v>105</v>
      </c>
      <c r="G1135" t="s">
        <v>121</v>
      </c>
      <c r="H1135" t="s">
        <v>235</v>
      </c>
      <c r="J1135">
        <v>0</v>
      </c>
      <c r="K1135">
        <v>1</v>
      </c>
      <c r="L1135">
        <v>67.5</v>
      </c>
      <c r="M1135">
        <v>47.937235809999997</v>
      </c>
      <c r="N1135">
        <v>0.41599678000000001</v>
      </c>
      <c r="O1135">
        <v>132.27272730000001</v>
      </c>
      <c r="P1135">
        <v>20.180448590000001</v>
      </c>
      <c r="Q1135">
        <v>3.7813451999999997E-2</v>
      </c>
      <c r="R1135" t="s">
        <v>1017</v>
      </c>
      <c r="S1135">
        <v>27.756787219999996</v>
      </c>
    </row>
    <row r="1136" spans="1:19" x14ac:dyDescent="0.25">
      <c r="A1136" t="s">
        <v>70</v>
      </c>
      <c r="B1136" t="s">
        <v>833</v>
      </c>
      <c r="C1136">
        <v>10</v>
      </c>
      <c r="D1136" t="s">
        <v>19</v>
      </c>
      <c r="E1136" t="s">
        <v>95</v>
      </c>
      <c r="F1136" t="s">
        <v>105</v>
      </c>
      <c r="G1136" t="s">
        <v>121</v>
      </c>
      <c r="H1136" t="s">
        <v>236</v>
      </c>
      <c r="J1136">
        <v>0</v>
      </c>
      <c r="K1136">
        <v>2</v>
      </c>
      <c r="L1136">
        <v>67.5</v>
      </c>
      <c r="M1136">
        <v>47.937235809999997</v>
      </c>
      <c r="N1136">
        <v>0.41599678000000001</v>
      </c>
      <c r="O1136">
        <v>113.33333330000001</v>
      </c>
      <c r="P1136">
        <v>26.41632581</v>
      </c>
      <c r="Q1136">
        <v>1.6844570160000001</v>
      </c>
      <c r="R1136" t="s">
        <v>1017</v>
      </c>
      <c r="S1136">
        <v>21.520909999999997</v>
      </c>
    </row>
    <row r="1137" spans="1:19" x14ac:dyDescent="0.25">
      <c r="A1137" t="s">
        <v>70</v>
      </c>
      <c r="B1137" t="s">
        <v>833</v>
      </c>
      <c r="C1137">
        <v>10</v>
      </c>
      <c r="D1137" t="s">
        <v>19</v>
      </c>
      <c r="E1137" t="s">
        <v>95</v>
      </c>
      <c r="F1137" t="s">
        <v>105</v>
      </c>
      <c r="G1137" t="s">
        <v>121</v>
      </c>
      <c r="H1137" t="s">
        <v>162</v>
      </c>
      <c r="J1137">
        <v>0</v>
      </c>
      <c r="K1137">
        <v>1</v>
      </c>
      <c r="L1137">
        <v>67.5</v>
      </c>
      <c r="M1137">
        <v>47.937235809999997</v>
      </c>
      <c r="N1137">
        <v>0.41599678000000001</v>
      </c>
      <c r="O1137">
        <v>82.53846154</v>
      </c>
      <c r="P1137">
        <v>35.660530039999998</v>
      </c>
      <c r="Q1137">
        <v>3.3754499999999998</v>
      </c>
      <c r="R1137" t="s">
        <v>1017</v>
      </c>
      <c r="S1137">
        <v>12.27670577</v>
      </c>
    </row>
    <row r="1138" spans="1:19" x14ac:dyDescent="0.25">
      <c r="A1138" t="s">
        <v>70</v>
      </c>
      <c r="B1138" t="s">
        <v>834</v>
      </c>
      <c r="C1138">
        <v>10</v>
      </c>
      <c r="D1138" t="s">
        <v>19</v>
      </c>
      <c r="E1138" t="s">
        <v>95</v>
      </c>
      <c r="F1138" t="s">
        <v>111</v>
      </c>
      <c r="G1138" t="s">
        <v>121</v>
      </c>
      <c r="H1138" t="s">
        <v>235</v>
      </c>
      <c r="J1138">
        <v>0</v>
      </c>
      <c r="K1138">
        <v>1</v>
      </c>
      <c r="L1138">
        <v>94.97142857</v>
      </c>
      <c r="M1138">
        <v>24.31591813</v>
      </c>
      <c r="N1138">
        <v>0.122951111</v>
      </c>
      <c r="O1138">
        <v>132.27272730000001</v>
      </c>
      <c r="P1138">
        <v>20.180448590000001</v>
      </c>
      <c r="Q1138">
        <v>3.7813451999999997E-2</v>
      </c>
      <c r="R1138" t="s">
        <v>1017</v>
      </c>
      <c r="S1138">
        <v>4.135469539999999</v>
      </c>
    </row>
    <row r="1139" spans="1:19" x14ac:dyDescent="0.25">
      <c r="A1139" t="s">
        <v>71</v>
      </c>
      <c r="B1139" t="s">
        <v>835</v>
      </c>
      <c r="C1139">
        <v>10</v>
      </c>
      <c r="D1139" t="s">
        <v>21</v>
      </c>
      <c r="E1139" t="s">
        <v>94</v>
      </c>
      <c r="F1139" t="s">
        <v>102</v>
      </c>
      <c r="G1139" t="s">
        <v>121</v>
      </c>
      <c r="H1139" t="s">
        <v>114</v>
      </c>
      <c r="J1139">
        <v>0</v>
      </c>
      <c r="K1139" t="s">
        <v>114</v>
      </c>
      <c r="L1139">
        <v>84.740740740000007</v>
      </c>
      <c r="M1139">
        <v>29.167014049999999</v>
      </c>
      <c r="N1139">
        <v>1.1169849999999999</v>
      </c>
      <c r="O1139" t="s">
        <v>114</v>
      </c>
      <c r="P1139" t="s">
        <v>114</v>
      </c>
      <c r="Q1139" t="s">
        <v>114</v>
      </c>
      <c r="R1139" t="s">
        <v>1017</v>
      </c>
      <c r="S1139" t="s">
        <v>114</v>
      </c>
    </row>
    <row r="1140" spans="1:19" x14ac:dyDescent="0.25">
      <c r="A1140" t="s">
        <v>71</v>
      </c>
      <c r="B1140" t="s">
        <v>836</v>
      </c>
      <c r="C1140">
        <v>10</v>
      </c>
      <c r="D1140" t="s">
        <v>21</v>
      </c>
      <c r="E1140" t="s">
        <v>94</v>
      </c>
      <c r="F1140" t="s">
        <v>111</v>
      </c>
      <c r="G1140" t="s">
        <v>111</v>
      </c>
      <c r="H1140" t="s">
        <v>111</v>
      </c>
      <c r="J1140">
        <v>0</v>
      </c>
      <c r="K1140">
        <v>1</v>
      </c>
      <c r="L1140">
        <v>94.97142857</v>
      </c>
      <c r="M1140">
        <v>24.31591813</v>
      </c>
      <c r="N1140">
        <v>0.122951111</v>
      </c>
      <c r="O1140">
        <v>94.97142857</v>
      </c>
      <c r="P1140">
        <v>24.31591813</v>
      </c>
      <c r="Q1140">
        <v>0.122951111</v>
      </c>
      <c r="R1140" t="s">
        <v>1017</v>
      </c>
      <c r="S1140">
        <v>0</v>
      </c>
    </row>
    <row r="1141" spans="1:19" x14ac:dyDescent="0.25">
      <c r="A1141" t="s">
        <v>71</v>
      </c>
      <c r="B1141" t="s">
        <v>836</v>
      </c>
      <c r="C1141">
        <v>10</v>
      </c>
      <c r="D1141" t="s">
        <v>21</v>
      </c>
      <c r="E1141" t="s">
        <v>94</v>
      </c>
      <c r="F1141" t="s">
        <v>111</v>
      </c>
      <c r="G1141" t="s">
        <v>111</v>
      </c>
      <c r="H1141" t="s">
        <v>250</v>
      </c>
      <c r="J1141">
        <v>0</v>
      </c>
      <c r="K1141">
        <v>1</v>
      </c>
      <c r="L1141">
        <v>94.97142857</v>
      </c>
      <c r="M1141">
        <v>24.31591813</v>
      </c>
      <c r="N1141">
        <v>0.122951111</v>
      </c>
      <c r="O1141">
        <v>157.14285709999999</v>
      </c>
      <c r="P1141">
        <v>28.969081320000001</v>
      </c>
      <c r="Q1141">
        <v>0.55164111100000002</v>
      </c>
      <c r="R1141" t="s">
        <v>1017</v>
      </c>
      <c r="S1141">
        <v>4.6531631900000008</v>
      </c>
    </row>
    <row r="1142" spans="1:19" x14ac:dyDescent="0.25">
      <c r="A1142" t="s">
        <v>71</v>
      </c>
      <c r="B1142" t="s">
        <v>837</v>
      </c>
      <c r="C1142">
        <v>10</v>
      </c>
      <c r="D1142" t="s">
        <v>21</v>
      </c>
      <c r="E1142" t="s">
        <v>94</v>
      </c>
      <c r="F1142" t="s">
        <v>104</v>
      </c>
      <c r="G1142" t="s">
        <v>104</v>
      </c>
      <c r="H1142" t="s">
        <v>104</v>
      </c>
      <c r="J1142">
        <v>0</v>
      </c>
      <c r="K1142">
        <v>1</v>
      </c>
      <c r="L1142">
        <v>113.9375</v>
      </c>
      <c r="M1142">
        <v>33.375507550000002</v>
      </c>
      <c r="N1142">
        <v>2.4262999999999999</v>
      </c>
      <c r="O1142">
        <v>113.9375</v>
      </c>
      <c r="P1142">
        <v>33.375507550000002</v>
      </c>
      <c r="Q1142">
        <v>2.4262999999999999</v>
      </c>
      <c r="R1142" t="s">
        <v>1017</v>
      </c>
      <c r="S1142">
        <v>0</v>
      </c>
    </row>
    <row r="1143" spans="1:19" x14ac:dyDescent="0.25">
      <c r="A1143" t="s">
        <v>72</v>
      </c>
      <c r="B1143" t="s">
        <v>838</v>
      </c>
      <c r="C1143">
        <v>10</v>
      </c>
      <c r="D1143" t="s">
        <v>23</v>
      </c>
      <c r="E1143" t="s">
        <v>95</v>
      </c>
      <c r="F1143" t="s">
        <v>105</v>
      </c>
      <c r="G1143" t="s">
        <v>121</v>
      </c>
      <c r="H1143" t="s">
        <v>238</v>
      </c>
      <c r="J1143">
        <v>0</v>
      </c>
      <c r="K1143">
        <v>1</v>
      </c>
      <c r="L1143">
        <v>67.5</v>
      </c>
      <c r="M1143">
        <v>47.937235809999997</v>
      </c>
      <c r="N1143">
        <v>0.41599678000000001</v>
      </c>
      <c r="O1143">
        <v>87.5</v>
      </c>
      <c r="P1143">
        <v>29.478311600000001</v>
      </c>
      <c r="Q1143">
        <v>3.0797751000000002E-2</v>
      </c>
      <c r="R1143" t="s">
        <v>1017</v>
      </c>
      <c r="S1143">
        <v>18.458924209999996</v>
      </c>
    </row>
    <row r="1144" spans="1:19" x14ac:dyDescent="0.25">
      <c r="A1144" t="s">
        <v>72</v>
      </c>
      <c r="B1144" t="s">
        <v>839</v>
      </c>
      <c r="C1144">
        <v>10</v>
      </c>
      <c r="D1144" t="s">
        <v>23</v>
      </c>
      <c r="E1144" t="s">
        <v>95</v>
      </c>
      <c r="F1144" t="s">
        <v>111</v>
      </c>
      <c r="G1144" t="s">
        <v>121</v>
      </c>
      <c r="H1144" t="s">
        <v>114</v>
      </c>
      <c r="J1144">
        <v>0</v>
      </c>
      <c r="K1144">
        <v>0</v>
      </c>
      <c r="L1144">
        <v>94.97142857</v>
      </c>
      <c r="M1144">
        <v>24.31591813</v>
      </c>
      <c r="N1144">
        <v>0.122951111</v>
      </c>
      <c r="O1144" t="s">
        <v>114</v>
      </c>
      <c r="P1144" t="s">
        <v>114</v>
      </c>
      <c r="Q1144" t="s">
        <v>114</v>
      </c>
      <c r="R1144" t="s">
        <v>1017</v>
      </c>
      <c r="S1144" t="s">
        <v>114</v>
      </c>
    </row>
    <row r="1145" spans="1:19" x14ac:dyDescent="0.25">
      <c r="A1145" t="s">
        <v>72</v>
      </c>
      <c r="B1145" t="s">
        <v>840</v>
      </c>
      <c r="C1145">
        <v>10</v>
      </c>
      <c r="D1145" t="s">
        <v>23</v>
      </c>
      <c r="E1145" t="s">
        <v>95</v>
      </c>
      <c r="F1145" t="s">
        <v>104</v>
      </c>
      <c r="G1145" t="s">
        <v>104</v>
      </c>
      <c r="H1145" t="s">
        <v>104</v>
      </c>
      <c r="J1145">
        <v>0</v>
      </c>
      <c r="K1145">
        <v>1</v>
      </c>
      <c r="L1145">
        <v>113.9375</v>
      </c>
      <c r="M1145">
        <v>33.375507550000002</v>
      </c>
      <c r="N1145">
        <v>2.4262999999999999</v>
      </c>
      <c r="O1145">
        <v>113.9375</v>
      </c>
      <c r="P1145">
        <v>33.375507550000002</v>
      </c>
      <c r="Q1145">
        <v>2.4262999999999999</v>
      </c>
      <c r="R1145" t="s">
        <v>1017</v>
      </c>
      <c r="S1145">
        <v>0</v>
      </c>
    </row>
    <row r="1146" spans="1:19" x14ac:dyDescent="0.25">
      <c r="A1146" t="s">
        <v>72</v>
      </c>
      <c r="B1146" t="s">
        <v>840</v>
      </c>
      <c r="C1146">
        <v>10</v>
      </c>
      <c r="D1146" t="s">
        <v>23</v>
      </c>
      <c r="E1146" t="s">
        <v>95</v>
      </c>
      <c r="F1146" t="s">
        <v>104</v>
      </c>
      <c r="G1146" t="s">
        <v>104</v>
      </c>
      <c r="H1146" t="s">
        <v>244</v>
      </c>
      <c r="J1146">
        <v>0</v>
      </c>
      <c r="K1146">
        <v>1</v>
      </c>
      <c r="L1146">
        <v>113.9375</v>
      </c>
      <c r="M1146">
        <v>33.375507550000002</v>
      </c>
      <c r="N1146">
        <v>2.4262999999999999</v>
      </c>
      <c r="O1146">
        <v>75</v>
      </c>
      <c r="P1146">
        <v>28.80614499</v>
      </c>
      <c r="Q1146">
        <v>2.3860428570000001</v>
      </c>
      <c r="R1146" t="s">
        <v>1017</v>
      </c>
      <c r="S1146">
        <v>4.5693625600000018</v>
      </c>
    </row>
    <row r="1147" spans="1:19" x14ac:dyDescent="0.25">
      <c r="A1147" t="s">
        <v>72</v>
      </c>
      <c r="B1147" t="s">
        <v>841</v>
      </c>
      <c r="C1147">
        <v>10</v>
      </c>
      <c r="D1147" t="s">
        <v>23</v>
      </c>
      <c r="E1147" t="s">
        <v>95</v>
      </c>
      <c r="F1147" t="s">
        <v>112</v>
      </c>
      <c r="G1147" t="s">
        <v>121</v>
      </c>
      <c r="H1147" t="s">
        <v>238</v>
      </c>
      <c r="J1147">
        <v>0</v>
      </c>
      <c r="K1147">
        <v>1</v>
      </c>
      <c r="L1147">
        <v>65.09375</v>
      </c>
      <c r="M1147">
        <v>37.895352600000002</v>
      </c>
      <c r="N1147">
        <v>2.2882677779999998</v>
      </c>
      <c r="O1147">
        <v>87.5</v>
      </c>
      <c r="P1147">
        <v>29.478311600000001</v>
      </c>
      <c r="Q1147">
        <v>3.0797751000000002E-2</v>
      </c>
      <c r="R1147" t="s">
        <v>1017</v>
      </c>
      <c r="S1147">
        <v>8.4170410000000011</v>
      </c>
    </row>
    <row r="1148" spans="1:19" x14ac:dyDescent="0.25">
      <c r="A1148" t="s">
        <v>73</v>
      </c>
      <c r="B1148" t="s">
        <v>842</v>
      </c>
      <c r="C1148">
        <v>10</v>
      </c>
      <c r="D1148" t="s">
        <v>25</v>
      </c>
      <c r="E1148" t="s">
        <v>94</v>
      </c>
      <c r="F1148" t="s">
        <v>105</v>
      </c>
      <c r="G1148" t="s">
        <v>112</v>
      </c>
      <c r="H1148" t="s">
        <v>112</v>
      </c>
      <c r="J1148">
        <v>0</v>
      </c>
      <c r="K1148">
        <v>1</v>
      </c>
      <c r="L1148">
        <v>67.5</v>
      </c>
      <c r="M1148">
        <v>47.937235809999997</v>
      </c>
      <c r="N1148">
        <v>0.41599678000000001</v>
      </c>
      <c r="O1148">
        <v>65.09375</v>
      </c>
      <c r="P1148">
        <v>37.895352600000002</v>
      </c>
      <c r="Q1148">
        <v>2.2882677779999998</v>
      </c>
      <c r="R1148" t="s">
        <v>1017</v>
      </c>
      <c r="S1148">
        <v>10.041883209999995</v>
      </c>
    </row>
    <row r="1149" spans="1:19" x14ac:dyDescent="0.25">
      <c r="A1149" t="s">
        <v>73</v>
      </c>
      <c r="B1149" t="s">
        <v>843</v>
      </c>
      <c r="C1149">
        <v>10</v>
      </c>
      <c r="D1149" t="s">
        <v>25</v>
      </c>
      <c r="E1149" t="s">
        <v>94</v>
      </c>
      <c r="F1149" t="s">
        <v>110</v>
      </c>
      <c r="G1149" t="s">
        <v>110</v>
      </c>
      <c r="H1149" t="s">
        <v>110</v>
      </c>
      <c r="J1149">
        <v>0</v>
      </c>
      <c r="K1149">
        <v>3</v>
      </c>
      <c r="L1149">
        <v>73.260869569999997</v>
      </c>
      <c r="M1149">
        <v>34.453830549999999</v>
      </c>
      <c r="N1149">
        <v>1.058333333</v>
      </c>
      <c r="O1149">
        <v>73.260869569999997</v>
      </c>
      <c r="P1149">
        <v>34.453830549999999</v>
      </c>
      <c r="Q1149">
        <v>1.058333333</v>
      </c>
      <c r="R1149" t="s">
        <v>1017</v>
      </c>
      <c r="S1149">
        <v>0</v>
      </c>
    </row>
    <row r="1150" spans="1:19" x14ac:dyDescent="0.25">
      <c r="A1150" t="s">
        <v>73</v>
      </c>
      <c r="B1150" t="s">
        <v>843</v>
      </c>
      <c r="C1150">
        <v>10</v>
      </c>
      <c r="D1150" t="s">
        <v>25</v>
      </c>
      <c r="E1150" t="s">
        <v>94</v>
      </c>
      <c r="F1150" t="s">
        <v>110</v>
      </c>
      <c r="G1150" t="s">
        <v>110</v>
      </c>
      <c r="H1150" t="s">
        <v>251</v>
      </c>
      <c r="J1150">
        <v>0</v>
      </c>
      <c r="K1150">
        <v>1</v>
      </c>
      <c r="L1150">
        <v>73.260869569999997</v>
      </c>
      <c r="M1150">
        <v>34.453830549999999</v>
      </c>
      <c r="N1150">
        <v>1.058333333</v>
      </c>
      <c r="O1150">
        <v>85</v>
      </c>
      <c r="P1150">
        <v>37.099157669999997</v>
      </c>
      <c r="Q1150">
        <v>0.65291888899999995</v>
      </c>
      <c r="R1150" t="s">
        <v>1017</v>
      </c>
      <c r="S1150">
        <v>2.6453271199999975</v>
      </c>
    </row>
    <row r="1151" spans="1:19" x14ac:dyDescent="0.25">
      <c r="A1151" t="s">
        <v>73</v>
      </c>
      <c r="B1151" t="s">
        <v>843</v>
      </c>
      <c r="C1151">
        <v>10</v>
      </c>
      <c r="D1151" t="s">
        <v>25</v>
      </c>
      <c r="E1151" t="s">
        <v>94</v>
      </c>
      <c r="F1151" t="s">
        <v>110</v>
      </c>
      <c r="G1151" t="s">
        <v>110</v>
      </c>
      <c r="H1151" t="s">
        <v>246</v>
      </c>
      <c r="J1151">
        <v>0</v>
      </c>
      <c r="K1151">
        <v>1</v>
      </c>
      <c r="L1151">
        <v>73.260869569999997</v>
      </c>
      <c r="M1151">
        <v>34.453830549999999</v>
      </c>
      <c r="N1151">
        <v>1.058333333</v>
      </c>
      <c r="O1151">
        <v>120.25</v>
      </c>
      <c r="P1151">
        <v>30.670450110000001</v>
      </c>
      <c r="Q1151">
        <v>0.91037498500000003</v>
      </c>
      <c r="R1151" t="s">
        <v>1017</v>
      </c>
      <c r="S1151">
        <v>3.7833804399999984</v>
      </c>
    </row>
    <row r="1152" spans="1:19" x14ac:dyDescent="0.25">
      <c r="A1152" t="s">
        <v>73</v>
      </c>
      <c r="B1152" t="s">
        <v>844</v>
      </c>
      <c r="C1152">
        <v>10</v>
      </c>
      <c r="D1152" t="s">
        <v>25</v>
      </c>
      <c r="E1152" t="s">
        <v>94</v>
      </c>
      <c r="F1152" t="s">
        <v>104</v>
      </c>
      <c r="G1152" t="s">
        <v>104</v>
      </c>
      <c r="H1152" t="s">
        <v>104</v>
      </c>
      <c r="J1152">
        <v>0</v>
      </c>
      <c r="K1152">
        <v>1</v>
      </c>
      <c r="L1152">
        <v>113.9375</v>
      </c>
      <c r="M1152">
        <v>33.375507550000002</v>
      </c>
      <c r="N1152">
        <v>2.4262999999999999</v>
      </c>
      <c r="O1152">
        <v>113.9375</v>
      </c>
      <c r="P1152">
        <v>33.375507550000002</v>
      </c>
      <c r="Q1152">
        <v>2.4262999999999999</v>
      </c>
      <c r="R1152" t="s">
        <v>1017</v>
      </c>
      <c r="S1152">
        <v>0</v>
      </c>
    </row>
    <row r="1153" spans="1:19" x14ac:dyDescent="0.25">
      <c r="A1153" t="s">
        <v>73</v>
      </c>
      <c r="B1153" t="s">
        <v>845</v>
      </c>
      <c r="C1153">
        <v>10</v>
      </c>
      <c r="D1153" t="s">
        <v>25</v>
      </c>
      <c r="E1153" t="s">
        <v>94</v>
      </c>
      <c r="F1153" t="s">
        <v>112</v>
      </c>
      <c r="G1153" t="s">
        <v>121</v>
      </c>
      <c r="H1153" t="s">
        <v>114</v>
      </c>
      <c r="J1153">
        <v>0</v>
      </c>
      <c r="K1153" t="s">
        <v>114</v>
      </c>
      <c r="L1153">
        <v>65.09375</v>
      </c>
      <c r="M1153">
        <v>37.895352600000002</v>
      </c>
      <c r="N1153">
        <v>2.2882677779999998</v>
      </c>
      <c r="O1153" t="s">
        <v>114</v>
      </c>
      <c r="P1153" t="s">
        <v>114</v>
      </c>
      <c r="Q1153" t="s">
        <v>114</v>
      </c>
      <c r="R1153" t="s">
        <v>1017</v>
      </c>
      <c r="S1153" t="s">
        <v>114</v>
      </c>
    </row>
    <row r="1154" spans="1:19" x14ac:dyDescent="0.25">
      <c r="A1154" t="s">
        <v>74</v>
      </c>
      <c r="B1154" t="s">
        <v>846</v>
      </c>
      <c r="C1154">
        <v>10</v>
      </c>
      <c r="D1154" t="s">
        <v>27</v>
      </c>
      <c r="E1154" t="s">
        <v>95</v>
      </c>
      <c r="F1154" t="s">
        <v>102</v>
      </c>
      <c r="G1154" t="s">
        <v>113</v>
      </c>
      <c r="H1154" t="s">
        <v>113</v>
      </c>
      <c r="J1154">
        <v>0</v>
      </c>
      <c r="K1154">
        <v>3</v>
      </c>
      <c r="L1154">
        <v>84.740740740000007</v>
      </c>
      <c r="M1154">
        <v>29.167014049999999</v>
      </c>
      <c r="N1154">
        <v>1.1169849999999999</v>
      </c>
      <c r="O1154">
        <v>83.757575759999995</v>
      </c>
      <c r="P1154">
        <v>22.60997987</v>
      </c>
      <c r="Q1154">
        <v>0.72884000000000004</v>
      </c>
      <c r="R1154" t="s">
        <v>1017</v>
      </c>
      <c r="S1154">
        <v>6.5570341799999987</v>
      </c>
    </row>
    <row r="1155" spans="1:19" x14ac:dyDescent="0.25">
      <c r="A1155" t="s">
        <v>74</v>
      </c>
      <c r="B1155" t="s">
        <v>846</v>
      </c>
      <c r="C1155">
        <v>10</v>
      </c>
      <c r="D1155" t="s">
        <v>27</v>
      </c>
      <c r="E1155" t="s">
        <v>95</v>
      </c>
      <c r="F1155" t="s">
        <v>102</v>
      </c>
      <c r="G1155" t="s">
        <v>113</v>
      </c>
      <c r="H1155" t="s">
        <v>103</v>
      </c>
      <c r="J1155">
        <v>0</v>
      </c>
      <c r="K1155">
        <v>1</v>
      </c>
      <c r="L1155">
        <v>84.740740740000007</v>
      </c>
      <c r="M1155">
        <v>29.167014049999999</v>
      </c>
      <c r="N1155">
        <v>1.1169849999999999</v>
      </c>
      <c r="O1155">
        <v>98.291666669999998</v>
      </c>
      <c r="P1155">
        <v>30.315130790000001</v>
      </c>
      <c r="Q1155">
        <v>5.0803484000000003E-2</v>
      </c>
      <c r="R1155" t="s">
        <v>1017</v>
      </c>
      <c r="S1155">
        <v>1.1481167400000025</v>
      </c>
    </row>
    <row r="1156" spans="1:19" x14ac:dyDescent="0.25">
      <c r="A1156" t="s">
        <v>74</v>
      </c>
      <c r="B1156" t="s">
        <v>847</v>
      </c>
      <c r="C1156">
        <v>10</v>
      </c>
      <c r="D1156" t="s">
        <v>27</v>
      </c>
      <c r="E1156" t="s">
        <v>95</v>
      </c>
      <c r="F1156" t="s">
        <v>113</v>
      </c>
      <c r="G1156" t="s">
        <v>113</v>
      </c>
      <c r="H1156" t="s">
        <v>113</v>
      </c>
      <c r="J1156">
        <v>0</v>
      </c>
      <c r="K1156">
        <v>1</v>
      </c>
      <c r="L1156">
        <v>83.757575759999995</v>
      </c>
      <c r="M1156">
        <v>22.60997987</v>
      </c>
      <c r="N1156">
        <v>0.72884000000000004</v>
      </c>
      <c r="O1156">
        <v>83.757575759999995</v>
      </c>
      <c r="P1156">
        <v>22.60997987</v>
      </c>
      <c r="Q1156">
        <v>0.72884000000000004</v>
      </c>
      <c r="R1156" t="s">
        <v>1017</v>
      </c>
      <c r="S1156">
        <v>0</v>
      </c>
    </row>
    <row r="1157" spans="1:19" x14ac:dyDescent="0.25">
      <c r="A1157" t="s">
        <v>74</v>
      </c>
      <c r="B1157" t="s">
        <v>847</v>
      </c>
      <c r="C1157">
        <v>10</v>
      </c>
      <c r="D1157" t="s">
        <v>27</v>
      </c>
      <c r="E1157" t="s">
        <v>95</v>
      </c>
      <c r="F1157" t="s">
        <v>113</v>
      </c>
      <c r="G1157" t="s">
        <v>113</v>
      </c>
      <c r="H1157" t="s">
        <v>248</v>
      </c>
      <c r="J1157">
        <v>0</v>
      </c>
      <c r="K1157">
        <v>2</v>
      </c>
      <c r="L1157">
        <v>83.757575759999995</v>
      </c>
      <c r="M1157">
        <v>22.60997987</v>
      </c>
      <c r="N1157">
        <v>0.72884000000000004</v>
      </c>
      <c r="O1157">
        <v>83.92307692</v>
      </c>
      <c r="P1157">
        <v>44.319135699999997</v>
      </c>
      <c r="Q1157">
        <v>5.9548609999999997E-3</v>
      </c>
      <c r="R1157" t="s">
        <v>1017</v>
      </c>
      <c r="S1157">
        <v>21.709155829999997</v>
      </c>
    </row>
    <row r="1158" spans="1:19" x14ac:dyDescent="0.25">
      <c r="A1158" t="s">
        <v>74</v>
      </c>
      <c r="B1158" t="s">
        <v>848</v>
      </c>
      <c r="C1158">
        <v>10</v>
      </c>
      <c r="D1158" t="s">
        <v>27</v>
      </c>
      <c r="E1158" t="s">
        <v>95</v>
      </c>
      <c r="F1158" t="s">
        <v>103</v>
      </c>
      <c r="G1158" t="s">
        <v>113</v>
      </c>
      <c r="H1158" t="s">
        <v>113</v>
      </c>
      <c r="J1158">
        <v>0</v>
      </c>
      <c r="K1158">
        <v>1</v>
      </c>
      <c r="L1158">
        <v>98.291666669999998</v>
      </c>
      <c r="M1158">
        <v>30.315130790000001</v>
      </c>
      <c r="N1158">
        <v>5.0803484000000003E-2</v>
      </c>
      <c r="O1158">
        <v>83.757575759999995</v>
      </c>
      <c r="P1158">
        <v>22.60997987</v>
      </c>
      <c r="Q1158">
        <v>0.72884000000000004</v>
      </c>
      <c r="R1158" t="s">
        <v>1017</v>
      </c>
      <c r="S1158">
        <v>7.7051509200000012</v>
      </c>
    </row>
    <row r="1159" spans="1:19" x14ac:dyDescent="0.25">
      <c r="A1159" t="s">
        <v>75</v>
      </c>
      <c r="B1159" t="s">
        <v>849</v>
      </c>
      <c r="C1159">
        <v>10</v>
      </c>
      <c r="D1159" t="s">
        <v>29</v>
      </c>
      <c r="E1159" t="s">
        <v>94</v>
      </c>
      <c r="F1159" t="s">
        <v>105</v>
      </c>
      <c r="G1159" t="s">
        <v>121</v>
      </c>
      <c r="H1159" t="s">
        <v>251</v>
      </c>
      <c r="J1159">
        <v>0</v>
      </c>
      <c r="K1159">
        <v>1</v>
      </c>
      <c r="L1159">
        <v>67.5</v>
      </c>
      <c r="M1159">
        <v>47.937235809999997</v>
      </c>
      <c r="N1159">
        <v>0.41599678000000001</v>
      </c>
      <c r="O1159">
        <v>85</v>
      </c>
      <c r="P1159">
        <v>37.099157669999997</v>
      </c>
      <c r="Q1159">
        <v>0.65291888899999995</v>
      </c>
      <c r="R1159" t="s">
        <v>1017</v>
      </c>
      <c r="S1159">
        <v>10.83807814</v>
      </c>
    </row>
    <row r="1160" spans="1:19" x14ac:dyDescent="0.25">
      <c r="A1160" t="s">
        <v>75</v>
      </c>
      <c r="B1160" t="s">
        <v>849</v>
      </c>
      <c r="C1160">
        <v>10</v>
      </c>
      <c r="D1160" t="s">
        <v>29</v>
      </c>
      <c r="E1160" t="s">
        <v>94</v>
      </c>
      <c r="F1160" t="s">
        <v>105</v>
      </c>
      <c r="G1160" t="s">
        <v>121</v>
      </c>
      <c r="H1160" t="s">
        <v>244</v>
      </c>
      <c r="J1160">
        <v>0</v>
      </c>
      <c r="K1160">
        <v>1</v>
      </c>
      <c r="L1160">
        <v>67.5</v>
      </c>
      <c r="M1160">
        <v>47.937235809999997</v>
      </c>
      <c r="N1160">
        <v>0.41599678000000001</v>
      </c>
      <c r="O1160">
        <v>75</v>
      </c>
      <c r="P1160">
        <v>28.80614499</v>
      </c>
      <c r="Q1160">
        <v>2.3860428570000001</v>
      </c>
      <c r="R1160" t="s">
        <v>1017</v>
      </c>
      <c r="S1160">
        <v>19.131090819999997</v>
      </c>
    </row>
    <row r="1161" spans="1:19" x14ac:dyDescent="0.25">
      <c r="A1161" t="s">
        <v>75</v>
      </c>
      <c r="B1161" t="s">
        <v>850</v>
      </c>
      <c r="C1161">
        <v>10</v>
      </c>
      <c r="D1161" t="s">
        <v>29</v>
      </c>
      <c r="E1161" t="s">
        <v>94</v>
      </c>
      <c r="F1161" t="s">
        <v>110</v>
      </c>
      <c r="G1161" t="s">
        <v>104</v>
      </c>
      <c r="H1161" t="s">
        <v>104</v>
      </c>
      <c r="J1161">
        <v>0</v>
      </c>
      <c r="K1161">
        <v>2</v>
      </c>
      <c r="L1161">
        <v>73.260869569999997</v>
      </c>
      <c r="M1161">
        <v>34.453830549999999</v>
      </c>
      <c r="N1161">
        <v>1.058333333</v>
      </c>
      <c r="O1161">
        <v>113.9375</v>
      </c>
      <c r="P1161">
        <v>33.375507550000002</v>
      </c>
      <c r="Q1161">
        <v>2.4262999999999999</v>
      </c>
      <c r="R1161" t="s">
        <v>1017</v>
      </c>
      <c r="S1161">
        <v>1.0783229999999975</v>
      </c>
    </row>
    <row r="1162" spans="1:19" x14ac:dyDescent="0.25">
      <c r="A1162" t="s">
        <v>75</v>
      </c>
      <c r="B1162" t="s">
        <v>851</v>
      </c>
      <c r="C1162">
        <v>10</v>
      </c>
      <c r="D1162" t="s">
        <v>29</v>
      </c>
      <c r="E1162" t="s">
        <v>94</v>
      </c>
      <c r="F1162" t="s">
        <v>103</v>
      </c>
      <c r="G1162" t="s">
        <v>121</v>
      </c>
      <c r="H1162" t="s">
        <v>251</v>
      </c>
      <c r="J1162">
        <v>0</v>
      </c>
      <c r="K1162">
        <v>1</v>
      </c>
      <c r="L1162">
        <v>98.291666669999998</v>
      </c>
      <c r="M1162">
        <v>30.315130790000001</v>
      </c>
      <c r="N1162">
        <v>5.0803484000000003E-2</v>
      </c>
      <c r="O1162">
        <v>85</v>
      </c>
      <c r="P1162">
        <v>37.099157669999997</v>
      </c>
      <c r="Q1162">
        <v>0.65291888899999995</v>
      </c>
      <c r="R1162" t="s">
        <v>1017</v>
      </c>
      <c r="S1162">
        <v>6.7840268799999954</v>
      </c>
    </row>
    <row r="1163" spans="1:19" x14ac:dyDescent="0.25">
      <c r="A1163" t="s">
        <v>75</v>
      </c>
      <c r="B1163" t="s">
        <v>851</v>
      </c>
      <c r="C1163">
        <v>10</v>
      </c>
      <c r="D1163" t="s">
        <v>29</v>
      </c>
      <c r="E1163" t="s">
        <v>94</v>
      </c>
      <c r="F1163" t="s">
        <v>103</v>
      </c>
      <c r="G1163" t="s">
        <v>121</v>
      </c>
      <c r="H1163" t="s">
        <v>233</v>
      </c>
      <c r="J1163">
        <v>0</v>
      </c>
      <c r="K1163">
        <v>1</v>
      </c>
      <c r="L1163">
        <v>98.291666669999998</v>
      </c>
      <c r="M1163">
        <v>30.315130790000001</v>
      </c>
      <c r="N1163">
        <v>5.0803484000000003E-2</v>
      </c>
      <c r="O1163">
        <v>106.0540541</v>
      </c>
      <c r="P1163">
        <v>52.690533369999997</v>
      </c>
      <c r="Q1163">
        <v>7.6058968000000005E-2</v>
      </c>
      <c r="R1163" t="s">
        <v>1017</v>
      </c>
      <c r="S1163">
        <v>22.375402579999996</v>
      </c>
    </row>
    <row r="1164" spans="1:19" x14ac:dyDescent="0.25">
      <c r="A1164" t="s">
        <v>75</v>
      </c>
      <c r="B1164" t="s">
        <v>851</v>
      </c>
      <c r="C1164">
        <v>10</v>
      </c>
      <c r="D1164" t="s">
        <v>29</v>
      </c>
      <c r="E1164" t="s">
        <v>94</v>
      </c>
      <c r="F1164" t="s">
        <v>103</v>
      </c>
      <c r="G1164" t="s">
        <v>121</v>
      </c>
      <c r="H1164" t="s">
        <v>105</v>
      </c>
      <c r="J1164">
        <v>0</v>
      </c>
      <c r="K1164">
        <v>1</v>
      </c>
      <c r="L1164">
        <v>98.291666669999998</v>
      </c>
      <c r="M1164">
        <v>30.315130790000001</v>
      </c>
      <c r="N1164">
        <v>5.0803484000000003E-2</v>
      </c>
      <c r="O1164">
        <v>67.5</v>
      </c>
      <c r="P1164">
        <v>47.937235809999997</v>
      </c>
      <c r="Q1164">
        <v>0.41599678000000001</v>
      </c>
      <c r="R1164" t="s">
        <v>1017</v>
      </c>
      <c r="S1164">
        <v>17.622105019999996</v>
      </c>
    </row>
    <row r="1165" spans="1:19" x14ac:dyDescent="0.25">
      <c r="A1165" t="s">
        <v>76</v>
      </c>
      <c r="B1165" t="s">
        <v>852</v>
      </c>
      <c r="C1165">
        <v>10</v>
      </c>
      <c r="D1165" t="s">
        <v>31</v>
      </c>
      <c r="E1165" t="s">
        <v>94</v>
      </c>
      <c r="F1165" t="s">
        <v>113</v>
      </c>
      <c r="G1165" t="s">
        <v>113</v>
      </c>
      <c r="H1165" t="s">
        <v>113</v>
      </c>
      <c r="J1165">
        <v>0</v>
      </c>
      <c r="K1165">
        <v>2</v>
      </c>
      <c r="L1165">
        <v>83.757575759999995</v>
      </c>
      <c r="M1165">
        <v>22.60997987</v>
      </c>
      <c r="N1165">
        <v>0.72884000000000004</v>
      </c>
      <c r="O1165">
        <v>83.757575759999995</v>
      </c>
      <c r="P1165">
        <v>22.60997987</v>
      </c>
      <c r="Q1165">
        <v>0.72884000000000004</v>
      </c>
      <c r="R1165" t="s">
        <v>1017</v>
      </c>
      <c r="S1165">
        <v>0</v>
      </c>
    </row>
    <row r="1166" spans="1:19" x14ac:dyDescent="0.25">
      <c r="A1166" t="s">
        <v>76</v>
      </c>
      <c r="B1166" t="s">
        <v>852</v>
      </c>
      <c r="C1166">
        <v>10</v>
      </c>
      <c r="D1166" t="s">
        <v>31</v>
      </c>
      <c r="E1166" t="s">
        <v>94</v>
      </c>
      <c r="F1166" t="s">
        <v>113</v>
      </c>
      <c r="G1166" t="s">
        <v>113</v>
      </c>
      <c r="H1166" t="s">
        <v>238</v>
      </c>
      <c r="J1166">
        <v>0</v>
      </c>
      <c r="K1166">
        <v>1</v>
      </c>
      <c r="L1166">
        <v>83.757575759999995</v>
      </c>
      <c r="M1166">
        <v>22.60997987</v>
      </c>
      <c r="N1166">
        <v>0.72884000000000004</v>
      </c>
      <c r="O1166">
        <v>87.5</v>
      </c>
      <c r="P1166">
        <v>29.478311600000001</v>
      </c>
      <c r="Q1166">
        <v>3.0797751000000002E-2</v>
      </c>
      <c r="R1166" t="s">
        <v>1017</v>
      </c>
      <c r="S1166">
        <v>6.8683317300000013</v>
      </c>
    </row>
    <row r="1167" spans="1:19" x14ac:dyDescent="0.25">
      <c r="A1167" t="s">
        <v>76</v>
      </c>
      <c r="B1167" t="s">
        <v>852</v>
      </c>
      <c r="C1167">
        <v>10</v>
      </c>
      <c r="D1167" t="s">
        <v>31</v>
      </c>
      <c r="E1167" t="s">
        <v>94</v>
      </c>
      <c r="F1167" t="s">
        <v>113</v>
      </c>
      <c r="G1167" t="s">
        <v>113</v>
      </c>
      <c r="H1167" t="s">
        <v>235</v>
      </c>
      <c r="J1167">
        <v>0</v>
      </c>
      <c r="K1167">
        <v>5</v>
      </c>
      <c r="L1167">
        <v>83.757575759999995</v>
      </c>
      <c r="M1167">
        <v>22.60997987</v>
      </c>
      <c r="N1167">
        <v>0.72884000000000004</v>
      </c>
      <c r="O1167">
        <v>132.27272730000001</v>
      </c>
      <c r="P1167">
        <v>20.180448590000001</v>
      </c>
      <c r="Q1167">
        <v>3.7813451999999997E-2</v>
      </c>
      <c r="R1167" t="s">
        <v>1017</v>
      </c>
      <c r="S1167">
        <v>2.4295312799999991</v>
      </c>
    </row>
    <row r="1168" spans="1:19" x14ac:dyDescent="0.25">
      <c r="A1168" t="s">
        <v>77</v>
      </c>
      <c r="B1168" t="s">
        <v>853</v>
      </c>
      <c r="C1168">
        <v>10</v>
      </c>
      <c r="D1168" t="s">
        <v>33</v>
      </c>
      <c r="E1168" t="s">
        <v>94</v>
      </c>
      <c r="F1168" t="s">
        <v>102</v>
      </c>
      <c r="G1168" t="s">
        <v>110</v>
      </c>
      <c r="H1168" t="s">
        <v>110</v>
      </c>
      <c r="J1168">
        <v>0</v>
      </c>
      <c r="K1168">
        <v>1</v>
      </c>
      <c r="L1168">
        <v>84.740740740000007</v>
      </c>
      <c r="M1168">
        <v>29.167014049999999</v>
      </c>
      <c r="N1168">
        <v>1.1169849999999999</v>
      </c>
      <c r="O1168">
        <v>73.260869569999997</v>
      </c>
      <c r="P1168">
        <v>34.453830549999999</v>
      </c>
      <c r="Q1168">
        <v>1.058333333</v>
      </c>
      <c r="R1168" t="s">
        <v>1017</v>
      </c>
      <c r="S1168">
        <v>5.2868165000000005</v>
      </c>
    </row>
    <row r="1169" spans="1:19" x14ac:dyDescent="0.25">
      <c r="A1169" t="s">
        <v>77</v>
      </c>
      <c r="B1169" t="s">
        <v>853</v>
      </c>
      <c r="C1169">
        <v>10</v>
      </c>
      <c r="D1169" t="s">
        <v>33</v>
      </c>
      <c r="E1169" t="s">
        <v>94</v>
      </c>
      <c r="F1169" t="s">
        <v>102</v>
      </c>
      <c r="G1169" t="s">
        <v>110</v>
      </c>
      <c r="H1169" t="s">
        <v>162</v>
      </c>
      <c r="J1169">
        <v>0</v>
      </c>
      <c r="K1169">
        <v>1</v>
      </c>
      <c r="L1169">
        <v>84.740740740000007</v>
      </c>
      <c r="M1169">
        <v>29.167014049999999</v>
      </c>
      <c r="N1169">
        <v>1.1169849999999999</v>
      </c>
      <c r="O1169">
        <v>82.53846154</v>
      </c>
      <c r="P1169">
        <v>35.660530039999998</v>
      </c>
      <c r="Q1169">
        <v>3.3754499999999998</v>
      </c>
      <c r="R1169" t="s">
        <v>1017</v>
      </c>
      <c r="S1169">
        <v>6.4935159899999988</v>
      </c>
    </row>
    <row r="1170" spans="1:19" x14ac:dyDescent="0.25">
      <c r="A1170" t="s">
        <v>77</v>
      </c>
      <c r="B1170" t="s">
        <v>854</v>
      </c>
      <c r="C1170">
        <v>10</v>
      </c>
      <c r="D1170" t="s">
        <v>33</v>
      </c>
      <c r="E1170" t="s">
        <v>94</v>
      </c>
      <c r="F1170" t="s">
        <v>110</v>
      </c>
      <c r="G1170" t="s">
        <v>110</v>
      </c>
      <c r="H1170" t="s">
        <v>110</v>
      </c>
      <c r="J1170">
        <v>0</v>
      </c>
      <c r="K1170">
        <v>3</v>
      </c>
      <c r="L1170">
        <v>73.260869569999997</v>
      </c>
      <c r="M1170">
        <v>34.453830549999999</v>
      </c>
      <c r="N1170">
        <v>1.058333333</v>
      </c>
      <c r="O1170">
        <v>73.260869569999997</v>
      </c>
      <c r="P1170">
        <v>34.453830549999999</v>
      </c>
      <c r="Q1170">
        <v>1.058333333</v>
      </c>
      <c r="R1170" t="s">
        <v>1017</v>
      </c>
      <c r="S1170">
        <v>0</v>
      </c>
    </row>
    <row r="1171" spans="1:19" x14ac:dyDescent="0.25">
      <c r="A1171" t="s">
        <v>78</v>
      </c>
      <c r="B1171" t="s">
        <v>855</v>
      </c>
      <c r="C1171">
        <v>10</v>
      </c>
      <c r="D1171" t="s">
        <v>35</v>
      </c>
      <c r="E1171" t="s">
        <v>94</v>
      </c>
      <c r="F1171" t="s">
        <v>111</v>
      </c>
      <c r="G1171" t="s">
        <v>121</v>
      </c>
      <c r="H1171" t="s">
        <v>114</v>
      </c>
      <c r="J1171">
        <v>0</v>
      </c>
      <c r="K1171">
        <v>0</v>
      </c>
      <c r="L1171">
        <v>94.97142857</v>
      </c>
      <c r="M1171">
        <v>24.31591813</v>
      </c>
      <c r="N1171">
        <v>0.122951111</v>
      </c>
      <c r="O1171" t="s">
        <v>114</v>
      </c>
      <c r="P1171" t="s">
        <v>114</v>
      </c>
      <c r="Q1171" t="s">
        <v>114</v>
      </c>
      <c r="R1171" t="s">
        <v>1017</v>
      </c>
      <c r="S1171" t="s">
        <v>114</v>
      </c>
    </row>
    <row r="1172" spans="1:19" x14ac:dyDescent="0.25">
      <c r="A1172" t="s">
        <v>50</v>
      </c>
      <c r="B1172" t="s">
        <v>856</v>
      </c>
      <c r="C1172">
        <v>12</v>
      </c>
      <c r="D1172" t="s">
        <v>11</v>
      </c>
      <c r="E1172" t="s">
        <v>95</v>
      </c>
      <c r="F1172" t="s">
        <v>113</v>
      </c>
      <c r="G1172" t="s">
        <v>113</v>
      </c>
      <c r="H1172" t="s">
        <v>113</v>
      </c>
      <c r="J1172">
        <v>0</v>
      </c>
      <c r="K1172">
        <v>6</v>
      </c>
      <c r="L1172">
        <v>83.757575759999995</v>
      </c>
      <c r="M1172">
        <v>22.60997987</v>
      </c>
      <c r="N1172">
        <v>0.72884000000000004</v>
      </c>
      <c r="O1172">
        <v>83.757575759999995</v>
      </c>
      <c r="P1172">
        <v>22.60997987</v>
      </c>
      <c r="Q1172">
        <v>0.72884000000000004</v>
      </c>
      <c r="R1172" t="s">
        <v>1017</v>
      </c>
      <c r="S1172">
        <v>0</v>
      </c>
    </row>
    <row r="1173" spans="1:19" x14ac:dyDescent="0.25">
      <c r="A1173" t="s">
        <v>50</v>
      </c>
      <c r="B1173" t="s">
        <v>856</v>
      </c>
      <c r="C1173">
        <v>12</v>
      </c>
      <c r="D1173" t="s">
        <v>11</v>
      </c>
      <c r="E1173" t="s">
        <v>95</v>
      </c>
      <c r="F1173" t="s">
        <v>113</v>
      </c>
      <c r="G1173" t="s">
        <v>113</v>
      </c>
      <c r="H1173" t="s">
        <v>238</v>
      </c>
      <c r="J1173">
        <v>0</v>
      </c>
      <c r="K1173">
        <v>1</v>
      </c>
      <c r="L1173">
        <v>83.757575759999995</v>
      </c>
      <c r="M1173">
        <v>22.60997987</v>
      </c>
      <c r="N1173">
        <v>0.72884000000000004</v>
      </c>
      <c r="O1173">
        <v>87.5</v>
      </c>
      <c r="P1173">
        <v>29.478311600000001</v>
      </c>
      <c r="Q1173">
        <v>3.0797751000000002E-2</v>
      </c>
      <c r="R1173" t="s">
        <v>1017</v>
      </c>
      <c r="S1173">
        <v>6.8683317300000013</v>
      </c>
    </row>
    <row r="1174" spans="1:19" x14ac:dyDescent="0.25">
      <c r="A1174" t="s">
        <v>50</v>
      </c>
      <c r="B1174" t="s">
        <v>857</v>
      </c>
      <c r="C1174">
        <v>12</v>
      </c>
      <c r="D1174" t="s">
        <v>11</v>
      </c>
      <c r="E1174" t="s">
        <v>95</v>
      </c>
      <c r="F1174" t="s">
        <v>103</v>
      </c>
      <c r="G1174" t="s">
        <v>113</v>
      </c>
      <c r="H1174" t="s">
        <v>113</v>
      </c>
      <c r="J1174">
        <v>0</v>
      </c>
      <c r="K1174">
        <v>4</v>
      </c>
      <c r="L1174">
        <v>98.291666669999998</v>
      </c>
      <c r="M1174">
        <v>30.315130790000001</v>
      </c>
      <c r="N1174">
        <v>5.0803484000000003E-2</v>
      </c>
      <c r="O1174">
        <v>83.757575759999995</v>
      </c>
      <c r="P1174">
        <v>22.60997987</v>
      </c>
      <c r="Q1174">
        <v>0.72884000000000004</v>
      </c>
      <c r="R1174" t="s">
        <v>1017</v>
      </c>
      <c r="S1174">
        <v>7.7051509200000012</v>
      </c>
    </row>
    <row r="1175" spans="1:19" x14ac:dyDescent="0.25">
      <c r="A1175" t="s">
        <v>50</v>
      </c>
      <c r="B1175" t="s">
        <v>857</v>
      </c>
      <c r="C1175">
        <v>12</v>
      </c>
      <c r="D1175" t="s">
        <v>11</v>
      </c>
      <c r="E1175" t="s">
        <v>95</v>
      </c>
      <c r="F1175" t="s">
        <v>103</v>
      </c>
      <c r="G1175" t="s">
        <v>113</v>
      </c>
      <c r="H1175" t="s">
        <v>242</v>
      </c>
      <c r="J1175">
        <v>0</v>
      </c>
      <c r="K1175">
        <v>3</v>
      </c>
      <c r="L1175">
        <v>98.291666669999998</v>
      </c>
      <c r="M1175">
        <v>30.315130790000001</v>
      </c>
      <c r="N1175">
        <v>5.0803484000000003E-2</v>
      </c>
      <c r="O1175">
        <v>139.375</v>
      </c>
      <c r="P1175">
        <v>23.713465920000001</v>
      </c>
      <c r="Q1175" t="s">
        <v>114</v>
      </c>
      <c r="R1175" t="s">
        <v>1017</v>
      </c>
      <c r="S1175">
        <v>6.6016648700000005</v>
      </c>
    </row>
    <row r="1176" spans="1:19" x14ac:dyDescent="0.25">
      <c r="A1176" t="s">
        <v>50</v>
      </c>
      <c r="B1176" t="s">
        <v>858</v>
      </c>
      <c r="C1176">
        <v>12</v>
      </c>
      <c r="D1176" t="s">
        <v>11</v>
      </c>
      <c r="E1176" t="s">
        <v>95</v>
      </c>
      <c r="F1176" t="s">
        <v>111</v>
      </c>
      <c r="G1176" t="s">
        <v>113</v>
      </c>
      <c r="H1176" t="s">
        <v>113</v>
      </c>
      <c r="J1176">
        <v>0</v>
      </c>
      <c r="K1176">
        <v>3</v>
      </c>
      <c r="L1176">
        <v>94.97142857</v>
      </c>
      <c r="M1176">
        <v>24.31591813</v>
      </c>
      <c r="N1176">
        <v>0.122951111</v>
      </c>
      <c r="O1176">
        <v>83.757575759999995</v>
      </c>
      <c r="P1176">
        <v>22.60997987</v>
      </c>
      <c r="Q1176">
        <v>0.72884000000000004</v>
      </c>
      <c r="R1176" t="s">
        <v>1017</v>
      </c>
      <c r="S1176">
        <v>1.7059382599999999</v>
      </c>
    </row>
    <row r="1177" spans="1:19" x14ac:dyDescent="0.25">
      <c r="A1177" t="s">
        <v>50</v>
      </c>
      <c r="B1177" t="s">
        <v>858</v>
      </c>
      <c r="C1177">
        <v>12</v>
      </c>
      <c r="D1177" t="s">
        <v>11</v>
      </c>
      <c r="E1177" t="s">
        <v>95</v>
      </c>
      <c r="F1177" t="s">
        <v>111</v>
      </c>
      <c r="G1177" t="s">
        <v>113</v>
      </c>
      <c r="H1177" t="s">
        <v>242</v>
      </c>
      <c r="J1177">
        <v>0</v>
      </c>
      <c r="K1177">
        <v>2</v>
      </c>
      <c r="L1177">
        <v>94.97142857</v>
      </c>
      <c r="M1177">
        <v>24.31591813</v>
      </c>
      <c r="N1177">
        <v>0.122951111</v>
      </c>
      <c r="O1177">
        <v>139.375</v>
      </c>
      <c r="P1177">
        <v>23.713465920000001</v>
      </c>
      <c r="Q1177" t="s">
        <v>114</v>
      </c>
      <c r="R1177" t="s">
        <v>1017</v>
      </c>
      <c r="S1177">
        <v>0.60245220999999916</v>
      </c>
    </row>
    <row r="1178" spans="1:19" x14ac:dyDescent="0.25">
      <c r="A1178" t="s">
        <v>50</v>
      </c>
      <c r="B1178" t="s">
        <v>859</v>
      </c>
      <c r="C1178">
        <v>12</v>
      </c>
      <c r="D1178" t="s">
        <v>11</v>
      </c>
      <c r="E1178" t="s">
        <v>95</v>
      </c>
      <c r="F1178" t="s">
        <v>104</v>
      </c>
      <c r="G1178" t="s">
        <v>121</v>
      </c>
      <c r="H1178" t="s">
        <v>103</v>
      </c>
      <c r="J1178">
        <v>0</v>
      </c>
      <c r="K1178">
        <v>1</v>
      </c>
      <c r="L1178">
        <v>113.9375</v>
      </c>
      <c r="M1178">
        <v>33.375507550000002</v>
      </c>
      <c r="N1178">
        <v>2.4262999999999999</v>
      </c>
      <c r="O1178">
        <v>98.291666669999998</v>
      </c>
      <c r="P1178">
        <v>30.315130790000001</v>
      </c>
      <c r="Q1178">
        <v>5.0803484000000003E-2</v>
      </c>
      <c r="R1178" t="s">
        <v>1017</v>
      </c>
      <c r="S1178">
        <v>3.0603767600000005</v>
      </c>
    </row>
    <row r="1179" spans="1:19" x14ac:dyDescent="0.25">
      <c r="A1179" t="s">
        <v>50</v>
      </c>
      <c r="B1179" t="s">
        <v>859</v>
      </c>
      <c r="C1179">
        <v>12</v>
      </c>
      <c r="D1179" t="s">
        <v>11</v>
      </c>
      <c r="E1179" t="s">
        <v>95</v>
      </c>
      <c r="F1179" t="s">
        <v>104</v>
      </c>
      <c r="G1179" t="s">
        <v>121</v>
      </c>
      <c r="H1179" t="s">
        <v>238</v>
      </c>
      <c r="J1179">
        <v>0</v>
      </c>
      <c r="K1179">
        <v>1</v>
      </c>
      <c r="L1179">
        <v>113.9375</v>
      </c>
      <c r="M1179">
        <v>33.375507550000002</v>
      </c>
      <c r="N1179">
        <v>2.4262999999999999</v>
      </c>
      <c r="O1179">
        <v>87.5</v>
      </c>
      <c r="P1179">
        <v>29.478311600000001</v>
      </c>
      <c r="Q1179">
        <v>3.0797751000000002E-2</v>
      </c>
      <c r="R1179" t="s">
        <v>1017</v>
      </c>
      <c r="S1179">
        <v>3.8971959500000004</v>
      </c>
    </row>
    <row r="1180" spans="1:19" x14ac:dyDescent="0.25">
      <c r="A1180" t="s">
        <v>51</v>
      </c>
      <c r="B1180" t="s">
        <v>860</v>
      </c>
      <c r="C1180">
        <v>12</v>
      </c>
      <c r="D1180" t="s">
        <v>15</v>
      </c>
      <c r="E1180" t="s">
        <v>94</v>
      </c>
      <c r="F1180" t="s">
        <v>105</v>
      </c>
      <c r="G1180" t="s">
        <v>104</v>
      </c>
      <c r="H1180" t="s">
        <v>104</v>
      </c>
      <c r="J1180">
        <v>0</v>
      </c>
      <c r="K1180">
        <v>2</v>
      </c>
      <c r="L1180">
        <v>67.5</v>
      </c>
      <c r="M1180">
        <v>47.937235809999997</v>
      </c>
      <c r="N1180">
        <v>0.41599678000000001</v>
      </c>
      <c r="O1180">
        <v>113.9375</v>
      </c>
      <c r="P1180">
        <v>33.375507550000002</v>
      </c>
      <c r="Q1180">
        <v>2.4262999999999999</v>
      </c>
      <c r="R1180" t="s">
        <v>1017</v>
      </c>
      <c r="S1180">
        <v>14.561728259999995</v>
      </c>
    </row>
    <row r="1181" spans="1:19" x14ac:dyDescent="0.25">
      <c r="A1181" t="s">
        <v>51</v>
      </c>
      <c r="B1181" t="s">
        <v>861</v>
      </c>
      <c r="C1181">
        <v>12</v>
      </c>
      <c r="D1181" t="s">
        <v>15</v>
      </c>
      <c r="E1181" t="s">
        <v>94</v>
      </c>
      <c r="F1181" t="s">
        <v>111</v>
      </c>
      <c r="G1181" t="s">
        <v>121</v>
      </c>
      <c r="H1181" t="s">
        <v>241</v>
      </c>
      <c r="J1181">
        <v>0</v>
      </c>
      <c r="K1181">
        <v>1</v>
      </c>
      <c r="L1181">
        <v>94.97142857</v>
      </c>
      <c r="M1181">
        <v>24.31591813</v>
      </c>
      <c r="N1181">
        <v>0.122951111</v>
      </c>
      <c r="O1181">
        <v>114</v>
      </c>
      <c r="P1181">
        <v>30.43077242</v>
      </c>
      <c r="Q1181">
        <v>0.53383111100000002</v>
      </c>
      <c r="R1181" t="s">
        <v>1017</v>
      </c>
      <c r="S1181">
        <v>6.1148542900000002</v>
      </c>
    </row>
    <row r="1182" spans="1:19" x14ac:dyDescent="0.25">
      <c r="A1182" t="s">
        <v>51</v>
      </c>
      <c r="B1182" t="s">
        <v>862</v>
      </c>
      <c r="C1182">
        <v>12</v>
      </c>
      <c r="D1182" t="s">
        <v>15</v>
      </c>
      <c r="E1182" t="s">
        <v>94</v>
      </c>
      <c r="F1182" t="s">
        <v>112</v>
      </c>
      <c r="G1182" t="s">
        <v>112</v>
      </c>
      <c r="H1182" t="s">
        <v>112</v>
      </c>
      <c r="J1182">
        <v>0</v>
      </c>
      <c r="K1182">
        <v>2</v>
      </c>
      <c r="L1182">
        <v>65.09375</v>
      </c>
      <c r="M1182">
        <v>37.895352600000002</v>
      </c>
      <c r="N1182">
        <v>2.2882677779999998</v>
      </c>
      <c r="O1182">
        <v>65.09375</v>
      </c>
      <c r="P1182">
        <v>37.895352600000002</v>
      </c>
      <c r="Q1182">
        <v>2.2882677779999998</v>
      </c>
      <c r="R1182" t="s">
        <v>1017</v>
      </c>
      <c r="S1182">
        <v>0</v>
      </c>
    </row>
    <row r="1183" spans="1:19" x14ac:dyDescent="0.25">
      <c r="A1183" t="s">
        <v>52</v>
      </c>
      <c r="B1183" t="s">
        <v>863</v>
      </c>
      <c r="C1183">
        <v>12</v>
      </c>
      <c r="D1183" t="s">
        <v>17</v>
      </c>
      <c r="E1183" t="s">
        <v>95</v>
      </c>
      <c r="F1183" t="s">
        <v>102</v>
      </c>
      <c r="G1183" t="s">
        <v>121</v>
      </c>
      <c r="H1183" t="s">
        <v>238</v>
      </c>
      <c r="J1183">
        <v>0</v>
      </c>
      <c r="K1183">
        <v>1</v>
      </c>
      <c r="L1183">
        <v>84.740740740000007</v>
      </c>
      <c r="M1183">
        <v>29.167014049999999</v>
      </c>
      <c r="N1183">
        <v>1.1169849999999999</v>
      </c>
      <c r="O1183">
        <v>87.5</v>
      </c>
      <c r="P1183">
        <v>29.478311600000001</v>
      </c>
      <c r="Q1183">
        <v>3.0797751000000002E-2</v>
      </c>
      <c r="R1183" t="s">
        <v>1017</v>
      </c>
      <c r="S1183">
        <v>0.31129755000000259</v>
      </c>
    </row>
    <row r="1184" spans="1:19" x14ac:dyDescent="0.25">
      <c r="A1184" t="s">
        <v>52</v>
      </c>
      <c r="B1184" t="s">
        <v>863</v>
      </c>
      <c r="C1184">
        <v>12</v>
      </c>
      <c r="D1184" t="s">
        <v>17</v>
      </c>
      <c r="E1184" t="s">
        <v>95</v>
      </c>
      <c r="F1184" t="s">
        <v>102</v>
      </c>
      <c r="G1184" t="s">
        <v>121</v>
      </c>
      <c r="H1184" t="s">
        <v>113</v>
      </c>
      <c r="J1184">
        <v>0</v>
      </c>
      <c r="K1184">
        <v>1</v>
      </c>
      <c r="L1184">
        <v>84.740740740000007</v>
      </c>
      <c r="M1184">
        <v>29.167014049999999</v>
      </c>
      <c r="N1184">
        <v>1.1169849999999999</v>
      </c>
      <c r="O1184">
        <v>83.757575759999995</v>
      </c>
      <c r="P1184">
        <v>22.60997987</v>
      </c>
      <c r="Q1184">
        <v>0.72884000000000004</v>
      </c>
      <c r="R1184" t="s">
        <v>1017</v>
      </c>
      <c r="S1184">
        <v>6.5570341799999987</v>
      </c>
    </row>
    <row r="1185" spans="1:19" x14ac:dyDescent="0.25">
      <c r="A1185" t="s">
        <v>52</v>
      </c>
      <c r="B1185" t="s">
        <v>864</v>
      </c>
      <c r="C1185">
        <v>12</v>
      </c>
      <c r="D1185" t="s">
        <v>17</v>
      </c>
      <c r="E1185" t="s">
        <v>95</v>
      </c>
      <c r="F1185" t="s">
        <v>103</v>
      </c>
      <c r="G1185" t="s">
        <v>121</v>
      </c>
      <c r="H1185" t="s">
        <v>234</v>
      </c>
      <c r="J1185">
        <v>0</v>
      </c>
      <c r="K1185">
        <v>5</v>
      </c>
      <c r="L1185">
        <v>98.291666669999998</v>
      </c>
      <c r="M1185">
        <v>30.315130790000001</v>
      </c>
      <c r="N1185">
        <v>5.0803484000000003E-2</v>
      </c>
      <c r="O1185">
        <v>89.8125</v>
      </c>
      <c r="P1185">
        <v>34.754706650000003</v>
      </c>
      <c r="Q1185">
        <v>2.3065078999999999E-2</v>
      </c>
      <c r="R1185" t="s">
        <v>1017</v>
      </c>
      <c r="S1185">
        <v>4.4395758600000015</v>
      </c>
    </row>
    <row r="1186" spans="1:19" x14ac:dyDescent="0.25">
      <c r="A1186" t="s">
        <v>52</v>
      </c>
      <c r="B1186" t="s">
        <v>865</v>
      </c>
      <c r="C1186">
        <v>12</v>
      </c>
      <c r="D1186" t="s">
        <v>17</v>
      </c>
      <c r="E1186" t="s">
        <v>95</v>
      </c>
      <c r="F1186" t="s">
        <v>111</v>
      </c>
      <c r="G1186" t="s">
        <v>103</v>
      </c>
      <c r="H1186" t="s">
        <v>103</v>
      </c>
      <c r="J1186">
        <v>0</v>
      </c>
      <c r="K1186">
        <v>1</v>
      </c>
      <c r="L1186">
        <v>94.97142857</v>
      </c>
      <c r="M1186">
        <v>24.31591813</v>
      </c>
      <c r="N1186">
        <v>0.122951111</v>
      </c>
      <c r="O1186">
        <v>98.291666669999998</v>
      </c>
      <c r="P1186">
        <v>30.315130790000001</v>
      </c>
      <c r="Q1186">
        <v>5.0803484000000003E-2</v>
      </c>
      <c r="R1186" t="s">
        <v>1017</v>
      </c>
      <c r="S1186">
        <v>5.9992126600000013</v>
      </c>
    </row>
    <row r="1187" spans="1:19" x14ac:dyDescent="0.25">
      <c r="A1187" t="s">
        <v>52</v>
      </c>
      <c r="B1187" t="s">
        <v>866</v>
      </c>
      <c r="C1187">
        <v>12</v>
      </c>
      <c r="D1187" t="s">
        <v>17</v>
      </c>
      <c r="E1187" t="s">
        <v>95</v>
      </c>
      <c r="F1187" t="s">
        <v>112</v>
      </c>
      <c r="G1187" t="s">
        <v>121</v>
      </c>
      <c r="H1187" t="s">
        <v>235</v>
      </c>
      <c r="J1187">
        <v>0</v>
      </c>
      <c r="K1187">
        <v>1</v>
      </c>
      <c r="L1187">
        <v>65.09375</v>
      </c>
      <c r="M1187">
        <v>37.895352600000002</v>
      </c>
      <c r="N1187">
        <v>2.2882677779999998</v>
      </c>
      <c r="O1187">
        <v>132.27272730000001</v>
      </c>
      <c r="P1187">
        <v>20.180448590000001</v>
      </c>
      <c r="Q1187">
        <v>3.7813451999999997E-2</v>
      </c>
      <c r="R1187" t="s">
        <v>1017</v>
      </c>
      <c r="S1187">
        <v>17.714904010000001</v>
      </c>
    </row>
    <row r="1188" spans="1:19" x14ac:dyDescent="0.25">
      <c r="A1188" t="s">
        <v>53</v>
      </c>
      <c r="B1188" t="s">
        <v>867</v>
      </c>
      <c r="C1188">
        <v>12</v>
      </c>
      <c r="D1188" t="s">
        <v>19</v>
      </c>
      <c r="E1188" t="s">
        <v>94</v>
      </c>
      <c r="F1188" t="s">
        <v>102</v>
      </c>
      <c r="G1188" t="s">
        <v>121</v>
      </c>
      <c r="H1188" t="s">
        <v>808</v>
      </c>
      <c r="J1188">
        <v>0</v>
      </c>
      <c r="K1188">
        <v>1</v>
      </c>
      <c r="L1188">
        <v>84.740740740000007</v>
      </c>
      <c r="M1188">
        <v>29.167014049999999</v>
      </c>
      <c r="N1188">
        <v>1.1169849999999999</v>
      </c>
      <c r="O1188">
        <v>102.79166669999999</v>
      </c>
      <c r="P1188">
        <v>27.057373470000002</v>
      </c>
      <c r="Q1188">
        <v>6.3567849939999999</v>
      </c>
      <c r="R1188" t="s">
        <v>1017</v>
      </c>
      <c r="S1188">
        <v>2.1096405799999971</v>
      </c>
    </row>
    <row r="1189" spans="1:19" x14ac:dyDescent="0.25">
      <c r="A1189" t="s">
        <v>53</v>
      </c>
      <c r="B1189" t="s">
        <v>867</v>
      </c>
      <c r="C1189">
        <v>12</v>
      </c>
      <c r="D1189" t="s">
        <v>19</v>
      </c>
      <c r="E1189" t="s">
        <v>94</v>
      </c>
      <c r="F1189" t="s">
        <v>102</v>
      </c>
      <c r="G1189" t="s">
        <v>121</v>
      </c>
      <c r="H1189" t="s">
        <v>241</v>
      </c>
      <c r="J1189">
        <v>0</v>
      </c>
      <c r="K1189">
        <v>1</v>
      </c>
      <c r="L1189">
        <v>84.740740740000007</v>
      </c>
      <c r="M1189">
        <v>29.167014049999999</v>
      </c>
      <c r="N1189">
        <v>1.1169849999999999</v>
      </c>
      <c r="O1189">
        <v>114</v>
      </c>
      <c r="P1189">
        <v>30.43077242</v>
      </c>
      <c r="Q1189">
        <v>0.53383111100000002</v>
      </c>
      <c r="R1189" t="s">
        <v>1017</v>
      </c>
      <c r="S1189">
        <v>1.2637583700000015</v>
      </c>
    </row>
    <row r="1190" spans="1:19" x14ac:dyDescent="0.25">
      <c r="A1190" t="s">
        <v>53</v>
      </c>
      <c r="B1190" t="s">
        <v>868</v>
      </c>
      <c r="C1190">
        <v>12</v>
      </c>
      <c r="D1190" t="s">
        <v>19</v>
      </c>
      <c r="E1190" t="s">
        <v>94</v>
      </c>
      <c r="F1190" t="s">
        <v>113</v>
      </c>
      <c r="G1190" t="s">
        <v>121</v>
      </c>
      <c r="H1190" t="s">
        <v>103</v>
      </c>
      <c r="J1190">
        <v>0</v>
      </c>
      <c r="K1190">
        <v>1</v>
      </c>
      <c r="L1190">
        <v>83.757575759999995</v>
      </c>
      <c r="M1190">
        <v>22.60997987</v>
      </c>
      <c r="N1190">
        <v>0.72884000000000004</v>
      </c>
      <c r="O1190">
        <v>98.291666669999998</v>
      </c>
      <c r="P1190">
        <v>30.315130790000001</v>
      </c>
      <c r="Q1190">
        <v>5.0803484000000003E-2</v>
      </c>
      <c r="R1190" t="s">
        <v>1017</v>
      </c>
      <c r="S1190">
        <v>7.7051509200000012</v>
      </c>
    </row>
    <row r="1191" spans="1:19" x14ac:dyDescent="0.25">
      <c r="A1191" t="s">
        <v>53</v>
      </c>
      <c r="B1191" t="s">
        <v>868</v>
      </c>
      <c r="C1191">
        <v>12</v>
      </c>
      <c r="D1191" t="s">
        <v>19</v>
      </c>
      <c r="E1191" t="s">
        <v>94</v>
      </c>
      <c r="F1191" t="s">
        <v>113</v>
      </c>
      <c r="G1191" t="s">
        <v>121</v>
      </c>
      <c r="H1191" t="s">
        <v>238</v>
      </c>
      <c r="J1191">
        <v>0</v>
      </c>
      <c r="K1191">
        <v>1</v>
      </c>
      <c r="L1191">
        <v>83.757575759999995</v>
      </c>
      <c r="M1191">
        <v>22.60997987</v>
      </c>
      <c r="N1191">
        <v>0.72884000000000004</v>
      </c>
      <c r="O1191">
        <v>87.5</v>
      </c>
      <c r="P1191">
        <v>29.478311600000001</v>
      </c>
      <c r="Q1191">
        <v>3.0797751000000002E-2</v>
      </c>
      <c r="R1191" t="s">
        <v>1017</v>
      </c>
      <c r="S1191">
        <v>6.8683317300000013</v>
      </c>
    </row>
    <row r="1192" spans="1:19" x14ac:dyDescent="0.25">
      <c r="A1192" t="s">
        <v>53</v>
      </c>
      <c r="B1192" t="s">
        <v>868</v>
      </c>
      <c r="C1192">
        <v>12</v>
      </c>
      <c r="D1192" t="s">
        <v>19</v>
      </c>
      <c r="E1192" t="s">
        <v>94</v>
      </c>
      <c r="F1192" t="s">
        <v>113</v>
      </c>
      <c r="G1192" t="s">
        <v>121</v>
      </c>
      <c r="H1192" t="s">
        <v>235</v>
      </c>
      <c r="J1192">
        <v>0</v>
      </c>
      <c r="K1192">
        <v>1</v>
      </c>
      <c r="L1192">
        <v>83.757575759999995</v>
      </c>
      <c r="M1192">
        <v>22.60997987</v>
      </c>
      <c r="N1192">
        <v>0.72884000000000004</v>
      </c>
      <c r="O1192">
        <v>132.27272730000001</v>
      </c>
      <c r="P1192">
        <v>20.180448590000001</v>
      </c>
      <c r="Q1192">
        <v>3.7813451999999997E-2</v>
      </c>
      <c r="R1192" t="s">
        <v>1017</v>
      </c>
      <c r="S1192">
        <v>2.4295312799999991</v>
      </c>
    </row>
    <row r="1193" spans="1:19" x14ac:dyDescent="0.25">
      <c r="A1193" t="s">
        <v>53</v>
      </c>
      <c r="B1193" t="s">
        <v>868</v>
      </c>
      <c r="C1193">
        <v>12</v>
      </c>
      <c r="D1193" t="s">
        <v>19</v>
      </c>
      <c r="E1193" t="s">
        <v>94</v>
      </c>
      <c r="F1193" t="s">
        <v>113</v>
      </c>
      <c r="G1193" t="s">
        <v>121</v>
      </c>
      <c r="H1193" t="s">
        <v>241</v>
      </c>
      <c r="J1193">
        <v>0</v>
      </c>
      <c r="K1193">
        <v>2</v>
      </c>
      <c r="L1193">
        <v>83.757575759999995</v>
      </c>
      <c r="M1193">
        <v>22.60997987</v>
      </c>
      <c r="N1193">
        <v>0.72884000000000004</v>
      </c>
      <c r="O1193">
        <v>114</v>
      </c>
      <c r="P1193">
        <v>30.43077242</v>
      </c>
      <c r="Q1193">
        <v>0.53383111100000002</v>
      </c>
      <c r="R1193" t="s">
        <v>1017</v>
      </c>
      <c r="S1193">
        <v>7.8207925500000002</v>
      </c>
    </row>
    <row r="1194" spans="1:19" x14ac:dyDescent="0.25">
      <c r="A1194" t="s">
        <v>53</v>
      </c>
      <c r="B1194" t="s">
        <v>868</v>
      </c>
      <c r="C1194">
        <v>12</v>
      </c>
      <c r="D1194" t="s">
        <v>19</v>
      </c>
      <c r="E1194" t="s">
        <v>94</v>
      </c>
      <c r="F1194" t="s">
        <v>113</v>
      </c>
      <c r="G1194" t="s">
        <v>121</v>
      </c>
      <c r="H1194" t="s">
        <v>242</v>
      </c>
      <c r="J1194">
        <v>0</v>
      </c>
      <c r="K1194">
        <v>1</v>
      </c>
      <c r="L1194">
        <v>83.757575759999995</v>
      </c>
      <c r="M1194">
        <v>22.60997987</v>
      </c>
      <c r="N1194">
        <v>0.72884000000000004</v>
      </c>
      <c r="O1194">
        <v>139.375</v>
      </c>
      <c r="P1194">
        <v>23.713465920000001</v>
      </c>
      <c r="Q1194" t="s">
        <v>114</v>
      </c>
      <c r="R1194" t="s">
        <v>1017</v>
      </c>
      <c r="S1194">
        <v>1.1034860500000008</v>
      </c>
    </row>
    <row r="1195" spans="1:19" x14ac:dyDescent="0.25">
      <c r="A1195" t="s">
        <v>53</v>
      </c>
      <c r="B1195" t="s">
        <v>868</v>
      </c>
      <c r="C1195">
        <v>12</v>
      </c>
      <c r="D1195" t="s">
        <v>19</v>
      </c>
      <c r="E1195" t="s">
        <v>94</v>
      </c>
      <c r="F1195" t="s">
        <v>113</v>
      </c>
      <c r="G1195" t="s">
        <v>121</v>
      </c>
      <c r="H1195" t="s">
        <v>112</v>
      </c>
      <c r="J1195">
        <v>0</v>
      </c>
      <c r="K1195">
        <v>1</v>
      </c>
      <c r="L1195">
        <v>83.757575759999995</v>
      </c>
      <c r="M1195">
        <v>22.60997987</v>
      </c>
      <c r="N1195">
        <v>0.72884000000000004</v>
      </c>
      <c r="O1195">
        <v>65.09375</v>
      </c>
      <c r="P1195">
        <v>37.895352600000002</v>
      </c>
      <c r="Q1195">
        <v>2.2882677779999998</v>
      </c>
      <c r="R1195" t="s">
        <v>1017</v>
      </c>
      <c r="S1195">
        <v>15.285372730000002</v>
      </c>
    </row>
    <row r="1196" spans="1:19" x14ac:dyDescent="0.25">
      <c r="A1196" t="s">
        <v>53</v>
      </c>
      <c r="B1196" t="s">
        <v>869</v>
      </c>
      <c r="C1196">
        <v>12</v>
      </c>
      <c r="D1196" t="s">
        <v>19</v>
      </c>
      <c r="E1196" t="s">
        <v>94</v>
      </c>
      <c r="F1196" t="s">
        <v>103</v>
      </c>
      <c r="G1196" t="s">
        <v>121</v>
      </c>
      <c r="H1196" t="s">
        <v>103</v>
      </c>
      <c r="J1196">
        <v>0</v>
      </c>
      <c r="K1196">
        <v>1</v>
      </c>
      <c r="L1196">
        <v>98.291666669999998</v>
      </c>
      <c r="M1196">
        <v>30.315130790000001</v>
      </c>
      <c r="N1196">
        <v>5.0803484000000003E-2</v>
      </c>
      <c r="O1196">
        <v>98.291666669999998</v>
      </c>
      <c r="P1196">
        <v>30.315130790000001</v>
      </c>
      <c r="Q1196">
        <v>5.0803484000000003E-2</v>
      </c>
      <c r="R1196" t="s">
        <v>1017</v>
      </c>
      <c r="S1196">
        <v>0</v>
      </c>
    </row>
    <row r="1197" spans="1:19" x14ac:dyDescent="0.25">
      <c r="A1197" t="s">
        <v>53</v>
      </c>
      <c r="B1197" t="s">
        <v>869</v>
      </c>
      <c r="C1197">
        <v>12</v>
      </c>
      <c r="D1197" t="s">
        <v>19</v>
      </c>
      <c r="E1197" t="s">
        <v>94</v>
      </c>
      <c r="F1197" t="s">
        <v>103</v>
      </c>
      <c r="G1197" t="s">
        <v>121</v>
      </c>
      <c r="H1197" t="s">
        <v>241</v>
      </c>
      <c r="J1197">
        <v>0</v>
      </c>
      <c r="K1197">
        <v>1</v>
      </c>
      <c r="L1197">
        <v>98.291666669999998</v>
      </c>
      <c r="M1197">
        <v>30.315130790000001</v>
      </c>
      <c r="N1197">
        <v>5.0803484000000003E-2</v>
      </c>
      <c r="O1197">
        <v>114</v>
      </c>
      <c r="P1197">
        <v>30.43077242</v>
      </c>
      <c r="Q1197">
        <v>0.53383111100000002</v>
      </c>
      <c r="R1197" t="s">
        <v>1017</v>
      </c>
      <c r="S1197">
        <v>0.11564162999999894</v>
      </c>
    </row>
    <row r="1198" spans="1:19" x14ac:dyDescent="0.25">
      <c r="A1198" t="s">
        <v>53</v>
      </c>
      <c r="B1198" t="s">
        <v>870</v>
      </c>
      <c r="C1198">
        <v>12</v>
      </c>
      <c r="D1198" t="s">
        <v>19</v>
      </c>
      <c r="E1198" t="s">
        <v>94</v>
      </c>
      <c r="F1198" t="s">
        <v>112</v>
      </c>
      <c r="G1198" t="s">
        <v>121</v>
      </c>
      <c r="H1198" t="s">
        <v>114</v>
      </c>
      <c r="J1198">
        <v>0</v>
      </c>
      <c r="K1198">
        <v>0</v>
      </c>
      <c r="L1198">
        <v>65.09375</v>
      </c>
      <c r="M1198">
        <v>37.895352600000002</v>
      </c>
      <c r="N1198">
        <v>2.2882677779999998</v>
      </c>
      <c r="O1198" t="s">
        <v>114</v>
      </c>
      <c r="P1198" t="s">
        <v>114</v>
      </c>
      <c r="Q1198" t="s">
        <v>114</v>
      </c>
      <c r="R1198" t="s">
        <v>1017</v>
      </c>
      <c r="S1198" t="s">
        <v>114</v>
      </c>
    </row>
    <row r="1199" spans="1:19" x14ac:dyDescent="0.25">
      <c r="A1199" t="s">
        <v>54</v>
      </c>
      <c r="B1199" t="s">
        <v>871</v>
      </c>
      <c r="C1199">
        <v>12</v>
      </c>
      <c r="D1199" t="s">
        <v>21</v>
      </c>
      <c r="E1199" t="s">
        <v>95</v>
      </c>
      <c r="F1199" t="s">
        <v>113</v>
      </c>
      <c r="G1199" t="s">
        <v>121</v>
      </c>
      <c r="H1199" t="s">
        <v>241</v>
      </c>
      <c r="J1199">
        <v>0</v>
      </c>
      <c r="K1199">
        <v>2</v>
      </c>
      <c r="L1199">
        <v>83.757575759999995</v>
      </c>
      <c r="M1199">
        <v>22.60997987</v>
      </c>
      <c r="N1199">
        <v>0.72884000000000004</v>
      </c>
      <c r="O1199">
        <v>114</v>
      </c>
      <c r="P1199">
        <v>30.43077242</v>
      </c>
      <c r="Q1199">
        <v>0.53383111100000002</v>
      </c>
      <c r="R1199" t="s">
        <v>1017</v>
      </c>
      <c r="S1199">
        <v>7.8207925500000002</v>
      </c>
    </row>
    <row r="1200" spans="1:19" x14ac:dyDescent="0.25">
      <c r="A1200" t="s">
        <v>54</v>
      </c>
      <c r="B1200" t="s">
        <v>872</v>
      </c>
      <c r="C1200">
        <v>12</v>
      </c>
      <c r="D1200" t="s">
        <v>21</v>
      </c>
      <c r="E1200" t="s">
        <v>95</v>
      </c>
      <c r="F1200" t="s">
        <v>110</v>
      </c>
      <c r="G1200" t="s">
        <v>121</v>
      </c>
      <c r="H1200" t="s">
        <v>241</v>
      </c>
      <c r="I1200" t="s">
        <v>162</v>
      </c>
      <c r="J1200">
        <v>1</v>
      </c>
      <c r="K1200">
        <v>2</v>
      </c>
      <c r="L1200">
        <v>73.260869569999997</v>
      </c>
      <c r="M1200">
        <v>34.453830549999999</v>
      </c>
      <c r="N1200">
        <v>1.058333333</v>
      </c>
      <c r="O1200">
        <v>114</v>
      </c>
      <c r="P1200">
        <v>30.43077242</v>
      </c>
      <c r="Q1200">
        <v>0.53383111100000002</v>
      </c>
      <c r="R1200" t="s">
        <v>1017</v>
      </c>
      <c r="S1200">
        <v>4.023058129999999</v>
      </c>
    </row>
    <row r="1201" spans="1:19" x14ac:dyDescent="0.25">
      <c r="A1201" t="s">
        <v>54</v>
      </c>
      <c r="B1201" t="s">
        <v>873</v>
      </c>
      <c r="C1201">
        <v>12</v>
      </c>
      <c r="D1201" t="s">
        <v>21</v>
      </c>
      <c r="E1201" t="s">
        <v>95</v>
      </c>
      <c r="F1201" t="s">
        <v>111</v>
      </c>
      <c r="G1201" t="s">
        <v>121</v>
      </c>
      <c r="H1201" t="s">
        <v>162</v>
      </c>
      <c r="J1201">
        <v>0</v>
      </c>
      <c r="K1201">
        <v>1</v>
      </c>
      <c r="L1201">
        <v>94.97142857</v>
      </c>
      <c r="M1201">
        <v>24.31591813</v>
      </c>
      <c r="N1201">
        <v>0.122951111</v>
      </c>
      <c r="O1201">
        <v>82.53846154</v>
      </c>
      <c r="P1201">
        <v>35.660530039999998</v>
      </c>
      <c r="Q1201">
        <v>3.3754499999999998</v>
      </c>
      <c r="R1201" t="s">
        <v>1017</v>
      </c>
      <c r="S1201">
        <v>11.344611909999998</v>
      </c>
    </row>
    <row r="1202" spans="1:19" x14ac:dyDescent="0.25">
      <c r="A1202" t="s">
        <v>55</v>
      </c>
      <c r="B1202" t="s">
        <v>874</v>
      </c>
      <c r="C1202">
        <v>12</v>
      </c>
      <c r="D1202" t="s">
        <v>23</v>
      </c>
      <c r="E1202" t="s">
        <v>94</v>
      </c>
      <c r="F1202" t="s">
        <v>113</v>
      </c>
      <c r="G1202" t="s">
        <v>110</v>
      </c>
      <c r="H1202" t="s">
        <v>238</v>
      </c>
      <c r="J1202">
        <v>0</v>
      </c>
      <c r="K1202">
        <v>1</v>
      </c>
      <c r="L1202">
        <v>83.757575759999995</v>
      </c>
      <c r="M1202">
        <v>22.60997987</v>
      </c>
      <c r="N1202">
        <v>0.72884000000000004</v>
      </c>
      <c r="O1202">
        <v>87.5</v>
      </c>
      <c r="P1202">
        <v>29.478311600000001</v>
      </c>
      <c r="Q1202">
        <v>3.0797751000000002E-2</v>
      </c>
      <c r="R1202" t="s">
        <v>1017</v>
      </c>
      <c r="S1202">
        <v>6.8683317300000013</v>
      </c>
    </row>
    <row r="1203" spans="1:19" x14ac:dyDescent="0.25">
      <c r="A1203" t="s">
        <v>55</v>
      </c>
      <c r="B1203" t="s">
        <v>874</v>
      </c>
      <c r="C1203">
        <v>12</v>
      </c>
      <c r="D1203" t="s">
        <v>23</v>
      </c>
      <c r="E1203" t="s">
        <v>94</v>
      </c>
      <c r="F1203" t="s">
        <v>113</v>
      </c>
      <c r="G1203" t="s">
        <v>110</v>
      </c>
      <c r="H1203" t="s">
        <v>103</v>
      </c>
      <c r="J1203">
        <v>0</v>
      </c>
      <c r="K1203">
        <v>1</v>
      </c>
      <c r="L1203">
        <v>83.757575759999995</v>
      </c>
      <c r="M1203">
        <v>22.60997987</v>
      </c>
      <c r="N1203">
        <v>0.72884000000000004</v>
      </c>
      <c r="O1203">
        <v>98.291666669999998</v>
      </c>
      <c r="P1203">
        <v>30.315130790000001</v>
      </c>
      <c r="Q1203">
        <v>5.0803484000000003E-2</v>
      </c>
      <c r="R1203" t="s">
        <v>1017</v>
      </c>
      <c r="S1203">
        <v>7.7051509200000012</v>
      </c>
    </row>
    <row r="1204" spans="1:19" x14ac:dyDescent="0.25">
      <c r="A1204" t="s">
        <v>55</v>
      </c>
      <c r="B1204" t="s">
        <v>874</v>
      </c>
      <c r="C1204">
        <v>12</v>
      </c>
      <c r="D1204" t="s">
        <v>23</v>
      </c>
      <c r="E1204" t="s">
        <v>94</v>
      </c>
      <c r="F1204" t="s">
        <v>113</v>
      </c>
      <c r="G1204" t="s">
        <v>110</v>
      </c>
      <c r="H1204" t="s">
        <v>808</v>
      </c>
      <c r="J1204">
        <v>0</v>
      </c>
      <c r="K1204">
        <v>1</v>
      </c>
      <c r="L1204">
        <v>83.757575759999995</v>
      </c>
      <c r="M1204">
        <v>22.60997987</v>
      </c>
      <c r="N1204">
        <v>0.72884000000000004</v>
      </c>
      <c r="O1204">
        <v>102.79166669999999</v>
      </c>
      <c r="P1204">
        <v>27.057373470000002</v>
      </c>
      <c r="Q1204">
        <v>6.3567849939999999</v>
      </c>
      <c r="R1204" t="s">
        <v>1017</v>
      </c>
      <c r="S1204">
        <v>4.4473936000000016</v>
      </c>
    </row>
    <row r="1205" spans="1:19" x14ac:dyDescent="0.25">
      <c r="A1205" t="s">
        <v>55</v>
      </c>
      <c r="B1205" t="s">
        <v>874</v>
      </c>
      <c r="C1205">
        <v>12</v>
      </c>
      <c r="D1205" t="s">
        <v>23</v>
      </c>
      <c r="E1205" t="s">
        <v>94</v>
      </c>
      <c r="F1205" t="s">
        <v>113</v>
      </c>
      <c r="G1205" t="s">
        <v>110</v>
      </c>
      <c r="H1205" t="s">
        <v>113</v>
      </c>
      <c r="J1205">
        <v>0</v>
      </c>
      <c r="K1205">
        <v>1</v>
      </c>
      <c r="L1205">
        <v>83.757575759999995</v>
      </c>
      <c r="M1205">
        <v>22.60997987</v>
      </c>
      <c r="N1205">
        <v>0.72884000000000004</v>
      </c>
      <c r="O1205">
        <v>83.757575759999995</v>
      </c>
      <c r="P1205">
        <v>22.60997987</v>
      </c>
      <c r="Q1205">
        <v>0.72884000000000004</v>
      </c>
      <c r="R1205" t="s">
        <v>1017</v>
      </c>
      <c r="S1205">
        <v>0</v>
      </c>
    </row>
    <row r="1206" spans="1:19" x14ac:dyDescent="0.25">
      <c r="A1206" t="s">
        <v>55</v>
      </c>
      <c r="B1206" t="s">
        <v>875</v>
      </c>
      <c r="C1206">
        <v>12</v>
      </c>
      <c r="D1206" t="s">
        <v>23</v>
      </c>
      <c r="E1206" t="s">
        <v>94</v>
      </c>
      <c r="F1206" t="s">
        <v>110</v>
      </c>
      <c r="G1206" t="s">
        <v>103</v>
      </c>
      <c r="H1206" t="s">
        <v>114</v>
      </c>
      <c r="J1206">
        <v>0</v>
      </c>
      <c r="K1206" t="s">
        <v>114</v>
      </c>
      <c r="L1206">
        <v>73.260869569999997</v>
      </c>
      <c r="M1206">
        <v>34.453830549999999</v>
      </c>
      <c r="N1206">
        <v>1.058333333</v>
      </c>
      <c r="O1206" t="s">
        <v>114</v>
      </c>
      <c r="P1206" t="s">
        <v>114</v>
      </c>
      <c r="Q1206" t="s">
        <v>114</v>
      </c>
      <c r="R1206" t="s">
        <v>1017</v>
      </c>
      <c r="S1206" t="s">
        <v>114</v>
      </c>
    </row>
    <row r="1207" spans="1:19" x14ac:dyDescent="0.25">
      <c r="A1207" t="s">
        <v>55</v>
      </c>
      <c r="B1207" t="s">
        <v>876</v>
      </c>
      <c r="C1207">
        <v>12</v>
      </c>
      <c r="D1207" t="s">
        <v>23</v>
      </c>
      <c r="E1207" t="s">
        <v>94</v>
      </c>
      <c r="F1207" t="s">
        <v>103</v>
      </c>
      <c r="G1207" t="s">
        <v>103</v>
      </c>
      <c r="H1207" t="s">
        <v>114</v>
      </c>
      <c r="J1207">
        <v>0</v>
      </c>
      <c r="K1207" t="s">
        <v>114</v>
      </c>
      <c r="L1207">
        <v>98.291666669999998</v>
      </c>
      <c r="M1207">
        <v>30.315130790000001</v>
      </c>
      <c r="N1207">
        <v>5.0803484000000003E-2</v>
      </c>
      <c r="O1207" t="s">
        <v>114</v>
      </c>
      <c r="P1207" t="s">
        <v>114</v>
      </c>
      <c r="Q1207" t="s">
        <v>114</v>
      </c>
      <c r="R1207" t="s">
        <v>1017</v>
      </c>
      <c r="S1207" t="s">
        <v>114</v>
      </c>
    </row>
    <row r="1208" spans="1:19" x14ac:dyDescent="0.25">
      <c r="A1208" t="s">
        <v>55</v>
      </c>
      <c r="B1208" t="s">
        <v>877</v>
      </c>
      <c r="C1208">
        <v>12</v>
      </c>
      <c r="D1208" t="s">
        <v>23</v>
      </c>
      <c r="E1208" t="s">
        <v>94</v>
      </c>
      <c r="F1208" t="s">
        <v>111</v>
      </c>
      <c r="G1208" t="s">
        <v>113</v>
      </c>
      <c r="H1208" t="s">
        <v>113</v>
      </c>
      <c r="J1208">
        <v>0</v>
      </c>
      <c r="K1208">
        <v>2</v>
      </c>
      <c r="L1208">
        <v>94.97142857</v>
      </c>
      <c r="M1208">
        <v>24.31591813</v>
      </c>
      <c r="N1208">
        <v>0.122951111</v>
      </c>
      <c r="O1208">
        <v>83.757575759999995</v>
      </c>
      <c r="P1208">
        <v>22.60997987</v>
      </c>
      <c r="Q1208">
        <v>0.72884000000000004</v>
      </c>
      <c r="R1208" t="s">
        <v>1017</v>
      </c>
      <c r="S1208">
        <v>1.7059382599999999</v>
      </c>
    </row>
    <row r="1209" spans="1:19" x14ac:dyDescent="0.25">
      <c r="A1209" t="s">
        <v>55</v>
      </c>
      <c r="B1209" t="s">
        <v>877</v>
      </c>
      <c r="C1209">
        <v>12</v>
      </c>
      <c r="D1209" t="s">
        <v>23</v>
      </c>
      <c r="E1209" t="s">
        <v>94</v>
      </c>
      <c r="F1209" t="s">
        <v>111</v>
      </c>
      <c r="G1209" t="s">
        <v>113</v>
      </c>
      <c r="H1209" t="s">
        <v>797</v>
      </c>
      <c r="J1209">
        <v>0</v>
      </c>
      <c r="K1209">
        <v>1</v>
      </c>
      <c r="L1209">
        <v>94.97142857</v>
      </c>
      <c r="M1209">
        <v>24.31591813</v>
      </c>
      <c r="N1209">
        <v>0.122951111</v>
      </c>
      <c r="O1209">
        <v>179.45454549999999</v>
      </c>
      <c r="P1209">
        <v>26.326869609999999</v>
      </c>
      <c r="Q1209">
        <v>2.3456094639999998</v>
      </c>
      <c r="R1209" t="s">
        <v>1017</v>
      </c>
      <c r="S1209">
        <v>2.0109514799999992</v>
      </c>
    </row>
    <row r="1210" spans="1:19" x14ac:dyDescent="0.25">
      <c r="A1210" t="s">
        <v>56</v>
      </c>
      <c r="B1210" t="s">
        <v>878</v>
      </c>
      <c r="C1210">
        <v>12</v>
      </c>
      <c r="D1210" t="s">
        <v>25</v>
      </c>
      <c r="E1210" t="s">
        <v>94</v>
      </c>
      <c r="F1210" t="s">
        <v>113</v>
      </c>
      <c r="G1210" t="s">
        <v>113</v>
      </c>
      <c r="H1210" t="s">
        <v>113</v>
      </c>
      <c r="J1210">
        <v>0</v>
      </c>
      <c r="K1210">
        <v>3</v>
      </c>
      <c r="L1210">
        <v>83.757575759999995</v>
      </c>
      <c r="M1210">
        <v>22.60997987</v>
      </c>
      <c r="N1210">
        <v>0.72884000000000004</v>
      </c>
      <c r="O1210">
        <v>83.757575759999995</v>
      </c>
      <c r="P1210">
        <v>22.60997987</v>
      </c>
      <c r="Q1210">
        <v>0.72884000000000004</v>
      </c>
      <c r="R1210" t="s">
        <v>1017</v>
      </c>
      <c r="S1210">
        <v>0</v>
      </c>
    </row>
    <row r="1211" spans="1:19" x14ac:dyDescent="0.25">
      <c r="A1211" t="s">
        <v>56</v>
      </c>
      <c r="B1211" t="s">
        <v>879</v>
      </c>
      <c r="C1211">
        <v>12</v>
      </c>
      <c r="D1211" t="s">
        <v>25</v>
      </c>
      <c r="E1211" t="s">
        <v>94</v>
      </c>
      <c r="F1211" t="s">
        <v>111</v>
      </c>
      <c r="G1211" t="s">
        <v>121</v>
      </c>
      <c r="H1211" t="s">
        <v>112</v>
      </c>
      <c r="J1211">
        <v>0</v>
      </c>
      <c r="K1211">
        <v>1</v>
      </c>
      <c r="L1211">
        <v>94.97142857</v>
      </c>
      <c r="M1211">
        <v>24.31591813</v>
      </c>
      <c r="N1211">
        <v>0.122951111</v>
      </c>
      <c r="O1211">
        <v>65.09375</v>
      </c>
      <c r="P1211">
        <v>37.895352600000002</v>
      </c>
      <c r="Q1211">
        <v>2.2882677779999998</v>
      </c>
      <c r="R1211" t="s">
        <v>1017</v>
      </c>
      <c r="S1211">
        <v>13.579434470000002</v>
      </c>
    </row>
    <row r="1212" spans="1:19" x14ac:dyDescent="0.25">
      <c r="A1212" t="s">
        <v>56</v>
      </c>
      <c r="B1212" t="s">
        <v>880</v>
      </c>
      <c r="C1212">
        <v>12</v>
      </c>
      <c r="D1212" t="s">
        <v>25</v>
      </c>
      <c r="E1212" t="s">
        <v>94</v>
      </c>
      <c r="F1212" t="s">
        <v>104</v>
      </c>
      <c r="G1212" t="s">
        <v>121</v>
      </c>
      <c r="H1212" t="s">
        <v>104</v>
      </c>
      <c r="J1212">
        <v>0</v>
      </c>
      <c r="K1212">
        <v>1</v>
      </c>
      <c r="L1212">
        <v>113.9375</v>
      </c>
      <c r="M1212">
        <v>33.375507550000002</v>
      </c>
      <c r="N1212">
        <v>2.4262999999999999</v>
      </c>
      <c r="O1212">
        <v>113.9375</v>
      </c>
      <c r="P1212">
        <v>33.375507550000002</v>
      </c>
      <c r="Q1212">
        <v>2.4262999999999999</v>
      </c>
      <c r="R1212" t="s">
        <v>1017</v>
      </c>
      <c r="S1212">
        <v>0</v>
      </c>
    </row>
    <row r="1213" spans="1:19" x14ac:dyDescent="0.25">
      <c r="A1213" t="s">
        <v>56</v>
      </c>
      <c r="B1213" t="s">
        <v>881</v>
      </c>
      <c r="C1213">
        <v>12</v>
      </c>
      <c r="D1213" t="s">
        <v>25</v>
      </c>
      <c r="E1213" t="s">
        <v>94</v>
      </c>
      <c r="F1213" t="s">
        <v>112</v>
      </c>
      <c r="G1213" t="s">
        <v>121</v>
      </c>
      <c r="H1213" t="s">
        <v>241</v>
      </c>
      <c r="J1213">
        <v>0</v>
      </c>
      <c r="K1213">
        <v>4</v>
      </c>
      <c r="L1213">
        <v>65.09375</v>
      </c>
      <c r="M1213">
        <v>37.895352600000002</v>
      </c>
      <c r="N1213">
        <v>2.2882677779999998</v>
      </c>
      <c r="O1213">
        <v>114</v>
      </c>
      <c r="P1213">
        <v>30.43077242</v>
      </c>
      <c r="Q1213">
        <v>0.53383111100000002</v>
      </c>
      <c r="R1213" t="s">
        <v>1017</v>
      </c>
      <c r="S1213">
        <v>7.4645801800000022</v>
      </c>
    </row>
    <row r="1214" spans="1:19" x14ac:dyDescent="0.25">
      <c r="A1214" t="s">
        <v>57</v>
      </c>
      <c r="B1214" t="s">
        <v>882</v>
      </c>
      <c r="C1214">
        <v>12</v>
      </c>
      <c r="D1214" t="s">
        <v>27</v>
      </c>
      <c r="E1214" t="s">
        <v>94</v>
      </c>
      <c r="F1214" t="s">
        <v>105</v>
      </c>
      <c r="G1214" t="s">
        <v>121</v>
      </c>
      <c r="H1214" t="s">
        <v>247</v>
      </c>
      <c r="J1214">
        <v>0</v>
      </c>
      <c r="K1214">
        <v>1</v>
      </c>
      <c r="L1214">
        <v>67.5</v>
      </c>
      <c r="M1214">
        <v>47.937235809999997</v>
      </c>
      <c r="N1214">
        <v>0.41599678000000001</v>
      </c>
      <c r="O1214">
        <v>65.791044779999993</v>
      </c>
      <c r="P1214">
        <v>22.94519201</v>
      </c>
      <c r="Q1214">
        <v>8.1320334999999994E-2</v>
      </c>
      <c r="R1214" t="s">
        <v>1017</v>
      </c>
      <c r="S1214">
        <v>24.992043799999998</v>
      </c>
    </row>
    <row r="1215" spans="1:19" x14ac:dyDescent="0.25">
      <c r="A1215" t="s">
        <v>57</v>
      </c>
      <c r="B1215" t="s">
        <v>882</v>
      </c>
      <c r="C1215">
        <v>12</v>
      </c>
      <c r="D1215" t="s">
        <v>27</v>
      </c>
      <c r="E1215" t="s">
        <v>94</v>
      </c>
      <c r="F1215" t="s">
        <v>105</v>
      </c>
      <c r="G1215" t="s">
        <v>121</v>
      </c>
      <c r="H1215" t="s">
        <v>103</v>
      </c>
      <c r="J1215">
        <v>0</v>
      </c>
      <c r="K1215">
        <v>1</v>
      </c>
      <c r="L1215">
        <v>67.5</v>
      </c>
      <c r="M1215">
        <v>47.937235809999997</v>
      </c>
      <c r="N1215">
        <v>0.41599678000000001</v>
      </c>
      <c r="O1215">
        <v>98.291666669999998</v>
      </c>
      <c r="P1215">
        <v>30.315130790000001</v>
      </c>
      <c r="Q1215">
        <v>5.0803484000000003E-2</v>
      </c>
      <c r="R1215" t="s">
        <v>1017</v>
      </c>
      <c r="S1215">
        <v>17.622105019999996</v>
      </c>
    </row>
    <row r="1216" spans="1:19" x14ac:dyDescent="0.25">
      <c r="A1216" t="s">
        <v>57</v>
      </c>
      <c r="B1216" t="s">
        <v>882</v>
      </c>
      <c r="C1216">
        <v>12</v>
      </c>
      <c r="D1216" t="s">
        <v>27</v>
      </c>
      <c r="E1216" t="s">
        <v>94</v>
      </c>
      <c r="F1216" t="s">
        <v>105</v>
      </c>
      <c r="G1216" t="s">
        <v>121</v>
      </c>
      <c r="H1216" t="s">
        <v>233</v>
      </c>
      <c r="J1216">
        <v>0</v>
      </c>
      <c r="K1216">
        <v>6</v>
      </c>
      <c r="L1216">
        <v>67.5</v>
      </c>
      <c r="M1216">
        <v>47.937235809999997</v>
      </c>
      <c r="N1216">
        <v>0.41599678000000001</v>
      </c>
      <c r="O1216">
        <v>106.0540541</v>
      </c>
      <c r="P1216">
        <v>52.690533369999997</v>
      </c>
      <c r="Q1216">
        <v>7.6058968000000005E-2</v>
      </c>
      <c r="R1216" t="s">
        <v>1017</v>
      </c>
      <c r="S1216">
        <v>4.75329756</v>
      </c>
    </row>
    <row r="1217" spans="1:19" x14ac:dyDescent="0.25">
      <c r="A1217" t="s">
        <v>57</v>
      </c>
      <c r="B1217" t="s">
        <v>883</v>
      </c>
      <c r="C1217">
        <v>12</v>
      </c>
      <c r="D1217" t="s">
        <v>27</v>
      </c>
      <c r="E1217" t="s">
        <v>94</v>
      </c>
      <c r="F1217" t="s">
        <v>113</v>
      </c>
      <c r="G1217" t="s">
        <v>121</v>
      </c>
      <c r="H1217" t="s">
        <v>114</v>
      </c>
      <c r="J1217">
        <v>0</v>
      </c>
      <c r="K1217" t="s">
        <v>114</v>
      </c>
      <c r="L1217">
        <v>83.757575759999995</v>
      </c>
      <c r="M1217">
        <v>22.60997987</v>
      </c>
      <c r="N1217">
        <v>0.72884000000000004</v>
      </c>
      <c r="O1217" t="s">
        <v>114</v>
      </c>
      <c r="P1217" t="s">
        <v>114</v>
      </c>
      <c r="Q1217" t="s">
        <v>114</v>
      </c>
      <c r="R1217" t="s">
        <v>1017</v>
      </c>
      <c r="S1217" t="s">
        <v>114</v>
      </c>
    </row>
    <row r="1218" spans="1:19" x14ac:dyDescent="0.25">
      <c r="A1218" t="s">
        <v>57</v>
      </c>
      <c r="B1218" t="s">
        <v>884</v>
      </c>
      <c r="C1218">
        <v>12</v>
      </c>
      <c r="D1218" t="s">
        <v>27</v>
      </c>
      <c r="E1218" t="s">
        <v>94</v>
      </c>
      <c r="F1218" t="s">
        <v>112</v>
      </c>
      <c r="G1218" t="s">
        <v>112</v>
      </c>
      <c r="H1218" t="s">
        <v>112</v>
      </c>
      <c r="J1218">
        <v>0</v>
      </c>
      <c r="K1218">
        <v>2</v>
      </c>
      <c r="L1218">
        <v>65.09375</v>
      </c>
      <c r="M1218">
        <v>37.895352600000002</v>
      </c>
      <c r="N1218">
        <v>2.2882677779999998</v>
      </c>
      <c r="O1218">
        <v>65.09375</v>
      </c>
      <c r="P1218">
        <v>37.895352600000002</v>
      </c>
      <c r="Q1218">
        <v>2.2882677779999998</v>
      </c>
      <c r="R1218" t="s">
        <v>1017</v>
      </c>
      <c r="S1218">
        <v>0</v>
      </c>
    </row>
    <row r="1219" spans="1:19" x14ac:dyDescent="0.25">
      <c r="A1219" t="s">
        <v>57</v>
      </c>
      <c r="B1219" t="s">
        <v>884</v>
      </c>
      <c r="C1219">
        <v>12</v>
      </c>
      <c r="D1219" t="s">
        <v>27</v>
      </c>
      <c r="E1219" t="s">
        <v>94</v>
      </c>
      <c r="F1219" t="s">
        <v>112</v>
      </c>
      <c r="G1219" t="s">
        <v>112</v>
      </c>
      <c r="H1219" t="s">
        <v>247</v>
      </c>
      <c r="J1219">
        <v>0</v>
      </c>
      <c r="K1219">
        <v>1</v>
      </c>
      <c r="L1219">
        <v>65.09375</v>
      </c>
      <c r="M1219">
        <v>37.895352600000002</v>
      </c>
      <c r="N1219">
        <v>2.2882677779999998</v>
      </c>
      <c r="O1219">
        <v>65.791044779999993</v>
      </c>
      <c r="P1219">
        <v>22.94519201</v>
      </c>
      <c r="Q1219">
        <v>8.1320334999999994E-2</v>
      </c>
      <c r="R1219" t="s">
        <v>1017</v>
      </c>
      <c r="S1219">
        <v>14.950160590000003</v>
      </c>
    </row>
    <row r="1220" spans="1:19" x14ac:dyDescent="0.25">
      <c r="A1220" t="s">
        <v>58</v>
      </c>
      <c r="B1220" t="s">
        <v>885</v>
      </c>
      <c r="C1220">
        <v>12</v>
      </c>
      <c r="D1220" t="s">
        <v>29</v>
      </c>
      <c r="E1220" t="s">
        <v>95</v>
      </c>
      <c r="F1220" t="s">
        <v>102</v>
      </c>
      <c r="G1220" t="s">
        <v>104</v>
      </c>
      <c r="H1220" t="s">
        <v>104</v>
      </c>
      <c r="J1220">
        <v>0</v>
      </c>
      <c r="K1220">
        <v>1</v>
      </c>
      <c r="L1220">
        <v>84.740740740000007</v>
      </c>
      <c r="M1220">
        <v>29.167014049999999</v>
      </c>
      <c r="N1220">
        <v>1.1169849999999999</v>
      </c>
      <c r="O1220">
        <v>113.9375</v>
      </c>
      <c r="P1220">
        <v>33.375507550000002</v>
      </c>
      <c r="Q1220">
        <v>2.4262999999999999</v>
      </c>
      <c r="R1220" t="s">
        <v>1017</v>
      </c>
      <c r="S1220">
        <v>4.208493500000003</v>
      </c>
    </row>
    <row r="1221" spans="1:19" x14ac:dyDescent="0.25">
      <c r="A1221" t="s">
        <v>58</v>
      </c>
      <c r="B1221" t="s">
        <v>885</v>
      </c>
      <c r="C1221">
        <v>12</v>
      </c>
      <c r="D1221" t="s">
        <v>29</v>
      </c>
      <c r="E1221" t="s">
        <v>95</v>
      </c>
      <c r="F1221" t="s">
        <v>102</v>
      </c>
      <c r="G1221" t="s">
        <v>104</v>
      </c>
      <c r="H1221" t="s">
        <v>246</v>
      </c>
      <c r="J1221">
        <v>0</v>
      </c>
      <c r="K1221">
        <v>1</v>
      </c>
      <c r="L1221">
        <v>84.740740740000007</v>
      </c>
      <c r="M1221">
        <v>29.167014049999999</v>
      </c>
      <c r="N1221">
        <v>1.1169849999999999</v>
      </c>
      <c r="O1221">
        <v>120.25</v>
      </c>
      <c r="P1221">
        <v>30.670450110000001</v>
      </c>
      <c r="Q1221">
        <v>0.91037498500000003</v>
      </c>
      <c r="R1221" t="s">
        <v>1017</v>
      </c>
      <c r="S1221">
        <v>1.5034360600000021</v>
      </c>
    </row>
    <row r="1222" spans="1:19" x14ac:dyDescent="0.25">
      <c r="A1222" t="s">
        <v>58</v>
      </c>
      <c r="B1222" t="s">
        <v>886</v>
      </c>
      <c r="C1222">
        <v>12</v>
      </c>
      <c r="D1222" t="s">
        <v>29</v>
      </c>
      <c r="E1222" t="s">
        <v>95</v>
      </c>
      <c r="F1222" t="s">
        <v>110</v>
      </c>
      <c r="G1222" t="s">
        <v>121</v>
      </c>
      <c r="H1222" t="s">
        <v>246</v>
      </c>
      <c r="I1222" t="s">
        <v>162</v>
      </c>
      <c r="J1222">
        <v>1</v>
      </c>
      <c r="K1222">
        <v>1</v>
      </c>
      <c r="L1222">
        <v>73.260869569999997</v>
      </c>
      <c r="M1222">
        <v>34.453830549999999</v>
      </c>
      <c r="N1222">
        <v>1.058333333</v>
      </c>
      <c r="O1222">
        <v>120.25</v>
      </c>
      <c r="P1222">
        <v>30.670450110000001</v>
      </c>
      <c r="Q1222">
        <v>0.91037498500000003</v>
      </c>
      <c r="R1222" t="s">
        <v>1017</v>
      </c>
      <c r="S1222">
        <v>3.7833804399999984</v>
      </c>
    </row>
    <row r="1223" spans="1:19" x14ac:dyDescent="0.25">
      <c r="A1223" t="s">
        <v>58</v>
      </c>
      <c r="B1223" t="s">
        <v>886</v>
      </c>
      <c r="C1223">
        <v>12</v>
      </c>
      <c r="D1223" t="s">
        <v>29</v>
      </c>
      <c r="E1223" t="s">
        <v>95</v>
      </c>
      <c r="F1223" t="s">
        <v>110</v>
      </c>
      <c r="G1223" t="s">
        <v>121</v>
      </c>
      <c r="H1223" t="s">
        <v>239</v>
      </c>
      <c r="J1223">
        <v>1</v>
      </c>
      <c r="K1223">
        <v>1</v>
      </c>
      <c r="L1223">
        <v>73.260869569999997</v>
      </c>
      <c r="M1223">
        <v>34.453830549999999</v>
      </c>
      <c r="N1223">
        <v>1.058333333</v>
      </c>
      <c r="O1223">
        <v>100.45454549999999</v>
      </c>
      <c r="P1223">
        <v>26.754810689999999</v>
      </c>
      <c r="Q1223">
        <v>0.75829999999999997</v>
      </c>
      <c r="R1223" t="s">
        <v>1017</v>
      </c>
      <c r="S1223">
        <v>7.6990198599999999</v>
      </c>
    </row>
    <row r="1224" spans="1:19" x14ac:dyDescent="0.25">
      <c r="A1224" t="s">
        <v>58</v>
      </c>
      <c r="B1224" t="s">
        <v>887</v>
      </c>
      <c r="C1224">
        <v>12</v>
      </c>
      <c r="D1224" t="s">
        <v>29</v>
      </c>
      <c r="E1224" t="s">
        <v>95</v>
      </c>
      <c r="F1224" t="s">
        <v>103</v>
      </c>
      <c r="G1224" t="s">
        <v>121</v>
      </c>
      <c r="H1224" t="s">
        <v>249</v>
      </c>
      <c r="J1224">
        <v>0</v>
      </c>
      <c r="K1224">
        <v>1</v>
      </c>
      <c r="L1224">
        <v>98.291666669999998</v>
      </c>
      <c r="M1224">
        <v>30.315130790000001</v>
      </c>
      <c r="N1224">
        <v>5.0803484000000003E-2</v>
      </c>
      <c r="O1224">
        <v>81.666666669999998</v>
      </c>
      <c r="P1224">
        <v>48.056268459999998</v>
      </c>
      <c r="Q1224">
        <v>0.120291364</v>
      </c>
      <c r="R1224" t="s">
        <v>1017</v>
      </c>
      <c r="S1224">
        <v>17.741137669999997</v>
      </c>
    </row>
    <row r="1225" spans="1:19" x14ac:dyDescent="0.25">
      <c r="A1225" t="s">
        <v>58</v>
      </c>
      <c r="B1225" t="s">
        <v>887</v>
      </c>
      <c r="C1225">
        <v>12</v>
      </c>
      <c r="D1225" t="s">
        <v>29</v>
      </c>
      <c r="E1225" t="s">
        <v>95</v>
      </c>
      <c r="F1225" t="s">
        <v>103</v>
      </c>
      <c r="G1225" t="s">
        <v>121</v>
      </c>
      <c r="H1225" t="s">
        <v>238</v>
      </c>
      <c r="J1225">
        <v>0</v>
      </c>
      <c r="K1225">
        <v>1</v>
      </c>
      <c r="L1225">
        <v>98.291666669999998</v>
      </c>
      <c r="M1225">
        <v>30.315130790000001</v>
      </c>
      <c r="N1225">
        <v>5.0803484000000003E-2</v>
      </c>
      <c r="O1225">
        <v>87.5</v>
      </c>
      <c r="P1225">
        <v>29.478311600000001</v>
      </c>
      <c r="Q1225">
        <v>3.0797751000000002E-2</v>
      </c>
      <c r="R1225" t="s">
        <v>1017</v>
      </c>
      <c r="S1225">
        <v>0.83681918999999994</v>
      </c>
    </row>
    <row r="1226" spans="1:19" x14ac:dyDescent="0.25">
      <c r="A1226" t="s">
        <v>59</v>
      </c>
      <c r="B1226" t="s">
        <v>888</v>
      </c>
      <c r="C1226">
        <v>12</v>
      </c>
      <c r="D1226" t="s">
        <v>31</v>
      </c>
      <c r="E1226" t="s">
        <v>94</v>
      </c>
      <c r="F1226" t="s">
        <v>105</v>
      </c>
      <c r="G1226" t="s">
        <v>121</v>
      </c>
      <c r="H1226" t="s">
        <v>241</v>
      </c>
      <c r="J1226">
        <v>0</v>
      </c>
      <c r="K1226">
        <v>1</v>
      </c>
      <c r="L1226">
        <v>67.5</v>
      </c>
      <c r="M1226">
        <v>47.937235809999997</v>
      </c>
      <c r="N1226">
        <v>0.41599678000000001</v>
      </c>
      <c r="O1226">
        <v>114</v>
      </c>
      <c r="P1226">
        <v>30.43077242</v>
      </c>
      <c r="Q1226">
        <v>0.53383111100000002</v>
      </c>
      <c r="R1226" t="s">
        <v>1017</v>
      </c>
      <c r="S1226">
        <v>17.506463389999997</v>
      </c>
    </row>
    <row r="1227" spans="1:19" x14ac:dyDescent="0.25">
      <c r="A1227" t="s">
        <v>59</v>
      </c>
      <c r="B1227" t="s">
        <v>889</v>
      </c>
      <c r="C1227">
        <v>12</v>
      </c>
      <c r="D1227" t="s">
        <v>31</v>
      </c>
      <c r="E1227" t="s">
        <v>94</v>
      </c>
      <c r="F1227" t="s">
        <v>110</v>
      </c>
      <c r="G1227" t="s">
        <v>121</v>
      </c>
      <c r="H1227" t="s">
        <v>241</v>
      </c>
      <c r="J1227">
        <v>0</v>
      </c>
      <c r="K1227">
        <v>2</v>
      </c>
      <c r="L1227">
        <v>73.260869569999997</v>
      </c>
      <c r="M1227">
        <v>34.453830549999999</v>
      </c>
      <c r="N1227">
        <v>1.058333333</v>
      </c>
      <c r="O1227">
        <v>114</v>
      </c>
      <c r="P1227">
        <v>30.43077242</v>
      </c>
      <c r="Q1227">
        <v>0.53383111100000002</v>
      </c>
      <c r="R1227" t="s">
        <v>1017</v>
      </c>
      <c r="S1227">
        <v>4.023058129999999</v>
      </c>
    </row>
    <row r="1228" spans="1:19" x14ac:dyDescent="0.25">
      <c r="A1228" t="s">
        <v>60</v>
      </c>
      <c r="B1228" t="s">
        <v>890</v>
      </c>
      <c r="C1228">
        <v>12</v>
      </c>
      <c r="D1228" t="s">
        <v>33</v>
      </c>
      <c r="E1228" t="s">
        <v>95</v>
      </c>
      <c r="F1228" t="s">
        <v>102</v>
      </c>
      <c r="G1228" t="s">
        <v>104</v>
      </c>
      <c r="H1228" t="s">
        <v>104</v>
      </c>
      <c r="J1228">
        <v>0</v>
      </c>
      <c r="K1228">
        <v>1</v>
      </c>
      <c r="L1228">
        <v>84.740740740000007</v>
      </c>
      <c r="M1228">
        <v>29.167014049999999</v>
      </c>
      <c r="N1228">
        <v>1.1169849999999999</v>
      </c>
      <c r="O1228">
        <v>113.9375</v>
      </c>
      <c r="P1228">
        <v>33.375507550000002</v>
      </c>
      <c r="Q1228">
        <v>2.4262999999999999</v>
      </c>
      <c r="R1228" t="s">
        <v>1017</v>
      </c>
      <c r="S1228">
        <v>4.208493500000003</v>
      </c>
    </row>
    <row r="1229" spans="1:19" x14ac:dyDescent="0.25">
      <c r="A1229" t="s">
        <v>60</v>
      </c>
      <c r="B1229" t="s">
        <v>891</v>
      </c>
      <c r="C1229">
        <v>12</v>
      </c>
      <c r="D1229" t="s">
        <v>33</v>
      </c>
      <c r="E1229" t="s">
        <v>95</v>
      </c>
      <c r="F1229" t="s">
        <v>110</v>
      </c>
      <c r="G1229" t="s">
        <v>121</v>
      </c>
      <c r="H1229" t="s">
        <v>241</v>
      </c>
      <c r="J1229">
        <v>0</v>
      </c>
      <c r="K1229">
        <v>2</v>
      </c>
      <c r="L1229">
        <v>73.260869569999997</v>
      </c>
      <c r="M1229">
        <v>34.453830549999999</v>
      </c>
      <c r="N1229">
        <v>1.058333333</v>
      </c>
      <c r="O1229">
        <v>114</v>
      </c>
      <c r="P1229">
        <v>30.43077242</v>
      </c>
      <c r="Q1229">
        <v>0.53383111100000002</v>
      </c>
      <c r="R1229" t="s">
        <v>1017</v>
      </c>
      <c r="S1229">
        <v>4.023058129999999</v>
      </c>
    </row>
    <row r="1230" spans="1:19" x14ac:dyDescent="0.25">
      <c r="A1230" t="s">
        <v>60</v>
      </c>
      <c r="B1230" t="s">
        <v>891</v>
      </c>
      <c r="C1230">
        <v>12</v>
      </c>
      <c r="D1230" t="s">
        <v>33</v>
      </c>
      <c r="E1230" t="s">
        <v>95</v>
      </c>
      <c r="F1230" t="s">
        <v>110</v>
      </c>
      <c r="G1230" t="s">
        <v>121</v>
      </c>
      <c r="H1230" t="s">
        <v>246</v>
      </c>
      <c r="J1230">
        <v>0</v>
      </c>
      <c r="K1230">
        <v>2</v>
      </c>
      <c r="L1230">
        <v>73.260869569999997</v>
      </c>
      <c r="M1230">
        <v>34.453830549999999</v>
      </c>
      <c r="N1230">
        <v>1.058333333</v>
      </c>
      <c r="O1230">
        <v>120.25</v>
      </c>
      <c r="P1230">
        <v>30.670450110000001</v>
      </c>
      <c r="Q1230">
        <v>0.91037498500000003</v>
      </c>
      <c r="R1230" t="s">
        <v>1017</v>
      </c>
      <c r="S1230">
        <v>3.7833804399999984</v>
      </c>
    </row>
    <row r="1231" spans="1:19" x14ac:dyDescent="0.25">
      <c r="A1231" t="s">
        <v>60</v>
      </c>
      <c r="B1231" t="s">
        <v>892</v>
      </c>
      <c r="C1231">
        <v>12</v>
      </c>
      <c r="D1231" t="s">
        <v>33</v>
      </c>
      <c r="E1231" t="s">
        <v>95</v>
      </c>
      <c r="F1231" t="s">
        <v>104</v>
      </c>
      <c r="G1231" t="s">
        <v>104</v>
      </c>
      <c r="H1231" t="s">
        <v>104</v>
      </c>
      <c r="J1231">
        <v>0</v>
      </c>
      <c r="K1231">
        <v>1</v>
      </c>
      <c r="L1231">
        <v>113.9375</v>
      </c>
      <c r="M1231">
        <v>33.375507550000002</v>
      </c>
      <c r="N1231">
        <v>2.4262999999999999</v>
      </c>
      <c r="O1231">
        <v>113.9375</v>
      </c>
      <c r="P1231">
        <v>33.375507550000002</v>
      </c>
      <c r="Q1231">
        <v>2.4262999999999999</v>
      </c>
      <c r="R1231" t="s">
        <v>1017</v>
      </c>
      <c r="S1231">
        <v>0</v>
      </c>
    </row>
    <row r="1232" spans="1:19" x14ac:dyDescent="0.25">
      <c r="A1232" t="s">
        <v>60</v>
      </c>
      <c r="B1232" t="s">
        <v>892</v>
      </c>
      <c r="C1232">
        <v>12</v>
      </c>
      <c r="D1232" t="s">
        <v>33</v>
      </c>
      <c r="E1232" t="s">
        <v>95</v>
      </c>
      <c r="F1232" t="s">
        <v>104</v>
      </c>
      <c r="G1232" t="s">
        <v>104</v>
      </c>
      <c r="H1232" t="s">
        <v>246</v>
      </c>
      <c r="J1232">
        <v>0</v>
      </c>
      <c r="K1232">
        <v>2</v>
      </c>
      <c r="L1232">
        <v>113.9375</v>
      </c>
      <c r="M1232">
        <v>33.375507550000002</v>
      </c>
      <c r="N1232">
        <v>2.4262999999999999</v>
      </c>
      <c r="O1232">
        <v>120.25</v>
      </c>
      <c r="P1232">
        <v>30.670450110000001</v>
      </c>
      <c r="Q1232">
        <v>0.91037498500000003</v>
      </c>
      <c r="R1232" t="s">
        <v>1017</v>
      </c>
      <c r="S1232">
        <v>2.7050574400000009</v>
      </c>
    </row>
    <row r="1233" spans="1:19" x14ac:dyDescent="0.25">
      <c r="A1233" t="s">
        <v>60</v>
      </c>
      <c r="B1233" t="s">
        <v>892</v>
      </c>
      <c r="C1233">
        <v>12</v>
      </c>
      <c r="D1233" t="s">
        <v>33</v>
      </c>
      <c r="E1233" t="s">
        <v>95</v>
      </c>
      <c r="F1233" t="s">
        <v>104</v>
      </c>
      <c r="G1233" t="s">
        <v>104</v>
      </c>
      <c r="H1233" t="s">
        <v>797</v>
      </c>
      <c r="J1233">
        <v>0</v>
      </c>
      <c r="K1233">
        <v>1</v>
      </c>
      <c r="L1233">
        <v>113.9375</v>
      </c>
      <c r="M1233">
        <v>33.375507550000002</v>
      </c>
      <c r="N1233">
        <v>2.4262999999999999</v>
      </c>
      <c r="O1233">
        <v>179.45454549999999</v>
      </c>
      <c r="P1233">
        <v>26.326869609999999</v>
      </c>
      <c r="Q1233">
        <v>2.3456094639999998</v>
      </c>
      <c r="R1233" t="s">
        <v>1017</v>
      </c>
      <c r="S1233">
        <v>7.0486379400000025</v>
      </c>
    </row>
    <row r="1234" spans="1:19" x14ac:dyDescent="0.25">
      <c r="A1234" t="s">
        <v>60</v>
      </c>
      <c r="B1234" t="s">
        <v>892</v>
      </c>
      <c r="C1234">
        <v>12</v>
      </c>
      <c r="D1234" t="s">
        <v>33</v>
      </c>
      <c r="E1234" t="s">
        <v>95</v>
      </c>
      <c r="F1234" t="s">
        <v>104</v>
      </c>
      <c r="G1234" t="s">
        <v>104</v>
      </c>
      <c r="H1234" t="s">
        <v>247</v>
      </c>
      <c r="J1234">
        <v>0</v>
      </c>
      <c r="K1234">
        <v>1</v>
      </c>
      <c r="L1234">
        <v>113.9375</v>
      </c>
      <c r="M1234">
        <v>33.375507550000002</v>
      </c>
      <c r="N1234">
        <v>2.4262999999999999</v>
      </c>
      <c r="O1234">
        <v>65.791044779999993</v>
      </c>
      <c r="P1234">
        <v>22.94519201</v>
      </c>
      <c r="Q1234">
        <v>8.1320334999999994E-2</v>
      </c>
      <c r="R1234" t="s">
        <v>1017</v>
      </c>
      <c r="S1234">
        <v>10.430315540000002</v>
      </c>
    </row>
    <row r="1235" spans="1:19" x14ac:dyDescent="0.25">
      <c r="A1235" t="s">
        <v>60</v>
      </c>
      <c r="B1235" t="s">
        <v>893</v>
      </c>
      <c r="C1235">
        <v>12</v>
      </c>
      <c r="D1235" t="s">
        <v>33</v>
      </c>
      <c r="E1235" t="s">
        <v>95</v>
      </c>
      <c r="F1235" t="s">
        <v>112</v>
      </c>
      <c r="G1235" t="s">
        <v>121</v>
      </c>
      <c r="H1235" t="s">
        <v>114</v>
      </c>
      <c r="J1235">
        <v>0</v>
      </c>
      <c r="K1235">
        <v>0</v>
      </c>
      <c r="L1235">
        <v>65.09375</v>
      </c>
      <c r="M1235">
        <v>37.895352600000002</v>
      </c>
      <c r="N1235">
        <v>2.2882677779999998</v>
      </c>
      <c r="O1235" t="s">
        <v>114</v>
      </c>
      <c r="P1235" t="s">
        <v>114</v>
      </c>
      <c r="Q1235" t="s">
        <v>114</v>
      </c>
      <c r="R1235" t="s">
        <v>1017</v>
      </c>
      <c r="S1235" t="s">
        <v>114</v>
      </c>
    </row>
    <row r="1236" spans="1:19" x14ac:dyDescent="0.25">
      <c r="A1236" t="s">
        <v>61</v>
      </c>
      <c r="B1236" t="s">
        <v>894</v>
      </c>
      <c r="C1236">
        <v>12</v>
      </c>
      <c r="D1236" t="s">
        <v>35</v>
      </c>
      <c r="E1236" t="s">
        <v>94</v>
      </c>
      <c r="F1236" t="s">
        <v>102</v>
      </c>
      <c r="G1236" t="s">
        <v>121</v>
      </c>
      <c r="H1236" t="s">
        <v>162</v>
      </c>
      <c r="J1236">
        <v>1</v>
      </c>
      <c r="K1236">
        <v>1</v>
      </c>
      <c r="L1236">
        <v>84.740740740000007</v>
      </c>
      <c r="M1236">
        <v>29.167014049999999</v>
      </c>
      <c r="N1236">
        <v>1.1169849999999999</v>
      </c>
      <c r="O1236">
        <v>82.53846154</v>
      </c>
      <c r="P1236">
        <v>35.660530039999998</v>
      </c>
      <c r="Q1236">
        <v>3.3754499999999998</v>
      </c>
      <c r="R1236" t="s">
        <v>1017</v>
      </c>
      <c r="S1236">
        <v>6.4935159899999988</v>
      </c>
    </row>
    <row r="1237" spans="1:19" x14ac:dyDescent="0.25">
      <c r="A1237" t="s">
        <v>61</v>
      </c>
      <c r="B1237" t="s">
        <v>895</v>
      </c>
      <c r="C1237">
        <v>12</v>
      </c>
      <c r="D1237" t="s">
        <v>35</v>
      </c>
      <c r="E1237" t="s">
        <v>94</v>
      </c>
      <c r="F1237" t="s">
        <v>110</v>
      </c>
      <c r="G1237" t="s">
        <v>121</v>
      </c>
      <c r="H1237" t="s">
        <v>162</v>
      </c>
      <c r="J1237">
        <v>0</v>
      </c>
      <c r="K1237">
        <v>1</v>
      </c>
      <c r="L1237">
        <v>73.260869569999997</v>
      </c>
      <c r="M1237">
        <v>34.453830549999999</v>
      </c>
      <c r="N1237">
        <v>1.058333333</v>
      </c>
      <c r="O1237">
        <v>82.53846154</v>
      </c>
      <c r="P1237">
        <v>35.660530039999998</v>
      </c>
      <c r="Q1237">
        <v>3.3754499999999998</v>
      </c>
      <c r="R1237" t="s">
        <v>1017</v>
      </c>
      <c r="S1237">
        <v>1.2066994899999983</v>
      </c>
    </row>
    <row r="1238" spans="1:19" x14ac:dyDescent="0.25">
      <c r="A1238" t="s">
        <v>61</v>
      </c>
      <c r="B1238" t="s">
        <v>895</v>
      </c>
      <c r="C1238">
        <v>12</v>
      </c>
      <c r="D1238" t="s">
        <v>35</v>
      </c>
      <c r="E1238" t="s">
        <v>94</v>
      </c>
      <c r="F1238" t="s">
        <v>110</v>
      </c>
      <c r="G1238" t="s">
        <v>121</v>
      </c>
      <c r="H1238" t="s">
        <v>102</v>
      </c>
      <c r="J1238">
        <v>0</v>
      </c>
      <c r="K1238">
        <v>1</v>
      </c>
      <c r="L1238">
        <v>73.260869569999997</v>
      </c>
      <c r="M1238">
        <v>34.453830549999999</v>
      </c>
      <c r="N1238">
        <v>1.058333333</v>
      </c>
      <c r="O1238">
        <v>84.740740740000007</v>
      </c>
      <c r="P1238">
        <v>29.167014049999999</v>
      </c>
      <c r="Q1238">
        <v>1.1169849999999999</v>
      </c>
      <c r="R1238" t="s">
        <v>1017</v>
      </c>
      <c r="S1238">
        <v>5.2868165000000005</v>
      </c>
    </row>
    <row r="1239" spans="1:19" x14ac:dyDescent="0.25">
      <c r="A1239" t="s">
        <v>61</v>
      </c>
      <c r="B1239" t="s">
        <v>896</v>
      </c>
      <c r="C1239">
        <v>12</v>
      </c>
      <c r="D1239" t="s">
        <v>35</v>
      </c>
      <c r="E1239" t="s">
        <v>94</v>
      </c>
      <c r="F1239" t="s">
        <v>112</v>
      </c>
      <c r="G1239" t="s">
        <v>121</v>
      </c>
      <c r="H1239" t="s">
        <v>162</v>
      </c>
      <c r="J1239">
        <v>0</v>
      </c>
      <c r="K1239">
        <v>1</v>
      </c>
      <c r="L1239">
        <v>65.09375</v>
      </c>
      <c r="M1239">
        <v>37.895352600000002</v>
      </c>
      <c r="N1239">
        <v>2.2882677779999998</v>
      </c>
      <c r="O1239">
        <v>82.53846154</v>
      </c>
      <c r="P1239">
        <v>35.660530039999998</v>
      </c>
      <c r="Q1239">
        <v>3.3754499999999998</v>
      </c>
      <c r="R1239" t="s">
        <v>1017</v>
      </c>
      <c r="S1239">
        <v>2.2348225600000049</v>
      </c>
    </row>
    <row r="1240" spans="1:19" x14ac:dyDescent="0.25">
      <c r="A1240" t="s">
        <v>62</v>
      </c>
      <c r="B1240" t="s">
        <v>897</v>
      </c>
      <c r="C1240">
        <v>12</v>
      </c>
      <c r="D1240" t="s">
        <v>37</v>
      </c>
      <c r="E1240" t="s">
        <v>95</v>
      </c>
      <c r="F1240" t="s">
        <v>102</v>
      </c>
      <c r="G1240" t="s">
        <v>121</v>
      </c>
      <c r="H1240" t="s">
        <v>114</v>
      </c>
      <c r="J1240">
        <v>0</v>
      </c>
      <c r="K1240">
        <v>0</v>
      </c>
      <c r="L1240">
        <v>84.740740740000007</v>
      </c>
      <c r="M1240">
        <v>29.167014049999999</v>
      </c>
      <c r="N1240">
        <v>1.1169849999999999</v>
      </c>
      <c r="O1240" t="s">
        <v>114</v>
      </c>
      <c r="P1240" t="s">
        <v>114</v>
      </c>
      <c r="Q1240" t="s">
        <v>114</v>
      </c>
      <c r="R1240" t="s">
        <v>1017</v>
      </c>
      <c r="S1240" t="s">
        <v>114</v>
      </c>
    </row>
    <row r="1241" spans="1:19" x14ac:dyDescent="0.25">
      <c r="A1241" t="s">
        <v>62</v>
      </c>
      <c r="B1241" t="s">
        <v>898</v>
      </c>
      <c r="C1241">
        <v>12</v>
      </c>
      <c r="D1241" t="s">
        <v>37</v>
      </c>
      <c r="E1241" t="s">
        <v>95</v>
      </c>
      <c r="F1241" t="s">
        <v>103</v>
      </c>
      <c r="G1241" t="s">
        <v>121</v>
      </c>
      <c r="H1241" t="s">
        <v>233</v>
      </c>
      <c r="J1241">
        <v>0</v>
      </c>
      <c r="K1241">
        <v>1</v>
      </c>
      <c r="L1241">
        <v>98.291666669999998</v>
      </c>
      <c r="M1241">
        <v>30.315130790000001</v>
      </c>
      <c r="N1241">
        <v>5.0803484000000003E-2</v>
      </c>
      <c r="O1241">
        <v>106.0540541</v>
      </c>
      <c r="P1241">
        <v>52.690533369999997</v>
      </c>
      <c r="Q1241">
        <v>7.6058968000000005E-2</v>
      </c>
      <c r="R1241" t="s">
        <v>1017</v>
      </c>
      <c r="S1241">
        <v>22.375402579999996</v>
      </c>
    </row>
    <row r="1242" spans="1:19" x14ac:dyDescent="0.25">
      <c r="A1242" t="s">
        <v>62</v>
      </c>
      <c r="B1242" t="s">
        <v>898</v>
      </c>
      <c r="C1242">
        <v>12</v>
      </c>
      <c r="D1242" t="s">
        <v>37</v>
      </c>
      <c r="E1242" t="s">
        <v>95</v>
      </c>
      <c r="F1242" t="s">
        <v>103</v>
      </c>
      <c r="G1242" t="s">
        <v>121</v>
      </c>
      <c r="H1242" t="s">
        <v>234</v>
      </c>
      <c r="J1242">
        <v>0</v>
      </c>
      <c r="K1242">
        <v>1</v>
      </c>
      <c r="L1242">
        <v>98.291666669999998</v>
      </c>
      <c r="M1242">
        <v>30.315130790000001</v>
      </c>
      <c r="N1242">
        <v>5.0803484000000003E-2</v>
      </c>
      <c r="O1242">
        <v>89.8125</v>
      </c>
      <c r="P1242">
        <v>34.754706650000003</v>
      </c>
      <c r="Q1242">
        <v>2.3065078999999999E-2</v>
      </c>
      <c r="R1242" t="s">
        <v>1017</v>
      </c>
      <c r="S1242">
        <v>4.4395758600000015</v>
      </c>
    </row>
    <row r="1243" spans="1:19" x14ac:dyDescent="0.25">
      <c r="A1243" t="s">
        <v>62</v>
      </c>
      <c r="B1243" t="s">
        <v>898</v>
      </c>
      <c r="C1243">
        <v>12</v>
      </c>
      <c r="D1243" t="s">
        <v>37</v>
      </c>
      <c r="E1243" t="s">
        <v>95</v>
      </c>
      <c r="F1243" t="s">
        <v>103</v>
      </c>
      <c r="G1243" t="s">
        <v>121</v>
      </c>
      <c r="H1243" t="s">
        <v>241</v>
      </c>
      <c r="J1243">
        <v>0</v>
      </c>
      <c r="K1243">
        <v>1</v>
      </c>
      <c r="L1243">
        <v>98.291666669999998</v>
      </c>
      <c r="M1243">
        <v>30.315130790000001</v>
      </c>
      <c r="N1243">
        <v>5.0803484000000003E-2</v>
      </c>
      <c r="O1243">
        <v>114</v>
      </c>
      <c r="P1243">
        <v>30.43077242</v>
      </c>
      <c r="Q1243">
        <v>0.53383111100000002</v>
      </c>
      <c r="R1243" t="s">
        <v>1017</v>
      </c>
      <c r="S1243">
        <v>0.11564162999999894</v>
      </c>
    </row>
    <row r="1244" spans="1:19" x14ac:dyDescent="0.25">
      <c r="A1244" t="s">
        <v>63</v>
      </c>
      <c r="B1244" t="s">
        <v>899</v>
      </c>
      <c r="C1244">
        <v>12</v>
      </c>
      <c r="D1244" t="s">
        <v>64</v>
      </c>
      <c r="E1244" t="s">
        <v>94</v>
      </c>
      <c r="F1244" t="s">
        <v>104</v>
      </c>
      <c r="G1244" t="s">
        <v>121</v>
      </c>
      <c r="H1244" t="s">
        <v>238</v>
      </c>
      <c r="J1244">
        <v>0</v>
      </c>
      <c r="K1244">
        <v>2</v>
      </c>
      <c r="L1244">
        <v>113.9375</v>
      </c>
      <c r="M1244">
        <v>33.375507550000002</v>
      </c>
      <c r="N1244">
        <v>2.4262999999999999</v>
      </c>
      <c r="O1244">
        <v>87.5</v>
      </c>
      <c r="P1244">
        <v>29.478311600000001</v>
      </c>
      <c r="Q1244">
        <v>3.0797751000000002E-2</v>
      </c>
      <c r="R1244" t="s">
        <v>1017</v>
      </c>
      <c r="S1244">
        <v>3.8971959500000004</v>
      </c>
    </row>
    <row r="1245" spans="1:19" x14ac:dyDescent="0.25">
      <c r="A1245" t="s">
        <v>63</v>
      </c>
      <c r="B1245" t="s">
        <v>899</v>
      </c>
      <c r="C1245">
        <v>12</v>
      </c>
      <c r="D1245" t="s">
        <v>64</v>
      </c>
      <c r="E1245" t="s">
        <v>94</v>
      </c>
      <c r="F1245" t="s">
        <v>104</v>
      </c>
      <c r="G1245" t="s">
        <v>121</v>
      </c>
      <c r="H1245" t="s">
        <v>103</v>
      </c>
      <c r="J1245">
        <v>0</v>
      </c>
      <c r="K1245">
        <v>1</v>
      </c>
      <c r="L1245">
        <v>113.9375</v>
      </c>
      <c r="M1245">
        <v>33.375507550000002</v>
      </c>
      <c r="N1245">
        <v>2.4262999999999999</v>
      </c>
      <c r="O1245">
        <v>98.291666669999998</v>
      </c>
      <c r="P1245">
        <v>30.315130790000001</v>
      </c>
      <c r="Q1245">
        <v>5.0803484000000003E-2</v>
      </c>
      <c r="R1245" t="s">
        <v>1017</v>
      </c>
      <c r="S1245">
        <v>3.0603767600000005</v>
      </c>
    </row>
    <row r="1246" spans="1:19" x14ac:dyDescent="0.25">
      <c r="A1246" t="s">
        <v>63</v>
      </c>
      <c r="B1246" t="s">
        <v>899</v>
      </c>
      <c r="C1246">
        <v>12</v>
      </c>
      <c r="D1246" t="s">
        <v>64</v>
      </c>
      <c r="E1246" t="s">
        <v>94</v>
      </c>
      <c r="F1246" t="s">
        <v>104</v>
      </c>
      <c r="G1246" t="s">
        <v>121</v>
      </c>
      <c r="H1246" t="s">
        <v>248</v>
      </c>
      <c r="J1246">
        <v>0</v>
      </c>
      <c r="K1246">
        <v>2</v>
      </c>
      <c r="L1246">
        <v>113.9375</v>
      </c>
      <c r="M1246">
        <v>33.375507550000002</v>
      </c>
      <c r="N1246">
        <v>2.4262999999999999</v>
      </c>
      <c r="O1246">
        <v>83.92307692</v>
      </c>
      <c r="P1246">
        <v>44.319135699999997</v>
      </c>
      <c r="Q1246">
        <v>5.9548609999999997E-3</v>
      </c>
      <c r="R1246" t="s">
        <v>1017</v>
      </c>
      <c r="S1246">
        <v>10.943628149999995</v>
      </c>
    </row>
    <row r="1247" spans="1:19" x14ac:dyDescent="0.25">
      <c r="A1247" t="s">
        <v>65</v>
      </c>
      <c r="B1247" t="s">
        <v>900</v>
      </c>
      <c r="C1247">
        <v>12</v>
      </c>
      <c r="D1247" t="s">
        <v>66</v>
      </c>
      <c r="E1247" t="s">
        <v>95</v>
      </c>
      <c r="F1247" t="s">
        <v>105</v>
      </c>
      <c r="G1247" t="s">
        <v>121</v>
      </c>
      <c r="H1247" t="s">
        <v>111</v>
      </c>
      <c r="J1247">
        <v>0</v>
      </c>
      <c r="K1247">
        <v>1</v>
      </c>
      <c r="L1247">
        <v>67.5</v>
      </c>
      <c r="M1247">
        <v>47.937235809999997</v>
      </c>
      <c r="N1247">
        <v>0.41599678000000001</v>
      </c>
      <c r="O1247">
        <v>94.97142857</v>
      </c>
      <c r="P1247">
        <v>24.31591813</v>
      </c>
      <c r="Q1247">
        <v>0.122951111</v>
      </c>
      <c r="R1247" t="s">
        <v>1017</v>
      </c>
      <c r="S1247">
        <v>23.621317679999997</v>
      </c>
    </row>
    <row r="1248" spans="1:19" x14ac:dyDescent="0.25">
      <c r="A1248" t="s">
        <v>65</v>
      </c>
      <c r="B1248" t="s">
        <v>900</v>
      </c>
      <c r="C1248">
        <v>12</v>
      </c>
      <c r="D1248" t="s">
        <v>66</v>
      </c>
      <c r="E1248" t="s">
        <v>95</v>
      </c>
      <c r="F1248" t="s">
        <v>105</v>
      </c>
      <c r="G1248" t="s">
        <v>121</v>
      </c>
      <c r="H1248" t="s">
        <v>808</v>
      </c>
      <c r="J1248">
        <v>0</v>
      </c>
      <c r="K1248">
        <v>1</v>
      </c>
      <c r="L1248">
        <v>67.5</v>
      </c>
      <c r="M1248">
        <v>47.937235809999997</v>
      </c>
      <c r="N1248">
        <v>0.41599678000000001</v>
      </c>
      <c r="O1248">
        <v>102.79166669999999</v>
      </c>
      <c r="P1248">
        <v>27.057373470000002</v>
      </c>
      <c r="Q1248">
        <v>6.3567849939999999</v>
      </c>
      <c r="R1248" t="s">
        <v>1017</v>
      </c>
      <c r="S1248">
        <v>20.879862339999995</v>
      </c>
    </row>
    <row r="1249" spans="1:19" x14ac:dyDescent="0.25">
      <c r="A1249" t="s">
        <v>65</v>
      </c>
      <c r="B1249" t="s">
        <v>900</v>
      </c>
      <c r="C1249">
        <v>12</v>
      </c>
      <c r="D1249" t="s">
        <v>66</v>
      </c>
      <c r="E1249" t="s">
        <v>95</v>
      </c>
      <c r="F1249" t="s">
        <v>105</v>
      </c>
      <c r="G1249" t="s">
        <v>121</v>
      </c>
      <c r="H1249" t="s">
        <v>247</v>
      </c>
      <c r="J1249">
        <v>0</v>
      </c>
      <c r="K1249">
        <v>1</v>
      </c>
      <c r="L1249">
        <v>67.5</v>
      </c>
      <c r="M1249">
        <v>47.937235809999997</v>
      </c>
      <c r="N1249">
        <v>0.41599678000000001</v>
      </c>
      <c r="O1249">
        <v>65.791044779999993</v>
      </c>
      <c r="P1249">
        <v>22.94519201</v>
      </c>
      <c r="Q1249">
        <v>8.1320334999999994E-2</v>
      </c>
      <c r="R1249" t="s">
        <v>1017</v>
      </c>
      <c r="S1249">
        <v>24.992043799999998</v>
      </c>
    </row>
    <row r="1250" spans="1:19" x14ac:dyDescent="0.25">
      <c r="A1250" t="s">
        <v>65</v>
      </c>
      <c r="B1250" t="s">
        <v>900</v>
      </c>
      <c r="C1250">
        <v>12</v>
      </c>
      <c r="D1250" t="s">
        <v>66</v>
      </c>
      <c r="E1250" t="s">
        <v>95</v>
      </c>
      <c r="F1250" t="s">
        <v>105</v>
      </c>
      <c r="G1250" t="s">
        <v>121</v>
      </c>
      <c r="H1250" t="s">
        <v>248</v>
      </c>
      <c r="J1250">
        <v>0</v>
      </c>
      <c r="K1250">
        <v>2</v>
      </c>
      <c r="L1250">
        <v>67.5</v>
      </c>
      <c r="M1250">
        <v>47.937235809999997</v>
      </c>
      <c r="N1250">
        <v>0.41599678000000001</v>
      </c>
      <c r="O1250">
        <v>83.92307692</v>
      </c>
      <c r="P1250">
        <v>44.319135699999997</v>
      </c>
      <c r="Q1250">
        <v>5.9548609999999997E-3</v>
      </c>
      <c r="R1250" t="s">
        <v>1017</v>
      </c>
      <c r="S1250">
        <v>3.6181001100000003</v>
      </c>
    </row>
    <row r="1251" spans="1:19" x14ac:dyDescent="0.25">
      <c r="A1251" t="s">
        <v>10</v>
      </c>
      <c r="B1251" t="s">
        <v>901</v>
      </c>
      <c r="C1251">
        <v>15</v>
      </c>
      <c r="D1251" t="s">
        <v>11</v>
      </c>
      <c r="E1251" t="s">
        <v>94</v>
      </c>
      <c r="F1251" t="s">
        <v>102</v>
      </c>
      <c r="G1251" t="s">
        <v>102</v>
      </c>
      <c r="H1251" t="s">
        <v>102</v>
      </c>
      <c r="J1251">
        <v>0</v>
      </c>
      <c r="K1251">
        <v>1</v>
      </c>
      <c r="L1251">
        <v>84.740740740000007</v>
      </c>
      <c r="M1251">
        <v>29.167014049999999</v>
      </c>
      <c r="N1251">
        <v>1.1169849999999999</v>
      </c>
      <c r="O1251">
        <v>84.740740740000007</v>
      </c>
      <c r="P1251">
        <v>29.167014049999999</v>
      </c>
      <c r="Q1251">
        <v>1.1169849999999999</v>
      </c>
      <c r="R1251" t="s">
        <v>1017</v>
      </c>
      <c r="S1251">
        <v>0</v>
      </c>
    </row>
    <row r="1252" spans="1:19" x14ac:dyDescent="0.25">
      <c r="A1252" t="s">
        <v>10</v>
      </c>
      <c r="B1252" t="s">
        <v>901</v>
      </c>
      <c r="C1252">
        <v>16</v>
      </c>
      <c r="D1252" t="s">
        <v>11</v>
      </c>
      <c r="E1252" t="s">
        <v>94</v>
      </c>
      <c r="F1252" t="s">
        <v>102</v>
      </c>
      <c r="G1252" t="s">
        <v>102</v>
      </c>
      <c r="H1252" t="s">
        <v>111</v>
      </c>
      <c r="J1252">
        <v>0</v>
      </c>
      <c r="K1252">
        <v>1</v>
      </c>
      <c r="L1252">
        <v>84.740740740000007</v>
      </c>
      <c r="M1252">
        <v>29.167014049999999</v>
      </c>
      <c r="N1252">
        <v>1.1169849999999999</v>
      </c>
      <c r="O1252">
        <v>94.97142857</v>
      </c>
      <c r="P1252">
        <v>24.31591813</v>
      </c>
      <c r="Q1252">
        <v>0.122951111</v>
      </c>
      <c r="R1252" t="s">
        <v>1017</v>
      </c>
      <c r="S1252">
        <v>4.8510959199999988</v>
      </c>
    </row>
    <row r="1253" spans="1:19" x14ac:dyDescent="0.25">
      <c r="A1253" t="s">
        <v>10</v>
      </c>
      <c r="B1253" t="s">
        <v>902</v>
      </c>
      <c r="C1253">
        <v>15</v>
      </c>
      <c r="D1253" t="s">
        <v>11</v>
      </c>
      <c r="E1253" t="s">
        <v>94</v>
      </c>
      <c r="F1253" t="s">
        <v>105</v>
      </c>
      <c r="G1253" t="s">
        <v>121</v>
      </c>
      <c r="H1253" t="s">
        <v>244</v>
      </c>
      <c r="J1253">
        <v>0</v>
      </c>
      <c r="K1253">
        <v>2</v>
      </c>
      <c r="L1253">
        <v>67.5</v>
      </c>
      <c r="M1253">
        <v>47.937235809999997</v>
      </c>
      <c r="N1253">
        <v>0.41599678000000001</v>
      </c>
      <c r="O1253">
        <v>75</v>
      </c>
      <c r="P1253">
        <v>28.80614499</v>
      </c>
      <c r="Q1253">
        <v>2.3860428570000001</v>
      </c>
      <c r="R1253" t="s">
        <v>1017</v>
      </c>
      <c r="S1253">
        <v>19.131090819999997</v>
      </c>
    </row>
    <row r="1254" spans="1:19" x14ac:dyDescent="0.25">
      <c r="A1254" t="s">
        <v>10</v>
      </c>
      <c r="B1254" t="s">
        <v>902</v>
      </c>
      <c r="C1254">
        <v>16</v>
      </c>
      <c r="D1254" t="s">
        <v>11</v>
      </c>
      <c r="E1254" t="s">
        <v>94</v>
      </c>
      <c r="F1254" t="s">
        <v>105</v>
      </c>
      <c r="G1254" t="s">
        <v>121</v>
      </c>
      <c r="H1254" t="s">
        <v>104</v>
      </c>
      <c r="J1254">
        <v>0</v>
      </c>
      <c r="K1254">
        <v>1</v>
      </c>
      <c r="L1254">
        <v>67.5</v>
      </c>
      <c r="M1254">
        <v>47.937235809999997</v>
      </c>
      <c r="N1254">
        <v>0.41599678000000001</v>
      </c>
      <c r="O1254">
        <v>113.9375</v>
      </c>
      <c r="P1254">
        <v>33.375507550000002</v>
      </c>
      <c r="Q1254">
        <v>2.4262999999999999</v>
      </c>
      <c r="R1254" t="s">
        <v>1017</v>
      </c>
      <c r="S1254">
        <v>14.561728259999995</v>
      </c>
    </row>
    <row r="1255" spans="1:19" x14ac:dyDescent="0.25">
      <c r="A1255" t="s">
        <v>10</v>
      </c>
      <c r="B1255" t="s">
        <v>903</v>
      </c>
      <c r="C1255">
        <v>15</v>
      </c>
      <c r="D1255" t="s">
        <v>11</v>
      </c>
      <c r="E1255" t="s">
        <v>94</v>
      </c>
      <c r="F1255" t="s">
        <v>103</v>
      </c>
      <c r="G1255" t="s">
        <v>121</v>
      </c>
      <c r="H1255" t="s">
        <v>245</v>
      </c>
      <c r="J1255">
        <v>0</v>
      </c>
      <c r="K1255">
        <v>1</v>
      </c>
      <c r="L1255">
        <v>98.291666669999998</v>
      </c>
      <c r="M1255">
        <v>30.315130790000001</v>
      </c>
      <c r="N1255">
        <v>5.0803484000000003E-2</v>
      </c>
      <c r="O1255" t="s">
        <v>114</v>
      </c>
      <c r="P1255" t="s">
        <v>114</v>
      </c>
      <c r="Q1255" t="s">
        <v>114</v>
      </c>
      <c r="R1255" t="s">
        <v>1017</v>
      </c>
      <c r="S1255" t="s">
        <v>114</v>
      </c>
    </row>
    <row r="1256" spans="1:19" x14ac:dyDescent="0.25">
      <c r="A1256" t="s">
        <v>10</v>
      </c>
      <c r="B1256" t="s">
        <v>904</v>
      </c>
      <c r="C1256">
        <v>15</v>
      </c>
      <c r="D1256" t="s">
        <v>11</v>
      </c>
      <c r="E1256" t="s">
        <v>94</v>
      </c>
      <c r="F1256" t="s">
        <v>104</v>
      </c>
      <c r="G1256" t="s">
        <v>121</v>
      </c>
      <c r="H1256" t="s">
        <v>242</v>
      </c>
      <c r="J1256">
        <v>0</v>
      </c>
      <c r="K1256">
        <v>6</v>
      </c>
      <c r="L1256">
        <v>113.9375</v>
      </c>
      <c r="M1256">
        <v>33.375507550000002</v>
      </c>
      <c r="N1256">
        <v>2.4262999999999999</v>
      </c>
      <c r="O1256">
        <v>139.375</v>
      </c>
      <c r="P1256">
        <v>23.713465920000001</v>
      </c>
      <c r="Q1256" t="s">
        <v>114</v>
      </c>
      <c r="R1256" t="s">
        <v>1017</v>
      </c>
      <c r="S1256">
        <v>9.6620416300000009</v>
      </c>
    </row>
    <row r="1257" spans="1:19" x14ac:dyDescent="0.25">
      <c r="A1257" t="s">
        <v>14</v>
      </c>
      <c r="B1257" t="s">
        <v>905</v>
      </c>
      <c r="C1257">
        <v>15</v>
      </c>
      <c r="D1257" t="s">
        <v>15</v>
      </c>
      <c r="E1257" t="s">
        <v>94</v>
      </c>
      <c r="F1257" t="s">
        <v>102</v>
      </c>
      <c r="G1257" t="s">
        <v>121</v>
      </c>
      <c r="H1257" t="s">
        <v>114</v>
      </c>
      <c r="J1257">
        <v>0</v>
      </c>
      <c r="K1257" t="s">
        <v>114</v>
      </c>
      <c r="L1257">
        <v>84.740740740000007</v>
      </c>
      <c r="M1257">
        <v>29.167014049999999</v>
      </c>
      <c r="N1257">
        <v>1.1169849999999999</v>
      </c>
      <c r="O1257" t="s">
        <v>114</v>
      </c>
      <c r="P1257" t="s">
        <v>114</v>
      </c>
      <c r="Q1257" t="s">
        <v>114</v>
      </c>
      <c r="R1257" t="s">
        <v>1017</v>
      </c>
      <c r="S1257" t="s">
        <v>114</v>
      </c>
    </row>
    <row r="1258" spans="1:19" x14ac:dyDescent="0.25">
      <c r="A1258" t="s">
        <v>14</v>
      </c>
      <c r="B1258" t="s">
        <v>906</v>
      </c>
      <c r="C1258">
        <v>15</v>
      </c>
      <c r="D1258" t="s">
        <v>15</v>
      </c>
      <c r="E1258" t="s">
        <v>94</v>
      </c>
      <c r="F1258" t="s">
        <v>110</v>
      </c>
      <c r="G1258" t="s">
        <v>121</v>
      </c>
      <c r="H1258" t="s">
        <v>114</v>
      </c>
      <c r="J1258">
        <v>0</v>
      </c>
      <c r="K1258" t="s">
        <v>114</v>
      </c>
      <c r="L1258">
        <v>73.260869569999997</v>
      </c>
      <c r="M1258">
        <v>34.453830549999999</v>
      </c>
      <c r="N1258">
        <v>1.058333333</v>
      </c>
      <c r="O1258" t="s">
        <v>114</v>
      </c>
      <c r="P1258" t="s">
        <v>114</v>
      </c>
      <c r="Q1258" t="s">
        <v>114</v>
      </c>
      <c r="R1258" t="s">
        <v>1017</v>
      </c>
      <c r="S1258" t="s">
        <v>114</v>
      </c>
    </row>
    <row r="1259" spans="1:19" x14ac:dyDescent="0.25">
      <c r="A1259" t="s">
        <v>14</v>
      </c>
      <c r="B1259" t="s">
        <v>907</v>
      </c>
      <c r="C1259">
        <v>15</v>
      </c>
      <c r="D1259" t="s">
        <v>15</v>
      </c>
      <c r="E1259" t="s">
        <v>94</v>
      </c>
      <c r="F1259" t="s">
        <v>111</v>
      </c>
      <c r="G1259" t="s">
        <v>110</v>
      </c>
      <c r="H1259" t="s">
        <v>110</v>
      </c>
      <c r="J1259">
        <v>0</v>
      </c>
      <c r="K1259">
        <v>1</v>
      </c>
      <c r="L1259">
        <v>94.97142857</v>
      </c>
      <c r="M1259">
        <v>24.31591813</v>
      </c>
      <c r="N1259">
        <v>0.122951111</v>
      </c>
      <c r="O1259">
        <v>73.260869569999997</v>
      </c>
      <c r="P1259">
        <v>34.453830549999999</v>
      </c>
      <c r="Q1259">
        <v>1.058333333</v>
      </c>
      <c r="R1259" t="s">
        <v>1017</v>
      </c>
      <c r="S1259">
        <v>10.137912419999999</v>
      </c>
    </row>
    <row r="1260" spans="1:19" x14ac:dyDescent="0.25">
      <c r="A1260" t="s">
        <v>14</v>
      </c>
      <c r="B1260" t="s">
        <v>908</v>
      </c>
      <c r="C1260">
        <v>15</v>
      </c>
      <c r="D1260" t="s">
        <v>15</v>
      </c>
      <c r="E1260" t="s">
        <v>94</v>
      </c>
      <c r="F1260" t="s">
        <v>104</v>
      </c>
      <c r="G1260" t="s">
        <v>110</v>
      </c>
      <c r="H1260" t="s">
        <v>110</v>
      </c>
      <c r="J1260">
        <v>0</v>
      </c>
      <c r="K1260">
        <v>1</v>
      </c>
      <c r="L1260">
        <v>113.9375</v>
      </c>
      <c r="M1260">
        <v>33.375507550000002</v>
      </c>
      <c r="N1260">
        <v>2.4262999999999999</v>
      </c>
      <c r="O1260">
        <v>73.260869569999997</v>
      </c>
      <c r="P1260">
        <v>34.453830549999999</v>
      </c>
      <c r="Q1260">
        <v>1.058333333</v>
      </c>
      <c r="R1260" t="s">
        <v>1017</v>
      </c>
      <c r="S1260">
        <v>1.0783229999999975</v>
      </c>
    </row>
    <row r="1261" spans="1:19" x14ac:dyDescent="0.25">
      <c r="A1261" t="s">
        <v>14</v>
      </c>
      <c r="B1261" t="s">
        <v>908</v>
      </c>
      <c r="C1261">
        <v>16</v>
      </c>
      <c r="D1261" t="s">
        <v>15</v>
      </c>
      <c r="E1261" t="s">
        <v>94</v>
      </c>
      <c r="F1261" t="s">
        <v>104</v>
      </c>
      <c r="G1261" t="s">
        <v>110</v>
      </c>
      <c r="H1261" t="s">
        <v>104</v>
      </c>
      <c r="J1261">
        <v>0</v>
      </c>
      <c r="K1261">
        <v>2</v>
      </c>
      <c r="L1261">
        <v>113.9375</v>
      </c>
      <c r="M1261">
        <v>33.375507550000002</v>
      </c>
      <c r="N1261">
        <v>2.4262999999999999</v>
      </c>
      <c r="O1261">
        <v>113.9375</v>
      </c>
      <c r="P1261">
        <v>33.375507550000002</v>
      </c>
      <c r="Q1261">
        <v>2.4262999999999999</v>
      </c>
      <c r="R1261" t="s">
        <v>1017</v>
      </c>
      <c r="S1261">
        <v>0</v>
      </c>
    </row>
    <row r="1262" spans="1:19" x14ac:dyDescent="0.25">
      <c r="A1262" t="s">
        <v>16</v>
      </c>
      <c r="B1262" t="s">
        <v>909</v>
      </c>
      <c r="C1262">
        <v>15</v>
      </c>
      <c r="D1262" t="s">
        <v>17</v>
      </c>
      <c r="E1262" t="s">
        <v>95</v>
      </c>
      <c r="F1262" t="s">
        <v>113</v>
      </c>
      <c r="G1262" t="s">
        <v>104</v>
      </c>
      <c r="H1262" t="s">
        <v>104</v>
      </c>
      <c r="J1262">
        <v>0</v>
      </c>
      <c r="K1262">
        <v>1</v>
      </c>
      <c r="L1262">
        <v>83.757575759999995</v>
      </c>
      <c r="M1262">
        <v>22.60997987</v>
      </c>
      <c r="N1262">
        <v>0.72884000000000004</v>
      </c>
      <c r="O1262">
        <v>113.9375</v>
      </c>
      <c r="P1262">
        <v>33.375507550000002</v>
      </c>
      <c r="Q1262">
        <v>2.4262999999999999</v>
      </c>
      <c r="R1262" t="s">
        <v>1017</v>
      </c>
      <c r="S1262">
        <v>10.765527680000002</v>
      </c>
    </row>
    <row r="1263" spans="1:19" x14ac:dyDescent="0.25">
      <c r="A1263" t="s">
        <v>16</v>
      </c>
      <c r="B1263" t="s">
        <v>909</v>
      </c>
      <c r="C1263">
        <v>16</v>
      </c>
      <c r="D1263" t="s">
        <v>17</v>
      </c>
      <c r="E1263" t="s">
        <v>95</v>
      </c>
      <c r="F1263" t="s">
        <v>113</v>
      </c>
      <c r="G1263" t="s">
        <v>104</v>
      </c>
      <c r="H1263" t="s">
        <v>113</v>
      </c>
      <c r="J1263">
        <v>0</v>
      </c>
      <c r="K1263">
        <v>3</v>
      </c>
      <c r="L1263">
        <v>83.757575759999995</v>
      </c>
      <c r="M1263">
        <v>22.60997987</v>
      </c>
      <c r="N1263">
        <v>0.72884000000000004</v>
      </c>
      <c r="O1263">
        <v>83.757575759999995</v>
      </c>
      <c r="P1263">
        <v>22.60997987</v>
      </c>
      <c r="Q1263">
        <v>0.72884000000000004</v>
      </c>
      <c r="R1263" t="s">
        <v>1017</v>
      </c>
      <c r="S1263">
        <v>0</v>
      </c>
    </row>
    <row r="1264" spans="1:19" x14ac:dyDescent="0.25">
      <c r="A1264" t="s">
        <v>16</v>
      </c>
      <c r="B1264" t="s">
        <v>910</v>
      </c>
      <c r="C1264">
        <v>15</v>
      </c>
      <c r="D1264" t="s">
        <v>17</v>
      </c>
      <c r="E1264" t="s">
        <v>95</v>
      </c>
      <c r="F1264" t="s">
        <v>110</v>
      </c>
      <c r="G1264" t="s">
        <v>121</v>
      </c>
      <c r="H1264" t="s">
        <v>104</v>
      </c>
      <c r="J1264">
        <v>0</v>
      </c>
      <c r="K1264">
        <v>1</v>
      </c>
      <c r="L1264">
        <v>73.260869569999997</v>
      </c>
      <c r="M1264">
        <v>34.453830549999999</v>
      </c>
      <c r="N1264">
        <v>1.058333333</v>
      </c>
      <c r="O1264">
        <v>113.9375</v>
      </c>
      <c r="P1264">
        <v>33.375507550000002</v>
      </c>
      <c r="Q1264">
        <v>2.4262999999999999</v>
      </c>
      <c r="R1264" t="s">
        <v>1017</v>
      </c>
      <c r="S1264">
        <v>1.0783229999999975</v>
      </c>
    </row>
    <row r="1265" spans="1:19" x14ac:dyDescent="0.25">
      <c r="A1265" t="s">
        <v>16</v>
      </c>
      <c r="B1265" t="s">
        <v>910</v>
      </c>
      <c r="C1265">
        <v>16</v>
      </c>
      <c r="D1265" t="s">
        <v>17</v>
      </c>
      <c r="E1265" t="s">
        <v>95</v>
      </c>
      <c r="F1265" t="s">
        <v>110</v>
      </c>
      <c r="G1265" t="s">
        <v>121</v>
      </c>
      <c r="H1265" t="s">
        <v>241</v>
      </c>
      <c r="J1265">
        <v>0</v>
      </c>
      <c r="K1265">
        <v>1</v>
      </c>
      <c r="L1265">
        <v>73.260869569999997</v>
      </c>
      <c r="M1265">
        <v>34.453830549999999</v>
      </c>
      <c r="N1265">
        <v>1.058333333</v>
      </c>
      <c r="O1265">
        <v>114</v>
      </c>
      <c r="P1265">
        <v>30.43077242</v>
      </c>
      <c r="Q1265">
        <v>0.53383111100000002</v>
      </c>
      <c r="R1265" t="s">
        <v>1017</v>
      </c>
      <c r="S1265">
        <v>4.023058129999999</v>
      </c>
    </row>
    <row r="1266" spans="1:19" x14ac:dyDescent="0.25">
      <c r="A1266" t="s">
        <v>16</v>
      </c>
      <c r="B1266" t="s">
        <v>911</v>
      </c>
      <c r="C1266">
        <v>15</v>
      </c>
      <c r="D1266" t="s">
        <v>17</v>
      </c>
      <c r="E1266" t="s">
        <v>95</v>
      </c>
      <c r="F1266" t="s">
        <v>111</v>
      </c>
      <c r="G1266" t="s">
        <v>113</v>
      </c>
      <c r="H1266" t="s">
        <v>113</v>
      </c>
      <c r="J1266">
        <v>0</v>
      </c>
      <c r="K1266">
        <v>2</v>
      </c>
      <c r="L1266">
        <v>94.97142857</v>
      </c>
      <c r="M1266">
        <v>24.31591813</v>
      </c>
      <c r="N1266">
        <v>0.122951111</v>
      </c>
      <c r="O1266">
        <v>83.757575759999995</v>
      </c>
      <c r="P1266">
        <v>22.60997987</v>
      </c>
      <c r="Q1266">
        <v>0.72884000000000004</v>
      </c>
      <c r="R1266" t="s">
        <v>1017</v>
      </c>
      <c r="S1266">
        <v>1.7059382599999999</v>
      </c>
    </row>
    <row r="1267" spans="1:19" x14ac:dyDescent="0.25">
      <c r="A1267" t="s">
        <v>16</v>
      </c>
      <c r="B1267" t="s">
        <v>911</v>
      </c>
      <c r="C1267">
        <v>16</v>
      </c>
      <c r="D1267" t="s">
        <v>17</v>
      </c>
      <c r="E1267" t="s">
        <v>95</v>
      </c>
      <c r="F1267" t="s">
        <v>111</v>
      </c>
      <c r="G1267" t="s">
        <v>113</v>
      </c>
      <c r="H1267" t="s">
        <v>247</v>
      </c>
      <c r="J1267">
        <v>0</v>
      </c>
      <c r="K1267">
        <v>3</v>
      </c>
      <c r="L1267">
        <v>94.97142857</v>
      </c>
      <c r="M1267">
        <v>24.31591813</v>
      </c>
      <c r="N1267">
        <v>0.122951111</v>
      </c>
      <c r="O1267">
        <v>65.791044779999993</v>
      </c>
      <c r="P1267">
        <v>22.94519201</v>
      </c>
      <c r="Q1267">
        <v>8.1320334999999994E-2</v>
      </c>
      <c r="R1267" t="s">
        <v>1017</v>
      </c>
      <c r="S1267">
        <v>1.3707261200000005</v>
      </c>
    </row>
    <row r="1268" spans="1:19" x14ac:dyDescent="0.25">
      <c r="A1268" t="s">
        <v>16</v>
      </c>
      <c r="B1268" t="s">
        <v>912</v>
      </c>
      <c r="C1268">
        <v>15</v>
      </c>
      <c r="D1268" t="s">
        <v>17</v>
      </c>
      <c r="E1268" t="s">
        <v>95</v>
      </c>
      <c r="F1268" t="s">
        <v>104</v>
      </c>
      <c r="G1268" t="s">
        <v>121</v>
      </c>
      <c r="H1268" t="s">
        <v>247</v>
      </c>
      <c r="J1268">
        <v>0</v>
      </c>
      <c r="K1268">
        <v>1</v>
      </c>
      <c r="L1268">
        <v>113.9375</v>
      </c>
      <c r="M1268">
        <v>33.375507550000002</v>
      </c>
      <c r="N1268">
        <v>2.4262999999999999</v>
      </c>
      <c r="O1268">
        <v>65.791044779999993</v>
      </c>
      <c r="P1268">
        <v>22.94519201</v>
      </c>
      <c r="Q1268">
        <v>8.1320334999999994E-2</v>
      </c>
      <c r="R1268" t="s">
        <v>1017</v>
      </c>
      <c r="S1268">
        <v>10.430315540000002</v>
      </c>
    </row>
    <row r="1269" spans="1:19" x14ac:dyDescent="0.25">
      <c r="A1269" t="s">
        <v>16</v>
      </c>
      <c r="B1269" t="s">
        <v>912</v>
      </c>
      <c r="C1269">
        <v>16</v>
      </c>
      <c r="D1269" t="s">
        <v>17</v>
      </c>
      <c r="E1269" t="s">
        <v>95</v>
      </c>
      <c r="F1269" t="s">
        <v>104</v>
      </c>
      <c r="G1269" t="s">
        <v>121</v>
      </c>
      <c r="H1269" t="s">
        <v>111</v>
      </c>
      <c r="J1269">
        <v>0</v>
      </c>
      <c r="K1269">
        <v>1</v>
      </c>
      <c r="L1269">
        <v>113.9375</v>
      </c>
      <c r="M1269">
        <v>33.375507550000002</v>
      </c>
      <c r="N1269">
        <v>2.4262999999999999</v>
      </c>
      <c r="O1269">
        <v>94.97142857</v>
      </c>
      <c r="P1269">
        <v>24.31591813</v>
      </c>
      <c r="Q1269">
        <v>0.122951111</v>
      </c>
      <c r="R1269" t="s">
        <v>1017</v>
      </c>
      <c r="S1269">
        <v>9.0595894200000018</v>
      </c>
    </row>
    <row r="1270" spans="1:19" x14ac:dyDescent="0.25">
      <c r="A1270" t="s">
        <v>18</v>
      </c>
      <c r="B1270" t="s">
        <v>913</v>
      </c>
      <c r="C1270">
        <v>15</v>
      </c>
      <c r="D1270" t="s">
        <v>19</v>
      </c>
      <c r="E1270" t="s">
        <v>95</v>
      </c>
      <c r="F1270" t="s">
        <v>113</v>
      </c>
      <c r="G1270" t="s">
        <v>121</v>
      </c>
      <c r="H1270" t="s">
        <v>113</v>
      </c>
      <c r="J1270">
        <v>0</v>
      </c>
      <c r="K1270">
        <v>3</v>
      </c>
      <c r="L1270">
        <v>83.757575759999995</v>
      </c>
      <c r="M1270">
        <v>22.60997987</v>
      </c>
      <c r="N1270">
        <v>0.72884000000000004</v>
      </c>
      <c r="O1270">
        <v>83.757575759999995</v>
      </c>
      <c r="P1270">
        <v>22.60997987</v>
      </c>
      <c r="Q1270">
        <v>0.72884000000000004</v>
      </c>
      <c r="R1270" t="s">
        <v>1017</v>
      </c>
      <c r="S1270">
        <v>0</v>
      </c>
    </row>
    <row r="1271" spans="1:19" x14ac:dyDescent="0.25">
      <c r="A1271" t="s">
        <v>18</v>
      </c>
      <c r="B1271" t="s">
        <v>913</v>
      </c>
      <c r="C1271">
        <v>16</v>
      </c>
      <c r="D1271" t="s">
        <v>19</v>
      </c>
      <c r="E1271" t="s">
        <v>95</v>
      </c>
      <c r="F1271" t="s">
        <v>113</v>
      </c>
      <c r="G1271" t="s">
        <v>121</v>
      </c>
      <c r="H1271" t="s">
        <v>808</v>
      </c>
      <c r="J1271">
        <v>0</v>
      </c>
      <c r="K1271">
        <v>1</v>
      </c>
      <c r="L1271">
        <v>83.757575759999995</v>
      </c>
      <c r="M1271">
        <v>22.60997987</v>
      </c>
      <c r="N1271">
        <v>0.72884000000000004</v>
      </c>
      <c r="O1271">
        <v>102.79166669999999</v>
      </c>
      <c r="P1271">
        <v>27.057373470000002</v>
      </c>
      <c r="Q1271">
        <v>6.3567849939999999</v>
      </c>
      <c r="R1271" t="s">
        <v>1017</v>
      </c>
      <c r="S1271">
        <v>4.4473936000000016</v>
      </c>
    </row>
    <row r="1272" spans="1:19" x14ac:dyDescent="0.25">
      <c r="A1272" t="s">
        <v>18</v>
      </c>
      <c r="B1272" t="s">
        <v>913</v>
      </c>
      <c r="C1272">
        <v>17</v>
      </c>
      <c r="D1272" t="s">
        <v>19</v>
      </c>
      <c r="E1272" t="s">
        <v>95</v>
      </c>
      <c r="F1272" t="s">
        <v>113</v>
      </c>
      <c r="G1272" t="s">
        <v>121</v>
      </c>
      <c r="H1272" t="s">
        <v>242</v>
      </c>
      <c r="J1272">
        <v>0</v>
      </c>
      <c r="K1272">
        <v>15</v>
      </c>
      <c r="L1272">
        <v>83.757575759999995</v>
      </c>
      <c r="M1272">
        <v>22.60997987</v>
      </c>
      <c r="N1272">
        <v>0.72884000000000004</v>
      </c>
      <c r="O1272">
        <v>139.375</v>
      </c>
      <c r="P1272">
        <v>23.713465920000001</v>
      </c>
      <c r="Q1272" t="s">
        <v>114</v>
      </c>
      <c r="R1272" t="s">
        <v>1017</v>
      </c>
      <c r="S1272">
        <v>1.1034860500000008</v>
      </c>
    </row>
    <row r="1273" spans="1:19" x14ac:dyDescent="0.25">
      <c r="A1273" t="s">
        <v>18</v>
      </c>
      <c r="B1273" t="s">
        <v>914</v>
      </c>
      <c r="C1273">
        <v>15</v>
      </c>
      <c r="D1273" t="s">
        <v>19</v>
      </c>
      <c r="E1273" t="s">
        <v>95</v>
      </c>
      <c r="F1273" t="s">
        <v>111</v>
      </c>
      <c r="G1273" t="s">
        <v>121</v>
      </c>
      <c r="H1273" t="s">
        <v>113</v>
      </c>
      <c r="J1273">
        <v>0</v>
      </c>
      <c r="K1273">
        <v>2</v>
      </c>
      <c r="L1273">
        <v>94.97142857</v>
      </c>
      <c r="M1273">
        <v>24.31591813</v>
      </c>
      <c r="N1273">
        <v>0.122951111</v>
      </c>
      <c r="O1273">
        <v>83.757575759999995</v>
      </c>
      <c r="P1273">
        <v>22.60997987</v>
      </c>
      <c r="Q1273">
        <v>0.72884000000000004</v>
      </c>
      <c r="R1273" t="s">
        <v>1017</v>
      </c>
      <c r="S1273">
        <v>1.7059382599999999</v>
      </c>
    </row>
    <row r="1274" spans="1:19" x14ac:dyDescent="0.25">
      <c r="A1274" t="s">
        <v>18</v>
      </c>
      <c r="B1274" t="s">
        <v>914</v>
      </c>
      <c r="C1274">
        <v>16</v>
      </c>
      <c r="D1274" t="s">
        <v>19</v>
      </c>
      <c r="E1274" t="s">
        <v>95</v>
      </c>
      <c r="F1274" t="s">
        <v>111</v>
      </c>
      <c r="G1274" t="s">
        <v>121</v>
      </c>
      <c r="H1274" t="s">
        <v>242</v>
      </c>
      <c r="J1274">
        <v>0</v>
      </c>
      <c r="K1274">
        <v>2</v>
      </c>
      <c r="L1274">
        <v>94.97142857</v>
      </c>
      <c r="M1274">
        <v>24.31591813</v>
      </c>
      <c r="N1274">
        <v>0.122951111</v>
      </c>
      <c r="O1274">
        <v>139.375</v>
      </c>
      <c r="P1274">
        <v>23.713465920000001</v>
      </c>
      <c r="Q1274" t="s">
        <v>114</v>
      </c>
      <c r="R1274" t="s">
        <v>1017</v>
      </c>
      <c r="S1274">
        <v>0.60245220999999916</v>
      </c>
    </row>
    <row r="1275" spans="1:19" x14ac:dyDescent="0.25">
      <c r="A1275" t="s">
        <v>18</v>
      </c>
      <c r="B1275" t="s">
        <v>915</v>
      </c>
      <c r="C1275">
        <v>15</v>
      </c>
      <c r="D1275" t="s">
        <v>19</v>
      </c>
      <c r="E1275" t="s">
        <v>95</v>
      </c>
      <c r="F1275" t="s">
        <v>104</v>
      </c>
      <c r="G1275" t="s">
        <v>121</v>
      </c>
      <c r="H1275" t="s">
        <v>247</v>
      </c>
      <c r="J1275">
        <v>0</v>
      </c>
      <c r="K1275">
        <v>1</v>
      </c>
      <c r="L1275">
        <v>113.9375</v>
      </c>
      <c r="M1275">
        <v>33.375507550000002</v>
      </c>
      <c r="N1275">
        <v>2.4262999999999999</v>
      </c>
      <c r="O1275">
        <v>65.791044779999993</v>
      </c>
      <c r="P1275">
        <v>22.94519201</v>
      </c>
      <c r="Q1275">
        <v>8.1320334999999994E-2</v>
      </c>
      <c r="R1275" t="s">
        <v>1017</v>
      </c>
      <c r="S1275">
        <v>10.430315540000002</v>
      </c>
    </row>
    <row r="1276" spans="1:19" x14ac:dyDescent="0.25">
      <c r="A1276" t="s">
        <v>18</v>
      </c>
      <c r="B1276" t="s">
        <v>915</v>
      </c>
      <c r="C1276">
        <v>16</v>
      </c>
      <c r="D1276" t="s">
        <v>19</v>
      </c>
      <c r="E1276" t="s">
        <v>95</v>
      </c>
      <c r="F1276" t="s">
        <v>104</v>
      </c>
      <c r="G1276" t="s">
        <v>121</v>
      </c>
      <c r="H1276" t="s">
        <v>113</v>
      </c>
      <c r="J1276">
        <v>0</v>
      </c>
      <c r="K1276">
        <v>3</v>
      </c>
      <c r="L1276">
        <v>113.9375</v>
      </c>
      <c r="M1276">
        <v>33.375507550000002</v>
      </c>
      <c r="N1276">
        <v>2.4262999999999999</v>
      </c>
      <c r="O1276">
        <v>83.757575759999995</v>
      </c>
      <c r="P1276">
        <v>22.60997987</v>
      </c>
      <c r="Q1276">
        <v>0.72884000000000004</v>
      </c>
      <c r="R1276" t="s">
        <v>1017</v>
      </c>
      <c r="S1276">
        <v>10.765527680000002</v>
      </c>
    </row>
    <row r="1277" spans="1:19" x14ac:dyDescent="0.25">
      <c r="A1277" t="s">
        <v>18</v>
      </c>
      <c r="B1277" t="s">
        <v>916</v>
      </c>
      <c r="C1277">
        <v>15</v>
      </c>
      <c r="D1277" t="s">
        <v>19</v>
      </c>
      <c r="E1277" t="s">
        <v>95</v>
      </c>
      <c r="F1277" t="s">
        <v>112</v>
      </c>
      <c r="G1277" t="s">
        <v>113</v>
      </c>
      <c r="H1277" t="s">
        <v>113</v>
      </c>
      <c r="J1277">
        <v>0</v>
      </c>
      <c r="K1277">
        <v>1</v>
      </c>
      <c r="L1277">
        <v>65.09375</v>
      </c>
      <c r="M1277">
        <v>37.895352600000002</v>
      </c>
      <c r="N1277">
        <v>2.2882677779999998</v>
      </c>
      <c r="O1277">
        <v>83.757575759999995</v>
      </c>
      <c r="P1277">
        <v>22.60997987</v>
      </c>
      <c r="Q1277">
        <v>0.72884000000000004</v>
      </c>
      <c r="R1277" t="s">
        <v>1017</v>
      </c>
      <c r="S1277">
        <v>15.285372730000002</v>
      </c>
    </row>
    <row r="1278" spans="1:19" x14ac:dyDescent="0.25">
      <c r="A1278" t="s">
        <v>20</v>
      </c>
      <c r="B1278" t="s">
        <v>917</v>
      </c>
      <c r="C1278">
        <v>15</v>
      </c>
      <c r="D1278" t="s">
        <v>21</v>
      </c>
      <c r="E1278" t="s">
        <v>94</v>
      </c>
      <c r="F1278" t="s">
        <v>102</v>
      </c>
      <c r="G1278" t="s">
        <v>121</v>
      </c>
      <c r="H1278" t="s">
        <v>246</v>
      </c>
      <c r="J1278">
        <v>0</v>
      </c>
      <c r="K1278">
        <v>1</v>
      </c>
      <c r="L1278">
        <v>84.740740740000007</v>
      </c>
      <c r="M1278">
        <v>29.167014049999999</v>
      </c>
      <c r="N1278">
        <v>1.1169849999999999</v>
      </c>
      <c r="O1278">
        <v>120.25</v>
      </c>
      <c r="P1278">
        <v>30.670450110000001</v>
      </c>
      <c r="Q1278">
        <v>0.91037498500000003</v>
      </c>
      <c r="R1278" t="s">
        <v>1017</v>
      </c>
      <c r="S1278">
        <v>1.5034360600000021</v>
      </c>
    </row>
    <row r="1279" spans="1:19" x14ac:dyDescent="0.25">
      <c r="A1279" t="s">
        <v>20</v>
      </c>
      <c r="B1279" t="s">
        <v>918</v>
      </c>
      <c r="C1279">
        <v>15</v>
      </c>
      <c r="D1279" t="s">
        <v>21</v>
      </c>
      <c r="E1279" t="s">
        <v>94</v>
      </c>
      <c r="F1279" t="s">
        <v>113</v>
      </c>
      <c r="G1279" t="s">
        <v>113</v>
      </c>
      <c r="H1279" t="s">
        <v>113</v>
      </c>
      <c r="J1279">
        <v>0</v>
      </c>
      <c r="K1279">
        <v>1</v>
      </c>
      <c r="L1279">
        <v>83.757575759999995</v>
      </c>
      <c r="M1279">
        <v>22.60997987</v>
      </c>
      <c r="N1279">
        <v>0.72884000000000004</v>
      </c>
      <c r="O1279">
        <v>83.757575759999995</v>
      </c>
      <c r="P1279">
        <v>22.60997987</v>
      </c>
      <c r="Q1279">
        <v>0.72884000000000004</v>
      </c>
      <c r="R1279" t="s">
        <v>1017</v>
      </c>
      <c r="S1279">
        <v>0</v>
      </c>
    </row>
    <row r="1280" spans="1:19" x14ac:dyDescent="0.25">
      <c r="A1280" t="s">
        <v>20</v>
      </c>
      <c r="B1280" t="s">
        <v>919</v>
      </c>
      <c r="C1280">
        <v>15</v>
      </c>
      <c r="D1280" t="s">
        <v>21</v>
      </c>
      <c r="E1280" t="s">
        <v>94</v>
      </c>
      <c r="F1280" t="s">
        <v>110</v>
      </c>
      <c r="G1280" t="s">
        <v>121</v>
      </c>
      <c r="H1280" t="s">
        <v>113</v>
      </c>
      <c r="J1280">
        <v>0</v>
      </c>
      <c r="K1280">
        <v>2</v>
      </c>
      <c r="L1280">
        <v>73.260869569999997</v>
      </c>
      <c r="M1280">
        <v>34.453830549999999</v>
      </c>
      <c r="N1280">
        <v>1.058333333</v>
      </c>
      <c r="O1280">
        <v>83.757575759999995</v>
      </c>
      <c r="P1280">
        <v>22.60997987</v>
      </c>
      <c r="Q1280">
        <v>0.72884000000000004</v>
      </c>
      <c r="R1280" t="s">
        <v>1017</v>
      </c>
      <c r="S1280">
        <v>11.843850679999999</v>
      </c>
    </row>
    <row r="1281" spans="1:19" x14ac:dyDescent="0.25">
      <c r="A1281" t="s">
        <v>20</v>
      </c>
      <c r="B1281" t="s">
        <v>919</v>
      </c>
      <c r="C1281">
        <v>16</v>
      </c>
      <c r="D1281" t="s">
        <v>21</v>
      </c>
      <c r="E1281" t="s">
        <v>94</v>
      </c>
      <c r="F1281" t="s">
        <v>110</v>
      </c>
      <c r="G1281" t="s">
        <v>121</v>
      </c>
      <c r="H1281" t="s">
        <v>102</v>
      </c>
      <c r="J1281">
        <v>0</v>
      </c>
      <c r="K1281">
        <v>1</v>
      </c>
      <c r="L1281">
        <v>73.260869569999997</v>
      </c>
      <c r="M1281">
        <v>34.453830549999999</v>
      </c>
      <c r="N1281">
        <v>1.058333333</v>
      </c>
      <c r="O1281">
        <v>84.740740740000007</v>
      </c>
      <c r="P1281">
        <v>29.167014049999999</v>
      </c>
      <c r="Q1281">
        <v>1.1169849999999999</v>
      </c>
      <c r="R1281" t="s">
        <v>1017</v>
      </c>
      <c r="S1281">
        <v>5.2868165000000005</v>
      </c>
    </row>
    <row r="1282" spans="1:19" x14ac:dyDescent="0.25">
      <c r="A1282" t="s">
        <v>20</v>
      </c>
      <c r="B1282" t="s">
        <v>920</v>
      </c>
      <c r="C1282">
        <v>15</v>
      </c>
      <c r="D1282" t="s">
        <v>21</v>
      </c>
      <c r="E1282" t="s">
        <v>94</v>
      </c>
      <c r="F1282" t="s">
        <v>111</v>
      </c>
      <c r="G1282" t="s">
        <v>121</v>
      </c>
      <c r="H1282" t="s">
        <v>110</v>
      </c>
      <c r="J1282">
        <v>0</v>
      </c>
      <c r="K1282">
        <v>1</v>
      </c>
      <c r="L1282">
        <v>94.97142857</v>
      </c>
      <c r="M1282">
        <v>24.31591813</v>
      </c>
      <c r="N1282">
        <v>0.122951111</v>
      </c>
      <c r="O1282">
        <v>73.260869569999997</v>
      </c>
      <c r="P1282">
        <v>34.453830549999999</v>
      </c>
      <c r="Q1282">
        <v>1.058333333</v>
      </c>
      <c r="R1282" t="s">
        <v>1017</v>
      </c>
      <c r="S1282">
        <v>10.137912419999999</v>
      </c>
    </row>
    <row r="1283" spans="1:19" x14ac:dyDescent="0.25">
      <c r="A1283" t="s">
        <v>22</v>
      </c>
      <c r="B1283" t="s">
        <v>921</v>
      </c>
      <c r="C1283">
        <v>15</v>
      </c>
      <c r="D1283" t="s">
        <v>23</v>
      </c>
      <c r="E1283" t="s">
        <v>95</v>
      </c>
      <c r="F1283" t="s">
        <v>102</v>
      </c>
      <c r="G1283" t="s">
        <v>121</v>
      </c>
      <c r="H1283" t="s">
        <v>236</v>
      </c>
      <c r="J1283">
        <v>0</v>
      </c>
      <c r="K1283">
        <v>1</v>
      </c>
      <c r="L1283">
        <v>84.740740740000007</v>
      </c>
      <c r="M1283">
        <v>29.167014049999999</v>
      </c>
      <c r="N1283">
        <v>1.1169849999999999</v>
      </c>
      <c r="O1283">
        <v>113.33333330000001</v>
      </c>
      <c r="P1283">
        <v>26.41632581</v>
      </c>
      <c r="Q1283">
        <v>1.6844570160000001</v>
      </c>
      <c r="R1283" t="s">
        <v>1017</v>
      </c>
      <c r="S1283">
        <v>2.7506882399999988</v>
      </c>
    </row>
    <row r="1284" spans="1:19" x14ac:dyDescent="0.25">
      <c r="A1284" t="s">
        <v>22</v>
      </c>
      <c r="B1284" t="s">
        <v>922</v>
      </c>
      <c r="C1284">
        <v>15</v>
      </c>
      <c r="D1284" t="s">
        <v>23</v>
      </c>
      <c r="E1284" t="s">
        <v>95</v>
      </c>
      <c r="F1284" t="s">
        <v>105</v>
      </c>
      <c r="G1284" t="s">
        <v>121</v>
      </c>
      <c r="H1284" t="s">
        <v>113</v>
      </c>
      <c r="J1284">
        <v>0</v>
      </c>
      <c r="K1284">
        <v>4</v>
      </c>
      <c r="L1284">
        <v>67.5</v>
      </c>
      <c r="M1284">
        <v>47.937235809999997</v>
      </c>
      <c r="N1284">
        <v>0.41599678000000001</v>
      </c>
      <c r="O1284">
        <v>83.757575759999995</v>
      </c>
      <c r="P1284">
        <v>22.60997987</v>
      </c>
      <c r="Q1284">
        <v>0.72884000000000004</v>
      </c>
      <c r="R1284" t="s">
        <v>1017</v>
      </c>
      <c r="S1284">
        <v>25.327255939999997</v>
      </c>
    </row>
    <row r="1285" spans="1:19" x14ac:dyDescent="0.25">
      <c r="A1285" t="s">
        <v>22</v>
      </c>
      <c r="B1285" t="s">
        <v>922</v>
      </c>
      <c r="C1285">
        <v>16</v>
      </c>
      <c r="D1285" t="s">
        <v>23</v>
      </c>
      <c r="E1285" t="s">
        <v>95</v>
      </c>
      <c r="F1285" t="s">
        <v>105</v>
      </c>
      <c r="G1285" t="s">
        <v>121</v>
      </c>
      <c r="H1285" t="s">
        <v>103</v>
      </c>
      <c r="J1285">
        <v>0</v>
      </c>
      <c r="K1285">
        <v>1</v>
      </c>
      <c r="L1285">
        <v>67.5</v>
      </c>
      <c r="M1285">
        <v>47.937235809999997</v>
      </c>
      <c r="N1285">
        <v>0.41599678000000001</v>
      </c>
      <c r="O1285">
        <v>98.291666669999998</v>
      </c>
      <c r="P1285">
        <v>30.315130790000001</v>
      </c>
      <c r="Q1285">
        <v>5.0803484000000003E-2</v>
      </c>
      <c r="R1285" t="s">
        <v>1017</v>
      </c>
      <c r="S1285">
        <v>17.622105019999996</v>
      </c>
    </row>
    <row r="1286" spans="1:19" x14ac:dyDescent="0.25">
      <c r="A1286" t="s">
        <v>22</v>
      </c>
      <c r="B1286" t="s">
        <v>922</v>
      </c>
      <c r="C1286">
        <v>17</v>
      </c>
      <c r="D1286" t="s">
        <v>23</v>
      </c>
      <c r="E1286" t="s">
        <v>95</v>
      </c>
      <c r="F1286" t="s">
        <v>105</v>
      </c>
      <c r="G1286" t="s">
        <v>121</v>
      </c>
      <c r="H1286" t="s">
        <v>234</v>
      </c>
      <c r="J1286">
        <v>0</v>
      </c>
      <c r="K1286">
        <v>1</v>
      </c>
      <c r="L1286">
        <v>67.5</v>
      </c>
      <c r="M1286">
        <v>47.937235809999997</v>
      </c>
      <c r="N1286">
        <v>0.41599678000000001</v>
      </c>
      <c r="O1286">
        <v>89.8125</v>
      </c>
      <c r="P1286">
        <v>34.754706650000003</v>
      </c>
      <c r="Q1286">
        <v>2.3065078999999999E-2</v>
      </c>
      <c r="R1286" t="s">
        <v>1017</v>
      </c>
      <c r="S1286">
        <v>13.182529159999994</v>
      </c>
    </row>
    <row r="1287" spans="1:19" x14ac:dyDescent="0.25">
      <c r="A1287" t="s">
        <v>22</v>
      </c>
      <c r="B1287" t="s">
        <v>923</v>
      </c>
      <c r="C1287">
        <v>15</v>
      </c>
      <c r="D1287" t="s">
        <v>23</v>
      </c>
      <c r="E1287" t="s">
        <v>95</v>
      </c>
      <c r="F1287" t="s">
        <v>103</v>
      </c>
      <c r="G1287" t="s">
        <v>103</v>
      </c>
      <c r="H1287" t="s">
        <v>103</v>
      </c>
      <c r="J1287">
        <v>0</v>
      </c>
      <c r="K1287">
        <v>6</v>
      </c>
      <c r="L1287">
        <v>98.291666669999998</v>
      </c>
      <c r="M1287">
        <v>30.315130790000001</v>
      </c>
      <c r="N1287">
        <v>5.0803484000000003E-2</v>
      </c>
      <c r="O1287">
        <v>98.291666669999998</v>
      </c>
      <c r="P1287">
        <v>30.315130790000001</v>
      </c>
      <c r="Q1287">
        <v>5.0803484000000003E-2</v>
      </c>
      <c r="R1287" t="s">
        <v>1017</v>
      </c>
      <c r="S1287">
        <v>0</v>
      </c>
    </row>
    <row r="1288" spans="1:19" x14ac:dyDescent="0.25">
      <c r="A1288" t="s">
        <v>22</v>
      </c>
      <c r="B1288" t="s">
        <v>923</v>
      </c>
      <c r="C1288">
        <v>16</v>
      </c>
      <c r="D1288" t="s">
        <v>23</v>
      </c>
      <c r="E1288" t="s">
        <v>95</v>
      </c>
      <c r="F1288" t="s">
        <v>103</v>
      </c>
      <c r="G1288" t="s">
        <v>103</v>
      </c>
      <c r="H1288" t="s">
        <v>248</v>
      </c>
      <c r="J1288">
        <v>0</v>
      </c>
      <c r="K1288">
        <v>4</v>
      </c>
      <c r="L1288">
        <v>98.291666669999998</v>
      </c>
      <c r="M1288">
        <v>30.315130790000001</v>
      </c>
      <c r="N1288">
        <v>5.0803484000000003E-2</v>
      </c>
      <c r="O1288">
        <v>83.92307692</v>
      </c>
      <c r="P1288">
        <v>44.319135699999997</v>
      </c>
      <c r="Q1288">
        <v>5.9548609999999997E-3</v>
      </c>
      <c r="R1288" t="s">
        <v>1017</v>
      </c>
      <c r="S1288">
        <v>14.004004909999995</v>
      </c>
    </row>
    <row r="1289" spans="1:19" x14ac:dyDescent="0.25">
      <c r="A1289" t="s">
        <v>22</v>
      </c>
      <c r="B1289" t="s">
        <v>924</v>
      </c>
      <c r="C1289">
        <v>15</v>
      </c>
      <c r="D1289" t="s">
        <v>23</v>
      </c>
      <c r="E1289" t="s">
        <v>95</v>
      </c>
      <c r="F1289" t="s">
        <v>111</v>
      </c>
      <c r="G1289" t="s">
        <v>121</v>
      </c>
      <c r="H1289" t="s">
        <v>112</v>
      </c>
      <c r="J1289">
        <v>1</v>
      </c>
      <c r="K1289">
        <v>1</v>
      </c>
      <c r="L1289">
        <v>94.97142857</v>
      </c>
      <c r="M1289">
        <v>24.31591813</v>
      </c>
      <c r="N1289">
        <v>0.122951111</v>
      </c>
      <c r="O1289">
        <v>65.09375</v>
      </c>
      <c r="P1289">
        <v>37.895352600000002</v>
      </c>
      <c r="Q1289">
        <v>2.2882677779999998</v>
      </c>
      <c r="R1289" t="s">
        <v>1017</v>
      </c>
      <c r="S1289">
        <v>13.579434470000002</v>
      </c>
    </row>
    <row r="1290" spans="1:19" x14ac:dyDescent="0.25">
      <c r="A1290" t="s">
        <v>22</v>
      </c>
      <c r="B1290" t="s">
        <v>924</v>
      </c>
      <c r="C1290">
        <v>16</v>
      </c>
      <c r="D1290" t="s">
        <v>23</v>
      </c>
      <c r="E1290" t="s">
        <v>95</v>
      </c>
      <c r="F1290" t="s">
        <v>111</v>
      </c>
      <c r="G1290" t="s">
        <v>121</v>
      </c>
      <c r="H1290" t="s">
        <v>239</v>
      </c>
      <c r="J1290">
        <v>1</v>
      </c>
      <c r="K1290">
        <v>1</v>
      </c>
      <c r="L1290">
        <v>94.97142857</v>
      </c>
      <c r="M1290">
        <v>24.31591813</v>
      </c>
      <c r="N1290">
        <v>0.122951111</v>
      </c>
      <c r="O1290">
        <v>100.45454549999999</v>
      </c>
      <c r="P1290">
        <v>26.754810689999999</v>
      </c>
      <c r="Q1290">
        <v>0.75829999999999997</v>
      </c>
      <c r="R1290" t="s">
        <v>1017</v>
      </c>
      <c r="S1290">
        <v>2.4388925599999993</v>
      </c>
    </row>
    <row r="1291" spans="1:19" x14ac:dyDescent="0.25">
      <c r="A1291" t="s">
        <v>22</v>
      </c>
      <c r="B1291" t="s">
        <v>924</v>
      </c>
      <c r="C1291">
        <v>17</v>
      </c>
      <c r="D1291" t="s">
        <v>23</v>
      </c>
      <c r="E1291" t="s">
        <v>95</v>
      </c>
      <c r="F1291" t="s">
        <v>111</v>
      </c>
      <c r="G1291" t="s">
        <v>121</v>
      </c>
      <c r="H1291" t="s">
        <v>248</v>
      </c>
      <c r="J1291">
        <v>1</v>
      </c>
      <c r="K1291">
        <v>5</v>
      </c>
      <c r="L1291">
        <v>94.97142857</v>
      </c>
      <c r="M1291">
        <v>24.31591813</v>
      </c>
      <c r="N1291">
        <v>0.122951111</v>
      </c>
      <c r="O1291">
        <v>83.92307692</v>
      </c>
      <c r="P1291">
        <v>44.319135699999997</v>
      </c>
      <c r="Q1291">
        <v>5.9548609999999997E-3</v>
      </c>
      <c r="R1291" t="s">
        <v>1017</v>
      </c>
      <c r="S1291">
        <v>20.003217569999997</v>
      </c>
    </row>
    <row r="1292" spans="1:19" x14ac:dyDescent="0.25">
      <c r="A1292" t="s">
        <v>22</v>
      </c>
      <c r="B1292" t="s">
        <v>925</v>
      </c>
      <c r="C1292">
        <v>15</v>
      </c>
      <c r="D1292" t="s">
        <v>23</v>
      </c>
      <c r="E1292" t="s">
        <v>95</v>
      </c>
      <c r="F1292" t="s">
        <v>112</v>
      </c>
      <c r="G1292" t="s">
        <v>103</v>
      </c>
      <c r="H1292" t="s">
        <v>103</v>
      </c>
      <c r="J1292">
        <v>0</v>
      </c>
      <c r="K1292">
        <v>3</v>
      </c>
      <c r="L1292">
        <v>65.09375</v>
      </c>
      <c r="M1292">
        <v>37.895352600000002</v>
      </c>
      <c r="N1292">
        <v>2.2882677779999998</v>
      </c>
      <c r="O1292">
        <v>98.291666669999998</v>
      </c>
      <c r="P1292">
        <v>30.315130790000001</v>
      </c>
      <c r="Q1292">
        <v>5.0803484000000003E-2</v>
      </c>
      <c r="R1292" t="s">
        <v>1017</v>
      </c>
      <c r="S1292">
        <v>7.5802218100000012</v>
      </c>
    </row>
    <row r="1293" spans="1:19" x14ac:dyDescent="0.25">
      <c r="A1293" t="s">
        <v>22</v>
      </c>
      <c r="B1293" t="s">
        <v>925</v>
      </c>
      <c r="C1293">
        <v>16</v>
      </c>
      <c r="D1293" t="s">
        <v>23</v>
      </c>
      <c r="E1293" t="s">
        <v>95</v>
      </c>
      <c r="F1293" t="s">
        <v>112</v>
      </c>
      <c r="G1293" t="s">
        <v>103</v>
      </c>
      <c r="H1293" t="s">
        <v>113</v>
      </c>
      <c r="J1293">
        <v>0</v>
      </c>
      <c r="K1293">
        <v>2</v>
      </c>
      <c r="L1293">
        <v>65.09375</v>
      </c>
      <c r="M1293">
        <v>37.895352600000002</v>
      </c>
      <c r="N1293">
        <v>2.2882677779999998</v>
      </c>
      <c r="O1293">
        <v>83.757575759999995</v>
      </c>
      <c r="P1293">
        <v>22.60997987</v>
      </c>
      <c r="Q1293">
        <v>0.72884000000000004</v>
      </c>
      <c r="R1293" t="s">
        <v>1017</v>
      </c>
      <c r="S1293">
        <v>15.285372730000002</v>
      </c>
    </row>
    <row r="1294" spans="1:19" x14ac:dyDescent="0.25">
      <c r="A1294" t="s">
        <v>22</v>
      </c>
      <c r="B1294" t="s">
        <v>925</v>
      </c>
      <c r="C1294">
        <v>17</v>
      </c>
      <c r="D1294" t="s">
        <v>23</v>
      </c>
      <c r="E1294" t="s">
        <v>95</v>
      </c>
      <c r="F1294" t="s">
        <v>112</v>
      </c>
      <c r="G1294" t="s">
        <v>103</v>
      </c>
      <c r="H1294" t="s">
        <v>247</v>
      </c>
      <c r="J1294">
        <v>0</v>
      </c>
      <c r="K1294">
        <v>1</v>
      </c>
      <c r="L1294">
        <v>65.09375</v>
      </c>
      <c r="M1294">
        <v>37.895352600000002</v>
      </c>
      <c r="N1294">
        <v>2.2882677779999998</v>
      </c>
      <c r="O1294">
        <v>65.791044779999993</v>
      </c>
      <c r="P1294">
        <v>22.94519201</v>
      </c>
      <c r="Q1294">
        <v>8.1320334999999994E-2</v>
      </c>
      <c r="R1294" t="s">
        <v>1017</v>
      </c>
      <c r="S1294">
        <v>14.950160590000003</v>
      </c>
    </row>
    <row r="1295" spans="1:19" x14ac:dyDescent="0.25">
      <c r="A1295" t="s">
        <v>22</v>
      </c>
      <c r="B1295" t="s">
        <v>925</v>
      </c>
      <c r="C1295">
        <v>18</v>
      </c>
      <c r="D1295" t="s">
        <v>23</v>
      </c>
      <c r="E1295" t="s">
        <v>95</v>
      </c>
      <c r="F1295" t="s">
        <v>112</v>
      </c>
      <c r="G1295" t="s">
        <v>103</v>
      </c>
      <c r="H1295" t="s">
        <v>248</v>
      </c>
      <c r="J1295">
        <v>0</v>
      </c>
      <c r="K1295">
        <v>3</v>
      </c>
      <c r="L1295">
        <v>65.09375</v>
      </c>
      <c r="M1295">
        <v>37.895352600000002</v>
      </c>
      <c r="N1295">
        <v>2.2882677779999998</v>
      </c>
      <c r="O1295">
        <v>83.92307692</v>
      </c>
      <c r="P1295">
        <v>44.319135699999997</v>
      </c>
      <c r="Q1295">
        <v>5.9548609999999997E-3</v>
      </c>
      <c r="R1295" t="s">
        <v>1017</v>
      </c>
      <c r="S1295">
        <v>6.4237830999999943</v>
      </c>
    </row>
    <row r="1296" spans="1:19" x14ac:dyDescent="0.25">
      <c r="A1296" t="s">
        <v>24</v>
      </c>
      <c r="B1296" t="s">
        <v>926</v>
      </c>
      <c r="C1296">
        <v>15</v>
      </c>
      <c r="D1296" t="s">
        <v>25</v>
      </c>
      <c r="E1296" t="s">
        <v>95</v>
      </c>
      <c r="F1296" t="s">
        <v>105</v>
      </c>
      <c r="G1296" t="s">
        <v>121</v>
      </c>
      <c r="H1296" t="s">
        <v>111</v>
      </c>
      <c r="J1296">
        <v>0</v>
      </c>
      <c r="K1296">
        <v>1</v>
      </c>
      <c r="L1296">
        <v>67.5</v>
      </c>
      <c r="M1296">
        <v>47.937235809999997</v>
      </c>
      <c r="N1296">
        <v>0.41599678000000001</v>
      </c>
      <c r="O1296">
        <v>94.97142857</v>
      </c>
      <c r="P1296">
        <v>24.31591813</v>
      </c>
      <c r="Q1296">
        <v>0.122951111</v>
      </c>
      <c r="R1296" t="s">
        <v>1017</v>
      </c>
      <c r="S1296">
        <v>23.621317679999997</v>
      </c>
    </row>
    <row r="1297" spans="1:19" x14ac:dyDescent="0.25">
      <c r="A1297" t="s">
        <v>24</v>
      </c>
      <c r="B1297" t="s">
        <v>926</v>
      </c>
      <c r="C1297">
        <v>16</v>
      </c>
      <c r="D1297" t="s">
        <v>25</v>
      </c>
      <c r="E1297" t="s">
        <v>95</v>
      </c>
      <c r="F1297" t="s">
        <v>105</v>
      </c>
      <c r="G1297" t="s">
        <v>121</v>
      </c>
      <c r="H1297" t="s">
        <v>104</v>
      </c>
      <c r="J1297">
        <v>0</v>
      </c>
      <c r="K1297">
        <v>1</v>
      </c>
      <c r="L1297">
        <v>67.5</v>
      </c>
      <c r="M1297">
        <v>47.937235809999997</v>
      </c>
      <c r="N1297">
        <v>0.41599678000000001</v>
      </c>
      <c r="O1297">
        <v>113.9375</v>
      </c>
      <c r="P1297">
        <v>33.375507550000002</v>
      </c>
      <c r="Q1297">
        <v>2.4262999999999999</v>
      </c>
      <c r="R1297" t="s">
        <v>1017</v>
      </c>
      <c r="S1297">
        <v>14.561728259999995</v>
      </c>
    </row>
    <row r="1298" spans="1:19" x14ac:dyDescent="0.25">
      <c r="A1298" t="s">
        <v>24</v>
      </c>
      <c r="B1298" t="s">
        <v>927</v>
      </c>
      <c r="C1298">
        <v>15</v>
      </c>
      <c r="D1298" t="s">
        <v>25</v>
      </c>
      <c r="E1298" t="s">
        <v>95</v>
      </c>
      <c r="F1298" t="s">
        <v>112</v>
      </c>
      <c r="G1298" t="s">
        <v>112</v>
      </c>
      <c r="H1298" t="s">
        <v>112</v>
      </c>
      <c r="J1298">
        <v>0</v>
      </c>
      <c r="K1298">
        <v>1</v>
      </c>
      <c r="L1298">
        <v>65.09375</v>
      </c>
      <c r="M1298">
        <v>37.895352600000002</v>
      </c>
      <c r="N1298">
        <v>2.2882677779999998</v>
      </c>
      <c r="O1298">
        <v>65.09375</v>
      </c>
      <c r="P1298">
        <v>37.895352600000002</v>
      </c>
      <c r="Q1298">
        <v>2.2882677779999998</v>
      </c>
      <c r="R1298" t="s">
        <v>1017</v>
      </c>
      <c r="S1298">
        <v>0</v>
      </c>
    </row>
    <row r="1299" spans="1:19" x14ac:dyDescent="0.25">
      <c r="A1299" t="s">
        <v>26</v>
      </c>
      <c r="B1299" t="s">
        <v>928</v>
      </c>
      <c r="C1299">
        <v>15</v>
      </c>
      <c r="D1299" t="s">
        <v>27</v>
      </c>
      <c r="E1299" t="s">
        <v>95</v>
      </c>
      <c r="F1299" t="s">
        <v>105</v>
      </c>
      <c r="G1299" t="s">
        <v>102</v>
      </c>
      <c r="H1299" t="s">
        <v>102</v>
      </c>
      <c r="J1299">
        <v>0</v>
      </c>
      <c r="K1299">
        <v>1</v>
      </c>
      <c r="L1299">
        <v>67.5</v>
      </c>
      <c r="M1299">
        <v>47.937235809999997</v>
      </c>
      <c r="N1299">
        <v>0.41599678000000001</v>
      </c>
      <c r="O1299">
        <v>84.740740740000007</v>
      </c>
      <c r="P1299">
        <v>29.167014049999999</v>
      </c>
      <c r="Q1299">
        <v>1.1169849999999999</v>
      </c>
      <c r="R1299" t="s">
        <v>1017</v>
      </c>
      <c r="S1299">
        <v>18.770221759999998</v>
      </c>
    </row>
    <row r="1300" spans="1:19" x14ac:dyDescent="0.25">
      <c r="A1300" t="s">
        <v>26</v>
      </c>
      <c r="B1300" t="s">
        <v>928</v>
      </c>
      <c r="C1300">
        <v>16</v>
      </c>
      <c r="D1300" t="s">
        <v>27</v>
      </c>
      <c r="E1300" t="s">
        <v>95</v>
      </c>
      <c r="F1300" t="s">
        <v>105</v>
      </c>
      <c r="G1300" t="s">
        <v>102</v>
      </c>
      <c r="H1300" t="s">
        <v>111</v>
      </c>
      <c r="J1300">
        <v>0</v>
      </c>
      <c r="K1300">
        <v>1</v>
      </c>
      <c r="L1300">
        <v>67.5</v>
      </c>
      <c r="M1300">
        <v>47.937235809999997</v>
      </c>
      <c r="N1300">
        <v>0.41599678000000001</v>
      </c>
      <c r="O1300">
        <v>94.97142857</v>
      </c>
      <c r="P1300">
        <v>24.31591813</v>
      </c>
      <c r="Q1300">
        <v>0.122951111</v>
      </c>
      <c r="R1300" t="s">
        <v>1017</v>
      </c>
      <c r="S1300">
        <v>23.621317679999997</v>
      </c>
    </row>
    <row r="1301" spans="1:19" x14ac:dyDescent="0.25">
      <c r="A1301" t="s">
        <v>26</v>
      </c>
      <c r="B1301" t="s">
        <v>928</v>
      </c>
      <c r="C1301">
        <v>17</v>
      </c>
      <c r="D1301" t="s">
        <v>27</v>
      </c>
      <c r="E1301" t="s">
        <v>95</v>
      </c>
      <c r="F1301" t="s">
        <v>105</v>
      </c>
      <c r="G1301" t="s">
        <v>102</v>
      </c>
      <c r="H1301" t="s">
        <v>242</v>
      </c>
      <c r="J1301">
        <v>0</v>
      </c>
      <c r="K1301">
        <v>1</v>
      </c>
      <c r="L1301">
        <v>67.5</v>
      </c>
      <c r="M1301">
        <v>47.937235809999997</v>
      </c>
      <c r="N1301">
        <v>0.41599678000000001</v>
      </c>
      <c r="O1301">
        <v>139.375</v>
      </c>
      <c r="P1301">
        <v>23.713465920000001</v>
      </c>
      <c r="Q1301" t="s">
        <v>114</v>
      </c>
      <c r="R1301" t="s">
        <v>1017</v>
      </c>
      <c r="S1301">
        <v>24.223769889999996</v>
      </c>
    </row>
    <row r="1302" spans="1:19" x14ac:dyDescent="0.25">
      <c r="A1302" t="s">
        <v>26</v>
      </c>
      <c r="B1302" t="s">
        <v>929</v>
      </c>
      <c r="C1302">
        <v>15</v>
      </c>
      <c r="D1302" t="s">
        <v>27</v>
      </c>
      <c r="E1302" t="s">
        <v>95</v>
      </c>
      <c r="F1302" t="s">
        <v>110</v>
      </c>
      <c r="G1302" t="s">
        <v>111</v>
      </c>
      <c r="H1302" t="s">
        <v>111</v>
      </c>
      <c r="J1302">
        <v>0</v>
      </c>
      <c r="K1302">
        <v>1</v>
      </c>
      <c r="L1302">
        <v>73.260869569999997</v>
      </c>
      <c r="M1302">
        <v>34.453830549999999</v>
      </c>
      <c r="N1302">
        <v>1.058333333</v>
      </c>
      <c r="O1302">
        <v>94.97142857</v>
      </c>
      <c r="P1302">
        <v>24.31591813</v>
      </c>
      <c r="Q1302">
        <v>0.122951111</v>
      </c>
      <c r="R1302" t="s">
        <v>1017</v>
      </c>
      <c r="S1302">
        <v>10.137912419999999</v>
      </c>
    </row>
    <row r="1303" spans="1:19" x14ac:dyDescent="0.25">
      <c r="A1303" t="s">
        <v>26</v>
      </c>
      <c r="B1303" t="s">
        <v>929</v>
      </c>
      <c r="C1303">
        <v>16</v>
      </c>
      <c r="D1303" t="s">
        <v>27</v>
      </c>
      <c r="E1303" t="s">
        <v>95</v>
      </c>
      <c r="F1303" t="s">
        <v>110</v>
      </c>
      <c r="G1303" t="s">
        <v>111</v>
      </c>
      <c r="H1303" t="s">
        <v>242</v>
      </c>
      <c r="J1303">
        <v>0</v>
      </c>
      <c r="K1303">
        <v>8</v>
      </c>
      <c r="L1303">
        <v>73.260869569999997</v>
      </c>
      <c r="M1303">
        <v>34.453830549999999</v>
      </c>
      <c r="N1303">
        <v>1.058333333</v>
      </c>
      <c r="O1303">
        <v>139.375</v>
      </c>
      <c r="P1303">
        <v>23.713465920000001</v>
      </c>
      <c r="Q1303" t="s">
        <v>114</v>
      </c>
      <c r="R1303" t="s">
        <v>1017</v>
      </c>
      <c r="S1303">
        <v>10.740364629999998</v>
      </c>
    </row>
    <row r="1304" spans="1:19" x14ac:dyDescent="0.25">
      <c r="A1304" t="s">
        <v>26</v>
      </c>
      <c r="B1304" t="s">
        <v>930</v>
      </c>
      <c r="C1304">
        <v>15</v>
      </c>
      <c r="D1304" t="s">
        <v>27</v>
      </c>
      <c r="E1304" t="s">
        <v>95</v>
      </c>
      <c r="F1304" t="s">
        <v>111</v>
      </c>
      <c r="G1304" t="s">
        <v>102</v>
      </c>
      <c r="H1304" t="s">
        <v>244</v>
      </c>
      <c r="J1304">
        <v>0</v>
      </c>
      <c r="K1304">
        <v>1</v>
      </c>
      <c r="L1304">
        <v>94.97142857</v>
      </c>
      <c r="M1304">
        <v>24.31591813</v>
      </c>
      <c r="N1304">
        <v>0.122951111</v>
      </c>
      <c r="O1304">
        <v>75</v>
      </c>
      <c r="P1304">
        <v>28.80614499</v>
      </c>
      <c r="Q1304">
        <v>2.3860428570000001</v>
      </c>
      <c r="R1304" t="s">
        <v>1017</v>
      </c>
      <c r="S1304">
        <v>4.4902268599999999</v>
      </c>
    </row>
    <row r="1305" spans="1:19" x14ac:dyDescent="0.25">
      <c r="A1305" t="s">
        <v>26</v>
      </c>
      <c r="B1305" t="s">
        <v>930</v>
      </c>
      <c r="C1305">
        <v>16</v>
      </c>
      <c r="D1305" t="s">
        <v>27</v>
      </c>
      <c r="E1305" t="s">
        <v>95</v>
      </c>
      <c r="F1305" t="s">
        <v>111</v>
      </c>
      <c r="G1305" t="s">
        <v>102</v>
      </c>
      <c r="H1305" t="s">
        <v>236</v>
      </c>
      <c r="J1305">
        <v>0</v>
      </c>
      <c r="K1305">
        <v>1</v>
      </c>
      <c r="L1305">
        <v>94.97142857</v>
      </c>
      <c r="M1305">
        <v>24.31591813</v>
      </c>
      <c r="N1305">
        <v>0.122951111</v>
      </c>
      <c r="O1305">
        <v>113.33333330000001</v>
      </c>
      <c r="P1305">
        <v>26.41632581</v>
      </c>
      <c r="Q1305">
        <v>1.6844570160000001</v>
      </c>
      <c r="R1305" t="s">
        <v>1017</v>
      </c>
      <c r="S1305">
        <v>2.10040768</v>
      </c>
    </row>
    <row r="1306" spans="1:19" x14ac:dyDescent="0.25">
      <c r="A1306" t="s">
        <v>26</v>
      </c>
      <c r="B1306" t="s">
        <v>930</v>
      </c>
      <c r="C1306">
        <v>17</v>
      </c>
      <c r="D1306" t="s">
        <v>27</v>
      </c>
      <c r="E1306" t="s">
        <v>95</v>
      </c>
      <c r="F1306" t="s">
        <v>111</v>
      </c>
      <c r="G1306" t="s">
        <v>102</v>
      </c>
      <c r="H1306" t="s">
        <v>102</v>
      </c>
      <c r="J1306">
        <v>0</v>
      </c>
      <c r="K1306">
        <v>1</v>
      </c>
      <c r="L1306">
        <v>94.97142857</v>
      </c>
      <c r="M1306">
        <v>24.31591813</v>
      </c>
      <c r="N1306">
        <v>0.122951111</v>
      </c>
      <c r="O1306">
        <v>84.740740740000007</v>
      </c>
      <c r="P1306">
        <v>29.167014049999999</v>
      </c>
      <c r="Q1306">
        <v>1.1169849999999999</v>
      </c>
      <c r="R1306" t="s">
        <v>1017</v>
      </c>
      <c r="S1306">
        <v>4.8510959199999988</v>
      </c>
    </row>
    <row r="1307" spans="1:19" x14ac:dyDescent="0.25">
      <c r="A1307" t="s">
        <v>26</v>
      </c>
      <c r="B1307" t="s">
        <v>930</v>
      </c>
      <c r="C1307">
        <v>18</v>
      </c>
      <c r="D1307" t="s">
        <v>27</v>
      </c>
      <c r="E1307" t="s">
        <v>95</v>
      </c>
      <c r="F1307" t="s">
        <v>111</v>
      </c>
      <c r="G1307" t="s">
        <v>102</v>
      </c>
      <c r="H1307" t="s">
        <v>242</v>
      </c>
      <c r="J1307">
        <v>0</v>
      </c>
      <c r="K1307">
        <v>3</v>
      </c>
      <c r="L1307">
        <v>94.97142857</v>
      </c>
      <c r="M1307">
        <v>24.31591813</v>
      </c>
      <c r="N1307">
        <v>0.122951111</v>
      </c>
      <c r="O1307">
        <v>139.375</v>
      </c>
      <c r="P1307">
        <v>23.713465920000001</v>
      </c>
      <c r="Q1307" t="s">
        <v>114</v>
      </c>
      <c r="R1307" t="s">
        <v>1017</v>
      </c>
      <c r="S1307">
        <v>0.60245220999999916</v>
      </c>
    </row>
    <row r="1308" spans="1:19" x14ac:dyDescent="0.25">
      <c r="A1308" t="s">
        <v>28</v>
      </c>
      <c r="B1308" t="s">
        <v>931</v>
      </c>
      <c r="C1308">
        <v>15</v>
      </c>
      <c r="D1308" t="s">
        <v>29</v>
      </c>
      <c r="E1308" t="s">
        <v>94</v>
      </c>
      <c r="F1308" t="s">
        <v>113</v>
      </c>
      <c r="G1308" t="s">
        <v>113</v>
      </c>
      <c r="H1308" t="s">
        <v>113</v>
      </c>
      <c r="J1308">
        <v>0</v>
      </c>
      <c r="K1308">
        <v>2</v>
      </c>
      <c r="L1308">
        <v>83.757575759999995</v>
      </c>
      <c r="M1308">
        <v>22.60997987</v>
      </c>
      <c r="N1308">
        <v>0.72884000000000004</v>
      </c>
      <c r="O1308">
        <v>83.757575759999995</v>
      </c>
      <c r="P1308">
        <v>22.60997987</v>
      </c>
      <c r="Q1308">
        <v>0.72884000000000004</v>
      </c>
      <c r="R1308" t="s">
        <v>1017</v>
      </c>
      <c r="S1308">
        <v>0</v>
      </c>
    </row>
    <row r="1309" spans="1:19" x14ac:dyDescent="0.25">
      <c r="A1309" t="s">
        <v>28</v>
      </c>
      <c r="B1309" t="s">
        <v>931</v>
      </c>
      <c r="C1309">
        <v>16</v>
      </c>
      <c r="D1309" t="s">
        <v>29</v>
      </c>
      <c r="E1309" t="s">
        <v>94</v>
      </c>
      <c r="F1309" t="s">
        <v>113</v>
      </c>
      <c r="G1309" t="s">
        <v>113</v>
      </c>
      <c r="H1309" t="s">
        <v>248</v>
      </c>
      <c r="J1309">
        <v>0</v>
      </c>
      <c r="K1309">
        <v>12</v>
      </c>
      <c r="L1309">
        <v>83.757575759999995</v>
      </c>
      <c r="M1309">
        <v>22.60997987</v>
      </c>
      <c r="N1309">
        <v>0.72884000000000004</v>
      </c>
      <c r="O1309">
        <v>83.92307692</v>
      </c>
      <c r="P1309">
        <v>44.319135699999997</v>
      </c>
      <c r="Q1309">
        <v>5.9548609999999997E-3</v>
      </c>
      <c r="R1309" t="s">
        <v>1017</v>
      </c>
      <c r="S1309">
        <v>21.709155829999997</v>
      </c>
    </row>
    <row r="1310" spans="1:19" x14ac:dyDescent="0.25">
      <c r="A1310" t="s">
        <v>28</v>
      </c>
      <c r="B1310" t="s">
        <v>931</v>
      </c>
      <c r="C1310">
        <v>17</v>
      </c>
      <c r="D1310" t="s">
        <v>29</v>
      </c>
      <c r="E1310" t="s">
        <v>94</v>
      </c>
      <c r="F1310" t="s">
        <v>113</v>
      </c>
      <c r="G1310" t="s">
        <v>113</v>
      </c>
      <c r="H1310" t="s">
        <v>247</v>
      </c>
      <c r="J1310">
        <v>0</v>
      </c>
      <c r="K1310">
        <v>1</v>
      </c>
      <c r="L1310">
        <v>83.757575759999995</v>
      </c>
      <c r="M1310">
        <v>22.60997987</v>
      </c>
      <c r="N1310">
        <v>0.72884000000000004</v>
      </c>
      <c r="O1310">
        <v>65.791044779999993</v>
      </c>
      <c r="P1310">
        <v>22.94519201</v>
      </c>
      <c r="Q1310">
        <v>8.1320334999999994E-2</v>
      </c>
      <c r="R1310" t="s">
        <v>1017</v>
      </c>
      <c r="S1310">
        <v>0.33521213999999944</v>
      </c>
    </row>
    <row r="1311" spans="1:19" x14ac:dyDescent="0.25">
      <c r="A1311" t="s">
        <v>28</v>
      </c>
      <c r="B1311" t="s">
        <v>931</v>
      </c>
      <c r="C1311">
        <v>18</v>
      </c>
      <c r="D1311" t="s">
        <v>29</v>
      </c>
      <c r="E1311" t="s">
        <v>94</v>
      </c>
      <c r="F1311" t="s">
        <v>113</v>
      </c>
      <c r="G1311" t="s">
        <v>113</v>
      </c>
      <c r="H1311" t="s">
        <v>239</v>
      </c>
      <c r="J1311">
        <v>0</v>
      </c>
      <c r="K1311">
        <v>1</v>
      </c>
      <c r="L1311">
        <v>83.757575759999995</v>
      </c>
      <c r="M1311">
        <v>22.60997987</v>
      </c>
      <c r="N1311">
        <v>0.72884000000000004</v>
      </c>
      <c r="O1311">
        <v>100.45454549999999</v>
      </c>
      <c r="P1311">
        <v>26.754810689999999</v>
      </c>
      <c r="Q1311">
        <v>0.75829999999999997</v>
      </c>
      <c r="R1311" t="s">
        <v>1017</v>
      </c>
      <c r="S1311">
        <v>4.1448308199999992</v>
      </c>
    </row>
    <row r="1312" spans="1:19" x14ac:dyDescent="0.25">
      <c r="A1312" t="s">
        <v>28</v>
      </c>
      <c r="B1312" t="s">
        <v>932</v>
      </c>
      <c r="C1312">
        <v>15</v>
      </c>
      <c r="D1312" t="s">
        <v>29</v>
      </c>
      <c r="E1312" t="s">
        <v>94</v>
      </c>
      <c r="F1312" t="s">
        <v>103</v>
      </c>
      <c r="G1312" t="s">
        <v>102</v>
      </c>
      <c r="H1312" t="s">
        <v>102</v>
      </c>
      <c r="J1312">
        <v>0</v>
      </c>
      <c r="K1312">
        <v>1</v>
      </c>
      <c r="L1312">
        <v>98.291666669999998</v>
      </c>
      <c r="M1312">
        <v>30.315130790000001</v>
      </c>
      <c r="N1312">
        <v>5.0803484000000003E-2</v>
      </c>
      <c r="O1312">
        <v>84.740740740000007</v>
      </c>
      <c r="P1312">
        <v>29.167014049999999</v>
      </c>
      <c r="Q1312">
        <v>1.1169849999999999</v>
      </c>
      <c r="R1312" t="s">
        <v>1017</v>
      </c>
      <c r="S1312">
        <v>1.1481167400000025</v>
      </c>
    </row>
    <row r="1313" spans="1:19" x14ac:dyDescent="0.25">
      <c r="A1313" t="s">
        <v>28</v>
      </c>
      <c r="B1313" t="s">
        <v>932</v>
      </c>
      <c r="C1313">
        <v>16</v>
      </c>
      <c r="D1313" t="s">
        <v>29</v>
      </c>
      <c r="E1313" t="s">
        <v>94</v>
      </c>
      <c r="F1313" t="s">
        <v>103</v>
      </c>
      <c r="G1313" t="s">
        <v>102</v>
      </c>
      <c r="H1313" t="s">
        <v>103</v>
      </c>
      <c r="J1313">
        <v>0</v>
      </c>
      <c r="K1313">
        <v>2</v>
      </c>
      <c r="L1313">
        <v>98.291666669999998</v>
      </c>
      <c r="M1313">
        <v>30.315130790000001</v>
      </c>
      <c r="N1313">
        <v>5.0803484000000003E-2</v>
      </c>
      <c r="O1313">
        <v>98.291666669999998</v>
      </c>
      <c r="P1313">
        <v>30.315130790000001</v>
      </c>
      <c r="Q1313">
        <v>5.0803484000000003E-2</v>
      </c>
      <c r="R1313" t="s">
        <v>1017</v>
      </c>
      <c r="S1313">
        <v>0</v>
      </c>
    </row>
    <row r="1314" spans="1:19" x14ac:dyDescent="0.25">
      <c r="A1314" t="s">
        <v>28</v>
      </c>
      <c r="B1314" t="s">
        <v>933</v>
      </c>
      <c r="C1314">
        <v>15</v>
      </c>
      <c r="D1314" t="s">
        <v>29</v>
      </c>
      <c r="E1314" t="s">
        <v>94</v>
      </c>
      <c r="F1314" t="s">
        <v>111</v>
      </c>
      <c r="G1314" t="s">
        <v>121</v>
      </c>
      <c r="H1314" t="s">
        <v>247</v>
      </c>
      <c r="J1314">
        <v>0</v>
      </c>
      <c r="K1314">
        <v>1</v>
      </c>
      <c r="L1314">
        <v>94.97142857</v>
      </c>
      <c r="M1314">
        <v>24.31591813</v>
      </c>
      <c r="N1314">
        <v>0.122951111</v>
      </c>
      <c r="O1314">
        <v>65.791044779999993</v>
      </c>
      <c r="P1314">
        <v>22.94519201</v>
      </c>
      <c r="Q1314">
        <v>8.1320334999999994E-2</v>
      </c>
      <c r="R1314" t="s">
        <v>1017</v>
      </c>
      <c r="S1314">
        <v>1.3707261200000005</v>
      </c>
    </row>
    <row r="1315" spans="1:19" x14ac:dyDescent="0.25">
      <c r="A1315" t="s">
        <v>28</v>
      </c>
      <c r="B1315" t="s">
        <v>933</v>
      </c>
      <c r="C1315">
        <v>16</v>
      </c>
      <c r="D1315" t="s">
        <v>29</v>
      </c>
      <c r="E1315" t="s">
        <v>94</v>
      </c>
      <c r="F1315" t="s">
        <v>111</v>
      </c>
      <c r="G1315" t="s">
        <v>121</v>
      </c>
      <c r="H1315" t="s">
        <v>113</v>
      </c>
      <c r="J1315">
        <v>0</v>
      </c>
      <c r="K1315">
        <v>3</v>
      </c>
      <c r="L1315">
        <v>94.97142857</v>
      </c>
      <c r="M1315">
        <v>24.31591813</v>
      </c>
      <c r="N1315">
        <v>0.122951111</v>
      </c>
      <c r="O1315">
        <v>83.757575759999995</v>
      </c>
      <c r="P1315">
        <v>22.60997987</v>
      </c>
      <c r="Q1315">
        <v>0.72884000000000004</v>
      </c>
      <c r="R1315" t="s">
        <v>1017</v>
      </c>
      <c r="S1315">
        <v>1.7059382599999999</v>
      </c>
    </row>
    <row r="1316" spans="1:19" x14ac:dyDescent="0.25">
      <c r="A1316" t="s">
        <v>28</v>
      </c>
      <c r="B1316" t="s">
        <v>933</v>
      </c>
      <c r="C1316">
        <v>17</v>
      </c>
      <c r="D1316" t="s">
        <v>29</v>
      </c>
      <c r="E1316" t="s">
        <v>94</v>
      </c>
      <c r="F1316" t="s">
        <v>111</v>
      </c>
      <c r="G1316" t="s">
        <v>121</v>
      </c>
      <c r="H1316" t="s">
        <v>248</v>
      </c>
      <c r="J1316">
        <v>0</v>
      </c>
      <c r="K1316">
        <v>1</v>
      </c>
      <c r="L1316">
        <v>94.97142857</v>
      </c>
      <c r="M1316">
        <v>24.31591813</v>
      </c>
      <c r="N1316">
        <v>0.122951111</v>
      </c>
      <c r="O1316">
        <v>83.92307692</v>
      </c>
      <c r="P1316">
        <v>44.319135699999997</v>
      </c>
      <c r="Q1316">
        <v>5.9548609999999997E-3</v>
      </c>
      <c r="R1316" t="s">
        <v>1017</v>
      </c>
      <c r="S1316">
        <v>20.003217569999997</v>
      </c>
    </row>
    <row r="1317" spans="1:19" x14ac:dyDescent="0.25">
      <c r="A1317" t="s">
        <v>28</v>
      </c>
      <c r="B1317" t="s">
        <v>934</v>
      </c>
      <c r="C1317">
        <v>15</v>
      </c>
      <c r="D1317" t="s">
        <v>29</v>
      </c>
      <c r="E1317" t="s">
        <v>94</v>
      </c>
      <c r="F1317" t="s">
        <v>112</v>
      </c>
      <c r="G1317" t="s">
        <v>121</v>
      </c>
      <c r="H1317" t="s">
        <v>103</v>
      </c>
      <c r="J1317">
        <v>0</v>
      </c>
      <c r="K1317">
        <v>4</v>
      </c>
      <c r="L1317">
        <v>65.09375</v>
      </c>
      <c r="M1317">
        <v>37.895352600000002</v>
      </c>
      <c r="N1317">
        <v>2.2882677779999998</v>
      </c>
      <c r="O1317">
        <v>98.291666669999998</v>
      </c>
      <c r="P1317">
        <v>30.315130790000001</v>
      </c>
      <c r="Q1317">
        <v>5.0803484000000003E-2</v>
      </c>
      <c r="R1317" t="s">
        <v>1017</v>
      </c>
      <c r="S1317">
        <v>7.5802218100000012</v>
      </c>
    </row>
    <row r="1318" spans="1:19" x14ac:dyDescent="0.25">
      <c r="A1318" t="s">
        <v>28</v>
      </c>
      <c r="B1318" t="s">
        <v>934</v>
      </c>
      <c r="C1318">
        <v>16</v>
      </c>
      <c r="D1318" t="s">
        <v>29</v>
      </c>
      <c r="E1318" t="s">
        <v>94</v>
      </c>
      <c r="F1318" t="s">
        <v>112</v>
      </c>
      <c r="G1318" t="s">
        <v>121</v>
      </c>
      <c r="H1318" t="s">
        <v>113</v>
      </c>
      <c r="J1318">
        <v>0</v>
      </c>
      <c r="K1318">
        <v>6</v>
      </c>
      <c r="L1318">
        <v>65.09375</v>
      </c>
      <c r="M1318">
        <v>37.895352600000002</v>
      </c>
      <c r="N1318">
        <v>2.2882677779999998</v>
      </c>
      <c r="O1318">
        <v>83.757575759999995</v>
      </c>
      <c r="P1318">
        <v>22.60997987</v>
      </c>
      <c r="Q1318">
        <v>0.72884000000000004</v>
      </c>
      <c r="R1318" t="s">
        <v>1017</v>
      </c>
      <c r="S1318">
        <v>15.285372730000002</v>
      </c>
    </row>
    <row r="1319" spans="1:19" x14ac:dyDescent="0.25">
      <c r="A1319" t="s">
        <v>28</v>
      </c>
      <c r="B1319" t="s">
        <v>934</v>
      </c>
      <c r="C1319">
        <v>17</v>
      </c>
      <c r="D1319" t="s">
        <v>29</v>
      </c>
      <c r="E1319" t="s">
        <v>94</v>
      </c>
      <c r="F1319" t="s">
        <v>112</v>
      </c>
      <c r="G1319" t="s">
        <v>121</v>
      </c>
      <c r="H1319" t="s">
        <v>248</v>
      </c>
      <c r="J1319">
        <v>0</v>
      </c>
      <c r="K1319">
        <v>3</v>
      </c>
      <c r="L1319">
        <v>65.09375</v>
      </c>
      <c r="M1319">
        <v>37.895352600000002</v>
      </c>
      <c r="N1319">
        <v>2.2882677779999998</v>
      </c>
      <c r="O1319">
        <v>83.92307692</v>
      </c>
      <c r="P1319">
        <v>44.319135699999997</v>
      </c>
      <c r="Q1319">
        <v>5.9548609999999997E-3</v>
      </c>
      <c r="R1319" t="s">
        <v>1017</v>
      </c>
      <c r="S1319">
        <v>6.4237830999999943</v>
      </c>
    </row>
    <row r="1320" spans="1:19" x14ac:dyDescent="0.25">
      <c r="A1320" t="s">
        <v>30</v>
      </c>
      <c r="B1320" t="s">
        <v>935</v>
      </c>
      <c r="C1320">
        <v>15</v>
      </c>
      <c r="D1320" t="s">
        <v>31</v>
      </c>
      <c r="E1320" t="s">
        <v>95</v>
      </c>
      <c r="F1320" t="s">
        <v>113</v>
      </c>
      <c r="G1320" t="s">
        <v>121</v>
      </c>
      <c r="H1320" t="s">
        <v>113</v>
      </c>
      <c r="J1320">
        <v>0</v>
      </c>
      <c r="K1320">
        <v>1</v>
      </c>
      <c r="L1320">
        <v>83.757575759999995</v>
      </c>
      <c r="M1320">
        <v>22.60997987</v>
      </c>
      <c r="N1320">
        <v>0.72884000000000004</v>
      </c>
      <c r="O1320">
        <v>83.757575759999995</v>
      </c>
      <c r="P1320">
        <v>22.60997987</v>
      </c>
      <c r="Q1320">
        <v>0.72884000000000004</v>
      </c>
      <c r="R1320" t="s">
        <v>1017</v>
      </c>
      <c r="S1320">
        <v>0</v>
      </c>
    </row>
    <row r="1321" spans="1:19" x14ac:dyDescent="0.25">
      <c r="A1321" t="s">
        <v>30</v>
      </c>
      <c r="B1321" t="s">
        <v>935</v>
      </c>
      <c r="C1321">
        <v>16</v>
      </c>
      <c r="D1321" t="s">
        <v>31</v>
      </c>
      <c r="E1321" t="s">
        <v>95</v>
      </c>
      <c r="F1321" t="s">
        <v>113</v>
      </c>
      <c r="G1321" t="s">
        <v>121</v>
      </c>
      <c r="H1321" t="s">
        <v>103</v>
      </c>
      <c r="J1321">
        <v>0</v>
      </c>
      <c r="K1321">
        <v>2</v>
      </c>
      <c r="L1321">
        <v>83.757575759999995</v>
      </c>
      <c r="M1321">
        <v>22.60997987</v>
      </c>
      <c r="N1321">
        <v>0.72884000000000004</v>
      </c>
      <c r="O1321">
        <v>98.291666669999998</v>
      </c>
      <c r="P1321">
        <v>30.315130790000001</v>
      </c>
      <c r="Q1321">
        <v>5.0803484000000003E-2</v>
      </c>
      <c r="R1321" t="s">
        <v>1017</v>
      </c>
      <c r="S1321">
        <v>7.7051509200000012</v>
      </c>
    </row>
    <row r="1322" spans="1:19" x14ac:dyDescent="0.25">
      <c r="A1322" t="s">
        <v>30</v>
      </c>
      <c r="B1322" t="s">
        <v>935</v>
      </c>
      <c r="C1322">
        <v>17</v>
      </c>
      <c r="D1322" t="s">
        <v>31</v>
      </c>
      <c r="E1322" t="s">
        <v>95</v>
      </c>
      <c r="F1322" t="s">
        <v>113</v>
      </c>
      <c r="G1322" t="s">
        <v>121</v>
      </c>
      <c r="H1322" t="s">
        <v>248</v>
      </c>
      <c r="J1322">
        <v>0</v>
      </c>
      <c r="K1322">
        <v>9</v>
      </c>
      <c r="L1322">
        <v>83.757575759999995</v>
      </c>
      <c r="M1322">
        <v>22.60997987</v>
      </c>
      <c r="N1322">
        <v>0.72884000000000004</v>
      </c>
      <c r="O1322">
        <v>83.92307692</v>
      </c>
      <c r="P1322">
        <v>44.319135699999997</v>
      </c>
      <c r="Q1322">
        <v>5.9548609999999997E-3</v>
      </c>
      <c r="R1322" t="s">
        <v>1017</v>
      </c>
      <c r="S1322">
        <v>21.709155829999997</v>
      </c>
    </row>
    <row r="1323" spans="1:19" x14ac:dyDescent="0.25">
      <c r="A1323" t="s">
        <v>30</v>
      </c>
      <c r="B1323" t="s">
        <v>935</v>
      </c>
      <c r="C1323">
        <v>18</v>
      </c>
      <c r="D1323" t="s">
        <v>31</v>
      </c>
      <c r="E1323" t="s">
        <v>95</v>
      </c>
      <c r="F1323" t="s">
        <v>113</v>
      </c>
      <c r="G1323" t="s">
        <v>121</v>
      </c>
      <c r="H1323" t="s">
        <v>111</v>
      </c>
      <c r="J1323">
        <v>0</v>
      </c>
      <c r="K1323">
        <v>1</v>
      </c>
      <c r="L1323">
        <v>83.757575759999995</v>
      </c>
      <c r="M1323">
        <v>22.60997987</v>
      </c>
      <c r="N1323">
        <v>0.72884000000000004</v>
      </c>
      <c r="O1323">
        <v>94.97142857</v>
      </c>
      <c r="P1323">
        <v>24.31591813</v>
      </c>
      <c r="Q1323">
        <v>0.122951111</v>
      </c>
      <c r="R1323" t="s">
        <v>1017</v>
      </c>
      <c r="S1323">
        <v>1.7059382599999999</v>
      </c>
    </row>
    <row r="1324" spans="1:19" x14ac:dyDescent="0.25">
      <c r="A1324" t="s">
        <v>30</v>
      </c>
      <c r="B1324" t="s">
        <v>936</v>
      </c>
      <c r="C1324">
        <v>15</v>
      </c>
      <c r="D1324" t="s">
        <v>31</v>
      </c>
      <c r="E1324" t="s">
        <v>95</v>
      </c>
      <c r="F1324" t="s">
        <v>103</v>
      </c>
      <c r="G1324" t="s">
        <v>113</v>
      </c>
      <c r="H1324" t="s">
        <v>113</v>
      </c>
      <c r="J1324">
        <v>0</v>
      </c>
      <c r="K1324">
        <v>3</v>
      </c>
      <c r="L1324">
        <v>98.291666669999998</v>
      </c>
      <c r="M1324">
        <v>30.315130790000001</v>
      </c>
      <c r="N1324">
        <v>5.0803484000000003E-2</v>
      </c>
      <c r="O1324">
        <v>83.757575759999995</v>
      </c>
      <c r="P1324">
        <v>22.60997987</v>
      </c>
      <c r="Q1324">
        <v>0.72884000000000004</v>
      </c>
      <c r="R1324" t="s">
        <v>1017</v>
      </c>
      <c r="S1324">
        <v>7.7051509200000012</v>
      </c>
    </row>
    <row r="1325" spans="1:19" x14ac:dyDescent="0.25">
      <c r="A1325" t="s">
        <v>30</v>
      </c>
      <c r="B1325" t="s">
        <v>936</v>
      </c>
      <c r="C1325">
        <v>16</v>
      </c>
      <c r="D1325" t="s">
        <v>31</v>
      </c>
      <c r="E1325" t="s">
        <v>95</v>
      </c>
      <c r="F1325" t="s">
        <v>103</v>
      </c>
      <c r="G1325" t="s">
        <v>113</v>
      </c>
      <c r="H1325" t="s">
        <v>247</v>
      </c>
      <c r="J1325">
        <v>0</v>
      </c>
      <c r="K1325">
        <v>1</v>
      </c>
      <c r="L1325">
        <v>98.291666669999998</v>
      </c>
      <c r="M1325">
        <v>30.315130790000001</v>
      </c>
      <c r="N1325">
        <v>5.0803484000000003E-2</v>
      </c>
      <c r="O1325">
        <v>65.791044779999993</v>
      </c>
      <c r="P1325">
        <v>22.94519201</v>
      </c>
      <c r="Q1325">
        <v>8.1320334999999994E-2</v>
      </c>
      <c r="R1325" t="s">
        <v>1017</v>
      </c>
      <c r="S1325">
        <v>7.3699387800000018</v>
      </c>
    </row>
    <row r="1326" spans="1:19" x14ac:dyDescent="0.25">
      <c r="A1326" t="s">
        <v>30</v>
      </c>
      <c r="B1326" t="s">
        <v>936</v>
      </c>
      <c r="C1326">
        <v>17</v>
      </c>
      <c r="D1326" t="s">
        <v>31</v>
      </c>
      <c r="E1326" t="s">
        <v>95</v>
      </c>
      <c r="F1326" t="s">
        <v>103</v>
      </c>
      <c r="G1326" t="s">
        <v>113</v>
      </c>
      <c r="H1326" t="s">
        <v>111</v>
      </c>
      <c r="J1326">
        <v>0</v>
      </c>
      <c r="K1326">
        <v>1</v>
      </c>
      <c r="L1326">
        <v>98.291666669999998</v>
      </c>
      <c r="M1326">
        <v>30.315130790000001</v>
      </c>
      <c r="N1326">
        <v>5.0803484000000003E-2</v>
      </c>
      <c r="O1326">
        <v>94.97142857</v>
      </c>
      <c r="P1326">
        <v>24.31591813</v>
      </c>
      <c r="Q1326">
        <v>0.122951111</v>
      </c>
      <c r="R1326" t="s">
        <v>1017</v>
      </c>
      <c r="S1326">
        <v>5.9992126600000013</v>
      </c>
    </row>
    <row r="1327" spans="1:19" x14ac:dyDescent="0.25">
      <c r="A1327" t="s">
        <v>30</v>
      </c>
      <c r="B1327" t="s">
        <v>936</v>
      </c>
      <c r="C1327">
        <v>18</v>
      </c>
      <c r="D1327" t="s">
        <v>31</v>
      </c>
      <c r="E1327" t="s">
        <v>95</v>
      </c>
      <c r="F1327" t="s">
        <v>103</v>
      </c>
      <c r="G1327" t="s">
        <v>113</v>
      </c>
      <c r="H1327" t="s">
        <v>234</v>
      </c>
      <c r="J1327">
        <v>0</v>
      </c>
      <c r="K1327">
        <v>1</v>
      </c>
      <c r="L1327">
        <v>98.291666669999998</v>
      </c>
      <c r="M1327">
        <v>30.315130790000001</v>
      </c>
      <c r="N1327">
        <v>5.0803484000000003E-2</v>
      </c>
      <c r="O1327">
        <v>89.8125</v>
      </c>
      <c r="P1327">
        <v>34.754706650000003</v>
      </c>
      <c r="Q1327">
        <v>2.3065078999999999E-2</v>
      </c>
      <c r="R1327" t="s">
        <v>1017</v>
      </c>
      <c r="S1327">
        <v>4.4395758600000015</v>
      </c>
    </row>
    <row r="1328" spans="1:19" x14ac:dyDescent="0.25">
      <c r="A1328" t="s">
        <v>30</v>
      </c>
      <c r="B1328" t="s">
        <v>936</v>
      </c>
      <c r="C1328">
        <v>19</v>
      </c>
      <c r="D1328" t="s">
        <v>31</v>
      </c>
      <c r="E1328" t="s">
        <v>95</v>
      </c>
      <c r="F1328" t="s">
        <v>103</v>
      </c>
      <c r="G1328" t="s">
        <v>113</v>
      </c>
      <c r="H1328" t="s">
        <v>241</v>
      </c>
      <c r="J1328">
        <v>0</v>
      </c>
      <c r="K1328">
        <v>1</v>
      </c>
      <c r="L1328">
        <v>98.291666669999998</v>
      </c>
      <c r="M1328">
        <v>30.315130790000001</v>
      </c>
      <c r="N1328">
        <v>5.0803484000000003E-2</v>
      </c>
      <c r="O1328">
        <v>114</v>
      </c>
      <c r="P1328">
        <v>30.43077242</v>
      </c>
      <c r="Q1328">
        <v>0.53383111100000002</v>
      </c>
      <c r="R1328" t="s">
        <v>1017</v>
      </c>
      <c r="S1328">
        <v>0.11564162999999894</v>
      </c>
    </row>
    <row r="1329" spans="1:19" x14ac:dyDescent="0.25">
      <c r="A1329" t="s">
        <v>30</v>
      </c>
      <c r="B1329" t="s">
        <v>937</v>
      </c>
      <c r="C1329">
        <v>15</v>
      </c>
      <c r="D1329" t="s">
        <v>31</v>
      </c>
      <c r="E1329" t="s">
        <v>95</v>
      </c>
      <c r="F1329" t="s">
        <v>112</v>
      </c>
      <c r="G1329" t="s">
        <v>103</v>
      </c>
      <c r="H1329" t="s">
        <v>114</v>
      </c>
      <c r="J1329">
        <v>0</v>
      </c>
      <c r="K1329" t="s">
        <v>114</v>
      </c>
      <c r="L1329">
        <v>65.09375</v>
      </c>
      <c r="M1329">
        <v>37.895352600000002</v>
      </c>
      <c r="N1329">
        <v>2.2882677779999998</v>
      </c>
      <c r="O1329" t="s">
        <v>114</v>
      </c>
      <c r="P1329" t="s">
        <v>114</v>
      </c>
      <c r="Q1329" t="s">
        <v>114</v>
      </c>
      <c r="R1329" t="s">
        <v>1017</v>
      </c>
      <c r="S1329" t="s">
        <v>114</v>
      </c>
    </row>
    <row r="1330" spans="1:19" x14ac:dyDescent="0.25">
      <c r="A1330" t="s">
        <v>32</v>
      </c>
      <c r="B1330" t="s">
        <v>938</v>
      </c>
      <c r="C1330">
        <v>15</v>
      </c>
      <c r="D1330" t="s">
        <v>33</v>
      </c>
      <c r="E1330" t="s">
        <v>94</v>
      </c>
      <c r="F1330" t="s">
        <v>105</v>
      </c>
      <c r="G1330" t="s">
        <v>121</v>
      </c>
      <c r="H1330" t="s">
        <v>247</v>
      </c>
      <c r="J1330">
        <v>0</v>
      </c>
      <c r="K1330">
        <v>2</v>
      </c>
      <c r="L1330">
        <v>67.5</v>
      </c>
      <c r="M1330">
        <v>47.937235809999997</v>
      </c>
      <c r="N1330">
        <v>0.41599678000000001</v>
      </c>
      <c r="O1330">
        <v>65.791044779999993</v>
      </c>
      <c r="P1330">
        <v>22.94519201</v>
      </c>
      <c r="Q1330">
        <v>8.1320334999999994E-2</v>
      </c>
      <c r="R1330" t="s">
        <v>1017</v>
      </c>
      <c r="S1330">
        <v>24.992043799999998</v>
      </c>
    </row>
    <row r="1331" spans="1:19" x14ac:dyDescent="0.25">
      <c r="A1331" t="s">
        <v>32</v>
      </c>
      <c r="B1331" t="s">
        <v>938</v>
      </c>
      <c r="C1331">
        <v>16</v>
      </c>
      <c r="D1331" t="s">
        <v>33</v>
      </c>
      <c r="E1331" t="s">
        <v>94</v>
      </c>
      <c r="F1331" t="s">
        <v>105</v>
      </c>
      <c r="G1331" t="s">
        <v>121</v>
      </c>
      <c r="H1331" t="s">
        <v>249</v>
      </c>
      <c r="J1331">
        <v>0</v>
      </c>
      <c r="K1331">
        <v>1</v>
      </c>
      <c r="L1331">
        <v>67.5</v>
      </c>
      <c r="M1331">
        <v>47.937235809999997</v>
      </c>
      <c r="N1331">
        <v>0.41599678000000001</v>
      </c>
      <c r="O1331">
        <v>81.666666669999998</v>
      </c>
      <c r="P1331">
        <v>48.056268459999998</v>
      </c>
      <c r="Q1331">
        <v>0.120291364</v>
      </c>
      <c r="R1331" t="s">
        <v>1017</v>
      </c>
      <c r="S1331">
        <v>0.11903265000000118</v>
      </c>
    </row>
    <row r="1332" spans="1:19" x14ac:dyDescent="0.25">
      <c r="A1332" t="s">
        <v>34</v>
      </c>
      <c r="B1332" t="s">
        <v>939</v>
      </c>
      <c r="C1332">
        <v>15</v>
      </c>
      <c r="D1332" t="s">
        <v>35</v>
      </c>
      <c r="E1332" t="s">
        <v>94</v>
      </c>
      <c r="F1332" t="s">
        <v>112</v>
      </c>
      <c r="G1332" t="s">
        <v>112</v>
      </c>
      <c r="H1332" t="s">
        <v>112</v>
      </c>
      <c r="J1332">
        <v>0</v>
      </c>
      <c r="K1332">
        <v>1</v>
      </c>
      <c r="L1332">
        <v>65.09375</v>
      </c>
      <c r="M1332">
        <v>37.895352600000002</v>
      </c>
      <c r="N1332">
        <v>2.2882677779999998</v>
      </c>
      <c r="O1332">
        <v>65.09375</v>
      </c>
      <c r="P1332">
        <v>37.895352600000002</v>
      </c>
      <c r="Q1332">
        <v>2.2882677779999998</v>
      </c>
      <c r="R1332" t="s">
        <v>1017</v>
      </c>
      <c r="S1332">
        <v>0</v>
      </c>
    </row>
    <row r="1333" spans="1:19" x14ac:dyDescent="0.25">
      <c r="A1333" t="s">
        <v>36</v>
      </c>
      <c r="B1333" t="s">
        <v>940</v>
      </c>
      <c r="C1333">
        <v>15</v>
      </c>
      <c r="D1333" t="s">
        <v>37</v>
      </c>
      <c r="E1333" t="s">
        <v>95</v>
      </c>
      <c r="F1333" t="s">
        <v>110</v>
      </c>
      <c r="G1333" t="s">
        <v>121</v>
      </c>
      <c r="H1333" t="s">
        <v>110</v>
      </c>
      <c r="J1333">
        <v>0</v>
      </c>
      <c r="K1333">
        <v>1</v>
      </c>
      <c r="L1333">
        <v>73.260869569999997</v>
      </c>
      <c r="M1333">
        <v>34.453830549999999</v>
      </c>
      <c r="N1333">
        <v>1.058333333</v>
      </c>
      <c r="O1333">
        <v>73.260869569999997</v>
      </c>
      <c r="P1333">
        <v>34.453830549999999</v>
      </c>
      <c r="Q1333">
        <v>1.058333333</v>
      </c>
      <c r="R1333" t="s">
        <v>1017</v>
      </c>
      <c r="S1333">
        <v>0</v>
      </c>
    </row>
    <row r="1334" spans="1:19" x14ac:dyDescent="0.25">
      <c r="A1334" t="s">
        <v>36</v>
      </c>
      <c r="B1334" t="s">
        <v>941</v>
      </c>
      <c r="C1334">
        <v>15</v>
      </c>
      <c r="D1334" t="s">
        <v>37</v>
      </c>
      <c r="E1334" t="s">
        <v>95</v>
      </c>
      <c r="F1334" t="s">
        <v>104</v>
      </c>
      <c r="G1334" t="s">
        <v>121</v>
      </c>
      <c r="H1334" t="s">
        <v>104</v>
      </c>
      <c r="J1334">
        <v>0</v>
      </c>
      <c r="K1334">
        <v>1</v>
      </c>
      <c r="L1334">
        <v>113.9375</v>
      </c>
      <c r="M1334">
        <v>33.375507550000002</v>
      </c>
      <c r="N1334">
        <v>2.4262999999999999</v>
      </c>
      <c r="O1334">
        <v>113.9375</v>
      </c>
      <c r="P1334">
        <v>33.375507550000002</v>
      </c>
      <c r="Q1334">
        <v>2.4262999999999999</v>
      </c>
      <c r="R1334" t="s">
        <v>1017</v>
      </c>
      <c r="S1334">
        <v>0</v>
      </c>
    </row>
    <row r="1335" spans="1:19" x14ac:dyDescent="0.25">
      <c r="A1335" t="s">
        <v>36</v>
      </c>
      <c r="B1335" t="s">
        <v>941</v>
      </c>
      <c r="C1335">
        <v>16</v>
      </c>
      <c r="D1335" t="s">
        <v>37</v>
      </c>
      <c r="E1335" t="s">
        <v>95</v>
      </c>
      <c r="F1335" t="s">
        <v>104</v>
      </c>
      <c r="G1335" t="s">
        <v>121</v>
      </c>
      <c r="H1335" t="s">
        <v>111</v>
      </c>
      <c r="J1335">
        <v>0</v>
      </c>
      <c r="K1335">
        <v>1</v>
      </c>
      <c r="L1335">
        <v>113.9375</v>
      </c>
      <c r="M1335">
        <v>33.375507550000002</v>
      </c>
      <c r="N1335">
        <v>2.4262999999999999</v>
      </c>
      <c r="O1335">
        <v>94.97142857</v>
      </c>
      <c r="P1335">
        <v>24.31591813</v>
      </c>
      <c r="Q1335">
        <v>0.122951111</v>
      </c>
      <c r="R1335" t="s">
        <v>1017</v>
      </c>
      <c r="S1335">
        <v>9.0595894200000018</v>
      </c>
    </row>
    <row r="1336" spans="1:19" x14ac:dyDescent="0.25">
      <c r="A1336" t="s">
        <v>36</v>
      </c>
      <c r="B1336" t="s">
        <v>941</v>
      </c>
      <c r="C1336">
        <v>17</v>
      </c>
      <c r="D1336" t="s">
        <v>37</v>
      </c>
      <c r="E1336" t="s">
        <v>95</v>
      </c>
      <c r="F1336" t="s">
        <v>104</v>
      </c>
      <c r="G1336" t="s">
        <v>121</v>
      </c>
      <c r="H1336" t="s">
        <v>162</v>
      </c>
      <c r="J1336">
        <v>0</v>
      </c>
      <c r="K1336">
        <v>1</v>
      </c>
      <c r="L1336">
        <v>113.9375</v>
      </c>
      <c r="M1336">
        <v>33.375507550000002</v>
      </c>
      <c r="N1336">
        <v>2.4262999999999999</v>
      </c>
      <c r="O1336">
        <v>82.53846154</v>
      </c>
      <c r="P1336">
        <v>35.660530039999998</v>
      </c>
      <c r="Q1336">
        <v>3.3754499999999998</v>
      </c>
      <c r="R1336" t="s">
        <v>1017</v>
      </c>
      <c r="S1336">
        <v>2.2850224899999958</v>
      </c>
    </row>
    <row r="1337" spans="1:19" x14ac:dyDescent="0.25">
      <c r="A1337" t="s">
        <v>38</v>
      </c>
      <c r="B1337" t="s">
        <v>942</v>
      </c>
      <c r="C1337">
        <v>2</v>
      </c>
      <c r="D1337" t="s">
        <v>11</v>
      </c>
      <c r="E1337" t="s">
        <v>95</v>
      </c>
      <c r="F1337" t="s">
        <v>113</v>
      </c>
      <c r="G1337" t="s">
        <v>103</v>
      </c>
      <c r="H1337" t="s">
        <v>103</v>
      </c>
      <c r="J1337">
        <v>0</v>
      </c>
      <c r="K1337">
        <v>3</v>
      </c>
      <c r="L1337">
        <v>83.757575759999995</v>
      </c>
      <c r="M1337">
        <v>22.60997987</v>
      </c>
      <c r="N1337">
        <v>0.72884000000000004</v>
      </c>
      <c r="O1337">
        <v>98.291666669999998</v>
      </c>
      <c r="P1337">
        <v>30.315130790000001</v>
      </c>
      <c r="Q1337">
        <v>5.0803484000000003E-2</v>
      </c>
      <c r="R1337" t="s">
        <v>1017</v>
      </c>
      <c r="S1337">
        <v>7.7051509200000012</v>
      </c>
    </row>
    <row r="1338" spans="1:19" x14ac:dyDescent="0.25">
      <c r="A1338" t="s">
        <v>38</v>
      </c>
      <c r="B1338" t="s">
        <v>943</v>
      </c>
      <c r="C1338">
        <v>2</v>
      </c>
      <c r="D1338" t="s">
        <v>11</v>
      </c>
      <c r="E1338" t="s">
        <v>95</v>
      </c>
      <c r="F1338" t="s">
        <v>103</v>
      </c>
      <c r="G1338" t="s">
        <v>103</v>
      </c>
      <c r="H1338" t="s">
        <v>103</v>
      </c>
      <c r="J1338">
        <v>0</v>
      </c>
      <c r="K1338">
        <v>7</v>
      </c>
      <c r="L1338">
        <v>98.291666669999998</v>
      </c>
      <c r="M1338">
        <v>30.315130790000001</v>
      </c>
      <c r="N1338">
        <v>5.0803484000000003E-2</v>
      </c>
      <c r="O1338">
        <v>98.291666669999998</v>
      </c>
      <c r="P1338">
        <v>30.315130790000001</v>
      </c>
      <c r="Q1338">
        <v>5.0803484000000003E-2</v>
      </c>
      <c r="R1338" t="s">
        <v>1017</v>
      </c>
      <c r="S1338">
        <v>0</v>
      </c>
    </row>
    <row r="1339" spans="1:19" x14ac:dyDescent="0.25">
      <c r="A1339" t="s">
        <v>38</v>
      </c>
      <c r="B1339" t="s">
        <v>943</v>
      </c>
      <c r="C1339">
        <v>2</v>
      </c>
      <c r="D1339" t="s">
        <v>11</v>
      </c>
      <c r="E1339" t="s">
        <v>95</v>
      </c>
      <c r="F1339" t="s">
        <v>103</v>
      </c>
      <c r="G1339" t="s">
        <v>103</v>
      </c>
      <c r="H1339" t="s">
        <v>113</v>
      </c>
      <c r="J1339">
        <v>0</v>
      </c>
      <c r="K1339">
        <v>2</v>
      </c>
      <c r="L1339">
        <v>98.291666669999998</v>
      </c>
      <c r="M1339">
        <v>30.315130790000001</v>
      </c>
      <c r="N1339">
        <v>5.0803484000000003E-2</v>
      </c>
      <c r="O1339">
        <v>83.757575759999995</v>
      </c>
      <c r="P1339">
        <v>22.60997987</v>
      </c>
      <c r="Q1339">
        <v>0.72884000000000004</v>
      </c>
      <c r="R1339" t="s">
        <v>1017</v>
      </c>
      <c r="S1339">
        <v>7.7051509200000012</v>
      </c>
    </row>
    <row r="1340" spans="1:19" x14ac:dyDescent="0.25">
      <c r="A1340" t="s">
        <v>38</v>
      </c>
      <c r="B1340" t="s">
        <v>944</v>
      </c>
      <c r="C1340">
        <v>2</v>
      </c>
      <c r="D1340" t="s">
        <v>11</v>
      </c>
      <c r="E1340" t="s">
        <v>95</v>
      </c>
      <c r="F1340" t="s">
        <v>111</v>
      </c>
      <c r="G1340" t="s">
        <v>103</v>
      </c>
      <c r="H1340" t="s">
        <v>103</v>
      </c>
      <c r="J1340">
        <v>0</v>
      </c>
      <c r="K1340">
        <v>2</v>
      </c>
      <c r="L1340">
        <v>94.97142857</v>
      </c>
      <c r="M1340">
        <v>24.31591813</v>
      </c>
      <c r="N1340">
        <v>0.122951111</v>
      </c>
      <c r="O1340">
        <v>98.291666669999998</v>
      </c>
      <c r="P1340">
        <v>30.315130790000001</v>
      </c>
      <c r="Q1340">
        <v>5.0803484000000003E-2</v>
      </c>
      <c r="R1340" t="s">
        <v>1017</v>
      </c>
      <c r="S1340">
        <v>5.9992126600000013</v>
      </c>
    </row>
    <row r="1341" spans="1:19" x14ac:dyDescent="0.25">
      <c r="A1341" t="s">
        <v>39</v>
      </c>
      <c r="B1341" t="s">
        <v>945</v>
      </c>
      <c r="C1341">
        <v>2</v>
      </c>
      <c r="D1341" t="s">
        <v>15</v>
      </c>
      <c r="E1341" t="s">
        <v>94</v>
      </c>
      <c r="F1341" t="s">
        <v>102</v>
      </c>
      <c r="G1341" t="s">
        <v>102</v>
      </c>
      <c r="H1341" t="s">
        <v>235</v>
      </c>
      <c r="J1341">
        <v>0</v>
      </c>
      <c r="K1341">
        <v>1</v>
      </c>
      <c r="L1341">
        <v>84.740740740000007</v>
      </c>
      <c r="M1341">
        <v>29.167014049999999</v>
      </c>
      <c r="N1341">
        <v>1.1169849999999999</v>
      </c>
      <c r="O1341">
        <v>132.27272730000001</v>
      </c>
      <c r="P1341">
        <v>20.180448590000001</v>
      </c>
      <c r="Q1341">
        <v>3.7813451999999997E-2</v>
      </c>
      <c r="R1341" t="s">
        <v>1017</v>
      </c>
      <c r="S1341">
        <v>8.9865654599999978</v>
      </c>
    </row>
    <row r="1342" spans="1:19" x14ac:dyDescent="0.25">
      <c r="A1342" t="s">
        <v>39</v>
      </c>
      <c r="B1342" t="s">
        <v>945</v>
      </c>
      <c r="C1342">
        <v>2</v>
      </c>
      <c r="D1342" t="s">
        <v>15</v>
      </c>
      <c r="E1342" t="s">
        <v>94</v>
      </c>
      <c r="F1342" t="s">
        <v>102</v>
      </c>
      <c r="G1342" t="s">
        <v>102</v>
      </c>
      <c r="H1342" t="s">
        <v>113</v>
      </c>
      <c r="J1342">
        <v>0</v>
      </c>
      <c r="K1342">
        <v>2</v>
      </c>
      <c r="L1342">
        <v>84.740740740000007</v>
      </c>
      <c r="M1342">
        <v>29.167014049999999</v>
      </c>
      <c r="N1342">
        <v>1.1169849999999999</v>
      </c>
      <c r="O1342">
        <v>83.757575759999995</v>
      </c>
      <c r="P1342">
        <v>22.60997987</v>
      </c>
      <c r="Q1342">
        <v>0.72884000000000004</v>
      </c>
      <c r="R1342" t="s">
        <v>1017</v>
      </c>
      <c r="S1342">
        <v>6.5570341799999987</v>
      </c>
    </row>
    <row r="1343" spans="1:19" x14ac:dyDescent="0.25">
      <c r="A1343" t="s">
        <v>39</v>
      </c>
      <c r="B1343" t="s">
        <v>945</v>
      </c>
      <c r="C1343">
        <v>2</v>
      </c>
      <c r="D1343" t="s">
        <v>15</v>
      </c>
      <c r="E1343" t="s">
        <v>94</v>
      </c>
      <c r="F1343" t="s">
        <v>102</v>
      </c>
      <c r="G1343" t="s">
        <v>102</v>
      </c>
      <c r="H1343" t="s">
        <v>103</v>
      </c>
      <c r="J1343">
        <v>0</v>
      </c>
      <c r="K1343">
        <v>3</v>
      </c>
      <c r="L1343">
        <v>84.740740740000007</v>
      </c>
      <c r="M1343">
        <v>29.167014049999999</v>
      </c>
      <c r="N1343">
        <v>1.1169849999999999</v>
      </c>
      <c r="O1343">
        <v>98.291666669999998</v>
      </c>
      <c r="P1343">
        <v>30.315130790000001</v>
      </c>
      <c r="Q1343">
        <v>5.0803484000000003E-2</v>
      </c>
      <c r="R1343" t="s">
        <v>1017</v>
      </c>
      <c r="S1343">
        <v>1.1481167400000025</v>
      </c>
    </row>
    <row r="1344" spans="1:19" x14ac:dyDescent="0.25">
      <c r="A1344" t="s">
        <v>39</v>
      </c>
      <c r="B1344" t="s">
        <v>945</v>
      </c>
      <c r="C1344">
        <v>2</v>
      </c>
      <c r="D1344" t="s">
        <v>15</v>
      </c>
      <c r="E1344" t="s">
        <v>94</v>
      </c>
      <c r="F1344" t="s">
        <v>102</v>
      </c>
      <c r="G1344" t="s">
        <v>102</v>
      </c>
      <c r="H1344" t="s">
        <v>233</v>
      </c>
      <c r="J1344">
        <v>0</v>
      </c>
      <c r="K1344">
        <v>1</v>
      </c>
      <c r="L1344">
        <v>84.740740740000007</v>
      </c>
      <c r="M1344">
        <v>29.167014049999999</v>
      </c>
      <c r="N1344">
        <v>1.1169849999999999</v>
      </c>
      <c r="O1344">
        <v>106.0540541</v>
      </c>
      <c r="P1344">
        <v>52.690533369999997</v>
      </c>
      <c r="Q1344">
        <v>7.6058968000000005E-2</v>
      </c>
      <c r="R1344" t="s">
        <v>1017</v>
      </c>
      <c r="S1344">
        <v>23.523519319999998</v>
      </c>
    </row>
    <row r="1345" spans="1:19" x14ac:dyDescent="0.25">
      <c r="A1345" t="s">
        <v>39</v>
      </c>
      <c r="B1345" t="s">
        <v>945</v>
      </c>
      <c r="C1345">
        <v>2</v>
      </c>
      <c r="D1345" t="s">
        <v>15</v>
      </c>
      <c r="E1345" t="s">
        <v>94</v>
      </c>
      <c r="F1345" t="s">
        <v>102</v>
      </c>
      <c r="G1345" t="s">
        <v>102</v>
      </c>
      <c r="H1345" t="s">
        <v>104</v>
      </c>
      <c r="J1345">
        <v>0</v>
      </c>
      <c r="K1345">
        <v>1</v>
      </c>
      <c r="L1345">
        <v>84.740740740000007</v>
      </c>
      <c r="M1345">
        <v>29.167014049999999</v>
      </c>
      <c r="N1345">
        <v>1.1169849999999999</v>
      </c>
      <c r="O1345">
        <v>113.9375</v>
      </c>
      <c r="P1345">
        <v>33.375507550000002</v>
      </c>
      <c r="Q1345">
        <v>2.4262999999999999</v>
      </c>
      <c r="R1345" t="s">
        <v>1017</v>
      </c>
      <c r="S1345">
        <v>4.208493500000003</v>
      </c>
    </row>
    <row r="1346" spans="1:19" x14ac:dyDescent="0.25">
      <c r="A1346" t="s">
        <v>39</v>
      </c>
      <c r="B1346" t="s">
        <v>946</v>
      </c>
      <c r="C1346">
        <v>2</v>
      </c>
      <c r="D1346" t="s">
        <v>15</v>
      </c>
      <c r="E1346" t="s">
        <v>94</v>
      </c>
      <c r="F1346" t="s">
        <v>113</v>
      </c>
      <c r="G1346" t="s">
        <v>113</v>
      </c>
      <c r="H1346" t="s">
        <v>113</v>
      </c>
      <c r="J1346">
        <v>0</v>
      </c>
      <c r="K1346">
        <v>5</v>
      </c>
      <c r="L1346">
        <v>83.757575759999995</v>
      </c>
      <c r="M1346">
        <v>22.60997987</v>
      </c>
      <c r="N1346">
        <v>0.72884000000000004</v>
      </c>
      <c r="O1346">
        <v>83.757575759999995</v>
      </c>
      <c r="P1346">
        <v>22.60997987</v>
      </c>
      <c r="Q1346">
        <v>0.72884000000000004</v>
      </c>
      <c r="R1346" t="s">
        <v>1017</v>
      </c>
      <c r="S1346">
        <v>0</v>
      </c>
    </row>
    <row r="1347" spans="1:19" x14ac:dyDescent="0.25">
      <c r="A1347" t="s">
        <v>39</v>
      </c>
      <c r="B1347" t="s">
        <v>946</v>
      </c>
      <c r="C1347">
        <v>2</v>
      </c>
      <c r="D1347" t="s">
        <v>15</v>
      </c>
      <c r="E1347" t="s">
        <v>94</v>
      </c>
      <c r="F1347" t="s">
        <v>113</v>
      </c>
      <c r="G1347" t="s">
        <v>113</v>
      </c>
      <c r="H1347" t="s">
        <v>233</v>
      </c>
      <c r="J1347">
        <v>0</v>
      </c>
      <c r="K1347">
        <v>4</v>
      </c>
      <c r="L1347">
        <v>83.757575759999995</v>
      </c>
      <c r="M1347">
        <v>22.60997987</v>
      </c>
      <c r="N1347">
        <v>0.72884000000000004</v>
      </c>
      <c r="O1347">
        <v>106.0540541</v>
      </c>
      <c r="P1347">
        <v>52.690533369999997</v>
      </c>
      <c r="Q1347">
        <v>7.6058968000000005E-2</v>
      </c>
      <c r="R1347" t="s">
        <v>1017</v>
      </c>
      <c r="S1347">
        <v>30.080553499999997</v>
      </c>
    </row>
    <row r="1348" spans="1:19" x14ac:dyDescent="0.25">
      <c r="A1348" t="s">
        <v>39</v>
      </c>
      <c r="B1348" t="s">
        <v>946</v>
      </c>
      <c r="C1348">
        <v>2</v>
      </c>
      <c r="D1348" t="s">
        <v>15</v>
      </c>
      <c r="E1348" t="s">
        <v>94</v>
      </c>
      <c r="F1348" t="s">
        <v>113</v>
      </c>
      <c r="G1348" t="s">
        <v>113</v>
      </c>
      <c r="H1348" t="s">
        <v>234</v>
      </c>
      <c r="J1348">
        <v>0</v>
      </c>
      <c r="K1348">
        <v>1</v>
      </c>
      <c r="L1348">
        <v>83.757575759999995</v>
      </c>
      <c r="M1348">
        <v>22.60997987</v>
      </c>
      <c r="N1348">
        <v>0.72884000000000004</v>
      </c>
      <c r="O1348">
        <v>89.8125</v>
      </c>
      <c r="P1348">
        <v>34.754706650000003</v>
      </c>
      <c r="Q1348">
        <v>2.3065078999999999E-2</v>
      </c>
      <c r="R1348" t="s">
        <v>1017</v>
      </c>
      <c r="S1348">
        <v>12.144726780000003</v>
      </c>
    </row>
    <row r="1349" spans="1:19" x14ac:dyDescent="0.25">
      <c r="A1349" t="s">
        <v>39</v>
      </c>
      <c r="B1349" t="s">
        <v>947</v>
      </c>
      <c r="C1349">
        <v>2</v>
      </c>
      <c r="D1349" t="s">
        <v>15</v>
      </c>
      <c r="E1349" t="s">
        <v>94</v>
      </c>
      <c r="F1349" t="s">
        <v>103</v>
      </c>
      <c r="G1349" t="s">
        <v>103</v>
      </c>
      <c r="H1349" t="s">
        <v>103</v>
      </c>
      <c r="J1349">
        <v>0</v>
      </c>
      <c r="K1349">
        <v>3</v>
      </c>
      <c r="L1349">
        <v>98.291666669999998</v>
      </c>
      <c r="M1349">
        <v>30.315130790000001</v>
      </c>
      <c r="N1349">
        <v>5.0803484000000003E-2</v>
      </c>
      <c r="O1349">
        <v>98.291666669999998</v>
      </c>
      <c r="P1349">
        <v>30.315130790000001</v>
      </c>
      <c r="Q1349">
        <v>5.0803484000000003E-2</v>
      </c>
      <c r="R1349" t="s">
        <v>1017</v>
      </c>
      <c r="S1349">
        <v>0</v>
      </c>
    </row>
    <row r="1350" spans="1:19" x14ac:dyDescent="0.25">
      <c r="A1350" t="s">
        <v>39</v>
      </c>
      <c r="B1350" t="s">
        <v>947</v>
      </c>
      <c r="C1350">
        <v>2</v>
      </c>
      <c r="D1350" t="s">
        <v>15</v>
      </c>
      <c r="E1350" t="s">
        <v>94</v>
      </c>
      <c r="F1350" t="s">
        <v>103</v>
      </c>
      <c r="G1350" t="s">
        <v>103</v>
      </c>
      <c r="H1350" t="s">
        <v>104</v>
      </c>
      <c r="J1350">
        <v>0</v>
      </c>
      <c r="K1350">
        <v>1</v>
      </c>
      <c r="L1350">
        <v>98.291666669999998</v>
      </c>
      <c r="M1350">
        <v>30.315130790000001</v>
      </c>
      <c r="N1350">
        <v>5.0803484000000003E-2</v>
      </c>
      <c r="O1350">
        <v>113.9375</v>
      </c>
      <c r="P1350">
        <v>33.375507550000002</v>
      </c>
      <c r="Q1350">
        <v>2.4262999999999999</v>
      </c>
      <c r="R1350" t="s">
        <v>1017</v>
      </c>
      <c r="S1350">
        <v>3.0603767600000005</v>
      </c>
    </row>
    <row r="1351" spans="1:19" x14ac:dyDescent="0.25">
      <c r="A1351" t="s">
        <v>39</v>
      </c>
      <c r="B1351" t="s">
        <v>947</v>
      </c>
      <c r="C1351">
        <v>2</v>
      </c>
      <c r="D1351" t="s">
        <v>15</v>
      </c>
      <c r="E1351" t="s">
        <v>94</v>
      </c>
      <c r="F1351" t="s">
        <v>103</v>
      </c>
      <c r="G1351" t="s">
        <v>103</v>
      </c>
      <c r="H1351" t="s">
        <v>113</v>
      </c>
      <c r="J1351">
        <v>0</v>
      </c>
      <c r="K1351">
        <v>4</v>
      </c>
      <c r="L1351">
        <v>98.291666669999998</v>
      </c>
      <c r="M1351">
        <v>30.315130790000001</v>
      </c>
      <c r="N1351">
        <v>5.0803484000000003E-2</v>
      </c>
      <c r="O1351">
        <v>83.757575759999995</v>
      </c>
      <c r="P1351">
        <v>22.60997987</v>
      </c>
      <c r="Q1351">
        <v>0.72884000000000004</v>
      </c>
      <c r="R1351" t="s">
        <v>1017</v>
      </c>
      <c r="S1351">
        <v>7.7051509200000012</v>
      </c>
    </row>
    <row r="1352" spans="1:19" x14ac:dyDescent="0.25">
      <c r="A1352" t="s">
        <v>39</v>
      </c>
      <c r="B1352" t="s">
        <v>948</v>
      </c>
      <c r="C1352">
        <v>2</v>
      </c>
      <c r="D1352" t="s">
        <v>15</v>
      </c>
      <c r="E1352" t="s">
        <v>94</v>
      </c>
      <c r="F1352" t="s">
        <v>111</v>
      </c>
      <c r="G1352" t="s">
        <v>104</v>
      </c>
      <c r="H1352" t="s">
        <v>236</v>
      </c>
      <c r="J1352">
        <v>0</v>
      </c>
      <c r="K1352">
        <v>1</v>
      </c>
      <c r="L1352">
        <v>94.97142857</v>
      </c>
      <c r="M1352">
        <v>24.31591813</v>
      </c>
      <c r="N1352">
        <v>0.122951111</v>
      </c>
      <c r="O1352">
        <v>113.33333330000001</v>
      </c>
      <c r="P1352">
        <v>26.41632581</v>
      </c>
      <c r="Q1352">
        <v>1.6844570160000001</v>
      </c>
      <c r="R1352" t="s">
        <v>1017</v>
      </c>
      <c r="S1352">
        <v>2.10040768</v>
      </c>
    </row>
    <row r="1353" spans="1:19" x14ac:dyDescent="0.25">
      <c r="A1353" t="s">
        <v>39</v>
      </c>
      <c r="B1353" t="s">
        <v>948</v>
      </c>
      <c r="C1353">
        <v>2</v>
      </c>
      <c r="D1353" t="s">
        <v>15</v>
      </c>
      <c r="E1353" t="s">
        <v>94</v>
      </c>
      <c r="F1353" t="s">
        <v>111</v>
      </c>
      <c r="G1353" t="s">
        <v>104</v>
      </c>
      <c r="H1353" t="s">
        <v>103</v>
      </c>
      <c r="J1353">
        <v>0</v>
      </c>
      <c r="K1353">
        <v>1</v>
      </c>
      <c r="L1353">
        <v>94.97142857</v>
      </c>
      <c r="M1353">
        <v>24.31591813</v>
      </c>
      <c r="N1353">
        <v>0.122951111</v>
      </c>
      <c r="O1353">
        <v>98.291666669999998</v>
      </c>
      <c r="P1353">
        <v>30.315130790000001</v>
      </c>
      <c r="Q1353">
        <v>5.0803484000000003E-2</v>
      </c>
      <c r="R1353" t="s">
        <v>1017</v>
      </c>
      <c r="S1353">
        <v>5.9992126600000013</v>
      </c>
    </row>
    <row r="1354" spans="1:19" x14ac:dyDescent="0.25">
      <c r="A1354" t="s">
        <v>39</v>
      </c>
      <c r="B1354" t="s">
        <v>948</v>
      </c>
      <c r="C1354">
        <v>2</v>
      </c>
      <c r="D1354" t="s">
        <v>15</v>
      </c>
      <c r="E1354" t="s">
        <v>94</v>
      </c>
      <c r="F1354" t="s">
        <v>111</v>
      </c>
      <c r="G1354" t="s">
        <v>104</v>
      </c>
      <c r="H1354" t="s">
        <v>104</v>
      </c>
      <c r="J1354">
        <v>0</v>
      </c>
      <c r="K1354">
        <v>1</v>
      </c>
      <c r="L1354">
        <v>94.97142857</v>
      </c>
      <c r="M1354">
        <v>24.31591813</v>
      </c>
      <c r="N1354">
        <v>0.122951111</v>
      </c>
      <c r="O1354">
        <v>113.9375</v>
      </c>
      <c r="P1354">
        <v>33.375507550000002</v>
      </c>
      <c r="Q1354">
        <v>2.4262999999999999</v>
      </c>
      <c r="R1354" t="s">
        <v>1017</v>
      </c>
      <c r="S1354">
        <v>9.0595894200000018</v>
      </c>
    </row>
    <row r="1355" spans="1:19" x14ac:dyDescent="0.25">
      <c r="A1355" t="s">
        <v>39</v>
      </c>
      <c r="B1355" t="s">
        <v>949</v>
      </c>
      <c r="C1355">
        <v>2</v>
      </c>
      <c r="D1355" t="s">
        <v>15</v>
      </c>
      <c r="E1355" t="s">
        <v>94</v>
      </c>
      <c r="F1355" t="s">
        <v>104</v>
      </c>
      <c r="G1355" t="s">
        <v>104</v>
      </c>
      <c r="H1355" t="s">
        <v>104</v>
      </c>
      <c r="J1355">
        <v>0</v>
      </c>
      <c r="K1355">
        <v>3</v>
      </c>
      <c r="L1355">
        <v>113.9375</v>
      </c>
      <c r="M1355">
        <v>33.375507550000002</v>
      </c>
      <c r="N1355">
        <v>2.4262999999999999</v>
      </c>
      <c r="O1355">
        <v>113.9375</v>
      </c>
      <c r="P1355">
        <v>33.375507550000002</v>
      </c>
      <c r="Q1355">
        <v>2.4262999999999999</v>
      </c>
      <c r="R1355" t="s">
        <v>1017</v>
      </c>
      <c r="S1355">
        <v>0</v>
      </c>
    </row>
    <row r="1356" spans="1:19" x14ac:dyDescent="0.25">
      <c r="A1356" t="s">
        <v>39</v>
      </c>
      <c r="B1356" t="s">
        <v>949</v>
      </c>
      <c r="C1356">
        <v>2</v>
      </c>
      <c r="D1356" t="s">
        <v>15</v>
      </c>
      <c r="E1356" t="s">
        <v>94</v>
      </c>
      <c r="F1356" t="s">
        <v>104</v>
      </c>
      <c r="G1356" t="s">
        <v>104</v>
      </c>
      <c r="H1356" t="s">
        <v>113</v>
      </c>
      <c r="J1356">
        <v>0</v>
      </c>
      <c r="K1356">
        <v>1</v>
      </c>
      <c r="L1356">
        <v>113.9375</v>
      </c>
      <c r="M1356">
        <v>33.375507550000002</v>
      </c>
      <c r="N1356">
        <v>2.4262999999999999</v>
      </c>
      <c r="O1356">
        <v>83.757575759999995</v>
      </c>
      <c r="P1356">
        <v>22.60997987</v>
      </c>
      <c r="Q1356">
        <v>0.72884000000000004</v>
      </c>
      <c r="R1356" t="s">
        <v>1017</v>
      </c>
      <c r="S1356">
        <v>10.765527680000002</v>
      </c>
    </row>
    <row r="1357" spans="1:19" x14ac:dyDescent="0.25">
      <c r="A1357" t="s">
        <v>40</v>
      </c>
      <c r="B1357" t="s">
        <v>950</v>
      </c>
      <c r="C1357">
        <v>2</v>
      </c>
      <c r="D1357" t="s">
        <v>17</v>
      </c>
      <c r="E1357" t="s">
        <v>95</v>
      </c>
      <c r="F1357" t="s">
        <v>113</v>
      </c>
      <c r="G1357" t="s">
        <v>113</v>
      </c>
      <c r="H1357" t="s">
        <v>113</v>
      </c>
      <c r="J1357">
        <v>0</v>
      </c>
      <c r="K1357">
        <v>1</v>
      </c>
      <c r="L1357">
        <v>83.757575759999995</v>
      </c>
      <c r="M1357">
        <v>22.60997987</v>
      </c>
      <c r="N1357">
        <v>0.72884000000000004</v>
      </c>
      <c r="O1357">
        <v>83.757575759999995</v>
      </c>
      <c r="P1357">
        <v>22.60997987</v>
      </c>
      <c r="Q1357">
        <v>0.72884000000000004</v>
      </c>
      <c r="R1357" t="s">
        <v>1017</v>
      </c>
      <c r="S1357">
        <v>0</v>
      </c>
    </row>
    <row r="1358" spans="1:19" x14ac:dyDescent="0.25">
      <c r="A1358" t="s">
        <v>40</v>
      </c>
      <c r="B1358" t="s">
        <v>950</v>
      </c>
      <c r="C1358">
        <v>2</v>
      </c>
      <c r="D1358" t="s">
        <v>17</v>
      </c>
      <c r="E1358" t="s">
        <v>95</v>
      </c>
      <c r="F1358" t="s">
        <v>113</v>
      </c>
      <c r="G1358" t="s">
        <v>113</v>
      </c>
      <c r="H1358" t="s">
        <v>103</v>
      </c>
      <c r="J1358">
        <v>0</v>
      </c>
      <c r="K1358">
        <v>2</v>
      </c>
      <c r="L1358">
        <v>83.757575759999995</v>
      </c>
      <c r="M1358">
        <v>22.60997987</v>
      </c>
      <c r="N1358">
        <v>0.72884000000000004</v>
      </c>
      <c r="O1358">
        <v>98.291666669999998</v>
      </c>
      <c r="P1358">
        <v>30.315130790000001</v>
      </c>
      <c r="Q1358">
        <v>5.0803484000000003E-2</v>
      </c>
      <c r="R1358" t="s">
        <v>1017</v>
      </c>
      <c r="S1358">
        <v>7.7051509200000012</v>
      </c>
    </row>
    <row r="1359" spans="1:19" x14ac:dyDescent="0.25">
      <c r="A1359" t="s">
        <v>40</v>
      </c>
      <c r="B1359" t="s">
        <v>951</v>
      </c>
      <c r="C1359">
        <v>2</v>
      </c>
      <c r="D1359" t="s">
        <v>17</v>
      </c>
      <c r="E1359" t="s">
        <v>95</v>
      </c>
      <c r="F1359" t="s">
        <v>103</v>
      </c>
      <c r="G1359" t="s">
        <v>103</v>
      </c>
      <c r="H1359" t="s">
        <v>103</v>
      </c>
      <c r="J1359">
        <v>0</v>
      </c>
      <c r="K1359">
        <v>6</v>
      </c>
      <c r="L1359">
        <v>98.291666669999998</v>
      </c>
      <c r="M1359">
        <v>30.315130790000001</v>
      </c>
      <c r="N1359">
        <v>5.0803484000000003E-2</v>
      </c>
      <c r="O1359">
        <v>98.291666669999998</v>
      </c>
      <c r="P1359">
        <v>30.315130790000001</v>
      </c>
      <c r="Q1359">
        <v>5.0803484000000003E-2</v>
      </c>
      <c r="R1359" t="s">
        <v>1017</v>
      </c>
      <c r="S1359">
        <v>0</v>
      </c>
    </row>
    <row r="1360" spans="1:19" x14ac:dyDescent="0.25">
      <c r="A1360" t="s">
        <v>40</v>
      </c>
      <c r="B1360" t="s">
        <v>952</v>
      </c>
      <c r="C1360">
        <v>2</v>
      </c>
      <c r="D1360" t="s">
        <v>17</v>
      </c>
      <c r="E1360" t="s">
        <v>95</v>
      </c>
      <c r="F1360" t="s">
        <v>112</v>
      </c>
      <c r="G1360" t="s">
        <v>103</v>
      </c>
      <c r="H1360" t="s">
        <v>103</v>
      </c>
      <c r="I1360" t="s">
        <v>243</v>
      </c>
      <c r="J1360">
        <v>1</v>
      </c>
      <c r="K1360">
        <v>7</v>
      </c>
      <c r="L1360">
        <v>65.09375</v>
      </c>
      <c r="M1360">
        <v>37.895352600000002</v>
      </c>
      <c r="N1360">
        <v>2.2882677779999998</v>
      </c>
      <c r="O1360">
        <v>98.291666669999998</v>
      </c>
      <c r="P1360">
        <v>30.315130790000001</v>
      </c>
      <c r="Q1360">
        <v>5.0803484000000003E-2</v>
      </c>
      <c r="R1360" t="s">
        <v>1017</v>
      </c>
      <c r="S1360">
        <v>7.5802218100000012</v>
      </c>
    </row>
    <row r="1361" spans="1:19" x14ac:dyDescent="0.25">
      <c r="A1361" t="s">
        <v>40</v>
      </c>
      <c r="B1361" t="s">
        <v>952</v>
      </c>
      <c r="C1361">
        <v>2</v>
      </c>
      <c r="D1361" t="s">
        <v>17</v>
      </c>
      <c r="E1361" t="s">
        <v>95</v>
      </c>
      <c r="F1361" t="s">
        <v>112</v>
      </c>
      <c r="G1361" t="s">
        <v>103</v>
      </c>
      <c r="H1361" t="s">
        <v>113</v>
      </c>
      <c r="J1361">
        <v>1</v>
      </c>
      <c r="K1361">
        <v>5</v>
      </c>
      <c r="L1361">
        <v>65.09375</v>
      </c>
      <c r="M1361">
        <v>37.895352600000002</v>
      </c>
      <c r="N1361">
        <v>2.2882677779999998</v>
      </c>
      <c r="O1361">
        <v>83.757575759999995</v>
      </c>
      <c r="P1361">
        <v>22.60997987</v>
      </c>
      <c r="Q1361">
        <v>0.72884000000000004</v>
      </c>
      <c r="R1361" t="s">
        <v>1017</v>
      </c>
      <c r="S1361">
        <v>15.285372730000002</v>
      </c>
    </row>
    <row r="1362" spans="1:19" x14ac:dyDescent="0.25">
      <c r="A1362" t="s">
        <v>41</v>
      </c>
      <c r="B1362" t="s">
        <v>953</v>
      </c>
      <c r="C1362">
        <v>2</v>
      </c>
      <c r="D1362" t="s">
        <v>19</v>
      </c>
      <c r="E1362" t="s">
        <v>94</v>
      </c>
      <c r="F1362" t="s">
        <v>105</v>
      </c>
      <c r="G1362" t="s">
        <v>104</v>
      </c>
      <c r="H1362" t="s">
        <v>104</v>
      </c>
      <c r="J1362">
        <v>0</v>
      </c>
      <c r="K1362">
        <v>3</v>
      </c>
      <c r="L1362">
        <v>67.5</v>
      </c>
      <c r="M1362">
        <v>47.937235809999997</v>
      </c>
      <c r="N1362">
        <v>0.41599678000000001</v>
      </c>
      <c r="O1362">
        <v>113.9375</v>
      </c>
      <c r="P1362">
        <v>33.375507550000002</v>
      </c>
      <c r="Q1362">
        <v>2.4262999999999999</v>
      </c>
      <c r="R1362" t="s">
        <v>1017</v>
      </c>
      <c r="S1362">
        <v>14.561728259999995</v>
      </c>
    </row>
    <row r="1363" spans="1:19" x14ac:dyDescent="0.25">
      <c r="A1363" t="s">
        <v>41</v>
      </c>
      <c r="B1363" t="s">
        <v>953</v>
      </c>
      <c r="C1363">
        <v>2</v>
      </c>
      <c r="D1363" t="s">
        <v>19</v>
      </c>
      <c r="E1363" t="s">
        <v>94</v>
      </c>
      <c r="F1363" t="s">
        <v>105</v>
      </c>
      <c r="G1363" t="s">
        <v>104</v>
      </c>
      <c r="H1363" t="s">
        <v>113</v>
      </c>
      <c r="J1363">
        <v>0</v>
      </c>
      <c r="K1363">
        <v>1</v>
      </c>
      <c r="L1363">
        <v>67.5</v>
      </c>
      <c r="M1363">
        <v>47.937235809999997</v>
      </c>
      <c r="N1363">
        <v>0.41599678000000001</v>
      </c>
      <c r="O1363">
        <v>83.757575759999995</v>
      </c>
      <c r="P1363">
        <v>22.60997987</v>
      </c>
      <c r="Q1363">
        <v>0.72884000000000004</v>
      </c>
      <c r="R1363" t="s">
        <v>1017</v>
      </c>
      <c r="S1363">
        <v>25.327255939999997</v>
      </c>
    </row>
    <row r="1364" spans="1:19" x14ac:dyDescent="0.25">
      <c r="A1364" t="s">
        <v>41</v>
      </c>
      <c r="B1364" t="s">
        <v>953</v>
      </c>
      <c r="C1364">
        <v>2</v>
      </c>
      <c r="D1364" t="s">
        <v>19</v>
      </c>
      <c r="E1364" t="s">
        <v>94</v>
      </c>
      <c r="F1364" t="s">
        <v>105</v>
      </c>
      <c r="G1364" t="s">
        <v>104</v>
      </c>
      <c r="H1364" t="s">
        <v>237</v>
      </c>
      <c r="J1364">
        <v>0</v>
      </c>
      <c r="K1364">
        <v>1</v>
      </c>
      <c r="L1364">
        <v>67.5</v>
      </c>
      <c r="M1364">
        <v>47.937235809999997</v>
      </c>
      <c r="N1364">
        <v>0.41599678000000001</v>
      </c>
      <c r="O1364">
        <v>83.888888890000004</v>
      </c>
      <c r="P1364">
        <v>31.026943280000001</v>
      </c>
      <c r="Q1364">
        <v>0.53083999999999998</v>
      </c>
      <c r="R1364" t="s">
        <v>1017</v>
      </c>
      <c r="S1364">
        <v>16.910292529999996</v>
      </c>
    </row>
    <row r="1365" spans="1:19" x14ac:dyDescent="0.25">
      <c r="A1365" t="s">
        <v>41</v>
      </c>
      <c r="B1365" t="s">
        <v>953</v>
      </c>
      <c r="C1365">
        <v>2</v>
      </c>
      <c r="D1365" t="s">
        <v>19</v>
      </c>
      <c r="E1365" t="s">
        <v>94</v>
      </c>
      <c r="F1365" t="s">
        <v>105</v>
      </c>
      <c r="G1365" t="s">
        <v>104</v>
      </c>
      <c r="H1365" t="s">
        <v>239</v>
      </c>
      <c r="J1365">
        <v>0</v>
      </c>
      <c r="K1365">
        <v>1</v>
      </c>
      <c r="L1365">
        <v>67.5</v>
      </c>
      <c r="M1365">
        <v>47.937235809999997</v>
      </c>
      <c r="N1365">
        <v>0.41599678000000001</v>
      </c>
      <c r="O1365">
        <v>100.45454549999999</v>
      </c>
      <c r="P1365">
        <v>26.754810689999999</v>
      </c>
      <c r="Q1365">
        <v>0.75829999999999997</v>
      </c>
      <c r="R1365" t="s">
        <v>1017</v>
      </c>
      <c r="S1365">
        <v>21.182425119999998</v>
      </c>
    </row>
    <row r="1366" spans="1:19" x14ac:dyDescent="0.25">
      <c r="A1366" t="s">
        <v>41</v>
      </c>
      <c r="B1366" t="s">
        <v>954</v>
      </c>
      <c r="C1366">
        <v>2</v>
      </c>
      <c r="D1366" t="s">
        <v>19</v>
      </c>
      <c r="E1366" t="s">
        <v>94</v>
      </c>
      <c r="F1366" t="s">
        <v>113</v>
      </c>
      <c r="G1366" t="s">
        <v>104</v>
      </c>
      <c r="H1366" t="s">
        <v>237</v>
      </c>
      <c r="J1366">
        <v>0</v>
      </c>
      <c r="K1366">
        <v>1</v>
      </c>
      <c r="L1366">
        <v>83.757575759999995</v>
      </c>
      <c r="M1366">
        <v>22.60997987</v>
      </c>
      <c r="N1366">
        <v>0.72884000000000004</v>
      </c>
      <c r="O1366">
        <v>83.888888890000004</v>
      </c>
      <c r="P1366">
        <v>31.026943280000001</v>
      </c>
      <c r="Q1366">
        <v>0.53083999999999998</v>
      </c>
      <c r="R1366" t="s">
        <v>1017</v>
      </c>
      <c r="S1366">
        <v>8.416963410000001</v>
      </c>
    </row>
    <row r="1367" spans="1:19" x14ac:dyDescent="0.25">
      <c r="A1367" t="s">
        <v>41</v>
      </c>
      <c r="B1367" t="s">
        <v>954</v>
      </c>
      <c r="C1367">
        <v>2</v>
      </c>
      <c r="D1367" t="s">
        <v>19</v>
      </c>
      <c r="E1367" t="s">
        <v>94</v>
      </c>
      <c r="F1367" t="s">
        <v>113</v>
      </c>
      <c r="G1367" t="s">
        <v>104</v>
      </c>
      <c r="H1367" t="s">
        <v>113</v>
      </c>
      <c r="J1367">
        <v>0</v>
      </c>
      <c r="K1367">
        <v>7</v>
      </c>
      <c r="L1367">
        <v>83.757575759999995</v>
      </c>
      <c r="M1367">
        <v>22.60997987</v>
      </c>
      <c r="N1367">
        <v>0.72884000000000004</v>
      </c>
      <c r="O1367">
        <v>83.757575759999995</v>
      </c>
      <c r="P1367">
        <v>22.60997987</v>
      </c>
      <c r="Q1367">
        <v>0.72884000000000004</v>
      </c>
      <c r="R1367" t="s">
        <v>1017</v>
      </c>
      <c r="S1367">
        <v>0</v>
      </c>
    </row>
    <row r="1368" spans="1:19" x14ac:dyDescent="0.25">
      <c r="A1368" t="s">
        <v>41</v>
      </c>
      <c r="B1368" t="s">
        <v>954</v>
      </c>
      <c r="C1368">
        <v>2</v>
      </c>
      <c r="D1368" t="s">
        <v>19</v>
      </c>
      <c r="E1368" t="s">
        <v>94</v>
      </c>
      <c r="F1368" t="s">
        <v>113</v>
      </c>
      <c r="G1368" t="s">
        <v>104</v>
      </c>
      <c r="H1368" t="s">
        <v>104</v>
      </c>
      <c r="J1368">
        <v>0</v>
      </c>
      <c r="K1368">
        <v>1</v>
      </c>
      <c r="L1368">
        <v>83.757575759999995</v>
      </c>
      <c r="M1368">
        <v>22.60997987</v>
      </c>
      <c r="N1368">
        <v>0.72884000000000004</v>
      </c>
      <c r="O1368">
        <v>113.9375</v>
      </c>
      <c r="P1368">
        <v>33.375507550000002</v>
      </c>
      <c r="Q1368">
        <v>2.4262999999999999</v>
      </c>
      <c r="R1368" t="s">
        <v>1017</v>
      </c>
      <c r="S1368">
        <v>10.765527680000002</v>
      </c>
    </row>
    <row r="1369" spans="1:19" x14ac:dyDescent="0.25">
      <c r="A1369" t="s">
        <v>41</v>
      </c>
      <c r="B1369" t="s">
        <v>954</v>
      </c>
      <c r="C1369">
        <v>2</v>
      </c>
      <c r="D1369" t="s">
        <v>19</v>
      </c>
      <c r="E1369" t="s">
        <v>94</v>
      </c>
      <c r="F1369" t="s">
        <v>113</v>
      </c>
      <c r="G1369" t="s">
        <v>104</v>
      </c>
      <c r="H1369" t="s">
        <v>238</v>
      </c>
      <c r="J1369">
        <v>0</v>
      </c>
      <c r="K1369">
        <v>1</v>
      </c>
      <c r="L1369">
        <v>83.757575759999995</v>
      </c>
      <c r="M1369">
        <v>22.60997987</v>
      </c>
      <c r="N1369">
        <v>0.72884000000000004</v>
      </c>
      <c r="O1369">
        <v>87.5</v>
      </c>
      <c r="P1369">
        <v>29.478311600000001</v>
      </c>
      <c r="Q1369">
        <v>3.0797751000000002E-2</v>
      </c>
      <c r="R1369" t="s">
        <v>1017</v>
      </c>
      <c r="S1369">
        <v>6.8683317300000013</v>
      </c>
    </row>
    <row r="1370" spans="1:19" x14ac:dyDescent="0.25">
      <c r="A1370" t="s">
        <v>41</v>
      </c>
      <c r="B1370" t="s">
        <v>955</v>
      </c>
      <c r="C1370">
        <v>2</v>
      </c>
      <c r="D1370" t="s">
        <v>19</v>
      </c>
      <c r="E1370" t="s">
        <v>94</v>
      </c>
      <c r="F1370" t="s">
        <v>103</v>
      </c>
      <c r="G1370" t="s">
        <v>113</v>
      </c>
      <c r="H1370" t="s">
        <v>103</v>
      </c>
      <c r="J1370">
        <v>0</v>
      </c>
      <c r="K1370">
        <v>2</v>
      </c>
      <c r="L1370">
        <v>98.291666669999998</v>
      </c>
      <c r="M1370">
        <v>30.315130790000001</v>
      </c>
      <c r="N1370">
        <v>5.0803484000000003E-2</v>
      </c>
      <c r="O1370">
        <v>98.291666669999998</v>
      </c>
      <c r="P1370">
        <v>30.315130790000001</v>
      </c>
      <c r="Q1370">
        <v>5.0803484000000003E-2</v>
      </c>
      <c r="R1370" t="s">
        <v>1017</v>
      </c>
      <c r="S1370">
        <v>0</v>
      </c>
    </row>
    <row r="1371" spans="1:19" x14ac:dyDescent="0.25">
      <c r="A1371" t="s">
        <v>41</v>
      </c>
      <c r="B1371" t="s">
        <v>955</v>
      </c>
      <c r="C1371">
        <v>2</v>
      </c>
      <c r="D1371" t="s">
        <v>19</v>
      </c>
      <c r="E1371" t="s">
        <v>94</v>
      </c>
      <c r="F1371" t="s">
        <v>103</v>
      </c>
      <c r="G1371" t="s">
        <v>113</v>
      </c>
      <c r="H1371" t="s">
        <v>113</v>
      </c>
      <c r="J1371">
        <v>0</v>
      </c>
      <c r="K1371">
        <v>3</v>
      </c>
      <c r="L1371">
        <v>98.291666669999998</v>
      </c>
      <c r="M1371">
        <v>30.315130790000001</v>
      </c>
      <c r="N1371">
        <v>5.0803484000000003E-2</v>
      </c>
      <c r="O1371">
        <v>83.757575759999995</v>
      </c>
      <c r="P1371">
        <v>22.60997987</v>
      </c>
      <c r="Q1371">
        <v>0.72884000000000004</v>
      </c>
      <c r="R1371" t="s">
        <v>1017</v>
      </c>
      <c r="S1371">
        <v>7.7051509200000012</v>
      </c>
    </row>
    <row r="1372" spans="1:19" x14ac:dyDescent="0.25">
      <c r="A1372" t="s">
        <v>42</v>
      </c>
      <c r="B1372" t="s">
        <v>956</v>
      </c>
      <c r="C1372">
        <v>2</v>
      </c>
      <c r="D1372" t="s">
        <v>21</v>
      </c>
      <c r="E1372" t="s">
        <v>94</v>
      </c>
      <c r="F1372" t="s">
        <v>105</v>
      </c>
      <c r="G1372" t="s">
        <v>121</v>
      </c>
      <c r="H1372" t="s">
        <v>242</v>
      </c>
      <c r="J1372">
        <v>0</v>
      </c>
      <c r="K1372">
        <v>6</v>
      </c>
      <c r="L1372">
        <v>67.5</v>
      </c>
      <c r="M1372">
        <v>47.937235809999997</v>
      </c>
      <c r="N1372">
        <v>0.41599678000000001</v>
      </c>
      <c r="O1372">
        <v>139.375</v>
      </c>
      <c r="P1372">
        <v>23.713465920000001</v>
      </c>
      <c r="Q1372" t="s">
        <v>114</v>
      </c>
      <c r="R1372" t="s">
        <v>1017</v>
      </c>
      <c r="S1372">
        <v>24.223769889999996</v>
      </c>
    </row>
    <row r="1373" spans="1:19" x14ac:dyDescent="0.25">
      <c r="A1373" t="s">
        <v>42</v>
      </c>
      <c r="B1373" t="s">
        <v>957</v>
      </c>
      <c r="C1373">
        <v>2</v>
      </c>
      <c r="D1373" t="s">
        <v>21</v>
      </c>
      <c r="E1373" t="s">
        <v>94</v>
      </c>
      <c r="F1373" t="s">
        <v>110</v>
      </c>
      <c r="G1373" t="s">
        <v>113</v>
      </c>
      <c r="H1373" t="s">
        <v>104</v>
      </c>
      <c r="J1373">
        <v>0</v>
      </c>
      <c r="K1373">
        <v>2</v>
      </c>
      <c r="L1373">
        <v>73.260869569999997</v>
      </c>
      <c r="M1373">
        <v>34.453830549999999</v>
      </c>
      <c r="N1373">
        <v>1.058333333</v>
      </c>
      <c r="O1373">
        <v>113.9375</v>
      </c>
      <c r="P1373">
        <v>33.375507550000002</v>
      </c>
      <c r="Q1373">
        <v>2.4262999999999999</v>
      </c>
      <c r="R1373" t="s">
        <v>1017</v>
      </c>
      <c r="S1373">
        <v>1.0783229999999975</v>
      </c>
    </row>
    <row r="1374" spans="1:19" x14ac:dyDescent="0.25">
      <c r="A1374" t="s">
        <v>42</v>
      </c>
      <c r="B1374" t="s">
        <v>957</v>
      </c>
      <c r="C1374">
        <v>2</v>
      </c>
      <c r="D1374" t="s">
        <v>21</v>
      </c>
      <c r="E1374" t="s">
        <v>94</v>
      </c>
      <c r="F1374" t="s">
        <v>110</v>
      </c>
      <c r="G1374" t="s">
        <v>113</v>
      </c>
      <c r="H1374" t="s">
        <v>242</v>
      </c>
      <c r="J1374">
        <v>0</v>
      </c>
      <c r="K1374">
        <v>5</v>
      </c>
      <c r="L1374">
        <v>73.260869569999997</v>
      </c>
      <c r="M1374">
        <v>34.453830549999999</v>
      </c>
      <c r="N1374">
        <v>1.058333333</v>
      </c>
      <c r="O1374">
        <v>139.375</v>
      </c>
      <c r="P1374">
        <v>23.713465920000001</v>
      </c>
      <c r="Q1374" t="s">
        <v>114</v>
      </c>
      <c r="R1374" t="s">
        <v>1017</v>
      </c>
      <c r="S1374">
        <v>10.740364629999998</v>
      </c>
    </row>
    <row r="1375" spans="1:19" x14ac:dyDescent="0.25">
      <c r="A1375" t="s">
        <v>42</v>
      </c>
      <c r="B1375" t="s">
        <v>957</v>
      </c>
      <c r="C1375">
        <v>2</v>
      </c>
      <c r="D1375" t="s">
        <v>21</v>
      </c>
      <c r="E1375" t="s">
        <v>94</v>
      </c>
      <c r="F1375" t="s">
        <v>110</v>
      </c>
      <c r="G1375" t="s">
        <v>113</v>
      </c>
      <c r="H1375" t="s">
        <v>113</v>
      </c>
      <c r="J1375">
        <v>0</v>
      </c>
      <c r="K1375">
        <v>2</v>
      </c>
      <c r="L1375">
        <v>73.260869569999997</v>
      </c>
      <c r="M1375">
        <v>34.453830549999999</v>
      </c>
      <c r="N1375">
        <v>1.058333333</v>
      </c>
      <c r="O1375">
        <v>83.757575759999995</v>
      </c>
      <c r="P1375">
        <v>22.60997987</v>
      </c>
      <c r="Q1375">
        <v>0.72884000000000004</v>
      </c>
      <c r="R1375" t="s">
        <v>1017</v>
      </c>
      <c r="S1375">
        <v>11.843850679999999</v>
      </c>
    </row>
    <row r="1376" spans="1:19" x14ac:dyDescent="0.25">
      <c r="A1376" t="s">
        <v>42</v>
      </c>
      <c r="B1376" t="s">
        <v>958</v>
      </c>
      <c r="C1376">
        <v>2</v>
      </c>
      <c r="D1376" t="s">
        <v>21</v>
      </c>
      <c r="E1376" t="s">
        <v>94</v>
      </c>
      <c r="F1376" t="s">
        <v>111</v>
      </c>
      <c r="G1376" t="s">
        <v>110</v>
      </c>
      <c r="H1376" t="s">
        <v>113</v>
      </c>
      <c r="J1376">
        <v>0</v>
      </c>
      <c r="K1376">
        <v>1</v>
      </c>
      <c r="L1376">
        <v>94.97142857</v>
      </c>
      <c r="M1376">
        <v>24.31591813</v>
      </c>
      <c r="N1376">
        <v>0.122951111</v>
      </c>
      <c r="O1376">
        <v>83.757575759999995</v>
      </c>
      <c r="P1376">
        <v>22.60997987</v>
      </c>
      <c r="Q1376">
        <v>0.72884000000000004</v>
      </c>
      <c r="R1376" t="s">
        <v>1017</v>
      </c>
      <c r="S1376">
        <v>1.7059382599999999</v>
      </c>
    </row>
    <row r="1377" spans="1:19" x14ac:dyDescent="0.25">
      <c r="A1377" t="s">
        <v>42</v>
      </c>
      <c r="B1377" t="s">
        <v>958</v>
      </c>
      <c r="C1377">
        <v>2</v>
      </c>
      <c r="D1377" t="s">
        <v>21</v>
      </c>
      <c r="E1377" t="s">
        <v>94</v>
      </c>
      <c r="F1377" t="s">
        <v>111</v>
      </c>
      <c r="G1377" t="s">
        <v>110</v>
      </c>
      <c r="H1377" t="s">
        <v>110</v>
      </c>
      <c r="J1377">
        <v>0</v>
      </c>
      <c r="K1377">
        <v>1</v>
      </c>
      <c r="L1377">
        <v>94.97142857</v>
      </c>
      <c r="M1377">
        <v>24.31591813</v>
      </c>
      <c r="N1377">
        <v>0.122951111</v>
      </c>
      <c r="O1377">
        <v>73.260869569999997</v>
      </c>
      <c r="P1377">
        <v>34.453830549999999</v>
      </c>
      <c r="Q1377">
        <v>1.058333333</v>
      </c>
      <c r="R1377" t="s">
        <v>1017</v>
      </c>
      <c r="S1377">
        <v>10.137912419999999</v>
      </c>
    </row>
    <row r="1378" spans="1:19" x14ac:dyDescent="0.25">
      <c r="A1378" t="s">
        <v>42</v>
      </c>
      <c r="B1378" t="s">
        <v>959</v>
      </c>
      <c r="C1378">
        <v>2</v>
      </c>
      <c r="D1378" t="s">
        <v>21</v>
      </c>
      <c r="E1378" t="s">
        <v>94</v>
      </c>
      <c r="F1378" t="s">
        <v>104</v>
      </c>
      <c r="G1378" t="s">
        <v>121</v>
      </c>
      <c r="H1378" t="s">
        <v>110</v>
      </c>
      <c r="J1378">
        <v>1</v>
      </c>
      <c r="K1378">
        <v>2</v>
      </c>
      <c r="L1378">
        <v>113.9375</v>
      </c>
      <c r="M1378">
        <v>33.375507550000002</v>
      </c>
      <c r="N1378">
        <v>2.4262999999999999</v>
      </c>
      <c r="O1378">
        <v>73.260869569999997</v>
      </c>
      <c r="P1378">
        <v>34.453830549999999</v>
      </c>
      <c r="Q1378">
        <v>1.058333333</v>
      </c>
      <c r="R1378" t="s">
        <v>1017</v>
      </c>
      <c r="S1378">
        <v>1.0783229999999975</v>
      </c>
    </row>
    <row r="1379" spans="1:19" x14ac:dyDescent="0.25">
      <c r="A1379" t="s">
        <v>42</v>
      </c>
      <c r="B1379" t="s">
        <v>959</v>
      </c>
      <c r="C1379">
        <v>2</v>
      </c>
      <c r="D1379" t="s">
        <v>21</v>
      </c>
      <c r="E1379" t="s">
        <v>94</v>
      </c>
      <c r="F1379" t="s">
        <v>104</v>
      </c>
      <c r="G1379" t="s">
        <v>121</v>
      </c>
      <c r="H1379" t="s">
        <v>240</v>
      </c>
      <c r="J1379">
        <v>1</v>
      </c>
      <c r="K1379">
        <v>2</v>
      </c>
      <c r="L1379">
        <v>113.9375</v>
      </c>
      <c r="M1379">
        <v>33.375507550000002</v>
      </c>
      <c r="N1379">
        <v>2.4262999999999999</v>
      </c>
      <c r="O1379">
        <v>104.83333330000001</v>
      </c>
      <c r="P1379">
        <v>43.798647680000002</v>
      </c>
      <c r="Q1379">
        <v>7.7741939999999999E-3</v>
      </c>
      <c r="R1379" t="s">
        <v>1017</v>
      </c>
      <c r="S1379">
        <v>10.42314013</v>
      </c>
    </row>
    <row r="1380" spans="1:19" x14ac:dyDescent="0.25">
      <c r="A1380" t="s">
        <v>42</v>
      </c>
      <c r="B1380" t="s">
        <v>959</v>
      </c>
      <c r="C1380">
        <v>2</v>
      </c>
      <c r="D1380" t="s">
        <v>21</v>
      </c>
      <c r="E1380" t="s">
        <v>94</v>
      </c>
      <c r="F1380" t="s">
        <v>104</v>
      </c>
      <c r="G1380" t="s">
        <v>121</v>
      </c>
      <c r="H1380" t="s">
        <v>241</v>
      </c>
      <c r="J1380">
        <v>1</v>
      </c>
      <c r="K1380">
        <v>1</v>
      </c>
      <c r="L1380">
        <v>113.9375</v>
      </c>
      <c r="M1380">
        <v>33.375507550000002</v>
      </c>
      <c r="N1380">
        <v>2.4262999999999999</v>
      </c>
      <c r="O1380">
        <v>114</v>
      </c>
      <c r="P1380">
        <v>30.43077242</v>
      </c>
      <c r="Q1380">
        <v>0.53383111100000002</v>
      </c>
      <c r="R1380" t="s">
        <v>1017</v>
      </c>
      <c r="S1380">
        <v>2.9447351300000015</v>
      </c>
    </row>
    <row r="1381" spans="1:19" x14ac:dyDescent="0.25">
      <c r="A1381" t="s">
        <v>43</v>
      </c>
      <c r="B1381" t="s">
        <v>960</v>
      </c>
      <c r="C1381">
        <v>2</v>
      </c>
      <c r="D1381" t="s">
        <v>23</v>
      </c>
      <c r="E1381" t="s">
        <v>94</v>
      </c>
      <c r="F1381" t="s">
        <v>105</v>
      </c>
      <c r="G1381" t="s">
        <v>104</v>
      </c>
      <c r="H1381" t="s">
        <v>104</v>
      </c>
      <c r="J1381">
        <v>0</v>
      </c>
      <c r="K1381">
        <v>1</v>
      </c>
      <c r="L1381">
        <v>67.5</v>
      </c>
      <c r="M1381">
        <v>47.937235809999997</v>
      </c>
      <c r="N1381">
        <v>0.41599678000000001</v>
      </c>
      <c r="O1381">
        <v>113.9375</v>
      </c>
      <c r="P1381">
        <v>33.375507550000002</v>
      </c>
      <c r="Q1381">
        <v>2.4262999999999999</v>
      </c>
      <c r="R1381" t="s">
        <v>1017</v>
      </c>
      <c r="S1381">
        <v>14.561728259999995</v>
      </c>
    </row>
    <row r="1382" spans="1:19" x14ac:dyDescent="0.25">
      <c r="A1382" t="s">
        <v>43</v>
      </c>
      <c r="B1382" t="s">
        <v>961</v>
      </c>
      <c r="C1382">
        <v>2</v>
      </c>
      <c r="D1382" t="s">
        <v>23</v>
      </c>
      <c r="E1382" t="s">
        <v>94</v>
      </c>
      <c r="F1382" t="s">
        <v>110</v>
      </c>
      <c r="G1382" t="s">
        <v>110</v>
      </c>
      <c r="H1382" t="s">
        <v>110</v>
      </c>
      <c r="J1382">
        <v>0</v>
      </c>
      <c r="K1382">
        <v>1</v>
      </c>
      <c r="L1382">
        <v>73.260869569999997</v>
      </c>
      <c r="M1382">
        <v>34.453830549999999</v>
      </c>
      <c r="N1382">
        <v>1.058333333</v>
      </c>
      <c r="O1382">
        <v>73.260869569999997</v>
      </c>
      <c r="P1382">
        <v>34.453830549999999</v>
      </c>
      <c r="Q1382">
        <v>1.058333333</v>
      </c>
      <c r="R1382" t="s">
        <v>1017</v>
      </c>
      <c r="S1382">
        <v>0</v>
      </c>
    </row>
    <row r="1383" spans="1:19" x14ac:dyDescent="0.25">
      <c r="A1383" t="s">
        <v>43</v>
      </c>
      <c r="B1383" t="s">
        <v>962</v>
      </c>
      <c r="C1383">
        <v>2</v>
      </c>
      <c r="D1383" t="s">
        <v>23</v>
      </c>
      <c r="E1383" t="s">
        <v>94</v>
      </c>
      <c r="F1383" t="s">
        <v>111</v>
      </c>
      <c r="G1383" t="s">
        <v>121</v>
      </c>
      <c r="H1383" t="s">
        <v>114</v>
      </c>
      <c r="J1383">
        <v>0</v>
      </c>
      <c r="K1383" t="s">
        <v>114</v>
      </c>
      <c r="L1383">
        <v>94.97142857</v>
      </c>
      <c r="M1383">
        <v>24.31591813</v>
      </c>
      <c r="N1383">
        <v>0.122951111</v>
      </c>
      <c r="O1383" t="s">
        <v>114</v>
      </c>
      <c r="P1383" t="s">
        <v>114</v>
      </c>
      <c r="Q1383" t="s">
        <v>114</v>
      </c>
      <c r="R1383" t="s">
        <v>1017</v>
      </c>
      <c r="S1383" t="s">
        <v>114</v>
      </c>
    </row>
    <row r="1384" spans="1:19" x14ac:dyDescent="0.25">
      <c r="A1384" t="s">
        <v>43</v>
      </c>
      <c r="B1384" t="s">
        <v>963</v>
      </c>
      <c r="C1384">
        <v>2</v>
      </c>
      <c r="D1384" t="s">
        <v>23</v>
      </c>
      <c r="E1384" t="s">
        <v>94</v>
      </c>
      <c r="F1384" t="s">
        <v>104</v>
      </c>
      <c r="G1384" t="s">
        <v>104</v>
      </c>
      <c r="H1384" t="s">
        <v>104</v>
      </c>
      <c r="J1384">
        <v>0</v>
      </c>
      <c r="K1384">
        <v>1</v>
      </c>
      <c r="L1384">
        <v>113.9375</v>
      </c>
      <c r="M1384">
        <v>33.375507550000002</v>
      </c>
      <c r="N1384">
        <v>2.4262999999999999</v>
      </c>
      <c r="O1384">
        <v>113.9375</v>
      </c>
      <c r="P1384">
        <v>33.375507550000002</v>
      </c>
      <c r="Q1384">
        <v>2.4262999999999999</v>
      </c>
      <c r="R1384" t="s">
        <v>1017</v>
      </c>
      <c r="S1384">
        <v>0</v>
      </c>
    </row>
    <row r="1385" spans="1:19" x14ac:dyDescent="0.25">
      <c r="A1385" t="s">
        <v>43</v>
      </c>
      <c r="B1385" t="s">
        <v>963</v>
      </c>
      <c r="C1385">
        <v>2</v>
      </c>
      <c r="D1385" t="s">
        <v>23</v>
      </c>
      <c r="E1385" t="s">
        <v>94</v>
      </c>
      <c r="F1385" t="s">
        <v>104</v>
      </c>
      <c r="G1385" t="s">
        <v>104</v>
      </c>
      <c r="H1385" t="s">
        <v>808</v>
      </c>
      <c r="J1385">
        <v>0</v>
      </c>
      <c r="K1385">
        <v>1</v>
      </c>
      <c r="L1385">
        <v>113.9375</v>
      </c>
      <c r="M1385">
        <v>33.375507550000002</v>
      </c>
      <c r="N1385">
        <v>2.4262999999999999</v>
      </c>
      <c r="O1385">
        <v>102.79166669999999</v>
      </c>
      <c r="P1385">
        <v>27.057373470000002</v>
      </c>
      <c r="Q1385">
        <v>6.3567849939999999</v>
      </c>
      <c r="R1385" t="s">
        <v>1017</v>
      </c>
      <c r="S1385">
        <v>6.3181340800000001</v>
      </c>
    </row>
    <row r="1386" spans="1:19" x14ac:dyDescent="0.25">
      <c r="A1386" t="s">
        <v>44</v>
      </c>
      <c r="B1386" t="s">
        <v>964</v>
      </c>
      <c r="C1386">
        <v>2</v>
      </c>
      <c r="D1386" t="s">
        <v>25</v>
      </c>
      <c r="E1386" t="s">
        <v>95</v>
      </c>
      <c r="F1386" t="s">
        <v>102</v>
      </c>
      <c r="G1386" t="s">
        <v>102</v>
      </c>
      <c r="H1386" t="s">
        <v>102</v>
      </c>
      <c r="J1386">
        <v>0</v>
      </c>
      <c r="K1386">
        <v>1</v>
      </c>
      <c r="L1386">
        <v>84.740740740000007</v>
      </c>
      <c r="M1386">
        <v>29.167014049999999</v>
      </c>
      <c r="N1386">
        <v>1.1169849999999999</v>
      </c>
      <c r="O1386">
        <v>84.740740740000007</v>
      </c>
      <c r="P1386">
        <v>29.167014049999999</v>
      </c>
      <c r="Q1386">
        <v>1.1169849999999999</v>
      </c>
      <c r="R1386" t="s">
        <v>1017</v>
      </c>
      <c r="S1386">
        <v>0</v>
      </c>
    </row>
    <row r="1387" spans="1:19" x14ac:dyDescent="0.25">
      <c r="A1387" t="s">
        <v>44</v>
      </c>
      <c r="B1387" t="s">
        <v>965</v>
      </c>
      <c r="C1387">
        <v>2</v>
      </c>
      <c r="D1387" t="s">
        <v>25</v>
      </c>
      <c r="E1387" t="s">
        <v>95</v>
      </c>
      <c r="F1387" t="s">
        <v>110</v>
      </c>
      <c r="G1387" t="s">
        <v>121</v>
      </c>
      <c r="H1387" t="s">
        <v>114</v>
      </c>
      <c r="I1387" t="s">
        <v>162</v>
      </c>
      <c r="J1387">
        <v>1</v>
      </c>
      <c r="K1387">
        <v>0</v>
      </c>
      <c r="L1387">
        <v>73.260869569999997</v>
      </c>
      <c r="M1387">
        <v>34.453830549999999</v>
      </c>
      <c r="N1387">
        <v>1.058333333</v>
      </c>
      <c r="O1387" t="s">
        <v>114</v>
      </c>
      <c r="P1387" t="s">
        <v>114</v>
      </c>
      <c r="Q1387" t="s">
        <v>114</v>
      </c>
      <c r="R1387" t="s">
        <v>1017</v>
      </c>
      <c r="S1387" t="s">
        <v>114</v>
      </c>
    </row>
    <row r="1388" spans="1:19" x14ac:dyDescent="0.25">
      <c r="A1388" t="s">
        <v>44</v>
      </c>
      <c r="B1388" t="s">
        <v>966</v>
      </c>
      <c r="C1388">
        <v>2</v>
      </c>
      <c r="D1388" t="s">
        <v>25</v>
      </c>
      <c r="E1388" t="s">
        <v>95</v>
      </c>
      <c r="F1388" t="s">
        <v>104</v>
      </c>
      <c r="G1388" t="s">
        <v>112</v>
      </c>
      <c r="H1388" t="s">
        <v>112</v>
      </c>
      <c r="J1388">
        <v>0</v>
      </c>
      <c r="K1388">
        <v>1</v>
      </c>
      <c r="L1388">
        <v>113.9375</v>
      </c>
      <c r="M1388">
        <v>33.375507550000002</v>
      </c>
      <c r="N1388">
        <v>2.4262999999999999</v>
      </c>
      <c r="O1388">
        <v>65.09375</v>
      </c>
      <c r="P1388">
        <v>37.895352600000002</v>
      </c>
      <c r="Q1388">
        <v>2.2882677779999998</v>
      </c>
      <c r="R1388" t="s">
        <v>1017</v>
      </c>
      <c r="S1388">
        <v>4.5198450500000007</v>
      </c>
    </row>
    <row r="1389" spans="1:19" x14ac:dyDescent="0.25">
      <c r="A1389" t="s">
        <v>44</v>
      </c>
      <c r="B1389" t="s">
        <v>966</v>
      </c>
      <c r="C1389">
        <v>2</v>
      </c>
      <c r="D1389" t="s">
        <v>25</v>
      </c>
      <c r="E1389" t="s">
        <v>95</v>
      </c>
      <c r="F1389" t="s">
        <v>104</v>
      </c>
      <c r="G1389" t="s">
        <v>112</v>
      </c>
      <c r="H1389" t="s">
        <v>162</v>
      </c>
      <c r="J1389">
        <v>0</v>
      </c>
      <c r="K1389">
        <v>1</v>
      </c>
      <c r="L1389">
        <v>113.9375</v>
      </c>
      <c r="M1389">
        <v>33.375507550000002</v>
      </c>
      <c r="N1389">
        <v>2.4262999999999999</v>
      </c>
      <c r="O1389">
        <v>82.53846154</v>
      </c>
      <c r="P1389">
        <v>35.660530039999998</v>
      </c>
      <c r="Q1389">
        <v>3.3754499999999998</v>
      </c>
      <c r="R1389" t="s">
        <v>1017</v>
      </c>
      <c r="S1389">
        <v>2.2850224899999958</v>
      </c>
    </row>
    <row r="1390" spans="1:19" x14ac:dyDescent="0.25">
      <c r="A1390" t="s">
        <v>44</v>
      </c>
      <c r="B1390" t="s">
        <v>966</v>
      </c>
      <c r="C1390">
        <v>2</v>
      </c>
      <c r="D1390" t="s">
        <v>25</v>
      </c>
      <c r="E1390" t="s">
        <v>95</v>
      </c>
      <c r="F1390" t="s">
        <v>104</v>
      </c>
      <c r="G1390" t="s">
        <v>112</v>
      </c>
      <c r="H1390" t="s">
        <v>113</v>
      </c>
      <c r="J1390">
        <v>0</v>
      </c>
      <c r="K1390">
        <v>1</v>
      </c>
      <c r="L1390">
        <v>113.9375</v>
      </c>
      <c r="M1390">
        <v>33.375507550000002</v>
      </c>
      <c r="N1390">
        <v>2.4262999999999999</v>
      </c>
      <c r="O1390">
        <v>83.757575759999995</v>
      </c>
      <c r="P1390">
        <v>22.60997987</v>
      </c>
      <c r="Q1390">
        <v>0.72884000000000004</v>
      </c>
      <c r="R1390" t="s">
        <v>1017</v>
      </c>
      <c r="S1390">
        <v>10.765527680000002</v>
      </c>
    </row>
    <row r="1391" spans="1:19" x14ac:dyDescent="0.25">
      <c r="A1391" t="s">
        <v>44</v>
      </c>
      <c r="B1391" t="s">
        <v>967</v>
      </c>
      <c r="C1391">
        <v>2</v>
      </c>
      <c r="D1391" t="s">
        <v>25</v>
      </c>
      <c r="E1391" t="s">
        <v>95</v>
      </c>
      <c r="F1391" t="s">
        <v>112</v>
      </c>
      <c r="G1391" t="s">
        <v>121</v>
      </c>
      <c r="H1391" t="s">
        <v>114</v>
      </c>
      <c r="J1391">
        <v>0</v>
      </c>
      <c r="K1391" t="s">
        <v>114</v>
      </c>
      <c r="L1391">
        <v>65.09375</v>
      </c>
      <c r="M1391">
        <v>37.895352600000002</v>
      </c>
      <c r="N1391">
        <v>2.2882677779999998</v>
      </c>
      <c r="O1391" t="s">
        <v>114</v>
      </c>
      <c r="P1391" t="s">
        <v>114</v>
      </c>
      <c r="Q1391" t="s">
        <v>114</v>
      </c>
      <c r="R1391" t="s">
        <v>1017</v>
      </c>
      <c r="S1391" t="s">
        <v>114</v>
      </c>
    </row>
    <row r="1392" spans="1:19" x14ac:dyDescent="0.25">
      <c r="A1392" t="s">
        <v>45</v>
      </c>
      <c r="B1392" t="s">
        <v>968</v>
      </c>
      <c r="C1392">
        <v>2</v>
      </c>
      <c r="D1392" t="s">
        <v>27</v>
      </c>
      <c r="E1392" t="s">
        <v>95</v>
      </c>
      <c r="F1392" t="s">
        <v>102</v>
      </c>
      <c r="G1392" t="s">
        <v>113</v>
      </c>
      <c r="H1392" t="s">
        <v>113</v>
      </c>
      <c r="J1392">
        <v>0</v>
      </c>
      <c r="K1392">
        <v>2</v>
      </c>
      <c r="L1392">
        <v>84.740740740000007</v>
      </c>
      <c r="M1392">
        <v>29.167014049999999</v>
      </c>
      <c r="N1392">
        <v>1.1169849999999999</v>
      </c>
      <c r="O1392">
        <v>83.757575759999995</v>
      </c>
      <c r="P1392">
        <v>22.60997987</v>
      </c>
      <c r="Q1392">
        <v>0.72884000000000004</v>
      </c>
      <c r="R1392" t="s">
        <v>1017</v>
      </c>
      <c r="S1392">
        <v>6.5570341799999987</v>
      </c>
    </row>
    <row r="1393" spans="1:19" x14ac:dyDescent="0.25">
      <c r="A1393" t="s">
        <v>45</v>
      </c>
      <c r="B1393" t="s">
        <v>969</v>
      </c>
      <c r="C1393">
        <v>2</v>
      </c>
      <c r="D1393" t="s">
        <v>27</v>
      </c>
      <c r="E1393" t="s">
        <v>95</v>
      </c>
      <c r="F1393" t="s">
        <v>105</v>
      </c>
      <c r="G1393" t="s">
        <v>113</v>
      </c>
      <c r="H1393" t="s">
        <v>113</v>
      </c>
      <c r="J1393">
        <v>0</v>
      </c>
      <c r="K1393">
        <v>6</v>
      </c>
      <c r="L1393">
        <v>67.5</v>
      </c>
      <c r="M1393">
        <v>47.937235809999997</v>
      </c>
      <c r="N1393">
        <v>0.41599678000000001</v>
      </c>
      <c r="O1393">
        <v>83.757575759999995</v>
      </c>
      <c r="P1393">
        <v>22.60997987</v>
      </c>
      <c r="Q1393">
        <v>0.72884000000000004</v>
      </c>
      <c r="R1393" t="s">
        <v>1017</v>
      </c>
      <c r="S1393">
        <v>25.327255939999997</v>
      </c>
    </row>
    <row r="1394" spans="1:19" x14ac:dyDescent="0.25">
      <c r="A1394" t="s">
        <v>45</v>
      </c>
      <c r="B1394" t="s">
        <v>970</v>
      </c>
      <c r="C1394">
        <v>2</v>
      </c>
      <c r="D1394" t="s">
        <v>27</v>
      </c>
      <c r="E1394" t="s">
        <v>95</v>
      </c>
      <c r="F1394" t="s">
        <v>112</v>
      </c>
      <c r="G1394" t="s">
        <v>121</v>
      </c>
      <c r="H1394" t="s">
        <v>113</v>
      </c>
      <c r="J1394">
        <v>0</v>
      </c>
      <c r="K1394">
        <v>8</v>
      </c>
      <c r="L1394">
        <v>65.09375</v>
      </c>
      <c r="M1394">
        <v>37.895352600000002</v>
      </c>
      <c r="N1394">
        <v>2.2882677779999998</v>
      </c>
      <c r="O1394">
        <v>83.757575759999995</v>
      </c>
      <c r="P1394">
        <v>22.60997987</v>
      </c>
      <c r="Q1394">
        <v>0.72884000000000004</v>
      </c>
      <c r="R1394" t="s">
        <v>1017</v>
      </c>
      <c r="S1394">
        <v>15.285372730000002</v>
      </c>
    </row>
    <row r="1395" spans="1:19" x14ac:dyDescent="0.25">
      <c r="A1395" t="s">
        <v>45</v>
      </c>
      <c r="B1395" t="s">
        <v>970</v>
      </c>
      <c r="C1395">
        <v>2</v>
      </c>
      <c r="D1395" t="s">
        <v>27</v>
      </c>
      <c r="E1395" t="s">
        <v>95</v>
      </c>
      <c r="F1395" t="s">
        <v>112</v>
      </c>
      <c r="G1395" t="s">
        <v>121</v>
      </c>
      <c r="H1395" t="s">
        <v>103</v>
      </c>
      <c r="J1395">
        <v>0</v>
      </c>
      <c r="K1395">
        <v>1</v>
      </c>
      <c r="L1395">
        <v>65.09375</v>
      </c>
      <c r="M1395">
        <v>37.895352600000002</v>
      </c>
      <c r="N1395">
        <v>2.2882677779999998</v>
      </c>
      <c r="O1395">
        <v>98.291666669999998</v>
      </c>
      <c r="P1395">
        <v>30.315130790000001</v>
      </c>
      <c r="Q1395">
        <v>5.0803484000000003E-2</v>
      </c>
      <c r="R1395" t="s">
        <v>1017</v>
      </c>
      <c r="S1395">
        <v>7.5802218100000012</v>
      </c>
    </row>
    <row r="1396" spans="1:19" x14ac:dyDescent="0.25">
      <c r="A1396" t="s">
        <v>46</v>
      </c>
      <c r="B1396" t="s">
        <v>971</v>
      </c>
      <c r="C1396">
        <v>2</v>
      </c>
      <c r="D1396" t="s">
        <v>29</v>
      </c>
      <c r="E1396" t="s">
        <v>95</v>
      </c>
      <c r="F1396" t="s">
        <v>102</v>
      </c>
      <c r="G1396" t="s">
        <v>121</v>
      </c>
      <c r="H1396" t="s">
        <v>114</v>
      </c>
      <c r="J1396">
        <v>0</v>
      </c>
      <c r="K1396" t="s">
        <v>114</v>
      </c>
      <c r="L1396">
        <v>84.740740740000007</v>
      </c>
      <c r="M1396">
        <v>29.167014049999999</v>
      </c>
      <c r="N1396">
        <v>1.1169849999999999</v>
      </c>
      <c r="O1396" t="s">
        <v>114</v>
      </c>
      <c r="P1396" t="s">
        <v>114</v>
      </c>
      <c r="Q1396" t="s">
        <v>114</v>
      </c>
      <c r="R1396" t="s">
        <v>1017</v>
      </c>
      <c r="S1396" t="s">
        <v>114</v>
      </c>
    </row>
    <row r="1397" spans="1:19" x14ac:dyDescent="0.25">
      <c r="A1397" t="s">
        <v>46</v>
      </c>
      <c r="B1397" t="s">
        <v>972</v>
      </c>
      <c r="C1397">
        <v>2</v>
      </c>
      <c r="D1397" t="s">
        <v>29</v>
      </c>
      <c r="E1397" t="s">
        <v>95</v>
      </c>
      <c r="F1397" t="s">
        <v>110</v>
      </c>
      <c r="G1397" t="s">
        <v>113</v>
      </c>
      <c r="H1397" t="s">
        <v>113</v>
      </c>
      <c r="J1397">
        <v>0</v>
      </c>
      <c r="K1397">
        <v>3</v>
      </c>
      <c r="L1397">
        <v>73.260869569999997</v>
      </c>
      <c r="M1397">
        <v>34.453830549999999</v>
      </c>
      <c r="N1397">
        <v>1.058333333</v>
      </c>
      <c r="O1397">
        <v>83.757575759999995</v>
      </c>
      <c r="P1397">
        <v>22.60997987</v>
      </c>
      <c r="Q1397">
        <v>0.72884000000000004</v>
      </c>
      <c r="R1397" t="s">
        <v>1017</v>
      </c>
      <c r="S1397">
        <v>11.843850679999999</v>
      </c>
    </row>
    <row r="1398" spans="1:19" x14ac:dyDescent="0.25">
      <c r="A1398" t="s">
        <v>46</v>
      </c>
      <c r="B1398" t="s">
        <v>973</v>
      </c>
      <c r="C1398">
        <v>2</v>
      </c>
      <c r="D1398" t="s">
        <v>29</v>
      </c>
      <c r="E1398" t="s">
        <v>95</v>
      </c>
      <c r="F1398" t="s">
        <v>112</v>
      </c>
      <c r="G1398" t="s">
        <v>121</v>
      </c>
      <c r="H1398" t="s">
        <v>114</v>
      </c>
      <c r="J1398">
        <v>0</v>
      </c>
      <c r="K1398" t="s">
        <v>114</v>
      </c>
      <c r="L1398">
        <v>65.09375</v>
      </c>
      <c r="M1398">
        <v>37.895352600000002</v>
      </c>
      <c r="N1398">
        <v>2.2882677779999998</v>
      </c>
      <c r="O1398" t="s">
        <v>114</v>
      </c>
      <c r="P1398" t="s">
        <v>114</v>
      </c>
      <c r="Q1398" t="s">
        <v>114</v>
      </c>
      <c r="R1398" t="s">
        <v>1017</v>
      </c>
      <c r="S1398" t="s">
        <v>114</v>
      </c>
    </row>
    <row r="1399" spans="1:19" x14ac:dyDescent="0.25">
      <c r="A1399" t="s">
        <v>47</v>
      </c>
      <c r="B1399" t="s">
        <v>974</v>
      </c>
      <c r="C1399">
        <v>2</v>
      </c>
      <c r="D1399" t="s">
        <v>31</v>
      </c>
      <c r="E1399" t="s">
        <v>94</v>
      </c>
      <c r="F1399" t="s">
        <v>112</v>
      </c>
      <c r="G1399" t="s">
        <v>112</v>
      </c>
      <c r="H1399" t="s">
        <v>112</v>
      </c>
      <c r="J1399">
        <v>0</v>
      </c>
      <c r="K1399">
        <v>1</v>
      </c>
      <c r="L1399">
        <v>65.09375</v>
      </c>
      <c r="M1399">
        <v>37.895352600000002</v>
      </c>
      <c r="N1399">
        <v>2.2882677779999998</v>
      </c>
      <c r="O1399">
        <v>65.09375</v>
      </c>
      <c r="P1399">
        <v>37.895352600000002</v>
      </c>
      <c r="Q1399">
        <v>2.2882677779999998</v>
      </c>
      <c r="R1399" t="s">
        <v>1017</v>
      </c>
      <c r="S1399">
        <v>0</v>
      </c>
    </row>
    <row r="1400" spans="1:19" x14ac:dyDescent="0.25">
      <c r="A1400" t="s">
        <v>47</v>
      </c>
      <c r="B1400" t="s">
        <v>974</v>
      </c>
      <c r="C1400">
        <v>2</v>
      </c>
      <c r="D1400" t="s">
        <v>31</v>
      </c>
      <c r="E1400" t="s">
        <v>94</v>
      </c>
      <c r="F1400" t="s">
        <v>112</v>
      </c>
      <c r="G1400" t="s">
        <v>112</v>
      </c>
      <c r="H1400" t="s">
        <v>113</v>
      </c>
      <c r="J1400">
        <v>0</v>
      </c>
      <c r="K1400">
        <v>1</v>
      </c>
      <c r="L1400">
        <v>65.09375</v>
      </c>
      <c r="M1400">
        <v>37.895352600000002</v>
      </c>
      <c r="N1400">
        <v>2.2882677779999998</v>
      </c>
      <c r="O1400">
        <v>83.757575759999995</v>
      </c>
      <c r="P1400">
        <v>22.60997987</v>
      </c>
      <c r="Q1400">
        <v>0.72884000000000004</v>
      </c>
      <c r="R1400" t="s">
        <v>1017</v>
      </c>
      <c r="S1400">
        <v>15.285372730000002</v>
      </c>
    </row>
    <row r="1401" spans="1:19" x14ac:dyDescent="0.25">
      <c r="A1401" t="s">
        <v>48</v>
      </c>
      <c r="B1401" t="s">
        <v>975</v>
      </c>
      <c r="C1401">
        <v>2</v>
      </c>
      <c r="D1401" t="s">
        <v>33</v>
      </c>
      <c r="E1401" t="s">
        <v>95</v>
      </c>
      <c r="F1401" t="s">
        <v>105</v>
      </c>
      <c r="G1401" t="s">
        <v>104</v>
      </c>
      <c r="H1401" t="s">
        <v>103</v>
      </c>
      <c r="J1401">
        <v>0</v>
      </c>
      <c r="K1401">
        <v>1</v>
      </c>
      <c r="L1401">
        <v>67.5</v>
      </c>
      <c r="M1401">
        <v>47.937235809999997</v>
      </c>
      <c r="N1401">
        <v>0.41599678000000001</v>
      </c>
      <c r="O1401">
        <v>98.291666669999998</v>
      </c>
      <c r="P1401">
        <v>30.315130790000001</v>
      </c>
      <c r="Q1401">
        <v>5.0803484000000003E-2</v>
      </c>
      <c r="R1401" t="s">
        <v>1017</v>
      </c>
      <c r="S1401">
        <v>17.622105019999996</v>
      </c>
    </row>
    <row r="1402" spans="1:19" x14ac:dyDescent="0.25">
      <c r="A1402" t="s">
        <v>48</v>
      </c>
      <c r="B1402" t="s">
        <v>975</v>
      </c>
      <c r="C1402">
        <v>2</v>
      </c>
      <c r="D1402" t="s">
        <v>33</v>
      </c>
      <c r="E1402" t="s">
        <v>95</v>
      </c>
      <c r="F1402" t="s">
        <v>105</v>
      </c>
      <c r="G1402" t="s">
        <v>104</v>
      </c>
      <c r="H1402" t="s">
        <v>104</v>
      </c>
      <c r="J1402">
        <v>0</v>
      </c>
      <c r="K1402">
        <v>2</v>
      </c>
      <c r="L1402">
        <v>67.5</v>
      </c>
      <c r="M1402">
        <v>47.937235809999997</v>
      </c>
      <c r="N1402">
        <v>0.41599678000000001</v>
      </c>
      <c r="O1402">
        <v>113.9375</v>
      </c>
      <c r="P1402">
        <v>33.375507550000002</v>
      </c>
      <c r="Q1402">
        <v>2.4262999999999999</v>
      </c>
      <c r="R1402" t="s">
        <v>1017</v>
      </c>
      <c r="S1402">
        <v>14.561728259999995</v>
      </c>
    </row>
    <row r="1403" spans="1:19" x14ac:dyDescent="0.25">
      <c r="A1403" t="s">
        <v>48</v>
      </c>
      <c r="B1403" t="s">
        <v>976</v>
      </c>
      <c r="C1403">
        <v>2</v>
      </c>
      <c r="D1403" t="s">
        <v>33</v>
      </c>
      <c r="E1403" t="s">
        <v>95</v>
      </c>
      <c r="F1403" t="s">
        <v>111</v>
      </c>
      <c r="G1403" t="s">
        <v>113</v>
      </c>
      <c r="H1403" t="s">
        <v>113</v>
      </c>
      <c r="J1403">
        <v>0</v>
      </c>
      <c r="K1403">
        <v>1</v>
      </c>
      <c r="L1403">
        <v>94.97142857</v>
      </c>
      <c r="M1403">
        <v>24.31591813</v>
      </c>
      <c r="N1403">
        <v>0.122951111</v>
      </c>
      <c r="O1403">
        <v>83.757575759999995</v>
      </c>
      <c r="P1403">
        <v>22.60997987</v>
      </c>
      <c r="Q1403">
        <v>0.72884000000000004</v>
      </c>
      <c r="R1403" t="s">
        <v>1017</v>
      </c>
      <c r="S1403">
        <v>1.7059382599999999</v>
      </c>
    </row>
    <row r="1404" spans="1:19" x14ac:dyDescent="0.25">
      <c r="A1404" t="s">
        <v>48</v>
      </c>
      <c r="B1404" t="s">
        <v>976</v>
      </c>
      <c r="C1404">
        <v>2</v>
      </c>
      <c r="D1404" t="s">
        <v>33</v>
      </c>
      <c r="E1404" t="s">
        <v>95</v>
      </c>
      <c r="F1404" t="s">
        <v>111</v>
      </c>
      <c r="G1404" t="s">
        <v>113</v>
      </c>
      <c r="H1404" t="s">
        <v>241</v>
      </c>
      <c r="J1404">
        <v>0</v>
      </c>
      <c r="K1404">
        <v>1</v>
      </c>
      <c r="L1404">
        <v>94.97142857</v>
      </c>
      <c r="M1404">
        <v>24.31591813</v>
      </c>
      <c r="N1404">
        <v>0.122951111</v>
      </c>
      <c r="O1404">
        <v>114</v>
      </c>
      <c r="P1404">
        <v>30.43077242</v>
      </c>
      <c r="Q1404">
        <v>0.53383111100000002</v>
      </c>
      <c r="R1404" t="s">
        <v>1017</v>
      </c>
      <c r="S1404">
        <v>6.1148542900000002</v>
      </c>
    </row>
    <row r="1405" spans="1:19" x14ac:dyDescent="0.25">
      <c r="A1405" t="s">
        <v>48</v>
      </c>
      <c r="B1405" t="s">
        <v>977</v>
      </c>
      <c r="C1405">
        <v>2</v>
      </c>
      <c r="D1405" t="s">
        <v>33</v>
      </c>
      <c r="E1405" t="s">
        <v>95</v>
      </c>
      <c r="F1405" t="s">
        <v>104</v>
      </c>
      <c r="G1405" t="s">
        <v>121</v>
      </c>
      <c r="H1405" t="s">
        <v>113</v>
      </c>
      <c r="J1405">
        <v>0</v>
      </c>
      <c r="K1405">
        <v>5</v>
      </c>
      <c r="L1405">
        <v>113.9375</v>
      </c>
      <c r="M1405">
        <v>33.375507550000002</v>
      </c>
      <c r="N1405">
        <v>2.4262999999999999</v>
      </c>
      <c r="O1405">
        <v>83.757575759999995</v>
      </c>
      <c r="P1405">
        <v>22.60997987</v>
      </c>
      <c r="Q1405">
        <v>0.72884000000000004</v>
      </c>
      <c r="R1405" t="s">
        <v>1017</v>
      </c>
      <c r="S1405">
        <v>10.765527680000002</v>
      </c>
    </row>
    <row r="1406" spans="1:19" x14ac:dyDescent="0.25">
      <c r="A1406" t="s">
        <v>48</v>
      </c>
      <c r="B1406" t="s">
        <v>977</v>
      </c>
      <c r="C1406">
        <v>2</v>
      </c>
      <c r="D1406" t="s">
        <v>33</v>
      </c>
      <c r="E1406" t="s">
        <v>95</v>
      </c>
      <c r="F1406" t="s">
        <v>104</v>
      </c>
      <c r="G1406" t="s">
        <v>121</v>
      </c>
      <c r="H1406" t="s">
        <v>104</v>
      </c>
      <c r="J1406">
        <v>0</v>
      </c>
      <c r="K1406">
        <v>2</v>
      </c>
      <c r="L1406">
        <v>113.9375</v>
      </c>
      <c r="M1406">
        <v>33.375507550000002</v>
      </c>
      <c r="N1406">
        <v>2.4262999999999999</v>
      </c>
      <c r="O1406">
        <v>113.9375</v>
      </c>
      <c r="P1406">
        <v>33.375507550000002</v>
      </c>
      <c r="Q1406">
        <v>2.4262999999999999</v>
      </c>
      <c r="R1406" t="s">
        <v>1017</v>
      </c>
      <c r="S1406">
        <v>0</v>
      </c>
    </row>
    <row r="1407" spans="1:19" x14ac:dyDescent="0.25">
      <c r="A1407" t="s">
        <v>48</v>
      </c>
      <c r="B1407" t="s">
        <v>977</v>
      </c>
      <c r="C1407">
        <v>2</v>
      </c>
      <c r="D1407" t="s">
        <v>33</v>
      </c>
      <c r="E1407" t="s">
        <v>95</v>
      </c>
      <c r="F1407" t="s">
        <v>104</v>
      </c>
      <c r="G1407" t="s">
        <v>121</v>
      </c>
      <c r="H1407" t="s">
        <v>103</v>
      </c>
      <c r="J1407">
        <v>0</v>
      </c>
      <c r="K1407">
        <v>1</v>
      </c>
      <c r="L1407">
        <v>113.9375</v>
      </c>
      <c r="M1407">
        <v>33.375507550000002</v>
      </c>
      <c r="N1407">
        <v>2.4262999999999999</v>
      </c>
      <c r="O1407">
        <v>98.291666669999998</v>
      </c>
      <c r="P1407">
        <v>30.315130790000001</v>
      </c>
      <c r="Q1407">
        <v>5.0803484000000003E-2</v>
      </c>
      <c r="R1407" t="s">
        <v>1017</v>
      </c>
      <c r="S1407">
        <v>3.0603767600000005</v>
      </c>
    </row>
    <row r="1408" spans="1:19" x14ac:dyDescent="0.25">
      <c r="A1408" t="s">
        <v>49</v>
      </c>
      <c r="B1408" t="s">
        <v>978</v>
      </c>
      <c r="C1408">
        <v>2</v>
      </c>
      <c r="D1408" t="s">
        <v>35</v>
      </c>
      <c r="E1408" t="s">
        <v>94</v>
      </c>
      <c r="F1408" t="s">
        <v>102</v>
      </c>
      <c r="G1408" t="s">
        <v>112</v>
      </c>
      <c r="H1408" t="s">
        <v>112</v>
      </c>
      <c r="J1408">
        <v>0</v>
      </c>
      <c r="K1408">
        <v>1</v>
      </c>
      <c r="L1408">
        <v>84.740740740000007</v>
      </c>
      <c r="M1408">
        <v>29.167014049999999</v>
      </c>
      <c r="N1408">
        <v>1.1169849999999999</v>
      </c>
      <c r="O1408">
        <v>65.09375</v>
      </c>
      <c r="P1408">
        <v>37.895352600000002</v>
      </c>
      <c r="Q1408">
        <v>2.2882677779999998</v>
      </c>
      <c r="R1408" t="s">
        <v>1017</v>
      </c>
      <c r="S1408">
        <v>8.7283385500000037</v>
      </c>
    </row>
    <row r="1409" spans="1:19" x14ac:dyDescent="0.25">
      <c r="A1409" t="s">
        <v>49</v>
      </c>
      <c r="B1409" t="s">
        <v>978</v>
      </c>
      <c r="C1409">
        <v>2</v>
      </c>
      <c r="D1409" t="s">
        <v>35</v>
      </c>
      <c r="E1409" t="s">
        <v>94</v>
      </c>
      <c r="F1409" t="s">
        <v>102</v>
      </c>
      <c r="G1409" t="s">
        <v>112</v>
      </c>
      <c r="H1409" t="s">
        <v>104</v>
      </c>
      <c r="J1409">
        <v>0</v>
      </c>
      <c r="K1409">
        <v>5</v>
      </c>
      <c r="L1409">
        <v>84.740740740000007</v>
      </c>
      <c r="M1409">
        <v>29.167014049999999</v>
      </c>
      <c r="N1409">
        <v>1.1169849999999999</v>
      </c>
      <c r="O1409">
        <v>113.9375</v>
      </c>
      <c r="P1409">
        <v>33.375507550000002</v>
      </c>
      <c r="Q1409">
        <v>2.4262999999999999</v>
      </c>
      <c r="R1409" t="s">
        <v>1017</v>
      </c>
      <c r="S1409">
        <v>4.208493500000003</v>
      </c>
    </row>
    <row r="1410" spans="1:19" x14ac:dyDescent="0.25">
      <c r="A1410" t="s">
        <v>49</v>
      </c>
      <c r="B1410" t="s">
        <v>979</v>
      </c>
      <c r="C1410">
        <v>2</v>
      </c>
      <c r="D1410" t="s">
        <v>35</v>
      </c>
      <c r="E1410" t="s">
        <v>94</v>
      </c>
      <c r="F1410" t="s">
        <v>112</v>
      </c>
      <c r="G1410" t="s">
        <v>112</v>
      </c>
      <c r="H1410" t="s">
        <v>112</v>
      </c>
      <c r="J1410">
        <v>0</v>
      </c>
      <c r="K1410">
        <v>1</v>
      </c>
      <c r="L1410">
        <v>65.09375</v>
      </c>
      <c r="M1410">
        <v>37.895352600000002</v>
      </c>
      <c r="N1410">
        <v>2.2882677779999998</v>
      </c>
      <c r="O1410">
        <v>65.09375</v>
      </c>
      <c r="P1410">
        <v>37.895352600000002</v>
      </c>
      <c r="Q1410">
        <v>2.2882677779999998</v>
      </c>
      <c r="R1410" t="s">
        <v>1017</v>
      </c>
      <c r="S1410">
        <v>0</v>
      </c>
    </row>
    <row r="1411" spans="1:19" x14ac:dyDescent="0.25">
      <c r="A1411" t="s">
        <v>49</v>
      </c>
      <c r="B1411" t="s">
        <v>979</v>
      </c>
      <c r="C1411">
        <v>2</v>
      </c>
      <c r="D1411" t="s">
        <v>35</v>
      </c>
      <c r="E1411" t="s">
        <v>94</v>
      </c>
      <c r="F1411" t="s">
        <v>112</v>
      </c>
      <c r="G1411" t="s">
        <v>112</v>
      </c>
      <c r="H1411" t="s">
        <v>103</v>
      </c>
      <c r="J1411">
        <v>0</v>
      </c>
      <c r="K1411">
        <v>1</v>
      </c>
      <c r="L1411">
        <v>65.09375</v>
      </c>
      <c r="M1411">
        <v>37.895352600000002</v>
      </c>
      <c r="N1411">
        <v>2.2882677779999998</v>
      </c>
      <c r="O1411">
        <v>98.291666669999998</v>
      </c>
      <c r="P1411">
        <v>30.315130790000001</v>
      </c>
      <c r="Q1411">
        <v>5.0803484000000003E-2</v>
      </c>
      <c r="R1411" t="s">
        <v>1017</v>
      </c>
      <c r="S1411">
        <v>7.5802218100000012</v>
      </c>
    </row>
    <row r="1412" spans="1:19" x14ac:dyDescent="0.25">
      <c r="A1412" t="s">
        <v>79</v>
      </c>
      <c r="B1412" t="s">
        <v>980</v>
      </c>
      <c r="C1412">
        <v>6</v>
      </c>
      <c r="D1412" t="s">
        <v>11</v>
      </c>
      <c r="E1412" t="s">
        <v>95</v>
      </c>
      <c r="F1412" t="s">
        <v>113</v>
      </c>
      <c r="G1412" t="s">
        <v>113</v>
      </c>
      <c r="H1412" t="s">
        <v>113</v>
      </c>
      <c r="J1412">
        <v>0</v>
      </c>
      <c r="K1412">
        <v>4</v>
      </c>
      <c r="L1412">
        <v>83.757575759999995</v>
      </c>
      <c r="M1412">
        <v>22.60997987</v>
      </c>
      <c r="N1412">
        <v>0.72884000000000004</v>
      </c>
      <c r="O1412">
        <v>83.757575759999995</v>
      </c>
      <c r="P1412">
        <v>22.60997987</v>
      </c>
      <c r="Q1412">
        <v>0.72884000000000004</v>
      </c>
      <c r="R1412" t="s">
        <v>1017</v>
      </c>
      <c r="S1412">
        <v>0</v>
      </c>
    </row>
    <row r="1413" spans="1:19" x14ac:dyDescent="0.25">
      <c r="A1413" t="s">
        <v>79</v>
      </c>
      <c r="B1413" t="s">
        <v>981</v>
      </c>
      <c r="C1413">
        <v>6</v>
      </c>
      <c r="D1413" t="s">
        <v>11</v>
      </c>
      <c r="E1413" t="s">
        <v>95</v>
      </c>
      <c r="F1413" t="s">
        <v>103</v>
      </c>
      <c r="G1413" t="s">
        <v>113</v>
      </c>
      <c r="H1413" t="s">
        <v>113</v>
      </c>
      <c r="J1413">
        <v>0</v>
      </c>
      <c r="K1413">
        <v>7</v>
      </c>
      <c r="L1413">
        <v>98.291666669999998</v>
      </c>
      <c r="M1413">
        <v>30.315130790000001</v>
      </c>
      <c r="N1413">
        <v>5.0803484000000003E-2</v>
      </c>
      <c r="O1413">
        <v>83.757575759999995</v>
      </c>
      <c r="P1413">
        <v>22.60997987</v>
      </c>
      <c r="Q1413">
        <v>0.72884000000000004</v>
      </c>
      <c r="R1413" t="s">
        <v>1017</v>
      </c>
      <c r="S1413">
        <v>7.7051509200000012</v>
      </c>
    </row>
    <row r="1414" spans="1:19" x14ac:dyDescent="0.25">
      <c r="A1414" t="s">
        <v>79</v>
      </c>
      <c r="B1414" t="s">
        <v>981</v>
      </c>
      <c r="C1414">
        <v>6</v>
      </c>
      <c r="D1414" t="s">
        <v>11</v>
      </c>
      <c r="E1414" t="s">
        <v>95</v>
      </c>
      <c r="F1414" t="s">
        <v>103</v>
      </c>
      <c r="G1414" t="s">
        <v>113</v>
      </c>
      <c r="H1414" t="s">
        <v>103</v>
      </c>
      <c r="J1414">
        <v>0</v>
      </c>
      <c r="K1414">
        <v>4</v>
      </c>
      <c r="L1414">
        <v>98.291666669999998</v>
      </c>
      <c r="M1414">
        <v>30.315130790000001</v>
      </c>
      <c r="N1414">
        <v>5.0803484000000003E-2</v>
      </c>
      <c r="O1414">
        <v>98.291666669999998</v>
      </c>
      <c r="P1414">
        <v>30.315130790000001</v>
      </c>
      <c r="Q1414">
        <v>5.0803484000000003E-2</v>
      </c>
      <c r="R1414" t="s">
        <v>1017</v>
      </c>
      <c r="S1414">
        <v>0</v>
      </c>
    </row>
    <row r="1415" spans="1:19" x14ac:dyDescent="0.25">
      <c r="A1415" t="s">
        <v>79</v>
      </c>
      <c r="B1415" t="s">
        <v>982</v>
      </c>
      <c r="C1415">
        <v>6</v>
      </c>
      <c r="D1415" t="s">
        <v>11</v>
      </c>
      <c r="E1415" t="s">
        <v>95</v>
      </c>
      <c r="F1415" t="s">
        <v>111</v>
      </c>
      <c r="G1415" t="s">
        <v>113</v>
      </c>
      <c r="H1415" t="s">
        <v>234</v>
      </c>
      <c r="J1415">
        <v>0</v>
      </c>
      <c r="K1415">
        <v>1</v>
      </c>
      <c r="L1415">
        <v>94.97142857</v>
      </c>
      <c r="M1415">
        <v>24.31591813</v>
      </c>
      <c r="N1415">
        <v>0.122951111</v>
      </c>
      <c r="O1415">
        <v>89.8125</v>
      </c>
      <c r="P1415">
        <v>34.754706650000003</v>
      </c>
      <c r="Q1415">
        <v>2.3065078999999999E-2</v>
      </c>
      <c r="R1415" t="s">
        <v>1017</v>
      </c>
      <c r="S1415">
        <v>10.438788520000003</v>
      </c>
    </row>
    <row r="1416" spans="1:19" x14ac:dyDescent="0.25">
      <c r="A1416" t="s">
        <v>79</v>
      </c>
      <c r="B1416" t="s">
        <v>982</v>
      </c>
      <c r="C1416">
        <v>6</v>
      </c>
      <c r="D1416" t="s">
        <v>11</v>
      </c>
      <c r="E1416" t="s">
        <v>95</v>
      </c>
      <c r="F1416" t="s">
        <v>111</v>
      </c>
      <c r="G1416" t="s">
        <v>113</v>
      </c>
      <c r="H1416" t="s">
        <v>113</v>
      </c>
      <c r="J1416">
        <v>0</v>
      </c>
      <c r="K1416">
        <v>5</v>
      </c>
      <c r="L1416">
        <v>94.97142857</v>
      </c>
      <c r="M1416">
        <v>24.31591813</v>
      </c>
      <c r="N1416">
        <v>0.122951111</v>
      </c>
      <c r="O1416">
        <v>83.757575759999995</v>
      </c>
      <c r="P1416">
        <v>22.60997987</v>
      </c>
      <c r="Q1416">
        <v>0.72884000000000004</v>
      </c>
      <c r="R1416" t="s">
        <v>1017</v>
      </c>
      <c r="S1416">
        <v>1.7059382599999999</v>
      </c>
    </row>
    <row r="1417" spans="1:19" x14ac:dyDescent="0.25">
      <c r="A1417" t="s">
        <v>79</v>
      </c>
      <c r="B1417" t="s">
        <v>982</v>
      </c>
      <c r="C1417">
        <v>6</v>
      </c>
      <c r="D1417" t="s">
        <v>11</v>
      </c>
      <c r="E1417" t="s">
        <v>95</v>
      </c>
      <c r="F1417" t="s">
        <v>111</v>
      </c>
      <c r="G1417" t="s">
        <v>113</v>
      </c>
      <c r="H1417" t="s">
        <v>103</v>
      </c>
      <c r="J1417">
        <v>0</v>
      </c>
      <c r="K1417">
        <v>1</v>
      </c>
      <c r="L1417">
        <v>94.97142857</v>
      </c>
      <c r="M1417">
        <v>24.31591813</v>
      </c>
      <c r="N1417">
        <v>0.122951111</v>
      </c>
      <c r="O1417">
        <v>98.291666669999998</v>
      </c>
      <c r="P1417">
        <v>30.315130790000001</v>
      </c>
      <c r="Q1417">
        <v>5.0803484000000003E-2</v>
      </c>
      <c r="R1417" t="s">
        <v>1017</v>
      </c>
      <c r="S1417">
        <v>5.9992126600000013</v>
      </c>
    </row>
    <row r="1418" spans="1:19" x14ac:dyDescent="0.25">
      <c r="A1418" t="s">
        <v>80</v>
      </c>
      <c r="B1418" t="s">
        <v>983</v>
      </c>
      <c r="C1418">
        <v>6</v>
      </c>
      <c r="D1418" t="s">
        <v>15</v>
      </c>
      <c r="E1418" t="s">
        <v>95</v>
      </c>
      <c r="F1418" t="s">
        <v>105</v>
      </c>
      <c r="G1418" t="s">
        <v>121</v>
      </c>
      <c r="H1418" t="s">
        <v>113</v>
      </c>
      <c r="J1418">
        <v>0</v>
      </c>
      <c r="K1418">
        <v>1</v>
      </c>
      <c r="L1418">
        <v>67.5</v>
      </c>
      <c r="M1418">
        <v>47.937235809999997</v>
      </c>
      <c r="N1418">
        <v>0.41599678000000001</v>
      </c>
      <c r="O1418">
        <v>83.757575759999995</v>
      </c>
      <c r="P1418">
        <v>22.60997987</v>
      </c>
      <c r="Q1418">
        <v>0.72884000000000004</v>
      </c>
      <c r="R1418" t="s">
        <v>1017</v>
      </c>
      <c r="S1418">
        <v>25.327255939999997</v>
      </c>
    </row>
    <row r="1419" spans="1:19" x14ac:dyDescent="0.25">
      <c r="A1419" t="s">
        <v>80</v>
      </c>
      <c r="B1419" t="s">
        <v>983</v>
      </c>
      <c r="C1419">
        <v>6</v>
      </c>
      <c r="D1419" t="s">
        <v>15</v>
      </c>
      <c r="E1419" t="s">
        <v>95</v>
      </c>
      <c r="F1419" t="s">
        <v>105</v>
      </c>
      <c r="G1419" t="s">
        <v>121</v>
      </c>
      <c r="H1419" t="s">
        <v>103</v>
      </c>
      <c r="J1419">
        <v>0</v>
      </c>
      <c r="K1419">
        <v>9</v>
      </c>
      <c r="L1419">
        <v>67.5</v>
      </c>
      <c r="M1419">
        <v>47.937235809999997</v>
      </c>
      <c r="N1419">
        <v>0.41599678000000001</v>
      </c>
      <c r="O1419">
        <v>98.291666669999998</v>
      </c>
      <c r="P1419">
        <v>30.315130790000001</v>
      </c>
      <c r="Q1419">
        <v>5.0803484000000003E-2</v>
      </c>
      <c r="R1419" t="s">
        <v>1017</v>
      </c>
      <c r="S1419">
        <v>17.622105019999996</v>
      </c>
    </row>
    <row r="1420" spans="1:19" x14ac:dyDescent="0.25">
      <c r="A1420" t="s">
        <v>80</v>
      </c>
      <c r="B1420" t="s">
        <v>984</v>
      </c>
      <c r="C1420">
        <v>6</v>
      </c>
      <c r="D1420" t="s">
        <v>15</v>
      </c>
      <c r="E1420" t="s">
        <v>95</v>
      </c>
      <c r="F1420" t="s">
        <v>113</v>
      </c>
      <c r="G1420" t="s">
        <v>113</v>
      </c>
      <c r="H1420" t="s">
        <v>113</v>
      </c>
      <c r="J1420">
        <v>0</v>
      </c>
      <c r="K1420">
        <v>6</v>
      </c>
      <c r="L1420">
        <v>83.757575759999995</v>
      </c>
      <c r="M1420">
        <v>22.60997987</v>
      </c>
      <c r="N1420">
        <v>0.72884000000000004</v>
      </c>
      <c r="O1420">
        <v>83.757575759999995</v>
      </c>
      <c r="P1420">
        <v>22.60997987</v>
      </c>
      <c r="Q1420">
        <v>0.72884000000000004</v>
      </c>
      <c r="R1420" t="s">
        <v>1017</v>
      </c>
      <c r="S1420">
        <v>0</v>
      </c>
    </row>
    <row r="1421" spans="1:19" x14ac:dyDescent="0.25">
      <c r="A1421" t="s">
        <v>80</v>
      </c>
      <c r="B1421" t="s">
        <v>985</v>
      </c>
      <c r="C1421">
        <v>6</v>
      </c>
      <c r="D1421" t="s">
        <v>15</v>
      </c>
      <c r="E1421" t="s">
        <v>95</v>
      </c>
      <c r="F1421" t="s">
        <v>103</v>
      </c>
      <c r="G1421" t="s">
        <v>113</v>
      </c>
      <c r="H1421" t="s">
        <v>113</v>
      </c>
      <c r="J1421">
        <v>0</v>
      </c>
      <c r="K1421">
        <v>1</v>
      </c>
      <c r="L1421">
        <v>98.291666669999998</v>
      </c>
      <c r="M1421">
        <v>30.315130790000001</v>
      </c>
      <c r="N1421">
        <v>5.0803484000000003E-2</v>
      </c>
      <c r="O1421">
        <v>83.757575759999995</v>
      </c>
      <c r="P1421">
        <v>22.60997987</v>
      </c>
      <c r="Q1421">
        <v>0.72884000000000004</v>
      </c>
      <c r="R1421" t="s">
        <v>1017</v>
      </c>
      <c r="S1421">
        <v>7.7051509200000012</v>
      </c>
    </row>
    <row r="1422" spans="1:19" x14ac:dyDescent="0.25">
      <c r="A1422" t="s">
        <v>80</v>
      </c>
      <c r="B1422" t="s">
        <v>985</v>
      </c>
      <c r="C1422">
        <v>6</v>
      </c>
      <c r="D1422" t="s">
        <v>15</v>
      </c>
      <c r="E1422" t="s">
        <v>95</v>
      </c>
      <c r="F1422" t="s">
        <v>103</v>
      </c>
      <c r="G1422" t="s">
        <v>113</v>
      </c>
      <c r="H1422" t="s">
        <v>103</v>
      </c>
      <c r="J1422">
        <v>0</v>
      </c>
      <c r="K1422">
        <v>2</v>
      </c>
      <c r="L1422">
        <v>98.291666669999998</v>
      </c>
      <c r="M1422">
        <v>30.315130790000001</v>
      </c>
      <c r="N1422">
        <v>5.0803484000000003E-2</v>
      </c>
      <c r="O1422">
        <v>98.291666669999998</v>
      </c>
      <c r="P1422">
        <v>30.315130790000001</v>
      </c>
      <c r="Q1422">
        <v>5.0803484000000003E-2</v>
      </c>
      <c r="R1422" t="s">
        <v>1017</v>
      </c>
      <c r="S1422">
        <v>0</v>
      </c>
    </row>
    <row r="1423" spans="1:19" x14ac:dyDescent="0.25">
      <c r="A1423" t="s">
        <v>81</v>
      </c>
      <c r="B1423" t="s">
        <v>986</v>
      </c>
      <c r="C1423">
        <v>6</v>
      </c>
      <c r="D1423" t="s">
        <v>17</v>
      </c>
      <c r="E1423" t="s">
        <v>94</v>
      </c>
      <c r="F1423" t="s">
        <v>105</v>
      </c>
      <c r="G1423" t="s">
        <v>113</v>
      </c>
      <c r="H1423" t="s">
        <v>113</v>
      </c>
      <c r="J1423">
        <v>0</v>
      </c>
      <c r="K1423">
        <v>6</v>
      </c>
      <c r="L1423">
        <v>67.5</v>
      </c>
      <c r="M1423">
        <v>47.937235809999997</v>
      </c>
      <c r="N1423">
        <v>0.41599678000000001</v>
      </c>
      <c r="O1423">
        <v>83.757575759999995</v>
      </c>
      <c r="P1423">
        <v>22.60997987</v>
      </c>
      <c r="Q1423">
        <v>0.72884000000000004</v>
      </c>
      <c r="R1423" t="s">
        <v>1017</v>
      </c>
      <c r="S1423">
        <v>25.327255939999997</v>
      </c>
    </row>
    <row r="1424" spans="1:19" x14ac:dyDescent="0.25">
      <c r="A1424" t="s">
        <v>81</v>
      </c>
      <c r="B1424" t="s">
        <v>987</v>
      </c>
      <c r="C1424">
        <v>6</v>
      </c>
      <c r="D1424" t="s">
        <v>17</v>
      </c>
      <c r="E1424" t="s">
        <v>94</v>
      </c>
      <c r="F1424" t="s">
        <v>113</v>
      </c>
      <c r="G1424" t="s">
        <v>113</v>
      </c>
      <c r="H1424" t="s">
        <v>113</v>
      </c>
      <c r="J1424">
        <v>0</v>
      </c>
      <c r="K1424">
        <v>6</v>
      </c>
      <c r="L1424">
        <v>83.757575759999995</v>
      </c>
      <c r="M1424">
        <v>22.60997987</v>
      </c>
      <c r="N1424">
        <v>0.72884000000000004</v>
      </c>
      <c r="O1424">
        <v>83.757575759999995</v>
      </c>
      <c r="P1424">
        <v>22.60997987</v>
      </c>
      <c r="Q1424">
        <v>0.72884000000000004</v>
      </c>
      <c r="R1424" t="s">
        <v>1017</v>
      </c>
      <c r="S1424">
        <v>0</v>
      </c>
    </row>
    <row r="1425" spans="1:19" x14ac:dyDescent="0.25">
      <c r="A1425" t="s">
        <v>81</v>
      </c>
      <c r="B1425" t="s">
        <v>988</v>
      </c>
      <c r="C1425">
        <v>6</v>
      </c>
      <c r="D1425" t="s">
        <v>17</v>
      </c>
      <c r="E1425" t="s">
        <v>94</v>
      </c>
      <c r="F1425" t="s">
        <v>103</v>
      </c>
      <c r="G1425" t="s">
        <v>113</v>
      </c>
      <c r="H1425" t="s">
        <v>113</v>
      </c>
      <c r="J1425">
        <v>0</v>
      </c>
      <c r="K1425">
        <v>5</v>
      </c>
      <c r="L1425">
        <v>98.291666669999998</v>
      </c>
      <c r="M1425">
        <v>30.315130790000001</v>
      </c>
      <c r="N1425">
        <v>5.0803484000000003E-2</v>
      </c>
      <c r="O1425">
        <v>83.757575759999995</v>
      </c>
      <c r="P1425">
        <v>22.60997987</v>
      </c>
      <c r="Q1425">
        <v>0.72884000000000004</v>
      </c>
      <c r="R1425" t="s">
        <v>1017</v>
      </c>
      <c r="S1425">
        <v>7.7051509200000012</v>
      </c>
    </row>
    <row r="1426" spans="1:19" x14ac:dyDescent="0.25">
      <c r="A1426" t="s">
        <v>81</v>
      </c>
      <c r="B1426" t="s">
        <v>988</v>
      </c>
      <c r="C1426">
        <v>6</v>
      </c>
      <c r="D1426" t="s">
        <v>17</v>
      </c>
      <c r="E1426" t="s">
        <v>94</v>
      </c>
      <c r="F1426" t="s">
        <v>103</v>
      </c>
      <c r="G1426" t="s">
        <v>113</v>
      </c>
      <c r="H1426" t="s">
        <v>103</v>
      </c>
      <c r="J1426">
        <v>0</v>
      </c>
      <c r="K1426">
        <v>1</v>
      </c>
      <c r="L1426">
        <v>98.291666669999998</v>
      </c>
      <c r="M1426">
        <v>30.315130790000001</v>
      </c>
      <c r="N1426">
        <v>5.0803484000000003E-2</v>
      </c>
      <c r="O1426">
        <v>98.291666669999998</v>
      </c>
      <c r="P1426">
        <v>30.315130790000001</v>
      </c>
      <c r="Q1426">
        <v>5.0803484000000003E-2</v>
      </c>
      <c r="R1426" t="s">
        <v>1017</v>
      </c>
      <c r="S1426">
        <v>0</v>
      </c>
    </row>
    <row r="1427" spans="1:19" x14ac:dyDescent="0.25">
      <c r="A1427" t="s">
        <v>82</v>
      </c>
      <c r="B1427" t="s">
        <v>989</v>
      </c>
      <c r="C1427">
        <v>6</v>
      </c>
      <c r="D1427" t="s">
        <v>19</v>
      </c>
      <c r="E1427" t="s">
        <v>94</v>
      </c>
      <c r="F1427" t="s">
        <v>102</v>
      </c>
      <c r="G1427" t="s">
        <v>102</v>
      </c>
      <c r="H1427" t="s">
        <v>102</v>
      </c>
      <c r="J1427">
        <v>0</v>
      </c>
      <c r="K1427">
        <v>1</v>
      </c>
      <c r="L1427">
        <v>84.740740740000007</v>
      </c>
      <c r="M1427">
        <v>29.167014049999999</v>
      </c>
      <c r="N1427">
        <v>1.1169849999999999</v>
      </c>
      <c r="O1427">
        <v>84.740740740000007</v>
      </c>
      <c r="P1427">
        <v>29.167014049999999</v>
      </c>
      <c r="Q1427">
        <v>1.1169849999999999</v>
      </c>
      <c r="R1427" t="s">
        <v>1017</v>
      </c>
      <c r="S1427">
        <v>0</v>
      </c>
    </row>
    <row r="1428" spans="1:19" x14ac:dyDescent="0.25">
      <c r="A1428" t="s">
        <v>82</v>
      </c>
      <c r="B1428" t="s">
        <v>990</v>
      </c>
      <c r="C1428">
        <v>6</v>
      </c>
      <c r="D1428" t="s">
        <v>19</v>
      </c>
      <c r="E1428" t="s">
        <v>94</v>
      </c>
      <c r="F1428" t="s">
        <v>113</v>
      </c>
      <c r="G1428" t="s">
        <v>113</v>
      </c>
      <c r="H1428" t="s">
        <v>113</v>
      </c>
      <c r="J1428">
        <v>0</v>
      </c>
      <c r="K1428">
        <v>4</v>
      </c>
      <c r="L1428">
        <v>83.757575759999995</v>
      </c>
      <c r="M1428">
        <v>22.60997987</v>
      </c>
      <c r="N1428">
        <v>0.72884000000000004</v>
      </c>
      <c r="O1428">
        <v>83.757575759999995</v>
      </c>
      <c r="P1428">
        <v>22.60997987</v>
      </c>
      <c r="Q1428">
        <v>0.72884000000000004</v>
      </c>
      <c r="R1428" t="s">
        <v>1017</v>
      </c>
      <c r="S1428">
        <v>0</v>
      </c>
    </row>
    <row r="1429" spans="1:19" x14ac:dyDescent="0.25">
      <c r="A1429" t="s">
        <v>82</v>
      </c>
      <c r="B1429" t="s">
        <v>990</v>
      </c>
      <c r="C1429">
        <v>6</v>
      </c>
      <c r="D1429" t="s">
        <v>19</v>
      </c>
      <c r="E1429" t="s">
        <v>94</v>
      </c>
      <c r="F1429" t="s">
        <v>113</v>
      </c>
      <c r="G1429" t="s">
        <v>113</v>
      </c>
      <c r="H1429" t="s">
        <v>241</v>
      </c>
      <c r="J1429">
        <v>0</v>
      </c>
      <c r="K1429">
        <v>1</v>
      </c>
      <c r="L1429">
        <v>83.757575759999995</v>
      </c>
      <c r="M1429">
        <v>22.60997987</v>
      </c>
      <c r="N1429">
        <v>0.72884000000000004</v>
      </c>
      <c r="O1429">
        <v>114</v>
      </c>
      <c r="P1429">
        <v>30.43077242</v>
      </c>
      <c r="Q1429">
        <v>0.53383111100000002</v>
      </c>
      <c r="R1429" t="s">
        <v>1017</v>
      </c>
      <c r="S1429">
        <v>7.8207925500000002</v>
      </c>
    </row>
    <row r="1430" spans="1:19" x14ac:dyDescent="0.25">
      <c r="A1430" t="s">
        <v>82</v>
      </c>
      <c r="B1430" t="s">
        <v>990</v>
      </c>
      <c r="C1430">
        <v>6</v>
      </c>
      <c r="D1430" t="s">
        <v>19</v>
      </c>
      <c r="E1430" t="s">
        <v>94</v>
      </c>
      <c r="F1430" t="s">
        <v>113</v>
      </c>
      <c r="G1430" t="s">
        <v>113</v>
      </c>
      <c r="H1430" t="s">
        <v>808</v>
      </c>
      <c r="J1430">
        <v>0</v>
      </c>
      <c r="K1430">
        <v>1</v>
      </c>
      <c r="L1430">
        <v>83.757575759999995</v>
      </c>
      <c r="M1430">
        <v>22.60997987</v>
      </c>
      <c r="N1430">
        <v>0.72884000000000004</v>
      </c>
      <c r="O1430">
        <v>102.79166669999999</v>
      </c>
      <c r="P1430">
        <v>27.057373470000002</v>
      </c>
      <c r="Q1430">
        <v>6.3567849939999999</v>
      </c>
      <c r="R1430" t="s">
        <v>1017</v>
      </c>
      <c r="S1430">
        <v>4.4473936000000016</v>
      </c>
    </row>
    <row r="1431" spans="1:19" x14ac:dyDescent="0.25">
      <c r="A1431" t="s">
        <v>82</v>
      </c>
      <c r="B1431" t="s">
        <v>990</v>
      </c>
      <c r="C1431">
        <v>6</v>
      </c>
      <c r="D1431" t="s">
        <v>19</v>
      </c>
      <c r="E1431" t="s">
        <v>94</v>
      </c>
      <c r="F1431" t="s">
        <v>113</v>
      </c>
      <c r="G1431" t="s">
        <v>113</v>
      </c>
      <c r="H1431" t="s">
        <v>103</v>
      </c>
      <c r="J1431">
        <v>0</v>
      </c>
      <c r="K1431">
        <v>1</v>
      </c>
      <c r="L1431">
        <v>83.757575759999995</v>
      </c>
      <c r="M1431">
        <v>22.60997987</v>
      </c>
      <c r="N1431">
        <v>0.72884000000000004</v>
      </c>
      <c r="O1431">
        <v>98.291666669999998</v>
      </c>
      <c r="P1431">
        <v>30.315130790000001</v>
      </c>
      <c r="Q1431">
        <v>5.0803484000000003E-2</v>
      </c>
      <c r="R1431" t="s">
        <v>1017</v>
      </c>
      <c r="S1431">
        <v>7.7051509200000012</v>
      </c>
    </row>
    <row r="1432" spans="1:19" x14ac:dyDescent="0.25">
      <c r="A1432" t="s">
        <v>82</v>
      </c>
      <c r="B1432" t="s">
        <v>991</v>
      </c>
      <c r="C1432">
        <v>6</v>
      </c>
      <c r="D1432" t="s">
        <v>19</v>
      </c>
      <c r="E1432" t="s">
        <v>94</v>
      </c>
      <c r="F1432" t="s">
        <v>104</v>
      </c>
      <c r="G1432" t="s">
        <v>113</v>
      </c>
      <c r="H1432" t="s">
        <v>113</v>
      </c>
      <c r="J1432">
        <v>0</v>
      </c>
      <c r="K1432">
        <v>3</v>
      </c>
      <c r="L1432">
        <v>113.9375</v>
      </c>
      <c r="M1432">
        <v>33.375507550000002</v>
      </c>
      <c r="N1432">
        <v>2.4262999999999999</v>
      </c>
      <c r="O1432">
        <v>83.757575759999995</v>
      </c>
      <c r="P1432">
        <v>22.60997987</v>
      </c>
      <c r="Q1432">
        <v>0.72884000000000004</v>
      </c>
      <c r="R1432" t="s">
        <v>1017</v>
      </c>
      <c r="S1432">
        <v>10.765527680000002</v>
      </c>
    </row>
    <row r="1433" spans="1:19" x14ac:dyDescent="0.25">
      <c r="A1433" t="s">
        <v>83</v>
      </c>
      <c r="B1433" t="s">
        <v>992</v>
      </c>
      <c r="C1433">
        <v>6</v>
      </c>
      <c r="D1433" t="s">
        <v>21</v>
      </c>
      <c r="E1433" t="s">
        <v>94</v>
      </c>
      <c r="F1433" t="s">
        <v>102</v>
      </c>
      <c r="G1433" t="s">
        <v>121</v>
      </c>
      <c r="H1433" t="s">
        <v>114</v>
      </c>
      <c r="J1433">
        <v>0</v>
      </c>
      <c r="K1433">
        <v>0</v>
      </c>
      <c r="L1433">
        <v>84.740740740000007</v>
      </c>
      <c r="M1433">
        <v>29.167014049999999</v>
      </c>
      <c r="N1433">
        <v>1.1169849999999999</v>
      </c>
      <c r="O1433" t="s">
        <v>114</v>
      </c>
      <c r="P1433" t="s">
        <v>114</v>
      </c>
      <c r="Q1433" t="s">
        <v>114</v>
      </c>
      <c r="R1433" t="s">
        <v>1017</v>
      </c>
      <c r="S1433" t="s">
        <v>114</v>
      </c>
    </row>
    <row r="1434" spans="1:19" x14ac:dyDescent="0.25">
      <c r="A1434" t="s">
        <v>83</v>
      </c>
      <c r="B1434" t="s">
        <v>993</v>
      </c>
      <c r="C1434">
        <v>6</v>
      </c>
      <c r="D1434" t="s">
        <v>21</v>
      </c>
      <c r="E1434" t="s">
        <v>94</v>
      </c>
      <c r="F1434" t="s">
        <v>103</v>
      </c>
      <c r="G1434" t="s">
        <v>103</v>
      </c>
      <c r="H1434" t="s">
        <v>103</v>
      </c>
      <c r="J1434">
        <v>0</v>
      </c>
      <c r="K1434">
        <v>2</v>
      </c>
      <c r="L1434">
        <v>98.291666669999998</v>
      </c>
      <c r="M1434">
        <v>30.315130790000001</v>
      </c>
      <c r="N1434">
        <v>5.0803484000000003E-2</v>
      </c>
      <c r="O1434">
        <v>98.291666669999998</v>
      </c>
      <c r="P1434">
        <v>30.315130790000001</v>
      </c>
      <c r="Q1434">
        <v>5.0803484000000003E-2</v>
      </c>
      <c r="R1434" t="s">
        <v>1017</v>
      </c>
      <c r="S1434">
        <v>0</v>
      </c>
    </row>
    <row r="1435" spans="1:19" x14ac:dyDescent="0.25">
      <c r="A1435" t="s">
        <v>83</v>
      </c>
      <c r="B1435" t="s">
        <v>993</v>
      </c>
      <c r="C1435">
        <v>6</v>
      </c>
      <c r="D1435" t="s">
        <v>21</v>
      </c>
      <c r="E1435" t="s">
        <v>94</v>
      </c>
      <c r="F1435" t="s">
        <v>103</v>
      </c>
      <c r="G1435" t="s">
        <v>103</v>
      </c>
      <c r="H1435" t="s">
        <v>246</v>
      </c>
      <c r="J1435">
        <v>0</v>
      </c>
      <c r="K1435">
        <v>1</v>
      </c>
      <c r="L1435">
        <v>98.291666669999998</v>
      </c>
      <c r="M1435">
        <v>30.315130790000001</v>
      </c>
      <c r="N1435">
        <v>5.0803484000000003E-2</v>
      </c>
      <c r="O1435">
        <v>120.25</v>
      </c>
      <c r="P1435">
        <v>30.670450110000001</v>
      </c>
      <c r="Q1435">
        <v>0.91037498500000003</v>
      </c>
      <c r="R1435" t="s">
        <v>1017</v>
      </c>
      <c r="S1435">
        <v>0.35531931999999955</v>
      </c>
    </row>
    <row r="1436" spans="1:19" x14ac:dyDescent="0.25">
      <c r="A1436" t="s">
        <v>83</v>
      </c>
      <c r="B1436" t="s">
        <v>993</v>
      </c>
      <c r="C1436">
        <v>6</v>
      </c>
      <c r="D1436" t="s">
        <v>21</v>
      </c>
      <c r="E1436" t="s">
        <v>94</v>
      </c>
      <c r="F1436" t="s">
        <v>103</v>
      </c>
      <c r="G1436" t="s">
        <v>103</v>
      </c>
      <c r="H1436" t="s">
        <v>239</v>
      </c>
      <c r="J1436">
        <v>0</v>
      </c>
      <c r="K1436">
        <v>1</v>
      </c>
      <c r="L1436">
        <v>98.291666669999998</v>
      </c>
      <c r="M1436">
        <v>30.315130790000001</v>
      </c>
      <c r="N1436">
        <v>5.0803484000000003E-2</v>
      </c>
      <c r="O1436">
        <v>100.45454549999999</v>
      </c>
      <c r="P1436">
        <v>26.754810689999999</v>
      </c>
      <c r="Q1436">
        <v>0.75829999999999997</v>
      </c>
      <c r="R1436" t="s">
        <v>1017</v>
      </c>
      <c r="S1436">
        <v>3.560320100000002</v>
      </c>
    </row>
    <row r="1437" spans="1:19" x14ac:dyDescent="0.25">
      <c r="A1437" t="s">
        <v>83</v>
      </c>
      <c r="B1437" t="s">
        <v>994</v>
      </c>
      <c r="C1437">
        <v>6</v>
      </c>
      <c r="D1437" t="s">
        <v>21</v>
      </c>
      <c r="E1437" t="s">
        <v>94</v>
      </c>
      <c r="F1437" t="s">
        <v>111</v>
      </c>
      <c r="G1437" t="s">
        <v>121</v>
      </c>
      <c r="H1437" t="s">
        <v>114</v>
      </c>
      <c r="J1437">
        <v>0</v>
      </c>
      <c r="K1437">
        <v>0</v>
      </c>
      <c r="L1437">
        <v>94.97142857</v>
      </c>
      <c r="M1437">
        <v>24.31591813</v>
      </c>
      <c r="N1437">
        <v>0.122951111</v>
      </c>
      <c r="O1437" t="s">
        <v>114</v>
      </c>
      <c r="P1437" t="s">
        <v>114</v>
      </c>
      <c r="Q1437" t="s">
        <v>114</v>
      </c>
      <c r="R1437" t="s">
        <v>1017</v>
      </c>
      <c r="S1437" t="s">
        <v>114</v>
      </c>
    </row>
    <row r="1438" spans="1:19" x14ac:dyDescent="0.25">
      <c r="A1438" t="s">
        <v>84</v>
      </c>
      <c r="B1438" t="s">
        <v>995</v>
      </c>
      <c r="C1438">
        <v>6</v>
      </c>
      <c r="D1438" t="s">
        <v>23</v>
      </c>
      <c r="E1438" t="s">
        <v>95</v>
      </c>
      <c r="F1438" t="s">
        <v>102</v>
      </c>
      <c r="G1438" t="s">
        <v>121</v>
      </c>
      <c r="H1438" t="s">
        <v>254</v>
      </c>
      <c r="J1438">
        <v>0</v>
      </c>
      <c r="K1438">
        <v>3</v>
      </c>
      <c r="L1438">
        <v>84.740740740000007</v>
      </c>
      <c r="M1438">
        <v>29.167014049999999</v>
      </c>
      <c r="N1438">
        <v>1.1169849999999999</v>
      </c>
      <c r="O1438" t="s">
        <v>114</v>
      </c>
      <c r="P1438" t="s">
        <v>114</v>
      </c>
      <c r="Q1438" t="s">
        <v>114</v>
      </c>
      <c r="R1438" t="s">
        <v>1017</v>
      </c>
      <c r="S1438" t="s">
        <v>114</v>
      </c>
    </row>
    <row r="1439" spans="1:19" x14ac:dyDescent="0.25">
      <c r="A1439" t="s">
        <v>84</v>
      </c>
      <c r="B1439" t="s">
        <v>995</v>
      </c>
      <c r="C1439">
        <v>6</v>
      </c>
      <c r="D1439" t="s">
        <v>23</v>
      </c>
      <c r="E1439" t="s">
        <v>95</v>
      </c>
      <c r="F1439" t="s">
        <v>102</v>
      </c>
      <c r="G1439" t="s">
        <v>121</v>
      </c>
      <c r="H1439" t="s">
        <v>248</v>
      </c>
      <c r="J1439">
        <v>0</v>
      </c>
      <c r="K1439">
        <v>1</v>
      </c>
      <c r="L1439">
        <v>84.740740740000007</v>
      </c>
      <c r="M1439">
        <v>29.167014049999999</v>
      </c>
      <c r="N1439">
        <v>1.1169849999999999</v>
      </c>
      <c r="O1439">
        <v>83.92307692</v>
      </c>
      <c r="P1439">
        <v>44.319135699999997</v>
      </c>
      <c r="Q1439">
        <v>5.9548609999999997E-3</v>
      </c>
      <c r="R1439" t="s">
        <v>1017</v>
      </c>
      <c r="S1439">
        <v>15.152121649999998</v>
      </c>
    </row>
    <row r="1440" spans="1:19" x14ac:dyDescent="0.25">
      <c r="A1440" t="s">
        <v>84</v>
      </c>
      <c r="B1440" t="s">
        <v>995</v>
      </c>
      <c r="C1440">
        <v>6</v>
      </c>
      <c r="D1440" t="s">
        <v>23</v>
      </c>
      <c r="E1440" t="s">
        <v>95</v>
      </c>
      <c r="F1440" t="s">
        <v>102</v>
      </c>
      <c r="G1440" t="s">
        <v>121</v>
      </c>
      <c r="H1440" t="s">
        <v>233</v>
      </c>
      <c r="J1440">
        <v>0</v>
      </c>
      <c r="K1440">
        <v>1</v>
      </c>
      <c r="L1440">
        <v>84.740740740000007</v>
      </c>
      <c r="M1440">
        <v>29.167014049999999</v>
      </c>
      <c r="N1440">
        <v>1.1169849999999999</v>
      </c>
      <c r="O1440">
        <v>106.0540541</v>
      </c>
      <c r="P1440">
        <v>52.690533369999997</v>
      </c>
      <c r="Q1440">
        <v>7.6058968000000005E-2</v>
      </c>
      <c r="R1440" t="s">
        <v>1017</v>
      </c>
      <c r="S1440">
        <v>23.523519319999998</v>
      </c>
    </row>
    <row r="1441" spans="1:19" x14ac:dyDescent="0.25">
      <c r="A1441" t="s">
        <v>84</v>
      </c>
      <c r="B1441" t="s">
        <v>995</v>
      </c>
      <c r="C1441">
        <v>6</v>
      </c>
      <c r="D1441" t="s">
        <v>23</v>
      </c>
      <c r="E1441" t="s">
        <v>95</v>
      </c>
      <c r="F1441" t="s">
        <v>102</v>
      </c>
      <c r="G1441" t="s">
        <v>121</v>
      </c>
      <c r="H1441" t="s">
        <v>103</v>
      </c>
      <c r="J1441">
        <v>0</v>
      </c>
      <c r="K1441">
        <v>5</v>
      </c>
      <c r="L1441">
        <v>84.740740740000007</v>
      </c>
      <c r="M1441">
        <v>29.167014049999999</v>
      </c>
      <c r="N1441">
        <v>1.1169849999999999</v>
      </c>
      <c r="O1441">
        <v>98.291666669999998</v>
      </c>
      <c r="P1441">
        <v>30.315130790000001</v>
      </c>
      <c r="Q1441">
        <v>5.0803484000000003E-2</v>
      </c>
      <c r="R1441" t="s">
        <v>1017</v>
      </c>
      <c r="S1441">
        <v>1.1481167400000025</v>
      </c>
    </row>
    <row r="1442" spans="1:19" x14ac:dyDescent="0.25">
      <c r="A1442" t="s">
        <v>84</v>
      </c>
      <c r="B1442" t="s">
        <v>996</v>
      </c>
      <c r="C1442">
        <v>6</v>
      </c>
      <c r="D1442" t="s">
        <v>23</v>
      </c>
      <c r="E1442" t="s">
        <v>95</v>
      </c>
      <c r="F1442" t="s">
        <v>105</v>
      </c>
      <c r="G1442" t="s">
        <v>103</v>
      </c>
      <c r="H1442" t="s">
        <v>114</v>
      </c>
      <c r="J1442">
        <v>0</v>
      </c>
      <c r="K1442" t="s">
        <v>114</v>
      </c>
      <c r="L1442">
        <v>67.5</v>
      </c>
      <c r="M1442">
        <v>47.937235809999997</v>
      </c>
      <c r="N1442">
        <v>0.41599678000000001</v>
      </c>
      <c r="O1442" t="s">
        <v>114</v>
      </c>
      <c r="P1442" t="s">
        <v>114</v>
      </c>
      <c r="Q1442" t="s">
        <v>114</v>
      </c>
      <c r="R1442" t="s">
        <v>1017</v>
      </c>
      <c r="S1442" t="s">
        <v>114</v>
      </c>
    </row>
    <row r="1443" spans="1:19" x14ac:dyDescent="0.25">
      <c r="A1443" t="s">
        <v>84</v>
      </c>
      <c r="B1443" t="s">
        <v>997</v>
      </c>
      <c r="C1443">
        <v>6</v>
      </c>
      <c r="D1443" t="s">
        <v>23</v>
      </c>
      <c r="E1443" t="s">
        <v>95</v>
      </c>
      <c r="F1443" t="s">
        <v>111</v>
      </c>
      <c r="G1443" t="s">
        <v>103</v>
      </c>
      <c r="H1443" t="s">
        <v>103</v>
      </c>
      <c r="J1443">
        <v>0</v>
      </c>
      <c r="K1443">
        <v>2</v>
      </c>
      <c r="L1443">
        <v>94.97142857</v>
      </c>
      <c r="M1443">
        <v>24.31591813</v>
      </c>
      <c r="N1443">
        <v>0.122951111</v>
      </c>
      <c r="O1443">
        <v>98.291666669999998</v>
      </c>
      <c r="P1443">
        <v>30.315130790000001</v>
      </c>
      <c r="Q1443">
        <v>5.0803484000000003E-2</v>
      </c>
      <c r="R1443" t="s">
        <v>1017</v>
      </c>
      <c r="S1443">
        <v>5.9992126600000013</v>
      </c>
    </row>
    <row r="1444" spans="1:19" x14ac:dyDescent="0.25">
      <c r="A1444" t="s">
        <v>84</v>
      </c>
      <c r="B1444" t="s">
        <v>997</v>
      </c>
      <c r="C1444">
        <v>6</v>
      </c>
      <c r="D1444" t="s">
        <v>23</v>
      </c>
      <c r="E1444" t="s">
        <v>95</v>
      </c>
      <c r="F1444" t="s">
        <v>111</v>
      </c>
      <c r="G1444" t="s">
        <v>103</v>
      </c>
      <c r="H1444" t="s">
        <v>247</v>
      </c>
      <c r="J1444">
        <v>0</v>
      </c>
      <c r="K1444">
        <v>1</v>
      </c>
      <c r="L1444">
        <v>94.97142857</v>
      </c>
      <c r="M1444">
        <v>24.31591813</v>
      </c>
      <c r="N1444">
        <v>0.122951111</v>
      </c>
      <c r="O1444">
        <v>65.791044779999993</v>
      </c>
      <c r="P1444">
        <v>22.94519201</v>
      </c>
      <c r="Q1444">
        <v>8.1320334999999994E-2</v>
      </c>
      <c r="R1444" t="s">
        <v>1017</v>
      </c>
      <c r="S1444">
        <v>1.3707261200000005</v>
      </c>
    </row>
    <row r="1445" spans="1:19" x14ac:dyDescent="0.25">
      <c r="A1445" t="s">
        <v>84</v>
      </c>
      <c r="B1445" t="s">
        <v>997</v>
      </c>
      <c r="C1445">
        <v>6</v>
      </c>
      <c r="D1445" t="s">
        <v>23</v>
      </c>
      <c r="E1445" t="s">
        <v>95</v>
      </c>
      <c r="F1445" t="s">
        <v>111</v>
      </c>
      <c r="G1445" t="s">
        <v>103</v>
      </c>
      <c r="H1445" t="s">
        <v>233</v>
      </c>
      <c r="J1445">
        <v>0</v>
      </c>
      <c r="K1445">
        <v>1</v>
      </c>
      <c r="L1445">
        <v>94.97142857</v>
      </c>
      <c r="M1445">
        <v>24.31591813</v>
      </c>
      <c r="N1445">
        <v>0.122951111</v>
      </c>
      <c r="O1445">
        <v>106.0540541</v>
      </c>
      <c r="P1445">
        <v>52.690533369999997</v>
      </c>
      <c r="Q1445">
        <v>7.6058968000000005E-2</v>
      </c>
      <c r="R1445" t="s">
        <v>1017</v>
      </c>
      <c r="S1445">
        <v>28.374615239999997</v>
      </c>
    </row>
    <row r="1446" spans="1:19" x14ac:dyDescent="0.25">
      <c r="A1446" t="s">
        <v>84</v>
      </c>
      <c r="B1446" t="s">
        <v>997</v>
      </c>
      <c r="C1446">
        <v>6</v>
      </c>
      <c r="D1446" t="s">
        <v>23</v>
      </c>
      <c r="E1446" t="s">
        <v>95</v>
      </c>
      <c r="F1446" t="s">
        <v>111</v>
      </c>
      <c r="G1446" t="s">
        <v>103</v>
      </c>
      <c r="H1446" t="s">
        <v>808</v>
      </c>
      <c r="J1446">
        <v>0</v>
      </c>
      <c r="K1446">
        <v>1</v>
      </c>
      <c r="L1446">
        <v>94.97142857</v>
      </c>
      <c r="M1446">
        <v>24.31591813</v>
      </c>
      <c r="N1446">
        <v>0.122951111</v>
      </c>
      <c r="O1446">
        <v>102.79166669999999</v>
      </c>
      <c r="P1446">
        <v>27.057373470000002</v>
      </c>
      <c r="Q1446">
        <v>6.3567849939999999</v>
      </c>
      <c r="R1446" t="s">
        <v>1017</v>
      </c>
      <c r="S1446">
        <v>2.7414553400000017</v>
      </c>
    </row>
    <row r="1447" spans="1:19" x14ac:dyDescent="0.25">
      <c r="A1447" t="s">
        <v>84</v>
      </c>
      <c r="B1447" t="s">
        <v>998</v>
      </c>
      <c r="C1447">
        <v>6</v>
      </c>
      <c r="D1447" t="s">
        <v>23</v>
      </c>
      <c r="E1447" t="s">
        <v>95</v>
      </c>
      <c r="F1447" t="s">
        <v>112</v>
      </c>
      <c r="G1447" t="s">
        <v>103</v>
      </c>
      <c r="H1447" t="s">
        <v>236</v>
      </c>
      <c r="J1447">
        <v>0</v>
      </c>
      <c r="K1447">
        <v>1</v>
      </c>
      <c r="L1447">
        <v>65.09375</v>
      </c>
      <c r="M1447">
        <v>37.895352600000002</v>
      </c>
      <c r="N1447">
        <v>2.2882677779999998</v>
      </c>
      <c r="O1447">
        <v>113.33333330000001</v>
      </c>
      <c r="P1447">
        <v>26.41632581</v>
      </c>
      <c r="Q1447">
        <v>1.6844570160000001</v>
      </c>
      <c r="R1447" t="s">
        <v>1017</v>
      </c>
      <c r="S1447">
        <v>11.479026790000002</v>
      </c>
    </row>
    <row r="1448" spans="1:19" x14ac:dyDescent="0.25">
      <c r="A1448" t="s">
        <v>84</v>
      </c>
      <c r="B1448" t="s">
        <v>998</v>
      </c>
      <c r="C1448">
        <v>6</v>
      </c>
      <c r="D1448" t="s">
        <v>23</v>
      </c>
      <c r="E1448" t="s">
        <v>95</v>
      </c>
      <c r="F1448" t="s">
        <v>112</v>
      </c>
      <c r="G1448" t="s">
        <v>103</v>
      </c>
      <c r="H1448" t="s">
        <v>103</v>
      </c>
      <c r="J1448">
        <v>0</v>
      </c>
      <c r="K1448">
        <v>2</v>
      </c>
      <c r="L1448">
        <v>65.09375</v>
      </c>
      <c r="M1448">
        <v>37.895352600000002</v>
      </c>
      <c r="N1448">
        <v>2.2882677779999998</v>
      </c>
      <c r="O1448">
        <v>98.291666669999998</v>
      </c>
      <c r="P1448">
        <v>30.315130790000001</v>
      </c>
      <c r="Q1448">
        <v>5.0803484000000003E-2</v>
      </c>
      <c r="R1448" t="s">
        <v>1017</v>
      </c>
      <c r="S1448">
        <v>7.5802218100000012</v>
      </c>
    </row>
    <row r="1449" spans="1:19" x14ac:dyDescent="0.25">
      <c r="A1449" t="s">
        <v>84</v>
      </c>
      <c r="B1449" t="s">
        <v>998</v>
      </c>
      <c r="C1449">
        <v>6</v>
      </c>
      <c r="D1449" t="s">
        <v>23</v>
      </c>
      <c r="E1449" t="s">
        <v>95</v>
      </c>
      <c r="F1449" t="s">
        <v>112</v>
      </c>
      <c r="G1449" t="s">
        <v>103</v>
      </c>
      <c r="H1449" t="s">
        <v>808</v>
      </c>
      <c r="J1449">
        <v>0</v>
      </c>
      <c r="K1449">
        <v>1</v>
      </c>
      <c r="L1449">
        <v>65.09375</v>
      </c>
      <c r="M1449">
        <v>37.895352600000002</v>
      </c>
      <c r="N1449">
        <v>2.2882677779999998</v>
      </c>
      <c r="O1449">
        <v>102.79166669999999</v>
      </c>
      <c r="P1449">
        <v>27.057373470000002</v>
      </c>
      <c r="Q1449">
        <v>6.3567849939999999</v>
      </c>
      <c r="R1449" t="s">
        <v>1017</v>
      </c>
      <c r="S1449">
        <v>10.837979130000001</v>
      </c>
    </row>
    <row r="1450" spans="1:19" x14ac:dyDescent="0.25">
      <c r="A1450" t="s">
        <v>84</v>
      </c>
      <c r="B1450" t="s">
        <v>998</v>
      </c>
      <c r="C1450">
        <v>6</v>
      </c>
      <c r="D1450" t="s">
        <v>23</v>
      </c>
      <c r="E1450" t="s">
        <v>95</v>
      </c>
      <c r="F1450" t="s">
        <v>112</v>
      </c>
      <c r="G1450" t="s">
        <v>103</v>
      </c>
      <c r="H1450" t="s">
        <v>239</v>
      </c>
      <c r="J1450">
        <v>0</v>
      </c>
      <c r="K1450">
        <v>2</v>
      </c>
      <c r="L1450">
        <v>65.09375</v>
      </c>
      <c r="M1450">
        <v>37.895352600000002</v>
      </c>
      <c r="N1450">
        <v>2.2882677779999998</v>
      </c>
      <c r="O1450">
        <v>100.45454549999999</v>
      </c>
      <c r="P1450">
        <v>26.754810689999999</v>
      </c>
      <c r="Q1450">
        <v>0.75829999999999997</v>
      </c>
      <c r="R1450" t="s">
        <v>1017</v>
      </c>
      <c r="S1450">
        <v>11.140541910000003</v>
      </c>
    </row>
    <row r="1451" spans="1:19" x14ac:dyDescent="0.25">
      <c r="A1451" t="s">
        <v>85</v>
      </c>
      <c r="B1451" t="s">
        <v>999</v>
      </c>
      <c r="C1451">
        <v>6</v>
      </c>
      <c r="D1451" t="s">
        <v>25</v>
      </c>
      <c r="E1451" t="s">
        <v>94</v>
      </c>
      <c r="F1451" t="s">
        <v>105</v>
      </c>
      <c r="G1451" t="s">
        <v>103</v>
      </c>
      <c r="H1451" t="s">
        <v>810</v>
      </c>
      <c r="J1451">
        <v>0</v>
      </c>
      <c r="K1451">
        <v>1</v>
      </c>
      <c r="L1451">
        <v>67.5</v>
      </c>
      <c r="M1451">
        <v>47.937235809999997</v>
      </c>
      <c r="N1451">
        <v>0.41599678000000001</v>
      </c>
      <c r="O1451">
        <v>77.055555560000002</v>
      </c>
      <c r="P1451">
        <v>18.389110710000001</v>
      </c>
      <c r="Q1451">
        <v>1.5559800079999999</v>
      </c>
      <c r="R1451" t="s">
        <v>1017</v>
      </c>
      <c r="S1451">
        <v>29.548125099999996</v>
      </c>
    </row>
    <row r="1452" spans="1:19" x14ac:dyDescent="0.25">
      <c r="A1452" t="s">
        <v>85</v>
      </c>
      <c r="B1452" t="s">
        <v>999</v>
      </c>
      <c r="C1452">
        <v>6</v>
      </c>
      <c r="D1452" t="s">
        <v>25</v>
      </c>
      <c r="E1452" t="s">
        <v>94</v>
      </c>
      <c r="F1452" t="s">
        <v>105</v>
      </c>
      <c r="G1452" t="s">
        <v>103</v>
      </c>
      <c r="H1452" t="s">
        <v>104</v>
      </c>
      <c r="J1452">
        <v>0</v>
      </c>
      <c r="K1452">
        <v>1</v>
      </c>
      <c r="L1452">
        <v>67.5</v>
      </c>
      <c r="M1452">
        <v>47.937235809999997</v>
      </c>
      <c r="N1452">
        <v>0.41599678000000001</v>
      </c>
      <c r="O1452">
        <v>113.9375</v>
      </c>
      <c r="P1452">
        <v>33.375507550000002</v>
      </c>
      <c r="Q1452">
        <v>2.4262999999999999</v>
      </c>
      <c r="R1452" t="s">
        <v>1017</v>
      </c>
      <c r="S1452">
        <v>14.561728259999995</v>
      </c>
    </row>
    <row r="1453" spans="1:19" x14ac:dyDescent="0.25">
      <c r="A1453" t="s">
        <v>85</v>
      </c>
      <c r="B1453" t="s">
        <v>999</v>
      </c>
      <c r="C1453">
        <v>6</v>
      </c>
      <c r="D1453" t="s">
        <v>25</v>
      </c>
      <c r="E1453" t="s">
        <v>94</v>
      </c>
      <c r="F1453" t="s">
        <v>105</v>
      </c>
      <c r="G1453" t="s">
        <v>103</v>
      </c>
      <c r="H1453" t="s">
        <v>110</v>
      </c>
      <c r="J1453">
        <v>0</v>
      </c>
      <c r="K1453">
        <v>1</v>
      </c>
      <c r="L1453">
        <v>67.5</v>
      </c>
      <c r="M1453">
        <v>47.937235809999997</v>
      </c>
      <c r="N1453">
        <v>0.41599678000000001</v>
      </c>
      <c r="O1453">
        <v>73.260869569999997</v>
      </c>
      <c r="P1453">
        <v>34.453830549999999</v>
      </c>
      <c r="Q1453">
        <v>1.058333333</v>
      </c>
      <c r="R1453" t="s">
        <v>1017</v>
      </c>
      <c r="S1453">
        <v>13.483405259999998</v>
      </c>
    </row>
    <row r="1454" spans="1:19" x14ac:dyDescent="0.25">
      <c r="A1454" t="s">
        <v>85</v>
      </c>
      <c r="B1454" t="s">
        <v>999</v>
      </c>
      <c r="C1454">
        <v>6</v>
      </c>
      <c r="D1454" t="s">
        <v>25</v>
      </c>
      <c r="E1454" t="s">
        <v>94</v>
      </c>
      <c r="F1454" t="s">
        <v>105</v>
      </c>
      <c r="G1454" t="s">
        <v>103</v>
      </c>
      <c r="H1454" t="s">
        <v>103</v>
      </c>
      <c r="J1454">
        <v>0</v>
      </c>
      <c r="K1454">
        <v>4</v>
      </c>
      <c r="L1454">
        <v>67.5</v>
      </c>
      <c r="M1454">
        <v>47.937235809999997</v>
      </c>
      <c r="N1454">
        <v>0.41599678000000001</v>
      </c>
      <c r="O1454">
        <v>98.291666669999998</v>
      </c>
      <c r="P1454">
        <v>30.315130790000001</v>
      </c>
      <c r="Q1454">
        <v>5.0803484000000003E-2</v>
      </c>
      <c r="R1454" t="s">
        <v>1017</v>
      </c>
      <c r="S1454">
        <v>17.622105019999996</v>
      </c>
    </row>
    <row r="1455" spans="1:19" x14ac:dyDescent="0.25">
      <c r="A1455" t="s">
        <v>85</v>
      </c>
      <c r="B1455" t="s">
        <v>1000</v>
      </c>
      <c r="C1455">
        <v>6</v>
      </c>
      <c r="D1455" t="s">
        <v>25</v>
      </c>
      <c r="E1455" t="s">
        <v>94</v>
      </c>
      <c r="F1455" t="s">
        <v>110</v>
      </c>
      <c r="G1455" t="s">
        <v>103</v>
      </c>
      <c r="H1455" t="s">
        <v>103</v>
      </c>
      <c r="J1455">
        <v>0</v>
      </c>
      <c r="K1455">
        <v>9</v>
      </c>
      <c r="L1455">
        <v>73.260869569999997</v>
      </c>
      <c r="M1455">
        <v>34.453830549999999</v>
      </c>
      <c r="N1455">
        <v>1.058333333</v>
      </c>
      <c r="O1455">
        <v>98.291666669999998</v>
      </c>
      <c r="P1455">
        <v>30.315130790000001</v>
      </c>
      <c r="Q1455">
        <v>5.0803484000000003E-2</v>
      </c>
      <c r="R1455" t="s">
        <v>1017</v>
      </c>
      <c r="S1455">
        <v>4.138699759999998</v>
      </c>
    </row>
    <row r="1456" spans="1:19" x14ac:dyDescent="0.25">
      <c r="A1456" t="s">
        <v>85</v>
      </c>
      <c r="B1456" t="s">
        <v>1000</v>
      </c>
      <c r="C1456">
        <v>6</v>
      </c>
      <c r="D1456" t="s">
        <v>25</v>
      </c>
      <c r="E1456" t="s">
        <v>94</v>
      </c>
      <c r="F1456" t="s">
        <v>110</v>
      </c>
      <c r="G1456" t="s">
        <v>103</v>
      </c>
      <c r="H1456" t="s">
        <v>248</v>
      </c>
      <c r="J1456">
        <v>0</v>
      </c>
      <c r="K1456">
        <v>4</v>
      </c>
      <c r="L1456">
        <v>73.260869569999997</v>
      </c>
      <c r="M1456">
        <v>34.453830549999999</v>
      </c>
      <c r="N1456">
        <v>1.058333333</v>
      </c>
      <c r="O1456">
        <v>83.92307692</v>
      </c>
      <c r="P1456">
        <v>44.319135699999997</v>
      </c>
      <c r="Q1456">
        <v>5.9548609999999997E-3</v>
      </c>
      <c r="R1456" t="s">
        <v>1017</v>
      </c>
      <c r="S1456">
        <v>9.8653051499999975</v>
      </c>
    </row>
    <row r="1457" spans="1:19" x14ac:dyDescent="0.25">
      <c r="A1457" t="s">
        <v>85</v>
      </c>
      <c r="B1457" t="s">
        <v>1000</v>
      </c>
      <c r="C1457">
        <v>6</v>
      </c>
      <c r="D1457" t="s">
        <v>25</v>
      </c>
      <c r="E1457" t="s">
        <v>94</v>
      </c>
      <c r="F1457" t="s">
        <v>110</v>
      </c>
      <c r="G1457" t="s">
        <v>103</v>
      </c>
      <c r="H1457" t="s">
        <v>233</v>
      </c>
      <c r="J1457">
        <v>0</v>
      </c>
      <c r="K1457">
        <v>3</v>
      </c>
      <c r="L1457">
        <v>73.260869569999997</v>
      </c>
      <c r="M1457">
        <v>34.453830549999999</v>
      </c>
      <c r="N1457">
        <v>1.058333333</v>
      </c>
      <c r="O1457">
        <v>106.0540541</v>
      </c>
      <c r="P1457">
        <v>52.690533369999997</v>
      </c>
      <c r="Q1457">
        <v>7.6058968000000005E-2</v>
      </c>
      <c r="R1457" t="s">
        <v>1017</v>
      </c>
      <c r="S1457">
        <v>18.236702819999998</v>
      </c>
    </row>
    <row r="1458" spans="1:19" x14ac:dyDescent="0.25">
      <c r="A1458" t="s">
        <v>85</v>
      </c>
      <c r="B1458" t="s">
        <v>1000</v>
      </c>
      <c r="C1458">
        <v>6</v>
      </c>
      <c r="D1458" t="s">
        <v>25</v>
      </c>
      <c r="E1458" t="s">
        <v>94</v>
      </c>
      <c r="F1458" t="s">
        <v>110</v>
      </c>
      <c r="G1458" t="s">
        <v>103</v>
      </c>
      <c r="H1458" t="s">
        <v>110</v>
      </c>
      <c r="J1458">
        <v>0</v>
      </c>
      <c r="K1458">
        <v>1</v>
      </c>
      <c r="L1458">
        <v>73.260869569999997</v>
      </c>
      <c r="M1458">
        <v>34.453830549999999</v>
      </c>
      <c r="N1458">
        <v>1.058333333</v>
      </c>
      <c r="O1458">
        <v>73.260869569999997</v>
      </c>
      <c r="P1458">
        <v>34.453830549999999</v>
      </c>
      <c r="Q1458">
        <v>1.058333333</v>
      </c>
      <c r="R1458" t="s">
        <v>1017</v>
      </c>
      <c r="S1458">
        <v>0</v>
      </c>
    </row>
    <row r="1459" spans="1:19" x14ac:dyDescent="0.25">
      <c r="A1459" t="s">
        <v>86</v>
      </c>
      <c r="B1459" t="s">
        <v>1001</v>
      </c>
      <c r="C1459">
        <v>6</v>
      </c>
      <c r="D1459" t="s">
        <v>27</v>
      </c>
      <c r="E1459" t="s">
        <v>94</v>
      </c>
      <c r="F1459" t="s">
        <v>110</v>
      </c>
      <c r="G1459" t="s">
        <v>121</v>
      </c>
      <c r="H1459" t="s">
        <v>246</v>
      </c>
      <c r="J1459">
        <v>0</v>
      </c>
      <c r="K1459">
        <v>1</v>
      </c>
      <c r="L1459">
        <v>73.260869569999997</v>
      </c>
      <c r="M1459">
        <v>34.453830549999999</v>
      </c>
      <c r="N1459">
        <v>1.058333333</v>
      </c>
      <c r="O1459">
        <v>120.25</v>
      </c>
      <c r="P1459">
        <v>30.670450110000001</v>
      </c>
      <c r="Q1459">
        <v>0.91037498500000003</v>
      </c>
      <c r="R1459" t="s">
        <v>1017</v>
      </c>
      <c r="S1459">
        <v>3.7833804399999984</v>
      </c>
    </row>
    <row r="1460" spans="1:19" x14ac:dyDescent="0.25">
      <c r="A1460" t="s">
        <v>86</v>
      </c>
      <c r="B1460" t="s">
        <v>1001</v>
      </c>
      <c r="C1460">
        <v>6</v>
      </c>
      <c r="D1460" t="s">
        <v>27</v>
      </c>
      <c r="E1460" t="s">
        <v>94</v>
      </c>
      <c r="F1460" t="s">
        <v>110</v>
      </c>
      <c r="G1460" t="s">
        <v>121</v>
      </c>
      <c r="H1460" t="s">
        <v>242</v>
      </c>
      <c r="J1460">
        <v>0</v>
      </c>
      <c r="K1460">
        <v>2</v>
      </c>
      <c r="L1460">
        <v>73.260869569999997</v>
      </c>
      <c r="M1460">
        <v>34.453830549999999</v>
      </c>
      <c r="N1460">
        <v>1.058333333</v>
      </c>
      <c r="O1460">
        <v>139.375</v>
      </c>
      <c r="P1460">
        <v>23.713465920000001</v>
      </c>
      <c r="Q1460" t="s">
        <v>114</v>
      </c>
      <c r="R1460" t="s">
        <v>1017</v>
      </c>
      <c r="S1460">
        <v>10.740364629999998</v>
      </c>
    </row>
    <row r="1461" spans="1:19" x14ac:dyDescent="0.25">
      <c r="A1461" t="s">
        <v>86</v>
      </c>
      <c r="B1461" t="s">
        <v>1002</v>
      </c>
      <c r="C1461">
        <v>6</v>
      </c>
      <c r="D1461" t="s">
        <v>27</v>
      </c>
      <c r="E1461" t="s">
        <v>94</v>
      </c>
      <c r="F1461" t="s">
        <v>112</v>
      </c>
      <c r="G1461" t="s">
        <v>110</v>
      </c>
      <c r="H1461" t="s">
        <v>110</v>
      </c>
      <c r="J1461">
        <v>0</v>
      </c>
      <c r="K1461">
        <v>1</v>
      </c>
      <c r="L1461">
        <v>65.09375</v>
      </c>
      <c r="M1461">
        <v>37.895352600000002</v>
      </c>
      <c r="N1461">
        <v>2.2882677779999998</v>
      </c>
      <c r="O1461">
        <v>73.260869569999997</v>
      </c>
      <c r="P1461">
        <v>34.453830549999999</v>
      </c>
      <c r="Q1461">
        <v>1.058333333</v>
      </c>
      <c r="R1461" t="s">
        <v>1017</v>
      </c>
      <c r="S1461">
        <v>3.4415220500000032</v>
      </c>
    </row>
    <row r="1462" spans="1:19" x14ac:dyDescent="0.25">
      <c r="A1462" t="s">
        <v>86</v>
      </c>
      <c r="B1462" t="s">
        <v>1002</v>
      </c>
      <c r="C1462">
        <v>6</v>
      </c>
      <c r="D1462" t="s">
        <v>27</v>
      </c>
      <c r="E1462" t="s">
        <v>94</v>
      </c>
      <c r="F1462" t="s">
        <v>112</v>
      </c>
      <c r="G1462" t="s">
        <v>110</v>
      </c>
      <c r="H1462" t="s">
        <v>246</v>
      </c>
      <c r="J1462">
        <v>0</v>
      </c>
      <c r="K1462">
        <v>1</v>
      </c>
      <c r="L1462">
        <v>65.09375</v>
      </c>
      <c r="M1462">
        <v>37.895352600000002</v>
      </c>
      <c r="N1462">
        <v>2.2882677779999998</v>
      </c>
      <c r="O1462">
        <v>120.25</v>
      </c>
      <c r="P1462">
        <v>30.670450110000001</v>
      </c>
      <c r="Q1462">
        <v>0.91037498500000003</v>
      </c>
      <c r="R1462" t="s">
        <v>1017</v>
      </c>
      <c r="S1462">
        <v>7.2249024900000016</v>
      </c>
    </row>
    <row r="1463" spans="1:19" x14ac:dyDescent="0.25">
      <c r="A1463" t="s">
        <v>87</v>
      </c>
      <c r="B1463" t="s">
        <v>1003</v>
      </c>
      <c r="C1463">
        <v>6</v>
      </c>
      <c r="D1463" t="s">
        <v>29</v>
      </c>
      <c r="E1463" t="s">
        <v>95</v>
      </c>
      <c r="F1463" t="s">
        <v>102</v>
      </c>
      <c r="G1463" t="s">
        <v>110</v>
      </c>
      <c r="H1463" t="s">
        <v>110</v>
      </c>
      <c r="J1463">
        <v>0</v>
      </c>
      <c r="K1463">
        <v>3</v>
      </c>
      <c r="L1463">
        <v>84.740740740000007</v>
      </c>
      <c r="M1463">
        <v>29.167014049999999</v>
      </c>
      <c r="N1463">
        <v>1.1169849999999999</v>
      </c>
      <c r="O1463">
        <v>73.260869569999997</v>
      </c>
      <c r="P1463">
        <v>34.453830549999999</v>
      </c>
      <c r="Q1463">
        <v>1.058333333</v>
      </c>
      <c r="R1463" t="s">
        <v>1017</v>
      </c>
      <c r="S1463">
        <v>5.2868165000000005</v>
      </c>
    </row>
    <row r="1464" spans="1:19" x14ac:dyDescent="0.25">
      <c r="A1464" t="s">
        <v>87</v>
      </c>
      <c r="B1464" t="s">
        <v>1003</v>
      </c>
      <c r="C1464">
        <v>6</v>
      </c>
      <c r="D1464" t="s">
        <v>29</v>
      </c>
      <c r="E1464" t="s">
        <v>95</v>
      </c>
      <c r="F1464" t="s">
        <v>102</v>
      </c>
      <c r="G1464" t="s">
        <v>110</v>
      </c>
      <c r="H1464" t="s">
        <v>246</v>
      </c>
      <c r="J1464">
        <v>0</v>
      </c>
      <c r="K1464">
        <v>1</v>
      </c>
      <c r="L1464">
        <v>84.740740740000007</v>
      </c>
      <c r="M1464">
        <v>29.167014049999999</v>
      </c>
      <c r="N1464">
        <v>1.1169849999999999</v>
      </c>
      <c r="O1464">
        <v>120.25</v>
      </c>
      <c r="P1464">
        <v>30.670450110000001</v>
      </c>
      <c r="Q1464">
        <v>0.91037498500000003</v>
      </c>
      <c r="R1464" t="s">
        <v>1017</v>
      </c>
      <c r="S1464">
        <v>1.5034360600000021</v>
      </c>
    </row>
    <row r="1465" spans="1:19" x14ac:dyDescent="0.25">
      <c r="A1465" t="s">
        <v>87</v>
      </c>
      <c r="B1465" t="s">
        <v>1003</v>
      </c>
      <c r="C1465">
        <v>6</v>
      </c>
      <c r="D1465" t="s">
        <v>29</v>
      </c>
      <c r="E1465" t="s">
        <v>95</v>
      </c>
      <c r="F1465" t="s">
        <v>102</v>
      </c>
      <c r="G1465" t="s">
        <v>110</v>
      </c>
      <c r="H1465" t="s">
        <v>242</v>
      </c>
      <c r="J1465">
        <v>0</v>
      </c>
      <c r="K1465">
        <v>2</v>
      </c>
      <c r="L1465">
        <v>84.740740740000007</v>
      </c>
      <c r="M1465">
        <v>29.167014049999999</v>
      </c>
      <c r="N1465">
        <v>1.1169849999999999</v>
      </c>
      <c r="O1465">
        <v>139.375</v>
      </c>
      <c r="P1465">
        <v>23.713465920000001</v>
      </c>
      <c r="Q1465" t="s">
        <v>114</v>
      </c>
      <c r="R1465" t="s">
        <v>1017</v>
      </c>
      <c r="S1465">
        <v>5.4535481299999979</v>
      </c>
    </row>
    <row r="1466" spans="1:19" x14ac:dyDescent="0.25">
      <c r="A1466" t="s">
        <v>87</v>
      </c>
      <c r="B1466" t="s">
        <v>1004</v>
      </c>
      <c r="C1466">
        <v>6</v>
      </c>
      <c r="D1466" t="s">
        <v>29</v>
      </c>
      <c r="E1466" t="s">
        <v>95</v>
      </c>
      <c r="F1466" t="s">
        <v>110</v>
      </c>
      <c r="G1466" t="s">
        <v>110</v>
      </c>
      <c r="H1466" t="s">
        <v>110</v>
      </c>
      <c r="J1466">
        <v>0</v>
      </c>
      <c r="K1466">
        <v>1</v>
      </c>
      <c r="L1466">
        <v>73.260869569999997</v>
      </c>
      <c r="M1466">
        <v>34.453830549999999</v>
      </c>
      <c r="N1466">
        <v>1.058333333</v>
      </c>
      <c r="O1466">
        <v>73.260869569999997</v>
      </c>
      <c r="P1466">
        <v>34.453830549999999</v>
      </c>
      <c r="Q1466">
        <v>1.058333333</v>
      </c>
      <c r="R1466" t="s">
        <v>1017</v>
      </c>
      <c r="S1466">
        <v>0</v>
      </c>
    </row>
    <row r="1467" spans="1:19" x14ac:dyDescent="0.25">
      <c r="A1467" t="s">
        <v>88</v>
      </c>
      <c r="B1467" t="s">
        <v>1005</v>
      </c>
      <c r="C1467">
        <v>6</v>
      </c>
      <c r="D1467" t="s">
        <v>31</v>
      </c>
      <c r="E1467" t="s">
        <v>95</v>
      </c>
      <c r="F1467" t="s">
        <v>110</v>
      </c>
      <c r="G1467" t="s">
        <v>113</v>
      </c>
      <c r="H1467" t="s">
        <v>113</v>
      </c>
      <c r="J1467">
        <v>0</v>
      </c>
      <c r="K1467">
        <v>3</v>
      </c>
      <c r="L1467">
        <v>73.260869569999997</v>
      </c>
      <c r="M1467">
        <v>34.453830549999999</v>
      </c>
      <c r="N1467">
        <v>1.058333333</v>
      </c>
      <c r="O1467">
        <v>83.757575759999995</v>
      </c>
      <c r="P1467">
        <v>22.60997987</v>
      </c>
      <c r="Q1467">
        <v>0.72884000000000004</v>
      </c>
      <c r="R1467" t="s">
        <v>1017</v>
      </c>
      <c r="S1467">
        <v>11.843850679999999</v>
      </c>
    </row>
    <row r="1468" spans="1:19" x14ac:dyDescent="0.25">
      <c r="A1468" t="s">
        <v>88</v>
      </c>
      <c r="B1468" t="s">
        <v>1005</v>
      </c>
      <c r="C1468">
        <v>6</v>
      </c>
      <c r="D1468" t="s">
        <v>31</v>
      </c>
      <c r="E1468" t="s">
        <v>95</v>
      </c>
      <c r="F1468" t="s">
        <v>110</v>
      </c>
      <c r="G1468" t="s">
        <v>113</v>
      </c>
      <c r="H1468" t="s">
        <v>103</v>
      </c>
      <c r="J1468">
        <v>0</v>
      </c>
      <c r="K1468">
        <v>1</v>
      </c>
      <c r="L1468">
        <v>73.260869569999997</v>
      </c>
      <c r="M1468">
        <v>34.453830549999999</v>
      </c>
      <c r="N1468">
        <v>1.058333333</v>
      </c>
      <c r="O1468">
        <v>98.291666669999998</v>
      </c>
      <c r="P1468">
        <v>30.315130790000001</v>
      </c>
      <c r="Q1468">
        <v>5.0803484000000003E-2</v>
      </c>
      <c r="R1468" t="s">
        <v>1017</v>
      </c>
      <c r="S1468">
        <v>4.138699759999998</v>
      </c>
    </row>
    <row r="1469" spans="1:19" x14ac:dyDescent="0.25">
      <c r="A1469" t="s">
        <v>88</v>
      </c>
      <c r="B1469" t="s">
        <v>1006</v>
      </c>
      <c r="C1469">
        <v>6</v>
      </c>
      <c r="D1469" t="s">
        <v>31</v>
      </c>
      <c r="E1469" t="s">
        <v>95</v>
      </c>
      <c r="F1469" t="s">
        <v>112</v>
      </c>
      <c r="G1469" t="s">
        <v>113</v>
      </c>
      <c r="H1469" t="s">
        <v>113</v>
      </c>
      <c r="J1469">
        <v>0</v>
      </c>
      <c r="K1469">
        <v>2</v>
      </c>
      <c r="L1469">
        <v>65.09375</v>
      </c>
      <c r="M1469">
        <v>37.895352600000002</v>
      </c>
      <c r="N1469">
        <v>2.2882677779999998</v>
      </c>
      <c r="O1469">
        <v>83.757575759999995</v>
      </c>
      <c r="P1469">
        <v>22.60997987</v>
      </c>
      <c r="Q1469">
        <v>0.72884000000000004</v>
      </c>
      <c r="R1469" t="s">
        <v>1017</v>
      </c>
      <c r="S1469">
        <v>15.285372730000002</v>
      </c>
    </row>
    <row r="1470" spans="1:19" x14ac:dyDescent="0.25">
      <c r="A1470" t="s">
        <v>89</v>
      </c>
      <c r="B1470" t="s">
        <v>1007</v>
      </c>
      <c r="C1470">
        <v>6</v>
      </c>
      <c r="D1470" t="s">
        <v>33</v>
      </c>
      <c r="E1470" t="s">
        <v>95</v>
      </c>
      <c r="F1470" t="s">
        <v>104</v>
      </c>
      <c r="G1470" t="s">
        <v>104</v>
      </c>
      <c r="H1470" t="s">
        <v>104</v>
      </c>
      <c r="J1470">
        <v>1</v>
      </c>
      <c r="K1470">
        <v>1</v>
      </c>
      <c r="L1470">
        <v>113.9375</v>
      </c>
      <c r="M1470">
        <v>33.375507550000002</v>
      </c>
      <c r="N1470">
        <v>2.4262999999999999</v>
      </c>
      <c r="O1470">
        <v>113.9375</v>
      </c>
      <c r="P1470">
        <v>33.375507550000002</v>
      </c>
      <c r="Q1470">
        <v>2.4262999999999999</v>
      </c>
      <c r="R1470" t="s">
        <v>1017</v>
      </c>
      <c r="S1470">
        <v>0</v>
      </c>
    </row>
    <row r="1471" spans="1:19" x14ac:dyDescent="0.25">
      <c r="A1471" t="s">
        <v>89</v>
      </c>
      <c r="B1471" t="s">
        <v>1007</v>
      </c>
      <c r="C1471">
        <v>6</v>
      </c>
      <c r="D1471" t="s">
        <v>33</v>
      </c>
      <c r="E1471" t="s">
        <v>95</v>
      </c>
      <c r="F1471" t="s">
        <v>104</v>
      </c>
      <c r="G1471" t="s">
        <v>104</v>
      </c>
      <c r="H1471" t="s">
        <v>103</v>
      </c>
      <c r="J1471">
        <v>1</v>
      </c>
      <c r="K1471">
        <v>1</v>
      </c>
      <c r="L1471">
        <v>113.9375</v>
      </c>
      <c r="M1471">
        <v>33.375507550000002</v>
      </c>
      <c r="N1471">
        <v>2.4262999999999999</v>
      </c>
      <c r="O1471">
        <v>98.291666669999998</v>
      </c>
      <c r="P1471">
        <v>30.315130790000001</v>
      </c>
      <c r="Q1471">
        <v>5.0803484000000003E-2</v>
      </c>
      <c r="R1471" t="s">
        <v>1017</v>
      </c>
      <c r="S1471">
        <v>3.0603767600000005</v>
      </c>
    </row>
    <row r="1472" spans="1:19" x14ac:dyDescent="0.25">
      <c r="A1472" t="s">
        <v>89</v>
      </c>
      <c r="B1472" t="s">
        <v>1007</v>
      </c>
      <c r="C1472">
        <v>6</v>
      </c>
      <c r="D1472" t="s">
        <v>33</v>
      </c>
      <c r="E1472" t="s">
        <v>95</v>
      </c>
      <c r="F1472" t="s">
        <v>104</v>
      </c>
      <c r="G1472" t="s">
        <v>104</v>
      </c>
      <c r="H1472" t="s">
        <v>246</v>
      </c>
      <c r="J1472">
        <v>1</v>
      </c>
      <c r="K1472">
        <v>1</v>
      </c>
      <c r="L1472">
        <v>113.9375</v>
      </c>
      <c r="M1472">
        <v>33.375507550000002</v>
      </c>
      <c r="N1472">
        <v>2.4262999999999999</v>
      </c>
      <c r="O1472">
        <v>120.25</v>
      </c>
      <c r="P1472">
        <v>30.670450110000001</v>
      </c>
      <c r="Q1472">
        <v>0.91037498500000003</v>
      </c>
      <c r="R1472" t="s">
        <v>1017</v>
      </c>
      <c r="S1472">
        <v>2.7050574400000009</v>
      </c>
    </row>
    <row r="1473" spans="1:19" x14ac:dyDescent="0.25">
      <c r="A1473" t="s">
        <v>89</v>
      </c>
      <c r="B1473" t="s">
        <v>1008</v>
      </c>
      <c r="C1473">
        <v>6</v>
      </c>
      <c r="D1473" t="s">
        <v>33</v>
      </c>
      <c r="E1473" t="s">
        <v>95</v>
      </c>
      <c r="F1473" t="s">
        <v>112</v>
      </c>
      <c r="G1473" t="s">
        <v>113</v>
      </c>
      <c r="H1473" t="s">
        <v>113</v>
      </c>
      <c r="I1473" t="s">
        <v>255</v>
      </c>
      <c r="J1473">
        <v>0</v>
      </c>
      <c r="K1473">
        <v>4</v>
      </c>
      <c r="L1473">
        <v>65.09375</v>
      </c>
      <c r="M1473">
        <v>37.895352600000002</v>
      </c>
      <c r="N1473">
        <v>2.2882677779999998</v>
      </c>
      <c r="O1473">
        <v>83.757575759999995</v>
      </c>
      <c r="P1473">
        <v>22.60997987</v>
      </c>
      <c r="Q1473">
        <v>0.72884000000000004</v>
      </c>
      <c r="R1473" t="s">
        <v>1017</v>
      </c>
      <c r="S1473">
        <v>15.285372730000002</v>
      </c>
    </row>
    <row r="1474" spans="1:19" x14ac:dyDescent="0.25">
      <c r="A1474" t="s">
        <v>90</v>
      </c>
      <c r="B1474" t="s">
        <v>1009</v>
      </c>
      <c r="C1474">
        <v>6</v>
      </c>
      <c r="D1474" t="s">
        <v>35</v>
      </c>
      <c r="E1474" t="s">
        <v>94</v>
      </c>
      <c r="F1474" t="s">
        <v>111</v>
      </c>
      <c r="G1474" t="s">
        <v>121</v>
      </c>
      <c r="H1474" t="s">
        <v>253</v>
      </c>
      <c r="J1474">
        <v>0</v>
      </c>
      <c r="K1474">
        <v>3</v>
      </c>
      <c r="L1474">
        <v>94.97142857</v>
      </c>
      <c r="M1474">
        <v>24.31591813</v>
      </c>
      <c r="N1474">
        <v>0.122951111</v>
      </c>
      <c r="O1474">
        <v>172.08823530000001</v>
      </c>
      <c r="P1474">
        <v>29.581605960000001</v>
      </c>
      <c r="Q1474">
        <v>0.24280444400000001</v>
      </c>
      <c r="R1474" t="s">
        <v>1017</v>
      </c>
      <c r="S1474">
        <v>5.265687830000001</v>
      </c>
    </row>
    <row r="1475" spans="1:19" x14ac:dyDescent="0.25">
      <c r="A1475" t="s">
        <v>90</v>
      </c>
      <c r="B1475" t="s">
        <v>1009</v>
      </c>
      <c r="C1475">
        <v>6</v>
      </c>
      <c r="D1475" t="s">
        <v>35</v>
      </c>
      <c r="E1475" t="s">
        <v>94</v>
      </c>
      <c r="F1475" t="s">
        <v>111</v>
      </c>
      <c r="G1475" t="s">
        <v>121</v>
      </c>
      <c r="H1475" t="s">
        <v>162</v>
      </c>
      <c r="J1475">
        <v>0</v>
      </c>
      <c r="K1475">
        <v>1</v>
      </c>
      <c r="L1475">
        <v>94.97142857</v>
      </c>
      <c r="M1475">
        <v>24.31591813</v>
      </c>
      <c r="N1475">
        <v>0.122951111</v>
      </c>
      <c r="O1475">
        <v>82.53846154</v>
      </c>
      <c r="P1475">
        <v>35.660530039999998</v>
      </c>
      <c r="Q1475">
        <v>3.3754499999999998</v>
      </c>
      <c r="R1475" t="s">
        <v>1017</v>
      </c>
      <c r="S1475">
        <v>11.344611909999998</v>
      </c>
    </row>
    <row r="1476" spans="1:19" x14ac:dyDescent="0.25">
      <c r="A1476" t="s">
        <v>90</v>
      </c>
      <c r="B1476" t="s">
        <v>1010</v>
      </c>
      <c r="C1476">
        <v>6</v>
      </c>
      <c r="D1476" t="s">
        <v>35</v>
      </c>
      <c r="E1476" t="s">
        <v>94</v>
      </c>
      <c r="F1476" t="s">
        <v>104</v>
      </c>
      <c r="G1476" t="s">
        <v>111</v>
      </c>
      <c r="H1476" t="s">
        <v>111</v>
      </c>
      <c r="J1476">
        <v>1</v>
      </c>
      <c r="K1476">
        <v>1</v>
      </c>
      <c r="L1476">
        <v>113.9375</v>
      </c>
      <c r="M1476">
        <v>33.375507550000002</v>
      </c>
      <c r="N1476">
        <v>2.4262999999999999</v>
      </c>
      <c r="O1476">
        <v>94.97142857</v>
      </c>
      <c r="P1476">
        <v>24.31591813</v>
      </c>
      <c r="Q1476">
        <v>0.122951111</v>
      </c>
      <c r="R1476" t="s">
        <v>1017</v>
      </c>
      <c r="S1476">
        <v>9.0595894200000018</v>
      </c>
    </row>
    <row r="1477" spans="1:19" x14ac:dyDescent="0.25">
      <c r="A1477" t="s">
        <v>90</v>
      </c>
      <c r="B1477" t="s">
        <v>1010</v>
      </c>
      <c r="C1477">
        <v>6</v>
      </c>
      <c r="D1477" t="s">
        <v>35</v>
      </c>
      <c r="E1477" t="s">
        <v>94</v>
      </c>
      <c r="F1477" t="s">
        <v>104</v>
      </c>
      <c r="G1477" t="s">
        <v>111</v>
      </c>
      <c r="H1477" t="s">
        <v>253</v>
      </c>
      <c r="J1477">
        <v>1</v>
      </c>
      <c r="K1477">
        <v>2</v>
      </c>
      <c r="L1477">
        <v>113.9375</v>
      </c>
      <c r="M1477">
        <v>33.375507550000002</v>
      </c>
      <c r="N1477">
        <v>2.4262999999999999</v>
      </c>
      <c r="O1477">
        <v>172.08823530000001</v>
      </c>
      <c r="P1477">
        <v>29.581605960000001</v>
      </c>
      <c r="Q1477">
        <v>0.24280444400000001</v>
      </c>
      <c r="R1477" t="s">
        <v>1017</v>
      </c>
      <c r="S1477">
        <v>3.7939015900000008</v>
      </c>
    </row>
    <row r="1478" spans="1:19" x14ac:dyDescent="0.25">
      <c r="A1478" t="s">
        <v>91</v>
      </c>
      <c r="B1478" t="s">
        <v>1011</v>
      </c>
      <c r="C1478">
        <v>6</v>
      </c>
      <c r="D1478" t="s">
        <v>37</v>
      </c>
      <c r="E1478" t="s">
        <v>94</v>
      </c>
      <c r="F1478" t="s">
        <v>112</v>
      </c>
      <c r="G1478" t="s">
        <v>112</v>
      </c>
      <c r="H1478" t="s">
        <v>112</v>
      </c>
      <c r="J1478">
        <v>0</v>
      </c>
      <c r="K1478">
        <v>1</v>
      </c>
      <c r="L1478">
        <v>65.09375</v>
      </c>
      <c r="M1478">
        <v>37.895352600000002</v>
      </c>
      <c r="N1478">
        <v>2.2882677779999998</v>
      </c>
      <c r="O1478">
        <v>65.09375</v>
      </c>
      <c r="P1478">
        <v>37.895352600000002</v>
      </c>
      <c r="Q1478">
        <v>2.2882677779999998</v>
      </c>
      <c r="R1478" t="s">
        <v>1017</v>
      </c>
      <c r="S1478">
        <v>0</v>
      </c>
    </row>
    <row r="1479" spans="1:19" x14ac:dyDescent="0.25">
      <c r="A1479" t="s">
        <v>92</v>
      </c>
      <c r="B1479" t="s">
        <v>1012</v>
      </c>
      <c r="C1479">
        <v>6</v>
      </c>
      <c r="D1479" t="s">
        <v>64</v>
      </c>
      <c r="E1479" t="s">
        <v>94</v>
      </c>
      <c r="F1479" t="s">
        <v>112</v>
      </c>
      <c r="G1479" t="s">
        <v>102</v>
      </c>
      <c r="H1479" t="s">
        <v>102</v>
      </c>
      <c r="J1479">
        <v>0</v>
      </c>
      <c r="K1479">
        <v>2</v>
      </c>
      <c r="L1479">
        <v>65.09375</v>
      </c>
      <c r="M1479">
        <v>37.895352600000002</v>
      </c>
      <c r="N1479">
        <v>2.2882677779999998</v>
      </c>
      <c r="O1479">
        <v>84.740740740000007</v>
      </c>
      <c r="P1479">
        <v>29.167014049999999</v>
      </c>
      <c r="Q1479">
        <v>1.1169849999999999</v>
      </c>
      <c r="R1479" t="s">
        <v>1017</v>
      </c>
      <c r="S1479">
        <v>8.7283385500000037</v>
      </c>
    </row>
    <row r="1480" spans="1:19" x14ac:dyDescent="0.25">
      <c r="A1480" t="s">
        <v>92</v>
      </c>
      <c r="B1480" t="s">
        <v>1012</v>
      </c>
      <c r="C1480">
        <v>6</v>
      </c>
      <c r="D1480" t="s">
        <v>64</v>
      </c>
      <c r="E1480" t="s">
        <v>94</v>
      </c>
      <c r="F1480" t="s">
        <v>112</v>
      </c>
      <c r="G1480" t="s">
        <v>102</v>
      </c>
      <c r="H1480" t="s">
        <v>241</v>
      </c>
      <c r="J1480">
        <v>0</v>
      </c>
      <c r="K1480">
        <v>1</v>
      </c>
      <c r="L1480">
        <v>65.09375</v>
      </c>
      <c r="M1480">
        <v>37.895352600000002</v>
      </c>
      <c r="N1480">
        <v>2.2882677779999998</v>
      </c>
      <c r="O1480">
        <v>114</v>
      </c>
      <c r="P1480">
        <v>30.43077242</v>
      </c>
      <c r="Q1480">
        <v>0.53383111100000002</v>
      </c>
      <c r="R1480" t="s">
        <v>1017</v>
      </c>
      <c r="S1480">
        <v>7.4645801800000022</v>
      </c>
    </row>
    <row r="1481" spans="1:19" x14ac:dyDescent="0.25">
      <c r="A1481" t="s">
        <v>93</v>
      </c>
      <c r="B1481" t="s">
        <v>1013</v>
      </c>
      <c r="C1481">
        <v>6</v>
      </c>
      <c r="D1481" t="s">
        <v>66</v>
      </c>
      <c r="E1481" t="s">
        <v>95</v>
      </c>
      <c r="F1481" t="s">
        <v>104</v>
      </c>
      <c r="G1481" t="s">
        <v>103</v>
      </c>
      <c r="H1481" t="s">
        <v>104</v>
      </c>
      <c r="J1481">
        <v>0</v>
      </c>
      <c r="K1481">
        <v>1</v>
      </c>
      <c r="L1481">
        <v>113.9375</v>
      </c>
      <c r="M1481">
        <v>33.375507550000002</v>
      </c>
      <c r="N1481">
        <v>2.4262999999999999</v>
      </c>
      <c r="O1481">
        <v>113.9375</v>
      </c>
      <c r="P1481">
        <v>33.375507550000002</v>
      </c>
      <c r="Q1481">
        <v>2.4262999999999999</v>
      </c>
      <c r="R1481" t="s">
        <v>1017</v>
      </c>
      <c r="S1481">
        <v>0</v>
      </c>
    </row>
    <row r="1482" spans="1:19" x14ac:dyDescent="0.25">
      <c r="A1482" t="s">
        <v>93</v>
      </c>
      <c r="B1482" t="s">
        <v>1013</v>
      </c>
      <c r="C1482">
        <v>6</v>
      </c>
      <c r="D1482" t="s">
        <v>66</v>
      </c>
      <c r="E1482" t="s">
        <v>95</v>
      </c>
      <c r="F1482" t="s">
        <v>104</v>
      </c>
      <c r="G1482" t="s">
        <v>103</v>
      </c>
      <c r="H1482" t="s">
        <v>111</v>
      </c>
      <c r="J1482">
        <v>0</v>
      </c>
      <c r="K1482">
        <v>1</v>
      </c>
      <c r="L1482">
        <v>113.9375</v>
      </c>
      <c r="M1482">
        <v>33.375507550000002</v>
      </c>
      <c r="N1482">
        <v>2.4262999999999999</v>
      </c>
      <c r="O1482">
        <v>94.97142857</v>
      </c>
      <c r="P1482">
        <v>24.31591813</v>
      </c>
      <c r="Q1482">
        <v>0.122951111</v>
      </c>
      <c r="R1482" t="s">
        <v>1017</v>
      </c>
      <c r="S1482">
        <v>9.0595894200000018</v>
      </c>
    </row>
    <row r="1483" spans="1:19" x14ac:dyDescent="0.25">
      <c r="A1483" t="s">
        <v>93</v>
      </c>
      <c r="B1483" t="s">
        <v>1013</v>
      </c>
      <c r="C1483">
        <v>6</v>
      </c>
      <c r="D1483" t="s">
        <v>66</v>
      </c>
      <c r="E1483" t="s">
        <v>95</v>
      </c>
      <c r="F1483" t="s">
        <v>104</v>
      </c>
      <c r="G1483" t="s">
        <v>103</v>
      </c>
      <c r="H1483" t="s">
        <v>103</v>
      </c>
      <c r="J1483">
        <v>0</v>
      </c>
      <c r="K1483">
        <v>4</v>
      </c>
      <c r="L1483">
        <v>113.9375</v>
      </c>
      <c r="M1483">
        <v>33.375507550000002</v>
      </c>
      <c r="N1483">
        <v>2.4262999999999999</v>
      </c>
      <c r="O1483">
        <v>98.291666669999998</v>
      </c>
      <c r="P1483">
        <v>30.315130790000001</v>
      </c>
      <c r="Q1483">
        <v>5.0803484000000003E-2</v>
      </c>
      <c r="R1483" t="s">
        <v>1017</v>
      </c>
      <c r="S1483">
        <v>3.0603767600000005</v>
      </c>
    </row>
    <row r="1484" spans="1:19" x14ac:dyDescent="0.25">
      <c r="A1484" t="s">
        <v>93</v>
      </c>
      <c r="B1484" t="s">
        <v>1013</v>
      </c>
      <c r="C1484">
        <v>6</v>
      </c>
      <c r="D1484" t="s">
        <v>66</v>
      </c>
      <c r="E1484" t="s">
        <v>95</v>
      </c>
      <c r="F1484" t="s">
        <v>104</v>
      </c>
      <c r="G1484" t="s">
        <v>103</v>
      </c>
      <c r="H1484" t="s">
        <v>238</v>
      </c>
      <c r="J1484">
        <v>0</v>
      </c>
      <c r="K1484">
        <v>2</v>
      </c>
      <c r="L1484">
        <v>113.9375</v>
      </c>
      <c r="M1484">
        <v>33.375507550000002</v>
      </c>
      <c r="N1484">
        <v>2.4262999999999999</v>
      </c>
      <c r="O1484">
        <v>87.5</v>
      </c>
      <c r="P1484">
        <v>29.478311600000001</v>
      </c>
      <c r="Q1484">
        <v>3.0797751000000002E-2</v>
      </c>
      <c r="R1484" t="s">
        <v>1017</v>
      </c>
      <c r="S1484">
        <v>3.8971959500000004</v>
      </c>
    </row>
    <row r="1485" spans="1:19" x14ac:dyDescent="0.25">
      <c r="A1485" t="s">
        <v>93</v>
      </c>
      <c r="B1485" t="s">
        <v>1013</v>
      </c>
      <c r="C1485">
        <v>6</v>
      </c>
      <c r="D1485" t="s">
        <v>66</v>
      </c>
      <c r="E1485" t="s">
        <v>95</v>
      </c>
      <c r="F1485" t="s">
        <v>104</v>
      </c>
      <c r="G1485" t="s">
        <v>103</v>
      </c>
      <c r="H1485" t="s">
        <v>246</v>
      </c>
      <c r="J1485">
        <v>0</v>
      </c>
      <c r="K1485">
        <v>1</v>
      </c>
      <c r="L1485">
        <v>113.9375</v>
      </c>
      <c r="M1485">
        <v>33.375507550000002</v>
      </c>
      <c r="N1485">
        <v>2.4262999999999999</v>
      </c>
      <c r="O1485">
        <v>120.25</v>
      </c>
      <c r="P1485">
        <v>30.670450110000001</v>
      </c>
      <c r="Q1485">
        <v>0.91037498500000003</v>
      </c>
      <c r="R1485" t="s">
        <v>1017</v>
      </c>
      <c r="S1485">
        <v>2.7050574400000009</v>
      </c>
    </row>
    <row r="1486" spans="1:19" x14ac:dyDescent="0.25">
      <c r="A1486" t="s">
        <v>67</v>
      </c>
      <c r="B1486" t="s">
        <v>820</v>
      </c>
      <c r="C1486">
        <v>10</v>
      </c>
      <c r="D1486" t="s">
        <v>11</v>
      </c>
      <c r="E1486" t="s">
        <v>94</v>
      </c>
      <c r="F1486" t="s">
        <v>113</v>
      </c>
      <c r="G1486" t="s">
        <v>121</v>
      </c>
      <c r="H1486" t="s">
        <v>113</v>
      </c>
      <c r="J1486">
        <v>0</v>
      </c>
      <c r="K1486">
        <v>2</v>
      </c>
      <c r="L1486">
        <v>83.757575759999995</v>
      </c>
      <c r="M1486">
        <v>22.60997987</v>
      </c>
      <c r="N1486">
        <v>0.72884000000000004</v>
      </c>
      <c r="O1486">
        <v>83.757575759999995</v>
      </c>
      <c r="P1486">
        <v>22.60997987</v>
      </c>
      <c r="Q1486">
        <v>0.72884000000000004</v>
      </c>
      <c r="R1486" t="s">
        <v>1018</v>
      </c>
      <c r="S1486">
        <v>0</v>
      </c>
    </row>
    <row r="1487" spans="1:19" x14ac:dyDescent="0.25">
      <c r="A1487" t="s">
        <v>67</v>
      </c>
      <c r="B1487" t="s">
        <v>820</v>
      </c>
      <c r="C1487">
        <v>10</v>
      </c>
      <c r="D1487" t="s">
        <v>11</v>
      </c>
      <c r="E1487" t="s">
        <v>94</v>
      </c>
      <c r="F1487" t="s">
        <v>113</v>
      </c>
      <c r="G1487" t="s">
        <v>121</v>
      </c>
      <c r="H1487" t="s">
        <v>248</v>
      </c>
      <c r="J1487">
        <v>0</v>
      </c>
      <c r="K1487">
        <v>1</v>
      </c>
      <c r="L1487">
        <v>83.757575759999995</v>
      </c>
      <c r="M1487">
        <v>22.60997987</v>
      </c>
      <c r="N1487">
        <v>0.72884000000000004</v>
      </c>
      <c r="O1487">
        <v>83.92307692</v>
      </c>
      <c r="P1487">
        <v>44.319135699999997</v>
      </c>
      <c r="Q1487">
        <v>5.9548609999999997E-3</v>
      </c>
      <c r="R1487" t="s">
        <v>1018</v>
      </c>
      <c r="S1487">
        <v>0.72288513900000007</v>
      </c>
    </row>
    <row r="1488" spans="1:19" x14ac:dyDescent="0.25">
      <c r="A1488" t="s">
        <v>67</v>
      </c>
      <c r="B1488" t="s">
        <v>821</v>
      </c>
      <c r="C1488">
        <v>10</v>
      </c>
      <c r="D1488" t="s">
        <v>11</v>
      </c>
      <c r="E1488" t="s">
        <v>94</v>
      </c>
      <c r="F1488" t="s">
        <v>103</v>
      </c>
      <c r="G1488" t="s">
        <v>121</v>
      </c>
      <c r="H1488" t="s">
        <v>103</v>
      </c>
      <c r="J1488">
        <v>0</v>
      </c>
      <c r="K1488">
        <v>1</v>
      </c>
      <c r="L1488">
        <v>98.291666669999998</v>
      </c>
      <c r="M1488">
        <v>30.315130790000001</v>
      </c>
      <c r="N1488">
        <v>5.0803484000000003E-2</v>
      </c>
      <c r="O1488">
        <v>98.291666669999998</v>
      </c>
      <c r="P1488">
        <v>30.315130790000001</v>
      </c>
      <c r="Q1488">
        <v>5.0803484000000003E-2</v>
      </c>
      <c r="R1488" t="s">
        <v>1018</v>
      </c>
      <c r="S1488">
        <v>0</v>
      </c>
    </row>
    <row r="1489" spans="1:19" x14ac:dyDescent="0.25">
      <c r="A1489" t="s">
        <v>67</v>
      </c>
      <c r="B1489" t="s">
        <v>822</v>
      </c>
      <c r="C1489">
        <v>10</v>
      </c>
      <c r="D1489" t="s">
        <v>11</v>
      </c>
      <c r="E1489" t="s">
        <v>94</v>
      </c>
      <c r="F1489" t="s">
        <v>112</v>
      </c>
      <c r="G1489" t="s">
        <v>121</v>
      </c>
      <c r="H1489" t="s">
        <v>235</v>
      </c>
      <c r="J1489">
        <v>0</v>
      </c>
      <c r="K1489">
        <v>1</v>
      </c>
      <c r="L1489">
        <v>65.09375</v>
      </c>
      <c r="M1489">
        <v>37.895352600000002</v>
      </c>
      <c r="N1489">
        <v>2.2882677779999998</v>
      </c>
      <c r="O1489">
        <v>132.27272730000001</v>
      </c>
      <c r="P1489">
        <v>20.180448590000001</v>
      </c>
      <c r="Q1489">
        <v>3.7813451999999997E-2</v>
      </c>
      <c r="R1489" t="s">
        <v>1018</v>
      </c>
      <c r="S1489">
        <v>2.2504543259999998</v>
      </c>
    </row>
    <row r="1490" spans="1:19" x14ac:dyDescent="0.25">
      <c r="A1490" t="s">
        <v>67</v>
      </c>
      <c r="B1490" t="s">
        <v>822</v>
      </c>
      <c r="C1490">
        <v>10</v>
      </c>
      <c r="D1490" t="s">
        <v>11</v>
      </c>
      <c r="E1490" t="s">
        <v>94</v>
      </c>
      <c r="F1490" t="s">
        <v>112</v>
      </c>
      <c r="G1490" t="s">
        <v>121</v>
      </c>
      <c r="H1490" t="s">
        <v>248</v>
      </c>
      <c r="J1490">
        <v>0</v>
      </c>
      <c r="K1490">
        <v>2</v>
      </c>
      <c r="L1490">
        <v>65.09375</v>
      </c>
      <c r="M1490">
        <v>37.895352600000002</v>
      </c>
      <c r="N1490">
        <v>2.2882677779999998</v>
      </c>
      <c r="O1490">
        <v>83.92307692</v>
      </c>
      <c r="P1490">
        <v>44.319135699999997</v>
      </c>
      <c r="Q1490">
        <v>5.9548609999999997E-3</v>
      </c>
      <c r="R1490" t="s">
        <v>1018</v>
      </c>
      <c r="S1490">
        <v>2.2823129169999996</v>
      </c>
    </row>
    <row r="1491" spans="1:19" x14ac:dyDescent="0.25">
      <c r="A1491" t="s">
        <v>68</v>
      </c>
      <c r="B1491" t="s">
        <v>823</v>
      </c>
      <c r="C1491">
        <v>10</v>
      </c>
      <c r="D1491" t="s">
        <v>15</v>
      </c>
      <c r="E1491" t="s">
        <v>95</v>
      </c>
      <c r="F1491" t="s">
        <v>113</v>
      </c>
      <c r="G1491" t="s">
        <v>121</v>
      </c>
      <c r="H1491" t="s">
        <v>113</v>
      </c>
      <c r="J1491">
        <v>0</v>
      </c>
      <c r="K1491">
        <v>1</v>
      </c>
      <c r="L1491">
        <v>83.757575759999995</v>
      </c>
      <c r="M1491">
        <v>22.60997987</v>
      </c>
      <c r="N1491">
        <v>0.72884000000000004</v>
      </c>
      <c r="O1491">
        <v>83.757575759999995</v>
      </c>
      <c r="P1491">
        <v>22.60997987</v>
      </c>
      <c r="Q1491">
        <v>0.72884000000000004</v>
      </c>
      <c r="R1491" t="s">
        <v>1018</v>
      </c>
      <c r="S1491">
        <v>0</v>
      </c>
    </row>
    <row r="1492" spans="1:19" x14ac:dyDescent="0.25">
      <c r="A1492" t="s">
        <v>68</v>
      </c>
      <c r="B1492" t="s">
        <v>824</v>
      </c>
      <c r="C1492">
        <v>10</v>
      </c>
      <c r="D1492" t="s">
        <v>15</v>
      </c>
      <c r="E1492" t="s">
        <v>95</v>
      </c>
      <c r="F1492" t="s">
        <v>110</v>
      </c>
      <c r="G1492" t="s">
        <v>113</v>
      </c>
      <c r="H1492" t="s">
        <v>113</v>
      </c>
      <c r="J1492">
        <v>0</v>
      </c>
      <c r="K1492">
        <v>2</v>
      </c>
      <c r="L1492">
        <v>73.260869569999997</v>
      </c>
      <c r="M1492">
        <v>34.453830549999999</v>
      </c>
      <c r="N1492">
        <v>1.058333333</v>
      </c>
      <c r="O1492">
        <v>83.757575759999995</v>
      </c>
      <c r="P1492">
        <v>22.60997987</v>
      </c>
      <c r="Q1492">
        <v>0.72884000000000004</v>
      </c>
      <c r="R1492" t="s">
        <v>1018</v>
      </c>
      <c r="S1492">
        <v>0.32949333299999994</v>
      </c>
    </row>
    <row r="1493" spans="1:19" x14ac:dyDescent="0.25">
      <c r="A1493" t="s">
        <v>68</v>
      </c>
      <c r="B1493" t="s">
        <v>825</v>
      </c>
      <c r="C1493">
        <v>10</v>
      </c>
      <c r="D1493" t="s">
        <v>15</v>
      </c>
      <c r="E1493" t="s">
        <v>95</v>
      </c>
      <c r="F1493" t="s">
        <v>111</v>
      </c>
      <c r="G1493" t="s">
        <v>121</v>
      </c>
      <c r="H1493" t="s">
        <v>239</v>
      </c>
      <c r="J1493">
        <v>0</v>
      </c>
      <c r="K1493">
        <v>1</v>
      </c>
      <c r="L1493">
        <v>94.97142857</v>
      </c>
      <c r="M1493">
        <v>24.31591813</v>
      </c>
      <c r="N1493">
        <v>0.122951111</v>
      </c>
      <c r="O1493">
        <v>100.45454549999999</v>
      </c>
      <c r="P1493">
        <v>26.754810689999999</v>
      </c>
      <c r="Q1493">
        <v>0.75829999999999997</v>
      </c>
      <c r="R1493" t="s">
        <v>1018</v>
      </c>
      <c r="S1493">
        <v>-0.63534888899999997</v>
      </c>
    </row>
    <row r="1494" spans="1:19" x14ac:dyDescent="0.25">
      <c r="A1494" t="s">
        <v>68</v>
      </c>
      <c r="B1494" t="s">
        <v>826</v>
      </c>
      <c r="C1494">
        <v>10</v>
      </c>
      <c r="D1494" t="s">
        <v>15</v>
      </c>
      <c r="E1494" t="s">
        <v>95</v>
      </c>
      <c r="F1494" t="s">
        <v>104</v>
      </c>
      <c r="G1494" t="s">
        <v>121</v>
      </c>
      <c r="H1494" t="s">
        <v>114</v>
      </c>
      <c r="I1494" t="s">
        <v>161</v>
      </c>
      <c r="J1494">
        <v>1</v>
      </c>
      <c r="K1494">
        <v>0</v>
      </c>
      <c r="L1494">
        <v>113.9375</v>
      </c>
      <c r="M1494">
        <v>33.375507550000002</v>
      </c>
      <c r="N1494">
        <v>2.4262999999999999</v>
      </c>
      <c r="O1494" t="s">
        <v>114</v>
      </c>
      <c r="P1494" t="s">
        <v>114</v>
      </c>
      <c r="Q1494" t="s">
        <v>114</v>
      </c>
      <c r="R1494" t="s">
        <v>1018</v>
      </c>
      <c r="S1494" t="s">
        <v>114</v>
      </c>
    </row>
    <row r="1495" spans="1:19" x14ac:dyDescent="0.25">
      <c r="A1495" t="s">
        <v>69</v>
      </c>
      <c r="B1495" t="s">
        <v>827</v>
      </c>
      <c r="C1495">
        <v>10</v>
      </c>
      <c r="D1495" t="s">
        <v>17</v>
      </c>
      <c r="E1495" t="s">
        <v>95</v>
      </c>
      <c r="F1495" t="s">
        <v>102</v>
      </c>
      <c r="G1495" t="s">
        <v>102</v>
      </c>
      <c r="H1495" t="s">
        <v>102</v>
      </c>
      <c r="J1495">
        <v>0</v>
      </c>
      <c r="K1495">
        <v>1</v>
      </c>
      <c r="L1495">
        <v>84.740740740000007</v>
      </c>
      <c r="M1495">
        <v>29.167014049999999</v>
      </c>
      <c r="N1495">
        <v>1.1169849999999999</v>
      </c>
      <c r="O1495">
        <v>84.740740740000007</v>
      </c>
      <c r="P1495">
        <v>29.167014049999999</v>
      </c>
      <c r="Q1495">
        <v>1.1169849999999999</v>
      </c>
      <c r="R1495" t="s">
        <v>1018</v>
      </c>
      <c r="S1495">
        <v>0</v>
      </c>
    </row>
    <row r="1496" spans="1:19" x14ac:dyDescent="0.25">
      <c r="A1496" t="s">
        <v>69</v>
      </c>
      <c r="B1496" t="s">
        <v>827</v>
      </c>
      <c r="C1496">
        <v>10</v>
      </c>
      <c r="D1496" t="s">
        <v>17</v>
      </c>
      <c r="E1496" t="s">
        <v>95</v>
      </c>
      <c r="F1496" t="s">
        <v>102</v>
      </c>
      <c r="G1496" t="s">
        <v>102</v>
      </c>
      <c r="H1496" t="s">
        <v>235</v>
      </c>
      <c r="J1496">
        <v>0</v>
      </c>
      <c r="K1496">
        <v>2</v>
      </c>
      <c r="L1496">
        <v>84.740740740000007</v>
      </c>
      <c r="M1496">
        <v>29.167014049999999</v>
      </c>
      <c r="N1496">
        <v>1.1169849999999999</v>
      </c>
      <c r="O1496">
        <v>132.27272730000001</v>
      </c>
      <c r="P1496">
        <v>20.180448590000001</v>
      </c>
      <c r="Q1496">
        <v>3.7813451999999997E-2</v>
      </c>
      <c r="R1496" t="s">
        <v>1018</v>
      </c>
      <c r="S1496">
        <v>1.0791715479999999</v>
      </c>
    </row>
    <row r="1497" spans="1:19" x14ac:dyDescent="0.25">
      <c r="A1497" t="s">
        <v>69</v>
      </c>
      <c r="B1497" t="s">
        <v>828</v>
      </c>
      <c r="C1497">
        <v>10</v>
      </c>
      <c r="D1497" t="s">
        <v>17</v>
      </c>
      <c r="E1497" t="s">
        <v>95</v>
      </c>
      <c r="F1497" t="s">
        <v>113</v>
      </c>
      <c r="G1497" t="s">
        <v>113</v>
      </c>
      <c r="H1497" t="s">
        <v>113</v>
      </c>
      <c r="J1497">
        <v>0</v>
      </c>
      <c r="K1497">
        <v>1</v>
      </c>
      <c r="L1497">
        <v>83.757575759999995</v>
      </c>
      <c r="M1497">
        <v>22.60997987</v>
      </c>
      <c r="N1497">
        <v>0.72884000000000004</v>
      </c>
      <c r="O1497">
        <v>83.757575759999995</v>
      </c>
      <c r="P1497">
        <v>22.60997987</v>
      </c>
      <c r="Q1497">
        <v>0.72884000000000004</v>
      </c>
      <c r="R1497" t="s">
        <v>1018</v>
      </c>
      <c r="S1497">
        <v>0</v>
      </c>
    </row>
    <row r="1498" spans="1:19" x14ac:dyDescent="0.25">
      <c r="A1498" t="s">
        <v>69</v>
      </c>
      <c r="B1498" t="s">
        <v>828</v>
      </c>
      <c r="C1498">
        <v>10</v>
      </c>
      <c r="D1498" t="s">
        <v>17</v>
      </c>
      <c r="E1498" t="s">
        <v>95</v>
      </c>
      <c r="F1498" t="s">
        <v>113</v>
      </c>
      <c r="G1498" t="s">
        <v>113</v>
      </c>
      <c r="H1498" t="s">
        <v>235</v>
      </c>
      <c r="J1498">
        <v>0</v>
      </c>
      <c r="K1498">
        <v>2</v>
      </c>
      <c r="L1498">
        <v>83.757575759999995</v>
      </c>
      <c r="M1498">
        <v>22.60997987</v>
      </c>
      <c r="N1498">
        <v>0.72884000000000004</v>
      </c>
      <c r="O1498">
        <v>132.27272730000001</v>
      </c>
      <c r="P1498">
        <v>20.180448590000001</v>
      </c>
      <c r="Q1498">
        <v>3.7813451999999997E-2</v>
      </c>
      <c r="R1498" t="s">
        <v>1018</v>
      </c>
      <c r="S1498">
        <v>0.69102654800000007</v>
      </c>
    </row>
    <row r="1499" spans="1:19" x14ac:dyDescent="0.25">
      <c r="A1499" t="s">
        <v>69</v>
      </c>
      <c r="B1499" t="s">
        <v>829</v>
      </c>
      <c r="C1499">
        <v>10</v>
      </c>
      <c r="D1499" t="s">
        <v>17</v>
      </c>
      <c r="E1499" t="s">
        <v>95</v>
      </c>
      <c r="F1499" t="s">
        <v>103</v>
      </c>
      <c r="G1499" t="s">
        <v>103</v>
      </c>
      <c r="H1499" t="s">
        <v>103</v>
      </c>
      <c r="J1499">
        <v>0</v>
      </c>
      <c r="K1499">
        <v>1</v>
      </c>
      <c r="L1499">
        <v>98.291666669999998</v>
      </c>
      <c r="M1499">
        <v>30.315130790000001</v>
      </c>
      <c r="N1499">
        <v>5.0803484000000003E-2</v>
      </c>
      <c r="O1499">
        <v>98.291666669999998</v>
      </c>
      <c r="P1499">
        <v>30.315130790000001</v>
      </c>
      <c r="Q1499">
        <v>5.0803484000000003E-2</v>
      </c>
      <c r="R1499" t="s">
        <v>1018</v>
      </c>
      <c r="S1499">
        <v>0</v>
      </c>
    </row>
    <row r="1500" spans="1:19" x14ac:dyDescent="0.25">
      <c r="A1500" t="s">
        <v>69</v>
      </c>
      <c r="B1500" t="s">
        <v>829</v>
      </c>
      <c r="C1500">
        <v>10</v>
      </c>
      <c r="D1500" t="s">
        <v>17</v>
      </c>
      <c r="E1500" t="s">
        <v>95</v>
      </c>
      <c r="F1500" t="s">
        <v>103</v>
      </c>
      <c r="G1500" t="s">
        <v>103</v>
      </c>
      <c r="H1500" t="s">
        <v>241</v>
      </c>
      <c r="J1500">
        <v>0</v>
      </c>
      <c r="K1500">
        <v>1</v>
      </c>
      <c r="L1500">
        <v>98.291666669999998</v>
      </c>
      <c r="M1500">
        <v>30.315130790000001</v>
      </c>
      <c r="N1500">
        <v>5.0803484000000003E-2</v>
      </c>
      <c r="O1500">
        <v>114</v>
      </c>
      <c r="P1500">
        <v>30.43077242</v>
      </c>
      <c r="Q1500">
        <v>0.53383111100000002</v>
      </c>
      <c r="R1500" t="s">
        <v>1018</v>
      </c>
      <c r="S1500">
        <v>-0.48302762700000001</v>
      </c>
    </row>
    <row r="1501" spans="1:19" x14ac:dyDescent="0.25">
      <c r="A1501" t="s">
        <v>69</v>
      </c>
      <c r="B1501" t="s">
        <v>829</v>
      </c>
      <c r="C1501">
        <v>10</v>
      </c>
      <c r="D1501" t="s">
        <v>17</v>
      </c>
      <c r="E1501" t="s">
        <v>95</v>
      </c>
      <c r="F1501" t="s">
        <v>103</v>
      </c>
      <c r="G1501" t="s">
        <v>103</v>
      </c>
      <c r="H1501" t="s">
        <v>235</v>
      </c>
      <c r="J1501">
        <v>0</v>
      </c>
      <c r="K1501">
        <v>1</v>
      </c>
      <c r="L1501">
        <v>98.291666669999998</v>
      </c>
      <c r="M1501">
        <v>30.315130790000001</v>
      </c>
      <c r="N1501">
        <v>5.0803484000000003E-2</v>
      </c>
      <c r="O1501">
        <v>132.27272730000001</v>
      </c>
      <c r="P1501">
        <v>20.180448590000001</v>
      </c>
      <c r="Q1501">
        <v>3.7813451999999997E-2</v>
      </c>
      <c r="R1501" t="s">
        <v>1018</v>
      </c>
      <c r="S1501">
        <v>1.2990032000000006E-2</v>
      </c>
    </row>
    <row r="1502" spans="1:19" x14ac:dyDescent="0.25">
      <c r="A1502" t="s">
        <v>69</v>
      </c>
      <c r="B1502" t="s">
        <v>830</v>
      </c>
      <c r="C1502">
        <v>10</v>
      </c>
      <c r="D1502" t="s">
        <v>17</v>
      </c>
      <c r="E1502" t="s">
        <v>95</v>
      </c>
      <c r="F1502" t="s">
        <v>111</v>
      </c>
      <c r="G1502" t="s">
        <v>121</v>
      </c>
      <c r="H1502" t="s">
        <v>235</v>
      </c>
      <c r="J1502">
        <v>0</v>
      </c>
      <c r="K1502">
        <v>3</v>
      </c>
      <c r="L1502">
        <v>94.97142857</v>
      </c>
      <c r="M1502">
        <v>24.31591813</v>
      </c>
      <c r="N1502">
        <v>0.122951111</v>
      </c>
      <c r="O1502">
        <v>132.27272730000001</v>
      </c>
      <c r="P1502">
        <v>20.180448590000001</v>
      </c>
      <c r="Q1502">
        <v>3.7813451999999997E-2</v>
      </c>
      <c r="R1502" t="s">
        <v>1018</v>
      </c>
      <c r="S1502">
        <v>8.5137659000000004E-2</v>
      </c>
    </row>
    <row r="1503" spans="1:19" x14ac:dyDescent="0.25">
      <c r="A1503" t="s">
        <v>69</v>
      </c>
      <c r="B1503" t="s">
        <v>831</v>
      </c>
      <c r="C1503">
        <v>10</v>
      </c>
      <c r="D1503" t="s">
        <v>17</v>
      </c>
      <c r="E1503" t="s">
        <v>95</v>
      </c>
      <c r="F1503" t="s">
        <v>112</v>
      </c>
      <c r="G1503" t="s">
        <v>121</v>
      </c>
      <c r="H1503" t="s">
        <v>235</v>
      </c>
      <c r="I1503" t="s">
        <v>252</v>
      </c>
      <c r="J1503">
        <v>1</v>
      </c>
      <c r="K1503">
        <v>2</v>
      </c>
      <c r="L1503">
        <v>65.09375</v>
      </c>
      <c r="M1503">
        <v>37.895352600000002</v>
      </c>
      <c r="N1503">
        <v>2.2882677779999998</v>
      </c>
      <c r="O1503">
        <v>132.27272730000001</v>
      </c>
      <c r="P1503">
        <v>20.180448590000001</v>
      </c>
      <c r="Q1503">
        <v>3.7813451999999997E-2</v>
      </c>
      <c r="R1503" t="s">
        <v>1018</v>
      </c>
      <c r="S1503">
        <v>2.2504543259999998</v>
      </c>
    </row>
    <row r="1504" spans="1:19" x14ac:dyDescent="0.25">
      <c r="A1504" t="s">
        <v>70</v>
      </c>
      <c r="B1504" t="s">
        <v>832</v>
      </c>
      <c r="C1504">
        <v>10</v>
      </c>
      <c r="D1504" t="s">
        <v>19</v>
      </c>
      <c r="E1504" t="s">
        <v>95</v>
      </c>
      <c r="F1504" t="s">
        <v>102</v>
      </c>
      <c r="G1504" t="s">
        <v>121</v>
      </c>
      <c r="H1504" t="s">
        <v>102</v>
      </c>
      <c r="J1504">
        <v>0</v>
      </c>
      <c r="K1504">
        <v>1</v>
      </c>
      <c r="L1504">
        <v>84.740740740000007</v>
      </c>
      <c r="M1504">
        <v>29.167014049999999</v>
      </c>
      <c r="N1504">
        <v>1.1169849999999999</v>
      </c>
      <c r="O1504">
        <v>84.740740740000007</v>
      </c>
      <c r="P1504">
        <v>29.167014049999999</v>
      </c>
      <c r="Q1504">
        <v>1.1169849999999999</v>
      </c>
      <c r="R1504" t="s">
        <v>1018</v>
      </c>
      <c r="S1504">
        <v>0</v>
      </c>
    </row>
    <row r="1505" spans="1:19" x14ac:dyDescent="0.25">
      <c r="A1505" t="s">
        <v>70</v>
      </c>
      <c r="B1505" t="s">
        <v>832</v>
      </c>
      <c r="C1505">
        <v>10</v>
      </c>
      <c r="D1505" t="s">
        <v>19</v>
      </c>
      <c r="E1505" t="s">
        <v>95</v>
      </c>
      <c r="F1505" t="s">
        <v>102</v>
      </c>
      <c r="G1505" t="s">
        <v>121</v>
      </c>
      <c r="H1505" t="s">
        <v>236</v>
      </c>
      <c r="J1505">
        <v>0</v>
      </c>
      <c r="K1505">
        <v>1</v>
      </c>
      <c r="L1505">
        <v>84.740740740000007</v>
      </c>
      <c r="M1505">
        <v>29.167014049999999</v>
      </c>
      <c r="N1505">
        <v>1.1169849999999999</v>
      </c>
      <c r="O1505">
        <v>113.33333330000001</v>
      </c>
      <c r="P1505">
        <v>26.41632581</v>
      </c>
      <c r="Q1505">
        <v>1.6844570160000001</v>
      </c>
      <c r="R1505" t="s">
        <v>1018</v>
      </c>
      <c r="S1505">
        <v>-0.56747201600000019</v>
      </c>
    </row>
    <row r="1506" spans="1:19" x14ac:dyDescent="0.25">
      <c r="A1506" t="s">
        <v>70</v>
      </c>
      <c r="B1506" t="s">
        <v>833</v>
      </c>
      <c r="C1506">
        <v>10</v>
      </c>
      <c r="D1506" t="s">
        <v>19</v>
      </c>
      <c r="E1506" t="s">
        <v>95</v>
      </c>
      <c r="F1506" t="s">
        <v>105</v>
      </c>
      <c r="G1506" t="s">
        <v>121</v>
      </c>
      <c r="H1506" t="s">
        <v>235</v>
      </c>
      <c r="J1506">
        <v>0</v>
      </c>
      <c r="K1506">
        <v>1</v>
      </c>
      <c r="L1506">
        <v>67.5</v>
      </c>
      <c r="M1506">
        <v>47.937235809999997</v>
      </c>
      <c r="N1506">
        <v>0.41599678000000001</v>
      </c>
      <c r="O1506">
        <v>132.27272730000001</v>
      </c>
      <c r="P1506">
        <v>20.180448590000001</v>
      </c>
      <c r="Q1506">
        <v>3.7813451999999997E-2</v>
      </c>
      <c r="R1506" t="s">
        <v>1018</v>
      </c>
      <c r="S1506">
        <v>0.37818332799999999</v>
      </c>
    </row>
    <row r="1507" spans="1:19" x14ac:dyDescent="0.25">
      <c r="A1507" t="s">
        <v>70</v>
      </c>
      <c r="B1507" t="s">
        <v>833</v>
      </c>
      <c r="C1507">
        <v>10</v>
      </c>
      <c r="D1507" t="s">
        <v>19</v>
      </c>
      <c r="E1507" t="s">
        <v>95</v>
      </c>
      <c r="F1507" t="s">
        <v>105</v>
      </c>
      <c r="G1507" t="s">
        <v>121</v>
      </c>
      <c r="H1507" t="s">
        <v>236</v>
      </c>
      <c r="J1507">
        <v>0</v>
      </c>
      <c r="K1507">
        <v>2</v>
      </c>
      <c r="L1507">
        <v>67.5</v>
      </c>
      <c r="M1507">
        <v>47.937235809999997</v>
      </c>
      <c r="N1507">
        <v>0.41599678000000001</v>
      </c>
      <c r="O1507">
        <v>113.33333330000001</v>
      </c>
      <c r="P1507">
        <v>26.41632581</v>
      </c>
      <c r="Q1507">
        <v>1.6844570160000001</v>
      </c>
      <c r="R1507" t="s">
        <v>1018</v>
      </c>
      <c r="S1507">
        <v>-1.2684602360000001</v>
      </c>
    </row>
    <row r="1508" spans="1:19" x14ac:dyDescent="0.25">
      <c r="A1508" t="s">
        <v>70</v>
      </c>
      <c r="B1508" t="s">
        <v>833</v>
      </c>
      <c r="C1508">
        <v>10</v>
      </c>
      <c r="D1508" t="s">
        <v>19</v>
      </c>
      <c r="E1508" t="s">
        <v>95</v>
      </c>
      <c r="F1508" t="s">
        <v>105</v>
      </c>
      <c r="G1508" t="s">
        <v>121</v>
      </c>
      <c r="H1508" t="s">
        <v>162</v>
      </c>
      <c r="J1508">
        <v>0</v>
      </c>
      <c r="K1508">
        <v>1</v>
      </c>
      <c r="L1508">
        <v>67.5</v>
      </c>
      <c r="M1508">
        <v>47.937235809999997</v>
      </c>
      <c r="N1508">
        <v>0.41599678000000001</v>
      </c>
      <c r="O1508">
        <v>82.53846154</v>
      </c>
      <c r="P1508">
        <v>35.660530039999998</v>
      </c>
      <c r="Q1508">
        <v>3.3754499999999998</v>
      </c>
      <c r="R1508" t="s">
        <v>1018</v>
      </c>
      <c r="S1508">
        <v>-2.9594532199999999</v>
      </c>
    </row>
    <row r="1509" spans="1:19" x14ac:dyDescent="0.25">
      <c r="A1509" t="s">
        <v>70</v>
      </c>
      <c r="B1509" t="s">
        <v>834</v>
      </c>
      <c r="C1509">
        <v>10</v>
      </c>
      <c r="D1509" t="s">
        <v>19</v>
      </c>
      <c r="E1509" t="s">
        <v>95</v>
      </c>
      <c r="F1509" t="s">
        <v>111</v>
      </c>
      <c r="G1509" t="s">
        <v>121</v>
      </c>
      <c r="H1509" t="s">
        <v>235</v>
      </c>
      <c r="J1509">
        <v>0</v>
      </c>
      <c r="K1509">
        <v>1</v>
      </c>
      <c r="L1509">
        <v>94.97142857</v>
      </c>
      <c r="M1509">
        <v>24.31591813</v>
      </c>
      <c r="N1509">
        <v>0.122951111</v>
      </c>
      <c r="O1509">
        <v>132.27272730000001</v>
      </c>
      <c r="P1509">
        <v>20.180448590000001</v>
      </c>
      <c r="Q1509">
        <v>3.7813451999999997E-2</v>
      </c>
      <c r="R1509" t="s">
        <v>1018</v>
      </c>
      <c r="S1509">
        <v>8.5137659000000004E-2</v>
      </c>
    </row>
    <row r="1510" spans="1:19" x14ac:dyDescent="0.25">
      <c r="A1510" t="s">
        <v>71</v>
      </c>
      <c r="B1510" t="s">
        <v>835</v>
      </c>
      <c r="C1510">
        <v>10</v>
      </c>
      <c r="D1510" t="s">
        <v>21</v>
      </c>
      <c r="E1510" t="s">
        <v>94</v>
      </c>
      <c r="F1510" t="s">
        <v>102</v>
      </c>
      <c r="G1510" t="s">
        <v>121</v>
      </c>
      <c r="H1510" t="s">
        <v>114</v>
      </c>
      <c r="J1510">
        <v>0</v>
      </c>
      <c r="K1510" t="s">
        <v>114</v>
      </c>
      <c r="L1510">
        <v>84.740740740000007</v>
      </c>
      <c r="M1510">
        <v>29.167014049999999</v>
      </c>
      <c r="N1510">
        <v>1.1169849999999999</v>
      </c>
      <c r="O1510" t="s">
        <v>114</v>
      </c>
      <c r="P1510" t="s">
        <v>114</v>
      </c>
      <c r="Q1510" t="s">
        <v>114</v>
      </c>
      <c r="R1510" t="s">
        <v>1018</v>
      </c>
      <c r="S1510" t="s">
        <v>114</v>
      </c>
    </row>
    <row r="1511" spans="1:19" x14ac:dyDescent="0.25">
      <c r="A1511" t="s">
        <v>71</v>
      </c>
      <c r="B1511" t="s">
        <v>836</v>
      </c>
      <c r="C1511">
        <v>10</v>
      </c>
      <c r="D1511" t="s">
        <v>21</v>
      </c>
      <c r="E1511" t="s">
        <v>94</v>
      </c>
      <c r="F1511" t="s">
        <v>111</v>
      </c>
      <c r="G1511" t="s">
        <v>111</v>
      </c>
      <c r="H1511" t="s">
        <v>111</v>
      </c>
      <c r="J1511">
        <v>0</v>
      </c>
      <c r="K1511">
        <v>1</v>
      </c>
      <c r="L1511">
        <v>94.97142857</v>
      </c>
      <c r="M1511">
        <v>24.31591813</v>
      </c>
      <c r="N1511">
        <v>0.122951111</v>
      </c>
      <c r="O1511">
        <v>94.97142857</v>
      </c>
      <c r="P1511">
        <v>24.31591813</v>
      </c>
      <c r="Q1511">
        <v>0.122951111</v>
      </c>
      <c r="R1511" t="s">
        <v>1018</v>
      </c>
      <c r="S1511">
        <v>0</v>
      </c>
    </row>
    <row r="1512" spans="1:19" x14ac:dyDescent="0.25">
      <c r="A1512" t="s">
        <v>71</v>
      </c>
      <c r="B1512" t="s">
        <v>836</v>
      </c>
      <c r="C1512">
        <v>10</v>
      </c>
      <c r="D1512" t="s">
        <v>21</v>
      </c>
      <c r="E1512" t="s">
        <v>94</v>
      </c>
      <c r="F1512" t="s">
        <v>111</v>
      </c>
      <c r="G1512" t="s">
        <v>111</v>
      </c>
      <c r="H1512" t="s">
        <v>250</v>
      </c>
      <c r="J1512">
        <v>0</v>
      </c>
      <c r="K1512">
        <v>1</v>
      </c>
      <c r="L1512">
        <v>94.97142857</v>
      </c>
      <c r="M1512">
        <v>24.31591813</v>
      </c>
      <c r="N1512">
        <v>0.122951111</v>
      </c>
      <c r="O1512">
        <v>157.14285709999999</v>
      </c>
      <c r="P1512">
        <v>28.969081320000001</v>
      </c>
      <c r="Q1512">
        <v>0.55164111100000002</v>
      </c>
      <c r="R1512" t="s">
        <v>1018</v>
      </c>
      <c r="S1512">
        <v>-0.42869000000000002</v>
      </c>
    </row>
    <row r="1513" spans="1:19" x14ac:dyDescent="0.25">
      <c r="A1513" t="s">
        <v>71</v>
      </c>
      <c r="B1513" t="s">
        <v>837</v>
      </c>
      <c r="C1513">
        <v>10</v>
      </c>
      <c r="D1513" t="s">
        <v>21</v>
      </c>
      <c r="E1513" t="s">
        <v>94</v>
      </c>
      <c r="F1513" t="s">
        <v>104</v>
      </c>
      <c r="G1513" t="s">
        <v>104</v>
      </c>
      <c r="H1513" t="s">
        <v>104</v>
      </c>
      <c r="J1513">
        <v>0</v>
      </c>
      <c r="K1513">
        <v>1</v>
      </c>
      <c r="L1513">
        <v>113.9375</v>
      </c>
      <c r="M1513">
        <v>33.375507550000002</v>
      </c>
      <c r="N1513">
        <v>2.4262999999999999</v>
      </c>
      <c r="O1513">
        <v>113.9375</v>
      </c>
      <c r="P1513">
        <v>33.375507550000002</v>
      </c>
      <c r="Q1513">
        <v>2.4262999999999999</v>
      </c>
      <c r="R1513" t="s">
        <v>1018</v>
      </c>
      <c r="S1513">
        <v>0</v>
      </c>
    </row>
    <row r="1514" spans="1:19" x14ac:dyDescent="0.25">
      <c r="A1514" t="s">
        <v>72</v>
      </c>
      <c r="B1514" t="s">
        <v>838</v>
      </c>
      <c r="C1514">
        <v>10</v>
      </c>
      <c r="D1514" t="s">
        <v>23</v>
      </c>
      <c r="E1514" t="s">
        <v>95</v>
      </c>
      <c r="F1514" t="s">
        <v>105</v>
      </c>
      <c r="G1514" t="s">
        <v>121</v>
      </c>
      <c r="H1514" t="s">
        <v>238</v>
      </c>
      <c r="J1514">
        <v>0</v>
      </c>
      <c r="K1514">
        <v>1</v>
      </c>
      <c r="L1514">
        <v>67.5</v>
      </c>
      <c r="M1514">
        <v>47.937235809999997</v>
      </c>
      <c r="N1514">
        <v>0.41599678000000001</v>
      </c>
      <c r="O1514">
        <v>87.5</v>
      </c>
      <c r="P1514">
        <v>29.478311600000001</v>
      </c>
      <c r="Q1514">
        <v>3.0797751000000002E-2</v>
      </c>
      <c r="R1514" t="s">
        <v>1018</v>
      </c>
      <c r="S1514">
        <v>0.38519902900000003</v>
      </c>
    </row>
    <row r="1515" spans="1:19" x14ac:dyDescent="0.25">
      <c r="A1515" t="s">
        <v>72</v>
      </c>
      <c r="B1515" t="s">
        <v>839</v>
      </c>
      <c r="C1515">
        <v>10</v>
      </c>
      <c r="D1515" t="s">
        <v>23</v>
      </c>
      <c r="E1515" t="s">
        <v>95</v>
      </c>
      <c r="F1515" t="s">
        <v>111</v>
      </c>
      <c r="G1515" t="s">
        <v>121</v>
      </c>
      <c r="H1515" t="s">
        <v>114</v>
      </c>
      <c r="J1515">
        <v>0</v>
      </c>
      <c r="K1515">
        <v>0</v>
      </c>
      <c r="L1515">
        <v>94.97142857</v>
      </c>
      <c r="M1515">
        <v>24.31591813</v>
      </c>
      <c r="N1515">
        <v>0.122951111</v>
      </c>
      <c r="O1515" t="s">
        <v>114</v>
      </c>
      <c r="P1515" t="s">
        <v>114</v>
      </c>
      <c r="Q1515" t="s">
        <v>114</v>
      </c>
      <c r="R1515" t="s">
        <v>1018</v>
      </c>
      <c r="S1515" t="s">
        <v>114</v>
      </c>
    </row>
    <row r="1516" spans="1:19" x14ac:dyDescent="0.25">
      <c r="A1516" t="s">
        <v>72</v>
      </c>
      <c r="B1516" t="s">
        <v>840</v>
      </c>
      <c r="C1516">
        <v>10</v>
      </c>
      <c r="D1516" t="s">
        <v>23</v>
      </c>
      <c r="E1516" t="s">
        <v>95</v>
      </c>
      <c r="F1516" t="s">
        <v>104</v>
      </c>
      <c r="G1516" t="s">
        <v>104</v>
      </c>
      <c r="H1516" t="s">
        <v>104</v>
      </c>
      <c r="J1516">
        <v>0</v>
      </c>
      <c r="K1516">
        <v>1</v>
      </c>
      <c r="L1516">
        <v>113.9375</v>
      </c>
      <c r="M1516">
        <v>33.375507550000002</v>
      </c>
      <c r="N1516">
        <v>2.4262999999999999</v>
      </c>
      <c r="O1516">
        <v>113.9375</v>
      </c>
      <c r="P1516">
        <v>33.375507550000002</v>
      </c>
      <c r="Q1516">
        <v>2.4262999999999999</v>
      </c>
      <c r="R1516" t="s">
        <v>1018</v>
      </c>
      <c r="S1516">
        <v>0</v>
      </c>
    </row>
    <row r="1517" spans="1:19" x14ac:dyDescent="0.25">
      <c r="A1517" t="s">
        <v>72</v>
      </c>
      <c r="B1517" t="s">
        <v>840</v>
      </c>
      <c r="C1517">
        <v>10</v>
      </c>
      <c r="D1517" t="s">
        <v>23</v>
      </c>
      <c r="E1517" t="s">
        <v>95</v>
      </c>
      <c r="F1517" t="s">
        <v>104</v>
      </c>
      <c r="G1517" t="s">
        <v>104</v>
      </c>
      <c r="H1517" t="s">
        <v>244</v>
      </c>
      <c r="J1517">
        <v>0</v>
      </c>
      <c r="K1517">
        <v>1</v>
      </c>
      <c r="L1517">
        <v>113.9375</v>
      </c>
      <c r="M1517">
        <v>33.375507550000002</v>
      </c>
      <c r="N1517">
        <v>2.4262999999999999</v>
      </c>
      <c r="O1517">
        <v>75</v>
      </c>
      <c r="P1517">
        <v>28.80614499</v>
      </c>
      <c r="Q1517">
        <v>2.3860428570000001</v>
      </c>
      <c r="R1517" t="s">
        <v>1018</v>
      </c>
      <c r="S1517">
        <v>4.0257142999999829E-2</v>
      </c>
    </row>
    <row r="1518" spans="1:19" x14ac:dyDescent="0.25">
      <c r="A1518" t="s">
        <v>72</v>
      </c>
      <c r="B1518" t="s">
        <v>841</v>
      </c>
      <c r="C1518">
        <v>10</v>
      </c>
      <c r="D1518" t="s">
        <v>23</v>
      </c>
      <c r="E1518" t="s">
        <v>95</v>
      </c>
      <c r="F1518" t="s">
        <v>112</v>
      </c>
      <c r="G1518" t="s">
        <v>121</v>
      </c>
      <c r="H1518" t="s">
        <v>238</v>
      </c>
      <c r="J1518">
        <v>0</v>
      </c>
      <c r="K1518">
        <v>1</v>
      </c>
      <c r="L1518">
        <v>65.09375</v>
      </c>
      <c r="M1518">
        <v>37.895352600000002</v>
      </c>
      <c r="N1518">
        <v>2.2882677779999998</v>
      </c>
      <c r="O1518">
        <v>87.5</v>
      </c>
      <c r="P1518">
        <v>29.478311600000001</v>
      </c>
      <c r="Q1518">
        <v>3.0797751000000002E-2</v>
      </c>
      <c r="R1518" t="s">
        <v>1018</v>
      </c>
      <c r="S1518">
        <v>2.2574700269999997</v>
      </c>
    </row>
    <row r="1519" spans="1:19" x14ac:dyDescent="0.25">
      <c r="A1519" t="s">
        <v>73</v>
      </c>
      <c r="B1519" t="s">
        <v>842</v>
      </c>
      <c r="C1519">
        <v>10</v>
      </c>
      <c r="D1519" t="s">
        <v>25</v>
      </c>
      <c r="E1519" t="s">
        <v>94</v>
      </c>
      <c r="F1519" t="s">
        <v>105</v>
      </c>
      <c r="G1519" t="s">
        <v>112</v>
      </c>
      <c r="H1519" t="s">
        <v>112</v>
      </c>
      <c r="J1519">
        <v>0</v>
      </c>
      <c r="K1519">
        <v>1</v>
      </c>
      <c r="L1519">
        <v>67.5</v>
      </c>
      <c r="M1519">
        <v>47.937235809999997</v>
      </c>
      <c r="N1519">
        <v>0.41599678000000001</v>
      </c>
      <c r="O1519">
        <v>65.09375</v>
      </c>
      <c r="P1519">
        <v>37.895352600000002</v>
      </c>
      <c r="Q1519">
        <v>2.2882677779999998</v>
      </c>
      <c r="R1519" t="s">
        <v>1018</v>
      </c>
      <c r="S1519">
        <v>-1.8722709979999999</v>
      </c>
    </row>
    <row r="1520" spans="1:19" x14ac:dyDescent="0.25">
      <c r="A1520" t="s">
        <v>73</v>
      </c>
      <c r="B1520" t="s">
        <v>843</v>
      </c>
      <c r="C1520">
        <v>10</v>
      </c>
      <c r="D1520" t="s">
        <v>25</v>
      </c>
      <c r="E1520" t="s">
        <v>94</v>
      </c>
      <c r="F1520" t="s">
        <v>110</v>
      </c>
      <c r="G1520" t="s">
        <v>110</v>
      </c>
      <c r="H1520" t="s">
        <v>110</v>
      </c>
      <c r="J1520">
        <v>0</v>
      </c>
      <c r="K1520">
        <v>3</v>
      </c>
      <c r="L1520">
        <v>73.260869569999997</v>
      </c>
      <c r="M1520">
        <v>34.453830549999999</v>
      </c>
      <c r="N1520">
        <v>1.058333333</v>
      </c>
      <c r="O1520">
        <v>73.260869569999997</v>
      </c>
      <c r="P1520">
        <v>34.453830549999999</v>
      </c>
      <c r="Q1520">
        <v>1.058333333</v>
      </c>
      <c r="R1520" t="s">
        <v>1018</v>
      </c>
      <c r="S1520">
        <v>0</v>
      </c>
    </row>
    <row r="1521" spans="1:19" x14ac:dyDescent="0.25">
      <c r="A1521" t="s">
        <v>73</v>
      </c>
      <c r="B1521" t="s">
        <v>843</v>
      </c>
      <c r="C1521">
        <v>10</v>
      </c>
      <c r="D1521" t="s">
        <v>25</v>
      </c>
      <c r="E1521" t="s">
        <v>94</v>
      </c>
      <c r="F1521" t="s">
        <v>110</v>
      </c>
      <c r="G1521" t="s">
        <v>110</v>
      </c>
      <c r="H1521" t="s">
        <v>251</v>
      </c>
      <c r="J1521">
        <v>0</v>
      </c>
      <c r="K1521">
        <v>1</v>
      </c>
      <c r="L1521">
        <v>73.260869569999997</v>
      </c>
      <c r="M1521">
        <v>34.453830549999999</v>
      </c>
      <c r="N1521">
        <v>1.058333333</v>
      </c>
      <c r="O1521">
        <v>85</v>
      </c>
      <c r="P1521">
        <v>37.099157669999997</v>
      </c>
      <c r="Q1521">
        <v>0.65291888899999995</v>
      </c>
      <c r="R1521" t="s">
        <v>1018</v>
      </c>
      <c r="S1521">
        <v>0.40541444400000004</v>
      </c>
    </row>
    <row r="1522" spans="1:19" x14ac:dyDescent="0.25">
      <c r="A1522" t="s">
        <v>73</v>
      </c>
      <c r="B1522" t="s">
        <v>843</v>
      </c>
      <c r="C1522">
        <v>10</v>
      </c>
      <c r="D1522" t="s">
        <v>25</v>
      </c>
      <c r="E1522" t="s">
        <v>94</v>
      </c>
      <c r="F1522" t="s">
        <v>110</v>
      </c>
      <c r="G1522" t="s">
        <v>110</v>
      </c>
      <c r="H1522" t="s">
        <v>246</v>
      </c>
      <c r="J1522">
        <v>0</v>
      </c>
      <c r="K1522">
        <v>1</v>
      </c>
      <c r="L1522">
        <v>73.260869569999997</v>
      </c>
      <c r="M1522">
        <v>34.453830549999999</v>
      </c>
      <c r="N1522">
        <v>1.058333333</v>
      </c>
      <c r="O1522">
        <v>120.25</v>
      </c>
      <c r="P1522">
        <v>30.670450110000001</v>
      </c>
      <c r="Q1522">
        <v>0.91037498500000003</v>
      </c>
      <c r="R1522" t="s">
        <v>1018</v>
      </c>
      <c r="S1522">
        <v>0.14795834799999996</v>
      </c>
    </row>
    <row r="1523" spans="1:19" x14ac:dyDescent="0.25">
      <c r="A1523" t="s">
        <v>73</v>
      </c>
      <c r="B1523" t="s">
        <v>844</v>
      </c>
      <c r="C1523">
        <v>10</v>
      </c>
      <c r="D1523" t="s">
        <v>25</v>
      </c>
      <c r="E1523" t="s">
        <v>94</v>
      </c>
      <c r="F1523" t="s">
        <v>104</v>
      </c>
      <c r="G1523" t="s">
        <v>104</v>
      </c>
      <c r="H1523" t="s">
        <v>104</v>
      </c>
      <c r="J1523">
        <v>0</v>
      </c>
      <c r="K1523">
        <v>1</v>
      </c>
      <c r="L1523">
        <v>113.9375</v>
      </c>
      <c r="M1523">
        <v>33.375507550000002</v>
      </c>
      <c r="N1523">
        <v>2.4262999999999999</v>
      </c>
      <c r="O1523">
        <v>113.9375</v>
      </c>
      <c r="P1523">
        <v>33.375507550000002</v>
      </c>
      <c r="Q1523">
        <v>2.4262999999999999</v>
      </c>
      <c r="R1523" t="s">
        <v>1018</v>
      </c>
      <c r="S1523">
        <v>0</v>
      </c>
    </row>
    <row r="1524" spans="1:19" x14ac:dyDescent="0.25">
      <c r="A1524" t="s">
        <v>73</v>
      </c>
      <c r="B1524" t="s">
        <v>845</v>
      </c>
      <c r="C1524">
        <v>10</v>
      </c>
      <c r="D1524" t="s">
        <v>25</v>
      </c>
      <c r="E1524" t="s">
        <v>94</v>
      </c>
      <c r="F1524" t="s">
        <v>112</v>
      </c>
      <c r="G1524" t="s">
        <v>121</v>
      </c>
      <c r="H1524" t="s">
        <v>114</v>
      </c>
      <c r="J1524">
        <v>0</v>
      </c>
      <c r="K1524" t="s">
        <v>114</v>
      </c>
      <c r="L1524">
        <v>65.09375</v>
      </c>
      <c r="M1524">
        <v>37.895352600000002</v>
      </c>
      <c r="N1524">
        <v>2.2882677779999998</v>
      </c>
      <c r="O1524" t="s">
        <v>114</v>
      </c>
      <c r="P1524" t="s">
        <v>114</v>
      </c>
      <c r="Q1524" t="s">
        <v>114</v>
      </c>
      <c r="R1524" t="s">
        <v>1018</v>
      </c>
      <c r="S1524" t="s">
        <v>114</v>
      </c>
    </row>
    <row r="1525" spans="1:19" x14ac:dyDescent="0.25">
      <c r="A1525" t="s">
        <v>74</v>
      </c>
      <c r="B1525" t="s">
        <v>846</v>
      </c>
      <c r="C1525">
        <v>10</v>
      </c>
      <c r="D1525" t="s">
        <v>27</v>
      </c>
      <c r="E1525" t="s">
        <v>95</v>
      </c>
      <c r="F1525" t="s">
        <v>102</v>
      </c>
      <c r="G1525" t="s">
        <v>113</v>
      </c>
      <c r="H1525" t="s">
        <v>113</v>
      </c>
      <c r="J1525">
        <v>0</v>
      </c>
      <c r="K1525">
        <v>3</v>
      </c>
      <c r="L1525">
        <v>84.740740740000007</v>
      </c>
      <c r="M1525">
        <v>29.167014049999999</v>
      </c>
      <c r="N1525">
        <v>1.1169849999999999</v>
      </c>
      <c r="O1525">
        <v>83.757575759999995</v>
      </c>
      <c r="P1525">
        <v>22.60997987</v>
      </c>
      <c r="Q1525">
        <v>0.72884000000000004</v>
      </c>
      <c r="R1525" t="s">
        <v>1018</v>
      </c>
      <c r="S1525">
        <v>0.38814499999999985</v>
      </c>
    </row>
    <row r="1526" spans="1:19" x14ac:dyDescent="0.25">
      <c r="A1526" t="s">
        <v>74</v>
      </c>
      <c r="B1526" t="s">
        <v>846</v>
      </c>
      <c r="C1526">
        <v>10</v>
      </c>
      <c r="D1526" t="s">
        <v>27</v>
      </c>
      <c r="E1526" t="s">
        <v>95</v>
      </c>
      <c r="F1526" t="s">
        <v>102</v>
      </c>
      <c r="G1526" t="s">
        <v>113</v>
      </c>
      <c r="H1526" t="s">
        <v>103</v>
      </c>
      <c r="J1526">
        <v>0</v>
      </c>
      <c r="K1526">
        <v>1</v>
      </c>
      <c r="L1526">
        <v>84.740740740000007</v>
      </c>
      <c r="M1526">
        <v>29.167014049999999</v>
      </c>
      <c r="N1526">
        <v>1.1169849999999999</v>
      </c>
      <c r="O1526">
        <v>98.291666669999998</v>
      </c>
      <c r="P1526">
        <v>30.315130790000001</v>
      </c>
      <c r="Q1526">
        <v>5.0803484000000003E-2</v>
      </c>
      <c r="R1526" t="s">
        <v>1018</v>
      </c>
      <c r="S1526">
        <v>1.0661815159999999</v>
      </c>
    </row>
    <row r="1527" spans="1:19" x14ac:dyDescent="0.25">
      <c r="A1527" t="s">
        <v>74</v>
      </c>
      <c r="B1527" t="s">
        <v>847</v>
      </c>
      <c r="C1527">
        <v>10</v>
      </c>
      <c r="D1527" t="s">
        <v>27</v>
      </c>
      <c r="E1527" t="s">
        <v>95</v>
      </c>
      <c r="F1527" t="s">
        <v>113</v>
      </c>
      <c r="G1527" t="s">
        <v>113</v>
      </c>
      <c r="H1527" t="s">
        <v>113</v>
      </c>
      <c r="J1527">
        <v>0</v>
      </c>
      <c r="K1527">
        <v>1</v>
      </c>
      <c r="L1527">
        <v>83.757575759999995</v>
      </c>
      <c r="M1527">
        <v>22.60997987</v>
      </c>
      <c r="N1527">
        <v>0.72884000000000004</v>
      </c>
      <c r="O1527">
        <v>83.757575759999995</v>
      </c>
      <c r="P1527">
        <v>22.60997987</v>
      </c>
      <c r="Q1527">
        <v>0.72884000000000004</v>
      </c>
      <c r="R1527" t="s">
        <v>1018</v>
      </c>
      <c r="S1527">
        <v>0</v>
      </c>
    </row>
    <row r="1528" spans="1:19" x14ac:dyDescent="0.25">
      <c r="A1528" t="s">
        <v>74</v>
      </c>
      <c r="B1528" t="s">
        <v>847</v>
      </c>
      <c r="C1528">
        <v>10</v>
      </c>
      <c r="D1528" t="s">
        <v>27</v>
      </c>
      <c r="E1528" t="s">
        <v>95</v>
      </c>
      <c r="F1528" t="s">
        <v>113</v>
      </c>
      <c r="G1528" t="s">
        <v>113</v>
      </c>
      <c r="H1528" t="s">
        <v>248</v>
      </c>
      <c r="J1528">
        <v>0</v>
      </c>
      <c r="K1528">
        <v>2</v>
      </c>
      <c r="L1528">
        <v>83.757575759999995</v>
      </c>
      <c r="M1528">
        <v>22.60997987</v>
      </c>
      <c r="N1528">
        <v>0.72884000000000004</v>
      </c>
      <c r="O1528">
        <v>83.92307692</v>
      </c>
      <c r="P1528">
        <v>44.319135699999997</v>
      </c>
      <c r="Q1528">
        <v>5.9548609999999997E-3</v>
      </c>
      <c r="R1528" t="s">
        <v>1018</v>
      </c>
      <c r="S1528">
        <v>0.72288513900000007</v>
      </c>
    </row>
    <row r="1529" spans="1:19" x14ac:dyDescent="0.25">
      <c r="A1529" t="s">
        <v>74</v>
      </c>
      <c r="B1529" t="s">
        <v>848</v>
      </c>
      <c r="C1529">
        <v>10</v>
      </c>
      <c r="D1529" t="s">
        <v>27</v>
      </c>
      <c r="E1529" t="s">
        <v>95</v>
      </c>
      <c r="F1529" t="s">
        <v>103</v>
      </c>
      <c r="G1529" t="s">
        <v>113</v>
      </c>
      <c r="H1529" t="s">
        <v>113</v>
      </c>
      <c r="J1529">
        <v>0</v>
      </c>
      <c r="K1529">
        <v>1</v>
      </c>
      <c r="L1529">
        <v>98.291666669999998</v>
      </c>
      <c r="M1529">
        <v>30.315130790000001</v>
      </c>
      <c r="N1529">
        <v>5.0803484000000003E-2</v>
      </c>
      <c r="O1529">
        <v>83.757575759999995</v>
      </c>
      <c r="P1529">
        <v>22.60997987</v>
      </c>
      <c r="Q1529">
        <v>0.72884000000000004</v>
      </c>
      <c r="R1529" t="s">
        <v>1018</v>
      </c>
      <c r="S1529">
        <v>-0.67803651600000003</v>
      </c>
    </row>
    <row r="1530" spans="1:19" x14ac:dyDescent="0.25">
      <c r="A1530" t="s">
        <v>75</v>
      </c>
      <c r="B1530" t="s">
        <v>849</v>
      </c>
      <c r="C1530">
        <v>10</v>
      </c>
      <c r="D1530" t="s">
        <v>29</v>
      </c>
      <c r="E1530" t="s">
        <v>94</v>
      </c>
      <c r="F1530" t="s">
        <v>105</v>
      </c>
      <c r="G1530" t="s">
        <v>121</v>
      </c>
      <c r="H1530" t="s">
        <v>251</v>
      </c>
      <c r="J1530">
        <v>0</v>
      </c>
      <c r="K1530">
        <v>1</v>
      </c>
      <c r="L1530">
        <v>67.5</v>
      </c>
      <c r="M1530">
        <v>47.937235809999997</v>
      </c>
      <c r="N1530">
        <v>0.41599678000000001</v>
      </c>
      <c r="O1530">
        <v>85</v>
      </c>
      <c r="P1530">
        <v>37.099157669999997</v>
      </c>
      <c r="Q1530">
        <v>0.65291888899999995</v>
      </c>
      <c r="R1530" t="s">
        <v>1018</v>
      </c>
      <c r="S1530">
        <v>-0.23692210899999994</v>
      </c>
    </row>
    <row r="1531" spans="1:19" x14ac:dyDescent="0.25">
      <c r="A1531" t="s">
        <v>75</v>
      </c>
      <c r="B1531" t="s">
        <v>849</v>
      </c>
      <c r="C1531">
        <v>10</v>
      </c>
      <c r="D1531" t="s">
        <v>29</v>
      </c>
      <c r="E1531" t="s">
        <v>94</v>
      </c>
      <c r="F1531" t="s">
        <v>105</v>
      </c>
      <c r="G1531" t="s">
        <v>121</v>
      </c>
      <c r="H1531" t="s">
        <v>244</v>
      </c>
      <c r="J1531">
        <v>0</v>
      </c>
      <c r="K1531">
        <v>1</v>
      </c>
      <c r="L1531">
        <v>67.5</v>
      </c>
      <c r="M1531">
        <v>47.937235809999997</v>
      </c>
      <c r="N1531">
        <v>0.41599678000000001</v>
      </c>
      <c r="O1531">
        <v>75</v>
      </c>
      <c r="P1531">
        <v>28.80614499</v>
      </c>
      <c r="Q1531">
        <v>2.3860428570000001</v>
      </c>
      <c r="R1531" t="s">
        <v>1018</v>
      </c>
      <c r="S1531">
        <v>-1.9700460770000001</v>
      </c>
    </row>
    <row r="1532" spans="1:19" x14ac:dyDescent="0.25">
      <c r="A1532" t="s">
        <v>75</v>
      </c>
      <c r="B1532" t="s">
        <v>850</v>
      </c>
      <c r="C1532">
        <v>10</v>
      </c>
      <c r="D1532" t="s">
        <v>29</v>
      </c>
      <c r="E1532" t="s">
        <v>94</v>
      </c>
      <c r="F1532" t="s">
        <v>110</v>
      </c>
      <c r="G1532" t="s">
        <v>104</v>
      </c>
      <c r="H1532" t="s">
        <v>104</v>
      </c>
      <c r="J1532">
        <v>0</v>
      </c>
      <c r="K1532">
        <v>2</v>
      </c>
      <c r="L1532">
        <v>73.260869569999997</v>
      </c>
      <c r="M1532">
        <v>34.453830549999999</v>
      </c>
      <c r="N1532">
        <v>1.058333333</v>
      </c>
      <c r="O1532">
        <v>113.9375</v>
      </c>
      <c r="P1532">
        <v>33.375507550000002</v>
      </c>
      <c r="Q1532">
        <v>2.4262999999999999</v>
      </c>
      <c r="R1532" t="s">
        <v>1018</v>
      </c>
      <c r="S1532">
        <v>-1.3679666669999999</v>
      </c>
    </row>
    <row r="1533" spans="1:19" x14ac:dyDescent="0.25">
      <c r="A1533" t="s">
        <v>75</v>
      </c>
      <c r="B1533" t="s">
        <v>851</v>
      </c>
      <c r="C1533">
        <v>10</v>
      </c>
      <c r="D1533" t="s">
        <v>29</v>
      </c>
      <c r="E1533" t="s">
        <v>94</v>
      </c>
      <c r="F1533" t="s">
        <v>103</v>
      </c>
      <c r="G1533" t="s">
        <v>121</v>
      </c>
      <c r="H1533" t="s">
        <v>251</v>
      </c>
      <c r="J1533">
        <v>0</v>
      </c>
      <c r="K1533">
        <v>1</v>
      </c>
      <c r="L1533">
        <v>98.291666669999998</v>
      </c>
      <c r="M1533">
        <v>30.315130790000001</v>
      </c>
      <c r="N1533">
        <v>5.0803484000000003E-2</v>
      </c>
      <c r="O1533">
        <v>85</v>
      </c>
      <c r="P1533">
        <v>37.099157669999997</v>
      </c>
      <c r="Q1533">
        <v>0.65291888899999995</v>
      </c>
      <c r="R1533" t="s">
        <v>1018</v>
      </c>
      <c r="S1533">
        <v>-0.60211540499999994</v>
      </c>
    </row>
    <row r="1534" spans="1:19" x14ac:dyDescent="0.25">
      <c r="A1534" t="s">
        <v>75</v>
      </c>
      <c r="B1534" t="s">
        <v>851</v>
      </c>
      <c r="C1534">
        <v>10</v>
      </c>
      <c r="D1534" t="s">
        <v>29</v>
      </c>
      <c r="E1534" t="s">
        <v>94</v>
      </c>
      <c r="F1534" t="s">
        <v>103</v>
      </c>
      <c r="G1534" t="s">
        <v>121</v>
      </c>
      <c r="H1534" t="s">
        <v>233</v>
      </c>
      <c r="J1534">
        <v>0</v>
      </c>
      <c r="K1534">
        <v>1</v>
      </c>
      <c r="L1534">
        <v>98.291666669999998</v>
      </c>
      <c r="M1534">
        <v>30.315130790000001</v>
      </c>
      <c r="N1534">
        <v>5.0803484000000003E-2</v>
      </c>
      <c r="O1534">
        <v>106.0540541</v>
      </c>
      <c r="P1534">
        <v>52.690533369999997</v>
      </c>
      <c r="Q1534">
        <v>7.6058968000000005E-2</v>
      </c>
      <c r="R1534" t="s">
        <v>1018</v>
      </c>
      <c r="S1534">
        <v>-2.5255484000000002E-2</v>
      </c>
    </row>
    <row r="1535" spans="1:19" x14ac:dyDescent="0.25">
      <c r="A1535" t="s">
        <v>75</v>
      </c>
      <c r="B1535" t="s">
        <v>851</v>
      </c>
      <c r="C1535">
        <v>10</v>
      </c>
      <c r="D1535" t="s">
        <v>29</v>
      </c>
      <c r="E1535" t="s">
        <v>94</v>
      </c>
      <c r="F1535" t="s">
        <v>103</v>
      </c>
      <c r="G1535" t="s">
        <v>121</v>
      </c>
      <c r="H1535" t="s">
        <v>105</v>
      </c>
      <c r="J1535">
        <v>0</v>
      </c>
      <c r="K1535">
        <v>1</v>
      </c>
      <c r="L1535">
        <v>98.291666669999998</v>
      </c>
      <c r="M1535">
        <v>30.315130790000001</v>
      </c>
      <c r="N1535">
        <v>5.0803484000000003E-2</v>
      </c>
      <c r="O1535">
        <v>67.5</v>
      </c>
      <c r="P1535">
        <v>47.937235809999997</v>
      </c>
      <c r="Q1535">
        <v>0.41599678000000001</v>
      </c>
      <c r="R1535" t="s">
        <v>1018</v>
      </c>
      <c r="S1535">
        <v>-0.365193296</v>
      </c>
    </row>
    <row r="1536" spans="1:19" x14ac:dyDescent="0.25">
      <c r="A1536" t="s">
        <v>76</v>
      </c>
      <c r="B1536" t="s">
        <v>852</v>
      </c>
      <c r="C1536">
        <v>10</v>
      </c>
      <c r="D1536" t="s">
        <v>31</v>
      </c>
      <c r="E1536" t="s">
        <v>94</v>
      </c>
      <c r="F1536" t="s">
        <v>113</v>
      </c>
      <c r="G1536" t="s">
        <v>113</v>
      </c>
      <c r="H1536" t="s">
        <v>113</v>
      </c>
      <c r="J1536">
        <v>0</v>
      </c>
      <c r="K1536">
        <v>2</v>
      </c>
      <c r="L1536">
        <v>83.757575759999995</v>
      </c>
      <c r="M1536">
        <v>22.60997987</v>
      </c>
      <c r="N1536">
        <v>0.72884000000000004</v>
      </c>
      <c r="O1536">
        <v>83.757575759999995</v>
      </c>
      <c r="P1536">
        <v>22.60997987</v>
      </c>
      <c r="Q1536">
        <v>0.72884000000000004</v>
      </c>
      <c r="R1536" t="s">
        <v>1018</v>
      </c>
      <c r="S1536">
        <v>0</v>
      </c>
    </row>
    <row r="1537" spans="1:19" x14ac:dyDescent="0.25">
      <c r="A1537" t="s">
        <v>76</v>
      </c>
      <c r="B1537" t="s">
        <v>852</v>
      </c>
      <c r="C1537">
        <v>10</v>
      </c>
      <c r="D1537" t="s">
        <v>31</v>
      </c>
      <c r="E1537" t="s">
        <v>94</v>
      </c>
      <c r="F1537" t="s">
        <v>113</v>
      </c>
      <c r="G1537" t="s">
        <v>113</v>
      </c>
      <c r="H1537" t="s">
        <v>238</v>
      </c>
      <c r="J1537">
        <v>0</v>
      </c>
      <c r="K1537">
        <v>1</v>
      </c>
      <c r="L1537">
        <v>83.757575759999995</v>
      </c>
      <c r="M1537">
        <v>22.60997987</v>
      </c>
      <c r="N1537">
        <v>0.72884000000000004</v>
      </c>
      <c r="O1537">
        <v>87.5</v>
      </c>
      <c r="P1537">
        <v>29.478311600000001</v>
      </c>
      <c r="Q1537">
        <v>3.0797751000000002E-2</v>
      </c>
      <c r="R1537" t="s">
        <v>1018</v>
      </c>
      <c r="S1537">
        <v>0.698042249</v>
      </c>
    </row>
    <row r="1538" spans="1:19" x14ac:dyDescent="0.25">
      <c r="A1538" t="s">
        <v>76</v>
      </c>
      <c r="B1538" t="s">
        <v>852</v>
      </c>
      <c r="C1538">
        <v>10</v>
      </c>
      <c r="D1538" t="s">
        <v>31</v>
      </c>
      <c r="E1538" t="s">
        <v>94</v>
      </c>
      <c r="F1538" t="s">
        <v>113</v>
      </c>
      <c r="G1538" t="s">
        <v>113</v>
      </c>
      <c r="H1538" t="s">
        <v>235</v>
      </c>
      <c r="J1538">
        <v>0</v>
      </c>
      <c r="K1538">
        <v>5</v>
      </c>
      <c r="L1538">
        <v>83.757575759999995</v>
      </c>
      <c r="M1538">
        <v>22.60997987</v>
      </c>
      <c r="N1538">
        <v>0.72884000000000004</v>
      </c>
      <c r="O1538">
        <v>132.27272730000001</v>
      </c>
      <c r="P1538">
        <v>20.180448590000001</v>
      </c>
      <c r="Q1538">
        <v>3.7813451999999997E-2</v>
      </c>
      <c r="R1538" t="s">
        <v>1018</v>
      </c>
      <c r="S1538">
        <v>0.69102654800000007</v>
      </c>
    </row>
    <row r="1539" spans="1:19" x14ac:dyDescent="0.25">
      <c r="A1539" t="s">
        <v>77</v>
      </c>
      <c r="B1539" t="s">
        <v>853</v>
      </c>
      <c r="C1539">
        <v>10</v>
      </c>
      <c r="D1539" t="s">
        <v>33</v>
      </c>
      <c r="E1539" t="s">
        <v>94</v>
      </c>
      <c r="F1539" t="s">
        <v>102</v>
      </c>
      <c r="G1539" t="s">
        <v>110</v>
      </c>
      <c r="H1539" t="s">
        <v>110</v>
      </c>
      <c r="J1539">
        <v>0</v>
      </c>
      <c r="K1539">
        <v>1</v>
      </c>
      <c r="L1539">
        <v>84.740740740000007</v>
      </c>
      <c r="M1539">
        <v>29.167014049999999</v>
      </c>
      <c r="N1539">
        <v>1.1169849999999999</v>
      </c>
      <c r="O1539">
        <v>73.260869569999997</v>
      </c>
      <c r="P1539">
        <v>34.453830549999999</v>
      </c>
      <c r="Q1539">
        <v>1.058333333</v>
      </c>
      <c r="R1539" t="s">
        <v>1018</v>
      </c>
      <c r="S1539">
        <v>5.8651666999999907E-2</v>
      </c>
    </row>
    <row r="1540" spans="1:19" x14ac:dyDescent="0.25">
      <c r="A1540" t="s">
        <v>77</v>
      </c>
      <c r="B1540" t="s">
        <v>853</v>
      </c>
      <c r="C1540">
        <v>10</v>
      </c>
      <c r="D1540" t="s">
        <v>33</v>
      </c>
      <c r="E1540" t="s">
        <v>94</v>
      </c>
      <c r="F1540" t="s">
        <v>102</v>
      </c>
      <c r="G1540" t="s">
        <v>110</v>
      </c>
      <c r="H1540" t="s">
        <v>162</v>
      </c>
      <c r="J1540">
        <v>0</v>
      </c>
      <c r="K1540">
        <v>1</v>
      </c>
      <c r="L1540">
        <v>84.740740740000007</v>
      </c>
      <c r="M1540">
        <v>29.167014049999999</v>
      </c>
      <c r="N1540">
        <v>1.1169849999999999</v>
      </c>
      <c r="O1540">
        <v>82.53846154</v>
      </c>
      <c r="P1540">
        <v>35.660530039999998</v>
      </c>
      <c r="Q1540">
        <v>3.3754499999999998</v>
      </c>
      <c r="R1540" t="s">
        <v>1018</v>
      </c>
      <c r="S1540">
        <v>-2.2584650000000002</v>
      </c>
    </row>
    <row r="1541" spans="1:19" x14ac:dyDescent="0.25">
      <c r="A1541" t="s">
        <v>77</v>
      </c>
      <c r="B1541" t="s">
        <v>854</v>
      </c>
      <c r="C1541">
        <v>10</v>
      </c>
      <c r="D1541" t="s">
        <v>33</v>
      </c>
      <c r="E1541" t="s">
        <v>94</v>
      </c>
      <c r="F1541" t="s">
        <v>110</v>
      </c>
      <c r="G1541" t="s">
        <v>110</v>
      </c>
      <c r="H1541" t="s">
        <v>110</v>
      </c>
      <c r="J1541">
        <v>0</v>
      </c>
      <c r="K1541">
        <v>3</v>
      </c>
      <c r="L1541">
        <v>73.260869569999997</v>
      </c>
      <c r="M1541">
        <v>34.453830549999999</v>
      </c>
      <c r="N1541">
        <v>1.058333333</v>
      </c>
      <c r="O1541">
        <v>73.260869569999997</v>
      </c>
      <c r="P1541">
        <v>34.453830549999999</v>
      </c>
      <c r="Q1541">
        <v>1.058333333</v>
      </c>
      <c r="R1541" t="s">
        <v>1018</v>
      </c>
      <c r="S1541">
        <v>0</v>
      </c>
    </row>
    <row r="1542" spans="1:19" x14ac:dyDescent="0.25">
      <c r="A1542" t="s">
        <v>78</v>
      </c>
      <c r="B1542" t="s">
        <v>855</v>
      </c>
      <c r="C1542">
        <v>10</v>
      </c>
      <c r="D1542" t="s">
        <v>35</v>
      </c>
      <c r="E1542" t="s">
        <v>94</v>
      </c>
      <c r="F1542" t="s">
        <v>111</v>
      </c>
      <c r="G1542" t="s">
        <v>121</v>
      </c>
      <c r="H1542" t="s">
        <v>114</v>
      </c>
      <c r="J1542">
        <v>0</v>
      </c>
      <c r="K1542">
        <v>0</v>
      </c>
      <c r="L1542">
        <v>94.97142857</v>
      </c>
      <c r="M1542">
        <v>24.31591813</v>
      </c>
      <c r="N1542">
        <v>0.122951111</v>
      </c>
      <c r="O1542" t="s">
        <v>114</v>
      </c>
      <c r="P1542" t="s">
        <v>114</v>
      </c>
      <c r="Q1542" t="s">
        <v>114</v>
      </c>
      <c r="R1542" t="s">
        <v>1018</v>
      </c>
      <c r="S1542" t="s">
        <v>114</v>
      </c>
    </row>
    <row r="1543" spans="1:19" x14ac:dyDescent="0.25">
      <c r="A1543" t="s">
        <v>50</v>
      </c>
      <c r="B1543" t="s">
        <v>856</v>
      </c>
      <c r="C1543">
        <v>12</v>
      </c>
      <c r="D1543" t="s">
        <v>11</v>
      </c>
      <c r="E1543" t="s">
        <v>95</v>
      </c>
      <c r="F1543" t="s">
        <v>113</v>
      </c>
      <c r="G1543" t="s">
        <v>113</v>
      </c>
      <c r="H1543" t="s">
        <v>113</v>
      </c>
      <c r="J1543">
        <v>0</v>
      </c>
      <c r="K1543">
        <v>6</v>
      </c>
      <c r="L1543">
        <v>83.757575759999995</v>
      </c>
      <c r="M1543">
        <v>22.60997987</v>
      </c>
      <c r="N1543">
        <v>0.72884000000000004</v>
      </c>
      <c r="O1543">
        <v>83.757575759999995</v>
      </c>
      <c r="P1543">
        <v>22.60997987</v>
      </c>
      <c r="Q1543">
        <v>0.72884000000000004</v>
      </c>
      <c r="R1543" t="s">
        <v>1018</v>
      </c>
      <c r="S1543">
        <v>0</v>
      </c>
    </row>
    <row r="1544" spans="1:19" x14ac:dyDescent="0.25">
      <c r="A1544" t="s">
        <v>50</v>
      </c>
      <c r="B1544" t="s">
        <v>856</v>
      </c>
      <c r="C1544">
        <v>12</v>
      </c>
      <c r="D1544" t="s">
        <v>11</v>
      </c>
      <c r="E1544" t="s">
        <v>95</v>
      </c>
      <c r="F1544" t="s">
        <v>113</v>
      </c>
      <c r="G1544" t="s">
        <v>113</v>
      </c>
      <c r="H1544" t="s">
        <v>238</v>
      </c>
      <c r="J1544">
        <v>0</v>
      </c>
      <c r="K1544">
        <v>1</v>
      </c>
      <c r="L1544">
        <v>83.757575759999995</v>
      </c>
      <c r="M1544">
        <v>22.60997987</v>
      </c>
      <c r="N1544">
        <v>0.72884000000000004</v>
      </c>
      <c r="O1544">
        <v>87.5</v>
      </c>
      <c r="P1544">
        <v>29.478311600000001</v>
      </c>
      <c r="Q1544">
        <v>3.0797751000000002E-2</v>
      </c>
      <c r="R1544" t="s">
        <v>1018</v>
      </c>
      <c r="S1544">
        <v>0.698042249</v>
      </c>
    </row>
    <row r="1545" spans="1:19" x14ac:dyDescent="0.25">
      <c r="A1545" t="s">
        <v>50</v>
      </c>
      <c r="B1545" t="s">
        <v>857</v>
      </c>
      <c r="C1545">
        <v>12</v>
      </c>
      <c r="D1545" t="s">
        <v>11</v>
      </c>
      <c r="E1545" t="s">
        <v>95</v>
      </c>
      <c r="F1545" t="s">
        <v>103</v>
      </c>
      <c r="G1545" t="s">
        <v>113</v>
      </c>
      <c r="H1545" t="s">
        <v>113</v>
      </c>
      <c r="J1545">
        <v>0</v>
      </c>
      <c r="K1545">
        <v>4</v>
      </c>
      <c r="L1545">
        <v>98.291666669999998</v>
      </c>
      <c r="M1545">
        <v>30.315130790000001</v>
      </c>
      <c r="N1545">
        <v>5.0803484000000003E-2</v>
      </c>
      <c r="O1545">
        <v>83.757575759999995</v>
      </c>
      <c r="P1545">
        <v>22.60997987</v>
      </c>
      <c r="Q1545">
        <v>0.72884000000000004</v>
      </c>
      <c r="R1545" t="s">
        <v>1018</v>
      </c>
      <c r="S1545">
        <v>-0.67803651600000003</v>
      </c>
    </row>
    <row r="1546" spans="1:19" x14ac:dyDescent="0.25">
      <c r="A1546" t="s">
        <v>50</v>
      </c>
      <c r="B1546" t="s">
        <v>857</v>
      </c>
      <c r="C1546">
        <v>12</v>
      </c>
      <c r="D1546" t="s">
        <v>11</v>
      </c>
      <c r="E1546" t="s">
        <v>95</v>
      </c>
      <c r="F1546" t="s">
        <v>103</v>
      </c>
      <c r="G1546" t="s">
        <v>113</v>
      </c>
      <c r="H1546" t="s">
        <v>242</v>
      </c>
      <c r="J1546">
        <v>0</v>
      </c>
      <c r="K1546">
        <v>3</v>
      </c>
      <c r="L1546">
        <v>98.291666669999998</v>
      </c>
      <c r="M1546">
        <v>30.315130790000001</v>
      </c>
      <c r="N1546">
        <v>5.0803484000000003E-2</v>
      </c>
      <c r="O1546">
        <v>139.375</v>
      </c>
      <c r="P1546">
        <v>23.713465920000001</v>
      </c>
      <c r="Q1546" t="s">
        <v>114</v>
      </c>
      <c r="R1546" t="s">
        <v>1018</v>
      </c>
      <c r="S1546" t="s">
        <v>114</v>
      </c>
    </row>
    <row r="1547" spans="1:19" x14ac:dyDescent="0.25">
      <c r="A1547" t="s">
        <v>50</v>
      </c>
      <c r="B1547" t="s">
        <v>858</v>
      </c>
      <c r="C1547">
        <v>12</v>
      </c>
      <c r="D1547" t="s">
        <v>11</v>
      </c>
      <c r="E1547" t="s">
        <v>95</v>
      </c>
      <c r="F1547" t="s">
        <v>111</v>
      </c>
      <c r="G1547" t="s">
        <v>113</v>
      </c>
      <c r="H1547" t="s">
        <v>113</v>
      </c>
      <c r="J1547">
        <v>0</v>
      </c>
      <c r="K1547">
        <v>3</v>
      </c>
      <c r="L1547">
        <v>94.97142857</v>
      </c>
      <c r="M1547">
        <v>24.31591813</v>
      </c>
      <c r="N1547">
        <v>0.122951111</v>
      </c>
      <c r="O1547">
        <v>83.757575759999995</v>
      </c>
      <c r="P1547">
        <v>22.60997987</v>
      </c>
      <c r="Q1547">
        <v>0.72884000000000004</v>
      </c>
      <c r="R1547" t="s">
        <v>1018</v>
      </c>
      <c r="S1547">
        <v>-0.60588888900000004</v>
      </c>
    </row>
    <row r="1548" spans="1:19" x14ac:dyDescent="0.25">
      <c r="A1548" t="s">
        <v>50</v>
      </c>
      <c r="B1548" t="s">
        <v>858</v>
      </c>
      <c r="C1548">
        <v>12</v>
      </c>
      <c r="D1548" t="s">
        <v>11</v>
      </c>
      <c r="E1548" t="s">
        <v>95</v>
      </c>
      <c r="F1548" t="s">
        <v>111</v>
      </c>
      <c r="G1548" t="s">
        <v>113</v>
      </c>
      <c r="H1548" t="s">
        <v>242</v>
      </c>
      <c r="J1548">
        <v>0</v>
      </c>
      <c r="K1548">
        <v>2</v>
      </c>
      <c r="L1548">
        <v>94.97142857</v>
      </c>
      <c r="M1548">
        <v>24.31591813</v>
      </c>
      <c r="N1548">
        <v>0.122951111</v>
      </c>
      <c r="O1548">
        <v>139.375</v>
      </c>
      <c r="P1548">
        <v>23.713465920000001</v>
      </c>
      <c r="Q1548" t="s">
        <v>114</v>
      </c>
      <c r="R1548" t="s">
        <v>1018</v>
      </c>
      <c r="S1548" t="s">
        <v>114</v>
      </c>
    </row>
    <row r="1549" spans="1:19" x14ac:dyDescent="0.25">
      <c r="A1549" t="s">
        <v>50</v>
      </c>
      <c r="B1549" t="s">
        <v>859</v>
      </c>
      <c r="C1549">
        <v>12</v>
      </c>
      <c r="D1549" t="s">
        <v>11</v>
      </c>
      <c r="E1549" t="s">
        <v>95</v>
      </c>
      <c r="F1549" t="s">
        <v>104</v>
      </c>
      <c r="G1549" t="s">
        <v>121</v>
      </c>
      <c r="H1549" t="s">
        <v>103</v>
      </c>
      <c r="J1549">
        <v>0</v>
      </c>
      <c r="K1549">
        <v>1</v>
      </c>
      <c r="L1549">
        <v>113.9375</v>
      </c>
      <c r="M1549">
        <v>33.375507550000002</v>
      </c>
      <c r="N1549">
        <v>2.4262999999999999</v>
      </c>
      <c r="O1549">
        <v>98.291666669999998</v>
      </c>
      <c r="P1549">
        <v>30.315130790000001</v>
      </c>
      <c r="Q1549">
        <v>5.0803484000000003E-2</v>
      </c>
      <c r="R1549" t="s">
        <v>1018</v>
      </c>
      <c r="S1549">
        <v>2.3754965160000001</v>
      </c>
    </row>
    <row r="1550" spans="1:19" x14ac:dyDescent="0.25">
      <c r="A1550" t="s">
        <v>50</v>
      </c>
      <c r="B1550" t="s">
        <v>859</v>
      </c>
      <c r="C1550">
        <v>12</v>
      </c>
      <c r="D1550" t="s">
        <v>11</v>
      </c>
      <c r="E1550" t="s">
        <v>95</v>
      </c>
      <c r="F1550" t="s">
        <v>104</v>
      </c>
      <c r="G1550" t="s">
        <v>121</v>
      </c>
      <c r="H1550" t="s">
        <v>238</v>
      </c>
      <c r="J1550">
        <v>0</v>
      </c>
      <c r="K1550">
        <v>1</v>
      </c>
      <c r="L1550">
        <v>113.9375</v>
      </c>
      <c r="M1550">
        <v>33.375507550000002</v>
      </c>
      <c r="N1550">
        <v>2.4262999999999999</v>
      </c>
      <c r="O1550">
        <v>87.5</v>
      </c>
      <c r="P1550">
        <v>29.478311600000001</v>
      </c>
      <c r="Q1550">
        <v>3.0797751000000002E-2</v>
      </c>
      <c r="R1550" t="s">
        <v>1018</v>
      </c>
      <c r="S1550">
        <v>2.3955022489999998</v>
      </c>
    </row>
    <row r="1551" spans="1:19" x14ac:dyDescent="0.25">
      <c r="A1551" t="s">
        <v>51</v>
      </c>
      <c r="B1551" t="s">
        <v>860</v>
      </c>
      <c r="C1551">
        <v>12</v>
      </c>
      <c r="D1551" t="s">
        <v>15</v>
      </c>
      <c r="E1551" t="s">
        <v>94</v>
      </c>
      <c r="F1551" t="s">
        <v>105</v>
      </c>
      <c r="G1551" t="s">
        <v>104</v>
      </c>
      <c r="H1551" t="s">
        <v>104</v>
      </c>
      <c r="J1551">
        <v>0</v>
      </c>
      <c r="K1551">
        <v>2</v>
      </c>
      <c r="L1551">
        <v>67.5</v>
      </c>
      <c r="M1551">
        <v>47.937235809999997</v>
      </c>
      <c r="N1551">
        <v>0.41599678000000001</v>
      </c>
      <c r="O1551">
        <v>113.9375</v>
      </c>
      <c r="P1551">
        <v>33.375507550000002</v>
      </c>
      <c r="Q1551">
        <v>2.4262999999999999</v>
      </c>
      <c r="R1551" t="s">
        <v>1018</v>
      </c>
      <c r="S1551">
        <v>-2.0103032199999999</v>
      </c>
    </row>
    <row r="1552" spans="1:19" x14ac:dyDescent="0.25">
      <c r="A1552" t="s">
        <v>51</v>
      </c>
      <c r="B1552" t="s">
        <v>861</v>
      </c>
      <c r="C1552">
        <v>12</v>
      </c>
      <c r="D1552" t="s">
        <v>15</v>
      </c>
      <c r="E1552" t="s">
        <v>94</v>
      </c>
      <c r="F1552" t="s">
        <v>111</v>
      </c>
      <c r="G1552" t="s">
        <v>121</v>
      </c>
      <c r="H1552" t="s">
        <v>241</v>
      </c>
      <c r="J1552">
        <v>0</v>
      </c>
      <c r="K1552">
        <v>1</v>
      </c>
      <c r="L1552">
        <v>94.97142857</v>
      </c>
      <c r="M1552">
        <v>24.31591813</v>
      </c>
      <c r="N1552">
        <v>0.122951111</v>
      </c>
      <c r="O1552">
        <v>114</v>
      </c>
      <c r="P1552">
        <v>30.43077242</v>
      </c>
      <c r="Q1552">
        <v>0.53383111100000002</v>
      </c>
      <c r="R1552" t="s">
        <v>1018</v>
      </c>
      <c r="S1552">
        <v>-0.41088000000000002</v>
      </c>
    </row>
    <row r="1553" spans="1:19" x14ac:dyDescent="0.25">
      <c r="A1553" t="s">
        <v>51</v>
      </c>
      <c r="B1553" t="s">
        <v>862</v>
      </c>
      <c r="C1553">
        <v>12</v>
      </c>
      <c r="D1553" t="s">
        <v>15</v>
      </c>
      <c r="E1553" t="s">
        <v>94</v>
      </c>
      <c r="F1553" t="s">
        <v>112</v>
      </c>
      <c r="G1553" t="s">
        <v>112</v>
      </c>
      <c r="H1553" t="s">
        <v>112</v>
      </c>
      <c r="J1553">
        <v>0</v>
      </c>
      <c r="K1553">
        <v>2</v>
      </c>
      <c r="L1553">
        <v>65.09375</v>
      </c>
      <c r="M1553">
        <v>37.895352600000002</v>
      </c>
      <c r="N1553">
        <v>2.2882677779999998</v>
      </c>
      <c r="O1553">
        <v>65.09375</v>
      </c>
      <c r="P1553">
        <v>37.895352600000002</v>
      </c>
      <c r="Q1553">
        <v>2.2882677779999998</v>
      </c>
      <c r="R1553" t="s">
        <v>1018</v>
      </c>
      <c r="S1553">
        <v>0</v>
      </c>
    </row>
    <row r="1554" spans="1:19" x14ac:dyDescent="0.25">
      <c r="A1554" t="s">
        <v>52</v>
      </c>
      <c r="B1554" t="s">
        <v>863</v>
      </c>
      <c r="C1554">
        <v>12</v>
      </c>
      <c r="D1554" t="s">
        <v>17</v>
      </c>
      <c r="E1554" t="s">
        <v>95</v>
      </c>
      <c r="F1554" t="s">
        <v>102</v>
      </c>
      <c r="G1554" t="s">
        <v>121</v>
      </c>
      <c r="H1554" t="s">
        <v>238</v>
      </c>
      <c r="J1554">
        <v>0</v>
      </c>
      <c r="K1554">
        <v>1</v>
      </c>
      <c r="L1554">
        <v>84.740740740000007</v>
      </c>
      <c r="M1554">
        <v>29.167014049999999</v>
      </c>
      <c r="N1554">
        <v>1.1169849999999999</v>
      </c>
      <c r="O1554">
        <v>87.5</v>
      </c>
      <c r="P1554">
        <v>29.478311600000001</v>
      </c>
      <c r="Q1554">
        <v>3.0797751000000002E-2</v>
      </c>
      <c r="R1554" t="s">
        <v>1018</v>
      </c>
      <c r="S1554">
        <v>1.086187249</v>
      </c>
    </row>
    <row r="1555" spans="1:19" x14ac:dyDescent="0.25">
      <c r="A1555" t="s">
        <v>52</v>
      </c>
      <c r="B1555" t="s">
        <v>863</v>
      </c>
      <c r="C1555">
        <v>12</v>
      </c>
      <c r="D1555" t="s">
        <v>17</v>
      </c>
      <c r="E1555" t="s">
        <v>95</v>
      </c>
      <c r="F1555" t="s">
        <v>102</v>
      </c>
      <c r="G1555" t="s">
        <v>121</v>
      </c>
      <c r="H1555" t="s">
        <v>113</v>
      </c>
      <c r="J1555">
        <v>0</v>
      </c>
      <c r="K1555">
        <v>1</v>
      </c>
      <c r="L1555">
        <v>84.740740740000007</v>
      </c>
      <c r="M1555">
        <v>29.167014049999999</v>
      </c>
      <c r="N1555">
        <v>1.1169849999999999</v>
      </c>
      <c r="O1555">
        <v>83.757575759999995</v>
      </c>
      <c r="P1555">
        <v>22.60997987</v>
      </c>
      <c r="Q1555">
        <v>0.72884000000000004</v>
      </c>
      <c r="R1555" t="s">
        <v>1018</v>
      </c>
      <c r="S1555">
        <v>0.38814499999999985</v>
      </c>
    </row>
    <row r="1556" spans="1:19" x14ac:dyDescent="0.25">
      <c r="A1556" t="s">
        <v>52</v>
      </c>
      <c r="B1556" t="s">
        <v>864</v>
      </c>
      <c r="C1556">
        <v>12</v>
      </c>
      <c r="D1556" t="s">
        <v>17</v>
      </c>
      <c r="E1556" t="s">
        <v>95</v>
      </c>
      <c r="F1556" t="s">
        <v>103</v>
      </c>
      <c r="G1556" t="s">
        <v>121</v>
      </c>
      <c r="H1556" t="s">
        <v>234</v>
      </c>
      <c r="J1556">
        <v>0</v>
      </c>
      <c r="K1556">
        <v>5</v>
      </c>
      <c r="L1556">
        <v>98.291666669999998</v>
      </c>
      <c r="M1556">
        <v>30.315130790000001</v>
      </c>
      <c r="N1556">
        <v>5.0803484000000003E-2</v>
      </c>
      <c r="O1556">
        <v>89.8125</v>
      </c>
      <c r="P1556">
        <v>34.754706650000003</v>
      </c>
      <c r="Q1556">
        <v>2.3065078999999999E-2</v>
      </c>
      <c r="R1556" t="s">
        <v>1018</v>
      </c>
      <c r="S1556">
        <v>2.7738405000000004E-2</v>
      </c>
    </row>
    <row r="1557" spans="1:19" x14ac:dyDescent="0.25">
      <c r="A1557" t="s">
        <v>52</v>
      </c>
      <c r="B1557" t="s">
        <v>865</v>
      </c>
      <c r="C1557">
        <v>12</v>
      </c>
      <c r="D1557" t="s">
        <v>17</v>
      </c>
      <c r="E1557" t="s">
        <v>95</v>
      </c>
      <c r="F1557" t="s">
        <v>111</v>
      </c>
      <c r="G1557" t="s">
        <v>103</v>
      </c>
      <c r="H1557" t="s">
        <v>103</v>
      </c>
      <c r="J1557">
        <v>0</v>
      </c>
      <c r="K1557">
        <v>1</v>
      </c>
      <c r="L1557">
        <v>94.97142857</v>
      </c>
      <c r="M1557">
        <v>24.31591813</v>
      </c>
      <c r="N1557">
        <v>0.122951111</v>
      </c>
      <c r="O1557">
        <v>98.291666669999998</v>
      </c>
      <c r="P1557">
        <v>30.315130790000001</v>
      </c>
      <c r="Q1557">
        <v>5.0803484000000003E-2</v>
      </c>
      <c r="R1557" t="s">
        <v>1018</v>
      </c>
      <c r="S1557">
        <v>7.2147626999999992E-2</v>
      </c>
    </row>
    <row r="1558" spans="1:19" x14ac:dyDescent="0.25">
      <c r="A1558" t="s">
        <v>52</v>
      </c>
      <c r="B1558" t="s">
        <v>866</v>
      </c>
      <c r="C1558">
        <v>12</v>
      </c>
      <c r="D1558" t="s">
        <v>17</v>
      </c>
      <c r="E1558" t="s">
        <v>95</v>
      </c>
      <c r="F1558" t="s">
        <v>112</v>
      </c>
      <c r="G1558" t="s">
        <v>121</v>
      </c>
      <c r="H1558" t="s">
        <v>235</v>
      </c>
      <c r="J1558">
        <v>0</v>
      </c>
      <c r="K1558">
        <v>1</v>
      </c>
      <c r="L1558">
        <v>65.09375</v>
      </c>
      <c r="M1558">
        <v>37.895352600000002</v>
      </c>
      <c r="N1558">
        <v>2.2882677779999998</v>
      </c>
      <c r="O1558">
        <v>132.27272730000001</v>
      </c>
      <c r="P1558">
        <v>20.180448590000001</v>
      </c>
      <c r="Q1558">
        <v>3.7813451999999997E-2</v>
      </c>
      <c r="R1558" t="s">
        <v>1018</v>
      </c>
      <c r="S1558">
        <v>2.2504543259999998</v>
      </c>
    </row>
    <row r="1559" spans="1:19" x14ac:dyDescent="0.25">
      <c r="A1559" t="s">
        <v>53</v>
      </c>
      <c r="B1559" t="s">
        <v>867</v>
      </c>
      <c r="C1559">
        <v>12</v>
      </c>
      <c r="D1559" t="s">
        <v>19</v>
      </c>
      <c r="E1559" t="s">
        <v>94</v>
      </c>
      <c r="F1559" t="s">
        <v>102</v>
      </c>
      <c r="G1559" t="s">
        <v>121</v>
      </c>
      <c r="H1559" t="s">
        <v>808</v>
      </c>
      <c r="J1559">
        <v>0</v>
      </c>
      <c r="K1559">
        <v>1</v>
      </c>
      <c r="L1559">
        <v>84.740740740000007</v>
      </c>
      <c r="M1559">
        <v>29.167014049999999</v>
      </c>
      <c r="N1559">
        <v>1.1169849999999999</v>
      </c>
      <c r="O1559">
        <v>102.79166669999999</v>
      </c>
      <c r="P1559">
        <v>27.057373470000002</v>
      </c>
      <c r="Q1559">
        <v>6.3567849939999999</v>
      </c>
      <c r="R1559" t="s">
        <v>1018</v>
      </c>
      <c r="S1559">
        <v>-5.2397999940000002</v>
      </c>
    </row>
    <row r="1560" spans="1:19" x14ac:dyDescent="0.25">
      <c r="A1560" t="s">
        <v>53</v>
      </c>
      <c r="B1560" t="s">
        <v>867</v>
      </c>
      <c r="C1560">
        <v>12</v>
      </c>
      <c r="D1560" t="s">
        <v>19</v>
      </c>
      <c r="E1560" t="s">
        <v>94</v>
      </c>
      <c r="F1560" t="s">
        <v>102</v>
      </c>
      <c r="G1560" t="s">
        <v>121</v>
      </c>
      <c r="H1560" t="s">
        <v>241</v>
      </c>
      <c r="J1560">
        <v>0</v>
      </c>
      <c r="K1560">
        <v>1</v>
      </c>
      <c r="L1560">
        <v>84.740740740000007</v>
      </c>
      <c r="M1560">
        <v>29.167014049999999</v>
      </c>
      <c r="N1560">
        <v>1.1169849999999999</v>
      </c>
      <c r="O1560">
        <v>114</v>
      </c>
      <c r="P1560">
        <v>30.43077242</v>
      </c>
      <c r="Q1560">
        <v>0.53383111100000002</v>
      </c>
      <c r="R1560" t="s">
        <v>1018</v>
      </c>
      <c r="S1560">
        <v>0.58315388899999987</v>
      </c>
    </row>
    <row r="1561" spans="1:19" x14ac:dyDescent="0.25">
      <c r="A1561" t="s">
        <v>53</v>
      </c>
      <c r="B1561" t="s">
        <v>868</v>
      </c>
      <c r="C1561">
        <v>12</v>
      </c>
      <c r="D1561" t="s">
        <v>19</v>
      </c>
      <c r="E1561" t="s">
        <v>94</v>
      </c>
      <c r="F1561" t="s">
        <v>113</v>
      </c>
      <c r="G1561" t="s">
        <v>121</v>
      </c>
      <c r="H1561" t="s">
        <v>103</v>
      </c>
      <c r="J1561">
        <v>0</v>
      </c>
      <c r="K1561">
        <v>1</v>
      </c>
      <c r="L1561">
        <v>83.757575759999995</v>
      </c>
      <c r="M1561">
        <v>22.60997987</v>
      </c>
      <c r="N1561">
        <v>0.72884000000000004</v>
      </c>
      <c r="O1561">
        <v>98.291666669999998</v>
      </c>
      <c r="P1561">
        <v>30.315130790000001</v>
      </c>
      <c r="Q1561">
        <v>5.0803484000000003E-2</v>
      </c>
      <c r="R1561" t="s">
        <v>1018</v>
      </c>
      <c r="S1561">
        <v>0.67803651600000003</v>
      </c>
    </row>
    <row r="1562" spans="1:19" x14ac:dyDescent="0.25">
      <c r="A1562" t="s">
        <v>53</v>
      </c>
      <c r="B1562" t="s">
        <v>868</v>
      </c>
      <c r="C1562">
        <v>12</v>
      </c>
      <c r="D1562" t="s">
        <v>19</v>
      </c>
      <c r="E1562" t="s">
        <v>94</v>
      </c>
      <c r="F1562" t="s">
        <v>113</v>
      </c>
      <c r="G1562" t="s">
        <v>121</v>
      </c>
      <c r="H1562" t="s">
        <v>238</v>
      </c>
      <c r="J1562">
        <v>0</v>
      </c>
      <c r="K1562">
        <v>1</v>
      </c>
      <c r="L1562">
        <v>83.757575759999995</v>
      </c>
      <c r="M1562">
        <v>22.60997987</v>
      </c>
      <c r="N1562">
        <v>0.72884000000000004</v>
      </c>
      <c r="O1562">
        <v>87.5</v>
      </c>
      <c r="P1562">
        <v>29.478311600000001</v>
      </c>
      <c r="Q1562">
        <v>3.0797751000000002E-2</v>
      </c>
      <c r="R1562" t="s">
        <v>1018</v>
      </c>
      <c r="S1562">
        <v>0.698042249</v>
      </c>
    </row>
    <row r="1563" spans="1:19" x14ac:dyDescent="0.25">
      <c r="A1563" t="s">
        <v>53</v>
      </c>
      <c r="B1563" t="s">
        <v>868</v>
      </c>
      <c r="C1563">
        <v>12</v>
      </c>
      <c r="D1563" t="s">
        <v>19</v>
      </c>
      <c r="E1563" t="s">
        <v>94</v>
      </c>
      <c r="F1563" t="s">
        <v>113</v>
      </c>
      <c r="G1563" t="s">
        <v>121</v>
      </c>
      <c r="H1563" t="s">
        <v>235</v>
      </c>
      <c r="J1563">
        <v>0</v>
      </c>
      <c r="K1563">
        <v>1</v>
      </c>
      <c r="L1563">
        <v>83.757575759999995</v>
      </c>
      <c r="M1563">
        <v>22.60997987</v>
      </c>
      <c r="N1563">
        <v>0.72884000000000004</v>
      </c>
      <c r="O1563">
        <v>132.27272730000001</v>
      </c>
      <c r="P1563">
        <v>20.180448590000001</v>
      </c>
      <c r="Q1563">
        <v>3.7813451999999997E-2</v>
      </c>
      <c r="R1563" t="s">
        <v>1018</v>
      </c>
      <c r="S1563">
        <v>0.69102654800000007</v>
      </c>
    </row>
    <row r="1564" spans="1:19" x14ac:dyDescent="0.25">
      <c r="A1564" t="s">
        <v>53</v>
      </c>
      <c r="B1564" t="s">
        <v>868</v>
      </c>
      <c r="C1564">
        <v>12</v>
      </c>
      <c r="D1564" t="s">
        <v>19</v>
      </c>
      <c r="E1564" t="s">
        <v>94</v>
      </c>
      <c r="F1564" t="s">
        <v>113</v>
      </c>
      <c r="G1564" t="s">
        <v>121</v>
      </c>
      <c r="H1564" t="s">
        <v>241</v>
      </c>
      <c r="J1564">
        <v>0</v>
      </c>
      <c r="K1564">
        <v>2</v>
      </c>
      <c r="L1564">
        <v>83.757575759999995</v>
      </c>
      <c r="M1564">
        <v>22.60997987</v>
      </c>
      <c r="N1564">
        <v>0.72884000000000004</v>
      </c>
      <c r="O1564">
        <v>114</v>
      </c>
      <c r="P1564">
        <v>30.43077242</v>
      </c>
      <c r="Q1564">
        <v>0.53383111100000002</v>
      </c>
      <c r="R1564" t="s">
        <v>1018</v>
      </c>
      <c r="S1564">
        <v>0.19500888900000002</v>
      </c>
    </row>
    <row r="1565" spans="1:19" x14ac:dyDescent="0.25">
      <c r="A1565" t="s">
        <v>53</v>
      </c>
      <c r="B1565" t="s">
        <v>868</v>
      </c>
      <c r="C1565">
        <v>12</v>
      </c>
      <c r="D1565" t="s">
        <v>19</v>
      </c>
      <c r="E1565" t="s">
        <v>94</v>
      </c>
      <c r="F1565" t="s">
        <v>113</v>
      </c>
      <c r="G1565" t="s">
        <v>121</v>
      </c>
      <c r="H1565" t="s">
        <v>242</v>
      </c>
      <c r="J1565">
        <v>0</v>
      </c>
      <c r="K1565">
        <v>1</v>
      </c>
      <c r="L1565">
        <v>83.757575759999995</v>
      </c>
      <c r="M1565">
        <v>22.60997987</v>
      </c>
      <c r="N1565">
        <v>0.72884000000000004</v>
      </c>
      <c r="O1565">
        <v>139.375</v>
      </c>
      <c r="P1565">
        <v>23.713465920000001</v>
      </c>
      <c r="Q1565" t="s">
        <v>114</v>
      </c>
      <c r="R1565" t="s">
        <v>1018</v>
      </c>
      <c r="S1565" t="s">
        <v>114</v>
      </c>
    </row>
    <row r="1566" spans="1:19" x14ac:dyDescent="0.25">
      <c r="A1566" t="s">
        <v>53</v>
      </c>
      <c r="B1566" t="s">
        <v>868</v>
      </c>
      <c r="C1566">
        <v>12</v>
      </c>
      <c r="D1566" t="s">
        <v>19</v>
      </c>
      <c r="E1566" t="s">
        <v>94</v>
      </c>
      <c r="F1566" t="s">
        <v>113</v>
      </c>
      <c r="G1566" t="s">
        <v>121</v>
      </c>
      <c r="H1566" t="s">
        <v>112</v>
      </c>
      <c r="J1566">
        <v>0</v>
      </c>
      <c r="K1566">
        <v>1</v>
      </c>
      <c r="L1566">
        <v>83.757575759999995</v>
      </c>
      <c r="M1566">
        <v>22.60997987</v>
      </c>
      <c r="N1566">
        <v>0.72884000000000004</v>
      </c>
      <c r="O1566">
        <v>65.09375</v>
      </c>
      <c r="P1566">
        <v>37.895352600000002</v>
      </c>
      <c r="Q1566">
        <v>2.2882677779999998</v>
      </c>
      <c r="R1566" t="s">
        <v>1018</v>
      </c>
      <c r="S1566">
        <v>-1.5594277779999999</v>
      </c>
    </row>
    <row r="1567" spans="1:19" x14ac:dyDescent="0.25">
      <c r="A1567" t="s">
        <v>53</v>
      </c>
      <c r="B1567" t="s">
        <v>869</v>
      </c>
      <c r="C1567">
        <v>12</v>
      </c>
      <c r="D1567" t="s">
        <v>19</v>
      </c>
      <c r="E1567" t="s">
        <v>94</v>
      </c>
      <c r="F1567" t="s">
        <v>103</v>
      </c>
      <c r="G1567" t="s">
        <v>121</v>
      </c>
      <c r="H1567" t="s">
        <v>103</v>
      </c>
      <c r="J1567">
        <v>0</v>
      </c>
      <c r="K1567">
        <v>1</v>
      </c>
      <c r="L1567">
        <v>98.291666669999998</v>
      </c>
      <c r="M1567">
        <v>30.315130790000001</v>
      </c>
      <c r="N1567">
        <v>5.0803484000000003E-2</v>
      </c>
      <c r="O1567">
        <v>98.291666669999998</v>
      </c>
      <c r="P1567">
        <v>30.315130790000001</v>
      </c>
      <c r="Q1567">
        <v>5.0803484000000003E-2</v>
      </c>
      <c r="R1567" t="s">
        <v>1018</v>
      </c>
      <c r="S1567">
        <v>0</v>
      </c>
    </row>
    <row r="1568" spans="1:19" x14ac:dyDescent="0.25">
      <c r="A1568" t="s">
        <v>53</v>
      </c>
      <c r="B1568" t="s">
        <v>869</v>
      </c>
      <c r="C1568">
        <v>12</v>
      </c>
      <c r="D1568" t="s">
        <v>19</v>
      </c>
      <c r="E1568" t="s">
        <v>94</v>
      </c>
      <c r="F1568" t="s">
        <v>103</v>
      </c>
      <c r="G1568" t="s">
        <v>121</v>
      </c>
      <c r="H1568" t="s">
        <v>241</v>
      </c>
      <c r="J1568">
        <v>0</v>
      </c>
      <c r="K1568">
        <v>1</v>
      </c>
      <c r="L1568">
        <v>98.291666669999998</v>
      </c>
      <c r="M1568">
        <v>30.315130790000001</v>
      </c>
      <c r="N1568">
        <v>5.0803484000000003E-2</v>
      </c>
      <c r="O1568">
        <v>114</v>
      </c>
      <c r="P1568">
        <v>30.43077242</v>
      </c>
      <c r="Q1568">
        <v>0.53383111100000002</v>
      </c>
      <c r="R1568" t="s">
        <v>1018</v>
      </c>
      <c r="S1568">
        <v>-0.48302762700000001</v>
      </c>
    </row>
    <row r="1569" spans="1:19" x14ac:dyDescent="0.25">
      <c r="A1569" t="s">
        <v>53</v>
      </c>
      <c r="B1569" t="s">
        <v>870</v>
      </c>
      <c r="C1569">
        <v>12</v>
      </c>
      <c r="D1569" t="s">
        <v>19</v>
      </c>
      <c r="E1569" t="s">
        <v>94</v>
      </c>
      <c r="F1569" t="s">
        <v>112</v>
      </c>
      <c r="G1569" t="s">
        <v>121</v>
      </c>
      <c r="H1569" t="s">
        <v>114</v>
      </c>
      <c r="J1569">
        <v>0</v>
      </c>
      <c r="K1569">
        <v>0</v>
      </c>
      <c r="L1569">
        <v>65.09375</v>
      </c>
      <c r="M1569">
        <v>37.895352600000002</v>
      </c>
      <c r="N1569">
        <v>2.2882677779999998</v>
      </c>
      <c r="O1569" t="s">
        <v>114</v>
      </c>
      <c r="P1569" t="s">
        <v>114</v>
      </c>
      <c r="Q1569" t="s">
        <v>114</v>
      </c>
      <c r="R1569" t="s">
        <v>1018</v>
      </c>
      <c r="S1569" t="s">
        <v>114</v>
      </c>
    </row>
    <row r="1570" spans="1:19" x14ac:dyDescent="0.25">
      <c r="A1570" t="s">
        <v>54</v>
      </c>
      <c r="B1570" t="s">
        <v>871</v>
      </c>
      <c r="C1570">
        <v>12</v>
      </c>
      <c r="D1570" t="s">
        <v>21</v>
      </c>
      <c r="E1570" t="s">
        <v>95</v>
      </c>
      <c r="F1570" t="s">
        <v>113</v>
      </c>
      <c r="G1570" t="s">
        <v>121</v>
      </c>
      <c r="H1570" t="s">
        <v>241</v>
      </c>
      <c r="J1570">
        <v>0</v>
      </c>
      <c r="K1570">
        <v>2</v>
      </c>
      <c r="L1570">
        <v>83.757575759999995</v>
      </c>
      <c r="M1570">
        <v>22.60997987</v>
      </c>
      <c r="N1570">
        <v>0.72884000000000004</v>
      </c>
      <c r="O1570">
        <v>114</v>
      </c>
      <c r="P1570">
        <v>30.43077242</v>
      </c>
      <c r="Q1570">
        <v>0.53383111100000002</v>
      </c>
      <c r="R1570" t="s">
        <v>1018</v>
      </c>
      <c r="S1570">
        <v>0.19500888900000002</v>
      </c>
    </row>
    <row r="1571" spans="1:19" x14ac:dyDescent="0.25">
      <c r="A1571" t="s">
        <v>54</v>
      </c>
      <c r="B1571" t="s">
        <v>872</v>
      </c>
      <c r="C1571">
        <v>12</v>
      </c>
      <c r="D1571" t="s">
        <v>21</v>
      </c>
      <c r="E1571" t="s">
        <v>95</v>
      </c>
      <c r="F1571" t="s">
        <v>110</v>
      </c>
      <c r="G1571" t="s">
        <v>121</v>
      </c>
      <c r="H1571" t="s">
        <v>241</v>
      </c>
      <c r="I1571" t="s">
        <v>162</v>
      </c>
      <c r="J1571">
        <v>1</v>
      </c>
      <c r="K1571">
        <v>2</v>
      </c>
      <c r="L1571">
        <v>73.260869569999997</v>
      </c>
      <c r="M1571">
        <v>34.453830549999999</v>
      </c>
      <c r="N1571">
        <v>1.058333333</v>
      </c>
      <c r="O1571">
        <v>114</v>
      </c>
      <c r="P1571">
        <v>30.43077242</v>
      </c>
      <c r="Q1571">
        <v>0.53383111100000002</v>
      </c>
      <c r="R1571" t="s">
        <v>1018</v>
      </c>
      <c r="S1571">
        <v>0.52450222199999996</v>
      </c>
    </row>
    <row r="1572" spans="1:19" x14ac:dyDescent="0.25">
      <c r="A1572" t="s">
        <v>54</v>
      </c>
      <c r="B1572" t="s">
        <v>873</v>
      </c>
      <c r="C1572">
        <v>12</v>
      </c>
      <c r="D1572" t="s">
        <v>21</v>
      </c>
      <c r="E1572" t="s">
        <v>95</v>
      </c>
      <c r="F1572" t="s">
        <v>111</v>
      </c>
      <c r="G1572" t="s">
        <v>121</v>
      </c>
      <c r="H1572" t="s">
        <v>162</v>
      </c>
      <c r="J1572">
        <v>0</v>
      </c>
      <c r="K1572">
        <v>1</v>
      </c>
      <c r="L1572">
        <v>94.97142857</v>
      </c>
      <c r="M1572">
        <v>24.31591813</v>
      </c>
      <c r="N1572">
        <v>0.122951111</v>
      </c>
      <c r="O1572">
        <v>82.53846154</v>
      </c>
      <c r="P1572">
        <v>35.660530039999998</v>
      </c>
      <c r="Q1572">
        <v>3.3754499999999998</v>
      </c>
      <c r="R1572" t="s">
        <v>1018</v>
      </c>
      <c r="S1572">
        <v>-3.2524988889999999</v>
      </c>
    </row>
    <row r="1573" spans="1:19" x14ac:dyDescent="0.25">
      <c r="A1573" t="s">
        <v>55</v>
      </c>
      <c r="B1573" t="s">
        <v>874</v>
      </c>
      <c r="C1573">
        <v>12</v>
      </c>
      <c r="D1573" t="s">
        <v>23</v>
      </c>
      <c r="E1573" t="s">
        <v>94</v>
      </c>
      <c r="F1573" t="s">
        <v>113</v>
      </c>
      <c r="G1573" t="s">
        <v>110</v>
      </c>
      <c r="H1573" t="s">
        <v>238</v>
      </c>
      <c r="J1573">
        <v>0</v>
      </c>
      <c r="K1573">
        <v>1</v>
      </c>
      <c r="L1573">
        <v>83.757575759999995</v>
      </c>
      <c r="M1573">
        <v>22.60997987</v>
      </c>
      <c r="N1573">
        <v>0.72884000000000004</v>
      </c>
      <c r="O1573">
        <v>87.5</v>
      </c>
      <c r="P1573">
        <v>29.478311600000001</v>
      </c>
      <c r="Q1573">
        <v>3.0797751000000002E-2</v>
      </c>
      <c r="R1573" t="s">
        <v>1018</v>
      </c>
      <c r="S1573">
        <v>0.698042249</v>
      </c>
    </row>
    <row r="1574" spans="1:19" x14ac:dyDescent="0.25">
      <c r="A1574" t="s">
        <v>55</v>
      </c>
      <c r="B1574" t="s">
        <v>874</v>
      </c>
      <c r="C1574">
        <v>12</v>
      </c>
      <c r="D1574" t="s">
        <v>23</v>
      </c>
      <c r="E1574" t="s">
        <v>94</v>
      </c>
      <c r="F1574" t="s">
        <v>113</v>
      </c>
      <c r="G1574" t="s">
        <v>110</v>
      </c>
      <c r="H1574" t="s">
        <v>103</v>
      </c>
      <c r="J1574">
        <v>0</v>
      </c>
      <c r="K1574">
        <v>1</v>
      </c>
      <c r="L1574">
        <v>83.757575759999995</v>
      </c>
      <c r="M1574">
        <v>22.60997987</v>
      </c>
      <c r="N1574">
        <v>0.72884000000000004</v>
      </c>
      <c r="O1574">
        <v>98.291666669999998</v>
      </c>
      <c r="P1574">
        <v>30.315130790000001</v>
      </c>
      <c r="Q1574">
        <v>5.0803484000000003E-2</v>
      </c>
      <c r="R1574" t="s">
        <v>1018</v>
      </c>
      <c r="S1574">
        <v>0.67803651600000003</v>
      </c>
    </row>
    <row r="1575" spans="1:19" x14ac:dyDescent="0.25">
      <c r="A1575" t="s">
        <v>55</v>
      </c>
      <c r="B1575" t="s">
        <v>874</v>
      </c>
      <c r="C1575">
        <v>12</v>
      </c>
      <c r="D1575" t="s">
        <v>23</v>
      </c>
      <c r="E1575" t="s">
        <v>94</v>
      </c>
      <c r="F1575" t="s">
        <v>113</v>
      </c>
      <c r="G1575" t="s">
        <v>110</v>
      </c>
      <c r="H1575" t="s">
        <v>808</v>
      </c>
      <c r="J1575">
        <v>0</v>
      </c>
      <c r="K1575">
        <v>1</v>
      </c>
      <c r="L1575">
        <v>83.757575759999995</v>
      </c>
      <c r="M1575">
        <v>22.60997987</v>
      </c>
      <c r="N1575">
        <v>0.72884000000000004</v>
      </c>
      <c r="O1575">
        <v>102.79166669999999</v>
      </c>
      <c r="P1575">
        <v>27.057373470000002</v>
      </c>
      <c r="Q1575">
        <v>6.3567849939999999</v>
      </c>
      <c r="R1575" t="s">
        <v>1018</v>
      </c>
      <c r="S1575">
        <v>-5.6279449939999999</v>
      </c>
    </row>
    <row r="1576" spans="1:19" x14ac:dyDescent="0.25">
      <c r="A1576" t="s">
        <v>55</v>
      </c>
      <c r="B1576" t="s">
        <v>874</v>
      </c>
      <c r="C1576">
        <v>12</v>
      </c>
      <c r="D1576" t="s">
        <v>23</v>
      </c>
      <c r="E1576" t="s">
        <v>94</v>
      </c>
      <c r="F1576" t="s">
        <v>113</v>
      </c>
      <c r="G1576" t="s">
        <v>110</v>
      </c>
      <c r="H1576" t="s">
        <v>113</v>
      </c>
      <c r="J1576">
        <v>0</v>
      </c>
      <c r="K1576">
        <v>1</v>
      </c>
      <c r="L1576">
        <v>83.757575759999995</v>
      </c>
      <c r="M1576">
        <v>22.60997987</v>
      </c>
      <c r="N1576">
        <v>0.72884000000000004</v>
      </c>
      <c r="O1576">
        <v>83.757575759999995</v>
      </c>
      <c r="P1576">
        <v>22.60997987</v>
      </c>
      <c r="Q1576">
        <v>0.72884000000000004</v>
      </c>
      <c r="R1576" t="s">
        <v>1018</v>
      </c>
      <c r="S1576">
        <v>0</v>
      </c>
    </row>
    <row r="1577" spans="1:19" x14ac:dyDescent="0.25">
      <c r="A1577" t="s">
        <v>55</v>
      </c>
      <c r="B1577" t="s">
        <v>875</v>
      </c>
      <c r="C1577">
        <v>12</v>
      </c>
      <c r="D1577" t="s">
        <v>23</v>
      </c>
      <c r="E1577" t="s">
        <v>94</v>
      </c>
      <c r="F1577" t="s">
        <v>110</v>
      </c>
      <c r="G1577" t="s">
        <v>103</v>
      </c>
      <c r="H1577" t="s">
        <v>114</v>
      </c>
      <c r="J1577">
        <v>0</v>
      </c>
      <c r="K1577" t="s">
        <v>114</v>
      </c>
      <c r="L1577">
        <v>73.260869569999997</v>
      </c>
      <c r="M1577">
        <v>34.453830549999999</v>
      </c>
      <c r="N1577">
        <v>1.058333333</v>
      </c>
      <c r="O1577" t="s">
        <v>114</v>
      </c>
      <c r="P1577" t="s">
        <v>114</v>
      </c>
      <c r="Q1577" t="s">
        <v>114</v>
      </c>
      <c r="R1577" t="s">
        <v>1018</v>
      </c>
      <c r="S1577" t="s">
        <v>114</v>
      </c>
    </row>
    <row r="1578" spans="1:19" x14ac:dyDescent="0.25">
      <c r="A1578" t="s">
        <v>55</v>
      </c>
      <c r="B1578" t="s">
        <v>876</v>
      </c>
      <c r="C1578">
        <v>12</v>
      </c>
      <c r="D1578" t="s">
        <v>23</v>
      </c>
      <c r="E1578" t="s">
        <v>94</v>
      </c>
      <c r="F1578" t="s">
        <v>103</v>
      </c>
      <c r="G1578" t="s">
        <v>103</v>
      </c>
      <c r="H1578" t="s">
        <v>114</v>
      </c>
      <c r="J1578">
        <v>0</v>
      </c>
      <c r="K1578" t="s">
        <v>114</v>
      </c>
      <c r="L1578">
        <v>98.291666669999998</v>
      </c>
      <c r="M1578">
        <v>30.315130790000001</v>
      </c>
      <c r="N1578">
        <v>5.0803484000000003E-2</v>
      </c>
      <c r="O1578" t="s">
        <v>114</v>
      </c>
      <c r="P1578" t="s">
        <v>114</v>
      </c>
      <c r="Q1578" t="s">
        <v>114</v>
      </c>
      <c r="R1578" t="s">
        <v>1018</v>
      </c>
      <c r="S1578" t="s">
        <v>114</v>
      </c>
    </row>
    <row r="1579" spans="1:19" x14ac:dyDescent="0.25">
      <c r="A1579" t="s">
        <v>55</v>
      </c>
      <c r="B1579" t="s">
        <v>877</v>
      </c>
      <c r="C1579">
        <v>12</v>
      </c>
      <c r="D1579" t="s">
        <v>23</v>
      </c>
      <c r="E1579" t="s">
        <v>94</v>
      </c>
      <c r="F1579" t="s">
        <v>111</v>
      </c>
      <c r="G1579" t="s">
        <v>113</v>
      </c>
      <c r="H1579" t="s">
        <v>113</v>
      </c>
      <c r="J1579">
        <v>0</v>
      </c>
      <c r="K1579">
        <v>2</v>
      </c>
      <c r="L1579">
        <v>94.97142857</v>
      </c>
      <c r="M1579">
        <v>24.31591813</v>
      </c>
      <c r="N1579">
        <v>0.122951111</v>
      </c>
      <c r="O1579">
        <v>83.757575759999995</v>
      </c>
      <c r="P1579">
        <v>22.60997987</v>
      </c>
      <c r="Q1579">
        <v>0.72884000000000004</v>
      </c>
      <c r="R1579" t="s">
        <v>1018</v>
      </c>
      <c r="S1579">
        <v>-0.60588888900000004</v>
      </c>
    </row>
    <row r="1580" spans="1:19" x14ac:dyDescent="0.25">
      <c r="A1580" t="s">
        <v>55</v>
      </c>
      <c r="B1580" t="s">
        <v>877</v>
      </c>
      <c r="C1580">
        <v>12</v>
      </c>
      <c r="D1580" t="s">
        <v>23</v>
      </c>
      <c r="E1580" t="s">
        <v>94</v>
      </c>
      <c r="F1580" t="s">
        <v>111</v>
      </c>
      <c r="G1580" t="s">
        <v>113</v>
      </c>
      <c r="H1580" t="s">
        <v>797</v>
      </c>
      <c r="J1580">
        <v>0</v>
      </c>
      <c r="K1580">
        <v>1</v>
      </c>
      <c r="L1580">
        <v>94.97142857</v>
      </c>
      <c r="M1580">
        <v>24.31591813</v>
      </c>
      <c r="N1580">
        <v>0.122951111</v>
      </c>
      <c r="O1580">
        <v>179.45454549999999</v>
      </c>
      <c r="P1580">
        <v>26.326869609999999</v>
      </c>
      <c r="Q1580">
        <v>2.3456094639999998</v>
      </c>
      <c r="R1580" t="s">
        <v>1018</v>
      </c>
      <c r="S1580">
        <v>-2.2226583529999999</v>
      </c>
    </row>
    <row r="1581" spans="1:19" x14ac:dyDescent="0.25">
      <c r="A1581" t="s">
        <v>56</v>
      </c>
      <c r="B1581" t="s">
        <v>878</v>
      </c>
      <c r="C1581">
        <v>12</v>
      </c>
      <c r="D1581" t="s">
        <v>25</v>
      </c>
      <c r="E1581" t="s">
        <v>94</v>
      </c>
      <c r="F1581" t="s">
        <v>113</v>
      </c>
      <c r="G1581" t="s">
        <v>113</v>
      </c>
      <c r="H1581" t="s">
        <v>113</v>
      </c>
      <c r="J1581">
        <v>0</v>
      </c>
      <c r="K1581">
        <v>3</v>
      </c>
      <c r="L1581">
        <v>83.757575759999995</v>
      </c>
      <c r="M1581">
        <v>22.60997987</v>
      </c>
      <c r="N1581">
        <v>0.72884000000000004</v>
      </c>
      <c r="O1581">
        <v>83.757575759999995</v>
      </c>
      <c r="P1581">
        <v>22.60997987</v>
      </c>
      <c r="Q1581">
        <v>0.72884000000000004</v>
      </c>
      <c r="R1581" t="s">
        <v>1018</v>
      </c>
      <c r="S1581">
        <v>0</v>
      </c>
    </row>
    <row r="1582" spans="1:19" x14ac:dyDescent="0.25">
      <c r="A1582" t="s">
        <v>56</v>
      </c>
      <c r="B1582" t="s">
        <v>879</v>
      </c>
      <c r="C1582">
        <v>12</v>
      </c>
      <c r="D1582" t="s">
        <v>25</v>
      </c>
      <c r="E1582" t="s">
        <v>94</v>
      </c>
      <c r="F1582" t="s">
        <v>111</v>
      </c>
      <c r="G1582" t="s">
        <v>121</v>
      </c>
      <c r="H1582" t="s">
        <v>112</v>
      </c>
      <c r="J1582">
        <v>0</v>
      </c>
      <c r="K1582">
        <v>1</v>
      </c>
      <c r="L1582">
        <v>94.97142857</v>
      </c>
      <c r="M1582">
        <v>24.31591813</v>
      </c>
      <c r="N1582">
        <v>0.122951111</v>
      </c>
      <c r="O1582">
        <v>65.09375</v>
      </c>
      <c r="P1582">
        <v>37.895352600000002</v>
      </c>
      <c r="Q1582">
        <v>2.2882677779999998</v>
      </c>
      <c r="R1582" t="s">
        <v>1018</v>
      </c>
      <c r="S1582">
        <v>-2.1653166669999999</v>
      </c>
    </row>
    <row r="1583" spans="1:19" x14ac:dyDescent="0.25">
      <c r="A1583" t="s">
        <v>56</v>
      </c>
      <c r="B1583" t="s">
        <v>880</v>
      </c>
      <c r="C1583">
        <v>12</v>
      </c>
      <c r="D1583" t="s">
        <v>25</v>
      </c>
      <c r="E1583" t="s">
        <v>94</v>
      </c>
      <c r="F1583" t="s">
        <v>104</v>
      </c>
      <c r="G1583" t="s">
        <v>121</v>
      </c>
      <c r="H1583" t="s">
        <v>104</v>
      </c>
      <c r="J1583">
        <v>0</v>
      </c>
      <c r="K1583">
        <v>1</v>
      </c>
      <c r="L1583">
        <v>113.9375</v>
      </c>
      <c r="M1583">
        <v>33.375507550000002</v>
      </c>
      <c r="N1583">
        <v>2.4262999999999999</v>
      </c>
      <c r="O1583">
        <v>113.9375</v>
      </c>
      <c r="P1583">
        <v>33.375507550000002</v>
      </c>
      <c r="Q1583">
        <v>2.4262999999999999</v>
      </c>
      <c r="R1583" t="s">
        <v>1018</v>
      </c>
      <c r="S1583">
        <v>0</v>
      </c>
    </row>
    <row r="1584" spans="1:19" x14ac:dyDescent="0.25">
      <c r="A1584" t="s">
        <v>56</v>
      </c>
      <c r="B1584" t="s">
        <v>881</v>
      </c>
      <c r="C1584">
        <v>12</v>
      </c>
      <c r="D1584" t="s">
        <v>25</v>
      </c>
      <c r="E1584" t="s">
        <v>94</v>
      </c>
      <c r="F1584" t="s">
        <v>112</v>
      </c>
      <c r="G1584" t="s">
        <v>121</v>
      </c>
      <c r="H1584" t="s">
        <v>241</v>
      </c>
      <c r="J1584">
        <v>0</v>
      </c>
      <c r="K1584">
        <v>4</v>
      </c>
      <c r="L1584">
        <v>65.09375</v>
      </c>
      <c r="M1584">
        <v>37.895352600000002</v>
      </c>
      <c r="N1584">
        <v>2.2882677779999998</v>
      </c>
      <c r="O1584">
        <v>114</v>
      </c>
      <c r="P1584">
        <v>30.43077242</v>
      </c>
      <c r="Q1584">
        <v>0.53383111100000002</v>
      </c>
      <c r="R1584" t="s">
        <v>1018</v>
      </c>
      <c r="S1584">
        <v>1.7544366669999998</v>
      </c>
    </row>
    <row r="1585" spans="1:19" x14ac:dyDescent="0.25">
      <c r="A1585" t="s">
        <v>57</v>
      </c>
      <c r="B1585" t="s">
        <v>882</v>
      </c>
      <c r="C1585">
        <v>12</v>
      </c>
      <c r="D1585" t="s">
        <v>27</v>
      </c>
      <c r="E1585" t="s">
        <v>94</v>
      </c>
      <c r="F1585" t="s">
        <v>105</v>
      </c>
      <c r="G1585" t="s">
        <v>121</v>
      </c>
      <c r="H1585" t="s">
        <v>247</v>
      </c>
      <c r="J1585">
        <v>0</v>
      </c>
      <c r="K1585">
        <v>1</v>
      </c>
      <c r="L1585">
        <v>67.5</v>
      </c>
      <c r="M1585">
        <v>47.937235809999997</v>
      </c>
      <c r="N1585">
        <v>0.41599678000000001</v>
      </c>
      <c r="O1585">
        <v>65.791044779999993</v>
      </c>
      <c r="P1585">
        <v>22.94519201</v>
      </c>
      <c r="Q1585">
        <v>8.1320334999999994E-2</v>
      </c>
      <c r="R1585" t="s">
        <v>1018</v>
      </c>
      <c r="S1585">
        <v>0.33467644500000004</v>
      </c>
    </row>
    <row r="1586" spans="1:19" x14ac:dyDescent="0.25">
      <c r="A1586" t="s">
        <v>57</v>
      </c>
      <c r="B1586" t="s">
        <v>882</v>
      </c>
      <c r="C1586">
        <v>12</v>
      </c>
      <c r="D1586" t="s">
        <v>27</v>
      </c>
      <c r="E1586" t="s">
        <v>94</v>
      </c>
      <c r="F1586" t="s">
        <v>105</v>
      </c>
      <c r="G1586" t="s">
        <v>121</v>
      </c>
      <c r="H1586" t="s">
        <v>103</v>
      </c>
      <c r="J1586">
        <v>0</v>
      </c>
      <c r="K1586">
        <v>1</v>
      </c>
      <c r="L1586">
        <v>67.5</v>
      </c>
      <c r="M1586">
        <v>47.937235809999997</v>
      </c>
      <c r="N1586">
        <v>0.41599678000000001</v>
      </c>
      <c r="O1586">
        <v>98.291666669999998</v>
      </c>
      <c r="P1586">
        <v>30.315130790000001</v>
      </c>
      <c r="Q1586">
        <v>5.0803484000000003E-2</v>
      </c>
      <c r="R1586" t="s">
        <v>1018</v>
      </c>
      <c r="S1586">
        <v>0.365193296</v>
      </c>
    </row>
    <row r="1587" spans="1:19" x14ac:dyDescent="0.25">
      <c r="A1587" t="s">
        <v>57</v>
      </c>
      <c r="B1587" t="s">
        <v>882</v>
      </c>
      <c r="C1587">
        <v>12</v>
      </c>
      <c r="D1587" t="s">
        <v>27</v>
      </c>
      <c r="E1587" t="s">
        <v>94</v>
      </c>
      <c r="F1587" t="s">
        <v>105</v>
      </c>
      <c r="G1587" t="s">
        <v>121</v>
      </c>
      <c r="H1587" t="s">
        <v>233</v>
      </c>
      <c r="J1587">
        <v>0</v>
      </c>
      <c r="K1587">
        <v>6</v>
      </c>
      <c r="L1587">
        <v>67.5</v>
      </c>
      <c r="M1587">
        <v>47.937235809999997</v>
      </c>
      <c r="N1587">
        <v>0.41599678000000001</v>
      </c>
      <c r="O1587">
        <v>106.0540541</v>
      </c>
      <c r="P1587">
        <v>52.690533369999997</v>
      </c>
      <c r="Q1587">
        <v>7.6058968000000005E-2</v>
      </c>
      <c r="R1587" t="s">
        <v>1018</v>
      </c>
      <c r="S1587">
        <v>0.33993781200000001</v>
      </c>
    </row>
    <row r="1588" spans="1:19" x14ac:dyDescent="0.25">
      <c r="A1588" t="s">
        <v>57</v>
      </c>
      <c r="B1588" t="s">
        <v>883</v>
      </c>
      <c r="C1588">
        <v>12</v>
      </c>
      <c r="D1588" t="s">
        <v>27</v>
      </c>
      <c r="E1588" t="s">
        <v>94</v>
      </c>
      <c r="F1588" t="s">
        <v>113</v>
      </c>
      <c r="G1588" t="s">
        <v>121</v>
      </c>
      <c r="H1588" t="s">
        <v>114</v>
      </c>
      <c r="J1588">
        <v>0</v>
      </c>
      <c r="K1588" t="s">
        <v>114</v>
      </c>
      <c r="L1588">
        <v>83.757575759999995</v>
      </c>
      <c r="M1588">
        <v>22.60997987</v>
      </c>
      <c r="N1588">
        <v>0.72884000000000004</v>
      </c>
      <c r="O1588" t="s">
        <v>114</v>
      </c>
      <c r="P1588" t="s">
        <v>114</v>
      </c>
      <c r="Q1588" t="s">
        <v>114</v>
      </c>
      <c r="R1588" t="s">
        <v>1018</v>
      </c>
      <c r="S1588" t="s">
        <v>114</v>
      </c>
    </row>
    <row r="1589" spans="1:19" x14ac:dyDescent="0.25">
      <c r="A1589" t="s">
        <v>57</v>
      </c>
      <c r="B1589" t="s">
        <v>884</v>
      </c>
      <c r="C1589">
        <v>12</v>
      </c>
      <c r="D1589" t="s">
        <v>27</v>
      </c>
      <c r="E1589" t="s">
        <v>94</v>
      </c>
      <c r="F1589" t="s">
        <v>112</v>
      </c>
      <c r="G1589" t="s">
        <v>112</v>
      </c>
      <c r="H1589" t="s">
        <v>112</v>
      </c>
      <c r="J1589">
        <v>0</v>
      </c>
      <c r="K1589">
        <v>2</v>
      </c>
      <c r="L1589">
        <v>65.09375</v>
      </c>
      <c r="M1589">
        <v>37.895352600000002</v>
      </c>
      <c r="N1589">
        <v>2.2882677779999998</v>
      </c>
      <c r="O1589">
        <v>65.09375</v>
      </c>
      <c r="P1589">
        <v>37.895352600000002</v>
      </c>
      <c r="Q1589">
        <v>2.2882677779999998</v>
      </c>
      <c r="R1589" t="s">
        <v>1018</v>
      </c>
      <c r="S1589">
        <v>0</v>
      </c>
    </row>
    <row r="1590" spans="1:19" x14ac:dyDescent="0.25">
      <c r="A1590" t="s">
        <v>57</v>
      </c>
      <c r="B1590" t="s">
        <v>884</v>
      </c>
      <c r="C1590">
        <v>12</v>
      </c>
      <c r="D1590" t="s">
        <v>27</v>
      </c>
      <c r="E1590" t="s">
        <v>94</v>
      </c>
      <c r="F1590" t="s">
        <v>112</v>
      </c>
      <c r="G1590" t="s">
        <v>112</v>
      </c>
      <c r="H1590" t="s">
        <v>247</v>
      </c>
      <c r="J1590">
        <v>0</v>
      </c>
      <c r="K1590">
        <v>1</v>
      </c>
      <c r="L1590">
        <v>65.09375</v>
      </c>
      <c r="M1590">
        <v>37.895352600000002</v>
      </c>
      <c r="N1590">
        <v>2.2882677779999998</v>
      </c>
      <c r="O1590">
        <v>65.791044779999993</v>
      </c>
      <c r="P1590">
        <v>22.94519201</v>
      </c>
      <c r="Q1590">
        <v>8.1320334999999994E-2</v>
      </c>
      <c r="R1590" t="s">
        <v>1018</v>
      </c>
      <c r="S1590">
        <v>2.2069474429999998</v>
      </c>
    </row>
    <row r="1591" spans="1:19" x14ac:dyDescent="0.25">
      <c r="A1591" t="s">
        <v>58</v>
      </c>
      <c r="B1591" t="s">
        <v>885</v>
      </c>
      <c r="C1591">
        <v>12</v>
      </c>
      <c r="D1591" t="s">
        <v>29</v>
      </c>
      <c r="E1591" t="s">
        <v>95</v>
      </c>
      <c r="F1591" t="s">
        <v>102</v>
      </c>
      <c r="G1591" t="s">
        <v>104</v>
      </c>
      <c r="H1591" t="s">
        <v>104</v>
      </c>
      <c r="J1591">
        <v>0</v>
      </c>
      <c r="K1591">
        <v>1</v>
      </c>
      <c r="L1591">
        <v>84.740740740000007</v>
      </c>
      <c r="M1591">
        <v>29.167014049999999</v>
      </c>
      <c r="N1591">
        <v>1.1169849999999999</v>
      </c>
      <c r="O1591">
        <v>113.9375</v>
      </c>
      <c r="P1591">
        <v>33.375507550000002</v>
      </c>
      <c r="Q1591">
        <v>2.4262999999999999</v>
      </c>
      <c r="R1591" t="s">
        <v>1018</v>
      </c>
      <c r="S1591">
        <v>-1.309315</v>
      </c>
    </row>
    <row r="1592" spans="1:19" x14ac:dyDescent="0.25">
      <c r="A1592" t="s">
        <v>58</v>
      </c>
      <c r="B1592" t="s">
        <v>885</v>
      </c>
      <c r="C1592">
        <v>12</v>
      </c>
      <c r="D1592" t="s">
        <v>29</v>
      </c>
      <c r="E1592" t="s">
        <v>95</v>
      </c>
      <c r="F1592" t="s">
        <v>102</v>
      </c>
      <c r="G1592" t="s">
        <v>104</v>
      </c>
      <c r="H1592" t="s">
        <v>246</v>
      </c>
      <c r="J1592">
        <v>0</v>
      </c>
      <c r="K1592">
        <v>1</v>
      </c>
      <c r="L1592">
        <v>84.740740740000007</v>
      </c>
      <c r="M1592">
        <v>29.167014049999999</v>
      </c>
      <c r="N1592">
        <v>1.1169849999999999</v>
      </c>
      <c r="O1592">
        <v>120.25</v>
      </c>
      <c r="P1592">
        <v>30.670450110000001</v>
      </c>
      <c r="Q1592">
        <v>0.91037498500000003</v>
      </c>
      <c r="R1592" t="s">
        <v>1018</v>
      </c>
      <c r="S1592">
        <v>0.20661001499999987</v>
      </c>
    </row>
    <row r="1593" spans="1:19" x14ac:dyDescent="0.25">
      <c r="A1593" t="s">
        <v>58</v>
      </c>
      <c r="B1593" t="s">
        <v>886</v>
      </c>
      <c r="C1593">
        <v>12</v>
      </c>
      <c r="D1593" t="s">
        <v>29</v>
      </c>
      <c r="E1593" t="s">
        <v>95</v>
      </c>
      <c r="F1593" t="s">
        <v>110</v>
      </c>
      <c r="G1593" t="s">
        <v>121</v>
      </c>
      <c r="H1593" t="s">
        <v>246</v>
      </c>
      <c r="I1593" t="s">
        <v>162</v>
      </c>
      <c r="J1593">
        <v>1</v>
      </c>
      <c r="K1593">
        <v>1</v>
      </c>
      <c r="L1593">
        <v>73.260869569999997</v>
      </c>
      <c r="M1593">
        <v>34.453830549999999</v>
      </c>
      <c r="N1593">
        <v>1.058333333</v>
      </c>
      <c r="O1593">
        <v>120.25</v>
      </c>
      <c r="P1593">
        <v>30.670450110000001</v>
      </c>
      <c r="Q1593">
        <v>0.91037498500000003</v>
      </c>
      <c r="R1593" t="s">
        <v>1018</v>
      </c>
      <c r="S1593">
        <v>0.14795834799999996</v>
      </c>
    </row>
    <row r="1594" spans="1:19" x14ac:dyDescent="0.25">
      <c r="A1594" t="s">
        <v>58</v>
      </c>
      <c r="B1594" t="s">
        <v>886</v>
      </c>
      <c r="C1594">
        <v>12</v>
      </c>
      <c r="D1594" t="s">
        <v>29</v>
      </c>
      <c r="E1594" t="s">
        <v>95</v>
      </c>
      <c r="F1594" t="s">
        <v>110</v>
      </c>
      <c r="G1594" t="s">
        <v>121</v>
      </c>
      <c r="H1594" t="s">
        <v>239</v>
      </c>
      <c r="J1594">
        <v>1</v>
      </c>
      <c r="K1594">
        <v>1</v>
      </c>
      <c r="L1594">
        <v>73.260869569999997</v>
      </c>
      <c r="M1594">
        <v>34.453830549999999</v>
      </c>
      <c r="N1594">
        <v>1.058333333</v>
      </c>
      <c r="O1594">
        <v>100.45454549999999</v>
      </c>
      <c r="P1594">
        <v>26.754810689999999</v>
      </c>
      <c r="Q1594">
        <v>0.75829999999999997</v>
      </c>
      <c r="R1594" t="s">
        <v>1018</v>
      </c>
      <c r="S1594">
        <v>0.30003333300000001</v>
      </c>
    </row>
    <row r="1595" spans="1:19" x14ac:dyDescent="0.25">
      <c r="A1595" t="s">
        <v>58</v>
      </c>
      <c r="B1595" t="s">
        <v>887</v>
      </c>
      <c r="C1595">
        <v>12</v>
      </c>
      <c r="D1595" t="s">
        <v>29</v>
      </c>
      <c r="E1595" t="s">
        <v>95</v>
      </c>
      <c r="F1595" t="s">
        <v>103</v>
      </c>
      <c r="G1595" t="s">
        <v>121</v>
      </c>
      <c r="H1595" t="s">
        <v>249</v>
      </c>
      <c r="J1595">
        <v>0</v>
      </c>
      <c r="K1595">
        <v>1</v>
      </c>
      <c r="L1595">
        <v>98.291666669999998</v>
      </c>
      <c r="M1595">
        <v>30.315130790000001</v>
      </c>
      <c r="N1595">
        <v>5.0803484000000003E-2</v>
      </c>
      <c r="O1595">
        <v>81.666666669999998</v>
      </c>
      <c r="P1595">
        <v>48.056268459999998</v>
      </c>
      <c r="Q1595">
        <v>0.120291364</v>
      </c>
      <c r="R1595" t="s">
        <v>1018</v>
      </c>
      <c r="S1595">
        <v>-6.9487880000000002E-2</v>
      </c>
    </row>
    <row r="1596" spans="1:19" x14ac:dyDescent="0.25">
      <c r="A1596" t="s">
        <v>58</v>
      </c>
      <c r="B1596" t="s">
        <v>887</v>
      </c>
      <c r="C1596">
        <v>12</v>
      </c>
      <c r="D1596" t="s">
        <v>29</v>
      </c>
      <c r="E1596" t="s">
        <v>95</v>
      </c>
      <c r="F1596" t="s">
        <v>103</v>
      </c>
      <c r="G1596" t="s">
        <v>121</v>
      </c>
      <c r="H1596" t="s">
        <v>238</v>
      </c>
      <c r="J1596">
        <v>0</v>
      </c>
      <c r="K1596">
        <v>1</v>
      </c>
      <c r="L1596">
        <v>98.291666669999998</v>
      </c>
      <c r="M1596">
        <v>30.315130790000001</v>
      </c>
      <c r="N1596">
        <v>5.0803484000000003E-2</v>
      </c>
      <c r="O1596">
        <v>87.5</v>
      </c>
      <c r="P1596">
        <v>29.478311600000001</v>
      </c>
      <c r="Q1596">
        <v>3.0797751000000002E-2</v>
      </c>
      <c r="R1596" t="s">
        <v>1018</v>
      </c>
      <c r="S1596">
        <v>2.0005733000000001E-2</v>
      </c>
    </row>
    <row r="1597" spans="1:19" x14ac:dyDescent="0.25">
      <c r="A1597" t="s">
        <v>59</v>
      </c>
      <c r="B1597" t="s">
        <v>888</v>
      </c>
      <c r="C1597">
        <v>12</v>
      </c>
      <c r="D1597" t="s">
        <v>31</v>
      </c>
      <c r="E1597" t="s">
        <v>94</v>
      </c>
      <c r="F1597" t="s">
        <v>105</v>
      </c>
      <c r="G1597" t="s">
        <v>121</v>
      </c>
      <c r="H1597" t="s">
        <v>241</v>
      </c>
      <c r="J1597">
        <v>0</v>
      </c>
      <c r="K1597">
        <v>1</v>
      </c>
      <c r="L1597">
        <v>67.5</v>
      </c>
      <c r="M1597">
        <v>47.937235809999997</v>
      </c>
      <c r="N1597">
        <v>0.41599678000000001</v>
      </c>
      <c r="O1597">
        <v>114</v>
      </c>
      <c r="P1597">
        <v>30.43077242</v>
      </c>
      <c r="Q1597">
        <v>0.53383111100000002</v>
      </c>
      <c r="R1597" t="s">
        <v>1018</v>
      </c>
      <c r="S1597">
        <v>-0.11783433100000001</v>
      </c>
    </row>
    <row r="1598" spans="1:19" x14ac:dyDescent="0.25">
      <c r="A1598" t="s">
        <v>59</v>
      </c>
      <c r="B1598" t="s">
        <v>889</v>
      </c>
      <c r="C1598">
        <v>12</v>
      </c>
      <c r="D1598" t="s">
        <v>31</v>
      </c>
      <c r="E1598" t="s">
        <v>94</v>
      </c>
      <c r="F1598" t="s">
        <v>110</v>
      </c>
      <c r="G1598" t="s">
        <v>121</v>
      </c>
      <c r="H1598" t="s">
        <v>241</v>
      </c>
      <c r="J1598">
        <v>0</v>
      </c>
      <c r="K1598">
        <v>2</v>
      </c>
      <c r="L1598">
        <v>73.260869569999997</v>
      </c>
      <c r="M1598">
        <v>34.453830549999999</v>
      </c>
      <c r="N1598">
        <v>1.058333333</v>
      </c>
      <c r="O1598">
        <v>114</v>
      </c>
      <c r="P1598">
        <v>30.43077242</v>
      </c>
      <c r="Q1598">
        <v>0.53383111100000002</v>
      </c>
      <c r="R1598" t="s">
        <v>1018</v>
      </c>
      <c r="S1598">
        <v>0.52450222199999996</v>
      </c>
    </row>
    <row r="1599" spans="1:19" x14ac:dyDescent="0.25">
      <c r="A1599" t="s">
        <v>60</v>
      </c>
      <c r="B1599" t="s">
        <v>890</v>
      </c>
      <c r="C1599">
        <v>12</v>
      </c>
      <c r="D1599" t="s">
        <v>33</v>
      </c>
      <c r="E1599" t="s">
        <v>95</v>
      </c>
      <c r="F1599" t="s">
        <v>102</v>
      </c>
      <c r="G1599" t="s">
        <v>104</v>
      </c>
      <c r="H1599" t="s">
        <v>104</v>
      </c>
      <c r="J1599">
        <v>0</v>
      </c>
      <c r="K1599">
        <v>1</v>
      </c>
      <c r="L1599">
        <v>84.740740740000007</v>
      </c>
      <c r="M1599">
        <v>29.167014049999999</v>
      </c>
      <c r="N1599">
        <v>1.1169849999999999</v>
      </c>
      <c r="O1599">
        <v>113.9375</v>
      </c>
      <c r="P1599">
        <v>33.375507550000002</v>
      </c>
      <c r="Q1599">
        <v>2.4262999999999999</v>
      </c>
      <c r="R1599" t="s">
        <v>1018</v>
      </c>
      <c r="S1599">
        <v>-1.309315</v>
      </c>
    </row>
    <row r="1600" spans="1:19" x14ac:dyDescent="0.25">
      <c r="A1600" t="s">
        <v>60</v>
      </c>
      <c r="B1600" t="s">
        <v>891</v>
      </c>
      <c r="C1600">
        <v>12</v>
      </c>
      <c r="D1600" t="s">
        <v>33</v>
      </c>
      <c r="E1600" t="s">
        <v>95</v>
      </c>
      <c r="F1600" t="s">
        <v>110</v>
      </c>
      <c r="G1600" t="s">
        <v>121</v>
      </c>
      <c r="H1600" t="s">
        <v>241</v>
      </c>
      <c r="J1600">
        <v>0</v>
      </c>
      <c r="K1600">
        <v>2</v>
      </c>
      <c r="L1600">
        <v>73.260869569999997</v>
      </c>
      <c r="M1600">
        <v>34.453830549999999</v>
      </c>
      <c r="N1600">
        <v>1.058333333</v>
      </c>
      <c r="O1600">
        <v>114</v>
      </c>
      <c r="P1600">
        <v>30.43077242</v>
      </c>
      <c r="Q1600">
        <v>0.53383111100000002</v>
      </c>
      <c r="R1600" t="s">
        <v>1018</v>
      </c>
      <c r="S1600">
        <v>0.52450222199999996</v>
      </c>
    </row>
    <row r="1601" spans="1:19" x14ac:dyDescent="0.25">
      <c r="A1601" t="s">
        <v>60</v>
      </c>
      <c r="B1601" t="s">
        <v>891</v>
      </c>
      <c r="C1601">
        <v>12</v>
      </c>
      <c r="D1601" t="s">
        <v>33</v>
      </c>
      <c r="E1601" t="s">
        <v>95</v>
      </c>
      <c r="F1601" t="s">
        <v>110</v>
      </c>
      <c r="G1601" t="s">
        <v>121</v>
      </c>
      <c r="H1601" t="s">
        <v>246</v>
      </c>
      <c r="J1601">
        <v>0</v>
      </c>
      <c r="K1601">
        <v>2</v>
      </c>
      <c r="L1601">
        <v>73.260869569999997</v>
      </c>
      <c r="M1601">
        <v>34.453830549999999</v>
      </c>
      <c r="N1601">
        <v>1.058333333</v>
      </c>
      <c r="O1601">
        <v>120.25</v>
      </c>
      <c r="P1601">
        <v>30.670450110000001</v>
      </c>
      <c r="Q1601">
        <v>0.91037498500000003</v>
      </c>
      <c r="R1601" t="s">
        <v>1018</v>
      </c>
      <c r="S1601">
        <v>0.14795834799999996</v>
      </c>
    </row>
    <row r="1602" spans="1:19" x14ac:dyDescent="0.25">
      <c r="A1602" t="s">
        <v>60</v>
      </c>
      <c r="B1602" t="s">
        <v>892</v>
      </c>
      <c r="C1602">
        <v>12</v>
      </c>
      <c r="D1602" t="s">
        <v>33</v>
      </c>
      <c r="E1602" t="s">
        <v>95</v>
      </c>
      <c r="F1602" t="s">
        <v>104</v>
      </c>
      <c r="G1602" t="s">
        <v>104</v>
      </c>
      <c r="H1602" t="s">
        <v>104</v>
      </c>
      <c r="J1602">
        <v>0</v>
      </c>
      <c r="K1602">
        <v>1</v>
      </c>
      <c r="L1602">
        <v>113.9375</v>
      </c>
      <c r="M1602">
        <v>33.375507550000002</v>
      </c>
      <c r="N1602">
        <v>2.4262999999999999</v>
      </c>
      <c r="O1602">
        <v>113.9375</v>
      </c>
      <c r="P1602">
        <v>33.375507550000002</v>
      </c>
      <c r="Q1602">
        <v>2.4262999999999999</v>
      </c>
      <c r="R1602" t="s">
        <v>1018</v>
      </c>
      <c r="S1602">
        <v>0</v>
      </c>
    </row>
    <row r="1603" spans="1:19" x14ac:dyDescent="0.25">
      <c r="A1603" t="s">
        <v>60</v>
      </c>
      <c r="B1603" t="s">
        <v>892</v>
      </c>
      <c r="C1603">
        <v>12</v>
      </c>
      <c r="D1603" t="s">
        <v>33</v>
      </c>
      <c r="E1603" t="s">
        <v>95</v>
      </c>
      <c r="F1603" t="s">
        <v>104</v>
      </c>
      <c r="G1603" t="s">
        <v>104</v>
      </c>
      <c r="H1603" t="s">
        <v>246</v>
      </c>
      <c r="J1603">
        <v>0</v>
      </c>
      <c r="K1603">
        <v>2</v>
      </c>
      <c r="L1603">
        <v>113.9375</v>
      </c>
      <c r="M1603">
        <v>33.375507550000002</v>
      </c>
      <c r="N1603">
        <v>2.4262999999999999</v>
      </c>
      <c r="O1603">
        <v>120.25</v>
      </c>
      <c r="P1603">
        <v>30.670450110000001</v>
      </c>
      <c r="Q1603">
        <v>0.91037498500000003</v>
      </c>
      <c r="R1603" t="s">
        <v>1018</v>
      </c>
      <c r="S1603">
        <v>1.5159250149999999</v>
      </c>
    </row>
    <row r="1604" spans="1:19" x14ac:dyDescent="0.25">
      <c r="A1604" t="s">
        <v>60</v>
      </c>
      <c r="B1604" t="s">
        <v>892</v>
      </c>
      <c r="C1604">
        <v>12</v>
      </c>
      <c r="D1604" t="s">
        <v>33</v>
      </c>
      <c r="E1604" t="s">
        <v>95</v>
      </c>
      <c r="F1604" t="s">
        <v>104</v>
      </c>
      <c r="G1604" t="s">
        <v>104</v>
      </c>
      <c r="H1604" t="s">
        <v>797</v>
      </c>
      <c r="J1604">
        <v>0</v>
      </c>
      <c r="K1604">
        <v>1</v>
      </c>
      <c r="L1604">
        <v>113.9375</v>
      </c>
      <c r="M1604">
        <v>33.375507550000002</v>
      </c>
      <c r="N1604">
        <v>2.4262999999999999</v>
      </c>
      <c r="O1604">
        <v>179.45454549999999</v>
      </c>
      <c r="P1604">
        <v>26.326869609999999</v>
      </c>
      <c r="Q1604">
        <v>2.3456094639999998</v>
      </c>
      <c r="R1604" t="s">
        <v>1018</v>
      </c>
      <c r="S1604">
        <v>8.069053600000009E-2</v>
      </c>
    </row>
    <row r="1605" spans="1:19" x14ac:dyDescent="0.25">
      <c r="A1605" t="s">
        <v>60</v>
      </c>
      <c r="B1605" t="s">
        <v>892</v>
      </c>
      <c r="C1605">
        <v>12</v>
      </c>
      <c r="D1605" t="s">
        <v>33</v>
      </c>
      <c r="E1605" t="s">
        <v>95</v>
      </c>
      <c r="F1605" t="s">
        <v>104</v>
      </c>
      <c r="G1605" t="s">
        <v>104</v>
      </c>
      <c r="H1605" t="s">
        <v>247</v>
      </c>
      <c r="J1605">
        <v>0</v>
      </c>
      <c r="K1605">
        <v>1</v>
      </c>
      <c r="L1605">
        <v>113.9375</v>
      </c>
      <c r="M1605">
        <v>33.375507550000002</v>
      </c>
      <c r="N1605">
        <v>2.4262999999999999</v>
      </c>
      <c r="O1605">
        <v>65.791044779999993</v>
      </c>
      <c r="P1605">
        <v>22.94519201</v>
      </c>
      <c r="Q1605">
        <v>8.1320334999999994E-2</v>
      </c>
      <c r="R1605" t="s">
        <v>1018</v>
      </c>
      <c r="S1605">
        <v>2.3449796649999999</v>
      </c>
    </row>
    <row r="1606" spans="1:19" x14ac:dyDescent="0.25">
      <c r="A1606" t="s">
        <v>60</v>
      </c>
      <c r="B1606" t="s">
        <v>893</v>
      </c>
      <c r="C1606">
        <v>12</v>
      </c>
      <c r="D1606" t="s">
        <v>33</v>
      </c>
      <c r="E1606" t="s">
        <v>95</v>
      </c>
      <c r="F1606" t="s">
        <v>112</v>
      </c>
      <c r="G1606" t="s">
        <v>121</v>
      </c>
      <c r="H1606" t="s">
        <v>114</v>
      </c>
      <c r="J1606">
        <v>0</v>
      </c>
      <c r="K1606">
        <v>0</v>
      </c>
      <c r="L1606">
        <v>65.09375</v>
      </c>
      <c r="M1606">
        <v>37.895352600000002</v>
      </c>
      <c r="N1606">
        <v>2.2882677779999998</v>
      </c>
      <c r="O1606" t="s">
        <v>114</v>
      </c>
      <c r="P1606" t="s">
        <v>114</v>
      </c>
      <c r="Q1606" t="s">
        <v>114</v>
      </c>
      <c r="R1606" t="s">
        <v>1018</v>
      </c>
      <c r="S1606" t="s">
        <v>114</v>
      </c>
    </row>
    <row r="1607" spans="1:19" x14ac:dyDescent="0.25">
      <c r="A1607" t="s">
        <v>61</v>
      </c>
      <c r="B1607" t="s">
        <v>894</v>
      </c>
      <c r="C1607">
        <v>12</v>
      </c>
      <c r="D1607" t="s">
        <v>35</v>
      </c>
      <c r="E1607" t="s">
        <v>94</v>
      </c>
      <c r="F1607" t="s">
        <v>102</v>
      </c>
      <c r="G1607" t="s">
        <v>121</v>
      </c>
      <c r="H1607" t="s">
        <v>162</v>
      </c>
      <c r="J1607">
        <v>1</v>
      </c>
      <c r="K1607">
        <v>1</v>
      </c>
      <c r="L1607">
        <v>84.740740740000007</v>
      </c>
      <c r="M1607">
        <v>29.167014049999999</v>
      </c>
      <c r="N1607">
        <v>1.1169849999999999</v>
      </c>
      <c r="O1607">
        <v>82.53846154</v>
      </c>
      <c r="P1607">
        <v>35.660530039999998</v>
      </c>
      <c r="Q1607">
        <v>3.3754499999999998</v>
      </c>
      <c r="R1607" t="s">
        <v>1018</v>
      </c>
      <c r="S1607">
        <v>-2.2584650000000002</v>
      </c>
    </row>
    <row r="1608" spans="1:19" x14ac:dyDescent="0.25">
      <c r="A1608" t="s">
        <v>61</v>
      </c>
      <c r="B1608" t="s">
        <v>895</v>
      </c>
      <c r="C1608">
        <v>12</v>
      </c>
      <c r="D1608" t="s">
        <v>35</v>
      </c>
      <c r="E1608" t="s">
        <v>94</v>
      </c>
      <c r="F1608" t="s">
        <v>110</v>
      </c>
      <c r="G1608" t="s">
        <v>121</v>
      </c>
      <c r="H1608" t="s">
        <v>162</v>
      </c>
      <c r="J1608">
        <v>0</v>
      </c>
      <c r="K1608">
        <v>1</v>
      </c>
      <c r="L1608">
        <v>73.260869569999997</v>
      </c>
      <c r="M1608">
        <v>34.453830549999999</v>
      </c>
      <c r="N1608">
        <v>1.058333333</v>
      </c>
      <c r="O1608">
        <v>82.53846154</v>
      </c>
      <c r="P1608">
        <v>35.660530039999998</v>
      </c>
      <c r="Q1608">
        <v>3.3754499999999998</v>
      </c>
      <c r="R1608" t="s">
        <v>1018</v>
      </c>
      <c r="S1608">
        <v>-2.3171166669999996</v>
      </c>
    </row>
    <row r="1609" spans="1:19" x14ac:dyDescent="0.25">
      <c r="A1609" t="s">
        <v>61</v>
      </c>
      <c r="B1609" t="s">
        <v>895</v>
      </c>
      <c r="C1609">
        <v>12</v>
      </c>
      <c r="D1609" t="s">
        <v>35</v>
      </c>
      <c r="E1609" t="s">
        <v>94</v>
      </c>
      <c r="F1609" t="s">
        <v>110</v>
      </c>
      <c r="G1609" t="s">
        <v>121</v>
      </c>
      <c r="H1609" t="s">
        <v>102</v>
      </c>
      <c r="J1609">
        <v>0</v>
      </c>
      <c r="K1609">
        <v>1</v>
      </c>
      <c r="L1609">
        <v>73.260869569999997</v>
      </c>
      <c r="M1609">
        <v>34.453830549999999</v>
      </c>
      <c r="N1609">
        <v>1.058333333</v>
      </c>
      <c r="O1609">
        <v>84.740740740000007</v>
      </c>
      <c r="P1609">
        <v>29.167014049999999</v>
      </c>
      <c r="Q1609">
        <v>1.1169849999999999</v>
      </c>
      <c r="R1609" t="s">
        <v>1018</v>
      </c>
      <c r="S1609">
        <v>-5.8651666999999907E-2</v>
      </c>
    </row>
    <row r="1610" spans="1:19" x14ac:dyDescent="0.25">
      <c r="A1610" t="s">
        <v>61</v>
      </c>
      <c r="B1610" t="s">
        <v>896</v>
      </c>
      <c r="C1610">
        <v>12</v>
      </c>
      <c r="D1610" t="s">
        <v>35</v>
      </c>
      <c r="E1610" t="s">
        <v>94</v>
      </c>
      <c r="F1610" t="s">
        <v>112</v>
      </c>
      <c r="G1610" t="s">
        <v>121</v>
      </c>
      <c r="H1610" t="s">
        <v>162</v>
      </c>
      <c r="J1610">
        <v>0</v>
      </c>
      <c r="K1610">
        <v>1</v>
      </c>
      <c r="L1610">
        <v>65.09375</v>
      </c>
      <c r="M1610">
        <v>37.895352600000002</v>
      </c>
      <c r="N1610">
        <v>2.2882677779999998</v>
      </c>
      <c r="O1610">
        <v>82.53846154</v>
      </c>
      <c r="P1610">
        <v>35.660530039999998</v>
      </c>
      <c r="Q1610">
        <v>3.3754499999999998</v>
      </c>
      <c r="R1610" t="s">
        <v>1018</v>
      </c>
      <c r="S1610">
        <v>-1.087182222</v>
      </c>
    </row>
    <row r="1611" spans="1:19" x14ac:dyDescent="0.25">
      <c r="A1611" t="s">
        <v>62</v>
      </c>
      <c r="B1611" t="s">
        <v>897</v>
      </c>
      <c r="C1611">
        <v>12</v>
      </c>
      <c r="D1611" t="s">
        <v>37</v>
      </c>
      <c r="E1611" t="s">
        <v>95</v>
      </c>
      <c r="F1611" t="s">
        <v>102</v>
      </c>
      <c r="G1611" t="s">
        <v>121</v>
      </c>
      <c r="H1611" t="s">
        <v>114</v>
      </c>
      <c r="J1611">
        <v>0</v>
      </c>
      <c r="K1611">
        <v>0</v>
      </c>
      <c r="L1611">
        <v>84.740740740000007</v>
      </c>
      <c r="M1611">
        <v>29.167014049999999</v>
      </c>
      <c r="N1611">
        <v>1.1169849999999999</v>
      </c>
      <c r="O1611" t="s">
        <v>114</v>
      </c>
      <c r="P1611" t="s">
        <v>114</v>
      </c>
      <c r="Q1611" t="s">
        <v>114</v>
      </c>
      <c r="R1611" t="s">
        <v>1018</v>
      </c>
      <c r="S1611" t="s">
        <v>114</v>
      </c>
    </row>
    <row r="1612" spans="1:19" x14ac:dyDescent="0.25">
      <c r="A1612" t="s">
        <v>62</v>
      </c>
      <c r="B1612" t="s">
        <v>898</v>
      </c>
      <c r="C1612">
        <v>12</v>
      </c>
      <c r="D1612" t="s">
        <v>37</v>
      </c>
      <c r="E1612" t="s">
        <v>95</v>
      </c>
      <c r="F1612" t="s">
        <v>103</v>
      </c>
      <c r="G1612" t="s">
        <v>121</v>
      </c>
      <c r="H1612" t="s">
        <v>233</v>
      </c>
      <c r="J1612">
        <v>0</v>
      </c>
      <c r="K1612">
        <v>1</v>
      </c>
      <c r="L1612">
        <v>98.291666669999998</v>
      </c>
      <c r="M1612">
        <v>30.315130790000001</v>
      </c>
      <c r="N1612">
        <v>5.0803484000000003E-2</v>
      </c>
      <c r="O1612">
        <v>106.0540541</v>
      </c>
      <c r="P1612">
        <v>52.690533369999997</v>
      </c>
      <c r="Q1612">
        <v>7.6058968000000005E-2</v>
      </c>
      <c r="R1612" t="s">
        <v>1018</v>
      </c>
      <c r="S1612">
        <v>-2.5255484000000002E-2</v>
      </c>
    </row>
    <row r="1613" spans="1:19" x14ac:dyDescent="0.25">
      <c r="A1613" t="s">
        <v>62</v>
      </c>
      <c r="B1613" t="s">
        <v>898</v>
      </c>
      <c r="C1613">
        <v>12</v>
      </c>
      <c r="D1613" t="s">
        <v>37</v>
      </c>
      <c r="E1613" t="s">
        <v>95</v>
      </c>
      <c r="F1613" t="s">
        <v>103</v>
      </c>
      <c r="G1613" t="s">
        <v>121</v>
      </c>
      <c r="H1613" t="s">
        <v>234</v>
      </c>
      <c r="J1613">
        <v>0</v>
      </c>
      <c r="K1613">
        <v>1</v>
      </c>
      <c r="L1613">
        <v>98.291666669999998</v>
      </c>
      <c r="M1613">
        <v>30.315130790000001</v>
      </c>
      <c r="N1613">
        <v>5.0803484000000003E-2</v>
      </c>
      <c r="O1613">
        <v>89.8125</v>
      </c>
      <c r="P1613">
        <v>34.754706650000003</v>
      </c>
      <c r="Q1613">
        <v>2.3065078999999999E-2</v>
      </c>
      <c r="R1613" t="s">
        <v>1018</v>
      </c>
      <c r="S1613">
        <v>2.7738405000000004E-2</v>
      </c>
    </row>
    <row r="1614" spans="1:19" x14ac:dyDescent="0.25">
      <c r="A1614" t="s">
        <v>62</v>
      </c>
      <c r="B1614" t="s">
        <v>898</v>
      </c>
      <c r="C1614">
        <v>12</v>
      </c>
      <c r="D1614" t="s">
        <v>37</v>
      </c>
      <c r="E1614" t="s">
        <v>95</v>
      </c>
      <c r="F1614" t="s">
        <v>103</v>
      </c>
      <c r="G1614" t="s">
        <v>121</v>
      </c>
      <c r="H1614" t="s">
        <v>241</v>
      </c>
      <c r="J1614">
        <v>0</v>
      </c>
      <c r="K1614">
        <v>1</v>
      </c>
      <c r="L1614">
        <v>98.291666669999998</v>
      </c>
      <c r="M1614">
        <v>30.315130790000001</v>
      </c>
      <c r="N1614">
        <v>5.0803484000000003E-2</v>
      </c>
      <c r="O1614">
        <v>114</v>
      </c>
      <c r="P1614">
        <v>30.43077242</v>
      </c>
      <c r="Q1614">
        <v>0.53383111100000002</v>
      </c>
      <c r="R1614" t="s">
        <v>1018</v>
      </c>
      <c r="S1614">
        <v>-0.48302762700000001</v>
      </c>
    </row>
    <row r="1615" spans="1:19" x14ac:dyDescent="0.25">
      <c r="A1615" t="s">
        <v>63</v>
      </c>
      <c r="B1615" t="s">
        <v>899</v>
      </c>
      <c r="C1615">
        <v>12</v>
      </c>
      <c r="D1615" t="s">
        <v>64</v>
      </c>
      <c r="E1615" t="s">
        <v>94</v>
      </c>
      <c r="F1615" t="s">
        <v>104</v>
      </c>
      <c r="G1615" t="s">
        <v>121</v>
      </c>
      <c r="H1615" t="s">
        <v>238</v>
      </c>
      <c r="J1615">
        <v>0</v>
      </c>
      <c r="K1615">
        <v>2</v>
      </c>
      <c r="L1615">
        <v>113.9375</v>
      </c>
      <c r="M1615">
        <v>33.375507550000002</v>
      </c>
      <c r="N1615">
        <v>2.4262999999999999</v>
      </c>
      <c r="O1615">
        <v>87.5</v>
      </c>
      <c r="P1615">
        <v>29.478311600000001</v>
      </c>
      <c r="Q1615">
        <v>3.0797751000000002E-2</v>
      </c>
      <c r="R1615" t="s">
        <v>1018</v>
      </c>
      <c r="S1615">
        <v>2.3955022489999998</v>
      </c>
    </row>
    <row r="1616" spans="1:19" x14ac:dyDescent="0.25">
      <c r="A1616" t="s">
        <v>63</v>
      </c>
      <c r="B1616" t="s">
        <v>899</v>
      </c>
      <c r="C1616">
        <v>12</v>
      </c>
      <c r="D1616" t="s">
        <v>64</v>
      </c>
      <c r="E1616" t="s">
        <v>94</v>
      </c>
      <c r="F1616" t="s">
        <v>104</v>
      </c>
      <c r="G1616" t="s">
        <v>121</v>
      </c>
      <c r="H1616" t="s">
        <v>103</v>
      </c>
      <c r="J1616">
        <v>0</v>
      </c>
      <c r="K1616">
        <v>1</v>
      </c>
      <c r="L1616">
        <v>113.9375</v>
      </c>
      <c r="M1616">
        <v>33.375507550000002</v>
      </c>
      <c r="N1616">
        <v>2.4262999999999999</v>
      </c>
      <c r="O1616">
        <v>98.291666669999998</v>
      </c>
      <c r="P1616">
        <v>30.315130790000001</v>
      </c>
      <c r="Q1616">
        <v>5.0803484000000003E-2</v>
      </c>
      <c r="R1616" t="s">
        <v>1018</v>
      </c>
      <c r="S1616">
        <v>2.3754965160000001</v>
      </c>
    </row>
    <row r="1617" spans="1:19" x14ac:dyDescent="0.25">
      <c r="A1617" t="s">
        <v>63</v>
      </c>
      <c r="B1617" t="s">
        <v>899</v>
      </c>
      <c r="C1617">
        <v>12</v>
      </c>
      <c r="D1617" t="s">
        <v>64</v>
      </c>
      <c r="E1617" t="s">
        <v>94</v>
      </c>
      <c r="F1617" t="s">
        <v>104</v>
      </c>
      <c r="G1617" t="s">
        <v>121</v>
      </c>
      <c r="H1617" t="s">
        <v>248</v>
      </c>
      <c r="J1617">
        <v>0</v>
      </c>
      <c r="K1617">
        <v>2</v>
      </c>
      <c r="L1617">
        <v>113.9375</v>
      </c>
      <c r="M1617">
        <v>33.375507550000002</v>
      </c>
      <c r="N1617">
        <v>2.4262999999999999</v>
      </c>
      <c r="O1617">
        <v>83.92307692</v>
      </c>
      <c r="P1617">
        <v>44.319135699999997</v>
      </c>
      <c r="Q1617">
        <v>5.9548609999999997E-3</v>
      </c>
      <c r="R1617" t="s">
        <v>1018</v>
      </c>
      <c r="S1617">
        <v>2.4203451389999997</v>
      </c>
    </row>
    <row r="1618" spans="1:19" x14ac:dyDescent="0.25">
      <c r="A1618" t="s">
        <v>65</v>
      </c>
      <c r="B1618" t="s">
        <v>900</v>
      </c>
      <c r="C1618">
        <v>12</v>
      </c>
      <c r="D1618" t="s">
        <v>66</v>
      </c>
      <c r="E1618" t="s">
        <v>95</v>
      </c>
      <c r="F1618" t="s">
        <v>105</v>
      </c>
      <c r="G1618" t="s">
        <v>121</v>
      </c>
      <c r="H1618" t="s">
        <v>111</v>
      </c>
      <c r="J1618">
        <v>0</v>
      </c>
      <c r="K1618">
        <v>1</v>
      </c>
      <c r="L1618">
        <v>67.5</v>
      </c>
      <c r="M1618">
        <v>47.937235809999997</v>
      </c>
      <c r="N1618">
        <v>0.41599678000000001</v>
      </c>
      <c r="O1618">
        <v>94.97142857</v>
      </c>
      <c r="P1618">
        <v>24.31591813</v>
      </c>
      <c r="Q1618">
        <v>0.122951111</v>
      </c>
      <c r="R1618" t="s">
        <v>1018</v>
      </c>
      <c r="S1618">
        <v>0.29304566900000001</v>
      </c>
    </row>
    <row r="1619" spans="1:19" x14ac:dyDescent="0.25">
      <c r="A1619" t="s">
        <v>65</v>
      </c>
      <c r="B1619" t="s">
        <v>900</v>
      </c>
      <c r="C1619">
        <v>12</v>
      </c>
      <c r="D1619" t="s">
        <v>66</v>
      </c>
      <c r="E1619" t="s">
        <v>95</v>
      </c>
      <c r="F1619" t="s">
        <v>105</v>
      </c>
      <c r="G1619" t="s">
        <v>121</v>
      </c>
      <c r="H1619" t="s">
        <v>808</v>
      </c>
      <c r="J1619">
        <v>0</v>
      </c>
      <c r="K1619">
        <v>1</v>
      </c>
      <c r="L1619">
        <v>67.5</v>
      </c>
      <c r="M1619">
        <v>47.937235809999997</v>
      </c>
      <c r="N1619">
        <v>0.41599678000000001</v>
      </c>
      <c r="O1619">
        <v>102.79166669999999</v>
      </c>
      <c r="P1619">
        <v>27.057373470000002</v>
      </c>
      <c r="Q1619">
        <v>6.3567849939999999</v>
      </c>
      <c r="R1619" t="s">
        <v>1018</v>
      </c>
      <c r="S1619">
        <v>-5.9407882139999995</v>
      </c>
    </row>
    <row r="1620" spans="1:19" x14ac:dyDescent="0.25">
      <c r="A1620" t="s">
        <v>65</v>
      </c>
      <c r="B1620" t="s">
        <v>900</v>
      </c>
      <c r="C1620">
        <v>12</v>
      </c>
      <c r="D1620" t="s">
        <v>66</v>
      </c>
      <c r="E1620" t="s">
        <v>95</v>
      </c>
      <c r="F1620" t="s">
        <v>105</v>
      </c>
      <c r="G1620" t="s">
        <v>121</v>
      </c>
      <c r="H1620" t="s">
        <v>247</v>
      </c>
      <c r="J1620">
        <v>0</v>
      </c>
      <c r="K1620">
        <v>1</v>
      </c>
      <c r="L1620">
        <v>67.5</v>
      </c>
      <c r="M1620">
        <v>47.937235809999997</v>
      </c>
      <c r="N1620">
        <v>0.41599678000000001</v>
      </c>
      <c r="O1620">
        <v>65.791044779999993</v>
      </c>
      <c r="P1620">
        <v>22.94519201</v>
      </c>
      <c r="Q1620">
        <v>8.1320334999999994E-2</v>
      </c>
      <c r="R1620" t="s">
        <v>1018</v>
      </c>
      <c r="S1620">
        <v>0.33467644500000004</v>
      </c>
    </row>
    <row r="1621" spans="1:19" x14ac:dyDescent="0.25">
      <c r="A1621" t="s">
        <v>65</v>
      </c>
      <c r="B1621" t="s">
        <v>900</v>
      </c>
      <c r="C1621">
        <v>12</v>
      </c>
      <c r="D1621" t="s">
        <v>66</v>
      </c>
      <c r="E1621" t="s">
        <v>95</v>
      </c>
      <c r="F1621" t="s">
        <v>105</v>
      </c>
      <c r="G1621" t="s">
        <v>121</v>
      </c>
      <c r="H1621" t="s">
        <v>248</v>
      </c>
      <c r="J1621">
        <v>0</v>
      </c>
      <c r="K1621">
        <v>2</v>
      </c>
      <c r="L1621">
        <v>67.5</v>
      </c>
      <c r="M1621">
        <v>47.937235809999997</v>
      </c>
      <c r="N1621">
        <v>0.41599678000000001</v>
      </c>
      <c r="O1621">
        <v>83.92307692</v>
      </c>
      <c r="P1621">
        <v>44.319135699999997</v>
      </c>
      <c r="Q1621">
        <v>5.9548609999999997E-3</v>
      </c>
      <c r="R1621" t="s">
        <v>1018</v>
      </c>
      <c r="S1621">
        <v>0.41004191900000003</v>
      </c>
    </row>
    <row r="1622" spans="1:19" x14ac:dyDescent="0.25">
      <c r="A1622" t="s">
        <v>10</v>
      </c>
      <c r="B1622" t="s">
        <v>901</v>
      </c>
      <c r="C1622">
        <v>15</v>
      </c>
      <c r="D1622" t="s">
        <v>11</v>
      </c>
      <c r="E1622" t="s">
        <v>94</v>
      </c>
      <c r="F1622" t="s">
        <v>102</v>
      </c>
      <c r="G1622" t="s">
        <v>102</v>
      </c>
      <c r="H1622" t="s">
        <v>102</v>
      </c>
      <c r="J1622">
        <v>0</v>
      </c>
      <c r="K1622">
        <v>1</v>
      </c>
      <c r="L1622">
        <v>84.740740740000007</v>
      </c>
      <c r="M1622">
        <v>29.167014049999999</v>
      </c>
      <c r="N1622">
        <v>1.1169849999999999</v>
      </c>
      <c r="O1622">
        <v>84.740740740000007</v>
      </c>
      <c r="P1622">
        <v>29.167014049999999</v>
      </c>
      <c r="Q1622">
        <v>1.1169849999999999</v>
      </c>
      <c r="R1622" t="s">
        <v>1018</v>
      </c>
      <c r="S1622">
        <v>0</v>
      </c>
    </row>
    <row r="1623" spans="1:19" x14ac:dyDescent="0.25">
      <c r="A1623" t="s">
        <v>10</v>
      </c>
      <c r="B1623" t="s">
        <v>901</v>
      </c>
      <c r="C1623">
        <v>16</v>
      </c>
      <c r="D1623" t="s">
        <v>11</v>
      </c>
      <c r="E1623" t="s">
        <v>94</v>
      </c>
      <c r="F1623" t="s">
        <v>102</v>
      </c>
      <c r="G1623" t="s">
        <v>102</v>
      </c>
      <c r="H1623" t="s">
        <v>111</v>
      </c>
      <c r="J1623">
        <v>0</v>
      </c>
      <c r="K1623">
        <v>1</v>
      </c>
      <c r="L1623">
        <v>84.740740740000007</v>
      </c>
      <c r="M1623">
        <v>29.167014049999999</v>
      </c>
      <c r="N1623">
        <v>1.1169849999999999</v>
      </c>
      <c r="O1623">
        <v>94.97142857</v>
      </c>
      <c r="P1623">
        <v>24.31591813</v>
      </c>
      <c r="Q1623">
        <v>0.122951111</v>
      </c>
      <c r="R1623" t="s">
        <v>1018</v>
      </c>
      <c r="S1623">
        <v>0.99403388899999989</v>
      </c>
    </row>
    <row r="1624" spans="1:19" x14ac:dyDescent="0.25">
      <c r="A1624" t="s">
        <v>10</v>
      </c>
      <c r="B1624" t="s">
        <v>902</v>
      </c>
      <c r="C1624">
        <v>15</v>
      </c>
      <c r="D1624" t="s">
        <v>11</v>
      </c>
      <c r="E1624" t="s">
        <v>94</v>
      </c>
      <c r="F1624" t="s">
        <v>105</v>
      </c>
      <c r="G1624" t="s">
        <v>121</v>
      </c>
      <c r="H1624" t="s">
        <v>244</v>
      </c>
      <c r="J1624">
        <v>0</v>
      </c>
      <c r="K1624">
        <v>2</v>
      </c>
      <c r="L1624">
        <v>67.5</v>
      </c>
      <c r="M1624">
        <v>47.937235809999997</v>
      </c>
      <c r="N1624">
        <v>0.41599678000000001</v>
      </c>
      <c r="O1624">
        <v>75</v>
      </c>
      <c r="P1624">
        <v>28.80614499</v>
      </c>
      <c r="Q1624">
        <v>2.3860428570000001</v>
      </c>
      <c r="R1624" t="s">
        <v>1018</v>
      </c>
      <c r="S1624">
        <v>-1.9700460770000001</v>
      </c>
    </row>
    <row r="1625" spans="1:19" x14ac:dyDescent="0.25">
      <c r="A1625" t="s">
        <v>10</v>
      </c>
      <c r="B1625" t="s">
        <v>902</v>
      </c>
      <c r="C1625">
        <v>16</v>
      </c>
      <c r="D1625" t="s">
        <v>11</v>
      </c>
      <c r="E1625" t="s">
        <v>94</v>
      </c>
      <c r="F1625" t="s">
        <v>105</v>
      </c>
      <c r="G1625" t="s">
        <v>121</v>
      </c>
      <c r="H1625" t="s">
        <v>104</v>
      </c>
      <c r="J1625">
        <v>0</v>
      </c>
      <c r="K1625">
        <v>1</v>
      </c>
      <c r="L1625">
        <v>67.5</v>
      </c>
      <c r="M1625">
        <v>47.937235809999997</v>
      </c>
      <c r="N1625">
        <v>0.41599678000000001</v>
      </c>
      <c r="O1625">
        <v>113.9375</v>
      </c>
      <c r="P1625">
        <v>33.375507550000002</v>
      </c>
      <c r="Q1625">
        <v>2.4262999999999999</v>
      </c>
      <c r="R1625" t="s">
        <v>1018</v>
      </c>
      <c r="S1625">
        <v>-2.0103032199999999</v>
      </c>
    </row>
    <row r="1626" spans="1:19" x14ac:dyDescent="0.25">
      <c r="A1626" t="s">
        <v>10</v>
      </c>
      <c r="B1626" t="s">
        <v>903</v>
      </c>
      <c r="C1626">
        <v>15</v>
      </c>
      <c r="D1626" t="s">
        <v>11</v>
      </c>
      <c r="E1626" t="s">
        <v>94</v>
      </c>
      <c r="F1626" t="s">
        <v>103</v>
      </c>
      <c r="G1626" t="s">
        <v>121</v>
      </c>
      <c r="H1626" t="s">
        <v>245</v>
      </c>
      <c r="J1626">
        <v>0</v>
      </c>
      <c r="K1626">
        <v>1</v>
      </c>
      <c r="L1626">
        <v>98.291666669999998</v>
      </c>
      <c r="M1626">
        <v>30.315130790000001</v>
      </c>
      <c r="N1626">
        <v>5.0803484000000003E-2</v>
      </c>
      <c r="O1626" t="s">
        <v>114</v>
      </c>
      <c r="P1626" t="s">
        <v>114</v>
      </c>
      <c r="Q1626" t="s">
        <v>114</v>
      </c>
      <c r="R1626" t="s">
        <v>1018</v>
      </c>
      <c r="S1626" t="s">
        <v>114</v>
      </c>
    </row>
    <row r="1627" spans="1:19" x14ac:dyDescent="0.25">
      <c r="A1627" t="s">
        <v>10</v>
      </c>
      <c r="B1627" t="s">
        <v>904</v>
      </c>
      <c r="C1627">
        <v>15</v>
      </c>
      <c r="D1627" t="s">
        <v>11</v>
      </c>
      <c r="E1627" t="s">
        <v>94</v>
      </c>
      <c r="F1627" t="s">
        <v>104</v>
      </c>
      <c r="G1627" t="s">
        <v>121</v>
      </c>
      <c r="H1627" t="s">
        <v>242</v>
      </c>
      <c r="J1627">
        <v>0</v>
      </c>
      <c r="K1627">
        <v>6</v>
      </c>
      <c r="L1627">
        <v>113.9375</v>
      </c>
      <c r="M1627">
        <v>33.375507550000002</v>
      </c>
      <c r="N1627">
        <v>2.4262999999999999</v>
      </c>
      <c r="O1627">
        <v>139.375</v>
      </c>
      <c r="P1627">
        <v>23.713465920000001</v>
      </c>
      <c r="Q1627" t="s">
        <v>114</v>
      </c>
      <c r="R1627" t="s">
        <v>1018</v>
      </c>
      <c r="S1627" t="s">
        <v>114</v>
      </c>
    </row>
    <row r="1628" spans="1:19" x14ac:dyDescent="0.25">
      <c r="A1628" t="s">
        <v>14</v>
      </c>
      <c r="B1628" t="s">
        <v>905</v>
      </c>
      <c r="C1628">
        <v>15</v>
      </c>
      <c r="D1628" t="s">
        <v>15</v>
      </c>
      <c r="E1628" t="s">
        <v>94</v>
      </c>
      <c r="F1628" t="s">
        <v>102</v>
      </c>
      <c r="G1628" t="s">
        <v>121</v>
      </c>
      <c r="H1628" t="s">
        <v>114</v>
      </c>
      <c r="J1628">
        <v>0</v>
      </c>
      <c r="K1628" t="s">
        <v>114</v>
      </c>
      <c r="L1628">
        <v>84.740740740000007</v>
      </c>
      <c r="M1628">
        <v>29.167014049999999</v>
      </c>
      <c r="N1628">
        <v>1.1169849999999999</v>
      </c>
      <c r="O1628" t="s">
        <v>114</v>
      </c>
      <c r="P1628" t="s">
        <v>114</v>
      </c>
      <c r="Q1628" t="s">
        <v>114</v>
      </c>
      <c r="R1628" t="s">
        <v>1018</v>
      </c>
      <c r="S1628" t="s">
        <v>114</v>
      </c>
    </row>
    <row r="1629" spans="1:19" x14ac:dyDescent="0.25">
      <c r="A1629" t="s">
        <v>14</v>
      </c>
      <c r="B1629" t="s">
        <v>906</v>
      </c>
      <c r="C1629">
        <v>15</v>
      </c>
      <c r="D1629" t="s">
        <v>15</v>
      </c>
      <c r="E1629" t="s">
        <v>94</v>
      </c>
      <c r="F1629" t="s">
        <v>110</v>
      </c>
      <c r="G1629" t="s">
        <v>121</v>
      </c>
      <c r="H1629" t="s">
        <v>114</v>
      </c>
      <c r="J1629">
        <v>0</v>
      </c>
      <c r="K1629" t="s">
        <v>114</v>
      </c>
      <c r="L1629">
        <v>73.260869569999997</v>
      </c>
      <c r="M1629">
        <v>34.453830549999999</v>
      </c>
      <c r="N1629">
        <v>1.058333333</v>
      </c>
      <c r="O1629" t="s">
        <v>114</v>
      </c>
      <c r="P1629" t="s">
        <v>114</v>
      </c>
      <c r="Q1629" t="s">
        <v>114</v>
      </c>
      <c r="R1629" t="s">
        <v>1018</v>
      </c>
      <c r="S1629" t="s">
        <v>114</v>
      </c>
    </row>
    <row r="1630" spans="1:19" x14ac:dyDescent="0.25">
      <c r="A1630" t="s">
        <v>14</v>
      </c>
      <c r="B1630" t="s">
        <v>907</v>
      </c>
      <c r="C1630">
        <v>15</v>
      </c>
      <c r="D1630" t="s">
        <v>15</v>
      </c>
      <c r="E1630" t="s">
        <v>94</v>
      </c>
      <c r="F1630" t="s">
        <v>111</v>
      </c>
      <c r="G1630" t="s">
        <v>110</v>
      </c>
      <c r="H1630" t="s">
        <v>110</v>
      </c>
      <c r="J1630">
        <v>0</v>
      </c>
      <c r="K1630">
        <v>1</v>
      </c>
      <c r="L1630">
        <v>94.97142857</v>
      </c>
      <c r="M1630">
        <v>24.31591813</v>
      </c>
      <c r="N1630">
        <v>0.122951111</v>
      </c>
      <c r="O1630">
        <v>73.260869569999997</v>
      </c>
      <c r="P1630">
        <v>34.453830549999999</v>
      </c>
      <c r="Q1630">
        <v>1.058333333</v>
      </c>
      <c r="R1630" t="s">
        <v>1018</v>
      </c>
      <c r="S1630">
        <v>-0.93538222199999999</v>
      </c>
    </row>
    <row r="1631" spans="1:19" x14ac:dyDescent="0.25">
      <c r="A1631" t="s">
        <v>14</v>
      </c>
      <c r="B1631" t="s">
        <v>908</v>
      </c>
      <c r="C1631">
        <v>15</v>
      </c>
      <c r="D1631" t="s">
        <v>15</v>
      </c>
      <c r="E1631" t="s">
        <v>94</v>
      </c>
      <c r="F1631" t="s">
        <v>104</v>
      </c>
      <c r="G1631" t="s">
        <v>110</v>
      </c>
      <c r="H1631" t="s">
        <v>110</v>
      </c>
      <c r="J1631">
        <v>0</v>
      </c>
      <c r="K1631">
        <v>1</v>
      </c>
      <c r="L1631">
        <v>113.9375</v>
      </c>
      <c r="M1631">
        <v>33.375507550000002</v>
      </c>
      <c r="N1631">
        <v>2.4262999999999999</v>
      </c>
      <c r="O1631">
        <v>73.260869569999997</v>
      </c>
      <c r="P1631">
        <v>34.453830549999999</v>
      </c>
      <c r="Q1631">
        <v>1.058333333</v>
      </c>
      <c r="R1631" t="s">
        <v>1018</v>
      </c>
      <c r="S1631">
        <v>1.3679666669999999</v>
      </c>
    </row>
    <row r="1632" spans="1:19" x14ac:dyDescent="0.25">
      <c r="A1632" t="s">
        <v>14</v>
      </c>
      <c r="B1632" t="s">
        <v>908</v>
      </c>
      <c r="C1632">
        <v>16</v>
      </c>
      <c r="D1632" t="s">
        <v>15</v>
      </c>
      <c r="E1632" t="s">
        <v>94</v>
      </c>
      <c r="F1632" t="s">
        <v>104</v>
      </c>
      <c r="G1632" t="s">
        <v>110</v>
      </c>
      <c r="H1632" t="s">
        <v>104</v>
      </c>
      <c r="J1632">
        <v>0</v>
      </c>
      <c r="K1632">
        <v>2</v>
      </c>
      <c r="L1632">
        <v>113.9375</v>
      </c>
      <c r="M1632">
        <v>33.375507550000002</v>
      </c>
      <c r="N1632">
        <v>2.4262999999999999</v>
      </c>
      <c r="O1632">
        <v>113.9375</v>
      </c>
      <c r="P1632">
        <v>33.375507550000002</v>
      </c>
      <c r="Q1632">
        <v>2.4262999999999999</v>
      </c>
      <c r="R1632" t="s">
        <v>1018</v>
      </c>
      <c r="S1632">
        <v>0</v>
      </c>
    </row>
    <row r="1633" spans="1:19" x14ac:dyDescent="0.25">
      <c r="A1633" t="s">
        <v>16</v>
      </c>
      <c r="B1633" t="s">
        <v>909</v>
      </c>
      <c r="C1633">
        <v>15</v>
      </c>
      <c r="D1633" t="s">
        <v>17</v>
      </c>
      <c r="E1633" t="s">
        <v>95</v>
      </c>
      <c r="F1633" t="s">
        <v>113</v>
      </c>
      <c r="G1633" t="s">
        <v>104</v>
      </c>
      <c r="H1633" t="s">
        <v>104</v>
      </c>
      <c r="J1633">
        <v>0</v>
      </c>
      <c r="K1633">
        <v>1</v>
      </c>
      <c r="L1633">
        <v>83.757575759999995</v>
      </c>
      <c r="M1633">
        <v>22.60997987</v>
      </c>
      <c r="N1633">
        <v>0.72884000000000004</v>
      </c>
      <c r="O1633">
        <v>113.9375</v>
      </c>
      <c r="P1633">
        <v>33.375507550000002</v>
      </c>
      <c r="Q1633">
        <v>2.4262999999999999</v>
      </c>
      <c r="R1633" t="s">
        <v>1018</v>
      </c>
      <c r="S1633">
        <v>-1.69746</v>
      </c>
    </row>
    <row r="1634" spans="1:19" x14ac:dyDescent="0.25">
      <c r="A1634" t="s">
        <v>16</v>
      </c>
      <c r="B1634" t="s">
        <v>909</v>
      </c>
      <c r="C1634">
        <v>16</v>
      </c>
      <c r="D1634" t="s">
        <v>17</v>
      </c>
      <c r="E1634" t="s">
        <v>95</v>
      </c>
      <c r="F1634" t="s">
        <v>113</v>
      </c>
      <c r="G1634" t="s">
        <v>104</v>
      </c>
      <c r="H1634" t="s">
        <v>113</v>
      </c>
      <c r="J1634">
        <v>0</v>
      </c>
      <c r="K1634">
        <v>3</v>
      </c>
      <c r="L1634">
        <v>83.757575759999995</v>
      </c>
      <c r="M1634">
        <v>22.60997987</v>
      </c>
      <c r="N1634">
        <v>0.72884000000000004</v>
      </c>
      <c r="O1634">
        <v>83.757575759999995</v>
      </c>
      <c r="P1634">
        <v>22.60997987</v>
      </c>
      <c r="Q1634">
        <v>0.72884000000000004</v>
      </c>
      <c r="R1634" t="s">
        <v>1018</v>
      </c>
      <c r="S1634">
        <v>0</v>
      </c>
    </row>
    <row r="1635" spans="1:19" x14ac:dyDescent="0.25">
      <c r="A1635" t="s">
        <v>16</v>
      </c>
      <c r="B1635" t="s">
        <v>910</v>
      </c>
      <c r="C1635">
        <v>15</v>
      </c>
      <c r="D1635" t="s">
        <v>17</v>
      </c>
      <c r="E1635" t="s">
        <v>95</v>
      </c>
      <c r="F1635" t="s">
        <v>110</v>
      </c>
      <c r="G1635" t="s">
        <v>121</v>
      </c>
      <c r="H1635" t="s">
        <v>104</v>
      </c>
      <c r="J1635">
        <v>0</v>
      </c>
      <c r="K1635">
        <v>1</v>
      </c>
      <c r="L1635">
        <v>73.260869569999997</v>
      </c>
      <c r="M1635">
        <v>34.453830549999999</v>
      </c>
      <c r="N1635">
        <v>1.058333333</v>
      </c>
      <c r="O1635">
        <v>113.9375</v>
      </c>
      <c r="P1635">
        <v>33.375507550000002</v>
      </c>
      <c r="Q1635">
        <v>2.4262999999999999</v>
      </c>
      <c r="R1635" t="s">
        <v>1018</v>
      </c>
      <c r="S1635">
        <v>-1.3679666669999999</v>
      </c>
    </row>
    <row r="1636" spans="1:19" x14ac:dyDescent="0.25">
      <c r="A1636" t="s">
        <v>16</v>
      </c>
      <c r="B1636" t="s">
        <v>910</v>
      </c>
      <c r="C1636">
        <v>16</v>
      </c>
      <c r="D1636" t="s">
        <v>17</v>
      </c>
      <c r="E1636" t="s">
        <v>95</v>
      </c>
      <c r="F1636" t="s">
        <v>110</v>
      </c>
      <c r="G1636" t="s">
        <v>121</v>
      </c>
      <c r="H1636" t="s">
        <v>241</v>
      </c>
      <c r="J1636">
        <v>0</v>
      </c>
      <c r="K1636">
        <v>1</v>
      </c>
      <c r="L1636">
        <v>73.260869569999997</v>
      </c>
      <c r="M1636">
        <v>34.453830549999999</v>
      </c>
      <c r="N1636">
        <v>1.058333333</v>
      </c>
      <c r="O1636">
        <v>114</v>
      </c>
      <c r="P1636">
        <v>30.43077242</v>
      </c>
      <c r="Q1636">
        <v>0.53383111100000002</v>
      </c>
      <c r="R1636" t="s">
        <v>1018</v>
      </c>
      <c r="S1636">
        <v>0.52450222199999996</v>
      </c>
    </row>
    <row r="1637" spans="1:19" x14ac:dyDescent="0.25">
      <c r="A1637" t="s">
        <v>16</v>
      </c>
      <c r="B1637" t="s">
        <v>911</v>
      </c>
      <c r="C1637">
        <v>15</v>
      </c>
      <c r="D1637" t="s">
        <v>17</v>
      </c>
      <c r="E1637" t="s">
        <v>95</v>
      </c>
      <c r="F1637" t="s">
        <v>111</v>
      </c>
      <c r="G1637" t="s">
        <v>113</v>
      </c>
      <c r="H1637" t="s">
        <v>113</v>
      </c>
      <c r="J1637">
        <v>0</v>
      </c>
      <c r="K1637">
        <v>2</v>
      </c>
      <c r="L1637">
        <v>94.97142857</v>
      </c>
      <c r="M1637">
        <v>24.31591813</v>
      </c>
      <c r="N1637">
        <v>0.122951111</v>
      </c>
      <c r="O1637">
        <v>83.757575759999995</v>
      </c>
      <c r="P1637">
        <v>22.60997987</v>
      </c>
      <c r="Q1637">
        <v>0.72884000000000004</v>
      </c>
      <c r="R1637" t="s">
        <v>1018</v>
      </c>
      <c r="S1637">
        <v>-0.60588888900000004</v>
      </c>
    </row>
    <row r="1638" spans="1:19" x14ac:dyDescent="0.25">
      <c r="A1638" t="s">
        <v>16</v>
      </c>
      <c r="B1638" t="s">
        <v>911</v>
      </c>
      <c r="C1638">
        <v>16</v>
      </c>
      <c r="D1638" t="s">
        <v>17</v>
      </c>
      <c r="E1638" t="s">
        <v>95</v>
      </c>
      <c r="F1638" t="s">
        <v>111</v>
      </c>
      <c r="G1638" t="s">
        <v>113</v>
      </c>
      <c r="H1638" t="s">
        <v>247</v>
      </c>
      <c r="J1638">
        <v>0</v>
      </c>
      <c r="K1638">
        <v>3</v>
      </c>
      <c r="L1638">
        <v>94.97142857</v>
      </c>
      <c r="M1638">
        <v>24.31591813</v>
      </c>
      <c r="N1638">
        <v>0.122951111</v>
      </c>
      <c r="O1638">
        <v>65.791044779999993</v>
      </c>
      <c r="P1638">
        <v>22.94519201</v>
      </c>
      <c r="Q1638">
        <v>8.1320334999999994E-2</v>
      </c>
      <c r="R1638" t="s">
        <v>1018</v>
      </c>
      <c r="S1638">
        <v>4.1630776000000008E-2</v>
      </c>
    </row>
    <row r="1639" spans="1:19" x14ac:dyDescent="0.25">
      <c r="A1639" t="s">
        <v>16</v>
      </c>
      <c r="B1639" t="s">
        <v>912</v>
      </c>
      <c r="C1639">
        <v>15</v>
      </c>
      <c r="D1639" t="s">
        <v>17</v>
      </c>
      <c r="E1639" t="s">
        <v>95</v>
      </c>
      <c r="F1639" t="s">
        <v>104</v>
      </c>
      <c r="G1639" t="s">
        <v>121</v>
      </c>
      <c r="H1639" t="s">
        <v>247</v>
      </c>
      <c r="J1639">
        <v>0</v>
      </c>
      <c r="K1639">
        <v>1</v>
      </c>
      <c r="L1639">
        <v>113.9375</v>
      </c>
      <c r="M1639">
        <v>33.375507550000002</v>
      </c>
      <c r="N1639">
        <v>2.4262999999999999</v>
      </c>
      <c r="O1639">
        <v>65.791044779999993</v>
      </c>
      <c r="P1639">
        <v>22.94519201</v>
      </c>
      <c r="Q1639">
        <v>8.1320334999999994E-2</v>
      </c>
      <c r="R1639" t="s">
        <v>1018</v>
      </c>
      <c r="S1639">
        <v>2.3449796649999999</v>
      </c>
    </row>
    <row r="1640" spans="1:19" x14ac:dyDescent="0.25">
      <c r="A1640" t="s">
        <v>16</v>
      </c>
      <c r="B1640" t="s">
        <v>912</v>
      </c>
      <c r="C1640">
        <v>16</v>
      </c>
      <c r="D1640" t="s">
        <v>17</v>
      </c>
      <c r="E1640" t="s">
        <v>95</v>
      </c>
      <c r="F1640" t="s">
        <v>104</v>
      </c>
      <c r="G1640" t="s">
        <v>121</v>
      </c>
      <c r="H1640" t="s">
        <v>111</v>
      </c>
      <c r="J1640">
        <v>0</v>
      </c>
      <c r="K1640">
        <v>1</v>
      </c>
      <c r="L1640">
        <v>113.9375</v>
      </c>
      <c r="M1640">
        <v>33.375507550000002</v>
      </c>
      <c r="N1640">
        <v>2.4262999999999999</v>
      </c>
      <c r="O1640">
        <v>94.97142857</v>
      </c>
      <c r="P1640">
        <v>24.31591813</v>
      </c>
      <c r="Q1640">
        <v>0.122951111</v>
      </c>
      <c r="R1640" t="s">
        <v>1018</v>
      </c>
      <c r="S1640">
        <v>2.303348889</v>
      </c>
    </row>
    <row r="1641" spans="1:19" x14ac:dyDescent="0.25">
      <c r="A1641" t="s">
        <v>18</v>
      </c>
      <c r="B1641" t="s">
        <v>913</v>
      </c>
      <c r="C1641">
        <v>15</v>
      </c>
      <c r="D1641" t="s">
        <v>19</v>
      </c>
      <c r="E1641" t="s">
        <v>95</v>
      </c>
      <c r="F1641" t="s">
        <v>113</v>
      </c>
      <c r="G1641" t="s">
        <v>121</v>
      </c>
      <c r="H1641" t="s">
        <v>113</v>
      </c>
      <c r="J1641">
        <v>0</v>
      </c>
      <c r="K1641">
        <v>3</v>
      </c>
      <c r="L1641">
        <v>83.757575759999995</v>
      </c>
      <c r="M1641">
        <v>22.60997987</v>
      </c>
      <c r="N1641">
        <v>0.72884000000000004</v>
      </c>
      <c r="O1641">
        <v>83.757575759999995</v>
      </c>
      <c r="P1641">
        <v>22.60997987</v>
      </c>
      <c r="Q1641">
        <v>0.72884000000000004</v>
      </c>
      <c r="R1641" t="s">
        <v>1018</v>
      </c>
      <c r="S1641">
        <v>0</v>
      </c>
    </row>
    <row r="1642" spans="1:19" x14ac:dyDescent="0.25">
      <c r="A1642" t="s">
        <v>18</v>
      </c>
      <c r="B1642" t="s">
        <v>913</v>
      </c>
      <c r="C1642">
        <v>16</v>
      </c>
      <c r="D1642" t="s">
        <v>19</v>
      </c>
      <c r="E1642" t="s">
        <v>95</v>
      </c>
      <c r="F1642" t="s">
        <v>113</v>
      </c>
      <c r="G1642" t="s">
        <v>121</v>
      </c>
      <c r="H1642" t="s">
        <v>808</v>
      </c>
      <c r="J1642">
        <v>0</v>
      </c>
      <c r="K1642">
        <v>1</v>
      </c>
      <c r="L1642">
        <v>83.757575759999995</v>
      </c>
      <c r="M1642">
        <v>22.60997987</v>
      </c>
      <c r="N1642">
        <v>0.72884000000000004</v>
      </c>
      <c r="O1642">
        <v>102.79166669999999</v>
      </c>
      <c r="P1642">
        <v>27.057373470000002</v>
      </c>
      <c r="Q1642">
        <v>6.3567849939999999</v>
      </c>
      <c r="R1642" t="s">
        <v>1018</v>
      </c>
      <c r="S1642">
        <v>-5.6279449939999999</v>
      </c>
    </row>
    <row r="1643" spans="1:19" x14ac:dyDescent="0.25">
      <c r="A1643" t="s">
        <v>18</v>
      </c>
      <c r="B1643" t="s">
        <v>913</v>
      </c>
      <c r="C1643">
        <v>17</v>
      </c>
      <c r="D1643" t="s">
        <v>19</v>
      </c>
      <c r="E1643" t="s">
        <v>95</v>
      </c>
      <c r="F1643" t="s">
        <v>113</v>
      </c>
      <c r="G1643" t="s">
        <v>121</v>
      </c>
      <c r="H1643" t="s">
        <v>242</v>
      </c>
      <c r="J1643">
        <v>0</v>
      </c>
      <c r="K1643">
        <v>15</v>
      </c>
      <c r="L1643">
        <v>83.757575759999995</v>
      </c>
      <c r="M1643">
        <v>22.60997987</v>
      </c>
      <c r="N1643">
        <v>0.72884000000000004</v>
      </c>
      <c r="O1643">
        <v>139.375</v>
      </c>
      <c r="P1643">
        <v>23.713465920000001</v>
      </c>
      <c r="Q1643" t="s">
        <v>114</v>
      </c>
      <c r="R1643" t="s">
        <v>1018</v>
      </c>
      <c r="S1643" t="s">
        <v>114</v>
      </c>
    </row>
    <row r="1644" spans="1:19" x14ac:dyDescent="0.25">
      <c r="A1644" t="s">
        <v>18</v>
      </c>
      <c r="B1644" t="s">
        <v>914</v>
      </c>
      <c r="C1644">
        <v>15</v>
      </c>
      <c r="D1644" t="s">
        <v>19</v>
      </c>
      <c r="E1644" t="s">
        <v>95</v>
      </c>
      <c r="F1644" t="s">
        <v>111</v>
      </c>
      <c r="G1644" t="s">
        <v>121</v>
      </c>
      <c r="H1644" t="s">
        <v>113</v>
      </c>
      <c r="J1644">
        <v>0</v>
      </c>
      <c r="K1644">
        <v>2</v>
      </c>
      <c r="L1644">
        <v>94.97142857</v>
      </c>
      <c r="M1644">
        <v>24.31591813</v>
      </c>
      <c r="N1644">
        <v>0.122951111</v>
      </c>
      <c r="O1644">
        <v>83.757575759999995</v>
      </c>
      <c r="P1644">
        <v>22.60997987</v>
      </c>
      <c r="Q1644">
        <v>0.72884000000000004</v>
      </c>
      <c r="R1644" t="s">
        <v>1018</v>
      </c>
      <c r="S1644">
        <v>-0.60588888900000004</v>
      </c>
    </row>
    <row r="1645" spans="1:19" x14ac:dyDescent="0.25">
      <c r="A1645" t="s">
        <v>18</v>
      </c>
      <c r="B1645" t="s">
        <v>914</v>
      </c>
      <c r="C1645">
        <v>16</v>
      </c>
      <c r="D1645" t="s">
        <v>19</v>
      </c>
      <c r="E1645" t="s">
        <v>95</v>
      </c>
      <c r="F1645" t="s">
        <v>111</v>
      </c>
      <c r="G1645" t="s">
        <v>121</v>
      </c>
      <c r="H1645" t="s">
        <v>242</v>
      </c>
      <c r="J1645">
        <v>0</v>
      </c>
      <c r="K1645">
        <v>2</v>
      </c>
      <c r="L1645">
        <v>94.97142857</v>
      </c>
      <c r="M1645">
        <v>24.31591813</v>
      </c>
      <c r="N1645">
        <v>0.122951111</v>
      </c>
      <c r="O1645">
        <v>139.375</v>
      </c>
      <c r="P1645">
        <v>23.713465920000001</v>
      </c>
      <c r="Q1645" t="s">
        <v>114</v>
      </c>
      <c r="R1645" t="s">
        <v>1018</v>
      </c>
      <c r="S1645" t="s">
        <v>114</v>
      </c>
    </row>
    <row r="1646" spans="1:19" x14ac:dyDescent="0.25">
      <c r="A1646" t="s">
        <v>18</v>
      </c>
      <c r="B1646" t="s">
        <v>915</v>
      </c>
      <c r="C1646">
        <v>15</v>
      </c>
      <c r="D1646" t="s">
        <v>19</v>
      </c>
      <c r="E1646" t="s">
        <v>95</v>
      </c>
      <c r="F1646" t="s">
        <v>104</v>
      </c>
      <c r="G1646" t="s">
        <v>121</v>
      </c>
      <c r="H1646" t="s">
        <v>247</v>
      </c>
      <c r="J1646">
        <v>0</v>
      </c>
      <c r="K1646">
        <v>1</v>
      </c>
      <c r="L1646">
        <v>113.9375</v>
      </c>
      <c r="M1646">
        <v>33.375507550000002</v>
      </c>
      <c r="N1646">
        <v>2.4262999999999999</v>
      </c>
      <c r="O1646">
        <v>65.791044779999993</v>
      </c>
      <c r="P1646">
        <v>22.94519201</v>
      </c>
      <c r="Q1646">
        <v>8.1320334999999994E-2</v>
      </c>
      <c r="R1646" t="s">
        <v>1018</v>
      </c>
      <c r="S1646">
        <v>2.3449796649999999</v>
      </c>
    </row>
    <row r="1647" spans="1:19" x14ac:dyDescent="0.25">
      <c r="A1647" t="s">
        <v>18</v>
      </c>
      <c r="B1647" t="s">
        <v>915</v>
      </c>
      <c r="C1647">
        <v>16</v>
      </c>
      <c r="D1647" t="s">
        <v>19</v>
      </c>
      <c r="E1647" t="s">
        <v>95</v>
      </c>
      <c r="F1647" t="s">
        <v>104</v>
      </c>
      <c r="G1647" t="s">
        <v>121</v>
      </c>
      <c r="H1647" t="s">
        <v>113</v>
      </c>
      <c r="J1647">
        <v>0</v>
      </c>
      <c r="K1647">
        <v>3</v>
      </c>
      <c r="L1647">
        <v>113.9375</v>
      </c>
      <c r="M1647">
        <v>33.375507550000002</v>
      </c>
      <c r="N1647">
        <v>2.4262999999999999</v>
      </c>
      <c r="O1647">
        <v>83.757575759999995</v>
      </c>
      <c r="P1647">
        <v>22.60997987</v>
      </c>
      <c r="Q1647">
        <v>0.72884000000000004</v>
      </c>
      <c r="R1647" t="s">
        <v>1018</v>
      </c>
      <c r="S1647">
        <v>1.69746</v>
      </c>
    </row>
    <row r="1648" spans="1:19" x14ac:dyDescent="0.25">
      <c r="A1648" t="s">
        <v>18</v>
      </c>
      <c r="B1648" t="s">
        <v>916</v>
      </c>
      <c r="C1648">
        <v>15</v>
      </c>
      <c r="D1648" t="s">
        <v>19</v>
      </c>
      <c r="E1648" t="s">
        <v>95</v>
      </c>
      <c r="F1648" t="s">
        <v>112</v>
      </c>
      <c r="G1648" t="s">
        <v>113</v>
      </c>
      <c r="H1648" t="s">
        <v>113</v>
      </c>
      <c r="J1648">
        <v>0</v>
      </c>
      <c r="K1648">
        <v>1</v>
      </c>
      <c r="L1648">
        <v>65.09375</v>
      </c>
      <c r="M1648">
        <v>37.895352600000002</v>
      </c>
      <c r="N1648">
        <v>2.2882677779999998</v>
      </c>
      <c r="O1648">
        <v>83.757575759999995</v>
      </c>
      <c r="P1648">
        <v>22.60997987</v>
      </c>
      <c r="Q1648">
        <v>0.72884000000000004</v>
      </c>
      <c r="R1648" t="s">
        <v>1018</v>
      </c>
      <c r="S1648">
        <v>1.5594277779999999</v>
      </c>
    </row>
    <row r="1649" spans="1:19" x14ac:dyDescent="0.25">
      <c r="A1649" t="s">
        <v>20</v>
      </c>
      <c r="B1649" t="s">
        <v>917</v>
      </c>
      <c r="C1649">
        <v>15</v>
      </c>
      <c r="D1649" t="s">
        <v>21</v>
      </c>
      <c r="E1649" t="s">
        <v>94</v>
      </c>
      <c r="F1649" t="s">
        <v>102</v>
      </c>
      <c r="G1649" t="s">
        <v>121</v>
      </c>
      <c r="H1649" t="s">
        <v>246</v>
      </c>
      <c r="J1649">
        <v>0</v>
      </c>
      <c r="K1649">
        <v>1</v>
      </c>
      <c r="L1649">
        <v>84.740740740000007</v>
      </c>
      <c r="M1649">
        <v>29.167014049999999</v>
      </c>
      <c r="N1649">
        <v>1.1169849999999999</v>
      </c>
      <c r="O1649">
        <v>120.25</v>
      </c>
      <c r="P1649">
        <v>30.670450110000001</v>
      </c>
      <c r="Q1649">
        <v>0.91037498500000003</v>
      </c>
      <c r="R1649" t="s">
        <v>1018</v>
      </c>
      <c r="S1649">
        <v>0.20661001499999987</v>
      </c>
    </row>
    <row r="1650" spans="1:19" x14ac:dyDescent="0.25">
      <c r="A1650" t="s">
        <v>20</v>
      </c>
      <c r="B1650" t="s">
        <v>918</v>
      </c>
      <c r="C1650">
        <v>15</v>
      </c>
      <c r="D1650" t="s">
        <v>21</v>
      </c>
      <c r="E1650" t="s">
        <v>94</v>
      </c>
      <c r="F1650" t="s">
        <v>113</v>
      </c>
      <c r="G1650" t="s">
        <v>113</v>
      </c>
      <c r="H1650" t="s">
        <v>113</v>
      </c>
      <c r="J1650">
        <v>0</v>
      </c>
      <c r="K1650">
        <v>1</v>
      </c>
      <c r="L1650">
        <v>83.757575759999995</v>
      </c>
      <c r="M1650">
        <v>22.60997987</v>
      </c>
      <c r="N1650">
        <v>0.72884000000000004</v>
      </c>
      <c r="O1650">
        <v>83.757575759999995</v>
      </c>
      <c r="P1650">
        <v>22.60997987</v>
      </c>
      <c r="Q1650">
        <v>0.72884000000000004</v>
      </c>
      <c r="R1650" t="s">
        <v>1018</v>
      </c>
      <c r="S1650">
        <v>0</v>
      </c>
    </row>
    <row r="1651" spans="1:19" x14ac:dyDescent="0.25">
      <c r="A1651" t="s">
        <v>20</v>
      </c>
      <c r="B1651" t="s">
        <v>919</v>
      </c>
      <c r="C1651">
        <v>15</v>
      </c>
      <c r="D1651" t="s">
        <v>21</v>
      </c>
      <c r="E1651" t="s">
        <v>94</v>
      </c>
      <c r="F1651" t="s">
        <v>110</v>
      </c>
      <c r="G1651" t="s">
        <v>121</v>
      </c>
      <c r="H1651" t="s">
        <v>113</v>
      </c>
      <c r="J1651">
        <v>0</v>
      </c>
      <c r="K1651">
        <v>2</v>
      </c>
      <c r="L1651">
        <v>73.260869569999997</v>
      </c>
      <c r="M1651">
        <v>34.453830549999999</v>
      </c>
      <c r="N1651">
        <v>1.058333333</v>
      </c>
      <c r="O1651">
        <v>83.757575759999995</v>
      </c>
      <c r="P1651">
        <v>22.60997987</v>
      </c>
      <c r="Q1651">
        <v>0.72884000000000004</v>
      </c>
      <c r="R1651" t="s">
        <v>1018</v>
      </c>
      <c r="S1651">
        <v>0.32949333299999994</v>
      </c>
    </row>
    <row r="1652" spans="1:19" x14ac:dyDescent="0.25">
      <c r="A1652" t="s">
        <v>20</v>
      </c>
      <c r="B1652" t="s">
        <v>919</v>
      </c>
      <c r="C1652">
        <v>16</v>
      </c>
      <c r="D1652" t="s">
        <v>21</v>
      </c>
      <c r="E1652" t="s">
        <v>94</v>
      </c>
      <c r="F1652" t="s">
        <v>110</v>
      </c>
      <c r="G1652" t="s">
        <v>121</v>
      </c>
      <c r="H1652" t="s">
        <v>102</v>
      </c>
      <c r="J1652">
        <v>0</v>
      </c>
      <c r="K1652">
        <v>1</v>
      </c>
      <c r="L1652">
        <v>73.260869569999997</v>
      </c>
      <c r="M1652">
        <v>34.453830549999999</v>
      </c>
      <c r="N1652">
        <v>1.058333333</v>
      </c>
      <c r="O1652">
        <v>84.740740740000007</v>
      </c>
      <c r="P1652">
        <v>29.167014049999999</v>
      </c>
      <c r="Q1652">
        <v>1.1169849999999999</v>
      </c>
      <c r="R1652" t="s">
        <v>1018</v>
      </c>
      <c r="S1652">
        <v>-5.8651666999999907E-2</v>
      </c>
    </row>
    <row r="1653" spans="1:19" x14ac:dyDescent="0.25">
      <c r="A1653" t="s">
        <v>20</v>
      </c>
      <c r="B1653" t="s">
        <v>920</v>
      </c>
      <c r="C1653">
        <v>15</v>
      </c>
      <c r="D1653" t="s">
        <v>21</v>
      </c>
      <c r="E1653" t="s">
        <v>94</v>
      </c>
      <c r="F1653" t="s">
        <v>111</v>
      </c>
      <c r="G1653" t="s">
        <v>121</v>
      </c>
      <c r="H1653" t="s">
        <v>110</v>
      </c>
      <c r="J1653">
        <v>0</v>
      </c>
      <c r="K1653">
        <v>1</v>
      </c>
      <c r="L1653">
        <v>94.97142857</v>
      </c>
      <c r="M1653">
        <v>24.31591813</v>
      </c>
      <c r="N1653">
        <v>0.122951111</v>
      </c>
      <c r="O1653">
        <v>73.260869569999997</v>
      </c>
      <c r="P1653">
        <v>34.453830549999999</v>
      </c>
      <c r="Q1653">
        <v>1.058333333</v>
      </c>
      <c r="R1653" t="s">
        <v>1018</v>
      </c>
      <c r="S1653">
        <v>-0.93538222199999999</v>
      </c>
    </row>
    <row r="1654" spans="1:19" x14ac:dyDescent="0.25">
      <c r="A1654" t="s">
        <v>22</v>
      </c>
      <c r="B1654" t="s">
        <v>921</v>
      </c>
      <c r="C1654">
        <v>15</v>
      </c>
      <c r="D1654" t="s">
        <v>23</v>
      </c>
      <c r="E1654" t="s">
        <v>95</v>
      </c>
      <c r="F1654" t="s">
        <v>102</v>
      </c>
      <c r="G1654" t="s">
        <v>121</v>
      </c>
      <c r="H1654" t="s">
        <v>236</v>
      </c>
      <c r="J1654">
        <v>0</v>
      </c>
      <c r="K1654">
        <v>1</v>
      </c>
      <c r="L1654">
        <v>84.740740740000007</v>
      </c>
      <c r="M1654">
        <v>29.167014049999999</v>
      </c>
      <c r="N1654">
        <v>1.1169849999999999</v>
      </c>
      <c r="O1654">
        <v>113.33333330000001</v>
      </c>
      <c r="P1654">
        <v>26.41632581</v>
      </c>
      <c r="Q1654">
        <v>1.6844570160000001</v>
      </c>
      <c r="R1654" t="s">
        <v>1018</v>
      </c>
      <c r="S1654">
        <v>-0.56747201600000019</v>
      </c>
    </row>
    <row r="1655" spans="1:19" x14ac:dyDescent="0.25">
      <c r="A1655" t="s">
        <v>22</v>
      </c>
      <c r="B1655" t="s">
        <v>922</v>
      </c>
      <c r="C1655">
        <v>15</v>
      </c>
      <c r="D1655" t="s">
        <v>23</v>
      </c>
      <c r="E1655" t="s">
        <v>95</v>
      </c>
      <c r="F1655" t="s">
        <v>105</v>
      </c>
      <c r="G1655" t="s">
        <v>121</v>
      </c>
      <c r="H1655" t="s">
        <v>113</v>
      </c>
      <c r="J1655">
        <v>0</v>
      </c>
      <c r="K1655">
        <v>4</v>
      </c>
      <c r="L1655">
        <v>67.5</v>
      </c>
      <c r="M1655">
        <v>47.937235809999997</v>
      </c>
      <c r="N1655">
        <v>0.41599678000000001</v>
      </c>
      <c r="O1655">
        <v>83.757575759999995</v>
      </c>
      <c r="P1655">
        <v>22.60997987</v>
      </c>
      <c r="Q1655">
        <v>0.72884000000000004</v>
      </c>
      <c r="R1655" t="s">
        <v>1018</v>
      </c>
      <c r="S1655">
        <v>-0.31284322000000003</v>
      </c>
    </row>
    <row r="1656" spans="1:19" x14ac:dyDescent="0.25">
      <c r="A1656" t="s">
        <v>22</v>
      </c>
      <c r="B1656" t="s">
        <v>922</v>
      </c>
      <c r="C1656">
        <v>16</v>
      </c>
      <c r="D1656" t="s">
        <v>23</v>
      </c>
      <c r="E1656" t="s">
        <v>95</v>
      </c>
      <c r="F1656" t="s">
        <v>105</v>
      </c>
      <c r="G1656" t="s">
        <v>121</v>
      </c>
      <c r="H1656" t="s">
        <v>103</v>
      </c>
      <c r="J1656">
        <v>0</v>
      </c>
      <c r="K1656">
        <v>1</v>
      </c>
      <c r="L1656">
        <v>67.5</v>
      </c>
      <c r="M1656">
        <v>47.937235809999997</v>
      </c>
      <c r="N1656">
        <v>0.41599678000000001</v>
      </c>
      <c r="O1656">
        <v>98.291666669999998</v>
      </c>
      <c r="P1656">
        <v>30.315130790000001</v>
      </c>
      <c r="Q1656">
        <v>5.0803484000000003E-2</v>
      </c>
      <c r="R1656" t="s">
        <v>1018</v>
      </c>
      <c r="S1656">
        <v>0.365193296</v>
      </c>
    </row>
    <row r="1657" spans="1:19" x14ac:dyDescent="0.25">
      <c r="A1657" t="s">
        <v>22</v>
      </c>
      <c r="B1657" t="s">
        <v>922</v>
      </c>
      <c r="C1657">
        <v>17</v>
      </c>
      <c r="D1657" t="s">
        <v>23</v>
      </c>
      <c r="E1657" t="s">
        <v>95</v>
      </c>
      <c r="F1657" t="s">
        <v>105</v>
      </c>
      <c r="G1657" t="s">
        <v>121</v>
      </c>
      <c r="H1657" t="s">
        <v>234</v>
      </c>
      <c r="J1657">
        <v>0</v>
      </c>
      <c r="K1657">
        <v>1</v>
      </c>
      <c r="L1657">
        <v>67.5</v>
      </c>
      <c r="M1657">
        <v>47.937235809999997</v>
      </c>
      <c r="N1657">
        <v>0.41599678000000001</v>
      </c>
      <c r="O1657">
        <v>89.8125</v>
      </c>
      <c r="P1657">
        <v>34.754706650000003</v>
      </c>
      <c r="Q1657">
        <v>2.3065078999999999E-2</v>
      </c>
      <c r="R1657" t="s">
        <v>1018</v>
      </c>
      <c r="S1657">
        <v>0.39293170100000002</v>
      </c>
    </row>
    <row r="1658" spans="1:19" x14ac:dyDescent="0.25">
      <c r="A1658" t="s">
        <v>22</v>
      </c>
      <c r="B1658" t="s">
        <v>923</v>
      </c>
      <c r="C1658">
        <v>15</v>
      </c>
      <c r="D1658" t="s">
        <v>23</v>
      </c>
      <c r="E1658" t="s">
        <v>95</v>
      </c>
      <c r="F1658" t="s">
        <v>103</v>
      </c>
      <c r="G1658" t="s">
        <v>103</v>
      </c>
      <c r="H1658" t="s">
        <v>103</v>
      </c>
      <c r="J1658">
        <v>0</v>
      </c>
      <c r="K1658">
        <v>6</v>
      </c>
      <c r="L1658">
        <v>98.291666669999998</v>
      </c>
      <c r="M1658">
        <v>30.315130790000001</v>
      </c>
      <c r="N1658">
        <v>5.0803484000000003E-2</v>
      </c>
      <c r="O1658">
        <v>98.291666669999998</v>
      </c>
      <c r="P1658">
        <v>30.315130790000001</v>
      </c>
      <c r="Q1658">
        <v>5.0803484000000003E-2</v>
      </c>
      <c r="R1658" t="s">
        <v>1018</v>
      </c>
      <c r="S1658">
        <v>0</v>
      </c>
    </row>
    <row r="1659" spans="1:19" x14ac:dyDescent="0.25">
      <c r="A1659" t="s">
        <v>22</v>
      </c>
      <c r="B1659" t="s">
        <v>923</v>
      </c>
      <c r="C1659">
        <v>16</v>
      </c>
      <c r="D1659" t="s">
        <v>23</v>
      </c>
      <c r="E1659" t="s">
        <v>95</v>
      </c>
      <c r="F1659" t="s">
        <v>103</v>
      </c>
      <c r="G1659" t="s">
        <v>103</v>
      </c>
      <c r="H1659" t="s">
        <v>248</v>
      </c>
      <c r="J1659">
        <v>0</v>
      </c>
      <c r="K1659">
        <v>4</v>
      </c>
      <c r="L1659">
        <v>98.291666669999998</v>
      </c>
      <c r="M1659">
        <v>30.315130790000001</v>
      </c>
      <c r="N1659">
        <v>5.0803484000000003E-2</v>
      </c>
      <c r="O1659">
        <v>83.92307692</v>
      </c>
      <c r="P1659">
        <v>44.319135699999997</v>
      </c>
      <c r="Q1659">
        <v>5.9548609999999997E-3</v>
      </c>
      <c r="R1659" t="s">
        <v>1018</v>
      </c>
      <c r="S1659">
        <v>4.4848623000000004E-2</v>
      </c>
    </row>
    <row r="1660" spans="1:19" x14ac:dyDescent="0.25">
      <c r="A1660" t="s">
        <v>22</v>
      </c>
      <c r="B1660" t="s">
        <v>924</v>
      </c>
      <c r="C1660">
        <v>15</v>
      </c>
      <c r="D1660" t="s">
        <v>23</v>
      </c>
      <c r="E1660" t="s">
        <v>95</v>
      </c>
      <c r="F1660" t="s">
        <v>111</v>
      </c>
      <c r="G1660" t="s">
        <v>121</v>
      </c>
      <c r="H1660" t="s">
        <v>112</v>
      </c>
      <c r="J1660">
        <v>1</v>
      </c>
      <c r="K1660">
        <v>1</v>
      </c>
      <c r="L1660">
        <v>94.97142857</v>
      </c>
      <c r="M1660">
        <v>24.31591813</v>
      </c>
      <c r="N1660">
        <v>0.122951111</v>
      </c>
      <c r="O1660">
        <v>65.09375</v>
      </c>
      <c r="P1660">
        <v>37.895352600000002</v>
      </c>
      <c r="Q1660">
        <v>2.2882677779999998</v>
      </c>
      <c r="R1660" t="s">
        <v>1018</v>
      </c>
      <c r="S1660">
        <v>-2.1653166669999999</v>
      </c>
    </row>
    <row r="1661" spans="1:19" x14ac:dyDescent="0.25">
      <c r="A1661" t="s">
        <v>22</v>
      </c>
      <c r="B1661" t="s">
        <v>924</v>
      </c>
      <c r="C1661">
        <v>16</v>
      </c>
      <c r="D1661" t="s">
        <v>23</v>
      </c>
      <c r="E1661" t="s">
        <v>95</v>
      </c>
      <c r="F1661" t="s">
        <v>111</v>
      </c>
      <c r="G1661" t="s">
        <v>121</v>
      </c>
      <c r="H1661" t="s">
        <v>239</v>
      </c>
      <c r="J1661">
        <v>1</v>
      </c>
      <c r="K1661">
        <v>1</v>
      </c>
      <c r="L1661">
        <v>94.97142857</v>
      </c>
      <c r="M1661">
        <v>24.31591813</v>
      </c>
      <c r="N1661">
        <v>0.122951111</v>
      </c>
      <c r="O1661">
        <v>100.45454549999999</v>
      </c>
      <c r="P1661">
        <v>26.754810689999999</v>
      </c>
      <c r="Q1661">
        <v>0.75829999999999997</v>
      </c>
      <c r="R1661" t="s">
        <v>1018</v>
      </c>
      <c r="S1661">
        <v>-0.63534888899999997</v>
      </c>
    </row>
    <row r="1662" spans="1:19" x14ac:dyDescent="0.25">
      <c r="A1662" t="s">
        <v>22</v>
      </c>
      <c r="B1662" t="s">
        <v>924</v>
      </c>
      <c r="C1662">
        <v>17</v>
      </c>
      <c r="D1662" t="s">
        <v>23</v>
      </c>
      <c r="E1662" t="s">
        <v>95</v>
      </c>
      <c r="F1662" t="s">
        <v>111</v>
      </c>
      <c r="G1662" t="s">
        <v>121</v>
      </c>
      <c r="H1662" t="s">
        <v>248</v>
      </c>
      <c r="J1662">
        <v>1</v>
      </c>
      <c r="K1662">
        <v>5</v>
      </c>
      <c r="L1662">
        <v>94.97142857</v>
      </c>
      <c r="M1662">
        <v>24.31591813</v>
      </c>
      <c r="N1662">
        <v>0.122951111</v>
      </c>
      <c r="O1662">
        <v>83.92307692</v>
      </c>
      <c r="P1662">
        <v>44.319135699999997</v>
      </c>
      <c r="Q1662">
        <v>5.9548609999999997E-3</v>
      </c>
      <c r="R1662" t="s">
        <v>1018</v>
      </c>
      <c r="S1662">
        <v>0.11699625</v>
      </c>
    </row>
    <row r="1663" spans="1:19" x14ac:dyDescent="0.25">
      <c r="A1663" t="s">
        <v>22</v>
      </c>
      <c r="B1663" t="s">
        <v>925</v>
      </c>
      <c r="C1663">
        <v>15</v>
      </c>
      <c r="D1663" t="s">
        <v>23</v>
      </c>
      <c r="E1663" t="s">
        <v>95</v>
      </c>
      <c r="F1663" t="s">
        <v>112</v>
      </c>
      <c r="G1663" t="s">
        <v>103</v>
      </c>
      <c r="H1663" t="s">
        <v>103</v>
      </c>
      <c r="J1663">
        <v>0</v>
      </c>
      <c r="K1663">
        <v>3</v>
      </c>
      <c r="L1663">
        <v>65.09375</v>
      </c>
      <c r="M1663">
        <v>37.895352600000002</v>
      </c>
      <c r="N1663">
        <v>2.2882677779999998</v>
      </c>
      <c r="O1663">
        <v>98.291666669999998</v>
      </c>
      <c r="P1663">
        <v>30.315130790000001</v>
      </c>
      <c r="Q1663">
        <v>5.0803484000000003E-2</v>
      </c>
      <c r="R1663" t="s">
        <v>1018</v>
      </c>
      <c r="S1663">
        <v>2.237464294</v>
      </c>
    </row>
    <row r="1664" spans="1:19" x14ac:dyDescent="0.25">
      <c r="A1664" t="s">
        <v>22</v>
      </c>
      <c r="B1664" t="s">
        <v>925</v>
      </c>
      <c r="C1664">
        <v>16</v>
      </c>
      <c r="D1664" t="s">
        <v>23</v>
      </c>
      <c r="E1664" t="s">
        <v>95</v>
      </c>
      <c r="F1664" t="s">
        <v>112</v>
      </c>
      <c r="G1664" t="s">
        <v>103</v>
      </c>
      <c r="H1664" t="s">
        <v>113</v>
      </c>
      <c r="J1664">
        <v>0</v>
      </c>
      <c r="K1664">
        <v>2</v>
      </c>
      <c r="L1664">
        <v>65.09375</v>
      </c>
      <c r="M1664">
        <v>37.895352600000002</v>
      </c>
      <c r="N1664">
        <v>2.2882677779999998</v>
      </c>
      <c r="O1664">
        <v>83.757575759999995</v>
      </c>
      <c r="P1664">
        <v>22.60997987</v>
      </c>
      <c r="Q1664">
        <v>0.72884000000000004</v>
      </c>
      <c r="R1664" t="s">
        <v>1018</v>
      </c>
      <c r="S1664">
        <v>1.5594277779999999</v>
      </c>
    </row>
    <row r="1665" spans="1:19" x14ac:dyDescent="0.25">
      <c r="A1665" t="s">
        <v>22</v>
      </c>
      <c r="B1665" t="s">
        <v>925</v>
      </c>
      <c r="C1665">
        <v>17</v>
      </c>
      <c r="D1665" t="s">
        <v>23</v>
      </c>
      <c r="E1665" t="s">
        <v>95</v>
      </c>
      <c r="F1665" t="s">
        <v>112</v>
      </c>
      <c r="G1665" t="s">
        <v>103</v>
      </c>
      <c r="H1665" t="s">
        <v>247</v>
      </c>
      <c r="J1665">
        <v>0</v>
      </c>
      <c r="K1665">
        <v>1</v>
      </c>
      <c r="L1665">
        <v>65.09375</v>
      </c>
      <c r="M1665">
        <v>37.895352600000002</v>
      </c>
      <c r="N1665">
        <v>2.2882677779999998</v>
      </c>
      <c r="O1665">
        <v>65.791044779999993</v>
      </c>
      <c r="P1665">
        <v>22.94519201</v>
      </c>
      <c r="Q1665">
        <v>8.1320334999999994E-2</v>
      </c>
      <c r="R1665" t="s">
        <v>1018</v>
      </c>
      <c r="S1665">
        <v>2.2069474429999998</v>
      </c>
    </row>
    <row r="1666" spans="1:19" x14ac:dyDescent="0.25">
      <c r="A1666" t="s">
        <v>22</v>
      </c>
      <c r="B1666" t="s">
        <v>925</v>
      </c>
      <c r="C1666">
        <v>18</v>
      </c>
      <c r="D1666" t="s">
        <v>23</v>
      </c>
      <c r="E1666" t="s">
        <v>95</v>
      </c>
      <c r="F1666" t="s">
        <v>112</v>
      </c>
      <c r="G1666" t="s">
        <v>103</v>
      </c>
      <c r="H1666" t="s">
        <v>248</v>
      </c>
      <c r="J1666">
        <v>0</v>
      </c>
      <c r="K1666">
        <v>3</v>
      </c>
      <c r="L1666">
        <v>65.09375</v>
      </c>
      <c r="M1666">
        <v>37.895352600000002</v>
      </c>
      <c r="N1666">
        <v>2.2882677779999998</v>
      </c>
      <c r="O1666">
        <v>83.92307692</v>
      </c>
      <c r="P1666">
        <v>44.319135699999997</v>
      </c>
      <c r="Q1666">
        <v>5.9548609999999997E-3</v>
      </c>
      <c r="R1666" t="s">
        <v>1018</v>
      </c>
      <c r="S1666">
        <v>2.2823129169999996</v>
      </c>
    </row>
    <row r="1667" spans="1:19" x14ac:dyDescent="0.25">
      <c r="A1667" t="s">
        <v>24</v>
      </c>
      <c r="B1667" t="s">
        <v>926</v>
      </c>
      <c r="C1667">
        <v>15</v>
      </c>
      <c r="D1667" t="s">
        <v>25</v>
      </c>
      <c r="E1667" t="s">
        <v>95</v>
      </c>
      <c r="F1667" t="s">
        <v>105</v>
      </c>
      <c r="G1667" t="s">
        <v>121</v>
      </c>
      <c r="H1667" t="s">
        <v>111</v>
      </c>
      <c r="J1667">
        <v>0</v>
      </c>
      <c r="K1667">
        <v>1</v>
      </c>
      <c r="L1667">
        <v>67.5</v>
      </c>
      <c r="M1667">
        <v>47.937235809999997</v>
      </c>
      <c r="N1667">
        <v>0.41599678000000001</v>
      </c>
      <c r="O1667">
        <v>94.97142857</v>
      </c>
      <c r="P1667">
        <v>24.31591813</v>
      </c>
      <c r="Q1667">
        <v>0.122951111</v>
      </c>
      <c r="R1667" t="s">
        <v>1018</v>
      </c>
      <c r="S1667">
        <v>0.29304566900000001</v>
      </c>
    </row>
    <row r="1668" spans="1:19" x14ac:dyDescent="0.25">
      <c r="A1668" t="s">
        <v>24</v>
      </c>
      <c r="B1668" t="s">
        <v>926</v>
      </c>
      <c r="C1668">
        <v>16</v>
      </c>
      <c r="D1668" t="s">
        <v>25</v>
      </c>
      <c r="E1668" t="s">
        <v>95</v>
      </c>
      <c r="F1668" t="s">
        <v>105</v>
      </c>
      <c r="G1668" t="s">
        <v>121</v>
      </c>
      <c r="H1668" t="s">
        <v>104</v>
      </c>
      <c r="J1668">
        <v>0</v>
      </c>
      <c r="K1668">
        <v>1</v>
      </c>
      <c r="L1668">
        <v>67.5</v>
      </c>
      <c r="M1668">
        <v>47.937235809999997</v>
      </c>
      <c r="N1668">
        <v>0.41599678000000001</v>
      </c>
      <c r="O1668">
        <v>113.9375</v>
      </c>
      <c r="P1668">
        <v>33.375507550000002</v>
      </c>
      <c r="Q1668">
        <v>2.4262999999999999</v>
      </c>
      <c r="R1668" t="s">
        <v>1018</v>
      </c>
      <c r="S1668">
        <v>-2.0103032199999999</v>
      </c>
    </row>
    <row r="1669" spans="1:19" x14ac:dyDescent="0.25">
      <c r="A1669" t="s">
        <v>24</v>
      </c>
      <c r="B1669" t="s">
        <v>927</v>
      </c>
      <c r="C1669">
        <v>15</v>
      </c>
      <c r="D1669" t="s">
        <v>25</v>
      </c>
      <c r="E1669" t="s">
        <v>95</v>
      </c>
      <c r="F1669" t="s">
        <v>112</v>
      </c>
      <c r="G1669" t="s">
        <v>112</v>
      </c>
      <c r="H1669" t="s">
        <v>112</v>
      </c>
      <c r="J1669">
        <v>0</v>
      </c>
      <c r="K1669">
        <v>1</v>
      </c>
      <c r="L1669">
        <v>65.09375</v>
      </c>
      <c r="M1669">
        <v>37.895352600000002</v>
      </c>
      <c r="N1669">
        <v>2.2882677779999998</v>
      </c>
      <c r="O1669">
        <v>65.09375</v>
      </c>
      <c r="P1669">
        <v>37.895352600000002</v>
      </c>
      <c r="Q1669">
        <v>2.2882677779999998</v>
      </c>
      <c r="R1669" t="s">
        <v>1018</v>
      </c>
      <c r="S1669">
        <v>0</v>
      </c>
    </row>
    <row r="1670" spans="1:19" x14ac:dyDescent="0.25">
      <c r="A1670" t="s">
        <v>26</v>
      </c>
      <c r="B1670" t="s">
        <v>928</v>
      </c>
      <c r="C1670">
        <v>15</v>
      </c>
      <c r="D1670" t="s">
        <v>27</v>
      </c>
      <c r="E1670" t="s">
        <v>95</v>
      </c>
      <c r="F1670" t="s">
        <v>105</v>
      </c>
      <c r="G1670" t="s">
        <v>102</v>
      </c>
      <c r="H1670" t="s">
        <v>102</v>
      </c>
      <c r="J1670">
        <v>0</v>
      </c>
      <c r="K1670">
        <v>1</v>
      </c>
      <c r="L1670">
        <v>67.5</v>
      </c>
      <c r="M1670">
        <v>47.937235809999997</v>
      </c>
      <c r="N1670">
        <v>0.41599678000000001</v>
      </c>
      <c r="O1670">
        <v>84.740740740000007</v>
      </c>
      <c r="P1670">
        <v>29.167014049999999</v>
      </c>
      <c r="Q1670">
        <v>1.1169849999999999</v>
      </c>
      <c r="R1670" t="s">
        <v>1018</v>
      </c>
      <c r="S1670">
        <v>-0.70098821999999994</v>
      </c>
    </row>
    <row r="1671" spans="1:19" x14ac:dyDescent="0.25">
      <c r="A1671" t="s">
        <v>26</v>
      </c>
      <c r="B1671" t="s">
        <v>928</v>
      </c>
      <c r="C1671">
        <v>16</v>
      </c>
      <c r="D1671" t="s">
        <v>27</v>
      </c>
      <c r="E1671" t="s">
        <v>95</v>
      </c>
      <c r="F1671" t="s">
        <v>105</v>
      </c>
      <c r="G1671" t="s">
        <v>102</v>
      </c>
      <c r="H1671" t="s">
        <v>111</v>
      </c>
      <c r="J1671">
        <v>0</v>
      </c>
      <c r="K1671">
        <v>1</v>
      </c>
      <c r="L1671">
        <v>67.5</v>
      </c>
      <c r="M1671">
        <v>47.937235809999997</v>
      </c>
      <c r="N1671">
        <v>0.41599678000000001</v>
      </c>
      <c r="O1671">
        <v>94.97142857</v>
      </c>
      <c r="P1671">
        <v>24.31591813</v>
      </c>
      <c r="Q1671">
        <v>0.122951111</v>
      </c>
      <c r="R1671" t="s">
        <v>1018</v>
      </c>
      <c r="S1671">
        <v>0.29304566900000001</v>
      </c>
    </row>
    <row r="1672" spans="1:19" x14ac:dyDescent="0.25">
      <c r="A1672" t="s">
        <v>26</v>
      </c>
      <c r="B1672" t="s">
        <v>928</v>
      </c>
      <c r="C1672">
        <v>17</v>
      </c>
      <c r="D1672" t="s">
        <v>27</v>
      </c>
      <c r="E1672" t="s">
        <v>95</v>
      </c>
      <c r="F1672" t="s">
        <v>105</v>
      </c>
      <c r="G1672" t="s">
        <v>102</v>
      </c>
      <c r="H1672" t="s">
        <v>242</v>
      </c>
      <c r="J1672">
        <v>0</v>
      </c>
      <c r="K1672">
        <v>1</v>
      </c>
      <c r="L1672">
        <v>67.5</v>
      </c>
      <c r="M1672">
        <v>47.937235809999997</v>
      </c>
      <c r="N1672">
        <v>0.41599678000000001</v>
      </c>
      <c r="O1672">
        <v>139.375</v>
      </c>
      <c r="P1672">
        <v>23.713465920000001</v>
      </c>
      <c r="Q1672" t="s">
        <v>114</v>
      </c>
      <c r="R1672" t="s">
        <v>1018</v>
      </c>
      <c r="S1672" t="s">
        <v>114</v>
      </c>
    </row>
    <row r="1673" spans="1:19" x14ac:dyDescent="0.25">
      <c r="A1673" t="s">
        <v>26</v>
      </c>
      <c r="B1673" t="s">
        <v>929</v>
      </c>
      <c r="C1673">
        <v>15</v>
      </c>
      <c r="D1673" t="s">
        <v>27</v>
      </c>
      <c r="E1673" t="s">
        <v>95</v>
      </c>
      <c r="F1673" t="s">
        <v>110</v>
      </c>
      <c r="G1673" t="s">
        <v>111</v>
      </c>
      <c r="H1673" t="s">
        <v>111</v>
      </c>
      <c r="J1673">
        <v>0</v>
      </c>
      <c r="K1673">
        <v>1</v>
      </c>
      <c r="L1673">
        <v>73.260869569999997</v>
      </c>
      <c r="M1673">
        <v>34.453830549999999</v>
      </c>
      <c r="N1673">
        <v>1.058333333</v>
      </c>
      <c r="O1673">
        <v>94.97142857</v>
      </c>
      <c r="P1673">
        <v>24.31591813</v>
      </c>
      <c r="Q1673">
        <v>0.122951111</v>
      </c>
      <c r="R1673" t="s">
        <v>1018</v>
      </c>
      <c r="S1673">
        <v>0.93538222199999999</v>
      </c>
    </row>
    <row r="1674" spans="1:19" x14ac:dyDescent="0.25">
      <c r="A1674" t="s">
        <v>26</v>
      </c>
      <c r="B1674" t="s">
        <v>929</v>
      </c>
      <c r="C1674">
        <v>16</v>
      </c>
      <c r="D1674" t="s">
        <v>27</v>
      </c>
      <c r="E1674" t="s">
        <v>95</v>
      </c>
      <c r="F1674" t="s">
        <v>110</v>
      </c>
      <c r="G1674" t="s">
        <v>111</v>
      </c>
      <c r="H1674" t="s">
        <v>242</v>
      </c>
      <c r="J1674">
        <v>0</v>
      </c>
      <c r="K1674">
        <v>8</v>
      </c>
      <c r="L1674">
        <v>73.260869569999997</v>
      </c>
      <c r="M1674">
        <v>34.453830549999999</v>
      </c>
      <c r="N1674">
        <v>1.058333333</v>
      </c>
      <c r="O1674">
        <v>139.375</v>
      </c>
      <c r="P1674">
        <v>23.713465920000001</v>
      </c>
      <c r="Q1674" t="s">
        <v>114</v>
      </c>
      <c r="R1674" t="s">
        <v>1018</v>
      </c>
      <c r="S1674" t="s">
        <v>114</v>
      </c>
    </row>
    <row r="1675" spans="1:19" x14ac:dyDescent="0.25">
      <c r="A1675" t="s">
        <v>26</v>
      </c>
      <c r="B1675" t="s">
        <v>930</v>
      </c>
      <c r="C1675">
        <v>15</v>
      </c>
      <c r="D1675" t="s">
        <v>27</v>
      </c>
      <c r="E1675" t="s">
        <v>95</v>
      </c>
      <c r="F1675" t="s">
        <v>111</v>
      </c>
      <c r="G1675" t="s">
        <v>102</v>
      </c>
      <c r="H1675" t="s">
        <v>244</v>
      </c>
      <c r="J1675">
        <v>0</v>
      </c>
      <c r="K1675">
        <v>1</v>
      </c>
      <c r="L1675">
        <v>94.97142857</v>
      </c>
      <c r="M1675">
        <v>24.31591813</v>
      </c>
      <c r="N1675">
        <v>0.122951111</v>
      </c>
      <c r="O1675">
        <v>75</v>
      </c>
      <c r="P1675">
        <v>28.80614499</v>
      </c>
      <c r="Q1675">
        <v>2.3860428570000001</v>
      </c>
      <c r="R1675" t="s">
        <v>1018</v>
      </c>
      <c r="S1675">
        <v>-2.2630917460000002</v>
      </c>
    </row>
    <row r="1676" spans="1:19" x14ac:dyDescent="0.25">
      <c r="A1676" t="s">
        <v>26</v>
      </c>
      <c r="B1676" t="s">
        <v>930</v>
      </c>
      <c r="C1676">
        <v>16</v>
      </c>
      <c r="D1676" t="s">
        <v>27</v>
      </c>
      <c r="E1676" t="s">
        <v>95</v>
      </c>
      <c r="F1676" t="s">
        <v>111</v>
      </c>
      <c r="G1676" t="s">
        <v>102</v>
      </c>
      <c r="H1676" t="s">
        <v>236</v>
      </c>
      <c r="J1676">
        <v>0</v>
      </c>
      <c r="K1676">
        <v>1</v>
      </c>
      <c r="L1676">
        <v>94.97142857</v>
      </c>
      <c r="M1676">
        <v>24.31591813</v>
      </c>
      <c r="N1676">
        <v>0.122951111</v>
      </c>
      <c r="O1676">
        <v>113.33333330000001</v>
      </c>
      <c r="P1676">
        <v>26.41632581</v>
      </c>
      <c r="Q1676">
        <v>1.6844570160000001</v>
      </c>
      <c r="R1676" t="s">
        <v>1018</v>
      </c>
      <c r="S1676">
        <v>-1.5615059050000002</v>
      </c>
    </row>
    <row r="1677" spans="1:19" x14ac:dyDescent="0.25">
      <c r="A1677" t="s">
        <v>26</v>
      </c>
      <c r="B1677" t="s">
        <v>930</v>
      </c>
      <c r="C1677">
        <v>17</v>
      </c>
      <c r="D1677" t="s">
        <v>27</v>
      </c>
      <c r="E1677" t="s">
        <v>95</v>
      </c>
      <c r="F1677" t="s">
        <v>111</v>
      </c>
      <c r="G1677" t="s">
        <v>102</v>
      </c>
      <c r="H1677" t="s">
        <v>102</v>
      </c>
      <c r="J1677">
        <v>0</v>
      </c>
      <c r="K1677">
        <v>1</v>
      </c>
      <c r="L1677">
        <v>94.97142857</v>
      </c>
      <c r="M1677">
        <v>24.31591813</v>
      </c>
      <c r="N1677">
        <v>0.122951111</v>
      </c>
      <c r="O1677">
        <v>84.740740740000007</v>
      </c>
      <c r="P1677">
        <v>29.167014049999999</v>
      </c>
      <c r="Q1677">
        <v>1.1169849999999999</v>
      </c>
      <c r="R1677" t="s">
        <v>1018</v>
      </c>
      <c r="S1677">
        <v>-0.99403388899999989</v>
      </c>
    </row>
    <row r="1678" spans="1:19" x14ac:dyDescent="0.25">
      <c r="A1678" t="s">
        <v>26</v>
      </c>
      <c r="B1678" t="s">
        <v>930</v>
      </c>
      <c r="C1678">
        <v>18</v>
      </c>
      <c r="D1678" t="s">
        <v>27</v>
      </c>
      <c r="E1678" t="s">
        <v>95</v>
      </c>
      <c r="F1678" t="s">
        <v>111</v>
      </c>
      <c r="G1678" t="s">
        <v>102</v>
      </c>
      <c r="H1678" t="s">
        <v>242</v>
      </c>
      <c r="J1678">
        <v>0</v>
      </c>
      <c r="K1678">
        <v>3</v>
      </c>
      <c r="L1678">
        <v>94.97142857</v>
      </c>
      <c r="M1678">
        <v>24.31591813</v>
      </c>
      <c r="N1678">
        <v>0.122951111</v>
      </c>
      <c r="O1678">
        <v>139.375</v>
      </c>
      <c r="P1678">
        <v>23.713465920000001</v>
      </c>
      <c r="Q1678" t="s">
        <v>114</v>
      </c>
      <c r="R1678" t="s">
        <v>1018</v>
      </c>
      <c r="S1678" t="s">
        <v>114</v>
      </c>
    </row>
    <row r="1679" spans="1:19" x14ac:dyDescent="0.25">
      <c r="A1679" t="s">
        <v>28</v>
      </c>
      <c r="B1679" t="s">
        <v>931</v>
      </c>
      <c r="C1679">
        <v>15</v>
      </c>
      <c r="D1679" t="s">
        <v>29</v>
      </c>
      <c r="E1679" t="s">
        <v>94</v>
      </c>
      <c r="F1679" t="s">
        <v>113</v>
      </c>
      <c r="G1679" t="s">
        <v>113</v>
      </c>
      <c r="H1679" t="s">
        <v>113</v>
      </c>
      <c r="J1679">
        <v>0</v>
      </c>
      <c r="K1679">
        <v>2</v>
      </c>
      <c r="L1679">
        <v>83.757575759999995</v>
      </c>
      <c r="M1679">
        <v>22.60997987</v>
      </c>
      <c r="N1679">
        <v>0.72884000000000004</v>
      </c>
      <c r="O1679">
        <v>83.757575759999995</v>
      </c>
      <c r="P1679">
        <v>22.60997987</v>
      </c>
      <c r="Q1679">
        <v>0.72884000000000004</v>
      </c>
      <c r="R1679" t="s">
        <v>1018</v>
      </c>
      <c r="S1679">
        <v>0</v>
      </c>
    </row>
    <row r="1680" spans="1:19" x14ac:dyDescent="0.25">
      <c r="A1680" t="s">
        <v>28</v>
      </c>
      <c r="B1680" t="s">
        <v>931</v>
      </c>
      <c r="C1680">
        <v>16</v>
      </c>
      <c r="D1680" t="s">
        <v>29</v>
      </c>
      <c r="E1680" t="s">
        <v>94</v>
      </c>
      <c r="F1680" t="s">
        <v>113</v>
      </c>
      <c r="G1680" t="s">
        <v>113</v>
      </c>
      <c r="H1680" t="s">
        <v>248</v>
      </c>
      <c r="J1680">
        <v>0</v>
      </c>
      <c r="K1680">
        <v>12</v>
      </c>
      <c r="L1680">
        <v>83.757575759999995</v>
      </c>
      <c r="M1680">
        <v>22.60997987</v>
      </c>
      <c r="N1680">
        <v>0.72884000000000004</v>
      </c>
      <c r="O1680">
        <v>83.92307692</v>
      </c>
      <c r="P1680">
        <v>44.319135699999997</v>
      </c>
      <c r="Q1680">
        <v>5.9548609999999997E-3</v>
      </c>
      <c r="R1680" t="s">
        <v>1018</v>
      </c>
      <c r="S1680">
        <v>0.72288513900000007</v>
      </c>
    </row>
    <row r="1681" spans="1:19" x14ac:dyDescent="0.25">
      <c r="A1681" t="s">
        <v>28</v>
      </c>
      <c r="B1681" t="s">
        <v>931</v>
      </c>
      <c r="C1681">
        <v>17</v>
      </c>
      <c r="D1681" t="s">
        <v>29</v>
      </c>
      <c r="E1681" t="s">
        <v>94</v>
      </c>
      <c r="F1681" t="s">
        <v>113</v>
      </c>
      <c r="G1681" t="s">
        <v>113</v>
      </c>
      <c r="H1681" t="s">
        <v>247</v>
      </c>
      <c r="J1681">
        <v>0</v>
      </c>
      <c r="K1681">
        <v>1</v>
      </c>
      <c r="L1681">
        <v>83.757575759999995</v>
      </c>
      <c r="M1681">
        <v>22.60997987</v>
      </c>
      <c r="N1681">
        <v>0.72884000000000004</v>
      </c>
      <c r="O1681">
        <v>65.791044779999993</v>
      </c>
      <c r="P1681">
        <v>22.94519201</v>
      </c>
      <c r="Q1681">
        <v>8.1320334999999994E-2</v>
      </c>
      <c r="R1681" t="s">
        <v>1018</v>
      </c>
      <c r="S1681">
        <v>0.64751966500000002</v>
      </c>
    </row>
    <row r="1682" spans="1:19" x14ac:dyDescent="0.25">
      <c r="A1682" t="s">
        <v>28</v>
      </c>
      <c r="B1682" t="s">
        <v>931</v>
      </c>
      <c r="C1682">
        <v>18</v>
      </c>
      <c r="D1682" t="s">
        <v>29</v>
      </c>
      <c r="E1682" t="s">
        <v>94</v>
      </c>
      <c r="F1682" t="s">
        <v>113</v>
      </c>
      <c r="G1682" t="s">
        <v>113</v>
      </c>
      <c r="H1682" t="s">
        <v>239</v>
      </c>
      <c r="J1682">
        <v>0</v>
      </c>
      <c r="K1682">
        <v>1</v>
      </c>
      <c r="L1682">
        <v>83.757575759999995</v>
      </c>
      <c r="M1682">
        <v>22.60997987</v>
      </c>
      <c r="N1682">
        <v>0.72884000000000004</v>
      </c>
      <c r="O1682">
        <v>100.45454549999999</v>
      </c>
      <c r="P1682">
        <v>26.754810689999999</v>
      </c>
      <c r="Q1682">
        <v>0.75829999999999997</v>
      </c>
      <c r="R1682" t="s">
        <v>1018</v>
      </c>
      <c r="S1682">
        <v>-2.9459999999999931E-2</v>
      </c>
    </row>
    <row r="1683" spans="1:19" x14ac:dyDescent="0.25">
      <c r="A1683" t="s">
        <v>28</v>
      </c>
      <c r="B1683" t="s">
        <v>932</v>
      </c>
      <c r="C1683">
        <v>15</v>
      </c>
      <c r="D1683" t="s">
        <v>29</v>
      </c>
      <c r="E1683" t="s">
        <v>94</v>
      </c>
      <c r="F1683" t="s">
        <v>103</v>
      </c>
      <c r="G1683" t="s">
        <v>102</v>
      </c>
      <c r="H1683" t="s">
        <v>102</v>
      </c>
      <c r="J1683">
        <v>0</v>
      </c>
      <c r="K1683">
        <v>1</v>
      </c>
      <c r="L1683">
        <v>98.291666669999998</v>
      </c>
      <c r="M1683">
        <v>30.315130790000001</v>
      </c>
      <c r="N1683">
        <v>5.0803484000000003E-2</v>
      </c>
      <c r="O1683">
        <v>84.740740740000007</v>
      </c>
      <c r="P1683">
        <v>29.167014049999999</v>
      </c>
      <c r="Q1683">
        <v>1.1169849999999999</v>
      </c>
      <c r="R1683" t="s">
        <v>1018</v>
      </c>
      <c r="S1683">
        <v>-1.0661815159999999</v>
      </c>
    </row>
    <row r="1684" spans="1:19" x14ac:dyDescent="0.25">
      <c r="A1684" t="s">
        <v>28</v>
      </c>
      <c r="B1684" t="s">
        <v>932</v>
      </c>
      <c r="C1684">
        <v>16</v>
      </c>
      <c r="D1684" t="s">
        <v>29</v>
      </c>
      <c r="E1684" t="s">
        <v>94</v>
      </c>
      <c r="F1684" t="s">
        <v>103</v>
      </c>
      <c r="G1684" t="s">
        <v>102</v>
      </c>
      <c r="H1684" t="s">
        <v>103</v>
      </c>
      <c r="J1684">
        <v>0</v>
      </c>
      <c r="K1684">
        <v>2</v>
      </c>
      <c r="L1684">
        <v>98.291666669999998</v>
      </c>
      <c r="M1684">
        <v>30.315130790000001</v>
      </c>
      <c r="N1684">
        <v>5.0803484000000003E-2</v>
      </c>
      <c r="O1684">
        <v>98.291666669999998</v>
      </c>
      <c r="P1684">
        <v>30.315130790000001</v>
      </c>
      <c r="Q1684">
        <v>5.0803484000000003E-2</v>
      </c>
      <c r="R1684" t="s">
        <v>1018</v>
      </c>
      <c r="S1684">
        <v>0</v>
      </c>
    </row>
    <row r="1685" spans="1:19" x14ac:dyDescent="0.25">
      <c r="A1685" t="s">
        <v>28</v>
      </c>
      <c r="B1685" t="s">
        <v>933</v>
      </c>
      <c r="C1685">
        <v>15</v>
      </c>
      <c r="D1685" t="s">
        <v>29</v>
      </c>
      <c r="E1685" t="s">
        <v>94</v>
      </c>
      <c r="F1685" t="s">
        <v>111</v>
      </c>
      <c r="G1685" t="s">
        <v>121</v>
      </c>
      <c r="H1685" t="s">
        <v>247</v>
      </c>
      <c r="J1685">
        <v>0</v>
      </c>
      <c r="K1685">
        <v>1</v>
      </c>
      <c r="L1685">
        <v>94.97142857</v>
      </c>
      <c r="M1685">
        <v>24.31591813</v>
      </c>
      <c r="N1685">
        <v>0.122951111</v>
      </c>
      <c r="O1685">
        <v>65.791044779999993</v>
      </c>
      <c r="P1685">
        <v>22.94519201</v>
      </c>
      <c r="Q1685">
        <v>8.1320334999999994E-2</v>
      </c>
      <c r="R1685" t="s">
        <v>1018</v>
      </c>
      <c r="S1685">
        <v>4.1630776000000008E-2</v>
      </c>
    </row>
    <row r="1686" spans="1:19" x14ac:dyDescent="0.25">
      <c r="A1686" t="s">
        <v>28</v>
      </c>
      <c r="B1686" t="s">
        <v>933</v>
      </c>
      <c r="C1686">
        <v>16</v>
      </c>
      <c r="D1686" t="s">
        <v>29</v>
      </c>
      <c r="E1686" t="s">
        <v>94</v>
      </c>
      <c r="F1686" t="s">
        <v>111</v>
      </c>
      <c r="G1686" t="s">
        <v>121</v>
      </c>
      <c r="H1686" t="s">
        <v>113</v>
      </c>
      <c r="J1686">
        <v>0</v>
      </c>
      <c r="K1686">
        <v>3</v>
      </c>
      <c r="L1686">
        <v>94.97142857</v>
      </c>
      <c r="M1686">
        <v>24.31591813</v>
      </c>
      <c r="N1686">
        <v>0.122951111</v>
      </c>
      <c r="O1686">
        <v>83.757575759999995</v>
      </c>
      <c r="P1686">
        <v>22.60997987</v>
      </c>
      <c r="Q1686">
        <v>0.72884000000000004</v>
      </c>
      <c r="R1686" t="s">
        <v>1018</v>
      </c>
      <c r="S1686">
        <v>-0.60588888900000004</v>
      </c>
    </row>
    <row r="1687" spans="1:19" x14ac:dyDescent="0.25">
      <c r="A1687" t="s">
        <v>28</v>
      </c>
      <c r="B1687" t="s">
        <v>933</v>
      </c>
      <c r="C1687">
        <v>17</v>
      </c>
      <c r="D1687" t="s">
        <v>29</v>
      </c>
      <c r="E1687" t="s">
        <v>94</v>
      </c>
      <c r="F1687" t="s">
        <v>111</v>
      </c>
      <c r="G1687" t="s">
        <v>121</v>
      </c>
      <c r="H1687" t="s">
        <v>248</v>
      </c>
      <c r="J1687">
        <v>0</v>
      </c>
      <c r="K1687">
        <v>1</v>
      </c>
      <c r="L1687">
        <v>94.97142857</v>
      </c>
      <c r="M1687">
        <v>24.31591813</v>
      </c>
      <c r="N1687">
        <v>0.122951111</v>
      </c>
      <c r="O1687">
        <v>83.92307692</v>
      </c>
      <c r="P1687">
        <v>44.319135699999997</v>
      </c>
      <c r="Q1687">
        <v>5.9548609999999997E-3</v>
      </c>
      <c r="R1687" t="s">
        <v>1018</v>
      </c>
      <c r="S1687">
        <v>0.11699625</v>
      </c>
    </row>
    <row r="1688" spans="1:19" x14ac:dyDescent="0.25">
      <c r="A1688" t="s">
        <v>28</v>
      </c>
      <c r="B1688" t="s">
        <v>934</v>
      </c>
      <c r="C1688">
        <v>15</v>
      </c>
      <c r="D1688" t="s">
        <v>29</v>
      </c>
      <c r="E1688" t="s">
        <v>94</v>
      </c>
      <c r="F1688" t="s">
        <v>112</v>
      </c>
      <c r="G1688" t="s">
        <v>121</v>
      </c>
      <c r="H1688" t="s">
        <v>103</v>
      </c>
      <c r="J1688">
        <v>0</v>
      </c>
      <c r="K1688">
        <v>4</v>
      </c>
      <c r="L1688">
        <v>65.09375</v>
      </c>
      <c r="M1688">
        <v>37.895352600000002</v>
      </c>
      <c r="N1688">
        <v>2.2882677779999998</v>
      </c>
      <c r="O1688">
        <v>98.291666669999998</v>
      </c>
      <c r="P1688">
        <v>30.315130790000001</v>
      </c>
      <c r="Q1688">
        <v>5.0803484000000003E-2</v>
      </c>
      <c r="R1688" t="s">
        <v>1018</v>
      </c>
      <c r="S1688">
        <v>2.237464294</v>
      </c>
    </row>
    <row r="1689" spans="1:19" x14ac:dyDescent="0.25">
      <c r="A1689" t="s">
        <v>28</v>
      </c>
      <c r="B1689" t="s">
        <v>934</v>
      </c>
      <c r="C1689">
        <v>16</v>
      </c>
      <c r="D1689" t="s">
        <v>29</v>
      </c>
      <c r="E1689" t="s">
        <v>94</v>
      </c>
      <c r="F1689" t="s">
        <v>112</v>
      </c>
      <c r="G1689" t="s">
        <v>121</v>
      </c>
      <c r="H1689" t="s">
        <v>113</v>
      </c>
      <c r="J1689">
        <v>0</v>
      </c>
      <c r="K1689">
        <v>6</v>
      </c>
      <c r="L1689">
        <v>65.09375</v>
      </c>
      <c r="M1689">
        <v>37.895352600000002</v>
      </c>
      <c r="N1689">
        <v>2.2882677779999998</v>
      </c>
      <c r="O1689">
        <v>83.757575759999995</v>
      </c>
      <c r="P1689">
        <v>22.60997987</v>
      </c>
      <c r="Q1689">
        <v>0.72884000000000004</v>
      </c>
      <c r="R1689" t="s">
        <v>1018</v>
      </c>
      <c r="S1689">
        <v>1.5594277779999999</v>
      </c>
    </row>
    <row r="1690" spans="1:19" x14ac:dyDescent="0.25">
      <c r="A1690" t="s">
        <v>28</v>
      </c>
      <c r="B1690" t="s">
        <v>934</v>
      </c>
      <c r="C1690">
        <v>17</v>
      </c>
      <c r="D1690" t="s">
        <v>29</v>
      </c>
      <c r="E1690" t="s">
        <v>94</v>
      </c>
      <c r="F1690" t="s">
        <v>112</v>
      </c>
      <c r="G1690" t="s">
        <v>121</v>
      </c>
      <c r="H1690" t="s">
        <v>248</v>
      </c>
      <c r="J1690">
        <v>0</v>
      </c>
      <c r="K1690">
        <v>3</v>
      </c>
      <c r="L1690">
        <v>65.09375</v>
      </c>
      <c r="M1690">
        <v>37.895352600000002</v>
      </c>
      <c r="N1690">
        <v>2.2882677779999998</v>
      </c>
      <c r="O1690">
        <v>83.92307692</v>
      </c>
      <c r="P1690">
        <v>44.319135699999997</v>
      </c>
      <c r="Q1690">
        <v>5.9548609999999997E-3</v>
      </c>
      <c r="R1690" t="s">
        <v>1018</v>
      </c>
      <c r="S1690">
        <v>2.2823129169999996</v>
      </c>
    </row>
    <row r="1691" spans="1:19" x14ac:dyDescent="0.25">
      <c r="A1691" t="s">
        <v>30</v>
      </c>
      <c r="B1691" t="s">
        <v>935</v>
      </c>
      <c r="C1691">
        <v>15</v>
      </c>
      <c r="D1691" t="s">
        <v>31</v>
      </c>
      <c r="E1691" t="s">
        <v>95</v>
      </c>
      <c r="F1691" t="s">
        <v>113</v>
      </c>
      <c r="G1691" t="s">
        <v>121</v>
      </c>
      <c r="H1691" t="s">
        <v>113</v>
      </c>
      <c r="J1691">
        <v>0</v>
      </c>
      <c r="K1691">
        <v>1</v>
      </c>
      <c r="L1691">
        <v>83.757575759999995</v>
      </c>
      <c r="M1691">
        <v>22.60997987</v>
      </c>
      <c r="N1691">
        <v>0.72884000000000004</v>
      </c>
      <c r="O1691">
        <v>83.757575759999995</v>
      </c>
      <c r="P1691">
        <v>22.60997987</v>
      </c>
      <c r="Q1691">
        <v>0.72884000000000004</v>
      </c>
      <c r="R1691" t="s">
        <v>1018</v>
      </c>
      <c r="S1691">
        <v>0</v>
      </c>
    </row>
    <row r="1692" spans="1:19" x14ac:dyDescent="0.25">
      <c r="A1692" t="s">
        <v>30</v>
      </c>
      <c r="B1692" t="s">
        <v>935</v>
      </c>
      <c r="C1692">
        <v>16</v>
      </c>
      <c r="D1692" t="s">
        <v>31</v>
      </c>
      <c r="E1692" t="s">
        <v>95</v>
      </c>
      <c r="F1692" t="s">
        <v>113</v>
      </c>
      <c r="G1692" t="s">
        <v>121</v>
      </c>
      <c r="H1692" t="s">
        <v>103</v>
      </c>
      <c r="J1692">
        <v>0</v>
      </c>
      <c r="K1692">
        <v>2</v>
      </c>
      <c r="L1692">
        <v>83.757575759999995</v>
      </c>
      <c r="M1692">
        <v>22.60997987</v>
      </c>
      <c r="N1692">
        <v>0.72884000000000004</v>
      </c>
      <c r="O1692">
        <v>98.291666669999998</v>
      </c>
      <c r="P1692">
        <v>30.315130790000001</v>
      </c>
      <c r="Q1692">
        <v>5.0803484000000003E-2</v>
      </c>
      <c r="R1692" t="s">
        <v>1018</v>
      </c>
      <c r="S1692">
        <v>0.67803651600000003</v>
      </c>
    </row>
    <row r="1693" spans="1:19" x14ac:dyDescent="0.25">
      <c r="A1693" t="s">
        <v>30</v>
      </c>
      <c r="B1693" t="s">
        <v>935</v>
      </c>
      <c r="C1693">
        <v>17</v>
      </c>
      <c r="D1693" t="s">
        <v>31</v>
      </c>
      <c r="E1693" t="s">
        <v>95</v>
      </c>
      <c r="F1693" t="s">
        <v>113</v>
      </c>
      <c r="G1693" t="s">
        <v>121</v>
      </c>
      <c r="H1693" t="s">
        <v>248</v>
      </c>
      <c r="J1693">
        <v>0</v>
      </c>
      <c r="K1693">
        <v>9</v>
      </c>
      <c r="L1693">
        <v>83.757575759999995</v>
      </c>
      <c r="M1693">
        <v>22.60997987</v>
      </c>
      <c r="N1693">
        <v>0.72884000000000004</v>
      </c>
      <c r="O1693">
        <v>83.92307692</v>
      </c>
      <c r="P1693">
        <v>44.319135699999997</v>
      </c>
      <c r="Q1693">
        <v>5.9548609999999997E-3</v>
      </c>
      <c r="R1693" t="s">
        <v>1018</v>
      </c>
      <c r="S1693">
        <v>0.72288513900000007</v>
      </c>
    </row>
    <row r="1694" spans="1:19" x14ac:dyDescent="0.25">
      <c r="A1694" t="s">
        <v>30</v>
      </c>
      <c r="B1694" t="s">
        <v>935</v>
      </c>
      <c r="C1694">
        <v>18</v>
      </c>
      <c r="D1694" t="s">
        <v>31</v>
      </c>
      <c r="E1694" t="s">
        <v>95</v>
      </c>
      <c r="F1694" t="s">
        <v>113</v>
      </c>
      <c r="G1694" t="s">
        <v>121</v>
      </c>
      <c r="H1694" t="s">
        <v>111</v>
      </c>
      <c r="J1694">
        <v>0</v>
      </c>
      <c r="K1694">
        <v>1</v>
      </c>
      <c r="L1694">
        <v>83.757575759999995</v>
      </c>
      <c r="M1694">
        <v>22.60997987</v>
      </c>
      <c r="N1694">
        <v>0.72884000000000004</v>
      </c>
      <c r="O1694">
        <v>94.97142857</v>
      </c>
      <c r="P1694">
        <v>24.31591813</v>
      </c>
      <c r="Q1694">
        <v>0.122951111</v>
      </c>
      <c r="R1694" t="s">
        <v>1018</v>
      </c>
      <c r="S1694">
        <v>0.60588888900000004</v>
      </c>
    </row>
    <row r="1695" spans="1:19" x14ac:dyDescent="0.25">
      <c r="A1695" t="s">
        <v>30</v>
      </c>
      <c r="B1695" t="s">
        <v>936</v>
      </c>
      <c r="C1695">
        <v>15</v>
      </c>
      <c r="D1695" t="s">
        <v>31</v>
      </c>
      <c r="E1695" t="s">
        <v>95</v>
      </c>
      <c r="F1695" t="s">
        <v>103</v>
      </c>
      <c r="G1695" t="s">
        <v>113</v>
      </c>
      <c r="H1695" t="s">
        <v>113</v>
      </c>
      <c r="J1695">
        <v>0</v>
      </c>
      <c r="K1695">
        <v>3</v>
      </c>
      <c r="L1695">
        <v>98.291666669999998</v>
      </c>
      <c r="M1695">
        <v>30.315130790000001</v>
      </c>
      <c r="N1695">
        <v>5.0803484000000003E-2</v>
      </c>
      <c r="O1695">
        <v>83.757575759999995</v>
      </c>
      <c r="P1695">
        <v>22.60997987</v>
      </c>
      <c r="Q1695">
        <v>0.72884000000000004</v>
      </c>
      <c r="R1695" t="s">
        <v>1018</v>
      </c>
      <c r="S1695">
        <v>-0.67803651600000003</v>
      </c>
    </row>
    <row r="1696" spans="1:19" x14ac:dyDescent="0.25">
      <c r="A1696" t="s">
        <v>30</v>
      </c>
      <c r="B1696" t="s">
        <v>936</v>
      </c>
      <c r="C1696">
        <v>16</v>
      </c>
      <c r="D1696" t="s">
        <v>31</v>
      </c>
      <c r="E1696" t="s">
        <v>95</v>
      </c>
      <c r="F1696" t="s">
        <v>103</v>
      </c>
      <c r="G1696" t="s">
        <v>113</v>
      </c>
      <c r="H1696" t="s">
        <v>247</v>
      </c>
      <c r="J1696">
        <v>0</v>
      </c>
      <c r="K1696">
        <v>1</v>
      </c>
      <c r="L1696">
        <v>98.291666669999998</v>
      </c>
      <c r="M1696">
        <v>30.315130790000001</v>
      </c>
      <c r="N1696">
        <v>5.0803484000000003E-2</v>
      </c>
      <c r="O1696">
        <v>65.791044779999993</v>
      </c>
      <c r="P1696">
        <v>22.94519201</v>
      </c>
      <c r="Q1696">
        <v>8.1320334999999994E-2</v>
      </c>
      <c r="R1696" t="s">
        <v>1018</v>
      </c>
      <c r="S1696">
        <v>-3.0516850999999991E-2</v>
      </c>
    </row>
    <row r="1697" spans="1:19" x14ac:dyDescent="0.25">
      <c r="A1697" t="s">
        <v>30</v>
      </c>
      <c r="B1697" t="s">
        <v>936</v>
      </c>
      <c r="C1697">
        <v>17</v>
      </c>
      <c r="D1697" t="s">
        <v>31</v>
      </c>
      <c r="E1697" t="s">
        <v>95</v>
      </c>
      <c r="F1697" t="s">
        <v>103</v>
      </c>
      <c r="G1697" t="s">
        <v>113</v>
      </c>
      <c r="H1697" t="s">
        <v>111</v>
      </c>
      <c r="J1697">
        <v>0</v>
      </c>
      <c r="K1697">
        <v>1</v>
      </c>
      <c r="L1697">
        <v>98.291666669999998</v>
      </c>
      <c r="M1697">
        <v>30.315130790000001</v>
      </c>
      <c r="N1697">
        <v>5.0803484000000003E-2</v>
      </c>
      <c r="O1697">
        <v>94.97142857</v>
      </c>
      <c r="P1697">
        <v>24.31591813</v>
      </c>
      <c r="Q1697">
        <v>0.122951111</v>
      </c>
      <c r="R1697" t="s">
        <v>1018</v>
      </c>
      <c r="S1697">
        <v>-7.2147626999999992E-2</v>
      </c>
    </row>
    <row r="1698" spans="1:19" x14ac:dyDescent="0.25">
      <c r="A1698" t="s">
        <v>30</v>
      </c>
      <c r="B1698" t="s">
        <v>936</v>
      </c>
      <c r="C1698">
        <v>18</v>
      </c>
      <c r="D1698" t="s">
        <v>31</v>
      </c>
      <c r="E1698" t="s">
        <v>95</v>
      </c>
      <c r="F1698" t="s">
        <v>103</v>
      </c>
      <c r="G1698" t="s">
        <v>113</v>
      </c>
      <c r="H1698" t="s">
        <v>234</v>
      </c>
      <c r="J1698">
        <v>0</v>
      </c>
      <c r="K1698">
        <v>1</v>
      </c>
      <c r="L1698">
        <v>98.291666669999998</v>
      </c>
      <c r="M1698">
        <v>30.315130790000001</v>
      </c>
      <c r="N1698">
        <v>5.0803484000000003E-2</v>
      </c>
      <c r="O1698">
        <v>89.8125</v>
      </c>
      <c r="P1698">
        <v>34.754706650000003</v>
      </c>
      <c r="Q1698">
        <v>2.3065078999999999E-2</v>
      </c>
      <c r="R1698" t="s">
        <v>1018</v>
      </c>
      <c r="S1698">
        <v>2.7738405000000004E-2</v>
      </c>
    </row>
    <row r="1699" spans="1:19" x14ac:dyDescent="0.25">
      <c r="A1699" t="s">
        <v>30</v>
      </c>
      <c r="B1699" t="s">
        <v>936</v>
      </c>
      <c r="C1699">
        <v>19</v>
      </c>
      <c r="D1699" t="s">
        <v>31</v>
      </c>
      <c r="E1699" t="s">
        <v>95</v>
      </c>
      <c r="F1699" t="s">
        <v>103</v>
      </c>
      <c r="G1699" t="s">
        <v>113</v>
      </c>
      <c r="H1699" t="s">
        <v>241</v>
      </c>
      <c r="J1699">
        <v>0</v>
      </c>
      <c r="K1699">
        <v>1</v>
      </c>
      <c r="L1699">
        <v>98.291666669999998</v>
      </c>
      <c r="M1699">
        <v>30.315130790000001</v>
      </c>
      <c r="N1699">
        <v>5.0803484000000003E-2</v>
      </c>
      <c r="O1699">
        <v>114</v>
      </c>
      <c r="P1699">
        <v>30.43077242</v>
      </c>
      <c r="Q1699">
        <v>0.53383111100000002</v>
      </c>
      <c r="R1699" t="s">
        <v>1018</v>
      </c>
      <c r="S1699">
        <v>-0.48302762700000001</v>
      </c>
    </row>
    <row r="1700" spans="1:19" x14ac:dyDescent="0.25">
      <c r="A1700" t="s">
        <v>30</v>
      </c>
      <c r="B1700" t="s">
        <v>937</v>
      </c>
      <c r="C1700">
        <v>15</v>
      </c>
      <c r="D1700" t="s">
        <v>31</v>
      </c>
      <c r="E1700" t="s">
        <v>95</v>
      </c>
      <c r="F1700" t="s">
        <v>112</v>
      </c>
      <c r="G1700" t="s">
        <v>103</v>
      </c>
      <c r="H1700" t="s">
        <v>114</v>
      </c>
      <c r="J1700">
        <v>0</v>
      </c>
      <c r="K1700" t="s">
        <v>114</v>
      </c>
      <c r="L1700">
        <v>65.09375</v>
      </c>
      <c r="M1700">
        <v>37.895352600000002</v>
      </c>
      <c r="N1700">
        <v>2.2882677779999998</v>
      </c>
      <c r="O1700" t="s">
        <v>114</v>
      </c>
      <c r="P1700" t="s">
        <v>114</v>
      </c>
      <c r="Q1700" t="s">
        <v>114</v>
      </c>
      <c r="R1700" t="s">
        <v>1018</v>
      </c>
      <c r="S1700" t="s">
        <v>114</v>
      </c>
    </row>
    <row r="1701" spans="1:19" x14ac:dyDescent="0.25">
      <c r="A1701" t="s">
        <v>32</v>
      </c>
      <c r="B1701" t="s">
        <v>938</v>
      </c>
      <c r="C1701">
        <v>15</v>
      </c>
      <c r="D1701" t="s">
        <v>33</v>
      </c>
      <c r="E1701" t="s">
        <v>94</v>
      </c>
      <c r="F1701" t="s">
        <v>105</v>
      </c>
      <c r="G1701" t="s">
        <v>121</v>
      </c>
      <c r="H1701" t="s">
        <v>247</v>
      </c>
      <c r="J1701">
        <v>0</v>
      </c>
      <c r="K1701">
        <v>2</v>
      </c>
      <c r="L1701">
        <v>67.5</v>
      </c>
      <c r="M1701">
        <v>47.937235809999997</v>
      </c>
      <c r="N1701">
        <v>0.41599678000000001</v>
      </c>
      <c r="O1701">
        <v>65.791044779999993</v>
      </c>
      <c r="P1701">
        <v>22.94519201</v>
      </c>
      <c r="Q1701">
        <v>8.1320334999999994E-2</v>
      </c>
      <c r="R1701" t="s">
        <v>1018</v>
      </c>
      <c r="S1701">
        <v>0.33467644500000004</v>
      </c>
    </row>
    <row r="1702" spans="1:19" x14ac:dyDescent="0.25">
      <c r="A1702" t="s">
        <v>32</v>
      </c>
      <c r="B1702" t="s">
        <v>938</v>
      </c>
      <c r="C1702">
        <v>16</v>
      </c>
      <c r="D1702" t="s">
        <v>33</v>
      </c>
      <c r="E1702" t="s">
        <v>94</v>
      </c>
      <c r="F1702" t="s">
        <v>105</v>
      </c>
      <c r="G1702" t="s">
        <v>121</v>
      </c>
      <c r="H1702" t="s">
        <v>249</v>
      </c>
      <c r="J1702">
        <v>0</v>
      </c>
      <c r="K1702">
        <v>1</v>
      </c>
      <c r="L1702">
        <v>67.5</v>
      </c>
      <c r="M1702">
        <v>47.937235809999997</v>
      </c>
      <c r="N1702">
        <v>0.41599678000000001</v>
      </c>
      <c r="O1702">
        <v>81.666666669999998</v>
      </c>
      <c r="P1702">
        <v>48.056268459999998</v>
      </c>
      <c r="Q1702">
        <v>0.120291364</v>
      </c>
      <c r="R1702" t="s">
        <v>1018</v>
      </c>
      <c r="S1702">
        <v>0.295705416</v>
      </c>
    </row>
    <row r="1703" spans="1:19" x14ac:dyDescent="0.25">
      <c r="A1703" t="s">
        <v>34</v>
      </c>
      <c r="B1703" t="s">
        <v>939</v>
      </c>
      <c r="C1703">
        <v>15</v>
      </c>
      <c r="D1703" t="s">
        <v>35</v>
      </c>
      <c r="E1703" t="s">
        <v>94</v>
      </c>
      <c r="F1703" t="s">
        <v>112</v>
      </c>
      <c r="G1703" t="s">
        <v>112</v>
      </c>
      <c r="H1703" t="s">
        <v>112</v>
      </c>
      <c r="J1703">
        <v>0</v>
      </c>
      <c r="K1703">
        <v>1</v>
      </c>
      <c r="L1703">
        <v>65.09375</v>
      </c>
      <c r="M1703">
        <v>37.895352600000002</v>
      </c>
      <c r="N1703">
        <v>2.2882677779999998</v>
      </c>
      <c r="O1703">
        <v>65.09375</v>
      </c>
      <c r="P1703">
        <v>37.895352600000002</v>
      </c>
      <c r="Q1703">
        <v>2.2882677779999998</v>
      </c>
      <c r="R1703" t="s">
        <v>1018</v>
      </c>
      <c r="S1703">
        <v>0</v>
      </c>
    </row>
    <row r="1704" spans="1:19" x14ac:dyDescent="0.25">
      <c r="A1704" t="s">
        <v>36</v>
      </c>
      <c r="B1704" t="s">
        <v>940</v>
      </c>
      <c r="C1704">
        <v>15</v>
      </c>
      <c r="D1704" t="s">
        <v>37</v>
      </c>
      <c r="E1704" t="s">
        <v>95</v>
      </c>
      <c r="F1704" t="s">
        <v>110</v>
      </c>
      <c r="G1704" t="s">
        <v>121</v>
      </c>
      <c r="H1704" t="s">
        <v>110</v>
      </c>
      <c r="J1704">
        <v>0</v>
      </c>
      <c r="K1704">
        <v>1</v>
      </c>
      <c r="L1704">
        <v>73.260869569999997</v>
      </c>
      <c r="M1704">
        <v>34.453830549999999</v>
      </c>
      <c r="N1704">
        <v>1.058333333</v>
      </c>
      <c r="O1704">
        <v>73.260869569999997</v>
      </c>
      <c r="P1704">
        <v>34.453830549999999</v>
      </c>
      <c r="Q1704">
        <v>1.058333333</v>
      </c>
      <c r="R1704" t="s">
        <v>1018</v>
      </c>
      <c r="S1704">
        <v>0</v>
      </c>
    </row>
    <row r="1705" spans="1:19" x14ac:dyDescent="0.25">
      <c r="A1705" t="s">
        <v>36</v>
      </c>
      <c r="B1705" t="s">
        <v>941</v>
      </c>
      <c r="C1705">
        <v>15</v>
      </c>
      <c r="D1705" t="s">
        <v>37</v>
      </c>
      <c r="E1705" t="s">
        <v>95</v>
      </c>
      <c r="F1705" t="s">
        <v>104</v>
      </c>
      <c r="G1705" t="s">
        <v>121</v>
      </c>
      <c r="H1705" t="s">
        <v>104</v>
      </c>
      <c r="J1705">
        <v>0</v>
      </c>
      <c r="K1705">
        <v>1</v>
      </c>
      <c r="L1705">
        <v>113.9375</v>
      </c>
      <c r="M1705">
        <v>33.375507550000002</v>
      </c>
      <c r="N1705">
        <v>2.4262999999999999</v>
      </c>
      <c r="O1705">
        <v>113.9375</v>
      </c>
      <c r="P1705">
        <v>33.375507550000002</v>
      </c>
      <c r="Q1705">
        <v>2.4262999999999999</v>
      </c>
      <c r="R1705" t="s">
        <v>1018</v>
      </c>
      <c r="S1705">
        <v>0</v>
      </c>
    </row>
    <row r="1706" spans="1:19" x14ac:dyDescent="0.25">
      <c r="A1706" t="s">
        <v>36</v>
      </c>
      <c r="B1706" t="s">
        <v>941</v>
      </c>
      <c r="C1706">
        <v>16</v>
      </c>
      <c r="D1706" t="s">
        <v>37</v>
      </c>
      <c r="E1706" t="s">
        <v>95</v>
      </c>
      <c r="F1706" t="s">
        <v>104</v>
      </c>
      <c r="G1706" t="s">
        <v>121</v>
      </c>
      <c r="H1706" t="s">
        <v>111</v>
      </c>
      <c r="J1706">
        <v>0</v>
      </c>
      <c r="K1706">
        <v>1</v>
      </c>
      <c r="L1706">
        <v>113.9375</v>
      </c>
      <c r="M1706">
        <v>33.375507550000002</v>
      </c>
      <c r="N1706">
        <v>2.4262999999999999</v>
      </c>
      <c r="O1706">
        <v>94.97142857</v>
      </c>
      <c r="P1706">
        <v>24.31591813</v>
      </c>
      <c r="Q1706">
        <v>0.122951111</v>
      </c>
      <c r="R1706" t="s">
        <v>1018</v>
      </c>
      <c r="S1706">
        <v>2.303348889</v>
      </c>
    </row>
    <row r="1707" spans="1:19" x14ac:dyDescent="0.25">
      <c r="A1707" t="s">
        <v>36</v>
      </c>
      <c r="B1707" t="s">
        <v>941</v>
      </c>
      <c r="C1707">
        <v>17</v>
      </c>
      <c r="D1707" t="s">
        <v>37</v>
      </c>
      <c r="E1707" t="s">
        <v>95</v>
      </c>
      <c r="F1707" t="s">
        <v>104</v>
      </c>
      <c r="G1707" t="s">
        <v>121</v>
      </c>
      <c r="H1707" t="s">
        <v>162</v>
      </c>
      <c r="J1707">
        <v>0</v>
      </c>
      <c r="K1707">
        <v>1</v>
      </c>
      <c r="L1707">
        <v>113.9375</v>
      </c>
      <c r="M1707">
        <v>33.375507550000002</v>
      </c>
      <c r="N1707">
        <v>2.4262999999999999</v>
      </c>
      <c r="O1707">
        <v>82.53846154</v>
      </c>
      <c r="P1707">
        <v>35.660530039999998</v>
      </c>
      <c r="Q1707">
        <v>3.3754499999999998</v>
      </c>
      <c r="R1707" t="s">
        <v>1018</v>
      </c>
      <c r="S1707">
        <v>-0.94914999999999994</v>
      </c>
    </row>
    <row r="1708" spans="1:19" x14ac:dyDescent="0.25">
      <c r="A1708" t="s">
        <v>38</v>
      </c>
      <c r="B1708" t="s">
        <v>942</v>
      </c>
      <c r="C1708">
        <v>2</v>
      </c>
      <c r="D1708" t="s">
        <v>11</v>
      </c>
      <c r="E1708" t="s">
        <v>95</v>
      </c>
      <c r="F1708" t="s">
        <v>113</v>
      </c>
      <c r="G1708" t="s">
        <v>103</v>
      </c>
      <c r="H1708" t="s">
        <v>103</v>
      </c>
      <c r="J1708">
        <v>0</v>
      </c>
      <c r="K1708">
        <v>3</v>
      </c>
      <c r="L1708">
        <v>83.757575759999995</v>
      </c>
      <c r="M1708">
        <v>22.60997987</v>
      </c>
      <c r="N1708">
        <v>0.72884000000000004</v>
      </c>
      <c r="O1708">
        <v>98.291666669999998</v>
      </c>
      <c r="P1708">
        <v>30.315130790000001</v>
      </c>
      <c r="Q1708">
        <v>5.0803484000000003E-2</v>
      </c>
      <c r="R1708" t="s">
        <v>1018</v>
      </c>
      <c r="S1708">
        <v>0.67803651600000003</v>
      </c>
    </row>
    <row r="1709" spans="1:19" x14ac:dyDescent="0.25">
      <c r="A1709" t="s">
        <v>38</v>
      </c>
      <c r="B1709" t="s">
        <v>943</v>
      </c>
      <c r="C1709">
        <v>2</v>
      </c>
      <c r="D1709" t="s">
        <v>11</v>
      </c>
      <c r="E1709" t="s">
        <v>95</v>
      </c>
      <c r="F1709" t="s">
        <v>103</v>
      </c>
      <c r="G1709" t="s">
        <v>103</v>
      </c>
      <c r="H1709" t="s">
        <v>103</v>
      </c>
      <c r="J1709">
        <v>0</v>
      </c>
      <c r="K1709">
        <v>7</v>
      </c>
      <c r="L1709">
        <v>98.291666669999998</v>
      </c>
      <c r="M1709">
        <v>30.315130790000001</v>
      </c>
      <c r="N1709">
        <v>5.0803484000000003E-2</v>
      </c>
      <c r="O1709">
        <v>98.291666669999998</v>
      </c>
      <c r="P1709">
        <v>30.315130790000001</v>
      </c>
      <c r="Q1709">
        <v>5.0803484000000003E-2</v>
      </c>
      <c r="R1709" t="s">
        <v>1018</v>
      </c>
      <c r="S1709">
        <v>0</v>
      </c>
    </row>
    <row r="1710" spans="1:19" x14ac:dyDescent="0.25">
      <c r="A1710" t="s">
        <v>38</v>
      </c>
      <c r="B1710" t="s">
        <v>943</v>
      </c>
      <c r="C1710">
        <v>2</v>
      </c>
      <c r="D1710" t="s">
        <v>11</v>
      </c>
      <c r="E1710" t="s">
        <v>95</v>
      </c>
      <c r="F1710" t="s">
        <v>103</v>
      </c>
      <c r="G1710" t="s">
        <v>103</v>
      </c>
      <c r="H1710" t="s">
        <v>113</v>
      </c>
      <c r="J1710">
        <v>0</v>
      </c>
      <c r="K1710">
        <v>2</v>
      </c>
      <c r="L1710">
        <v>98.291666669999998</v>
      </c>
      <c r="M1710">
        <v>30.315130790000001</v>
      </c>
      <c r="N1710">
        <v>5.0803484000000003E-2</v>
      </c>
      <c r="O1710">
        <v>83.757575759999995</v>
      </c>
      <c r="P1710">
        <v>22.60997987</v>
      </c>
      <c r="Q1710">
        <v>0.72884000000000004</v>
      </c>
      <c r="R1710" t="s">
        <v>1018</v>
      </c>
      <c r="S1710">
        <v>-0.67803651600000003</v>
      </c>
    </row>
    <row r="1711" spans="1:19" x14ac:dyDescent="0.25">
      <c r="A1711" t="s">
        <v>38</v>
      </c>
      <c r="B1711" t="s">
        <v>944</v>
      </c>
      <c r="C1711">
        <v>2</v>
      </c>
      <c r="D1711" t="s">
        <v>11</v>
      </c>
      <c r="E1711" t="s">
        <v>95</v>
      </c>
      <c r="F1711" t="s">
        <v>111</v>
      </c>
      <c r="G1711" t="s">
        <v>103</v>
      </c>
      <c r="H1711" t="s">
        <v>103</v>
      </c>
      <c r="J1711">
        <v>0</v>
      </c>
      <c r="K1711">
        <v>2</v>
      </c>
      <c r="L1711">
        <v>94.97142857</v>
      </c>
      <c r="M1711">
        <v>24.31591813</v>
      </c>
      <c r="N1711">
        <v>0.122951111</v>
      </c>
      <c r="O1711">
        <v>98.291666669999998</v>
      </c>
      <c r="P1711">
        <v>30.315130790000001</v>
      </c>
      <c r="Q1711">
        <v>5.0803484000000003E-2</v>
      </c>
      <c r="R1711" t="s">
        <v>1018</v>
      </c>
      <c r="S1711">
        <v>7.2147626999999992E-2</v>
      </c>
    </row>
    <row r="1712" spans="1:19" x14ac:dyDescent="0.25">
      <c r="A1712" t="s">
        <v>39</v>
      </c>
      <c r="B1712" t="s">
        <v>945</v>
      </c>
      <c r="C1712">
        <v>2</v>
      </c>
      <c r="D1712" t="s">
        <v>15</v>
      </c>
      <c r="E1712" t="s">
        <v>94</v>
      </c>
      <c r="F1712" t="s">
        <v>102</v>
      </c>
      <c r="G1712" t="s">
        <v>102</v>
      </c>
      <c r="H1712" t="s">
        <v>235</v>
      </c>
      <c r="J1712">
        <v>0</v>
      </c>
      <c r="K1712">
        <v>1</v>
      </c>
      <c r="L1712">
        <v>84.740740740000007</v>
      </c>
      <c r="M1712">
        <v>29.167014049999999</v>
      </c>
      <c r="N1712">
        <v>1.1169849999999999</v>
      </c>
      <c r="O1712">
        <v>132.27272730000001</v>
      </c>
      <c r="P1712">
        <v>20.180448590000001</v>
      </c>
      <c r="Q1712">
        <v>3.7813451999999997E-2</v>
      </c>
      <c r="R1712" t="s">
        <v>1018</v>
      </c>
      <c r="S1712">
        <v>1.0791715479999999</v>
      </c>
    </row>
    <row r="1713" spans="1:19" x14ac:dyDescent="0.25">
      <c r="A1713" t="s">
        <v>39</v>
      </c>
      <c r="B1713" t="s">
        <v>945</v>
      </c>
      <c r="C1713">
        <v>2</v>
      </c>
      <c r="D1713" t="s">
        <v>15</v>
      </c>
      <c r="E1713" t="s">
        <v>94</v>
      </c>
      <c r="F1713" t="s">
        <v>102</v>
      </c>
      <c r="G1713" t="s">
        <v>102</v>
      </c>
      <c r="H1713" t="s">
        <v>113</v>
      </c>
      <c r="J1713">
        <v>0</v>
      </c>
      <c r="K1713">
        <v>2</v>
      </c>
      <c r="L1713">
        <v>84.740740740000007</v>
      </c>
      <c r="M1713">
        <v>29.167014049999999</v>
      </c>
      <c r="N1713">
        <v>1.1169849999999999</v>
      </c>
      <c r="O1713">
        <v>83.757575759999995</v>
      </c>
      <c r="P1713">
        <v>22.60997987</v>
      </c>
      <c r="Q1713">
        <v>0.72884000000000004</v>
      </c>
      <c r="R1713" t="s">
        <v>1018</v>
      </c>
      <c r="S1713">
        <v>0.38814499999999985</v>
      </c>
    </row>
    <row r="1714" spans="1:19" x14ac:dyDescent="0.25">
      <c r="A1714" t="s">
        <v>39</v>
      </c>
      <c r="B1714" t="s">
        <v>945</v>
      </c>
      <c r="C1714">
        <v>2</v>
      </c>
      <c r="D1714" t="s">
        <v>15</v>
      </c>
      <c r="E1714" t="s">
        <v>94</v>
      </c>
      <c r="F1714" t="s">
        <v>102</v>
      </c>
      <c r="G1714" t="s">
        <v>102</v>
      </c>
      <c r="H1714" t="s">
        <v>103</v>
      </c>
      <c r="J1714">
        <v>0</v>
      </c>
      <c r="K1714">
        <v>3</v>
      </c>
      <c r="L1714">
        <v>84.740740740000007</v>
      </c>
      <c r="M1714">
        <v>29.167014049999999</v>
      </c>
      <c r="N1714">
        <v>1.1169849999999999</v>
      </c>
      <c r="O1714">
        <v>98.291666669999998</v>
      </c>
      <c r="P1714">
        <v>30.315130790000001</v>
      </c>
      <c r="Q1714">
        <v>5.0803484000000003E-2</v>
      </c>
      <c r="R1714" t="s">
        <v>1018</v>
      </c>
      <c r="S1714">
        <v>1.0661815159999999</v>
      </c>
    </row>
    <row r="1715" spans="1:19" x14ac:dyDescent="0.25">
      <c r="A1715" t="s">
        <v>39</v>
      </c>
      <c r="B1715" t="s">
        <v>945</v>
      </c>
      <c r="C1715">
        <v>2</v>
      </c>
      <c r="D1715" t="s">
        <v>15</v>
      </c>
      <c r="E1715" t="s">
        <v>94</v>
      </c>
      <c r="F1715" t="s">
        <v>102</v>
      </c>
      <c r="G1715" t="s">
        <v>102</v>
      </c>
      <c r="H1715" t="s">
        <v>233</v>
      </c>
      <c r="J1715">
        <v>0</v>
      </c>
      <c r="K1715">
        <v>1</v>
      </c>
      <c r="L1715">
        <v>84.740740740000007</v>
      </c>
      <c r="M1715">
        <v>29.167014049999999</v>
      </c>
      <c r="N1715">
        <v>1.1169849999999999</v>
      </c>
      <c r="O1715">
        <v>106.0540541</v>
      </c>
      <c r="P1715">
        <v>52.690533369999997</v>
      </c>
      <c r="Q1715">
        <v>7.6058968000000005E-2</v>
      </c>
      <c r="R1715" t="s">
        <v>1018</v>
      </c>
      <c r="S1715">
        <v>1.0409260319999998</v>
      </c>
    </row>
    <row r="1716" spans="1:19" x14ac:dyDescent="0.25">
      <c r="A1716" t="s">
        <v>39</v>
      </c>
      <c r="B1716" t="s">
        <v>945</v>
      </c>
      <c r="C1716">
        <v>2</v>
      </c>
      <c r="D1716" t="s">
        <v>15</v>
      </c>
      <c r="E1716" t="s">
        <v>94</v>
      </c>
      <c r="F1716" t="s">
        <v>102</v>
      </c>
      <c r="G1716" t="s">
        <v>102</v>
      </c>
      <c r="H1716" t="s">
        <v>104</v>
      </c>
      <c r="J1716">
        <v>0</v>
      </c>
      <c r="K1716">
        <v>1</v>
      </c>
      <c r="L1716">
        <v>84.740740740000007</v>
      </c>
      <c r="M1716">
        <v>29.167014049999999</v>
      </c>
      <c r="N1716">
        <v>1.1169849999999999</v>
      </c>
      <c r="O1716">
        <v>113.9375</v>
      </c>
      <c r="P1716">
        <v>33.375507550000002</v>
      </c>
      <c r="Q1716">
        <v>2.4262999999999999</v>
      </c>
      <c r="R1716" t="s">
        <v>1018</v>
      </c>
      <c r="S1716">
        <v>-1.309315</v>
      </c>
    </row>
    <row r="1717" spans="1:19" x14ac:dyDescent="0.25">
      <c r="A1717" t="s">
        <v>39</v>
      </c>
      <c r="B1717" t="s">
        <v>946</v>
      </c>
      <c r="C1717">
        <v>2</v>
      </c>
      <c r="D1717" t="s">
        <v>15</v>
      </c>
      <c r="E1717" t="s">
        <v>94</v>
      </c>
      <c r="F1717" t="s">
        <v>113</v>
      </c>
      <c r="G1717" t="s">
        <v>113</v>
      </c>
      <c r="H1717" t="s">
        <v>113</v>
      </c>
      <c r="J1717">
        <v>0</v>
      </c>
      <c r="K1717">
        <v>5</v>
      </c>
      <c r="L1717">
        <v>83.757575759999995</v>
      </c>
      <c r="M1717">
        <v>22.60997987</v>
      </c>
      <c r="N1717">
        <v>0.72884000000000004</v>
      </c>
      <c r="O1717">
        <v>83.757575759999995</v>
      </c>
      <c r="P1717">
        <v>22.60997987</v>
      </c>
      <c r="Q1717">
        <v>0.72884000000000004</v>
      </c>
      <c r="R1717" t="s">
        <v>1018</v>
      </c>
      <c r="S1717">
        <v>0</v>
      </c>
    </row>
    <row r="1718" spans="1:19" x14ac:dyDescent="0.25">
      <c r="A1718" t="s">
        <v>39</v>
      </c>
      <c r="B1718" t="s">
        <v>946</v>
      </c>
      <c r="C1718">
        <v>2</v>
      </c>
      <c r="D1718" t="s">
        <v>15</v>
      </c>
      <c r="E1718" t="s">
        <v>94</v>
      </c>
      <c r="F1718" t="s">
        <v>113</v>
      </c>
      <c r="G1718" t="s">
        <v>113</v>
      </c>
      <c r="H1718" t="s">
        <v>233</v>
      </c>
      <c r="J1718">
        <v>0</v>
      </c>
      <c r="K1718">
        <v>4</v>
      </c>
      <c r="L1718">
        <v>83.757575759999995</v>
      </c>
      <c r="M1718">
        <v>22.60997987</v>
      </c>
      <c r="N1718">
        <v>0.72884000000000004</v>
      </c>
      <c r="O1718">
        <v>106.0540541</v>
      </c>
      <c r="P1718">
        <v>52.690533369999997</v>
      </c>
      <c r="Q1718">
        <v>7.6058968000000005E-2</v>
      </c>
      <c r="R1718" t="s">
        <v>1018</v>
      </c>
      <c r="S1718">
        <v>0.65278103200000004</v>
      </c>
    </row>
    <row r="1719" spans="1:19" x14ac:dyDescent="0.25">
      <c r="A1719" t="s">
        <v>39</v>
      </c>
      <c r="B1719" t="s">
        <v>946</v>
      </c>
      <c r="C1719">
        <v>2</v>
      </c>
      <c r="D1719" t="s">
        <v>15</v>
      </c>
      <c r="E1719" t="s">
        <v>94</v>
      </c>
      <c r="F1719" t="s">
        <v>113</v>
      </c>
      <c r="G1719" t="s">
        <v>113</v>
      </c>
      <c r="H1719" t="s">
        <v>234</v>
      </c>
      <c r="J1719">
        <v>0</v>
      </c>
      <c r="K1719">
        <v>1</v>
      </c>
      <c r="L1719">
        <v>83.757575759999995</v>
      </c>
      <c r="M1719">
        <v>22.60997987</v>
      </c>
      <c r="N1719">
        <v>0.72884000000000004</v>
      </c>
      <c r="O1719">
        <v>89.8125</v>
      </c>
      <c r="P1719">
        <v>34.754706650000003</v>
      </c>
      <c r="Q1719">
        <v>2.3065078999999999E-2</v>
      </c>
      <c r="R1719" t="s">
        <v>1018</v>
      </c>
      <c r="S1719">
        <v>0.70577492100000006</v>
      </c>
    </row>
    <row r="1720" spans="1:19" x14ac:dyDescent="0.25">
      <c r="A1720" t="s">
        <v>39</v>
      </c>
      <c r="B1720" t="s">
        <v>947</v>
      </c>
      <c r="C1720">
        <v>2</v>
      </c>
      <c r="D1720" t="s">
        <v>15</v>
      </c>
      <c r="E1720" t="s">
        <v>94</v>
      </c>
      <c r="F1720" t="s">
        <v>103</v>
      </c>
      <c r="G1720" t="s">
        <v>103</v>
      </c>
      <c r="H1720" t="s">
        <v>103</v>
      </c>
      <c r="J1720">
        <v>0</v>
      </c>
      <c r="K1720">
        <v>3</v>
      </c>
      <c r="L1720">
        <v>98.291666669999998</v>
      </c>
      <c r="M1720">
        <v>30.315130790000001</v>
      </c>
      <c r="N1720">
        <v>5.0803484000000003E-2</v>
      </c>
      <c r="O1720">
        <v>98.291666669999998</v>
      </c>
      <c r="P1720">
        <v>30.315130790000001</v>
      </c>
      <c r="Q1720">
        <v>5.0803484000000003E-2</v>
      </c>
      <c r="R1720" t="s">
        <v>1018</v>
      </c>
      <c r="S1720">
        <v>0</v>
      </c>
    </row>
    <row r="1721" spans="1:19" x14ac:dyDescent="0.25">
      <c r="A1721" t="s">
        <v>39</v>
      </c>
      <c r="B1721" t="s">
        <v>947</v>
      </c>
      <c r="C1721">
        <v>2</v>
      </c>
      <c r="D1721" t="s">
        <v>15</v>
      </c>
      <c r="E1721" t="s">
        <v>94</v>
      </c>
      <c r="F1721" t="s">
        <v>103</v>
      </c>
      <c r="G1721" t="s">
        <v>103</v>
      </c>
      <c r="H1721" t="s">
        <v>104</v>
      </c>
      <c r="J1721">
        <v>0</v>
      </c>
      <c r="K1721">
        <v>1</v>
      </c>
      <c r="L1721">
        <v>98.291666669999998</v>
      </c>
      <c r="M1721">
        <v>30.315130790000001</v>
      </c>
      <c r="N1721">
        <v>5.0803484000000003E-2</v>
      </c>
      <c r="O1721">
        <v>113.9375</v>
      </c>
      <c r="P1721">
        <v>33.375507550000002</v>
      </c>
      <c r="Q1721">
        <v>2.4262999999999999</v>
      </c>
      <c r="R1721" t="s">
        <v>1018</v>
      </c>
      <c r="S1721">
        <v>-2.3754965160000001</v>
      </c>
    </row>
    <row r="1722" spans="1:19" x14ac:dyDescent="0.25">
      <c r="A1722" t="s">
        <v>39</v>
      </c>
      <c r="B1722" t="s">
        <v>947</v>
      </c>
      <c r="C1722">
        <v>2</v>
      </c>
      <c r="D1722" t="s">
        <v>15</v>
      </c>
      <c r="E1722" t="s">
        <v>94</v>
      </c>
      <c r="F1722" t="s">
        <v>103</v>
      </c>
      <c r="G1722" t="s">
        <v>103</v>
      </c>
      <c r="H1722" t="s">
        <v>113</v>
      </c>
      <c r="J1722">
        <v>0</v>
      </c>
      <c r="K1722">
        <v>4</v>
      </c>
      <c r="L1722">
        <v>98.291666669999998</v>
      </c>
      <c r="M1722">
        <v>30.315130790000001</v>
      </c>
      <c r="N1722">
        <v>5.0803484000000003E-2</v>
      </c>
      <c r="O1722">
        <v>83.757575759999995</v>
      </c>
      <c r="P1722">
        <v>22.60997987</v>
      </c>
      <c r="Q1722">
        <v>0.72884000000000004</v>
      </c>
      <c r="R1722" t="s">
        <v>1018</v>
      </c>
      <c r="S1722">
        <v>-0.67803651600000003</v>
      </c>
    </row>
    <row r="1723" spans="1:19" x14ac:dyDescent="0.25">
      <c r="A1723" t="s">
        <v>39</v>
      </c>
      <c r="B1723" t="s">
        <v>948</v>
      </c>
      <c r="C1723">
        <v>2</v>
      </c>
      <c r="D1723" t="s">
        <v>15</v>
      </c>
      <c r="E1723" t="s">
        <v>94</v>
      </c>
      <c r="F1723" t="s">
        <v>111</v>
      </c>
      <c r="G1723" t="s">
        <v>104</v>
      </c>
      <c r="H1723" t="s">
        <v>236</v>
      </c>
      <c r="J1723">
        <v>0</v>
      </c>
      <c r="K1723">
        <v>1</v>
      </c>
      <c r="L1723">
        <v>94.97142857</v>
      </c>
      <c r="M1723">
        <v>24.31591813</v>
      </c>
      <c r="N1723">
        <v>0.122951111</v>
      </c>
      <c r="O1723">
        <v>113.33333330000001</v>
      </c>
      <c r="P1723">
        <v>26.41632581</v>
      </c>
      <c r="Q1723">
        <v>1.6844570160000001</v>
      </c>
      <c r="R1723" t="s">
        <v>1018</v>
      </c>
      <c r="S1723">
        <v>-1.5615059050000002</v>
      </c>
    </row>
    <row r="1724" spans="1:19" x14ac:dyDescent="0.25">
      <c r="A1724" t="s">
        <v>39</v>
      </c>
      <c r="B1724" t="s">
        <v>948</v>
      </c>
      <c r="C1724">
        <v>2</v>
      </c>
      <c r="D1724" t="s">
        <v>15</v>
      </c>
      <c r="E1724" t="s">
        <v>94</v>
      </c>
      <c r="F1724" t="s">
        <v>111</v>
      </c>
      <c r="G1724" t="s">
        <v>104</v>
      </c>
      <c r="H1724" t="s">
        <v>103</v>
      </c>
      <c r="J1724">
        <v>0</v>
      </c>
      <c r="K1724">
        <v>1</v>
      </c>
      <c r="L1724">
        <v>94.97142857</v>
      </c>
      <c r="M1724">
        <v>24.31591813</v>
      </c>
      <c r="N1724">
        <v>0.122951111</v>
      </c>
      <c r="O1724">
        <v>98.291666669999998</v>
      </c>
      <c r="P1724">
        <v>30.315130790000001</v>
      </c>
      <c r="Q1724">
        <v>5.0803484000000003E-2</v>
      </c>
      <c r="R1724" t="s">
        <v>1018</v>
      </c>
      <c r="S1724">
        <v>7.2147626999999992E-2</v>
      </c>
    </row>
    <row r="1725" spans="1:19" x14ac:dyDescent="0.25">
      <c r="A1725" t="s">
        <v>39</v>
      </c>
      <c r="B1725" t="s">
        <v>948</v>
      </c>
      <c r="C1725">
        <v>2</v>
      </c>
      <c r="D1725" t="s">
        <v>15</v>
      </c>
      <c r="E1725" t="s">
        <v>94</v>
      </c>
      <c r="F1725" t="s">
        <v>111</v>
      </c>
      <c r="G1725" t="s">
        <v>104</v>
      </c>
      <c r="H1725" t="s">
        <v>104</v>
      </c>
      <c r="J1725">
        <v>0</v>
      </c>
      <c r="K1725">
        <v>1</v>
      </c>
      <c r="L1725">
        <v>94.97142857</v>
      </c>
      <c r="M1725">
        <v>24.31591813</v>
      </c>
      <c r="N1725">
        <v>0.122951111</v>
      </c>
      <c r="O1725">
        <v>113.9375</v>
      </c>
      <c r="P1725">
        <v>33.375507550000002</v>
      </c>
      <c r="Q1725">
        <v>2.4262999999999999</v>
      </c>
      <c r="R1725" t="s">
        <v>1018</v>
      </c>
      <c r="S1725">
        <v>-2.303348889</v>
      </c>
    </row>
    <row r="1726" spans="1:19" x14ac:dyDescent="0.25">
      <c r="A1726" t="s">
        <v>39</v>
      </c>
      <c r="B1726" t="s">
        <v>949</v>
      </c>
      <c r="C1726">
        <v>2</v>
      </c>
      <c r="D1726" t="s">
        <v>15</v>
      </c>
      <c r="E1726" t="s">
        <v>94</v>
      </c>
      <c r="F1726" t="s">
        <v>104</v>
      </c>
      <c r="G1726" t="s">
        <v>104</v>
      </c>
      <c r="H1726" t="s">
        <v>104</v>
      </c>
      <c r="J1726">
        <v>0</v>
      </c>
      <c r="K1726">
        <v>3</v>
      </c>
      <c r="L1726">
        <v>113.9375</v>
      </c>
      <c r="M1726">
        <v>33.375507550000002</v>
      </c>
      <c r="N1726">
        <v>2.4262999999999999</v>
      </c>
      <c r="O1726">
        <v>113.9375</v>
      </c>
      <c r="P1726">
        <v>33.375507550000002</v>
      </c>
      <c r="Q1726">
        <v>2.4262999999999999</v>
      </c>
      <c r="R1726" t="s">
        <v>1018</v>
      </c>
      <c r="S1726">
        <v>0</v>
      </c>
    </row>
    <row r="1727" spans="1:19" x14ac:dyDescent="0.25">
      <c r="A1727" t="s">
        <v>39</v>
      </c>
      <c r="B1727" t="s">
        <v>949</v>
      </c>
      <c r="C1727">
        <v>2</v>
      </c>
      <c r="D1727" t="s">
        <v>15</v>
      </c>
      <c r="E1727" t="s">
        <v>94</v>
      </c>
      <c r="F1727" t="s">
        <v>104</v>
      </c>
      <c r="G1727" t="s">
        <v>104</v>
      </c>
      <c r="H1727" t="s">
        <v>113</v>
      </c>
      <c r="J1727">
        <v>0</v>
      </c>
      <c r="K1727">
        <v>1</v>
      </c>
      <c r="L1727">
        <v>113.9375</v>
      </c>
      <c r="M1727">
        <v>33.375507550000002</v>
      </c>
      <c r="N1727">
        <v>2.4262999999999999</v>
      </c>
      <c r="O1727">
        <v>83.757575759999995</v>
      </c>
      <c r="P1727">
        <v>22.60997987</v>
      </c>
      <c r="Q1727">
        <v>0.72884000000000004</v>
      </c>
      <c r="R1727" t="s">
        <v>1018</v>
      </c>
      <c r="S1727">
        <v>1.69746</v>
      </c>
    </row>
    <row r="1728" spans="1:19" x14ac:dyDescent="0.25">
      <c r="A1728" t="s">
        <v>40</v>
      </c>
      <c r="B1728" t="s">
        <v>950</v>
      </c>
      <c r="C1728">
        <v>2</v>
      </c>
      <c r="D1728" t="s">
        <v>17</v>
      </c>
      <c r="E1728" t="s">
        <v>95</v>
      </c>
      <c r="F1728" t="s">
        <v>113</v>
      </c>
      <c r="G1728" t="s">
        <v>113</v>
      </c>
      <c r="H1728" t="s">
        <v>113</v>
      </c>
      <c r="J1728">
        <v>0</v>
      </c>
      <c r="K1728">
        <v>1</v>
      </c>
      <c r="L1728">
        <v>83.757575759999995</v>
      </c>
      <c r="M1728">
        <v>22.60997987</v>
      </c>
      <c r="N1728">
        <v>0.72884000000000004</v>
      </c>
      <c r="O1728">
        <v>83.757575759999995</v>
      </c>
      <c r="P1728">
        <v>22.60997987</v>
      </c>
      <c r="Q1728">
        <v>0.72884000000000004</v>
      </c>
      <c r="R1728" t="s">
        <v>1018</v>
      </c>
      <c r="S1728">
        <v>0</v>
      </c>
    </row>
    <row r="1729" spans="1:19" x14ac:dyDescent="0.25">
      <c r="A1729" t="s">
        <v>40</v>
      </c>
      <c r="B1729" t="s">
        <v>950</v>
      </c>
      <c r="C1729">
        <v>2</v>
      </c>
      <c r="D1729" t="s">
        <v>17</v>
      </c>
      <c r="E1729" t="s">
        <v>95</v>
      </c>
      <c r="F1729" t="s">
        <v>113</v>
      </c>
      <c r="G1729" t="s">
        <v>113</v>
      </c>
      <c r="H1729" t="s">
        <v>103</v>
      </c>
      <c r="J1729">
        <v>0</v>
      </c>
      <c r="K1729">
        <v>2</v>
      </c>
      <c r="L1729">
        <v>83.757575759999995</v>
      </c>
      <c r="M1729">
        <v>22.60997987</v>
      </c>
      <c r="N1729">
        <v>0.72884000000000004</v>
      </c>
      <c r="O1729">
        <v>98.291666669999998</v>
      </c>
      <c r="P1729">
        <v>30.315130790000001</v>
      </c>
      <c r="Q1729">
        <v>5.0803484000000003E-2</v>
      </c>
      <c r="R1729" t="s">
        <v>1018</v>
      </c>
      <c r="S1729">
        <v>0.67803651600000003</v>
      </c>
    </row>
    <row r="1730" spans="1:19" x14ac:dyDescent="0.25">
      <c r="A1730" t="s">
        <v>40</v>
      </c>
      <c r="B1730" t="s">
        <v>951</v>
      </c>
      <c r="C1730">
        <v>2</v>
      </c>
      <c r="D1730" t="s">
        <v>17</v>
      </c>
      <c r="E1730" t="s">
        <v>95</v>
      </c>
      <c r="F1730" t="s">
        <v>103</v>
      </c>
      <c r="G1730" t="s">
        <v>103</v>
      </c>
      <c r="H1730" t="s">
        <v>103</v>
      </c>
      <c r="J1730">
        <v>0</v>
      </c>
      <c r="K1730">
        <v>6</v>
      </c>
      <c r="L1730">
        <v>98.291666669999998</v>
      </c>
      <c r="M1730">
        <v>30.315130790000001</v>
      </c>
      <c r="N1730">
        <v>5.0803484000000003E-2</v>
      </c>
      <c r="O1730">
        <v>98.291666669999998</v>
      </c>
      <c r="P1730">
        <v>30.315130790000001</v>
      </c>
      <c r="Q1730">
        <v>5.0803484000000003E-2</v>
      </c>
      <c r="R1730" t="s">
        <v>1018</v>
      </c>
      <c r="S1730">
        <v>0</v>
      </c>
    </row>
    <row r="1731" spans="1:19" x14ac:dyDescent="0.25">
      <c r="A1731" t="s">
        <v>40</v>
      </c>
      <c r="B1731" t="s">
        <v>952</v>
      </c>
      <c r="C1731">
        <v>2</v>
      </c>
      <c r="D1731" t="s">
        <v>17</v>
      </c>
      <c r="E1731" t="s">
        <v>95</v>
      </c>
      <c r="F1731" t="s">
        <v>112</v>
      </c>
      <c r="G1731" t="s">
        <v>103</v>
      </c>
      <c r="H1731" t="s">
        <v>103</v>
      </c>
      <c r="I1731" t="s">
        <v>243</v>
      </c>
      <c r="J1731">
        <v>1</v>
      </c>
      <c r="K1731">
        <v>7</v>
      </c>
      <c r="L1731">
        <v>65.09375</v>
      </c>
      <c r="M1731">
        <v>37.895352600000002</v>
      </c>
      <c r="N1731">
        <v>2.2882677779999998</v>
      </c>
      <c r="O1731">
        <v>98.291666669999998</v>
      </c>
      <c r="P1731">
        <v>30.315130790000001</v>
      </c>
      <c r="Q1731">
        <v>5.0803484000000003E-2</v>
      </c>
      <c r="R1731" t="s">
        <v>1018</v>
      </c>
      <c r="S1731">
        <v>2.237464294</v>
      </c>
    </row>
    <row r="1732" spans="1:19" x14ac:dyDescent="0.25">
      <c r="A1732" t="s">
        <v>40</v>
      </c>
      <c r="B1732" t="s">
        <v>952</v>
      </c>
      <c r="C1732">
        <v>2</v>
      </c>
      <c r="D1732" t="s">
        <v>17</v>
      </c>
      <c r="E1732" t="s">
        <v>95</v>
      </c>
      <c r="F1732" t="s">
        <v>112</v>
      </c>
      <c r="G1732" t="s">
        <v>103</v>
      </c>
      <c r="H1732" t="s">
        <v>113</v>
      </c>
      <c r="J1732">
        <v>1</v>
      </c>
      <c r="K1732">
        <v>5</v>
      </c>
      <c r="L1732">
        <v>65.09375</v>
      </c>
      <c r="M1732">
        <v>37.895352600000002</v>
      </c>
      <c r="N1732">
        <v>2.2882677779999998</v>
      </c>
      <c r="O1732">
        <v>83.757575759999995</v>
      </c>
      <c r="P1732">
        <v>22.60997987</v>
      </c>
      <c r="Q1732">
        <v>0.72884000000000004</v>
      </c>
      <c r="R1732" t="s">
        <v>1018</v>
      </c>
      <c r="S1732">
        <v>1.5594277779999999</v>
      </c>
    </row>
    <row r="1733" spans="1:19" x14ac:dyDescent="0.25">
      <c r="A1733" t="s">
        <v>41</v>
      </c>
      <c r="B1733" t="s">
        <v>953</v>
      </c>
      <c r="C1733">
        <v>2</v>
      </c>
      <c r="D1733" t="s">
        <v>19</v>
      </c>
      <c r="E1733" t="s">
        <v>94</v>
      </c>
      <c r="F1733" t="s">
        <v>105</v>
      </c>
      <c r="G1733" t="s">
        <v>104</v>
      </c>
      <c r="H1733" t="s">
        <v>104</v>
      </c>
      <c r="J1733">
        <v>0</v>
      </c>
      <c r="K1733">
        <v>3</v>
      </c>
      <c r="L1733">
        <v>67.5</v>
      </c>
      <c r="M1733">
        <v>47.937235809999997</v>
      </c>
      <c r="N1733">
        <v>0.41599678000000001</v>
      </c>
      <c r="O1733">
        <v>113.9375</v>
      </c>
      <c r="P1733">
        <v>33.375507550000002</v>
      </c>
      <c r="Q1733">
        <v>2.4262999999999999</v>
      </c>
      <c r="R1733" t="s">
        <v>1018</v>
      </c>
      <c r="S1733">
        <v>-2.0103032199999999</v>
      </c>
    </row>
    <row r="1734" spans="1:19" x14ac:dyDescent="0.25">
      <c r="A1734" t="s">
        <v>41</v>
      </c>
      <c r="B1734" t="s">
        <v>953</v>
      </c>
      <c r="C1734">
        <v>2</v>
      </c>
      <c r="D1734" t="s">
        <v>19</v>
      </c>
      <c r="E1734" t="s">
        <v>94</v>
      </c>
      <c r="F1734" t="s">
        <v>105</v>
      </c>
      <c r="G1734" t="s">
        <v>104</v>
      </c>
      <c r="H1734" t="s">
        <v>113</v>
      </c>
      <c r="J1734">
        <v>0</v>
      </c>
      <c r="K1734">
        <v>1</v>
      </c>
      <c r="L1734">
        <v>67.5</v>
      </c>
      <c r="M1734">
        <v>47.937235809999997</v>
      </c>
      <c r="N1734">
        <v>0.41599678000000001</v>
      </c>
      <c r="O1734">
        <v>83.757575759999995</v>
      </c>
      <c r="P1734">
        <v>22.60997987</v>
      </c>
      <c r="Q1734">
        <v>0.72884000000000004</v>
      </c>
      <c r="R1734" t="s">
        <v>1018</v>
      </c>
      <c r="S1734">
        <v>-0.31284322000000003</v>
      </c>
    </row>
    <row r="1735" spans="1:19" x14ac:dyDescent="0.25">
      <c r="A1735" t="s">
        <v>41</v>
      </c>
      <c r="B1735" t="s">
        <v>953</v>
      </c>
      <c r="C1735">
        <v>2</v>
      </c>
      <c r="D1735" t="s">
        <v>19</v>
      </c>
      <c r="E1735" t="s">
        <v>94</v>
      </c>
      <c r="F1735" t="s">
        <v>105</v>
      </c>
      <c r="G1735" t="s">
        <v>104</v>
      </c>
      <c r="H1735" t="s">
        <v>237</v>
      </c>
      <c r="J1735">
        <v>0</v>
      </c>
      <c r="K1735">
        <v>1</v>
      </c>
      <c r="L1735">
        <v>67.5</v>
      </c>
      <c r="M1735">
        <v>47.937235809999997</v>
      </c>
      <c r="N1735">
        <v>0.41599678000000001</v>
      </c>
      <c r="O1735">
        <v>83.888888890000004</v>
      </c>
      <c r="P1735">
        <v>31.026943280000001</v>
      </c>
      <c r="Q1735">
        <v>0.53083999999999998</v>
      </c>
      <c r="R1735" t="s">
        <v>1018</v>
      </c>
      <c r="S1735">
        <v>-0.11484321999999997</v>
      </c>
    </row>
    <row r="1736" spans="1:19" x14ac:dyDescent="0.25">
      <c r="A1736" t="s">
        <v>41</v>
      </c>
      <c r="B1736" t="s">
        <v>953</v>
      </c>
      <c r="C1736">
        <v>2</v>
      </c>
      <c r="D1736" t="s">
        <v>19</v>
      </c>
      <c r="E1736" t="s">
        <v>94</v>
      </c>
      <c r="F1736" t="s">
        <v>105</v>
      </c>
      <c r="G1736" t="s">
        <v>104</v>
      </c>
      <c r="H1736" t="s">
        <v>239</v>
      </c>
      <c r="J1736">
        <v>0</v>
      </c>
      <c r="K1736">
        <v>1</v>
      </c>
      <c r="L1736">
        <v>67.5</v>
      </c>
      <c r="M1736">
        <v>47.937235809999997</v>
      </c>
      <c r="N1736">
        <v>0.41599678000000001</v>
      </c>
      <c r="O1736">
        <v>100.45454549999999</v>
      </c>
      <c r="P1736">
        <v>26.754810689999999</v>
      </c>
      <c r="Q1736">
        <v>0.75829999999999997</v>
      </c>
      <c r="R1736" t="s">
        <v>1018</v>
      </c>
      <c r="S1736">
        <v>-0.34230321999999996</v>
      </c>
    </row>
    <row r="1737" spans="1:19" x14ac:dyDescent="0.25">
      <c r="A1737" t="s">
        <v>41</v>
      </c>
      <c r="B1737" t="s">
        <v>954</v>
      </c>
      <c r="C1737">
        <v>2</v>
      </c>
      <c r="D1737" t="s">
        <v>19</v>
      </c>
      <c r="E1737" t="s">
        <v>94</v>
      </c>
      <c r="F1737" t="s">
        <v>113</v>
      </c>
      <c r="G1737" t="s">
        <v>104</v>
      </c>
      <c r="H1737" t="s">
        <v>237</v>
      </c>
      <c r="J1737">
        <v>0</v>
      </c>
      <c r="K1737">
        <v>1</v>
      </c>
      <c r="L1737">
        <v>83.757575759999995</v>
      </c>
      <c r="M1737">
        <v>22.60997987</v>
      </c>
      <c r="N1737">
        <v>0.72884000000000004</v>
      </c>
      <c r="O1737">
        <v>83.888888890000004</v>
      </c>
      <c r="P1737">
        <v>31.026943280000001</v>
      </c>
      <c r="Q1737">
        <v>0.53083999999999998</v>
      </c>
      <c r="R1737" t="s">
        <v>1018</v>
      </c>
      <c r="S1737">
        <v>0.19800000000000006</v>
      </c>
    </row>
    <row r="1738" spans="1:19" x14ac:dyDescent="0.25">
      <c r="A1738" t="s">
        <v>41</v>
      </c>
      <c r="B1738" t="s">
        <v>954</v>
      </c>
      <c r="C1738">
        <v>2</v>
      </c>
      <c r="D1738" t="s">
        <v>19</v>
      </c>
      <c r="E1738" t="s">
        <v>94</v>
      </c>
      <c r="F1738" t="s">
        <v>113</v>
      </c>
      <c r="G1738" t="s">
        <v>104</v>
      </c>
      <c r="H1738" t="s">
        <v>113</v>
      </c>
      <c r="J1738">
        <v>0</v>
      </c>
      <c r="K1738">
        <v>7</v>
      </c>
      <c r="L1738">
        <v>83.757575759999995</v>
      </c>
      <c r="M1738">
        <v>22.60997987</v>
      </c>
      <c r="N1738">
        <v>0.72884000000000004</v>
      </c>
      <c r="O1738">
        <v>83.757575759999995</v>
      </c>
      <c r="P1738">
        <v>22.60997987</v>
      </c>
      <c r="Q1738">
        <v>0.72884000000000004</v>
      </c>
      <c r="R1738" t="s">
        <v>1018</v>
      </c>
      <c r="S1738">
        <v>0</v>
      </c>
    </row>
    <row r="1739" spans="1:19" x14ac:dyDescent="0.25">
      <c r="A1739" t="s">
        <v>41</v>
      </c>
      <c r="B1739" t="s">
        <v>954</v>
      </c>
      <c r="C1739">
        <v>2</v>
      </c>
      <c r="D1739" t="s">
        <v>19</v>
      </c>
      <c r="E1739" t="s">
        <v>94</v>
      </c>
      <c r="F1739" t="s">
        <v>113</v>
      </c>
      <c r="G1739" t="s">
        <v>104</v>
      </c>
      <c r="H1739" t="s">
        <v>104</v>
      </c>
      <c r="J1739">
        <v>0</v>
      </c>
      <c r="K1739">
        <v>1</v>
      </c>
      <c r="L1739">
        <v>83.757575759999995</v>
      </c>
      <c r="M1739">
        <v>22.60997987</v>
      </c>
      <c r="N1739">
        <v>0.72884000000000004</v>
      </c>
      <c r="O1739">
        <v>113.9375</v>
      </c>
      <c r="P1739">
        <v>33.375507550000002</v>
      </c>
      <c r="Q1739">
        <v>2.4262999999999999</v>
      </c>
      <c r="R1739" t="s">
        <v>1018</v>
      </c>
      <c r="S1739">
        <v>-1.69746</v>
      </c>
    </row>
    <row r="1740" spans="1:19" x14ac:dyDescent="0.25">
      <c r="A1740" t="s">
        <v>41</v>
      </c>
      <c r="B1740" t="s">
        <v>954</v>
      </c>
      <c r="C1740">
        <v>2</v>
      </c>
      <c r="D1740" t="s">
        <v>19</v>
      </c>
      <c r="E1740" t="s">
        <v>94</v>
      </c>
      <c r="F1740" t="s">
        <v>113</v>
      </c>
      <c r="G1740" t="s">
        <v>104</v>
      </c>
      <c r="H1740" t="s">
        <v>238</v>
      </c>
      <c r="J1740">
        <v>0</v>
      </c>
      <c r="K1740">
        <v>1</v>
      </c>
      <c r="L1740">
        <v>83.757575759999995</v>
      </c>
      <c r="M1740">
        <v>22.60997987</v>
      </c>
      <c r="N1740">
        <v>0.72884000000000004</v>
      </c>
      <c r="O1740">
        <v>87.5</v>
      </c>
      <c r="P1740">
        <v>29.478311600000001</v>
      </c>
      <c r="Q1740">
        <v>3.0797751000000002E-2</v>
      </c>
      <c r="R1740" t="s">
        <v>1018</v>
      </c>
      <c r="S1740">
        <v>0.698042249</v>
      </c>
    </row>
    <row r="1741" spans="1:19" x14ac:dyDescent="0.25">
      <c r="A1741" t="s">
        <v>41</v>
      </c>
      <c r="B1741" t="s">
        <v>955</v>
      </c>
      <c r="C1741">
        <v>2</v>
      </c>
      <c r="D1741" t="s">
        <v>19</v>
      </c>
      <c r="E1741" t="s">
        <v>94</v>
      </c>
      <c r="F1741" t="s">
        <v>103</v>
      </c>
      <c r="G1741" t="s">
        <v>113</v>
      </c>
      <c r="H1741" t="s">
        <v>103</v>
      </c>
      <c r="J1741">
        <v>0</v>
      </c>
      <c r="K1741">
        <v>2</v>
      </c>
      <c r="L1741">
        <v>98.291666669999998</v>
      </c>
      <c r="M1741">
        <v>30.315130790000001</v>
      </c>
      <c r="N1741">
        <v>5.0803484000000003E-2</v>
      </c>
      <c r="O1741">
        <v>98.291666669999998</v>
      </c>
      <c r="P1741">
        <v>30.315130790000001</v>
      </c>
      <c r="Q1741">
        <v>5.0803484000000003E-2</v>
      </c>
      <c r="R1741" t="s">
        <v>1018</v>
      </c>
      <c r="S1741">
        <v>0</v>
      </c>
    </row>
    <row r="1742" spans="1:19" x14ac:dyDescent="0.25">
      <c r="A1742" t="s">
        <v>41</v>
      </c>
      <c r="B1742" t="s">
        <v>955</v>
      </c>
      <c r="C1742">
        <v>2</v>
      </c>
      <c r="D1742" t="s">
        <v>19</v>
      </c>
      <c r="E1742" t="s">
        <v>94</v>
      </c>
      <c r="F1742" t="s">
        <v>103</v>
      </c>
      <c r="G1742" t="s">
        <v>113</v>
      </c>
      <c r="H1742" t="s">
        <v>113</v>
      </c>
      <c r="J1742">
        <v>0</v>
      </c>
      <c r="K1742">
        <v>3</v>
      </c>
      <c r="L1742">
        <v>98.291666669999998</v>
      </c>
      <c r="M1742">
        <v>30.315130790000001</v>
      </c>
      <c r="N1742">
        <v>5.0803484000000003E-2</v>
      </c>
      <c r="O1742">
        <v>83.757575759999995</v>
      </c>
      <c r="P1742">
        <v>22.60997987</v>
      </c>
      <c r="Q1742">
        <v>0.72884000000000004</v>
      </c>
      <c r="R1742" t="s">
        <v>1018</v>
      </c>
      <c r="S1742">
        <v>-0.67803651600000003</v>
      </c>
    </row>
    <row r="1743" spans="1:19" x14ac:dyDescent="0.25">
      <c r="A1743" t="s">
        <v>42</v>
      </c>
      <c r="B1743" t="s">
        <v>956</v>
      </c>
      <c r="C1743">
        <v>2</v>
      </c>
      <c r="D1743" t="s">
        <v>21</v>
      </c>
      <c r="E1743" t="s">
        <v>94</v>
      </c>
      <c r="F1743" t="s">
        <v>105</v>
      </c>
      <c r="G1743" t="s">
        <v>121</v>
      </c>
      <c r="H1743" t="s">
        <v>242</v>
      </c>
      <c r="J1743">
        <v>0</v>
      </c>
      <c r="K1743">
        <v>6</v>
      </c>
      <c r="L1743">
        <v>67.5</v>
      </c>
      <c r="M1743">
        <v>47.937235809999997</v>
      </c>
      <c r="N1743">
        <v>0.41599678000000001</v>
      </c>
      <c r="O1743">
        <v>139.375</v>
      </c>
      <c r="P1743">
        <v>23.713465920000001</v>
      </c>
      <c r="Q1743" t="s">
        <v>114</v>
      </c>
      <c r="R1743" t="s">
        <v>1018</v>
      </c>
      <c r="S1743" t="s">
        <v>114</v>
      </c>
    </row>
    <row r="1744" spans="1:19" x14ac:dyDescent="0.25">
      <c r="A1744" t="s">
        <v>42</v>
      </c>
      <c r="B1744" t="s">
        <v>957</v>
      </c>
      <c r="C1744">
        <v>2</v>
      </c>
      <c r="D1744" t="s">
        <v>21</v>
      </c>
      <c r="E1744" t="s">
        <v>94</v>
      </c>
      <c r="F1744" t="s">
        <v>110</v>
      </c>
      <c r="G1744" t="s">
        <v>113</v>
      </c>
      <c r="H1744" t="s">
        <v>104</v>
      </c>
      <c r="J1744">
        <v>0</v>
      </c>
      <c r="K1744">
        <v>2</v>
      </c>
      <c r="L1744">
        <v>73.260869569999997</v>
      </c>
      <c r="M1744">
        <v>34.453830549999999</v>
      </c>
      <c r="N1744">
        <v>1.058333333</v>
      </c>
      <c r="O1744">
        <v>113.9375</v>
      </c>
      <c r="P1744">
        <v>33.375507550000002</v>
      </c>
      <c r="Q1744">
        <v>2.4262999999999999</v>
      </c>
      <c r="R1744" t="s">
        <v>1018</v>
      </c>
      <c r="S1744">
        <v>-1.3679666669999999</v>
      </c>
    </row>
    <row r="1745" spans="1:19" x14ac:dyDescent="0.25">
      <c r="A1745" t="s">
        <v>42</v>
      </c>
      <c r="B1745" t="s">
        <v>957</v>
      </c>
      <c r="C1745">
        <v>2</v>
      </c>
      <c r="D1745" t="s">
        <v>21</v>
      </c>
      <c r="E1745" t="s">
        <v>94</v>
      </c>
      <c r="F1745" t="s">
        <v>110</v>
      </c>
      <c r="G1745" t="s">
        <v>113</v>
      </c>
      <c r="H1745" t="s">
        <v>242</v>
      </c>
      <c r="J1745">
        <v>0</v>
      </c>
      <c r="K1745">
        <v>5</v>
      </c>
      <c r="L1745">
        <v>73.260869569999997</v>
      </c>
      <c r="M1745">
        <v>34.453830549999999</v>
      </c>
      <c r="N1745">
        <v>1.058333333</v>
      </c>
      <c r="O1745">
        <v>139.375</v>
      </c>
      <c r="P1745">
        <v>23.713465920000001</v>
      </c>
      <c r="Q1745" t="s">
        <v>114</v>
      </c>
      <c r="R1745" t="s">
        <v>1018</v>
      </c>
      <c r="S1745" t="s">
        <v>114</v>
      </c>
    </row>
    <row r="1746" spans="1:19" x14ac:dyDescent="0.25">
      <c r="A1746" t="s">
        <v>42</v>
      </c>
      <c r="B1746" t="s">
        <v>957</v>
      </c>
      <c r="C1746">
        <v>2</v>
      </c>
      <c r="D1746" t="s">
        <v>21</v>
      </c>
      <c r="E1746" t="s">
        <v>94</v>
      </c>
      <c r="F1746" t="s">
        <v>110</v>
      </c>
      <c r="G1746" t="s">
        <v>113</v>
      </c>
      <c r="H1746" t="s">
        <v>113</v>
      </c>
      <c r="J1746">
        <v>0</v>
      </c>
      <c r="K1746">
        <v>2</v>
      </c>
      <c r="L1746">
        <v>73.260869569999997</v>
      </c>
      <c r="M1746">
        <v>34.453830549999999</v>
      </c>
      <c r="N1746">
        <v>1.058333333</v>
      </c>
      <c r="O1746">
        <v>83.757575759999995</v>
      </c>
      <c r="P1746">
        <v>22.60997987</v>
      </c>
      <c r="Q1746">
        <v>0.72884000000000004</v>
      </c>
      <c r="R1746" t="s">
        <v>1018</v>
      </c>
      <c r="S1746">
        <v>0.32949333299999994</v>
      </c>
    </row>
    <row r="1747" spans="1:19" x14ac:dyDescent="0.25">
      <c r="A1747" t="s">
        <v>42</v>
      </c>
      <c r="B1747" t="s">
        <v>958</v>
      </c>
      <c r="C1747">
        <v>2</v>
      </c>
      <c r="D1747" t="s">
        <v>21</v>
      </c>
      <c r="E1747" t="s">
        <v>94</v>
      </c>
      <c r="F1747" t="s">
        <v>111</v>
      </c>
      <c r="G1747" t="s">
        <v>110</v>
      </c>
      <c r="H1747" t="s">
        <v>113</v>
      </c>
      <c r="J1747">
        <v>0</v>
      </c>
      <c r="K1747">
        <v>1</v>
      </c>
      <c r="L1747">
        <v>94.97142857</v>
      </c>
      <c r="M1747">
        <v>24.31591813</v>
      </c>
      <c r="N1747">
        <v>0.122951111</v>
      </c>
      <c r="O1747">
        <v>83.757575759999995</v>
      </c>
      <c r="P1747">
        <v>22.60997987</v>
      </c>
      <c r="Q1747">
        <v>0.72884000000000004</v>
      </c>
      <c r="R1747" t="s">
        <v>1018</v>
      </c>
      <c r="S1747">
        <v>-0.60588888900000004</v>
      </c>
    </row>
    <row r="1748" spans="1:19" x14ac:dyDescent="0.25">
      <c r="A1748" t="s">
        <v>42</v>
      </c>
      <c r="B1748" t="s">
        <v>958</v>
      </c>
      <c r="C1748">
        <v>2</v>
      </c>
      <c r="D1748" t="s">
        <v>21</v>
      </c>
      <c r="E1748" t="s">
        <v>94</v>
      </c>
      <c r="F1748" t="s">
        <v>111</v>
      </c>
      <c r="G1748" t="s">
        <v>110</v>
      </c>
      <c r="H1748" t="s">
        <v>110</v>
      </c>
      <c r="J1748">
        <v>0</v>
      </c>
      <c r="K1748">
        <v>1</v>
      </c>
      <c r="L1748">
        <v>94.97142857</v>
      </c>
      <c r="M1748">
        <v>24.31591813</v>
      </c>
      <c r="N1748">
        <v>0.122951111</v>
      </c>
      <c r="O1748">
        <v>73.260869569999997</v>
      </c>
      <c r="P1748">
        <v>34.453830549999999</v>
      </c>
      <c r="Q1748">
        <v>1.058333333</v>
      </c>
      <c r="R1748" t="s">
        <v>1018</v>
      </c>
      <c r="S1748">
        <v>-0.93538222199999999</v>
      </c>
    </row>
    <row r="1749" spans="1:19" x14ac:dyDescent="0.25">
      <c r="A1749" t="s">
        <v>42</v>
      </c>
      <c r="B1749" t="s">
        <v>959</v>
      </c>
      <c r="C1749">
        <v>2</v>
      </c>
      <c r="D1749" t="s">
        <v>21</v>
      </c>
      <c r="E1749" t="s">
        <v>94</v>
      </c>
      <c r="F1749" t="s">
        <v>104</v>
      </c>
      <c r="G1749" t="s">
        <v>121</v>
      </c>
      <c r="H1749" t="s">
        <v>110</v>
      </c>
      <c r="J1749">
        <v>1</v>
      </c>
      <c r="K1749">
        <v>2</v>
      </c>
      <c r="L1749">
        <v>113.9375</v>
      </c>
      <c r="M1749">
        <v>33.375507550000002</v>
      </c>
      <c r="N1749">
        <v>2.4262999999999999</v>
      </c>
      <c r="O1749">
        <v>73.260869569999997</v>
      </c>
      <c r="P1749">
        <v>34.453830549999999</v>
      </c>
      <c r="Q1749">
        <v>1.058333333</v>
      </c>
      <c r="R1749" t="s">
        <v>1018</v>
      </c>
      <c r="S1749">
        <v>1.3679666669999999</v>
      </c>
    </row>
    <row r="1750" spans="1:19" x14ac:dyDescent="0.25">
      <c r="A1750" t="s">
        <v>42</v>
      </c>
      <c r="B1750" t="s">
        <v>959</v>
      </c>
      <c r="C1750">
        <v>2</v>
      </c>
      <c r="D1750" t="s">
        <v>21</v>
      </c>
      <c r="E1750" t="s">
        <v>94</v>
      </c>
      <c r="F1750" t="s">
        <v>104</v>
      </c>
      <c r="G1750" t="s">
        <v>121</v>
      </c>
      <c r="H1750" t="s">
        <v>240</v>
      </c>
      <c r="J1750">
        <v>1</v>
      </c>
      <c r="K1750">
        <v>2</v>
      </c>
      <c r="L1750">
        <v>113.9375</v>
      </c>
      <c r="M1750">
        <v>33.375507550000002</v>
      </c>
      <c r="N1750">
        <v>2.4262999999999999</v>
      </c>
      <c r="O1750">
        <v>104.83333330000001</v>
      </c>
      <c r="P1750">
        <v>43.798647680000002</v>
      </c>
      <c r="Q1750">
        <v>7.7741939999999999E-3</v>
      </c>
      <c r="R1750" t="s">
        <v>1018</v>
      </c>
      <c r="S1750">
        <v>2.4185258059999999</v>
      </c>
    </row>
    <row r="1751" spans="1:19" x14ac:dyDescent="0.25">
      <c r="A1751" t="s">
        <v>42</v>
      </c>
      <c r="B1751" t="s">
        <v>959</v>
      </c>
      <c r="C1751">
        <v>2</v>
      </c>
      <c r="D1751" t="s">
        <v>21</v>
      </c>
      <c r="E1751" t="s">
        <v>94</v>
      </c>
      <c r="F1751" t="s">
        <v>104</v>
      </c>
      <c r="G1751" t="s">
        <v>121</v>
      </c>
      <c r="H1751" t="s">
        <v>241</v>
      </c>
      <c r="J1751">
        <v>1</v>
      </c>
      <c r="K1751">
        <v>1</v>
      </c>
      <c r="L1751">
        <v>113.9375</v>
      </c>
      <c r="M1751">
        <v>33.375507550000002</v>
      </c>
      <c r="N1751">
        <v>2.4262999999999999</v>
      </c>
      <c r="O1751">
        <v>114</v>
      </c>
      <c r="P1751">
        <v>30.43077242</v>
      </c>
      <c r="Q1751">
        <v>0.53383111100000002</v>
      </c>
      <c r="R1751" t="s">
        <v>1018</v>
      </c>
      <c r="S1751">
        <v>1.8924688889999999</v>
      </c>
    </row>
    <row r="1752" spans="1:19" x14ac:dyDescent="0.25">
      <c r="A1752" t="s">
        <v>43</v>
      </c>
      <c r="B1752" t="s">
        <v>960</v>
      </c>
      <c r="C1752">
        <v>2</v>
      </c>
      <c r="D1752" t="s">
        <v>23</v>
      </c>
      <c r="E1752" t="s">
        <v>94</v>
      </c>
      <c r="F1752" t="s">
        <v>105</v>
      </c>
      <c r="G1752" t="s">
        <v>104</v>
      </c>
      <c r="H1752" t="s">
        <v>104</v>
      </c>
      <c r="J1752">
        <v>0</v>
      </c>
      <c r="K1752">
        <v>1</v>
      </c>
      <c r="L1752">
        <v>67.5</v>
      </c>
      <c r="M1752">
        <v>47.937235809999997</v>
      </c>
      <c r="N1752">
        <v>0.41599678000000001</v>
      </c>
      <c r="O1752">
        <v>113.9375</v>
      </c>
      <c r="P1752">
        <v>33.375507550000002</v>
      </c>
      <c r="Q1752">
        <v>2.4262999999999999</v>
      </c>
      <c r="R1752" t="s">
        <v>1018</v>
      </c>
      <c r="S1752">
        <v>-2.0103032199999999</v>
      </c>
    </row>
    <row r="1753" spans="1:19" x14ac:dyDescent="0.25">
      <c r="A1753" t="s">
        <v>43</v>
      </c>
      <c r="B1753" t="s">
        <v>961</v>
      </c>
      <c r="C1753">
        <v>2</v>
      </c>
      <c r="D1753" t="s">
        <v>23</v>
      </c>
      <c r="E1753" t="s">
        <v>94</v>
      </c>
      <c r="F1753" t="s">
        <v>110</v>
      </c>
      <c r="G1753" t="s">
        <v>110</v>
      </c>
      <c r="H1753" t="s">
        <v>110</v>
      </c>
      <c r="J1753">
        <v>0</v>
      </c>
      <c r="K1753">
        <v>1</v>
      </c>
      <c r="L1753">
        <v>73.260869569999997</v>
      </c>
      <c r="M1753">
        <v>34.453830549999999</v>
      </c>
      <c r="N1753">
        <v>1.058333333</v>
      </c>
      <c r="O1753">
        <v>73.260869569999997</v>
      </c>
      <c r="P1753">
        <v>34.453830549999999</v>
      </c>
      <c r="Q1753">
        <v>1.058333333</v>
      </c>
      <c r="R1753" t="s">
        <v>1018</v>
      </c>
      <c r="S1753">
        <v>0</v>
      </c>
    </row>
    <row r="1754" spans="1:19" x14ac:dyDescent="0.25">
      <c r="A1754" t="s">
        <v>43</v>
      </c>
      <c r="B1754" t="s">
        <v>962</v>
      </c>
      <c r="C1754">
        <v>2</v>
      </c>
      <c r="D1754" t="s">
        <v>23</v>
      </c>
      <c r="E1754" t="s">
        <v>94</v>
      </c>
      <c r="F1754" t="s">
        <v>111</v>
      </c>
      <c r="G1754" t="s">
        <v>121</v>
      </c>
      <c r="H1754" t="s">
        <v>114</v>
      </c>
      <c r="J1754">
        <v>0</v>
      </c>
      <c r="K1754" t="s">
        <v>114</v>
      </c>
      <c r="L1754">
        <v>94.97142857</v>
      </c>
      <c r="M1754">
        <v>24.31591813</v>
      </c>
      <c r="N1754">
        <v>0.122951111</v>
      </c>
      <c r="O1754" t="s">
        <v>114</v>
      </c>
      <c r="P1754" t="s">
        <v>114</v>
      </c>
      <c r="Q1754" t="s">
        <v>114</v>
      </c>
      <c r="R1754" t="s">
        <v>1018</v>
      </c>
      <c r="S1754" t="s">
        <v>114</v>
      </c>
    </row>
    <row r="1755" spans="1:19" x14ac:dyDescent="0.25">
      <c r="A1755" t="s">
        <v>43</v>
      </c>
      <c r="B1755" t="s">
        <v>963</v>
      </c>
      <c r="C1755">
        <v>2</v>
      </c>
      <c r="D1755" t="s">
        <v>23</v>
      </c>
      <c r="E1755" t="s">
        <v>94</v>
      </c>
      <c r="F1755" t="s">
        <v>104</v>
      </c>
      <c r="G1755" t="s">
        <v>104</v>
      </c>
      <c r="H1755" t="s">
        <v>104</v>
      </c>
      <c r="J1755">
        <v>0</v>
      </c>
      <c r="K1755">
        <v>1</v>
      </c>
      <c r="L1755">
        <v>113.9375</v>
      </c>
      <c r="M1755">
        <v>33.375507550000002</v>
      </c>
      <c r="N1755">
        <v>2.4262999999999999</v>
      </c>
      <c r="O1755">
        <v>113.9375</v>
      </c>
      <c r="P1755">
        <v>33.375507550000002</v>
      </c>
      <c r="Q1755">
        <v>2.4262999999999999</v>
      </c>
      <c r="R1755" t="s">
        <v>1018</v>
      </c>
      <c r="S1755">
        <v>0</v>
      </c>
    </row>
    <row r="1756" spans="1:19" x14ac:dyDescent="0.25">
      <c r="A1756" t="s">
        <v>43</v>
      </c>
      <c r="B1756" t="s">
        <v>963</v>
      </c>
      <c r="C1756">
        <v>2</v>
      </c>
      <c r="D1756" t="s">
        <v>23</v>
      </c>
      <c r="E1756" t="s">
        <v>94</v>
      </c>
      <c r="F1756" t="s">
        <v>104</v>
      </c>
      <c r="G1756" t="s">
        <v>104</v>
      </c>
      <c r="H1756" t="s">
        <v>808</v>
      </c>
      <c r="J1756">
        <v>0</v>
      </c>
      <c r="K1756">
        <v>1</v>
      </c>
      <c r="L1756">
        <v>113.9375</v>
      </c>
      <c r="M1756">
        <v>33.375507550000002</v>
      </c>
      <c r="N1756">
        <v>2.4262999999999999</v>
      </c>
      <c r="O1756">
        <v>102.79166669999999</v>
      </c>
      <c r="P1756">
        <v>27.057373470000002</v>
      </c>
      <c r="Q1756">
        <v>6.3567849939999999</v>
      </c>
      <c r="R1756" t="s">
        <v>1018</v>
      </c>
      <c r="S1756">
        <v>-3.930484994</v>
      </c>
    </row>
    <row r="1757" spans="1:19" x14ac:dyDescent="0.25">
      <c r="A1757" t="s">
        <v>44</v>
      </c>
      <c r="B1757" t="s">
        <v>964</v>
      </c>
      <c r="C1757">
        <v>2</v>
      </c>
      <c r="D1757" t="s">
        <v>25</v>
      </c>
      <c r="E1757" t="s">
        <v>95</v>
      </c>
      <c r="F1757" t="s">
        <v>102</v>
      </c>
      <c r="G1757" t="s">
        <v>102</v>
      </c>
      <c r="H1757" t="s">
        <v>102</v>
      </c>
      <c r="J1757">
        <v>0</v>
      </c>
      <c r="K1757">
        <v>1</v>
      </c>
      <c r="L1757">
        <v>84.740740740000007</v>
      </c>
      <c r="M1757">
        <v>29.167014049999999</v>
      </c>
      <c r="N1757">
        <v>1.1169849999999999</v>
      </c>
      <c r="O1757">
        <v>84.740740740000007</v>
      </c>
      <c r="P1757">
        <v>29.167014049999999</v>
      </c>
      <c r="Q1757">
        <v>1.1169849999999999</v>
      </c>
      <c r="R1757" t="s">
        <v>1018</v>
      </c>
      <c r="S1757">
        <v>0</v>
      </c>
    </row>
    <row r="1758" spans="1:19" x14ac:dyDescent="0.25">
      <c r="A1758" t="s">
        <v>44</v>
      </c>
      <c r="B1758" t="s">
        <v>965</v>
      </c>
      <c r="C1758">
        <v>2</v>
      </c>
      <c r="D1758" t="s">
        <v>25</v>
      </c>
      <c r="E1758" t="s">
        <v>95</v>
      </c>
      <c r="F1758" t="s">
        <v>110</v>
      </c>
      <c r="G1758" t="s">
        <v>121</v>
      </c>
      <c r="H1758" t="s">
        <v>114</v>
      </c>
      <c r="I1758" t="s">
        <v>162</v>
      </c>
      <c r="J1758">
        <v>1</v>
      </c>
      <c r="K1758">
        <v>0</v>
      </c>
      <c r="L1758">
        <v>73.260869569999997</v>
      </c>
      <c r="M1758">
        <v>34.453830549999999</v>
      </c>
      <c r="N1758">
        <v>1.058333333</v>
      </c>
      <c r="O1758" t="s">
        <v>114</v>
      </c>
      <c r="P1758" t="s">
        <v>114</v>
      </c>
      <c r="Q1758" t="s">
        <v>114</v>
      </c>
      <c r="R1758" t="s">
        <v>1018</v>
      </c>
      <c r="S1758" t="s">
        <v>114</v>
      </c>
    </row>
    <row r="1759" spans="1:19" x14ac:dyDescent="0.25">
      <c r="A1759" t="s">
        <v>44</v>
      </c>
      <c r="B1759" t="s">
        <v>966</v>
      </c>
      <c r="C1759">
        <v>2</v>
      </c>
      <c r="D1759" t="s">
        <v>25</v>
      </c>
      <c r="E1759" t="s">
        <v>95</v>
      </c>
      <c r="F1759" t="s">
        <v>104</v>
      </c>
      <c r="G1759" t="s">
        <v>112</v>
      </c>
      <c r="H1759" t="s">
        <v>112</v>
      </c>
      <c r="J1759">
        <v>0</v>
      </c>
      <c r="K1759">
        <v>1</v>
      </c>
      <c r="L1759">
        <v>113.9375</v>
      </c>
      <c r="M1759">
        <v>33.375507550000002</v>
      </c>
      <c r="N1759">
        <v>2.4262999999999999</v>
      </c>
      <c r="O1759">
        <v>65.09375</v>
      </c>
      <c r="P1759">
        <v>37.895352600000002</v>
      </c>
      <c r="Q1759">
        <v>2.2882677779999998</v>
      </c>
      <c r="R1759" t="s">
        <v>1018</v>
      </c>
      <c r="S1759">
        <v>0.13803222200000009</v>
      </c>
    </row>
    <row r="1760" spans="1:19" x14ac:dyDescent="0.25">
      <c r="A1760" t="s">
        <v>44</v>
      </c>
      <c r="B1760" t="s">
        <v>966</v>
      </c>
      <c r="C1760">
        <v>2</v>
      </c>
      <c r="D1760" t="s">
        <v>25</v>
      </c>
      <c r="E1760" t="s">
        <v>95</v>
      </c>
      <c r="F1760" t="s">
        <v>104</v>
      </c>
      <c r="G1760" t="s">
        <v>112</v>
      </c>
      <c r="H1760" t="s">
        <v>162</v>
      </c>
      <c r="J1760">
        <v>0</v>
      </c>
      <c r="K1760">
        <v>1</v>
      </c>
      <c r="L1760">
        <v>113.9375</v>
      </c>
      <c r="M1760">
        <v>33.375507550000002</v>
      </c>
      <c r="N1760">
        <v>2.4262999999999999</v>
      </c>
      <c r="O1760">
        <v>82.53846154</v>
      </c>
      <c r="P1760">
        <v>35.660530039999998</v>
      </c>
      <c r="Q1760">
        <v>3.3754499999999998</v>
      </c>
      <c r="R1760" t="s">
        <v>1018</v>
      </c>
      <c r="S1760">
        <v>-0.94914999999999994</v>
      </c>
    </row>
    <row r="1761" spans="1:19" x14ac:dyDescent="0.25">
      <c r="A1761" t="s">
        <v>44</v>
      </c>
      <c r="B1761" t="s">
        <v>966</v>
      </c>
      <c r="C1761">
        <v>2</v>
      </c>
      <c r="D1761" t="s">
        <v>25</v>
      </c>
      <c r="E1761" t="s">
        <v>95</v>
      </c>
      <c r="F1761" t="s">
        <v>104</v>
      </c>
      <c r="G1761" t="s">
        <v>112</v>
      </c>
      <c r="H1761" t="s">
        <v>113</v>
      </c>
      <c r="J1761">
        <v>0</v>
      </c>
      <c r="K1761">
        <v>1</v>
      </c>
      <c r="L1761">
        <v>113.9375</v>
      </c>
      <c r="M1761">
        <v>33.375507550000002</v>
      </c>
      <c r="N1761">
        <v>2.4262999999999999</v>
      </c>
      <c r="O1761">
        <v>83.757575759999995</v>
      </c>
      <c r="P1761">
        <v>22.60997987</v>
      </c>
      <c r="Q1761">
        <v>0.72884000000000004</v>
      </c>
      <c r="R1761" t="s">
        <v>1018</v>
      </c>
      <c r="S1761">
        <v>1.69746</v>
      </c>
    </row>
    <row r="1762" spans="1:19" x14ac:dyDescent="0.25">
      <c r="A1762" t="s">
        <v>44</v>
      </c>
      <c r="B1762" t="s">
        <v>967</v>
      </c>
      <c r="C1762">
        <v>2</v>
      </c>
      <c r="D1762" t="s">
        <v>25</v>
      </c>
      <c r="E1762" t="s">
        <v>95</v>
      </c>
      <c r="F1762" t="s">
        <v>112</v>
      </c>
      <c r="G1762" t="s">
        <v>121</v>
      </c>
      <c r="H1762" t="s">
        <v>114</v>
      </c>
      <c r="J1762">
        <v>0</v>
      </c>
      <c r="K1762" t="s">
        <v>114</v>
      </c>
      <c r="L1762">
        <v>65.09375</v>
      </c>
      <c r="M1762">
        <v>37.895352600000002</v>
      </c>
      <c r="N1762">
        <v>2.2882677779999998</v>
      </c>
      <c r="O1762" t="s">
        <v>114</v>
      </c>
      <c r="P1762" t="s">
        <v>114</v>
      </c>
      <c r="Q1762" t="s">
        <v>114</v>
      </c>
      <c r="R1762" t="s">
        <v>1018</v>
      </c>
      <c r="S1762" t="s">
        <v>114</v>
      </c>
    </row>
    <row r="1763" spans="1:19" x14ac:dyDescent="0.25">
      <c r="A1763" t="s">
        <v>45</v>
      </c>
      <c r="B1763" t="s">
        <v>968</v>
      </c>
      <c r="C1763">
        <v>2</v>
      </c>
      <c r="D1763" t="s">
        <v>27</v>
      </c>
      <c r="E1763" t="s">
        <v>95</v>
      </c>
      <c r="F1763" t="s">
        <v>102</v>
      </c>
      <c r="G1763" t="s">
        <v>113</v>
      </c>
      <c r="H1763" t="s">
        <v>113</v>
      </c>
      <c r="J1763">
        <v>0</v>
      </c>
      <c r="K1763">
        <v>2</v>
      </c>
      <c r="L1763">
        <v>84.740740740000007</v>
      </c>
      <c r="M1763">
        <v>29.167014049999999</v>
      </c>
      <c r="N1763">
        <v>1.1169849999999999</v>
      </c>
      <c r="O1763">
        <v>83.757575759999995</v>
      </c>
      <c r="P1763">
        <v>22.60997987</v>
      </c>
      <c r="Q1763">
        <v>0.72884000000000004</v>
      </c>
      <c r="R1763" t="s">
        <v>1018</v>
      </c>
      <c r="S1763">
        <v>0.38814499999999985</v>
      </c>
    </row>
    <row r="1764" spans="1:19" x14ac:dyDescent="0.25">
      <c r="A1764" t="s">
        <v>45</v>
      </c>
      <c r="B1764" t="s">
        <v>969</v>
      </c>
      <c r="C1764">
        <v>2</v>
      </c>
      <c r="D1764" t="s">
        <v>27</v>
      </c>
      <c r="E1764" t="s">
        <v>95</v>
      </c>
      <c r="F1764" t="s">
        <v>105</v>
      </c>
      <c r="G1764" t="s">
        <v>113</v>
      </c>
      <c r="H1764" t="s">
        <v>113</v>
      </c>
      <c r="J1764">
        <v>0</v>
      </c>
      <c r="K1764">
        <v>6</v>
      </c>
      <c r="L1764">
        <v>67.5</v>
      </c>
      <c r="M1764">
        <v>47.937235809999997</v>
      </c>
      <c r="N1764">
        <v>0.41599678000000001</v>
      </c>
      <c r="O1764">
        <v>83.757575759999995</v>
      </c>
      <c r="P1764">
        <v>22.60997987</v>
      </c>
      <c r="Q1764">
        <v>0.72884000000000004</v>
      </c>
      <c r="R1764" t="s">
        <v>1018</v>
      </c>
      <c r="S1764">
        <v>-0.31284322000000003</v>
      </c>
    </row>
    <row r="1765" spans="1:19" x14ac:dyDescent="0.25">
      <c r="A1765" t="s">
        <v>45</v>
      </c>
      <c r="B1765" t="s">
        <v>970</v>
      </c>
      <c r="C1765">
        <v>2</v>
      </c>
      <c r="D1765" t="s">
        <v>27</v>
      </c>
      <c r="E1765" t="s">
        <v>95</v>
      </c>
      <c r="F1765" t="s">
        <v>112</v>
      </c>
      <c r="G1765" t="s">
        <v>121</v>
      </c>
      <c r="H1765" t="s">
        <v>113</v>
      </c>
      <c r="J1765">
        <v>0</v>
      </c>
      <c r="K1765">
        <v>8</v>
      </c>
      <c r="L1765">
        <v>65.09375</v>
      </c>
      <c r="M1765">
        <v>37.895352600000002</v>
      </c>
      <c r="N1765">
        <v>2.2882677779999998</v>
      </c>
      <c r="O1765">
        <v>83.757575759999995</v>
      </c>
      <c r="P1765">
        <v>22.60997987</v>
      </c>
      <c r="Q1765">
        <v>0.72884000000000004</v>
      </c>
      <c r="R1765" t="s">
        <v>1018</v>
      </c>
      <c r="S1765">
        <v>1.5594277779999999</v>
      </c>
    </row>
    <row r="1766" spans="1:19" x14ac:dyDescent="0.25">
      <c r="A1766" t="s">
        <v>45</v>
      </c>
      <c r="B1766" t="s">
        <v>970</v>
      </c>
      <c r="C1766">
        <v>2</v>
      </c>
      <c r="D1766" t="s">
        <v>27</v>
      </c>
      <c r="E1766" t="s">
        <v>95</v>
      </c>
      <c r="F1766" t="s">
        <v>112</v>
      </c>
      <c r="G1766" t="s">
        <v>121</v>
      </c>
      <c r="H1766" t="s">
        <v>103</v>
      </c>
      <c r="J1766">
        <v>0</v>
      </c>
      <c r="K1766">
        <v>1</v>
      </c>
      <c r="L1766">
        <v>65.09375</v>
      </c>
      <c r="M1766">
        <v>37.895352600000002</v>
      </c>
      <c r="N1766">
        <v>2.2882677779999998</v>
      </c>
      <c r="O1766">
        <v>98.291666669999998</v>
      </c>
      <c r="P1766">
        <v>30.315130790000001</v>
      </c>
      <c r="Q1766">
        <v>5.0803484000000003E-2</v>
      </c>
      <c r="R1766" t="s">
        <v>1018</v>
      </c>
      <c r="S1766">
        <v>2.237464294</v>
      </c>
    </row>
    <row r="1767" spans="1:19" x14ac:dyDescent="0.25">
      <c r="A1767" t="s">
        <v>46</v>
      </c>
      <c r="B1767" t="s">
        <v>971</v>
      </c>
      <c r="C1767">
        <v>2</v>
      </c>
      <c r="D1767" t="s">
        <v>29</v>
      </c>
      <c r="E1767" t="s">
        <v>95</v>
      </c>
      <c r="F1767" t="s">
        <v>102</v>
      </c>
      <c r="G1767" t="s">
        <v>121</v>
      </c>
      <c r="H1767" t="s">
        <v>114</v>
      </c>
      <c r="J1767">
        <v>0</v>
      </c>
      <c r="K1767" t="s">
        <v>114</v>
      </c>
      <c r="L1767">
        <v>84.740740740000007</v>
      </c>
      <c r="M1767">
        <v>29.167014049999999</v>
      </c>
      <c r="N1767">
        <v>1.1169849999999999</v>
      </c>
      <c r="O1767" t="s">
        <v>114</v>
      </c>
      <c r="P1767" t="s">
        <v>114</v>
      </c>
      <c r="Q1767" t="s">
        <v>114</v>
      </c>
      <c r="R1767" t="s">
        <v>1018</v>
      </c>
      <c r="S1767" t="s">
        <v>114</v>
      </c>
    </row>
    <row r="1768" spans="1:19" x14ac:dyDescent="0.25">
      <c r="A1768" t="s">
        <v>46</v>
      </c>
      <c r="B1768" t="s">
        <v>972</v>
      </c>
      <c r="C1768">
        <v>2</v>
      </c>
      <c r="D1768" t="s">
        <v>29</v>
      </c>
      <c r="E1768" t="s">
        <v>95</v>
      </c>
      <c r="F1768" t="s">
        <v>110</v>
      </c>
      <c r="G1768" t="s">
        <v>113</v>
      </c>
      <c r="H1768" t="s">
        <v>113</v>
      </c>
      <c r="J1768">
        <v>0</v>
      </c>
      <c r="K1768">
        <v>3</v>
      </c>
      <c r="L1768">
        <v>73.260869569999997</v>
      </c>
      <c r="M1768">
        <v>34.453830549999999</v>
      </c>
      <c r="N1768">
        <v>1.058333333</v>
      </c>
      <c r="O1768">
        <v>83.757575759999995</v>
      </c>
      <c r="P1768">
        <v>22.60997987</v>
      </c>
      <c r="Q1768">
        <v>0.72884000000000004</v>
      </c>
      <c r="R1768" t="s">
        <v>1018</v>
      </c>
      <c r="S1768">
        <v>0.32949333299999994</v>
      </c>
    </row>
    <row r="1769" spans="1:19" x14ac:dyDescent="0.25">
      <c r="A1769" t="s">
        <v>46</v>
      </c>
      <c r="B1769" t="s">
        <v>973</v>
      </c>
      <c r="C1769">
        <v>2</v>
      </c>
      <c r="D1769" t="s">
        <v>29</v>
      </c>
      <c r="E1769" t="s">
        <v>95</v>
      </c>
      <c r="F1769" t="s">
        <v>112</v>
      </c>
      <c r="G1769" t="s">
        <v>121</v>
      </c>
      <c r="H1769" t="s">
        <v>114</v>
      </c>
      <c r="J1769">
        <v>0</v>
      </c>
      <c r="K1769" t="s">
        <v>114</v>
      </c>
      <c r="L1769">
        <v>65.09375</v>
      </c>
      <c r="M1769">
        <v>37.895352600000002</v>
      </c>
      <c r="N1769">
        <v>2.2882677779999998</v>
      </c>
      <c r="O1769" t="s">
        <v>114</v>
      </c>
      <c r="P1769" t="s">
        <v>114</v>
      </c>
      <c r="Q1769" t="s">
        <v>114</v>
      </c>
      <c r="R1769" t="s">
        <v>1018</v>
      </c>
      <c r="S1769" t="s">
        <v>114</v>
      </c>
    </row>
    <row r="1770" spans="1:19" x14ac:dyDescent="0.25">
      <c r="A1770" t="s">
        <v>47</v>
      </c>
      <c r="B1770" t="s">
        <v>974</v>
      </c>
      <c r="C1770">
        <v>2</v>
      </c>
      <c r="D1770" t="s">
        <v>31</v>
      </c>
      <c r="E1770" t="s">
        <v>94</v>
      </c>
      <c r="F1770" t="s">
        <v>112</v>
      </c>
      <c r="G1770" t="s">
        <v>112</v>
      </c>
      <c r="H1770" t="s">
        <v>112</v>
      </c>
      <c r="J1770">
        <v>0</v>
      </c>
      <c r="K1770">
        <v>1</v>
      </c>
      <c r="L1770">
        <v>65.09375</v>
      </c>
      <c r="M1770">
        <v>37.895352600000002</v>
      </c>
      <c r="N1770">
        <v>2.2882677779999998</v>
      </c>
      <c r="O1770">
        <v>65.09375</v>
      </c>
      <c r="P1770">
        <v>37.895352600000002</v>
      </c>
      <c r="Q1770">
        <v>2.2882677779999998</v>
      </c>
      <c r="R1770" t="s">
        <v>1018</v>
      </c>
      <c r="S1770">
        <v>0</v>
      </c>
    </row>
    <row r="1771" spans="1:19" x14ac:dyDescent="0.25">
      <c r="A1771" t="s">
        <v>47</v>
      </c>
      <c r="B1771" t="s">
        <v>974</v>
      </c>
      <c r="C1771">
        <v>2</v>
      </c>
      <c r="D1771" t="s">
        <v>31</v>
      </c>
      <c r="E1771" t="s">
        <v>94</v>
      </c>
      <c r="F1771" t="s">
        <v>112</v>
      </c>
      <c r="G1771" t="s">
        <v>112</v>
      </c>
      <c r="H1771" t="s">
        <v>113</v>
      </c>
      <c r="J1771">
        <v>0</v>
      </c>
      <c r="K1771">
        <v>1</v>
      </c>
      <c r="L1771">
        <v>65.09375</v>
      </c>
      <c r="M1771">
        <v>37.895352600000002</v>
      </c>
      <c r="N1771">
        <v>2.2882677779999998</v>
      </c>
      <c r="O1771">
        <v>83.757575759999995</v>
      </c>
      <c r="P1771">
        <v>22.60997987</v>
      </c>
      <c r="Q1771">
        <v>0.72884000000000004</v>
      </c>
      <c r="R1771" t="s">
        <v>1018</v>
      </c>
      <c r="S1771">
        <v>1.5594277779999999</v>
      </c>
    </row>
    <row r="1772" spans="1:19" x14ac:dyDescent="0.25">
      <c r="A1772" t="s">
        <v>48</v>
      </c>
      <c r="B1772" t="s">
        <v>975</v>
      </c>
      <c r="C1772">
        <v>2</v>
      </c>
      <c r="D1772" t="s">
        <v>33</v>
      </c>
      <c r="E1772" t="s">
        <v>95</v>
      </c>
      <c r="F1772" t="s">
        <v>105</v>
      </c>
      <c r="G1772" t="s">
        <v>104</v>
      </c>
      <c r="H1772" t="s">
        <v>103</v>
      </c>
      <c r="J1772">
        <v>0</v>
      </c>
      <c r="K1772">
        <v>1</v>
      </c>
      <c r="L1772">
        <v>67.5</v>
      </c>
      <c r="M1772">
        <v>47.937235809999997</v>
      </c>
      <c r="N1772">
        <v>0.41599678000000001</v>
      </c>
      <c r="O1772">
        <v>98.291666669999998</v>
      </c>
      <c r="P1772">
        <v>30.315130790000001</v>
      </c>
      <c r="Q1772">
        <v>5.0803484000000003E-2</v>
      </c>
      <c r="R1772" t="s">
        <v>1018</v>
      </c>
      <c r="S1772">
        <v>0.365193296</v>
      </c>
    </row>
    <row r="1773" spans="1:19" x14ac:dyDescent="0.25">
      <c r="A1773" t="s">
        <v>48</v>
      </c>
      <c r="B1773" t="s">
        <v>975</v>
      </c>
      <c r="C1773">
        <v>2</v>
      </c>
      <c r="D1773" t="s">
        <v>33</v>
      </c>
      <c r="E1773" t="s">
        <v>95</v>
      </c>
      <c r="F1773" t="s">
        <v>105</v>
      </c>
      <c r="G1773" t="s">
        <v>104</v>
      </c>
      <c r="H1773" t="s">
        <v>104</v>
      </c>
      <c r="J1773">
        <v>0</v>
      </c>
      <c r="K1773">
        <v>2</v>
      </c>
      <c r="L1773">
        <v>67.5</v>
      </c>
      <c r="M1773">
        <v>47.937235809999997</v>
      </c>
      <c r="N1773">
        <v>0.41599678000000001</v>
      </c>
      <c r="O1773">
        <v>113.9375</v>
      </c>
      <c r="P1773">
        <v>33.375507550000002</v>
      </c>
      <c r="Q1773">
        <v>2.4262999999999999</v>
      </c>
      <c r="R1773" t="s">
        <v>1018</v>
      </c>
      <c r="S1773">
        <v>-2.0103032199999999</v>
      </c>
    </row>
    <row r="1774" spans="1:19" x14ac:dyDescent="0.25">
      <c r="A1774" t="s">
        <v>48</v>
      </c>
      <c r="B1774" t="s">
        <v>976</v>
      </c>
      <c r="C1774">
        <v>2</v>
      </c>
      <c r="D1774" t="s">
        <v>33</v>
      </c>
      <c r="E1774" t="s">
        <v>95</v>
      </c>
      <c r="F1774" t="s">
        <v>111</v>
      </c>
      <c r="G1774" t="s">
        <v>113</v>
      </c>
      <c r="H1774" t="s">
        <v>113</v>
      </c>
      <c r="J1774">
        <v>0</v>
      </c>
      <c r="K1774">
        <v>1</v>
      </c>
      <c r="L1774">
        <v>94.97142857</v>
      </c>
      <c r="M1774">
        <v>24.31591813</v>
      </c>
      <c r="N1774">
        <v>0.122951111</v>
      </c>
      <c r="O1774">
        <v>83.757575759999995</v>
      </c>
      <c r="P1774">
        <v>22.60997987</v>
      </c>
      <c r="Q1774">
        <v>0.72884000000000004</v>
      </c>
      <c r="R1774" t="s">
        <v>1018</v>
      </c>
      <c r="S1774">
        <v>-0.60588888900000004</v>
      </c>
    </row>
    <row r="1775" spans="1:19" x14ac:dyDescent="0.25">
      <c r="A1775" t="s">
        <v>48</v>
      </c>
      <c r="B1775" t="s">
        <v>976</v>
      </c>
      <c r="C1775">
        <v>2</v>
      </c>
      <c r="D1775" t="s">
        <v>33</v>
      </c>
      <c r="E1775" t="s">
        <v>95</v>
      </c>
      <c r="F1775" t="s">
        <v>111</v>
      </c>
      <c r="G1775" t="s">
        <v>113</v>
      </c>
      <c r="H1775" t="s">
        <v>241</v>
      </c>
      <c r="J1775">
        <v>0</v>
      </c>
      <c r="K1775">
        <v>1</v>
      </c>
      <c r="L1775">
        <v>94.97142857</v>
      </c>
      <c r="M1775">
        <v>24.31591813</v>
      </c>
      <c r="N1775">
        <v>0.122951111</v>
      </c>
      <c r="O1775">
        <v>114</v>
      </c>
      <c r="P1775">
        <v>30.43077242</v>
      </c>
      <c r="Q1775">
        <v>0.53383111100000002</v>
      </c>
      <c r="R1775" t="s">
        <v>1018</v>
      </c>
      <c r="S1775">
        <v>-0.41088000000000002</v>
      </c>
    </row>
    <row r="1776" spans="1:19" x14ac:dyDescent="0.25">
      <c r="A1776" t="s">
        <v>48</v>
      </c>
      <c r="B1776" t="s">
        <v>977</v>
      </c>
      <c r="C1776">
        <v>2</v>
      </c>
      <c r="D1776" t="s">
        <v>33</v>
      </c>
      <c r="E1776" t="s">
        <v>95</v>
      </c>
      <c r="F1776" t="s">
        <v>104</v>
      </c>
      <c r="G1776" t="s">
        <v>121</v>
      </c>
      <c r="H1776" t="s">
        <v>113</v>
      </c>
      <c r="J1776">
        <v>0</v>
      </c>
      <c r="K1776">
        <v>5</v>
      </c>
      <c r="L1776">
        <v>113.9375</v>
      </c>
      <c r="M1776">
        <v>33.375507550000002</v>
      </c>
      <c r="N1776">
        <v>2.4262999999999999</v>
      </c>
      <c r="O1776">
        <v>83.757575759999995</v>
      </c>
      <c r="P1776">
        <v>22.60997987</v>
      </c>
      <c r="Q1776">
        <v>0.72884000000000004</v>
      </c>
      <c r="R1776" t="s">
        <v>1018</v>
      </c>
      <c r="S1776">
        <v>1.69746</v>
      </c>
    </row>
    <row r="1777" spans="1:19" x14ac:dyDescent="0.25">
      <c r="A1777" t="s">
        <v>48</v>
      </c>
      <c r="B1777" t="s">
        <v>977</v>
      </c>
      <c r="C1777">
        <v>2</v>
      </c>
      <c r="D1777" t="s">
        <v>33</v>
      </c>
      <c r="E1777" t="s">
        <v>95</v>
      </c>
      <c r="F1777" t="s">
        <v>104</v>
      </c>
      <c r="G1777" t="s">
        <v>121</v>
      </c>
      <c r="H1777" t="s">
        <v>104</v>
      </c>
      <c r="J1777">
        <v>0</v>
      </c>
      <c r="K1777">
        <v>2</v>
      </c>
      <c r="L1777">
        <v>113.9375</v>
      </c>
      <c r="M1777">
        <v>33.375507550000002</v>
      </c>
      <c r="N1777">
        <v>2.4262999999999999</v>
      </c>
      <c r="O1777">
        <v>113.9375</v>
      </c>
      <c r="P1777">
        <v>33.375507550000002</v>
      </c>
      <c r="Q1777">
        <v>2.4262999999999999</v>
      </c>
      <c r="R1777" t="s">
        <v>1018</v>
      </c>
      <c r="S1777">
        <v>0</v>
      </c>
    </row>
    <row r="1778" spans="1:19" x14ac:dyDescent="0.25">
      <c r="A1778" t="s">
        <v>48</v>
      </c>
      <c r="B1778" t="s">
        <v>977</v>
      </c>
      <c r="C1778">
        <v>2</v>
      </c>
      <c r="D1778" t="s">
        <v>33</v>
      </c>
      <c r="E1778" t="s">
        <v>95</v>
      </c>
      <c r="F1778" t="s">
        <v>104</v>
      </c>
      <c r="G1778" t="s">
        <v>121</v>
      </c>
      <c r="H1778" t="s">
        <v>103</v>
      </c>
      <c r="J1778">
        <v>0</v>
      </c>
      <c r="K1778">
        <v>1</v>
      </c>
      <c r="L1778">
        <v>113.9375</v>
      </c>
      <c r="M1778">
        <v>33.375507550000002</v>
      </c>
      <c r="N1778">
        <v>2.4262999999999999</v>
      </c>
      <c r="O1778">
        <v>98.291666669999998</v>
      </c>
      <c r="P1778">
        <v>30.315130790000001</v>
      </c>
      <c r="Q1778">
        <v>5.0803484000000003E-2</v>
      </c>
      <c r="R1778" t="s">
        <v>1018</v>
      </c>
      <c r="S1778">
        <v>2.3754965160000001</v>
      </c>
    </row>
    <row r="1779" spans="1:19" x14ac:dyDescent="0.25">
      <c r="A1779" t="s">
        <v>49</v>
      </c>
      <c r="B1779" t="s">
        <v>978</v>
      </c>
      <c r="C1779">
        <v>2</v>
      </c>
      <c r="D1779" t="s">
        <v>35</v>
      </c>
      <c r="E1779" t="s">
        <v>94</v>
      </c>
      <c r="F1779" t="s">
        <v>102</v>
      </c>
      <c r="G1779" t="s">
        <v>112</v>
      </c>
      <c r="H1779" t="s">
        <v>112</v>
      </c>
      <c r="J1779">
        <v>0</v>
      </c>
      <c r="K1779">
        <v>1</v>
      </c>
      <c r="L1779">
        <v>84.740740740000007</v>
      </c>
      <c r="M1779">
        <v>29.167014049999999</v>
      </c>
      <c r="N1779">
        <v>1.1169849999999999</v>
      </c>
      <c r="O1779">
        <v>65.09375</v>
      </c>
      <c r="P1779">
        <v>37.895352600000002</v>
      </c>
      <c r="Q1779">
        <v>2.2882677779999998</v>
      </c>
      <c r="R1779" t="s">
        <v>1018</v>
      </c>
      <c r="S1779">
        <v>-1.1712827779999999</v>
      </c>
    </row>
    <row r="1780" spans="1:19" x14ac:dyDescent="0.25">
      <c r="A1780" t="s">
        <v>49</v>
      </c>
      <c r="B1780" t="s">
        <v>978</v>
      </c>
      <c r="C1780">
        <v>2</v>
      </c>
      <c r="D1780" t="s">
        <v>35</v>
      </c>
      <c r="E1780" t="s">
        <v>94</v>
      </c>
      <c r="F1780" t="s">
        <v>102</v>
      </c>
      <c r="G1780" t="s">
        <v>112</v>
      </c>
      <c r="H1780" t="s">
        <v>104</v>
      </c>
      <c r="J1780">
        <v>0</v>
      </c>
      <c r="K1780">
        <v>5</v>
      </c>
      <c r="L1780">
        <v>84.740740740000007</v>
      </c>
      <c r="M1780">
        <v>29.167014049999999</v>
      </c>
      <c r="N1780">
        <v>1.1169849999999999</v>
      </c>
      <c r="O1780">
        <v>113.9375</v>
      </c>
      <c r="P1780">
        <v>33.375507550000002</v>
      </c>
      <c r="Q1780">
        <v>2.4262999999999999</v>
      </c>
      <c r="R1780" t="s">
        <v>1018</v>
      </c>
      <c r="S1780">
        <v>-1.309315</v>
      </c>
    </row>
    <row r="1781" spans="1:19" x14ac:dyDescent="0.25">
      <c r="A1781" t="s">
        <v>49</v>
      </c>
      <c r="B1781" t="s">
        <v>979</v>
      </c>
      <c r="C1781">
        <v>2</v>
      </c>
      <c r="D1781" t="s">
        <v>35</v>
      </c>
      <c r="E1781" t="s">
        <v>94</v>
      </c>
      <c r="F1781" t="s">
        <v>112</v>
      </c>
      <c r="G1781" t="s">
        <v>112</v>
      </c>
      <c r="H1781" t="s">
        <v>112</v>
      </c>
      <c r="J1781">
        <v>0</v>
      </c>
      <c r="K1781">
        <v>1</v>
      </c>
      <c r="L1781">
        <v>65.09375</v>
      </c>
      <c r="M1781">
        <v>37.895352600000002</v>
      </c>
      <c r="N1781">
        <v>2.2882677779999998</v>
      </c>
      <c r="O1781">
        <v>65.09375</v>
      </c>
      <c r="P1781">
        <v>37.895352600000002</v>
      </c>
      <c r="Q1781">
        <v>2.2882677779999998</v>
      </c>
      <c r="R1781" t="s">
        <v>1018</v>
      </c>
      <c r="S1781">
        <v>0</v>
      </c>
    </row>
    <row r="1782" spans="1:19" x14ac:dyDescent="0.25">
      <c r="A1782" t="s">
        <v>49</v>
      </c>
      <c r="B1782" t="s">
        <v>979</v>
      </c>
      <c r="C1782">
        <v>2</v>
      </c>
      <c r="D1782" t="s">
        <v>35</v>
      </c>
      <c r="E1782" t="s">
        <v>94</v>
      </c>
      <c r="F1782" t="s">
        <v>112</v>
      </c>
      <c r="G1782" t="s">
        <v>112</v>
      </c>
      <c r="H1782" t="s">
        <v>103</v>
      </c>
      <c r="J1782">
        <v>0</v>
      </c>
      <c r="K1782">
        <v>1</v>
      </c>
      <c r="L1782">
        <v>65.09375</v>
      </c>
      <c r="M1782">
        <v>37.895352600000002</v>
      </c>
      <c r="N1782">
        <v>2.2882677779999998</v>
      </c>
      <c r="O1782">
        <v>98.291666669999998</v>
      </c>
      <c r="P1782">
        <v>30.315130790000001</v>
      </c>
      <c r="Q1782">
        <v>5.0803484000000003E-2</v>
      </c>
      <c r="R1782" t="s">
        <v>1018</v>
      </c>
      <c r="S1782">
        <v>2.237464294</v>
      </c>
    </row>
    <row r="1783" spans="1:19" x14ac:dyDescent="0.25">
      <c r="A1783" t="s">
        <v>79</v>
      </c>
      <c r="B1783" t="s">
        <v>980</v>
      </c>
      <c r="C1783">
        <v>6</v>
      </c>
      <c r="D1783" t="s">
        <v>11</v>
      </c>
      <c r="E1783" t="s">
        <v>95</v>
      </c>
      <c r="F1783" t="s">
        <v>113</v>
      </c>
      <c r="G1783" t="s">
        <v>113</v>
      </c>
      <c r="H1783" t="s">
        <v>113</v>
      </c>
      <c r="J1783">
        <v>0</v>
      </c>
      <c r="K1783">
        <v>4</v>
      </c>
      <c r="L1783">
        <v>83.757575759999995</v>
      </c>
      <c r="M1783">
        <v>22.60997987</v>
      </c>
      <c r="N1783">
        <v>0.72884000000000004</v>
      </c>
      <c r="O1783">
        <v>83.757575759999995</v>
      </c>
      <c r="P1783">
        <v>22.60997987</v>
      </c>
      <c r="Q1783">
        <v>0.72884000000000004</v>
      </c>
      <c r="R1783" t="s">
        <v>1018</v>
      </c>
      <c r="S1783">
        <v>0</v>
      </c>
    </row>
    <row r="1784" spans="1:19" x14ac:dyDescent="0.25">
      <c r="A1784" t="s">
        <v>79</v>
      </c>
      <c r="B1784" t="s">
        <v>981</v>
      </c>
      <c r="C1784">
        <v>6</v>
      </c>
      <c r="D1784" t="s">
        <v>11</v>
      </c>
      <c r="E1784" t="s">
        <v>95</v>
      </c>
      <c r="F1784" t="s">
        <v>103</v>
      </c>
      <c r="G1784" t="s">
        <v>113</v>
      </c>
      <c r="H1784" t="s">
        <v>113</v>
      </c>
      <c r="J1784">
        <v>0</v>
      </c>
      <c r="K1784">
        <v>7</v>
      </c>
      <c r="L1784">
        <v>98.291666669999998</v>
      </c>
      <c r="M1784">
        <v>30.315130790000001</v>
      </c>
      <c r="N1784">
        <v>5.0803484000000003E-2</v>
      </c>
      <c r="O1784">
        <v>83.757575759999995</v>
      </c>
      <c r="P1784">
        <v>22.60997987</v>
      </c>
      <c r="Q1784">
        <v>0.72884000000000004</v>
      </c>
      <c r="R1784" t="s">
        <v>1018</v>
      </c>
      <c r="S1784">
        <v>-0.67803651600000003</v>
      </c>
    </row>
    <row r="1785" spans="1:19" x14ac:dyDescent="0.25">
      <c r="A1785" t="s">
        <v>79</v>
      </c>
      <c r="B1785" t="s">
        <v>981</v>
      </c>
      <c r="C1785">
        <v>6</v>
      </c>
      <c r="D1785" t="s">
        <v>11</v>
      </c>
      <c r="E1785" t="s">
        <v>95</v>
      </c>
      <c r="F1785" t="s">
        <v>103</v>
      </c>
      <c r="G1785" t="s">
        <v>113</v>
      </c>
      <c r="H1785" t="s">
        <v>103</v>
      </c>
      <c r="J1785">
        <v>0</v>
      </c>
      <c r="K1785">
        <v>4</v>
      </c>
      <c r="L1785">
        <v>98.291666669999998</v>
      </c>
      <c r="M1785">
        <v>30.315130790000001</v>
      </c>
      <c r="N1785">
        <v>5.0803484000000003E-2</v>
      </c>
      <c r="O1785">
        <v>98.291666669999998</v>
      </c>
      <c r="P1785">
        <v>30.315130790000001</v>
      </c>
      <c r="Q1785">
        <v>5.0803484000000003E-2</v>
      </c>
      <c r="R1785" t="s">
        <v>1018</v>
      </c>
      <c r="S1785">
        <v>0</v>
      </c>
    </row>
    <row r="1786" spans="1:19" x14ac:dyDescent="0.25">
      <c r="A1786" t="s">
        <v>79</v>
      </c>
      <c r="B1786" t="s">
        <v>982</v>
      </c>
      <c r="C1786">
        <v>6</v>
      </c>
      <c r="D1786" t="s">
        <v>11</v>
      </c>
      <c r="E1786" t="s">
        <v>95</v>
      </c>
      <c r="F1786" t="s">
        <v>111</v>
      </c>
      <c r="G1786" t="s">
        <v>113</v>
      </c>
      <c r="H1786" t="s">
        <v>234</v>
      </c>
      <c r="J1786">
        <v>0</v>
      </c>
      <c r="K1786">
        <v>1</v>
      </c>
      <c r="L1786">
        <v>94.97142857</v>
      </c>
      <c r="M1786">
        <v>24.31591813</v>
      </c>
      <c r="N1786">
        <v>0.122951111</v>
      </c>
      <c r="O1786">
        <v>89.8125</v>
      </c>
      <c r="P1786">
        <v>34.754706650000003</v>
      </c>
      <c r="Q1786">
        <v>2.3065078999999999E-2</v>
      </c>
      <c r="R1786" t="s">
        <v>1018</v>
      </c>
      <c r="S1786">
        <v>9.9886032E-2</v>
      </c>
    </row>
    <row r="1787" spans="1:19" x14ac:dyDescent="0.25">
      <c r="A1787" t="s">
        <v>79</v>
      </c>
      <c r="B1787" t="s">
        <v>982</v>
      </c>
      <c r="C1787">
        <v>6</v>
      </c>
      <c r="D1787" t="s">
        <v>11</v>
      </c>
      <c r="E1787" t="s">
        <v>95</v>
      </c>
      <c r="F1787" t="s">
        <v>111</v>
      </c>
      <c r="G1787" t="s">
        <v>113</v>
      </c>
      <c r="H1787" t="s">
        <v>113</v>
      </c>
      <c r="J1787">
        <v>0</v>
      </c>
      <c r="K1787">
        <v>5</v>
      </c>
      <c r="L1787">
        <v>94.97142857</v>
      </c>
      <c r="M1787">
        <v>24.31591813</v>
      </c>
      <c r="N1787">
        <v>0.122951111</v>
      </c>
      <c r="O1787">
        <v>83.757575759999995</v>
      </c>
      <c r="P1787">
        <v>22.60997987</v>
      </c>
      <c r="Q1787">
        <v>0.72884000000000004</v>
      </c>
      <c r="R1787" t="s">
        <v>1018</v>
      </c>
      <c r="S1787">
        <v>-0.60588888900000004</v>
      </c>
    </row>
    <row r="1788" spans="1:19" x14ac:dyDescent="0.25">
      <c r="A1788" t="s">
        <v>79</v>
      </c>
      <c r="B1788" t="s">
        <v>982</v>
      </c>
      <c r="C1788">
        <v>6</v>
      </c>
      <c r="D1788" t="s">
        <v>11</v>
      </c>
      <c r="E1788" t="s">
        <v>95</v>
      </c>
      <c r="F1788" t="s">
        <v>111</v>
      </c>
      <c r="G1788" t="s">
        <v>113</v>
      </c>
      <c r="H1788" t="s">
        <v>103</v>
      </c>
      <c r="J1788">
        <v>0</v>
      </c>
      <c r="K1788">
        <v>1</v>
      </c>
      <c r="L1788">
        <v>94.97142857</v>
      </c>
      <c r="M1788">
        <v>24.31591813</v>
      </c>
      <c r="N1788">
        <v>0.122951111</v>
      </c>
      <c r="O1788">
        <v>98.291666669999998</v>
      </c>
      <c r="P1788">
        <v>30.315130790000001</v>
      </c>
      <c r="Q1788">
        <v>5.0803484000000003E-2</v>
      </c>
      <c r="R1788" t="s">
        <v>1018</v>
      </c>
      <c r="S1788">
        <v>7.2147626999999992E-2</v>
      </c>
    </row>
    <row r="1789" spans="1:19" x14ac:dyDescent="0.25">
      <c r="A1789" t="s">
        <v>80</v>
      </c>
      <c r="B1789" t="s">
        <v>983</v>
      </c>
      <c r="C1789">
        <v>6</v>
      </c>
      <c r="D1789" t="s">
        <v>15</v>
      </c>
      <c r="E1789" t="s">
        <v>95</v>
      </c>
      <c r="F1789" t="s">
        <v>105</v>
      </c>
      <c r="G1789" t="s">
        <v>121</v>
      </c>
      <c r="H1789" t="s">
        <v>113</v>
      </c>
      <c r="J1789">
        <v>0</v>
      </c>
      <c r="K1789">
        <v>1</v>
      </c>
      <c r="L1789">
        <v>67.5</v>
      </c>
      <c r="M1789">
        <v>47.937235809999997</v>
      </c>
      <c r="N1789">
        <v>0.41599678000000001</v>
      </c>
      <c r="O1789">
        <v>83.757575759999995</v>
      </c>
      <c r="P1789">
        <v>22.60997987</v>
      </c>
      <c r="Q1789">
        <v>0.72884000000000004</v>
      </c>
      <c r="R1789" t="s">
        <v>1018</v>
      </c>
      <c r="S1789">
        <v>-0.31284322000000003</v>
      </c>
    </row>
    <row r="1790" spans="1:19" x14ac:dyDescent="0.25">
      <c r="A1790" t="s">
        <v>80</v>
      </c>
      <c r="B1790" t="s">
        <v>983</v>
      </c>
      <c r="C1790">
        <v>6</v>
      </c>
      <c r="D1790" t="s">
        <v>15</v>
      </c>
      <c r="E1790" t="s">
        <v>95</v>
      </c>
      <c r="F1790" t="s">
        <v>105</v>
      </c>
      <c r="G1790" t="s">
        <v>121</v>
      </c>
      <c r="H1790" t="s">
        <v>103</v>
      </c>
      <c r="J1790">
        <v>0</v>
      </c>
      <c r="K1790">
        <v>9</v>
      </c>
      <c r="L1790">
        <v>67.5</v>
      </c>
      <c r="M1790">
        <v>47.937235809999997</v>
      </c>
      <c r="N1790">
        <v>0.41599678000000001</v>
      </c>
      <c r="O1790">
        <v>98.291666669999998</v>
      </c>
      <c r="P1790">
        <v>30.315130790000001</v>
      </c>
      <c r="Q1790">
        <v>5.0803484000000003E-2</v>
      </c>
      <c r="R1790" t="s">
        <v>1018</v>
      </c>
      <c r="S1790">
        <v>0.365193296</v>
      </c>
    </row>
    <row r="1791" spans="1:19" x14ac:dyDescent="0.25">
      <c r="A1791" t="s">
        <v>80</v>
      </c>
      <c r="B1791" t="s">
        <v>984</v>
      </c>
      <c r="C1791">
        <v>6</v>
      </c>
      <c r="D1791" t="s">
        <v>15</v>
      </c>
      <c r="E1791" t="s">
        <v>95</v>
      </c>
      <c r="F1791" t="s">
        <v>113</v>
      </c>
      <c r="G1791" t="s">
        <v>113</v>
      </c>
      <c r="H1791" t="s">
        <v>113</v>
      </c>
      <c r="J1791">
        <v>0</v>
      </c>
      <c r="K1791">
        <v>6</v>
      </c>
      <c r="L1791">
        <v>83.757575759999995</v>
      </c>
      <c r="M1791">
        <v>22.60997987</v>
      </c>
      <c r="N1791">
        <v>0.72884000000000004</v>
      </c>
      <c r="O1791">
        <v>83.757575759999995</v>
      </c>
      <c r="P1791">
        <v>22.60997987</v>
      </c>
      <c r="Q1791">
        <v>0.72884000000000004</v>
      </c>
      <c r="R1791" t="s">
        <v>1018</v>
      </c>
      <c r="S1791">
        <v>0</v>
      </c>
    </row>
    <row r="1792" spans="1:19" x14ac:dyDescent="0.25">
      <c r="A1792" t="s">
        <v>80</v>
      </c>
      <c r="B1792" t="s">
        <v>985</v>
      </c>
      <c r="C1792">
        <v>6</v>
      </c>
      <c r="D1792" t="s">
        <v>15</v>
      </c>
      <c r="E1792" t="s">
        <v>95</v>
      </c>
      <c r="F1792" t="s">
        <v>103</v>
      </c>
      <c r="G1792" t="s">
        <v>113</v>
      </c>
      <c r="H1792" t="s">
        <v>113</v>
      </c>
      <c r="J1792">
        <v>0</v>
      </c>
      <c r="K1792">
        <v>1</v>
      </c>
      <c r="L1792">
        <v>98.291666669999998</v>
      </c>
      <c r="M1792">
        <v>30.315130790000001</v>
      </c>
      <c r="N1792">
        <v>5.0803484000000003E-2</v>
      </c>
      <c r="O1792">
        <v>83.757575759999995</v>
      </c>
      <c r="P1792">
        <v>22.60997987</v>
      </c>
      <c r="Q1792">
        <v>0.72884000000000004</v>
      </c>
      <c r="R1792" t="s">
        <v>1018</v>
      </c>
      <c r="S1792">
        <v>-0.67803651600000003</v>
      </c>
    </row>
    <row r="1793" spans="1:19" x14ac:dyDescent="0.25">
      <c r="A1793" t="s">
        <v>80</v>
      </c>
      <c r="B1793" t="s">
        <v>985</v>
      </c>
      <c r="C1793">
        <v>6</v>
      </c>
      <c r="D1793" t="s">
        <v>15</v>
      </c>
      <c r="E1793" t="s">
        <v>95</v>
      </c>
      <c r="F1793" t="s">
        <v>103</v>
      </c>
      <c r="G1793" t="s">
        <v>113</v>
      </c>
      <c r="H1793" t="s">
        <v>103</v>
      </c>
      <c r="J1793">
        <v>0</v>
      </c>
      <c r="K1793">
        <v>2</v>
      </c>
      <c r="L1793">
        <v>98.291666669999998</v>
      </c>
      <c r="M1793">
        <v>30.315130790000001</v>
      </c>
      <c r="N1793">
        <v>5.0803484000000003E-2</v>
      </c>
      <c r="O1793">
        <v>98.291666669999998</v>
      </c>
      <c r="P1793">
        <v>30.315130790000001</v>
      </c>
      <c r="Q1793">
        <v>5.0803484000000003E-2</v>
      </c>
      <c r="R1793" t="s">
        <v>1018</v>
      </c>
      <c r="S1793">
        <v>0</v>
      </c>
    </row>
    <row r="1794" spans="1:19" x14ac:dyDescent="0.25">
      <c r="A1794" t="s">
        <v>81</v>
      </c>
      <c r="B1794" t="s">
        <v>986</v>
      </c>
      <c r="C1794">
        <v>6</v>
      </c>
      <c r="D1794" t="s">
        <v>17</v>
      </c>
      <c r="E1794" t="s">
        <v>94</v>
      </c>
      <c r="F1794" t="s">
        <v>105</v>
      </c>
      <c r="G1794" t="s">
        <v>113</v>
      </c>
      <c r="H1794" t="s">
        <v>113</v>
      </c>
      <c r="J1794">
        <v>0</v>
      </c>
      <c r="K1794">
        <v>6</v>
      </c>
      <c r="L1794">
        <v>67.5</v>
      </c>
      <c r="M1794">
        <v>47.937235809999997</v>
      </c>
      <c r="N1794">
        <v>0.41599678000000001</v>
      </c>
      <c r="O1794">
        <v>83.757575759999995</v>
      </c>
      <c r="P1794">
        <v>22.60997987</v>
      </c>
      <c r="Q1794">
        <v>0.72884000000000004</v>
      </c>
      <c r="R1794" t="s">
        <v>1018</v>
      </c>
      <c r="S1794">
        <v>-0.31284322000000003</v>
      </c>
    </row>
    <row r="1795" spans="1:19" x14ac:dyDescent="0.25">
      <c r="A1795" t="s">
        <v>81</v>
      </c>
      <c r="B1795" t="s">
        <v>987</v>
      </c>
      <c r="C1795">
        <v>6</v>
      </c>
      <c r="D1795" t="s">
        <v>17</v>
      </c>
      <c r="E1795" t="s">
        <v>94</v>
      </c>
      <c r="F1795" t="s">
        <v>113</v>
      </c>
      <c r="G1795" t="s">
        <v>113</v>
      </c>
      <c r="H1795" t="s">
        <v>113</v>
      </c>
      <c r="J1795">
        <v>0</v>
      </c>
      <c r="K1795">
        <v>6</v>
      </c>
      <c r="L1795">
        <v>83.757575759999995</v>
      </c>
      <c r="M1795">
        <v>22.60997987</v>
      </c>
      <c r="N1795">
        <v>0.72884000000000004</v>
      </c>
      <c r="O1795">
        <v>83.757575759999995</v>
      </c>
      <c r="P1795">
        <v>22.60997987</v>
      </c>
      <c r="Q1795">
        <v>0.72884000000000004</v>
      </c>
      <c r="R1795" t="s">
        <v>1018</v>
      </c>
      <c r="S1795">
        <v>0</v>
      </c>
    </row>
    <row r="1796" spans="1:19" x14ac:dyDescent="0.25">
      <c r="A1796" t="s">
        <v>81</v>
      </c>
      <c r="B1796" t="s">
        <v>988</v>
      </c>
      <c r="C1796">
        <v>6</v>
      </c>
      <c r="D1796" t="s">
        <v>17</v>
      </c>
      <c r="E1796" t="s">
        <v>94</v>
      </c>
      <c r="F1796" t="s">
        <v>103</v>
      </c>
      <c r="G1796" t="s">
        <v>113</v>
      </c>
      <c r="H1796" t="s">
        <v>113</v>
      </c>
      <c r="J1796">
        <v>0</v>
      </c>
      <c r="K1796">
        <v>5</v>
      </c>
      <c r="L1796">
        <v>98.291666669999998</v>
      </c>
      <c r="M1796">
        <v>30.315130790000001</v>
      </c>
      <c r="N1796">
        <v>5.0803484000000003E-2</v>
      </c>
      <c r="O1796">
        <v>83.757575759999995</v>
      </c>
      <c r="P1796">
        <v>22.60997987</v>
      </c>
      <c r="Q1796">
        <v>0.72884000000000004</v>
      </c>
      <c r="R1796" t="s">
        <v>1018</v>
      </c>
      <c r="S1796">
        <v>-0.67803651600000003</v>
      </c>
    </row>
    <row r="1797" spans="1:19" x14ac:dyDescent="0.25">
      <c r="A1797" t="s">
        <v>81</v>
      </c>
      <c r="B1797" t="s">
        <v>988</v>
      </c>
      <c r="C1797">
        <v>6</v>
      </c>
      <c r="D1797" t="s">
        <v>17</v>
      </c>
      <c r="E1797" t="s">
        <v>94</v>
      </c>
      <c r="F1797" t="s">
        <v>103</v>
      </c>
      <c r="G1797" t="s">
        <v>113</v>
      </c>
      <c r="H1797" t="s">
        <v>103</v>
      </c>
      <c r="J1797">
        <v>0</v>
      </c>
      <c r="K1797">
        <v>1</v>
      </c>
      <c r="L1797">
        <v>98.291666669999998</v>
      </c>
      <c r="M1797">
        <v>30.315130790000001</v>
      </c>
      <c r="N1797">
        <v>5.0803484000000003E-2</v>
      </c>
      <c r="O1797">
        <v>98.291666669999998</v>
      </c>
      <c r="P1797">
        <v>30.315130790000001</v>
      </c>
      <c r="Q1797">
        <v>5.0803484000000003E-2</v>
      </c>
      <c r="R1797" t="s">
        <v>1018</v>
      </c>
      <c r="S1797">
        <v>0</v>
      </c>
    </row>
    <row r="1798" spans="1:19" x14ac:dyDescent="0.25">
      <c r="A1798" t="s">
        <v>82</v>
      </c>
      <c r="B1798" t="s">
        <v>989</v>
      </c>
      <c r="C1798">
        <v>6</v>
      </c>
      <c r="D1798" t="s">
        <v>19</v>
      </c>
      <c r="E1798" t="s">
        <v>94</v>
      </c>
      <c r="F1798" t="s">
        <v>102</v>
      </c>
      <c r="G1798" t="s">
        <v>102</v>
      </c>
      <c r="H1798" t="s">
        <v>102</v>
      </c>
      <c r="J1798">
        <v>0</v>
      </c>
      <c r="K1798">
        <v>1</v>
      </c>
      <c r="L1798">
        <v>84.740740740000007</v>
      </c>
      <c r="M1798">
        <v>29.167014049999999</v>
      </c>
      <c r="N1798">
        <v>1.1169849999999999</v>
      </c>
      <c r="O1798">
        <v>84.740740740000007</v>
      </c>
      <c r="P1798">
        <v>29.167014049999999</v>
      </c>
      <c r="Q1798">
        <v>1.1169849999999999</v>
      </c>
      <c r="R1798" t="s">
        <v>1018</v>
      </c>
      <c r="S1798">
        <v>0</v>
      </c>
    </row>
    <row r="1799" spans="1:19" x14ac:dyDescent="0.25">
      <c r="A1799" t="s">
        <v>82</v>
      </c>
      <c r="B1799" t="s">
        <v>990</v>
      </c>
      <c r="C1799">
        <v>6</v>
      </c>
      <c r="D1799" t="s">
        <v>19</v>
      </c>
      <c r="E1799" t="s">
        <v>94</v>
      </c>
      <c r="F1799" t="s">
        <v>113</v>
      </c>
      <c r="G1799" t="s">
        <v>113</v>
      </c>
      <c r="H1799" t="s">
        <v>113</v>
      </c>
      <c r="J1799">
        <v>0</v>
      </c>
      <c r="K1799">
        <v>4</v>
      </c>
      <c r="L1799">
        <v>83.757575759999995</v>
      </c>
      <c r="M1799">
        <v>22.60997987</v>
      </c>
      <c r="N1799">
        <v>0.72884000000000004</v>
      </c>
      <c r="O1799">
        <v>83.757575759999995</v>
      </c>
      <c r="P1799">
        <v>22.60997987</v>
      </c>
      <c r="Q1799">
        <v>0.72884000000000004</v>
      </c>
      <c r="R1799" t="s">
        <v>1018</v>
      </c>
      <c r="S1799">
        <v>0</v>
      </c>
    </row>
    <row r="1800" spans="1:19" x14ac:dyDescent="0.25">
      <c r="A1800" t="s">
        <v>82</v>
      </c>
      <c r="B1800" t="s">
        <v>990</v>
      </c>
      <c r="C1800">
        <v>6</v>
      </c>
      <c r="D1800" t="s">
        <v>19</v>
      </c>
      <c r="E1800" t="s">
        <v>94</v>
      </c>
      <c r="F1800" t="s">
        <v>113</v>
      </c>
      <c r="G1800" t="s">
        <v>113</v>
      </c>
      <c r="H1800" t="s">
        <v>241</v>
      </c>
      <c r="J1800">
        <v>0</v>
      </c>
      <c r="K1800">
        <v>1</v>
      </c>
      <c r="L1800">
        <v>83.757575759999995</v>
      </c>
      <c r="M1800">
        <v>22.60997987</v>
      </c>
      <c r="N1800">
        <v>0.72884000000000004</v>
      </c>
      <c r="O1800">
        <v>114</v>
      </c>
      <c r="P1800">
        <v>30.43077242</v>
      </c>
      <c r="Q1800">
        <v>0.53383111100000002</v>
      </c>
      <c r="R1800" t="s">
        <v>1018</v>
      </c>
      <c r="S1800">
        <v>0.19500888900000002</v>
      </c>
    </row>
    <row r="1801" spans="1:19" x14ac:dyDescent="0.25">
      <c r="A1801" t="s">
        <v>82</v>
      </c>
      <c r="B1801" t="s">
        <v>990</v>
      </c>
      <c r="C1801">
        <v>6</v>
      </c>
      <c r="D1801" t="s">
        <v>19</v>
      </c>
      <c r="E1801" t="s">
        <v>94</v>
      </c>
      <c r="F1801" t="s">
        <v>113</v>
      </c>
      <c r="G1801" t="s">
        <v>113</v>
      </c>
      <c r="H1801" t="s">
        <v>808</v>
      </c>
      <c r="J1801">
        <v>0</v>
      </c>
      <c r="K1801">
        <v>1</v>
      </c>
      <c r="L1801">
        <v>83.757575759999995</v>
      </c>
      <c r="M1801">
        <v>22.60997987</v>
      </c>
      <c r="N1801">
        <v>0.72884000000000004</v>
      </c>
      <c r="O1801">
        <v>102.79166669999999</v>
      </c>
      <c r="P1801">
        <v>27.057373470000002</v>
      </c>
      <c r="Q1801">
        <v>6.3567849939999999</v>
      </c>
      <c r="R1801" t="s">
        <v>1018</v>
      </c>
      <c r="S1801">
        <v>-5.6279449939999999</v>
      </c>
    </row>
    <row r="1802" spans="1:19" x14ac:dyDescent="0.25">
      <c r="A1802" t="s">
        <v>82</v>
      </c>
      <c r="B1802" t="s">
        <v>990</v>
      </c>
      <c r="C1802">
        <v>6</v>
      </c>
      <c r="D1802" t="s">
        <v>19</v>
      </c>
      <c r="E1802" t="s">
        <v>94</v>
      </c>
      <c r="F1802" t="s">
        <v>113</v>
      </c>
      <c r="G1802" t="s">
        <v>113</v>
      </c>
      <c r="H1802" t="s">
        <v>103</v>
      </c>
      <c r="J1802">
        <v>0</v>
      </c>
      <c r="K1802">
        <v>1</v>
      </c>
      <c r="L1802">
        <v>83.757575759999995</v>
      </c>
      <c r="M1802">
        <v>22.60997987</v>
      </c>
      <c r="N1802">
        <v>0.72884000000000004</v>
      </c>
      <c r="O1802">
        <v>98.291666669999998</v>
      </c>
      <c r="P1802">
        <v>30.315130790000001</v>
      </c>
      <c r="Q1802">
        <v>5.0803484000000003E-2</v>
      </c>
      <c r="R1802" t="s">
        <v>1018</v>
      </c>
      <c r="S1802">
        <v>0.67803651600000003</v>
      </c>
    </row>
    <row r="1803" spans="1:19" x14ac:dyDescent="0.25">
      <c r="A1803" t="s">
        <v>82</v>
      </c>
      <c r="B1803" t="s">
        <v>991</v>
      </c>
      <c r="C1803">
        <v>6</v>
      </c>
      <c r="D1803" t="s">
        <v>19</v>
      </c>
      <c r="E1803" t="s">
        <v>94</v>
      </c>
      <c r="F1803" t="s">
        <v>104</v>
      </c>
      <c r="G1803" t="s">
        <v>113</v>
      </c>
      <c r="H1803" t="s">
        <v>113</v>
      </c>
      <c r="J1803">
        <v>0</v>
      </c>
      <c r="K1803">
        <v>3</v>
      </c>
      <c r="L1803">
        <v>113.9375</v>
      </c>
      <c r="M1803">
        <v>33.375507550000002</v>
      </c>
      <c r="N1803">
        <v>2.4262999999999999</v>
      </c>
      <c r="O1803">
        <v>83.757575759999995</v>
      </c>
      <c r="P1803">
        <v>22.60997987</v>
      </c>
      <c r="Q1803">
        <v>0.72884000000000004</v>
      </c>
      <c r="R1803" t="s">
        <v>1018</v>
      </c>
      <c r="S1803">
        <v>1.69746</v>
      </c>
    </row>
    <row r="1804" spans="1:19" x14ac:dyDescent="0.25">
      <c r="A1804" t="s">
        <v>83</v>
      </c>
      <c r="B1804" t="s">
        <v>992</v>
      </c>
      <c r="C1804">
        <v>6</v>
      </c>
      <c r="D1804" t="s">
        <v>21</v>
      </c>
      <c r="E1804" t="s">
        <v>94</v>
      </c>
      <c r="F1804" t="s">
        <v>102</v>
      </c>
      <c r="G1804" t="s">
        <v>121</v>
      </c>
      <c r="H1804" t="s">
        <v>114</v>
      </c>
      <c r="J1804">
        <v>0</v>
      </c>
      <c r="K1804">
        <v>0</v>
      </c>
      <c r="L1804">
        <v>84.740740740000007</v>
      </c>
      <c r="M1804">
        <v>29.167014049999999</v>
      </c>
      <c r="N1804">
        <v>1.1169849999999999</v>
      </c>
      <c r="O1804" t="s">
        <v>114</v>
      </c>
      <c r="P1804" t="s">
        <v>114</v>
      </c>
      <c r="Q1804" t="s">
        <v>114</v>
      </c>
      <c r="R1804" t="s">
        <v>1018</v>
      </c>
      <c r="S1804" t="s">
        <v>114</v>
      </c>
    </row>
    <row r="1805" spans="1:19" x14ac:dyDescent="0.25">
      <c r="A1805" t="s">
        <v>83</v>
      </c>
      <c r="B1805" t="s">
        <v>993</v>
      </c>
      <c r="C1805">
        <v>6</v>
      </c>
      <c r="D1805" t="s">
        <v>21</v>
      </c>
      <c r="E1805" t="s">
        <v>94</v>
      </c>
      <c r="F1805" t="s">
        <v>103</v>
      </c>
      <c r="G1805" t="s">
        <v>103</v>
      </c>
      <c r="H1805" t="s">
        <v>103</v>
      </c>
      <c r="J1805">
        <v>0</v>
      </c>
      <c r="K1805">
        <v>2</v>
      </c>
      <c r="L1805">
        <v>98.291666669999998</v>
      </c>
      <c r="M1805">
        <v>30.315130790000001</v>
      </c>
      <c r="N1805">
        <v>5.0803484000000003E-2</v>
      </c>
      <c r="O1805">
        <v>98.291666669999998</v>
      </c>
      <c r="P1805">
        <v>30.315130790000001</v>
      </c>
      <c r="Q1805">
        <v>5.0803484000000003E-2</v>
      </c>
      <c r="R1805" t="s">
        <v>1018</v>
      </c>
      <c r="S1805">
        <v>0</v>
      </c>
    </row>
    <row r="1806" spans="1:19" x14ac:dyDescent="0.25">
      <c r="A1806" t="s">
        <v>83</v>
      </c>
      <c r="B1806" t="s">
        <v>993</v>
      </c>
      <c r="C1806">
        <v>6</v>
      </c>
      <c r="D1806" t="s">
        <v>21</v>
      </c>
      <c r="E1806" t="s">
        <v>94</v>
      </c>
      <c r="F1806" t="s">
        <v>103</v>
      </c>
      <c r="G1806" t="s">
        <v>103</v>
      </c>
      <c r="H1806" t="s">
        <v>246</v>
      </c>
      <c r="J1806">
        <v>0</v>
      </c>
      <c r="K1806">
        <v>1</v>
      </c>
      <c r="L1806">
        <v>98.291666669999998</v>
      </c>
      <c r="M1806">
        <v>30.315130790000001</v>
      </c>
      <c r="N1806">
        <v>5.0803484000000003E-2</v>
      </c>
      <c r="O1806">
        <v>120.25</v>
      </c>
      <c r="P1806">
        <v>30.670450110000001</v>
      </c>
      <c r="Q1806">
        <v>0.91037498500000003</v>
      </c>
      <c r="R1806" t="s">
        <v>1018</v>
      </c>
      <c r="S1806">
        <v>-0.85957150100000002</v>
      </c>
    </row>
    <row r="1807" spans="1:19" x14ac:dyDescent="0.25">
      <c r="A1807" t="s">
        <v>83</v>
      </c>
      <c r="B1807" t="s">
        <v>993</v>
      </c>
      <c r="C1807">
        <v>6</v>
      </c>
      <c r="D1807" t="s">
        <v>21</v>
      </c>
      <c r="E1807" t="s">
        <v>94</v>
      </c>
      <c r="F1807" t="s">
        <v>103</v>
      </c>
      <c r="G1807" t="s">
        <v>103</v>
      </c>
      <c r="H1807" t="s">
        <v>239</v>
      </c>
      <c r="J1807">
        <v>0</v>
      </c>
      <c r="K1807">
        <v>1</v>
      </c>
      <c r="L1807">
        <v>98.291666669999998</v>
      </c>
      <c r="M1807">
        <v>30.315130790000001</v>
      </c>
      <c r="N1807">
        <v>5.0803484000000003E-2</v>
      </c>
      <c r="O1807">
        <v>100.45454549999999</v>
      </c>
      <c r="P1807">
        <v>26.754810689999999</v>
      </c>
      <c r="Q1807">
        <v>0.75829999999999997</v>
      </c>
      <c r="R1807" t="s">
        <v>1018</v>
      </c>
      <c r="S1807">
        <v>-0.70749651599999996</v>
      </c>
    </row>
    <row r="1808" spans="1:19" x14ac:dyDescent="0.25">
      <c r="A1808" t="s">
        <v>83</v>
      </c>
      <c r="B1808" t="s">
        <v>994</v>
      </c>
      <c r="C1808">
        <v>6</v>
      </c>
      <c r="D1808" t="s">
        <v>21</v>
      </c>
      <c r="E1808" t="s">
        <v>94</v>
      </c>
      <c r="F1808" t="s">
        <v>111</v>
      </c>
      <c r="G1808" t="s">
        <v>121</v>
      </c>
      <c r="H1808" t="s">
        <v>114</v>
      </c>
      <c r="J1808">
        <v>0</v>
      </c>
      <c r="K1808">
        <v>0</v>
      </c>
      <c r="L1808">
        <v>94.97142857</v>
      </c>
      <c r="M1808">
        <v>24.31591813</v>
      </c>
      <c r="N1808">
        <v>0.122951111</v>
      </c>
      <c r="O1808" t="s">
        <v>114</v>
      </c>
      <c r="P1808" t="s">
        <v>114</v>
      </c>
      <c r="Q1808" t="s">
        <v>114</v>
      </c>
      <c r="R1808" t="s">
        <v>1018</v>
      </c>
      <c r="S1808" t="s">
        <v>114</v>
      </c>
    </row>
    <row r="1809" spans="1:19" x14ac:dyDescent="0.25">
      <c r="A1809" t="s">
        <v>84</v>
      </c>
      <c r="B1809" t="s">
        <v>995</v>
      </c>
      <c r="C1809">
        <v>6</v>
      </c>
      <c r="D1809" t="s">
        <v>23</v>
      </c>
      <c r="E1809" t="s">
        <v>95</v>
      </c>
      <c r="F1809" t="s">
        <v>102</v>
      </c>
      <c r="G1809" t="s">
        <v>121</v>
      </c>
      <c r="H1809" t="s">
        <v>254</v>
      </c>
      <c r="J1809">
        <v>0</v>
      </c>
      <c r="K1809">
        <v>3</v>
      </c>
      <c r="L1809">
        <v>84.740740740000007</v>
      </c>
      <c r="M1809">
        <v>29.167014049999999</v>
      </c>
      <c r="N1809">
        <v>1.1169849999999999</v>
      </c>
      <c r="O1809" t="s">
        <v>114</v>
      </c>
      <c r="P1809" t="s">
        <v>114</v>
      </c>
      <c r="Q1809" t="s">
        <v>114</v>
      </c>
      <c r="R1809" t="s">
        <v>1018</v>
      </c>
      <c r="S1809" t="s">
        <v>114</v>
      </c>
    </row>
    <row r="1810" spans="1:19" x14ac:dyDescent="0.25">
      <c r="A1810" t="s">
        <v>84</v>
      </c>
      <c r="B1810" t="s">
        <v>995</v>
      </c>
      <c r="C1810">
        <v>6</v>
      </c>
      <c r="D1810" t="s">
        <v>23</v>
      </c>
      <c r="E1810" t="s">
        <v>95</v>
      </c>
      <c r="F1810" t="s">
        <v>102</v>
      </c>
      <c r="G1810" t="s">
        <v>121</v>
      </c>
      <c r="H1810" t="s">
        <v>248</v>
      </c>
      <c r="J1810">
        <v>0</v>
      </c>
      <c r="K1810">
        <v>1</v>
      </c>
      <c r="L1810">
        <v>84.740740740000007</v>
      </c>
      <c r="M1810">
        <v>29.167014049999999</v>
      </c>
      <c r="N1810">
        <v>1.1169849999999999</v>
      </c>
      <c r="O1810">
        <v>83.92307692</v>
      </c>
      <c r="P1810">
        <v>44.319135699999997</v>
      </c>
      <c r="Q1810">
        <v>5.9548609999999997E-3</v>
      </c>
      <c r="R1810" t="s">
        <v>1018</v>
      </c>
      <c r="S1810">
        <v>1.1110301389999999</v>
      </c>
    </row>
    <row r="1811" spans="1:19" x14ac:dyDescent="0.25">
      <c r="A1811" t="s">
        <v>84</v>
      </c>
      <c r="B1811" t="s">
        <v>995</v>
      </c>
      <c r="C1811">
        <v>6</v>
      </c>
      <c r="D1811" t="s">
        <v>23</v>
      </c>
      <c r="E1811" t="s">
        <v>95</v>
      </c>
      <c r="F1811" t="s">
        <v>102</v>
      </c>
      <c r="G1811" t="s">
        <v>121</v>
      </c>
      <c r="H1811" t="s">
        <v>233</v>
      </c>
      <c r="J1811">
        <v>0</v>
      </c>
      <c r="K1811">
        <v>1</v>
      </c>
      <c r="L1811">
        <v>84.740740740000007</v>
      </c>
      <c r="M1811">
        <v>29.167014049999999</v>
      </c>
      <c r="N1811">
        <v>1.1169849999999999</v>
      </c>
      <c r="O1811">
        <v>106.0540541</v>
      </c>
      <c r="P1811">
        <v>52.690533369999997</v>
      </c>
      <c r="Q1811">
        <v>7.6058968000000005E-2</v>
      </c>
      <c r="R1811" t="s">
        <v>1018</v>
      </c>
      <c r="S1811">
        <v>1.0409260319999998</v>
      </c>
    </row>
    <row r="1812" spans="1:19" x14ac:dyDescent="0.25">
      <c r="A1812" t="s">
        <v>84</v>
      </c>
      <c r="B1812" t="s">
        <v>995</v>
      </c>
      <c r="C1812">
        <v>6</v>
      </c>
      <c r="D1812" t="s">
        <v>23</v>
      </c>
      <c r="E1812" t="s">
        <v>95</v>
      </c>
      <c r="F1812" t="s">
        <v>102</v>
      </c>
      <c r="G1812" t="s">
        <v>121</v>
      </c>
      <c r="H1812" t="s">
        <v>103</v>
      </c>
      <c r="J1812">
        <v>0</v>
      </c>
      <c r="K1812">
        <v>5</v>
      </c>
      <c r="L1812">
        <v>84.740740740000007</v>
      </c>
      <c r="M1812">
        <v>29.167014049999999</v>
      </c>
      <c r="N1812">
        <v>1.1169849999999999</v>
      </c>
      <c r="O1812">
        <v>98.291666669999998</v>
      </c>
      <c r="P1812">
        <v>30.315130790000001</v>
      </c>
      <c r="Q1812">
        <v>5.0803484000000003E-2</v>
      </c>
      <c r="R1812" t="s">
        <v>1018</v>
      </c>
      <c r="S1812">
        <v>1.0661815159999999</v>
      </c>
    </row>
    <row r="1813" spans="1:19" x14ac:dyDescent="0.25">
      <c r="A1813" t="s">
        <v>84</v>
      </c>
      <c r="B1813" t="s">
        <v>996</v>
      </c>
      <c r="C1813">
        <v>6</v>
      </c>
      <c r="D1813" t="s">
        <v>23</v>
      </c>
      <c r="E1813" t="s">
        <v>95</v>
      </c>
      <c r="F1813" t="s">
        <v>105</v>
      </c>
      <c r="G1813" t="s">
        <v>103</v>
      </c>
      <c r="H1813" t="s">
        <v>114</v>
      </c>
      <c r="J1813">
        <v>0</v>
      </c>
      <c r="K1813" t="s">
        <v>114</v>
      </c>
      <c r="L1813">
        <v>67.5</v>
      </c>
      <c r="M1813">
        <v>47.937235809999997</v>
      </c>
      <c r="N1813">
        <v>0.41599678000000001</v>
      </c>
      <c r="O1813" t="s">
        <v>114</v>
      </c>
      <c r="P1813" t="s">
        <v>114</v>
      </c>
      <c r="Q1813" t="s">
        <v>114</v>
      </c>
      <c r="R1813" t="s">
        <v>1018</v>
      </c>
      <c r="S1813" t="s">
        <v>114</v>
      </c>
    </row>
    <row r="1814" spans="1:19" x14ac:dyDescent="0.25">
      <c r="A1814" t="s">
        <v>84</v>
      </c>
      <c r="B1814" t="s">
        <v>997</v>
      </c>
      <c r="C1814">
        <v>6</v>
      </c>
      <c r="D1814" t="s">
        <v>23</v>
      </c>
      <c r="E1814" t="s">
        <v>95</v>
      </c>
      <c r="F1814" t="s">
        <v>111</v>
      </c>
      <c r="G1814" t="s">
        <v>103</v>
      </c>
      <c r="H1814" t="s">
        <v>103</v>
      </c>
      <c r="J1814">
        <v>0</v>
      </c>
      <c r="K1814">
        <v>2</v>
      </c>
      <c r="L1814">
        <v>94.97142857</v>
      </c>
      <c r="M1814">
        <v>24.31591813</v>
      </c>
      <c r="N1814">
        <v>0.122951111</v>
      </c>
      <c r="O1814">
        <v>98.291666669999998</v>
      </c>
      <c r="P1814">
        <v>30.315130790000001</v>
      </c>
      <c r="Q1814">
        <v>5.0803484000000003E-2</v>
      </c>
      <c r="R1814" t="s">
        <v>1018</v>
      </c>
      <c r="S1814">
        <v>7.2147626999999992E-2</v>
      </c>
    </row>
    <row r="1815" spans="1:19" x14ac:dyDescent="0.25">
      <c r="A1815" t="s">
        <v>84</v>
      </c>
      <c r="B1815" t="s">
        <v>997</v>
      </c>
      <c r="C1815">
        <v>6</v>
      </c>
      <c r="D1815" t="s">
        <v>23</v>
      </c>
      <c r="E1815" t="s">
        <v>95</v>
      </c>
      <c r="F1815" t="s">
        <v>111</v>
      </c>
      <c r="G1815" t="s">
        <v>103</v>
      </c>
      <c r="H1815" t="s">
        <v>247</v>
      </c>
      <c r="J1815">
        <v>0</v>
      </c>
      <c r="K1815">
        <v>1</v>
      </c>
      <c r="L1815">
        <v>94.97142857</v>
      </c>
      <c r="M1815">
        <v>24.31591813</v>
      </c>
      <c r="N1815">
        <v>0.122951111</v>
      </c>
      <c r="O1815">
        <v>65.791044779999993</v>
      </c>
      <c r="P1815">
        <v>22.94519201</v>
      </c>
      <c r="Q1815">
        <v>8.1320334999999994E-2</v>
      </c>
      <c r="R1815" t="s">
        <v>1018</v>
      </c>
      <c r="S1815">
        <v>4.1630776000000008E-2</v>
      </c>
    </row>
    <row r="1816" spans="1:19" x14ac:dyDescent="0.25">
      <c r="A1816" t="s">
        <v>84</v>
      </c>
      <c r="B1816" t="s">
        <v>997</v>
      </c>
      <c r="C1816">
        <v>6</v>
      </c>
      <c r="D1816" t="s">
        <v>23</v>
      </c>
      <c r="E1816" t="s">
        <v>95</v>
      </c>
      <c r="F1816" t="s">
        <v>111</v>
      </c>
      <c r="G1816" t="s">
        <v>103</v>
      </c>
      <c r="H1816" t="s">
        <v>233</v>
      </c>
      <c r="J1816">
        <v>0</v>
      </c>
      <c r="K1816">
        <v>1</v>
      </c>
      <c r="L1816">
        <v>94.97142857</v>
      </c>
      <c r="M1816">
        <v>24.31591813</v>
      </c>
      <c r="N1816">
        <v>0.122951111</v>
      </c>
      <c r="O1816">
        <v>106.0540541</v>
      </c>
      <c r="P1816">
        <v>52.690533369999997</v>
      </c>
      <c r="Q1816">
        <v>7.6058968000000005E-2</v>
      </c>
      <c r="R1816" t="s">
        <v>1018</v>
      </c>
      <c r="S1816">
        <v>4.6892142999999997E-2</v>
      </c>
    </row>
    <row r="1817" spans="1:19" x14ac:dyDescent="0.25">
      <c r="A1817" t="s">
        <v>84</v>
      </c>
      <c r="B1817" t="s">
        <v>997</v>
      </c>
      <c r="C1817">
        <v>6</v>
      </c>
      <c r="D1817" t="s">
        <v>23</v>
      </c>
      <c r="E1817" t="s">
        <v>95</v>
      </c>
      <c r="F1817" t="s">
        <v>111</v>
      </c>
      <c r="G1817" t="s">
        <v>103</v>
      </c>
      <c r="H1817" t="s">
        <v>808</v>
      </c>
      <c r="J1817">
        <v>0</v>
      </c>
      <c r="K1817">
        <v>1</v>
      </c>
      <c r="L1817">
        <v>94.97142857</v>
      </c>
      <c r="M1817">
        <v>24.31591813</v>
      </c>
      <c r="N1817">
        <v>0.122951111</v>
      </c>
      <c r="O1817">
        <v>102.79166669999999</v>
      </c>
      <c r="P1817">
        <v>27.057373470000002</v>
      </c>
      <c r="Q1817">
        <v>6.3567849939999999</v>
      </c>
      <c r="R1817" t="s">
        <v>1018</v>
      </c>
      <c r="S1817">
        <v>-6.233833883</v>
      </c>
    </row>
    <row r="1818" spans="1:19" x14ac:dyDescent="0.25">
      <c r="A1818" t="s">
        <v>84</v>
      </c>
      <c r="B1818" t="s">
        <v>998</v>
      </c>
      <c r="C1818">
        <v>6</v>
      </c>
      <c r="D1818" t="s">
        <v>23</v>
      </c>
      <c r="E1818" t="s">
        <v>95</v>
      </c>
      <c r="F1818" t="s">
        <v>112</v>
      </c>
      <c r="G1818" t="s">
        <v>103</v>
      </c>
      <c r="H1818" t="s">
        <v>236</v>
      </c>
      <c r="J1818">
        <v>0</v>
      </c>
      <c r="K1818">
        <v>1</v>
      </c>
      <c r="L1818">
        <v>65.09375</v>
      </c>
      <c r="M1818">
        <v>37.895352600000002</v>
      </c>
      <c r="N1818">
        <v>2.2882677779999998</v>
      </c>
      <c r="O1818">
        <v>113.33333330000001</v>
      </c>
      <c r="P1818">
        <v>26.41632581</v>
      </c>
      <c r="Q1818">
        <v>1.6844570160000001</v>
      </c>
      <c r="R1818" t="s">
        <v>1018</v>
      </c>
      <c r="S1818">
        <v>0.60381076199999972</v>
      </c>
    </row>
    <row r="1819" spans="1:19" x14ac:dyDescent="0.25">
      <c r="A1819" t="s">
        <v>84</v>
      </c>
      <c r="B1819" t="s">
        <v>998</v>
      </c>
      <c r="C1819">
        <v>6</v>
      </c>
      <c r="D1819" t="s">
        <v>23</v>
      </c>
      <c r="E1819" t="s">
        <v>95</v>
      </c>
      <c r="F1819" t="s">
        <v>112</v>
      </c>
      <c r="G1819" t="s">
        <v>103</v>
      </c>
      <c r="H1819" t="s">
        <v>103</v>
      </c>
      <c r="J1819">
        <v>0</v>
      </c>
      <c r="K1819">
        <v>2</v>
      </c>
      <c r="L1819">
        <v>65.09375</v>
      </c>
      <c r="M1819">
        <v>37.895352600000002</v>
      </c>
      <c r="N1819">
        <v>2.2882677779999998</v>
      </c>
      <c r="O1819">
        <v>98.291666669999998</v>
      </c>
      <c r="P1819">
        <v>30.315130790000001</v>
      </c>
      <c r="Q1819">
        <v>5.0803484000000003E-2</v>
      </c>
      <c r="R1819" t="s">
        <v>1018</v>
      </c>
      <c r="S1819">
        <v>2.237464294</v>
      </c>
    </row>
    <row r="1820" spans="1:19" x14ac:dyDescent="0.25">
      <c r="A1820" t="s">
        <v>84</v>
      </c>
      <c r="B1820" t="s">
        <v>998</v>
      </c>
      <c r="C1820">
        <v>6</v>
      </c>
      <c r="D1820" t="s">
        <v>23</v>
      </c>
      <c r="E1820" t="s">
        <v>95</v>
      </c>
      <c r="F1820" t="s">
        <v>112</v>
      </c>
      <c r="G1820" t="s">
        <v>103</v>
      </c>
      <c r="H1820" t="s">
        <v>808</v>
      </c>
      <c r="J1820">
        <v>0</v>
      </c>
      <c r="K1820">
        <v>1</v>
      </c>
      <c r="L1820">
        <v>65.09375</v>
      </c>
      <c r="M1820">
        <v>37.895352600000002</v>
      </c>
      <c r="N1820">
        <v>2.2882677779999998</v>
      </c>
      <c r="O1820">
        <v>102.79166669999999</v>
      </c>
      <c r="P1820">
        <v>27.057373470000002</v>
      </c>
      <c r="Q1820">
        <v>6.3567849939999999</v>
      </c>
      <c r="R1820" t="s">
        <v>1018</v>
      </c>
      <c r="S1820">
        <v>-4.068517216</v>
      </c>
    </row>
    <row r="1821" spans="1:19" x14ac:dyDescent="0.25">
      <c r="A1821" t="s">
        <v>84</v>
      </c>
      <c r="B1821" t="s">
        <v>998</v>
      </c>
      <c r="C1821">
        <v>6</v>
      </c>
      <c r="D1821" t="s">
        <v>23</v>
      </c>
      <c r="E1821" t="s">
        <v>95</v>
      </c>
      <c r="F1821" t="s">
        <v>112</v>
      </c>
      <c r="G1821" t="s">
        <v>103</v>
      </c>
      <c r="H1821" t="s">
        <v>239</v>
      </c>
      <c r="J1821">
        <v>0</v>
      </c>
      <c r="K1821">
        <v>2</v>
      </c>
      <c r="L1821">
        <v>65.09375</v>
      </c>
      <c r="M1821">
        <v>37.895352600000002</v>
      </c>
      <c r="N1821">
        <v>2.2882677779999998</v>
      </c>
      <c r="O1821">
        <v>100.45454549999999</v>
      </c>
      <c r="P1821">
        <v>26.754810689999999</v>
      </c>
      <c r="Q1821">
        <v>0.75829999999999997</v>
      </c>
      <c r="R1821" t="s">
        <v>1018</v>
      </c>
      <c r="S1821">
        <v>1.5299677779999998</v>
      </c>
    </row>
    <row r="1822" spans="1:19" x14ac:dyDescent="0.25">
      <c r="A1822" t="s">
        <v>85</v>
      </c>
      <c r="B1822" t="s">
        <v>999</v>
      </c>
      <c r="C1822">
        <v>6</v>
      </c>
      <c r="D1822" t="s">
        <v>25</v>
      </c>
      <c r="E1822" t="s">
        <v>94</v>
      </c>
      <c r="F1822" t="s">
        <v>105</v>
      </c>
      <c r="G1822" t="s">
        <v>103</v>
      </c>
      <c r="H1822" t="s">
        <v>810</v>
      </c>
      <c r="J1822">
        <v>0</v>
      </c>
      <c r="K1822">
        <v>1</v>
      </c>
      <c r="L1822">
        <v>67.5</v>
      </c>
      <c r="M1822">
        <v>47.937235809999997</v>
      </c>
      <c r="N1822">
        <v>0.41599678000000001</v>
      </c>
      <c r="O1822">
        <v>77.055555560000002</v>
      </c>
      <c r="P1822">
        <v>18.389110710000001</v>
      </c>
      <c r="Q1822">
        <v>1.5559800079999999</v>
      </c>
      <c r="R1822" t="s">
        <v>1018</v>
      </c>
      <c r="S1822">
        <v>-1.139983228</v>
      </c>
    </row>
    <row r="1823" spans="1:19" x14ac:dyDescent="0.25">
      <c r="A1823" t="s">
        <v>85</v>
      </c>
      <c r="B1823" t="s">
        <v>999</v>
      </c>
      <c r="C1823">
        <v>6</v>
      </c>
      <c r="D1823" t="s">
        <v>25</v>
      </c>
      <c r="E1823" t="s">
        <v>94</v>
      </c>
      <c r="F1823" t="s">
        <v>105</v>
      </c>
      <c r="G1823" t="s">
        <v>103</v>
      </c>
      <c r="H1823" t="s">
        <v>104</v>
      </c>
      <c r="J1823">
        <v>0</v>
      </c>
      <c r="K1823">
        <v>1</v>
      </c>
      <c r="L1823">
        <v>67.5</v>
      </c>
      <c r="M1823">
        <v>47.937235809999997</v>
      </c>
      <c r="N1823">
        <v>0.41599678000000001</v>
      </c>
      <c r="O1823">
        <v>113.9375</v>
      </c>
      <c r="P1823">
        <v>33.375507550000002</v>
      </c>
      <c r="Q1823">
        <v>2.4262999999999999</v>
      </c>
      <c r="R1823" t="s">
        <v>1018</v>
      </c>
      <c r="S1823">
        <v>-2.0103032199999999</v>
      </c>
    </row>
    <row r="1824" spans="1:19" x14ac:dyDescent="0.25">
      <c r="A1824" t="s">
        <v>85</v>
      </c>
      <c r="B1824" t="s">
        <v>999</v>
      </c>
      <c r="C1824">
        <v>6</v>
      </c>
      <c r="D1824" t="s">
        <v>25</v>
      </c>
      <c r="E1824" t="s">
        <v>94</v>
      </c>
      <c r="F1824" t="s">
        <v>105</v>
      </c>
      <c r="G1824" t="s">
        <v>103</v>
      </c>
      <c r="H1824" t="s">
        <v>110</v>
      </c>
      <c r="J1824">
        <v>0</v>
      </c>
      <c r="K1824">
        <v>1</v>
      </c>
      <c r="L1824">
        <v>67.5</v>
      </c>
      <c r="M1824">
        <v>47.937235809999997</v>
      </c>
      <c r="N1824">
        <v>0.41599678000000001</v>
      </c>
      <c r="O1824">
        <v>73.260869569999997</v>
      </c>
      <c r="P1824">
        <v>34.453830549999999</v>
      </c>
      <c r="Q1824">
        <v>1.058333333</v>
      </c>
      <c r="R1824" t="s">
        <v>1018</v>
      </c>
      <c r="S1824">
        <v>-0.64233655300000003</v>
      </c>
    </row>
    <row r="1825" spans="1:19" x14ac:dyDescent="0.25">
      <c r="A1825" t="s">
        <v>85</v>
      </c>
      <c r="B1825" t="s">
        <v>999</v>
      </c>
      <c r="C1825">
        <v>6</v>
      </c>
      <c r="D1825" t="s">
        <v>25</v>
      </c>
      <c r="E1825" t="s">
        <v>94</v>
      </c>
      <c r="F1825" t="s">
        <v>105</v>
      </c>
      <c r="G1825" t="s">
        <v>103</v>
      </c>
      <c r="H1825" t="s">
        <v>103</v>
      </c>
      <c r="J1825">
        <v>0</v>
      </c>
      <c r="K1825">
        <v>4</v>
      </c>
      <c r="L1825">
        <v>67.5</v>
      </c>
      <c r="M1825">
        <v>47.937235809999997</v>
      </c>
      <c r="N1825">
        <v>0.41599678000000001</v>
      </c>
      <c r="O1825">
        <v>98.291666669999998</v>
      </c>
      <c r="P1825">
        <v>30.315130790000001</v>
      </c>
      <c r="Q1825">
        <v>5.0803484000000003E-2</v>
      </c>
      <c r="R1825" t="s">
        <v>1018</v>
      </c>
      <c r="S1825">
        <v>0.365193296</v>
      </c>
    </row>
    <row r="1826" spans="1:19" x14ac:dyDescent="0.25">
      <c r="A1826" t="s">
        <v>85</v>
      </c>
      <c r="B1826" t="s">
        <v>1000</v>
      </c>
      <c r="C1826">
        <v>6</v>
      </c>
      <c r="D1826" t="s">
        <v>25</v>
      </c>
      <c r="E1826" t="s">
        <v>94</v>
      </c>
      <c r="F1826" t="s">
        <v>110</v>
      </c>
      <c r="G1826" t="s">
        <v>103</v>
      </c>
      <c r="H1826" t="s">
        <v>103</v>
      </c>
      <c r="J1826">
        <v>0</v>
      </c>
      <c r="K1826">
        <v>9</v>
      </c>
      <c r="L1826">
        <v>73.260869569999997</v>
      </c>
      <c r="M1826">
        <v>34.453830549999999</v>
      </c>
      <c r="N1826">
        <v>1.058333333</v>
      </c>
      <c r="O1826">
        <v>98.291666669999998</v>
      </c>
      <c r="P1826">
        <v>30.315130790000001</v>
      </c>
      <c r="Q1826">
        <v>5.0803484000000003E-2</v>
      </c>
      <c r="R1826" t="s">
        <v>1018</v>
      </c>
      <c r="S1826">
        <v>1.007529849</v>
      </c>
    </row>
    <row r="1827" spans="1:19" x14ac:dyDescent="0.25">
      <c r="A1827" t="s">
        <v>85</v>
      </c>
      <c r="B1827" t="s">
        <v>1000</v>
      </c>
      <c r="C1827">
        <v>6</v>
      </c>
      <c r="D1827" t="s">
        <v>25</v>
      </c>
      <c r="E1827" t="s">
        <v>94</v>
      </c>
      <c r="F1827" t="s">
        <v>110</v>
      </c>
      <c r="G1827" t="s">
        <v>103</v>
      </c>
      <c r="H1827" t="s">
        <v>248</v>
      </c>
      <c r="J1827">
        <v>0</v>
      </c>
      <c r="K1827">
        <v>4</v>
      </c>
      <c r="L1827">
        <v>73.260869569999997</v>
      </c>
      <c r="M1827">
        <v>34.453830549999999</v>
      </c>
      <c r="N1827">
        <v>1.058333333</v>
      </c>
      <c r="O1827">
        <v>83.92307692</v>
      </c>
      <c r="P1827">
        <v>44.319135699999997</v>
      </c>
      <c r="Q1827">
        <v>5.9548609999999997E-3</v>
      </c>
      <c r="R1827" t="s">
        <v>1018</v>
      </c>
      <c r="S1827">
        <v>1.052378472</v>
      </c>
    </row>
    <row r="1828" spans="1:19" x14ac:dyDescent="0.25">
      <c r="A1828" t="s">
        <v>85</v>
      </c>
      <c r="B1828" t="s">
        <v>1000</v>
      </c>
      <c r="C1828">
        <v>6</v>
      </c>
      <c r="D1828" t="s">
        <v>25</v>
      </c>
      <c r="E1828" t="s">
        <v>94</v>
      </c>
      <c r="F1828" t="s">
        <v>110</v>
      </c>
      <c r="G1828" t="s">
        <v>103</v>
      </c>
      <c r="H1828" t="s">
        <v>233</v>
      </c>
      <c r="J1828">
        <v>0</v>
      </c>
      <c r="K1828">
        <v>3</v>
      </c>
      <c r="L1828">
        <v>73.260869569999997</v>
      </c>
      <c r="M1828">
        <v>34.453830549999999</v>
      </c>
      <c r="N1828">
        <v>1.058333333</v>
      </c>
      <c r="O1828">
        <v>106.0540541</v>
      </c>
      <c r="P1828">
        <v>52.690533369999997</v>
      </c>
      <c r="Q1828">
        <v>7.6058968000000005E-2</v>
      </c>
      <c r="R1828" t="s">
        <v>1018</v>
      </c>
      <c r="S1828">
        <v>0.98227436499999998</v>
      </c>
    </row>
    <row r="1829" spans="1:19" x14ac:dyDescent="0.25">
      <c r="A1829" t="s">
        <v>85</v>
      </c>
      <c r="B1829" t="s">
        <v>1000</v>
      </c>
      <c r="C1829">
        <v>6</v>
      </c>
      <c r="D1829" t="s">
        <v>25</v>
      </c>
      <c r="E1829" t="s">
        <v>94</v>
      </c>
      <c r="F1829" t="s">
        <v>110</v>
      </c>
      <c r="G1829" t="s">
        <v>103</v>
      </c>
      <c r="H1829" t="s">
        <v>110</v>
      </c>
      <c r="J1829">
        <v>0</v>
      </c>
      <c r="K1829">
        <v>1</v>
      </c>
      <c r="L1829">
        <v>73.260869569999997</v>
      </c>
      <c r="M1829">
        <v>34.453830549999999</v>
      </c>
      <c r="N1829">
        <v>1.058333333</v>
      </c>
      <c r="O1829">
        <v>73.260869569999997</v>
      </c>
      <c r="P1829">
        <v>34.453830549999999</v>
      </c>
      <c r="Q1829">
        <v>1.058333333</v>
      </c>
      <c r="R1829" t="s">
        <v>1018</v>
      </c>
      <c r="S1829">
        <v>0</v>
      </c>
    </row>
    <row r="1830" spans="1:19" x14ac:dyDescent="0.25">
      <c r="A1830" t="s">
        <v>86</v>
      </c>
      <c r="B1830" t="s">
        <v>1001</v>
      </c>
      <c r="C1830">
        <v>6</v>
      </c>
      <c r="D1830" t="s">
        <v>27</v>
      </c>
      <c r="E1830" t="s">
        <v>94</v>
      </c>
      <c r="F1830" t="s">
        <v>110</v>
      </c>
      <c r="G1830" t="s">
        <v>121</v>
      </c>
      <c r="H1830" t="s">
        <v>246</v>
      </c>
      <c r="J1830">
        <v>0</v>
      </c>
      <c r="K1830">
        <v>1</v>
      </c>
      <c r="L1830">
        <v>73.260869569999997</v>
      </c>
      <c r="M1830">
        <v>34.453830549999999</v>
      </c>
      <c r="N1830">
        <v>1.058333333</v>
      </c>
      <c r="O1830">
        <v>120.25</v>
      </c>
      <c r="P1830">
        <v>30.670450110000001</v>
      </c>
      <c r="Q1830">
        <v>0.91037498500000003</v>
      </c>
      <c r="R1830" t="s">
        <v>1018</v>
      </c>
      <c r="S1830">
        <v>0.14795834799999996</v>
      </c>
    </row>
    <row r="1831" spans="1:19" x14ac:dyDescent="0.25">
      <c r="A1831" t="s">
        <v>86</v>
      </c>
      <c r="B1831" t="s">
        <v>1001</v>
      </c>
      <c r="C1831">
        <v>6</v>
      </c>
      <c r="D1831" t="s">
        <v>27</v>
      </c>
      <c r="E1831" t="s">
        <v>94</v>
      </c>
      <c r="F1831" t="s">
        <v>110</v>
      </c>
      <c r="G1831" t="s">
        <v>121</v>
      </c>
      <c r="H1831" t="s">
        <v>242</v>
      </c>
      <c r="J1831">
        <v>0</v>
      </c>
      <c r="K1831">
        <v>2</v>
      </c>
      <c r="L1831">
        <v>73.260869569999997</v>
      </c>
      <c r="M1831">
        <v>34.453830549999999</v>
      </c>
      <c r="N1831">
        <v>1.058333333</v>
      </c>
      <c r="O1831">
        <v>139.375</v>
      </c>
      <c r="P1831">
        <v>23.713465920000001</v>
      </c>
      <c r="Q1831" t="s">
        <v>114</v>
      </c>
      <c r="R1831" t="s">
        <v>1018</v>
      </c>
      <c r="S1831" t="s">
        <v>114</v>
      </c>
    </row>
    <row r="1832" spans="1:19" x14ac:dyDescent="0.25">
      <c r="A1832" t="s">
        <v>86</v>
      </c>
      <c r="B1832" t="s">
        <v>1002</v>
      </c>
      <c r="C1832">
        <v>6</v>
      </c>
      <c r="D1832" t="s">
        <v>27</v>
      </c>
      <c r="E1832" t="s">
        <v>94</v>
      </c>
      <c r="F1832" t="s">
        <v>112</v>
      </c>
      <c r="G1832" t="s">
        <v>110</v>
      </c>
      <c r="H1832" t="s">
        <v>110</v>
      </c>
      <c r="J1832">
        <v>0</v>
      </c>
      <c r="K1832">
        <v>1</v>
      </c>
      <c r="L1832">
        <v>65.09375</v>
      </c>
      <c r="M1832">
        <v>37.895352600000002</v>
      </c>
      <c r="N1832">
        <v>2.2882677779999998</v>
      </c>
      <c r="O1832">
        <v>73.260869569999997</v>
      </c>
      <c r="P1832">
        <v>34.453830549999999</v>
      </c>
      <c r="Q1832">
        <v>1.058333333</v>
      </c>
      <c r="R1832" t="s">
        <v>1018</v>
      </c>
      <c r="S1832">
        <v>1.2299344449999998</v>
      </c>
    </row>
    <row r="1833" spans="1:19" x14ac:dyDescent="0.25">
      <c r="A1833" t="s">
        <v>86</v>
      </c>
      <c r="B1833" t="s">
        <v>1002</v>
      </c>
      <c r="C1833">
        <v>6</v>
      </c>
      <c r="D1833" t="s">
        <v>27</v>
      </c>
      <c r="E1833" t="s">
        <v>94</v>
      </c>
      <c r="F1833" t="s">
        <v>112</v>
      </c>
      <c r="G1833" t="s">
        <v>110</v>
      </c>
      <c r="H1833" t="s">
        <v>246</v>
      </c>
      <c r="J1833">
        <v>0</v>
      </c>
      <c r="K1833">
        <v>1</v>
      </c>
      <c r="L1833">
        <v>65.09375</v>
      </c>
      <c r="M1833">
        <v>37.895352600000002</v>
      </c>
      <c r="N1833">
        <v>2.2882677779999998</v>
      </c>
      <c r="O1833">
        <v>120.25</v>
      </c>
      <c r="P1833">
        <v>30.670450110000001</v>
      </c>
      <c r="Q1833">
        <v>0.91037498500000003</v>
      </c>
      <c r="R1833" t="s">
        <v>1018</v>
      </c>
      <c r="S1833">
        <v>1.3778927929999998</v>
      </c>
    </row>
    <row r="1834" spans="1:19" x14ac:dyDescent="0.25">
      <c r="A1834" t="s">
        <v>87</v>
      </c>
      <c r="B1834" t="s">
        <v>1003</v>
      </c>
      <c r="C1834">
        <v>6</v>
      </c>
      <c r="D1834" t="s">
        <v>29</v>
      </c>
      <c r="E1834" t="s">
        <v>95</v>
      </c>
      <c r="F1834" t="s">
        <v>102</v>
      </c>
      <c r="G1834" t="s">
        <v>110</v>
      </c>
      <c r="H1834" t="s">
        <v>110</v>
      </c>
      <c r="J1834">
        <v>0</v>
      </c>
      <c r="K1834">
        <v>3</v>
      </c>
      <c r="L1834">
        <v>84.740740740000007</v>
      </c>
      <c r="M1834">
        <v>29.167014049999999</v>
      </c>
      <c r="N1834">
        <v>1.1169849999999999</v>
      </c>
      <c r="O1834">
        <v>73.260869569999997</v>
      </c>
      <c r="P1834">
        <v>34.453830549999999</v>
      </c>
      <c r="Q1834">
        <v>1.058333333</v>
      </c>
      <c r="R1834" t="s">
        <v>1018</v>
      </c>
      <c r="S1834">
        <v>5.8651666999999907E-2</v>
      </c>
    </row>
    <row r="1835" spans="1:19" x14ac:dyDescent="0.25">
      <c r="A1835" t="s">
        <v>87</v>
      </c>
      <c r="B1835" t="s">
        <v>1003</v>
      </c>
      <c r="C1835">
        <v>6</v>
      </c>
      <c r="D1835" t="s">
        <v>29</v>
      </c>
      <c r="E1835" t="s">
        <v>95</v>
      </c>
      <c r="F1835" t="s">
        <v>102</v>
      </c>
      <c r="G1835" t="s">
        <v>110</v>
      </c>
      <c r="H1835" t="s">
        <v>246</v>
      </c>
      <c r="J1835">
        <v>0</v>
      </c>
      <c r="K1835">
        <v>1</v>
      </c>
      <c r="L1835">
        <v>84.740740740000007</v>
      </c>
      <c r="M1835">
        <v>29.167014049999999</v>
      </c>
      <c r="N1835">
        <v>1.1169849999999999</v>
      </c>
      <c r="O1835">
        <v>120.25</v>
      </c>
      <c r="P1835">
        <v>30.670450110000001</v>
      </c>
      <c r="Q1835">
        <v>0.91037498500000003</v>
      </c>
      <c r="R1835" t="s">
        <v>1018</v>
      </c>
      <c r="S1835">
        <v>0.20661001499999987</v>
      </c>
    </row>
    <row r="1836" spans="1:19" x14ac:dyDescent="0.25">
      <c r="A1836" t="s">
        <v>87</v>
      </c>
      <c r="B1836" t="s">
        <v>1003</v>
      </c>
      <c r="C1836">
        <v>6</v>
      </c>
      <c r="D1836" t="s">
        <v>29</v>
      </c>
      <c r="E1836" t="s">
        <v>95</v>
      </c>
      <c r="F1836" t="s">
        <v>102</v>
      </c>
      <c r="G1836" t="s">
        <v>110</v>
      </c>
      <c r="H1836" t="s">
        <v>242</v>
      </c>
      <c r="J1836">
        <v>0</v>
      </c>
      <c r="K1836">
        <v>2</v>
      </c>
      <c r="L1836">
        <v>84.740740740000007</v>
      </c>
      <c r="M1836">
        <v>29.167014049999999</v>
      </c>
      <c r="N1836">
        <v>1.1169849999999999</v>
      </c>
      <c r="O1836">
        <v>139.375</v>
      </c>
      <c r="P1836">
        <v>23.713465920000001</v>
      </c>
      <c r="Q1836" t="s">
        <v>114</v>
      </c>
      <c r="R1836" t="s">
        <v>1018</v>
      </c>
      <c r="S1836" t="s">
        <v>114</v>
      </c>
    </row>
    <row r="1837" spans="1:19" x14ac:dyDescent="0.25">
      <c r="A1837" t="s">
        <v>87</v>
      </c>
      <c r="B1837" t="s">
        <v>1004</v>
      </c>
      <c r="C1837">
        <v>6</v>
      </c>
      <c r="D1837" t="s">
        <v>29</v>
      </c>
      <c r="E1837" t="s">
        <v>95</v>
      </c>
      <c r="F1837" t="s">
        <v>110</v>
      </c>
      <c r="G1837" t="s">
        <v>110</v>
      </c>
      <c r="H1837" t="s">
        <v>110</v>
      </c>
      <c r="J1837">
        <v>0</v>
      </c>
      <c r="K1837">
        <v>1</v>
      </c>
      <c r="L1837">
        <v>73.260869569999997</v>
      </c>
      <c r="M1837">
        <v>34.453830549999999</v>
      </c>
      <c r="N1837">
        <v>1.058333333</v>
      </c>
      <c r="O1837">
        <v>73.260869569999997</v>
      </c>
      <c r="P1837">
        <v>34.453830549999999</v>
      </c>
      <c r="Q1837">
        <v>1.058333333</v>
      </c>
      <c r="R1837" t="s">
        <v>1018</v>
      </c>
      <c r="S1837">
        <v>0</v>
      </c>
    </row>
    <row r="1838" spans="1:19" x14ac:dyDescent="0.25">
      <c r="A1838" t="s">
        <v>88</v>
      </c>
      <c r="B1838" t="s">
        <v>1005</v>
      </c>
      <c r="C1838">
        <v>6</v>
      </c>
      <c r="D1838" t="s">
        <v>31</v>
      </c>
      <c r="E1838" t="s">
        <v>95</v>
      </c>
      <c r="F1838" t="s">
        <v>110</v>
      </c>
      <c r="G1838" t="s">
        <v>113</v>
      </c>
      <c r="H1838" t="s">
        <v>113</v>
      </c>
      <c r="J1838">
        <v>0</v>
      </c>
      <c r="K1838">
        <v>3</v>
      </c>
      <c r="L1838">
        <v>73.260869569999997</v>
      </c>
      <c r="M1838">
        <v>34.453830549999999</v>
      </c>
      <c r="N1838">
        <v>1.058333333</v>
      </c>
      <c r="O1838">
        <v>83.757575759999995</v>
      </c>
      <c r="P1838">
        <v>22.60997987</v>
      </c>
      <c r="Q1838">
        <v>0.72884000000000004</v>
      </c>
      <c r="R1838" t="s">
        <v>1018</v>
      </c>
      <c r="S1838">
        <v>0.32949333299999994</v>
      </c>
    </row>
    <row r="1839" spans="1:19" x14ac:dyDescent="0.25">
      <c r="A1839" t="s">
        <v>88</v>
      </c>
      <c r="B1839" t="s">
        <v>1005</v>
      </c>
      <c r="C1839">
        <v>6</v>
      </c>
      <c r="D1839" t="s">
        <v>31</v>
      </c>
      <c r="E1839" t="s">
        <v>95</v>
      </c>
      <c r="F1839" t="s">
        <v>110</v>
      </c>
      <c r="G1839" t="s">
        <v>113</v>
      </c>
      <c r="H1839" t="s">
        <v>103</v>
      </c>
      <c r="J1839">
        <v>0</v>
      </c>
      <c r="K1839">
        <v>1</v>
      </c>
      <c r="L1839">
        <v>73.260869569999997</v>
      </c>
      <c r="M1839">
        <v>34.453830549999999</v>
      </c>
      <c r="N1839">
        <v>1.058333333</v>
      </c>
      <c r="O1839">
        <v>98.291666669999998</v>
      </c>
      <c r="P1839">
        <v>30.315130790000001</v>
      </c>
      <c r="Q1839">
        <v>5.0803484000000003E-2</v>
      </c>
      <c r="R1839" t="s">
        <v>1018</v>
      </c>
      <c r="S1839">
        <v>1.007529849</v>
      </c>
    </row>
    <row r="1840" spans="1:19" x14ac:dyDescent="0.25">
      <c r="A1840" t="s">
        <v>88</v>
      </c>
      <c r="B1840" t="s">
        <v>1006</v>
      </c>
      <c r="C1840">
        <v>6</v>
      </c>
      <c r="D1840" t="s">
        <v>31</v>
      </c>
      <c r="E1840" t="s">
        <v>95</v>
      </c>
      <c r="F1840" t="s">
        <v>112</v>
      </c>
      <c r="G1840" t="s">
        <v>113</v>
      </c>
      <c r="H1840" t="s">
        <v>113</v>
      </c>
      <c r="J1840">
        <v>0</v>
      </c>
      <c r="K1840">
        <v>2</v>
      </c>
      <c r="L1840">
        <v>65.09375</v>
      </c>
      <c r="M1840">
        <v>37.895352600000002</v>
      </c>
      <c r="N1840">
        <v>2.2882677779999998</v>
      </c>
      <c r="O1840">
        <v>83.757575759999995</v>
      </c>
      <c r="P1840">
        <v>22.60997987</v>
      </c>
      <c r="Q1840">
        <v>0.72884000000000004</v>
      </c>
      <c r="R1840" t="s">
        <v>1018</v>
      </c>
      <c r="S1840">
        <v>1.5594277779999999</v>
      </c>
    </row>
    <row r="1841" spans="1:19" x14ac:dyDescent="0.25">
      <c r="A1841" t="s">
        <v>89</v>
      </c>
      <c r="B1841" t="s">
        <v>1007</v>
      </c>
      <c r="C1841">
        <v>6</v>
      </c>
      <c r="D1841" t="s">
        <v>33</v>
      </c>
      <c r="E1841" t="s">
        <v>95</v>
      </c>
      <c r="F1841" t="s">
        <v>104</v>
      </c>
      <c r="G1841" t="s">
        <v>104</v>
      </c>
      <c r="H1841" t="s">
        <v>104</v>
      </c>
      <c r="J1841">
        <v>1</v>
      </c>
      <c r="K1841">
        <v>1</v>
      </c>
      <c r="L1841">
        <v>113.9375</v>
      </c>
      <c r="M1841">
        <v>33.375507550000002</v>
      </c>
      <c r="N1841">
        <v>2.4262999999999999</v>
      </c>
      <c r="O1841">
        <v>113.9375</v>
      </c>
      <c r="P1841">
        <v>33.375507550000002</v>
      </c>
      <c r="Q1841">
        <v>2.4262999999999999</v>
      </c>
      <c r="R1841" t="s">
        <v>1018</v>
      </c>
      <c r="S1841">
        <v>0</v>
      </c>
    </row>
    <row r="1842" spans="1:19" x14ac:dyDescent="0.25">
      <c r="A1842" t="s">
        <v>89</v>
      </c>
      <c r="B1842" t="s">
        <v>1007</v>
      </c>
      <c r="C1842">
        <v>6</v>
      </c>
      <c r="D1842" t="s">
        <v>33</v>
      </c>
      <c r="E1842" t="s">
        <v>95</v>
      </c>
      <c r="F1842" t="s">
        <v>104</v>
      </c>
      <c r="G1842" t="s">
        <v>104</v>
      </c>
      <c r="H1842" t="s">
        <v>103</v>
      </c>
      <c r="J1842">
        <v>1</v>
      </c>
      <c r="K1842">
        <v>1</v>
      </c>
      <c r="L1842">
        <v>113.9375</v>
      </c>
      <c r="M1842">
        <v>33.375507550000002</v>
      </c>
      <c r="N1842">
        <v>2.4262999999999999</v>
      </c>
      <c r="O1842">
        <v>98.291666669999998</v>
      </c>
      <c r="P1842">
        <v>30.315130790000001</v>
      </c>
      <c r="Q1842">
        <v>5.0803484000000003E-2</v>
      </c>
      <c r="R1842" t="s">
        <v>1018</v>
      </c>
      <c r="S1842">
        <v>2.3754965160000001</v>
      </c>
    </row>
    <row r="1843" spans="1:19" x14ac:dyDescent="0.25">
      <c r="A1843" t="s">
        <v>89</v>
      </c>
      <c r="B1843" t="s">
        <v>1007</v>
      </c>
      <c r="C1843">
        <v>6</v>
      </c>
      <c r="D1843" t="s">
        <v>33</v>
      </c>
      <c r="E1843" t="s">
        <v>95</v>
      </c>
      <c r="F1843" t="s">
        <v>104</v>
      </c>
      <c r="G1843" t="s">
        <v>104</v>
      </c>
      <c r="H1843" t="s">
        <v>246</v>
      </c>
      <c r="J1843">
        <v>1</v>
      </c>
      <c r="K1843">
        <v>1</v>
      </c>
      <c r="L1843">
        <v>113.9375</v>
      </c>
      <c r="M1843">
        <v>33.375507550000002</v>
      </c>
      <c r="N1843">
        <v>2.4262999999999999</v>
      </c>
      <c r="O1843">
        <v>120.25</v>
      </c>
      <c r="P1843">
        <v>30.670450110000001</v>
      </c>
      <c r="Q1843">
        <v>0.91037498500000003</v>
      </c>
      <c r="R1843" t="s">
        <v>1018</v>
      </c>
      <c r="S1843">
        <v>1.5159250149999999</v>
      </c>
    </row>
    <row r="1844" spans="1:19" x14ac:dyDescent="0.25">
      <c r="A1844" t="s">
        <v>89</v>
      </c>
      <c r="B1844" t="s">
        <v>1008</v>
      </c>
      <c r="C1844">
        <v>6</v>
      </c>
      <c r="D1844" t="s">
        <v>33</v>
      </c>
      <c r="E1844" t="s">
        <v>95</v>
      </c>
      <c r="F1844" t="s">
        <v>112</v>
      </c>
      <c r="G1844" t="s">
        <v>113</v>
      </c>
      <c r="H1844" t="s">
        <v>113</v>
      </c>
      <c r="I1844" t="s">
        <v>255</v>
      </c>
      <c r="J1844">
        <v>0</v>
      </c>
      <c r="K1844">
        <v>4</v>
      </c>
      <c r="L1844">
        <v>65.09375</v>
      </c>
      <c r="M1844">
        <v>37.895352600000002</v>
      </c>
      <c r="N1844">
        <v>2.2882677779999998</v>
      </c>
      <c r="O1844">
        <v>83.757575759999995</v>
      </c>
      <c r="P1844">
        <v>22.60997987</v>
      </c>
      <c r="Q1844">
        <v>0.72884000000000004</v>
      </c>
      <c r="R1844" t="s">
        <v>1018</v>
      </c>
      <c r="S1844">
        <v>1.5594277779999999</v>
      </c>
    </row>
    <row r="1845" spans="1:19" x14ac:dyDescent="0.25">
      <c r="A1845" t="s">
        <v>90</v>
      </c>
      <c r="B1845" t="s">
        <v>1009</v>
      </c>
      <c r="C1845">
        <v>6</v>
      </c>
      <c r="D1845" t="s">
        <v>35</v>
      </c>
      <c r="E1845" t="s">
        <v>94</v>
      </c>
      <c r="F1845" t="s">
        <v>111</v>
      </c>
      <c r="G1845" t="s">
        <v>121</v>
      </c>
      <c r="H1845" t="s">
        <v>253</v>
      </c>
      <c r="J1845">
        <v>0</v>
      </c>
      <c r="K1845">
        <v>3</v>
      </c>
      <c r="L1845">
        <v>94.97142857</v>
      </c>
      <c r="M1845">
        <v>24.31591813</v>
      </c>
      <c r="N1845">
        <v>0.122951111</v>
      </c>
      <c r="O1845">
        <v>172.08823530000001</v>
      </c>
      <c r="P1845">
        <v>29.581605960000001</v>
      </c>
      <c r="Q1845">
        <v>0.24280444400000001</v>
      </c>
      <c r="R1845" t="s">
        <v>1018</v>
      </c>
      <c r="S1845">
        <v>-0.11985333300000001</v>
      </c>
    </row>
    <row r="1846" spans="1:19" x14ac:dyDescent="0.25">
      <c r="A1846" t="s">
        <v>90</v>
      </c>
      <c r="B1846" t="s">
        <v>1009</v>
      </c>
      <c r="C1846">
        <v>6</v>
      </c>
      <c r="D1846" t="s">
        <v>35</v>
      </c>
      <c r="E1846" t="s">
        <v>94</v>
      </c>
      <c r="F1846" t="s">
        <v>111</v>
      </c>
      <c r="G1846" t="s">
        <v>121</v>
      </c>
      <c r="H1846" t="s">
        <v>162</v>
      </c>
      <c r="J1846">
        <v>0</v>
      </c>
      <c r="K1846">
        <v>1</v>
      </c>
      <c r="L1846">
        <v>94.97142857</v>
      </c>
      <c r="M1846">
        <v>24.31591813</v>
      </c>
      <c r="N1846">
        <v>0.122951111</v>
      </c>
      <c r="O1846">
        <v>82.53846154</v>
      </c>
      <c r="P1846">
        <v>35.660530039999998</v>
      </c>
      <c r="Q1846">
        <v>3.3754499999999998</v>
      </c>
      <c r="R1846" t="s">
        <v>1018</v>
      </c>
      <c r="S1846">
        <v>-3.2524988889999999</v>
      </c>
    </row>
    <row r="1847" spans="1:19" x14ac:dyDescent="0.25">
      <c r="A1847" t="s">
        <v>90</v>
      </c>
      <c r="B1847" t="s">
        <v>1010</v>
      </c>
      <c r="C1847">
        <v>6</v>
      </c>
      <c r="D1847" t="s">
        <v>35</v>
      </c>
      <c r="E1847" t="s">
        <v>94</v>
      </c>
      <c r="F1847" t="s">
        <v>104</v>
      </c>
      <c r="G1847" t="s">
        <v>111</v>
      </c>
      <c r="H1847" t="s">
        <v>111</v>
      </c>
      <c r="J1847">
        <v>1</v>
      </c>
      <c r="K1847">
        <v>1</v>
      </c>
      <c r="L1847">
        <v>113.9375</v>
      </c>
      <c r="M1847">
        <v>33.375507550000002</v>
      </c>
      <c r="N1847">
        <v>2.4262999999999999</v>
      </c>
      <c r="O1847">
        <v>94.97142857</v>
      </c>
      <c r="P1847">
        <v>24.31591813</v>
      </c>
      <c r="Q1847">
        <v>0.122951111</v>
      </c>
      <c r="R1847" t="s">
        <v>1018</v>
      </c>
      <c r="S1847">
        <v>2.303348889</v>
      </c>
    </row>
    <row r="1848" spans="1:19" x14ac:dyDescent="0.25">
      <c r="A1848" t="s">
        <v>90</v>
      </c>
      <c r="B1848" t="s">
        <v>1010</v>
      </c>
      <c r="C1848">
        <v>6</v>
      </c>
      <c r="D1848" t="s">
        <v>35</v>
      </c>
      <c r="E1848" t="s">
        <v>94</v>
      </c>
      <c r="F1848" t="s">
        <v>104</v>
      </c>
      <c r="G1848" t="s">
        <v>111</v>
      </c>
      <c r="H1848" t="s">
        <v>253</v>
      </c>
      <c r="J1848">
        <v>1</v>
      </c>
      <c r="K1848">
        <v>2</v>
      </c>
      <c r="L1848">
        <v>113.9375</v>
      </c>
      <c r="M1848">
        <v>33.375507550000002</v>
      </c>
      <c r="N1848">
        <v>2.4262999999999999</v>
      </c>
      <c r="O1848">
        <v>172.08823530000001</v>
      </c>
      <c r="P1848">
        <v>29.581605960000001</v>
      </c>
      <c r="Q1848">
        <v>0.24280444400000001</v>
      </c>
      <c r="R1848" t="s">
        <v>1018</v>
      </c>
      <c r="S1848">
        <v>2.183495556</v>
      </c>
    </row>
    <row r="1849" spans="1:19" x14ac:dyDescent="0.25">
      <c r="A1849" t="s">
        <v>91</v>
      </c>
      <c r="B1849" t="s">
        <v>1011</v>
      </c>
      <c r="C1849">
        <v>6</v>
      </c>
      <c r="D1849" t="s">
        <v>37</v>
      </c>
      <c r="E1849" t="s">
        <v>94</v>
      </c>
      <c r="F1849" t="s">
        <v>112</v>
      </c>
      <c r="G1849" t="s">
        <v>112</v>
      </c>
      <c r="H1849" t="s">
        <v>112</v>
      </c>
      <c r="J1849">
        <v>0</v>
      </c>
      <c r="K1849">
        <v>1</v>
      </c>
      <c r="L1849">
        <v>65.09375</v>
      </c>
      <c r="M1849">
        <v>37.895352600000002</v>
      </c>
      <c r="N1849">
        <v>2.2882677779999998</v>
      </c>
      <c r="O1849">
        <v>65.09375</v>
      </c>
      <c r="P1849">
        <v>37.895352600000002</v>
      </c>
      <c r="Q1849">
        <v>2.2882677779999998</v>
      </c>
      <c r="R1849" t="s">
        <v>1018</v>
      </c>
      <c r="S1849">
        <v>0</v>
      </c>
    </row>
    <row r="1850" spans="1:19" x14ac:dyDescent="0.25">
      <c r="A1850" t="s">
        <v>92</v>
      </c>
      <c r="B1850" t="s">
        <v>1012</v>
      </c>
      <c r="C1850">
        <v>6</v>
      </c>
      <c r="D1850" t="s">
        <v>64</v>
      </c>
      <c r="E1850" t="s">
        <v>94</v>
      </c>
      <c r="F1850" t="s">
        <v>112</v>
      </c>
      <c r="G1850" t="s">
        <v>102</v>
      </c>
      <c r="H1850" t="s">
        <v>102</v>
      </c>
      <c r="J1850">
        <v>0</v>
      </c>
      <c r="K1850">
        <v>2</v>
      </c>
      <c r="L1850">
        <v>65.09375</v>
      </c>
      <c r="M1850">
        <v>37.895352600000002</v>
      </c>
      <c r="N1850">
        <v>2.2882677779999998</v>
      </c>
      <c r="O1850">
        <v>84.740740740000007</v>
      </c>
      <c r="P1850">
        <v>29.167014049999999</v>
      </c>
      <c r="Q1850">
        <v>1.1169849999999999</v>
      </c>
      <c r="R1850" t="s">
        <v>1018</v>
      </c>
      <c r="S1850">
        <v>1.1712827779999999</v>
      </c>
    </row>
    <row r="1851" spans="1:19" x14ac:dyDescent="0.25">
      <c r="A1851" t="s">
        <v>92</v>
      </c>
      <c r="B1851" t="s">
        <v>1012</v>
      </c>
      <c r="C1851">
        <v>6</v>
      </c>
      <c r="D1851" t="s">
        <v>64</v>
      </c>
      <c r="E1851" t="s">
        <v>94</v>
      </c>
      <c r="F1851" t="s">
        <v>112</v>
      </c>
      <c r="G1851" t="s">
        <v>102</v>
      </c>
      <c r="H1851" t="s">
        <v>241</v>
      </c>
      <c r="J1851">
        <v>0</v>
      </c>
      <c r="K1851">
        <v>1</v>
      </c>
      <c r="L1851">
        <v>65.09375</v>
      </c>
      <c r="M1851">
        <v>37.895352600000002</v>
      </c>
      <c r="N1851">
        <v>2.2882677779999998</v>
      </c>
      <c r="O1851">
        <v>114</v>
      </c>
      <c r="P1851">
        <v>30.43077242</v>
      </c>
      <c r="Q1851">
        <v>0.53383111100000002</v>
      </c>
      <c r="R1851" t="s">
        <v>1018</v>
      </c>
      <c r="S1851">
        <v>1.7544366669999998</v>
      </c>
    </row>
    <row r="1852" spans="1:19" x14ac:dyDescent="0.25">
      <c r="A1852" t="s">
        <v>93</v>
      </c>
      <c r="B1852" t="s">
        <v>1013</v>
      </c>
      <c r="C1852">
        <v>6</v>
      </c>
      <c r="D1852" t="s">
        <v>66</v>
      </c>
      <c r="E1852" t="s">
        <v>95</v>
      </c>
      <c r="F1852" t="s">
        <v>104</v>
      </c>
      <c r="G1852" t="s">
        <v>103</v>
      </c>
      <c r="H1852" t="s">
        <v>104</v>
      </c>
      <c r="J1852">
        <v>0</v>
      </c>
      <c r="K1852">
        <v>1</v>
      </c>
      <c r="L1852">
        <v>113.9375</v>
      </c>
      <c r="M1852">
        <v>33.375507550000002</v>
      </c>
      <c r="N1852">
        <v>2.4262999999999999</v>
      </c>
      <c r="O1852">
        <v>113.9375</v>
      </c>
      <c r="P1852">
        <v>33.375507550000002</v>
      </c>
      <c r="Q1852">
        <v>2.4262999999999999</v>
      </c>
      <c r="R1852" t="s">
        <v>1018</v>
      </c>
      <c r="S1852">
        <v>0</v>
      </c>
    </row>
    <row r="1853" spans="1:19" x14ac:dyDescent="0.25">
      <c r="A1853" t="s">
        <v>93</v>
      </c>
      <c r="B1853" t="s">
        <v>1013</v>
      </c>
      <c r="C1853">
        <v>6</v>
      </c>
      <c r="D1853" t="s">
        <v>66</v>
      </c>
      <c r="E1853" t="s">
        <v>95</v>
      </c>
      <c r="F1853" t="s">
        <v>104</v>
      </c>
      <c r="G1853" t="s">
        <v>103</v>
      </c>
      <c r="H1853" t="s">
        <v>111</v>
      </c>
      <c r="J1853">
        <v>0</v>
      </c>
      <c r="K1853">
        <v>1</v>
      </c>
      <c r="L1853">
        <v>113.9375</v>
      </c>
      <c r="M1853">
        <v>33.375507550000002</v>
      </c>
      <c r="N1853">
        <v>2.4262999999999999</v>
      </c>
      <c r="O1853">
        <v>94.97142857</v>
      </c>
      <c r="P1853">
        <v>24.31591813</v>
      </c>
      <c r="Q1853">
        <v>0.122951111</v>
      </c>
      <c r="R1853" t="s">
        <v>1018</v>
      </c>
      <c r="S1853">
        <v>2.303348889</v>
      </c>
    </row>
    <row r="1854" spans="1:19" x14ac:dyDescent="0.25">
      <c r="A1854" t="s">
        <v>93</v>
      </c>
      <c r="B1854" t="s">
        <v>1013</v>
      </c>
      <c r="C1854">
        <v>6</v>
      </c>
      <c r="D1854" t="s">
        <v>66</v>
      </c>
      <c r="E1854" t="s">
        <v>95</v>
      </c>
      <c r="F1854" t="s">
        <v>104</v>
      </c>
      <c r="G1854" t="s">
        <v>103</v>
      </c>
      <c r="H1854" t="s">
        <v>103</v>
      </c>
      <c r="J1854">
        <v>0</v>
      </c>
      <c r="K1854">
        <v>4</v>
      </c>
      <c r="L1854">
        <v>113.9375</v>
      </c>
      <c r="M1854">
        <v>33.375507550000002</v>
      </c>
      <c r="N1854">
        <v>2.4262999999999999</v>
      </c>
      <c r="O1854">
        <v>98.291666669999998</v>
      </c>
      <c r="P1854">
        <v>30.315130790000001</v>
      </c>
      <c r="Q1854">
        <v>5.0803484000000003E-2</v>
      </c>
      <c r="R1854" t="s">
        <v>1018</v>
      </c>
      <c r="S1854">
        <v>2.3754965160000001</v>
      </c>
    </row>
    <row r="1855" spans="1:19" x14ac:dyDescent="0.25">
      <c r="A1855" t="s">
        <v>93</v>
      </c>
      <c r="B1855" t="s">
        <v>1013</v>
      </c>
      <c r="C1855">
        <v>6</v>
      </c>
      <c r="D1855" t="s">
        <v>66</v>
      </c>
      <c r="E1855" t="s">
        <v>95</v>
      </c>
      <c r="F1855" t="s">
        <v>104</v>
      </c>
      <c r="G1855" t="s">
        <v>103</v>
      </c>
      <c r="H1855" t="s">
        <v>238</v>
      </c>
      <c r="J1855">
        <v>0</v>
      </c>
      <c r="K1855">
        <v>2</v>
      </c>
      <c r="L1855">
        <v>113.9375</v>
      </c>
      <c r="M1855">
        <v>33.375507550000002</v>
      </c>
      <c r="N1855">
        <v>2.4262999999999999</v>
      </c>
      <c r="O1855">
        <v>87.5</v>
      </c>
      <c r="P1855">
        <v>29.478311600000001</v>
      </c>
      <c r="Q1855">
        <v>3.0797751000000002E-2</v>
      </c>
      <c r="R1855" t="s">
        <v>1018</v>
      </c>
      <c r="S1855">
        <v>2.3955022489999998</v>
      </c>
    </row>
    <row r="1856" spans="1:19" x14ac:dyDescent="0.25">
      <c r="A1856" t="s">
        <v>93</v>
      </c>
      <c r="B1856" t="s">
        <v>1013</v>
      </c>
      <c r="C1856">
        <v>6</v>
      </c>
      <c r="D1856" t="s">
        <v>66</v>
      </c>
      <c r="E1856" t="s">
        <v>95</v>
      </c>
      <c r="F1856" t="s">
        <v>104</v>
      </c>
      <c r="G1856" t="s">
        <v>103</v>
      </c>
      <c r="H1856" t="s">
        <v>246</v>
      </c>
      <c r="J1856">
        <v>0</v>
      </c>
      <c r="K1856">
        <v>1</v>
      </c>
      <c r="L1856">
        <v>113.9375</v>
      </c>
      <c r="M1856">
        <v>33.375507550000002</v>
      </c>
      <c r="N1856">
        <v>2.4262999999999999</v>
      </c>
      <c r="O1856">
        <v>120.25</v>
      </c>
      <c r="P1856">
        <v>30.670450110000001</v>
      </c>
      <c r="Q1856">
        <v>0.91037498500000003</v>
      </c>
      <c r="R1856" t="s">
        <v>1018</v>
      </c>
      <c r="S1856">
        <v>1.5159250149999999</v>
      </c>
    </row>
    <row r="1857" spans="1:19" x14ac:dyDescent="0.25">
      <c r="A1857" t="s">
        <v>67</v>
      </c>
      <c r="B1857" t="s">
        <v>820</v>
      </c>
      <c r="C1857">
        <v>10</v>
      </c>
      <c r="D1857" t="s">
        <v>11</v>
      </c>
      <c r="E1857" t="s">
        <v>94</v>
      </c>
      <c r="F1857" t="s">
        <v>113</v>
      </c>
      <c r="G1857" t="s">
        <v>121</v>
      </c>
      <c r="H1857" t="s">
        <v>113</v>
      </c>
      <c r="J1857">
        <v>0</v>
      </c>
      <c r="K1857">
        <v>2</v>
      </c>
      <c r="L1857">
        <v>83.757575759999995</v>
      </c>
      <c r="M1857">
        <v>22.60997987</v>
      </c>
      <c r="N1857">
        <v>0.72884000000000004</v>
      </c>
      <c r="O1857">
        <v>83.757575759999995</v>
      </c>
      <c r="P1857">
        <v>22.60997987</v>
      </c>
      <c r="Q1857">
        <v>0.72884000000000004</v>
      </c>
      <c r="R1857" t="s">
        <v>1019</v>
      </c>
      <c r="S1857">
        <v>0</v>
      </c>
    </row>
    <row r="1858" spans="1:19" x14ac:dyDescent="0.25">
      <c r="A1858" t="s">
        <v>67</v>
      </c>
      <c r="B1858" t="s">
        <v>820</v>
      </c>
      <c r="C1858">
        <v>10</v>
      </c>
      <c r="D1858" t="s">
        <v>11</v>
      </c>
      <c r="E1858" t="s">
        <v>94</v>
      </c>
      <c r="F1858" t="s">
        <v>113</v>
      </c>
      <c r="G1858" t="s">
        <v>121</v>
      </c>
      <c r="H1858" t="s">
        <v>248</v>
      </c>
      <c r="J1858">
        <v>0</v>
      </c>
      <c r="K1858">
        <v>1</v>
      </c>
      <c r="L1858">
        <v>83.757575759999995</v>
      </c>
      <c r="M1858">
        <v>22.60997987</v>
      </c>
      <c r="N1858">
        <v>0.72884000000000004</v>
      </c>
      <c r="O1858">
        <v>83.92307692</v>
      </c>
      <c r="P1858">
        <v>44.319135699999997</v>
      </c>
      <c r="Q1858">
        <v>5.9548609999999997E-3</v>
      </c>
      <c r="R1858" t="s">
        <v>1019</v>
      </c>
      <c r="S1858">
        <v>0.72288513900000007</v>
      </c>
    </row>
    <row r="1859" spans="1:19" x14ac:dyDescent="0.25">
      <c r="A1859" t="s">
        <v>67</v>
      </c>
      <c r="B1859" t="s">
        <v>821</v>
      </c>
      <c r="C1859">
        <v>10</v>
      </c>
      <c r="D1859" t="s">
        <v>11</v>
      </c>
      <c r="E1859" t="s">
        <v>94</v>
      </c>
      <c r="F1859" t="s">
        <v>103</v>
      </c>
      <c r="G1859" t="s">
        <v>121</v>
      </c>
      <c r="H1859" t="s">
        <v>103</v>
      </c>
      <c r="J1859">
        <v>0</v>
      </c>
      <c r="K1859">
        <v>1</v>
      </c>
      <c r="L1859">
        <v>98.291666669999998</v>
      </c>
      <c r="M1859">
        <v>30.315130790000001</v>
      </c>
      <c r="N1859">
        <v>5.0803484000000003E-2</v>
      </c>
      <c r="O1859">
        <v>98.291666669999998</v>
      </c>
      <c r="P1859">
        <v>30.315130790000001</v>
      </c>
      <c r="Q1859">
        <v>5.0803484000000003E-2</v>
      </c>
      <c r="R1859" t="s">
        <v>1019</v>
      </c>
      <c r="S1859">
        <v>0</v>
      </c>
    </row>
    <row r="1860" spans="1:19" x14ac:dyDescent="0.25">
      <c r="A1860" t="s">
        <v>67</v>
      </c>
      <c r="B1860" t="s">
        <v>822</v>
      </c>
      <c r="C1860">
        <v>10</v>
      </c>
      <c r="D1860" t="s">
        <v>11</v>
      </c>
      <c r="E1860" t="s">
        <v>94</v>
      </c>
      <c r="F1860" t="s">
        <v>112</v>
      </c>
      <c r="G1860" t="s">
        <v>121</v>
      </c>
      <c r="H1860" t="s">
        <v>235</v>
      </c>
      <c r="J1860">
        <v>0</v>
      </c>
      <c r="K1860">
        <v>1</v>
      </c>
      <c r="L1860">
        <v>65.09375</v>
      </c>
      <c r="M1860">
        <v>37.895352600000002</v>
      </c>
      <c r="N1860">
        <v>2.2882677779999998</v>
      </c>
      <c r="O1860">
        <v>132.27272730000001</v>
      </c>
      <c r="P1860">
        <v>20.180448590000001</v>
      </c>
      <c r="Q1860">
        <v>3.7813451999999997E-2</v>
      </c>
      <c r="R1860" t="s">
        <v>1019</v>
      </c>
      <c r="S1860">
        <v>2.2504543259999998</v>
      </c>
    </row>
    <row r="1861" spans="1:19" x14ac:dyDescent="0.25">
      <c r="A1861" t="s">
        <v>67</v>
      </c>
      <c r="B1861" t="s">
        <v>822</v>
      </c>
      <c r="C1861">
        <v>10</v>
      </c>
      <c r="D1861" t="s">
        <v>11</v>
      </c>
      <c r="E1861" t="s">
        <v>94</v>
      </c>
      <c r="F1861" t="s">
        <v>112</v>
      </c>
      <c r="G1861" t="s">
        <v>121</v>
      </c>
      <c r="H1861" t="s">
        <v>248</v>
      </c>
      <c r="J1861">
        <v>0</v>
      </c>
      <c r="K1861">
        <v>2</v>
      </c>
      <c r="L1861">
        <v>65.09375</v>
      </c>
      <c r="M1861">
        <v>37.895352600000002</v>
      </c>
      <c r="N1861">
        <v>2.2882677779999998</v>
      </c>
      <c r="O1861">
        <v>83.92307692</v>
      </c>
      <c r="P1861">
        <v>44.319135699999997</v>
      </c>
      <c r="Q1861">
        <v>5.9548609999999997E-3</v>
      </c>
      <c r="R1861" t="s">
        <v>1019</v>
      </c>
      <c r="S1861">
        <v>2.2823129169999996</v>
      </c>
    </row>
    <row r="1862" spans="1:19" x14ac:dyDescent="0.25">
      <c r="A1862" t="s">
        <v>68</v>
      </c>
      <c r="B1862" t="s">
        <v>823</v>
      </c>
      <c r="C1862">
        <v>10</v>
      </c>
      <c r="D1862" t="s">
        <v>15</v>
      </c>
      <c r="E1862" t="s">
        <v>95</v>
      </c>
      <c r="F1862" t="s">
        <v>113</v>
      </c>
      <c r="G1862" t="s">
        <v>121</v>
      </c>
      <c r="H1862" t="s">
        <v>113</v>
      </c>
      <c r="J1862">
        <v>0</v>
      </c>
      <c r="K1862">
        <v>1</v>
      </c>
      <c r="L1862">
        <v>83.757575759999995</v>
      </c>
      <c r="M1862">
        <v>22.60997987</v>
      </c>
      <c r="N1862">
        <v>0.72884000000000004</v>
      </c>
      <c r="O1862">
        <v>83.757575759999995</v>
      </c>
      <c r="P1862">
        <v>22.60997987</v>
      </c>
      <c r="Q1862">
        <v>0.72884000000000004</v>
      </c>
      <c r="R1862" t="s">
        <v>1019</v>
      </c>
      <c r="S1862">
        <v>0</v>
      </c>
    </row>
    <row r="1863" spans="1:19" x14ac:dyDescent="0.25">
      <c r="A1863" t="s">
        <v>68</v>
      </c>
      <c r="B1863" t="s">
        <v>824</v>
      </c>
      <c r="C1863">
        <v>10</v>
      </c>
      <c r="D1863" t="s">
        <v>15</v>
      </c>
      <c r="E1863" t="s">
        <v>95</v>
      </c>
      <c r="F1863" t="s">
        <v>110</v>
      </c>
      <c r="G1863" t="s">
        <v>113</v>
      </c>
      <c r="H1863" t="s">
        <v>113</v>
      </c>
      <c r="J1863">
        <v>0</v>
      </c>
      <c r="K1863">
        <v>2</v>
      </c>
      <c r="L1863">
        <v>73.260869569999997</v>
      </c>
      <c r="M1863">
        <v>34.453830549999999</v>
      </c>
      <c r="N1863">
        <v>1.058333333</v>
      </c>
      <c r="O1863">
        <v>83.757575759999995</v>
      </c>
      <c r="P1863">
        <v>22.60997987</v>
      </c>
      <c r="Q1863">
        <v>0.72884000000000004</v>
      </c>
      <c r="R1863" t="s">
        <v>1019</v>
      </c>
      <c r="S1863">
        <v>0.32949333299999994</v>
      </c>
    </row>
    <row r="1864" spans="1:19" x14ac:dyDescent="0.25">
      <c r="A1864" t="s">
        <v>68</v>
      </c>
      <c r="B1864" t="s">
        <v>825</v>
      </c>
      <c r="C1864">
        <v>10</v>
      </c>
      <c r="D1864" t="s">
        <v>15</v>
      </c>
      <c r="E1864" t="s">
        <v>95</v>
      </c>
      <c r="F1864" t="s">
        <v>111</v>
      </c>
      <c r="G1864" t="s">
        <v>121</v>
      </c>
      <c r="H1864" t="s">
        <v>239</v>
      </c>
      <c r="J1864">
        <v>0</v>
      </c>
      <c r="K1864">
        <v>1</v>
      </c>
      <c r="L1864">
        <v>94.97142857</v>
      </c>
      <c r="M1864">
        <v>24.31591813</v>
      </c>
      <c r="N1864">
        <v>0.122951111</v>
      </c>
      <c r="O1864">
        <v>100.45454549999999</v>
      </c>
      <c r="P1864">
        <v>26.754810689999999</v>
      </c>
      <c r="Q1864">
        <v>0.75829999999999997</v>
      </c>
      <c r="R1864" t="s">
        <v>1019</v>
      </c>
      <c r="S1864">
        <v>0.63534888899999997</v>
      </c>
    </row>
    <row r="1865" spans="1:19" x14ac:dyDescent="0.25">
      <c r="A1865" t="s">
        <v>68</v>
      </c>
      <c r="B1865" t="s">
        <v>826</v>
      </c>
      <c r="C1865">
        <v>10</v>
      </c>
      <c r="D1865" t="s">
        <v>15</v>
      </c>
      <c r="E1865" t="s">
        <v>95</v>
      </c>
      <c r="F1865" t="s">
        <v>104</v>
      </c>
      <c r="G1865" t="s">
        <v>121</v>
      </c>
      <c r="H1865" t="s">
        <v>114</v>
      </c>
      <c r="I1865" t="s">
        <v>161</v>
      </c>
      <c r="J1865">
        <v>1</v>
      </c>
      <c r="K1865">
        <v>0</v>
      </c>
      <c r="L1865">
        <v>113.9375</v>
      </c>
      <c r="M1865">
        <v>33.375507550000002</v>
      </c>
      <c r="N1865">
        <v>2.4262999999999999</v>
      </c>
      <c r="O1865" t="s">
        <v>114</v>
      </c>
      <c r="P1865" t="s">
        <v>114</v>
      </c>
      <c r="Q1865" t="s">
        <v>114</v>
      </c>
      <c r="R1865" t="s">
        <v>1019</v>
      </c>
      <c r="S1865" t="s">
        <v>114</v>
      </c>
    </row>
    <row r="1866" spans="1:19" x14ac:dyDescent="0.25">
      <c r="A1866" t="s">
        <v>69</v>
      </c>
      <c r="B1866" t="s">
        <v>827</v>
      </c>
      <c r="C1866">
        <v>10</v>
      </c>
      <c r="D1866" t="s">
        <v>17</v>
      </c>
      <c r="E1866" t="s">
        <v>95</v>
      </c>
      <c r="F1866" t="s">
        <v>102</v>
      </c>
      <c r="G1866" t="s">
        <v>102</v>
      </c>
      <c r="H1866" t="s">
        <v>102</v>
      </c>
      <c r="J1866">
        <v>0</v>
      </c>
      <c r="K1866">
        <v>1</v>
      </c>
      <c r="L1866">
        <v>84.740740740000007</v>
      </c>
      <c r="M1866">
        <v>29.167014049999999</v>
      </c>
      <c r="N1866">
        <v>1.1169849999999999</v>
      </c>
      <c r="O1866">
        <v>84.740740740000007</v>
      </c>
      <c r="P1866">
        <v>29.167014049999999</v>
      </c>
      <c r="Q1866">
        <v>1.1169849999999999</v>
      </c>
      <c r="R1866" t="s">
        <v>1019</v>
      </c>
      <c r="S1866">
        <v>0</v>
      </c>
    </row>
    <row r="1867" spans="1:19" x14ac:dyDescent="0.25">
      <c r="A1867" t="s">
        <v>69</v>
      </c>
      <c r="B1867" t="s">
        <v>827</v>
      </c>
      <c r="C1867">
        <v>10</v>
      </c>
      <c r="D1867" t="s">
        <v>17</v>
      </c>
      <c r="E1867" t="s">
        <v>95</v>
      </c>
      <c r="F1867" t="s">
        <v>102</v>
      </c>
      <c r="G1867" t="s">
        <v>102</v>
      </c>
      <c r="H1867" t="s">
        <v>235</v>
      </c>
      <c r="J1867">
        <v>0</v>
      </c>
      <c r="K1867">
        <v>2</v>
      </c>
      <c r="L1867">
        <v>84.740740740000007</v>
      </c>
      <c r="M1867">
        <v>29.167014049999999</v>
      </c>
      <c r="N1867">
        <v>1.1169849999999999</v>
      </c>
      <c r="O1867">
        <v>132.27272730000001</v>
      </c>
      <c r="P1867">
        <v>20.180448590000001</v>
      </c>
      <c r="Q1867">
        <v>3.7813451999999997E-2</v>
      </c>
      <c r="R1867" t="s">
        <v>1019</v>
      </c>
      <c r="S1867">
        <v>1.0791715479999999</v>
      </c>
    </row>
    <row r="1868" spans="1:19" x14ac:dyDescent="0.25">
      <c r="A1868" t="s">
        <v>69</v>
      </c>
      <c r="B1868" t="s">
        <v>828</v>
      </c>
      <c r="C1868">
        <v>10</v>
      </c>
      <c r="D1868" t="s">
        <v>17</v>
      </c>
      <c r="E1868" t="s">
        <v>95</v>
      </c>
      <c r="F1868" t="s">
        <v>113</v>
      </c>
      <c r="G1868" t="s">
        <v>113</v>
      </c>
      <c r="H1868" t="s">
        <v>113</v>
      </c>
      <c r="J1868">
        <v>0</v>
      </c>
      <c r="K1868">
        <v>1</v>
      </c>
      <c r="L1868">
        <v>83.757575759999995</v>
      </c>
      <c r="M1868">
        <v>22.60997987</v>
      </c>
      <c r="N1868">
        <v>0.72884000000000004</v>
      </c>
      <c r="O1868">
        <v>83.757575759999995</v>
      </c>
      <c r="P1868">
        <v>22.60997987</v>
      </c>
      <c r="Q1868">
        <v>0.72884000000000004</v>
      </c>
      <c r="R1868" t="s">
        <v>1019</v>
      </c>
      <c r="S1868">
        <v>0</v>
      </c>
    </row>
    <row r="1869" spans="1:19" x14ac:dyDescent="0.25">
      <c r="A1869" t="s">
        <v>69</v>
      </c>
      <c r="B1869" t="s">
        <v>828</v>
      </c>
      <c r="C1869">
        <v>10</v>
      </c>
      <c r="D1869" t="s">
        <v>17</v>
      </c>
      <c r="E1869" t="s">
        <v>95</v>
      </c>
      <c r="F1869" t="s">
        <v>113</v>
      </c>
      <c r="G1869" t="s">
        <v>113</v>
      </c>
      <c r="H1869" t="s">
        <v>235</v>
      </c>
      <c r="J1869">
        <v>0</v>
      </c>
      <c r="K1869">
        <v>2</v>
      </c>
      <c r="L1869">
        <v>83.757575759999995</v>
      </c>
      <c r="M1869">
        <v>22.60997987</v>
      </c>
      <c r="N1869">
        <v>0.72884000000000004</v>
      </c>
      <c r="O1869">
        <v>132.27272730000001</v>
      </c>
      <c r="P1869">
        <v>20.180448590000001</v>
      </c>
      <c r="Q1869">
        <v>3.7813451999999997E-2</v>
      </c>
      <c r="R1869" t="s">
        <v>1019</v>
      </c>
      <c r="S1869">
        <v>0.69102654800000007</v>
      </c>
    </row>
    <row r="1870" spans="1:19" x14ac:dyDescent="0.25">
      <c r="A1870" t="s">
        <v>69</v>
      </c>
      <c r="B1870" t="s">
        <v>829</v>
      </c>
      <c r="C1870">
        <v>10</v>
      </c>
      <c r="D1870" t="s">
        <v>17</v>
      </c>
      <c r="E1870" t="s">
        <v>95</v>
      </c>
      <c r="F1870" t="s">
        <v>103</v>
      </c>
      <c r="G1870" t="s">
        <v>103</v>
      </c>
      <c r="H1870" t="s">
        <v>103</v>
      </c>
      <c r="J1870">
        <v>0</v>
      </c>
      <c r="K1870">
        <v>1</v>
      </c>
      <c r="L1870">
        <v>98.291666669999998</v>
      </c>
      <c r="M1870">
        <v>30.315130790000001</v>
      </c>
      <c r="N1870">
        <v>5.0803484000000003E-2</v>
      </c>
      <c r="O1870">
        <v>98.291666669999998</v>
      </c>
      <c r="P1870">
        <v>30.315130790000001</v>
      </c>
      <c r="Q1870">
        <v>5.0803484000000003E-2</v>
      </c>
      <c r="R1870" t="s">
        <v>1019</v>
      </c>
      <c r="S1870">
        <v>0</v>
      </c>
    </row>
    <row r="1871" spans="1:19" x14ac:dyDescent="0.25">
      <c r="A1871" t="s">
        <v>69</v>
      </c>
      <c r="B1871" t="s">
        <v>829</v>
      </c>
      <c r="C1871">
        <v>10</v>
      </c>
      <c r="D1871" t="s">
        <v>17</v>
      </c>
      <c r="E1871" t="s">
        <v>95</v>
      </c>
      <c r="F1871" t="s">
        <v>103</v>
      </c>
      <c r="G1871" t="s">
        <v>103</v>
      </c>
      <c r="H1871" t="s">
        <v>241</v>
      </c>
      <c r="J1871">
        <v>0</v>
      </c>
      <c r="K1871">
        <v>1</v>
      </c>
      <c r="L1871">
        <v>98.291666669999998</v>
      </c>
      <c r="M1871">
        <v>30.315130790000001</v>
      </c>
      <c r="N1871">
        <v>5.0803484000000003E-2</v>
      </c>
      <c r="O1871">
        <v>114</v>
      </c>
      <c r="P1871">
        <v>30.43077242</v>
      </c>
      <c r="Q1871">
        <v>0.53383111100000002</v>
      </c>
      <c r="R1871" t="s">
        <v>1019</v>
      </c>
      <c r="S1871">
        <v>0.48302762700000001</v>
      </c>
    </row>
    <row r="1872" spans="1:19" x14ac:dyDescent="0.25">
      <c r="A1872" t="s">
        <v>69</v>
      </c>
      <c r="B1872" t="s">
        <v>829</v>
      </c>
      <c r="C1872">
        <v>10</v>
      </c>
      <c r="D1872" t="s">
        <v>17</v>
      </c>
      <c r="E1872" t="s">
        <v>95</v>
      </c>
      <c r="F1872" t="s">
        <v>103</v>
      </c>
      <c r="G1872" t="s">
        <v>103</v>
      </c>
      <c r="H1872" t="s">
        <v>235</v>
      </c>
      <c r="J1872">
        <v>0</v>
      </c>
      <c r="K1872">
        <v>1</v>
      </c>
      <c r="L1872">
        <v>98.291666669999998</v>
      </c>
      <c r="M1872">
        <v>30.315130790000001</v>
      </c>
      <c r="N1872">
        <v>5.0803484000000003E-2</v>
      </c>
      <c r="O1872">
        <v>132.27272730000001</v>
      </c>
      <c r="P1872">
        <v>20.180448590000001</v>
      </c>
      <c r="Q1872">
        <v>3.7813451999999997E-2</v>
      </c>
      <c r="R1872" t="s">
        <v>1019</v>
      </c>
      <c r="S1872">
        <v>1.2990032000000006E-2</v>
      </c>
    </row>
    <row r="1873" spans="1:19" x14ac:dyDescent="0.25">
      <c r="A1873" t="s">
        <v>69</v>
      </c>
      <c r="B1873" t="s">
        <v>830</v>
      </c>
      <c r="C1873">
        <v>10</v>
      </c>
      <c r="D1873" t="s">
        <v>17</v>
      </c>
      <c r="E1873" t="s">
        <v>95</v>
      </c>
      <c r="F1873" t="s">
        <v>111</v>
      </c>
      <c r="G1873" t="s">
        <v>121</v>
      </c>
      <c r="H1873" t="s">
        <v>235</v>
      </c>
      <c r="J1873">
        <v>0</v>
      </c>
      <c r="K1873">
        <v>3</v>
      </c>
      <c r="L1873">
        <v>94.97142857</v>
      </c>
      <c r="M1873">
        <v>24.31591813</v>
      </c>
      <c r="N1873">
        <v>0.122951111</v>
      </c>
      <c r="O1873">
        <v>132.27272730000001</v>
      </c>
      <c r="P1873">
        <v>20.180448590000001</v>
      </c>
      <c r="Q1873">
        <v>3.7813451999999997E-2</v>
      </c>
      <c r="R1873" t="s">
        <v>1019</v>
      </c>
      <c r="S1873">
        <v>8.5137659000000004E-2</v>
      </c>
    </row>
    <row r="1874" spans="1:19" x14ac:dyDescent="0.25">
      <c r="A1874" t="s">
        <v>69</v>
      </c>
      <c r="B1874" t="s">
        <v>831</v>
      </c>
      <c r="C1874">
        <v>10</v>
      </c>
      <c r="D1874" t="s">
        <v>17</v>
      </c>
      <c r="E1874" t="s">
        <v>95</v>
      </c>
      <c r="F1874" t="s">
        <v>112</v>
      </c>
      <c r="G1874" t="s">
        <v>121</v>
      </c>
      <c r="H1874" t="s">
        <v>235</v>
      </c>
      <c r="I1874" t="s">
        <v>252</v>
      </c>
      <c r="J1874">
        <v>1</v>
      </c>
      <c r="K1874">
        <v>2</v>
      </c>
      <c r="L1874">
        <v>65.09375</v>
      </c>
      <c r="M1874">
        <v>37.895352600000002</v>
      </c>
      <c r="N1874">
        <v>2.2882677779999998</v>
      </c>
      <c r="O1874">
        <v>132.27272730000001</v>
      </c>
      <c r="P1874">
        <v>20.180448590000001</v>
      </c>
      <c r="Q1874">
        <v>3.7813451999999997E-2</v>
      </c>
      <c r="R1874" t="s">
        <v>1019</v>
      </c>
      <c r="S1874">
        <v>2.2504543259999998</v>
      </c>
    </row>
    <row r="1875" spans="1:19" x14ac:dyDescent="0.25">
      <c r="A1875" t="s">
        <v>70</v>
      </c>
      <c r="B1875" t="s">
        <v>832</v>
      </c>
      <c r="C1875">
        <v>10</v>
      </c>
      <c r="D1875" t="s">
        <v>19</v>
      </c>
      <c r="E1875" t="s">
        <v>95</v>
      </c>
      <c r="F1875" t="s">
        <v>102</v>
      </c>
      <c r="G1875" t="s">
        <v>121</v>
      </c>
      <c r="H1875" t="s">
        <v>102</v>
      </c>
      <c r="J1875">
        <v>0</v>
      </c>
      <c r="K1875">
        <v>1</v>
      </c>
      <c r="L1875">
        <v>84.740740740000007</v>
      </c>
      <c r="M1875">
        <v>29.167014049999999</v>
      </c>
      <c r="N1875">
        <v>1.1169849999999999</v>
      </c>
      <c r="O1875">
        <v>84.740740740000007</v>
      </c>
      <c r="P1875">
        <v>29.167014049999999</v>
      </c>
      <c r="Q1875">
        <v>1.1169849999999999</v>
      </c>
      <c r="R1875" t="s">
        <v>1019</v>
      </c>
      <c r="S1875">
        <v>0</v>
      </c>
    </row>
    <row r="1876" spans="1:19" x14ac:dyDescent="0.25">
      <c r="A1876" t="s">
        <v>70</v>
      </c>
      <c r="B1876" t="s">
        <v>832</v>
      </c>
      <c r="C1876">
        <v>10</v>
      </c>
      <c r="D1876" t="s">
        <v>19</v>
      </c>
      <c r="E1876" t="s">
        <v>95</v>
      </c>
      <c r="F1876" t="s">
        <v>102</v>
      </c>
      <c r="G1876" t="s">
        <v>121</v>
      </c>
      <c r="H1876" t="s">
        <v>236</v>
      </c>
      <c r="J1876">
        <v>0</v>
      </c>
      <c r="K1876">
        <v>1</v>
      </c>
      <c r="L1876">
        <v>84.740740740000007</v>
      </c>
      <c r="M1876">
        <v>29.167014049999999</v>
      </c>
      <c r="N1876">
        <v>1.1169849999999999</v>
      </c>
      <c r="O1876">
        <v>113.33333330000001</v>
      </c>
      <c r="P1876">
        <v>26.41632581</v>
      </c>
      <c r="Q1876">
        <v>1.6844570160000001</v>
      </c>
      <c r="R1876" t="s">
        <v>1019</v>
      </c>
      <c r="S1876">
        <v>0.56747201600000019</v>
      </c>
    </row>
    <row r="1877" spans="1:19" x14ac:dyDescent="0.25">
      <c r="A1877" t="s">
        <v>70</v>
      </c>
      <c r="B1877" t="s">
        <v>833</v>
      </c>
      <c r="C1877">
        <v>10</v>
      </c>
      <c r="D1877" t="s">
        <v>19</v>
      </c>
      <c r="E1877" t="s">
        <v>95</v>
      </c>
      <c r="F1877" t="s">
        <v>105</v>
      </c>
      <c r="G1877" t="s">
        <v>121</v>
      </c>
      <c r="H1877" t="s">
        <v>235</v>
      </c>
      <c r="J1877">
        <v>0</v>
      </c>
      <c r="K1877">
        <v>1</v>
      </c>
      <c r="L1877">
        <v>67.5</v>
      </c>
      <c r="M1877">
        <v>47.937235809999997</v>
      </c>
      <c r="N1877">
        <v>0.41599678000000001</v>
      </c>
      <c r="O1877">
        <v>132.27272730000001</v>
      </c>
      <c r="P1877">
        <v>20.180448590000001</v>
      </c>
      <c r="Q1877">
        <v>3.7813451999999997E-2</v>
      </c>
      <c r="R1877" t="s">
        <v>1019</v>
      </c>
      <c r="S1877">
        <v>0.37818332799999999</v>
      </c>
    </row>
    <row r="1878" spans="1:19" x14ac:dyDescent="0.25">
      <c r="A1878" t="s">
        <v>70</v>
      </c>
      <c r="B1878" t="s">
        <v>833</v>
      </c>
      <c r="C1878">
        <v>10</v>
      </c>
      <c r="D1878" t="s">
        <v>19</v>
      </c>
      <c r="E1878" t="s">
        <v>95</v>
      </c>
      <c r="F1878" t="s">
        <v>105</v>
      </c>
      <c r="G1878" t="s">
        <v>121</v>
      </c>
      <c r="H1878" t="s">
        <v>236</v>
      </c>
      <c r="J1878">
        <v>0</v>
      </c>
      <c r="K1878">
        <v>2</v>
      </c>
      <c r="L1878">
        <v>67.5</v>
      </c>
      <c r="M1878">
        <v>47.937235809999997</v>
      </c>
      <c r="N1878">
        <v>0.41599678000000001</v>
      </c>
      <c r="O1878">
        <v>113.33333330000001</v>
      </c>
      <c r="P1878">
        <v>26.41632581</v>
      </c>
      <c r="Q1878">
        <v>1.6844570160000001</v>
      </c>
      <c r="R1878" t="s">
        <v>1019</v>
      </c>
      <c r="S1878">
        <v>1.2684602360000001</v>
      </c>
    </row>
    <row r="1879" spans="1:19" x14ac:dyDescent="0.25">
      <c r="A1879" t="s">
        <v>70</v>
      </c>
      <c r="B1879" t="s">
        <v>833</v>
      </c>
      <c r="C1879">
        <v>10</v>
      </c>
      <c r="D1879" t="s">
        <v>19</v>
      </c>
      <c r="E1879" t="s">
        <v>95</v>
      </c>
      <c r="F1879" t="s">
        <v>105</v>
      </c>
      <c r="G1879" t="s">
        <v>121</v>
      </c>
      <c r="H1879" t="s">
        <v>162</v>
      </c>
      <c r="J1879">
        <v>0</v>
      </c>
      <c r="K1879">
        <v>1</v>
      </c>
      <c r="L1879">
        <v>67.5</v>
      </c>
      <c r="M1879">
        <v>47.937235809999997</v>
      </c>
      <c r="N1879">
        <v>0.41599678000000001</v>
      </c>
      <c r="O1879">
        <v>82.53846154</v>
      </c>
      <c r="P1879">
        <v>35.660530039999998</v>
      </c>
      <c r="Q1879">
        <v>3.3754499999999998</v>
      </c>
      <c r="R1879" t="s">
        <v>1019</v>
      </c>
      <c r="S1879">
        <v>2.9594532199999999</v>
      </c>
    </row>
    <row r="1880" spans="1:19" x14ac:dyDescent="0.25">
      <c r="A1880" t="s">
        <v>70</v>
      </c>
      <c r="B1880" t="s">
        <v>834</v>
      </c>
      <c r="C1880">
        <v>10</v>
      </c>
      <c r="D1880" t="s">
        <v>19</v>
      </c>
      <c r="E1880" t="s">
        <v>95</v>
      </c>
      <c r="F1880" t="s">
        <v>111</v>
      </c>
      <c r="G1880" t="s">
        <v>121</v>
      </c>
      <c r="H1880" t="s">
        <v>235</v>
      </c>
      <c r="J1880">
        <v>0</v>
      </c>
      <c r="K1880">
        <v>1</v>
      </c>
      <c r="L1880">
        <v>94.97142857</v>
      </c>
      <c r="M1880">
        <v>24.31591813</v>
      </c>
      <c r="N1880">
        <v>0.122951111</v>
      </c>
      <c r="O1880">
        <v>132.27272730000001</v>
      </c>
      <c r="P1880">
        <v>20.180448590000001</v>
      </c>
      <c r="Q1880">
        <v>3.7813451999999997E-2</v>
      </c>
      <c r="R1880" t="s">
        <v>1019</v>
      </c>
      <c r="S1880">
        <v>8.5137659000000004E-2</v>
      </c>
    </row>
    <row r="1881" spans="1:19" x14ac:dyDescent="0.25">
      <c r="A1881" t="s">
        <v>71</v>
      </c>
      <c r="B1881" t="s">
        <v>835</v>
      </c>
      <c r="C1881">
        <v>10</v>
      </c>
      <c r="D1881" t="s">
        <v>21</v>
      </c>
      <c r="E1881" t="s">
        <v>94</v>
      </c>
      <c r="F1881" t="s">
        <v>102</v>
      </c>
      <c r="G1881" t="s">
        <v>121</v>
      </c>
      <c r="H1881" t="s">
        <v>114</v>
      </c>
      <c r="J1881">
        <v>0</v>
      </c>
      <c r="K1881" t="s">
        <v>114</v>
      </c>
      <c r="L1881">
        <v>84.740740740000007</v>
      </c>
      <c r="M1881">
        <v>29.167014049999999</v>
      </c>
      <c r="N1881">
        <v>1.1169849999999999</v>
      </c>
      <c r="O1881" t="s">
        <v>114</v>
      </c>
      <c r="P1881" t="s">
        <v>114</v>
      </c>
      <c r="Q1881" t="s">
        <v>114</v>
      </c>
      <c r="R1881" t="s">
        <v>1019</v>
      </c>
      <c r="S1881" t="s">
        <v>114</v>
      </c>
    </row>
    <row r="1882" spans="1:19" x14ac:dyDescent="0.25">
      <c r="A1882" t="s">
        <v>71</v>
      </c>
      <c r="B1882" t="s">
        <v>836</v>
      </c>
      <c r="C1882">
        <v>10</v>
      </c>
      <c r="D1882" t="s">
        <v>21</v>
      </c>
      <c r="E1882" t="s">
        <v>94</v>
      </c>
      <c r="F1882" t="s">
        <v>111</v>
      </c>
      <c r="G1882" t="s">
        <v>111</v>
      </c>
      <c r="H1882" t="s">
        <v>111</v>
      </c>
      <c r="J1882">
        <v>0</v>
      </c>
      <c r="K1882">
        <v>1</v>
      </c>
      <c r="L1882">
        <v>94.97142857</v>
      </c>
      <c r="M1882">
        <v>24.31591813</v>
      </c>
      <c r="N1882">
        <v>0.122951111</v>
      </c>
      <c r="O1882">
        <v>94.97142857</v>
      </c>
      <c r="P1882">
        <v>24.31591813</v>
      </c>
      <c r="Q1882">
        <v>0.122951111</v>
      </c>
      <c r="R1882" t="s">
        <v>1019</v>
      </c>
      <c r="S1882">
        <v>0</v>
      </c>
    </row>
    <row r="1883" spans="1:19" x14ac:dyDescent="0.25">
      <c r="A1883" t="s">
        <v>71</v>
      </c>
      <c r="B1883" t="s">
        <v>836</v>
      </c>
      <c r="C1883">
        <v>10</v>
      </c>
      <c r="D1883" t="s">
        <v>21</v>
      </c>
      <c r="E1883" t="s">
        <v>94</v>
      </c>
      <c r="F1883" t="s">
        <v>111</v>
      </c>
      <c r="G1883" t="s">
        <v>111</v>
      </c>
      <c r="H1883" t="s">
        <v>250</v>
      </c>
      <c r="J1883">
        <v>0</v>
      </c>
      <c r="K1883">
        <v>1</v>
      </c>
      <c r="L1883">
        <v>94.97142857</v>
      </c>
      <c r="M1883">
        <v>24.31591813</v>
      </c>
      <c r="N1883">
        <v>0.122951111</v>
      </c>
      <c r="O1883">
        <v>157.14285709999999</v>
      </c>
      <c r="P1883">
        <v>28.969081320000001</v>
      </c>
      <c r="Q1883">
        <v>0.55164111100000002</v>
      </c>
      <c r="R1883" t="s">
        <v>1019</v>
      </c>
      <c r="S1883">
        <v>0.42869000000000002</v>
      </c>
    </row>
    <row r="1884" spans="1:19" x14ac:dyDescent="0.25">
      <c r="A1884" t="s">
        <v>71</v>
      </c>
      <c r="B1884" t="s">
        <v>837</v>
      </c>
      <c r="C1884">
        <v>10</v>
      </c>
      <c r="D1884" t="s">
        <v>21</v>
      </c>
      <c r="E1884" t="s">
        <v>94</v>
      </c>
      <c r="F1884" t="s">
        <v>104</v>
      </c>
      <c r="G1884" t="s">
        <v>104</v>
      </c>
      <c r="H1884" t="s">
        <v>104</v>
      </c>
      <c r="J1884">
        <v>0</v>
      </c>
      <c r="K1884">
        <v>1</v>
      </c>
      <c r="L1884">
        <v>113.9375</v>
      </c>
      <c r="M1884">
        <v>33.375507550000002</v>
      </c>
      <c r="N1884">
        <v>2.4262999999999999</v>
      </c>
      <c r="O1884">
        <v>113.9375</v>
      </c>
      <c r="P1884">
        <v>33.375507550000002</v>
      </c>
      <c r="Q1884">
        <v>2.4262999999999999</v>
      </c>
      <c r="R1884" t="s">
        <v>1019</v>
      </c>
      <c r="S1884">
        <v>0</v>
      </c>
    </row>
    <row r="1885" spans="1:19" x14ac:dyDescent="0.25">
      <c r="A1885" t="s">
        <v>72</v>
      </c>
      <c r="B1885" t="s">
        <v>838</v>
      </c>
      <c r="C1885">
        <v>10</v>
      </c>
      <c r="D1885" t="s">
        <v>23</v>
      </c>
      <c r="E1885" t="s">
        <v>95</v>
      </c>
      <c r="F1885" t="s">
        <v>105</v>
      </c>
      <c r="G1885" t="s">
        <v>121</v>
      </c>
      <c r="H1885" t="s">
        <v>238</v>
      </c>
      <c r="J1885">
        <v>0</v>
      </c>
      <c r="K1885">
        <v>1</v>
      </c>
      <c r="L1885">
        <v>67.5</v>
      </c>
      <c r="M1885">
        <v>47.937235809999997</v>
      </c>
      <c r="N1885">
        <v>0.41599678000000001</v>
      </c>
      <c r="O1885">
        <v>87.5</v>
      </c>
      <c r="P1885">
        <v>29.478311600000001</v>
      </c>
      <c r="Q1885">
        <v>3.0797751000000002E-2</v>
      </c>
      <c r="R1885" t="s">
        <v>1019</v>
      </c>
      <c r="S1885">
        <v>0.38519902900000003</v>
      </c>
    </row>
    <row r="1886" spans="1:19" x14ac:dyDescent="0.25">
      <c r="A1886" t="s">
        <v>72</v>
      </c>
      <c r="B1886" t="s">
        <v>839</v>
      </c>
      <c r="C1886">
        <v>10</v>
      </c>
      <c r="D1886" t="s">
        <v>23</v>
      </c>
      <c r="E1886" t="s">
        <v>95</v>
      </c>
      <c r="F1886" t="s">
        <v>111</v>
      </c>
      <c r="G1886" t="s">
        <v>121</v>
      </c>
      <c r="H1886" t="s">
        <v>114</v>
      </c>
      <c r="J1886">
        <v>0</v>
      </c>
      <c r="K1886">
        <v>0</v>
      </c>
      <c r="L1886">
        <v>94.97142857</v>
      </c>
      <c r="M1886">
        <v>24.31591813</v>
      </c>
      <c r="N1886">
        <v>0.122951111</v>
      </c>
      <c r="O1886" t="s">
        <v>114</v>
      </c>
      <c r="P1886" t="s">
        <v>114</v>
      </c>
      <c r="Q1886" t="s">
        <v>114</v>
      </c>
      <c r="R1886" t="s">
        <v>1019</v>
      </c>
      <c r="S1886" t="s">
        <v>114</v>
      </c>
    </row>
    <row r="1887" spans="1:19" x14ac:dyDescent="0.25">
      <c r="A1887" t="s">
        <v>72</v>
      </c>
      <c r="B1887" t="s">
        <v>840</v>
      </c>
      <c r="C1887">
        <v>10</v>
      </c>
      <c r="D1887" t="s">
        <v>23</v>
      </c>
      <c r="E1887" t="s">
        <v>95</v>
      </c>
      <c r="F1887" t="s">
        <v>104</v>
      </c>
      <c r="G1887" t="s">
        <v>104</v>
      </c>
      <c r="H1887" t="s">
        <v>104</v>
      </c>
      <c r="J1887">
        <v>0</v>
      </c>
      <c r="K1887">
        <v>1</v>
      </c>
      <c r="L1887">
        <v>113.9375</v>
      </c>
      <c r="M1887">
        <v>33.375507550000002</v>
      </c>
      <c r="N1887">
        <v>2.4262999999999999</v>
      </c>
      <c r="O1887">
        <v>113.9375</v>
      </c>
      <c r="P1887">
        <v>33.375507550000002</v>
      </c>
      <c r="Q1887">
        <v>2.4262999999999999</v>
      </c>
      <c r="R1887" t="s">
        <v>1019</v>
      </c>
      <c r="S1887">
        <v>0</v>
      </c>
    </row>
    <row r="1888" spans="1:19" x14ac:dyDescent="0.25">
      <c r="A1888" t="s">
        <v>72</v>
      </c>
      <c r="B1888" t="s">
        <v>840</v>
      </c>
      <c r="C1888">
        <v>10</v>
      </c>
      <c r="D1888" t="s">
        <v>23</v>
      </c>
      <c r="E1888" t="s">
        <v>95</v>
      </c>
      <c r="F1888" t="s">
        <v>104</v>
      </c>
      <c r="G1888" t="s">
        <v>104</v>
      </c>
      <c r="H1888" t="s">
        <v>244</v>
      </c>
      <c r="J1888">
        <v>0</v>
      </c>
      <c r="K1888">
        <v>1</v>
      </c>
      <c r="L1888">
        <v>113.9375</v>
      </c>
      <c r="M1888">
        <v>33.375507550000002</v>
      </c>
      <c r="N1888">
        <v>2.4262999999999999</v>
      </c>
      <c r="O1888">
        <v>75</v>
      </c>
      <c r="P1888">
        <v>28.80614499</v>
      </c>
      <c r="Q1888">
        <v>2.3860428570000001</v>
      </c>
      <c r="R1888" t="s">
        <v>1019</v>
      </c>
      <c r="S1888">
        <v>4.0257142999999829E-2</v>
      </c>
    </row>
    <row r="1889" spans="1:19" x14ac:dyDescent="0.25">
      <c r="A1889" t="s">
        <v>72</v>
      </c>
      <c r="B1889" t="s">
        <v>841</v>
      </c>
      <c r="C1889">
        <v>10</v>
      </c>
      <c r="D1889" t="s">
        <v>23</v>
      </c>
      <c r="E1889" t="s">
        <v>95</v>
      </c>
      <c r="F1889" t="s">
        <v>112</v>
      </c>
      <c r="G1889" t="s">
        <v>121</v>
      </c>
      <c r="H1889" t="s">
        <v>238</v>
      </c>
      <c r="J1889">
        <v>0</v>
      </c>
      <c r="K1889">
        <v>1</v>
      </c>
      <c r="L1889">
        <v>65.09375</v>
      </c>
      <c r="M1889">
        <v>37.895352600000002</v>
      </c>
      <c r="N1889">
        <v>2.2882677779999998</v>
      </c>
      <c r="O1889">
        <v>87.5</v>
      </c>
      <c r="P1889">
        <v>29.478311600000001</v>
      </c>
      <c r="Q1889">
        <v>3.0797751000000002E-2</v>
      </c>
      <c r="R1889" t="s">
        <v>1019</v>
      </c>
      <c r="S1889">
        <v>2.2574700269999997</v>
      </c>
    </row>
    <row r="1890" spans="1:19" x14ac:dyDescent="0.25">
      <c r="A1890" t="s">
        <v>73</v>
      </c>
      <c r="B1890" t="s">
        <v>842</v>
      </c>
      <c r="C1890">
        <v>10</v>
      </c>
      <c r="D1890" t="s">
        <v>25</v>
      </c>
      <c r="E1890" t="s">
        <v>94</v>
      </c>
      <c r="F1890" t="s">
        <v>105</v>
      </c>
      <c r="G1890" t="s">
        <v>112</v>
      </c>
      <c r="H1890" t="s">
        <v>112</v>
      </c>
      <c r="J1890">
        <v>0</v>
      </c>
      <c r="K1890">
        <v>1</v>
      </c>
      <c r="L1890">
        <v>67.5</v>
      </c>
      <c r="M1890">
        <v>47.937235809999997</v>
      </c>
      <c r="N1890">
        <v>0.41599678000000001</v>
      </c>
      <c r="O1890">
        <v>65.09375</v>
      </c>
      <c r="P1890">
        <v>37.895352600000002</v>
      </c>
      <c r="Q1890">
        <v>2.2882677779999998</v>
      </c>
      <c r="R1890" t="s">
        <v>1019</v>
      </c>
      <c r="S1890">
        <v>1.8722709979999999</v>
      </c>
    </row>
    <row r="1891" spans="1:19" x14ac:dyDescent="0.25">
      <c r="A1891" t="s">
        <v>73</v>
      </c>
      <c r="B1891" t="s">
        <v>843</v>
      </c>
      <c r="C1891">
        <v>10</v>
      </c>
      <c r="D1891" t="s">
        <v>25</v>
      </c>
      <c r="E1891" t="s">
        <v>94</v>
      </c>
      <c r="F1891" t="s">
        <v>110</v>
      </c>
      <c r="G1891" t="s">
        <v>110</v>
      </c>
      <c r="H1891" t="s">
        <v>110</v>
      </c>
      <c r="J1891">
        <v>0</v>
      </c>
      <c r="K1891">
        <v>3</v>
      </c>
      <c r="L1891">
        <v>73.260869569999997</v>
      </c>
      <c r="M1891">
        <v>34.453830549999999</v>
      </c>
      <c r="N1891">
        <v>1.058333333</v>
      </c>
      <c r="O1891">
        <v>73.260869569999997</v>
      </c>
      <c r="P1891">
        <v>34.453830549999999</v>
      </c>
      <c r="Q1891">
        <v>1.058333333</v>
      </c>
      <c r="R1891" t="s">
        <v>1019</v>
      </c>
      <c r="S1891">
        <v>0</v>
      </c>
    </row>
    <row r="1892" spans="1:19" x14ac:dyDescent="0.25">
      <c r="A1892" t="s">
        <v>73</v>
      </c>
      <c r="B1892" t="s">
        <v>843</v>
      </c>
      <c r="C1892">
        <v>10</v>
      </c>
      <c r="D1892" t="s">
        <v>25</v>
      </c>
      <c r="E1892" t="s">
        <v>94</v>
      </c>
      <c r="F1892" t="s">
        <v>110</v>
      </c>
      <c r="G1892" t="s">
        <v>110</v>
      </c>
      <c r="H1892" t="s">
        <v>251</v>
      </c>
      <c r="J1892">
        <v>0</v>
      </c>
      <c r="K1892">
        <v>1</v>
      </c>
      <c r="L1892">
        <v>73.260869569999997</v>
      </c>
      <c r="M1892">
        <v>34.453830549999999</v>
      </c>
      <c r="N1892">
        <v>1.058333333</v>
      </c>
      <c r="O1892">
        <v>85</v>
      </c>
      <c r="P1892">
        <v>37.099157669999997</v>
      </c>
      <c r="Q1892">
        <v>0.65291888899999995</v>
      </c>
      <c r="R1892" t="s">
        <v>1019</v>
      </c>
      <c r="S1892">
        <v>0.40541444400000004</v>
      </c>
    </row>
    <row r="1893" spans="1:19" x14ac:dyDescent="0.25">
      <c r="A1893" t="s">
        <v>73</v>
      </c>
      <c r="B1893" t="s">
        <v>843</v>
      </c>
      <c r="C1893">
        <v>10</v>
      </c>
      <c r="D1893" t="s">
        <v>25</v>
      </c>
      <c r="E1893" t="s">
        <v>94</v>
      </c>
      <c r="F1893" t="s">
        <v>110</v>
      </c>
      <c r="G1893" t="s">
        <v>110</v>
      </c>
      <c r="H1893" t="s">
        <v>246</v>
      </c>
      <c r="J1893">
        <v>0</v>
      </c>
      <c r="K1893">
        <v>1</v>
      </c>
      <c r="L1893">
        <v>73.260869569999997</v>
      </c>
      <c r="M1893">
        <v>34.453830549999999</v>
      </c>
      <c r="N1893">
        <v>1.058333333</v>
      </c>
      <c r="O1893">
        <v>120.25</v>
      </c>
      <c r="P1893">
        <v>30.670450110000001</v>
      </c>
      <c r="Q1893">
        <v>0.91037498500000003</v>
      </c>
      <c r="R1893" t="s">
        <v>1019</v>
      </c>
      <c r="S1893">
        <v>0.14795834799999996</v>
      </c>
    </row>
    <row r="1894" spans="1:19" x14ac:dyDescent="0.25">
      <c r="A1894" t="s">
        <v>73</v>
      </c>
      <c r="B1894" t="s">
        <v>844</v>
      </c>
      <c r="C1894">
        <v>10</v>
      </c>
      <c r="D1894" t="s">
        <v>25</v>
      </c>
      <c r="E1894" t="s">
        <v>94</v>
      </c>
      <c r="F1894" t="s">
        <v>104</v>
      </c>
      <c r="G1894" t="s">
        <v>104</v>
      </c>
      <c r="H1894" t="s">
        <v>104</v>
      </c>
      <c r="J1894">
        <v>0</v>
      </c>
      <c r="K1894">
        <v>1</v>
      </c>
      <c r="L1894">
        <v>113.9375</v>
      </c>
      <c r="M1894">
        <v>33.375507550000002</v>
      </c>
      <c r="N1894">
        <v>2.4262999999999999</v>
      </c>
      <c r="O1894">
        <v>113.9375</v>
      </c>
      <c r="P1894">
        <v>33.375507550000002</v>
      </c>
      <c r="Q1894">
        <v>2.4262999999999999</v>
      </c>
      <c r="R1894" t="s">
        <v>1019</v>
      </c>
      <c r="S1894">
        <v>0</v>
      </c>
    </row>
    <row r="1895" spans="1:19" x14ac:dyDescent="0.25">
      <c r="A1895" t="s">
        <v>73</v>
      </c>
      <c r="B1895" t="s">
        <v>845</v>
      </c>
      <c r="C1895">
        <v>10</v>
      </c>
      <c r="D1895" t="s">
        <v>25</v>
      </c>
      <c r="E1895" t="s">
        <v>94</v>
      </c>
      <c r="F1895" t="s">
        <v>112</v>
      </c>
      <c r="G1895" t="s">
        <v>121</v>
      </c>
      <c r="H1895" t="s">
        <v>114</v>
      </c>
      <c r="J1895">
        <v>0</v>
      </c>
      <c r="K1895" t="s">
        <v>114</v>
      </c>
      <c r="L1895">
        <v>65.09375</v>
      </c>
      <c r="M1895">
        <v>37.895352600000002</v>
      </c>
      <c r="N1895">
        <v>2.2882677779999998</v>
      </c>
      <c r="O1895" t="s">
        <v>114</v>
      </c>
      <c r="P1895" t="s">
        <v>114</v>
      </c>
      <c r="Q1895" t="s">
        <v>114</v>
      </c>
      <c r="R1895" t="s">
        <v>1019</v>
      </c>
      <c r="S1895" t="s">
        <v>114</v>
      </c>
    </row>
    <row r="1896" spans="1:19" x14ac:dyDescent="0.25">
      <c r="A1896" t="s">
        <v>74</v>
      </c>
      <c r="B1896" t="s">
        <v>846</v>
      </c>
      <c r="C1896">
        <v>10</v>
      </c>
      <c r="D1896" t="s">
        <v>27</v>
      </c>
      <c r="E1896" t="s">
        <v>95</v>
      </c>
      <c r="F1896" t="s">
        <v>102</v>
      </c>
      <c r="G1896" t="s">
        <v>113</v>
      </c>
      <c r="H1896" t="s">
        <v>113</v>
      </c>
      <c r="J1896">
        <v>0</v>
      </c>
      <c r="K1896">
        <v>3</v>
      </c>
      <c r="L1896">
        <v>84.740740740000007</v>
      </c>
      <c r="M1896">
        <v>29.167014049999999</v>
      </c>
      <c r="N1896">
        <v>1.1169849999999999</v>
      </c>
      <c r="O1896">
        <v>83.757575759999995</v>
      </c>
      <c r="P1896">
        <v>22.60997987</v>
      </c>
      <c r="Q1896">
        <v>0.72884000000000004</v>
      </c>
      <c r="R1896" t="s">
        <v>1019</v>
      </c>
      <c r="S1896">
        <v>0.38814499999999985</v>
      </c>
    </row>
    <row r="1897" spans="1:19" x14ac:dyDescent="0.25">
      <c r="A1897" t="s">
        <v>74</v>
      </c>
      <c r="B1897" t="s">
        <v>846</v>
      </c>
      <c r="C1897">
        <v>10</v>
      </c>
      <c r="D1897" t="s">
        <v>27</v>
      </c>
      <c r="E1897" t="s">
        <v>95</v>
      </c>
      <c r="F1897" t="s">
        <v>102</v>
      </c>
      <c r="G1897" t="s">
        <v>113</v>
      </c>
      <c r="H1897" t="s">
        <v>103</v>
      </c>
      <c r="J1897">
        <v>0</v>
      </c>
      <c r="K1897">
        <v>1</v>
      </c>
      <c r="L1897">
        <v>84.740740740000007</v>
      </c>
      <c r="M1897">
        <v>29.167014049999999</v>
      </c>
      <c r="N1897">
        <v>1.1169849999999999</v>
      </c>
      <c r="O1897">
        <v>98.291666669999998</v>
      </c>
      <c r="P1897">
        <v>30.315130790000001</v>
      </c>
      <c r="Q1897">
        <v>5.0803484000000003E-2</v>
      </c>
      <c r="R1897" t="s">
        <v>1019</v>
      </c>
      <c r="S1897">
        <v>1.0661815159999999</v>
      </c>
    </row>
    <row r="1898" spans="1:19" x14ac:dyDescent="0.25">
      <c r="A1898" t="s">
        <v>74</v>
      </c>
      <c r="B1898" t="s">
        <v>847</v>
      </c>
      <c r="C1898">
        <v>10</v>
      </c>
      <c r="D1898" t="s">
        <v>27</v>
      </c>
      <c r="E1898" t="s">
        <v>95</v>
      </c>
      <c r="F1898" t="s">
        <v>113</v>
      </c>
      <c r="G1898" t="s">
        <v>113</v>
      </c>
      <c r="H1898" t="s">
        <v>113</v>
      </c>
      <c r="J1898">
        <v>0</v>
      </c>
      <c r="K1898">
        <v>1</v>
      </c>
      <c r="L1898">
        <v>83.757575759999995</v>
      </c>
      <c r="M1898">
        <v>22.60997987</v>
      </c>
      <c r="N1898">
        <v>0.72884000000000004</v>
      </c>
      <c r="O1898">
        <v>83.757575759999995</v>
      </c>
      <c r="P1898">
        <v>22.60997987</v>
      </c>
      <c r="Q1898">
        <v>0.72884000000000004</v>
      </c>
      <c r="R1898" t="s">
        <v>1019</v>
      </c>
      <c r="S1898">
        <v>0</v>
      </c>
    </row>
    <row r="1899" spans="1:19" x14ac:dyDescent="0.25">
      <c r="A1899" t="s">
        <v>74</v>
      </c>
      <c r="B1899" t="s">
        <v>847</v>
      </c>
      <c r="C1899">
        <v>10</v>
      </c>
      <c r="D1899" t="s">
        <v>27</v>
      </c>
      <c r="E1899" t="s">
        <v>95</v>
      </c>
      <c r="F1899" t="s">
        <v>113</v>
      </c>
      <c r="G1899" t="s">
        <v>113</v>
      </c>
      <c r="H1899" t="s">
        <v>248</v>
      </c>
      <c r="J1899">
        <v>0</v>
      </c>
      <c r="K1899">
        <v>2</v>
      </c>
      <c r="L1899">
        <v>83.757575759999995</v>
      </c>
      <c r="M1899">
        <v>22.60997987</v>
      </c>
      <c r="N1899">
        <v>0.72884000000000004</v>
      </c>
      <c r="O1899">
        <v>83.92307692</v>
      </c>
      <c r="P1899">
        <v>44.319135699999997</v>
      </c>
      <c r="Q1899">
        <v>5.9548609999999997E-3</v>
      </c>
      <c r="R1899" t="s">
        <v>1019</v>
      </c>
      <c r="S1899">
        <v>0.72288513900000007</v>
      </c>
    </row>
    <row r="1900" spans="1:19" x14ac:dyDescent="0.25">
      <c r="A1900" t="s">
        <v>74</v>
      </c>
      <c r="B1900" t="s">
        <v>848</v>
      </c>
      <c r="C1900">
        <v>10</v>
      </c>
      <c r="D1900" t="s">
        <v>27</v>
      </c>
      <c r="E1900" t="s">
        <v>95</v>
      </c>
      <c r="F1900" t="s">
        <v>103</v>
      </c>
      <c r="G1900" t="s">
        <v>113</v>
      </c>
      <c r="H1900" t="s">
        <v>113</v>
      </c>
      <c r="J1900">
        <v>0</v>
      </c>
      <c r="K1900">
        <v>1</v>
      </c>
      <c r="L1900">
        <v>98.291666669999998</v>
      </c>
      <c r="M1900">
        <v>30.315130790000001</v>
      </c>
      <c r="N1900">
        <v>5.0803484000000003E-2</v>
      </c>
      <c r="O1900">
        <v>83.757575759999995</v>
      </c>
      <c r="P1900">
        <v>22.60997987</v>
      </c>
      <c r="Q1900">
        <v>0.72884000000000004</v>
      </c>
      <c r="R1900" t="s">
        <v>1019</v>
      </c>
      <c r="S1900">
        <v>0.67803651600000003</v>
      </c>
    </row>
    <row r="1901" spans="1:19" x14ac:dyDescent="0.25">
      <c r="A1901" t="s">
        <v>75</v>
      </c>
      <c r="B1901" t="s">
        <v>849</v>
      </c>
      <c r="C1901">
        <v>10</v>
      </c>
      <c r="D1901" t="s">
        <v>29</v>
      </c>
      <c r="E1901" t="s">
        <v>94</v>
      </c>
      <c r="F1901" t="s">
        <v>105</v>
      </c>
      <c r="G1901" t="s">
        <v>121</v>
      </c>
      <c r="H1901" t="s">
        <v>251</v>
      </c>
      <c r="J1901">
        <v>0</v>
      </c>
      <c r="K1901">
        <v>1</v>
      </c>
      <c r="L1901">
        <v>67.5</v>
      </c>
      <c r="M1901">
        <v>47.937235809999997</v>
      </c>
      <c r="N1901">
        <v>0.41599678000000001</v>
      </c>
      <c r="O1901">
        <v>85</v>
      </c>
      <c r="P1901">
        <v>37.099157669999997</v>
      </c>
      <c r="Q1901">
        <v>0.65291888899999995</v>
      </c>
      <c r="R1901" t="s">
        <v>1019</v>
      </c>
      <c r="S1901">
        <v>0.23692210899999994</v>
      </c>
    </row>
    <row r="1902" spans="1:19" x14ac:dyDescent="0.25">
      <c r="A1902" t="s">
        <v>75</v>
      </c>
      <c r="B1902" t="s">
        <v>849</v>
      </c>
      <c r="C1902">
        <v>10</v>
      </c>
      <c r="D1902" t="s">
        <v>29</v>
      </c>
      <c r="E1902" t="s">
        <v>94</v>
      </c>
      <c r="F1902" t="s">
        <v>105</v>
      </c>
      <c r="G1902" t="s">
        <v>121</v>
      </c>
      <c r="H1902" t="s">
        <v>244</v>
      </c>
      <c r="J1902">
        <v>0</v>
      </c>
      <c r="K1902">
        <v>1</v>
      </c>
      <c r="L1902">
        <v>67.5</v>
      </c>
      <c r="M1902">
        <v>47.937235809999997</v>
      </c>
      <c r="N1902">
        <v>0.41599678000000001</v>
      </c>
      <c r="O1902">
        <v>75</v>
      </c>
      <c r="P1902">
        <v>28.80614499</v>
      </c>
      <c r="Q1902">
        <v>2.3860428570000001</v>
      </c>
      <c r="R1902" t="s">
        <v>1019</v>
      </c>
      <c r="S1902">
        <v>1.9700460770000001</v>
      </c>
    </row>
    <row r="1903" spans="1:19" x14ac:dyDescent="0.25">
      <c r="A1903" t="s">
        <v>75</v>
      </c>
      <c r="B1903" t="s">
        <v>850</v>
      </c>
      <c r="C1903">
        <v>10</v>
      </c>
      <c r="D1903" t="s">
        <v>29</v>
      </c>
      <c r="E1903" t="s">
        <v>94</v>
      </c>
      <c r="F1903" t="s">
        <v>110</v>
      </c>
      <c r="G1903" t="s">
        <v>104</v>
      </c>
      <c r="H1903" t="s">
        <v>104</v>
      </c>
      <c r="J1903">
        <v>0</v>
      </c>
      <c r="K1903">
        <v>2</v>
      </c>
      <c r="L1903">
        <v>73.260869569999997</v>
      </c>
      <c r="M1903">
        <v>34.453830549999999</v>
      </c>
      <c r="N1903">
        <v>1.058333333</v>
      </c>
      <c r="O1903">
        <v>113.9375</v>
      </c>
      <c r="P1903">
        <v>33.375507550000002</v>
      </c>
      <c r="Q1903">
        <v>2.4262999999999999</v>
      </c>
      <c r="R1903" t="s">
        <v>1019</v>
      </c>
      <c r="S1903">
        <v>1.3679666669999999</v>
      </c>
    </row>
    <row r="1904" spans="1:19" x14ac:dyDescent="0.25">
      <c r="A1904" t="s">
        <v>75</v>
      </c>
      <c r="B1904" t="s">
        <v>851</v>
      </c>
      <c r="C1904">
        <v>10</v>
      </c>
      <c r="D1904" t="s">
        <v>29</v>
      </c>
      <c r="E1904" t="s">
        <v>94</v>
      </c>
      <c r="F1904" t="s">
        <v>103</v>
      </c>
      <c r="G1904" t="s">
        <v>121</v>
      </c>
      <c r="H1904" t="s">
        <v>251</v>
      </c>
      <c r="J1904">
        <v>0</v>
      </c>
      <c r="K1904">
        <v>1</v>
      </c>
      <c r="L1904">
        <v>98.291666669999998</v>
      </c>
      <c r="M1904">
        <v>30.315130790000001</v>
      </c>
      <c r="N1904">
        <v>5.0803484000000003E-2</v>
      </c>
      <c r="O1904">
        <v>85</v>
      </c>
      <c r="P1904">
        <v>37.099157669999997</v>
      </c>
      <c r="Q1904">
        <v>0.65291888899999995</v>
      </c>
      <c r="R1904" t="s">
        <v>1019</v>
      </c>
      <c r="S1904">
        <v>0.60211540499999994</v>
      </c>
    </row>
    <row r="1905" spans="1:19" x14ac:dyDescent="0.25">
      <c r="A1905" t="s">
        <v>75</v>
      </c>
      <c r="B1905" t="s">
        <v>851</v>
      </c>
      <c r="C1905">
        <v>10</v>
      </c>
      <c r="D1905" t="s">
        <v>29</v>
      </c>
      <c r="E1905" t="s">
        <v>94</v>
      </c>
      <c r="F1905" t="s">
        <v>103</v>
      </c>
      <c r="G1905" t="s">
        <v>121</v>
      </c>
      <c r="H1905" t="s">
        <v>233</v>
      </c>
      <c r="J1905">
        <v>0</v>
      </c>
      <c r="K1905">
        <v>1</v>
      </c>
      <c r="L1905">
        <v>98.291666669999998</v>
      </c>
      <c r="M1905">
        <v>30.315130790000001</v>
      </c>
      <c r="N1905">
        <v>5.0803484000000003E-2</v>
      </c>
      <c r="O1905">
        <v>106.0540541</v>
      </c>
      <c r="P1905">
        <v>52.690533369999997</v>
      </c>
      <c r="Q1905">
        <v>7.6058968000000005E-2</v>
      </c>
      <c r="R1905" t="s">
        <v>1019</v>
      </c>
      <c r="S1905">
        <v>2.5255484000000002E-2</v>
      </c>
    </row>
    <row r="1906" spans="1:19" x14ac:dyDescent="0.25">
      <c r="A1906" t="s">
        <v>75</v>
      </c>
      <c r="B1906" t="s">
        <v>851</v>
      </c>
      <c r="C1906">
        <v>10</v>
      </c>
      <c r="D1906" t="s">
        <v>29</v>
      </c>
      <c r="E1906" t="s">
        <v>94</v>
      </c>
      <c r="F1906" t="s">
        <v>103</v>
      </c>
      <c r="G1906" t="s">
        <v>121</v>
      </c>
      <c r="H1906" t="s">
        <v>105</v>
      </c>
      <c r="J1906">
        <v>0</v>
      </c>
      <c r="K1906">
        <v>1</v>
      </c>
      <c r="L1906">
        <v>98.291666669999998</v>
      </c>
      <c r="M1906">
        <v>30.315130790000001</v>
      </c>
      <c r="N1906">
        <v>5.0803484000000003E-2</v>
      </c>
      <c r="O1906">
        <v>67.5</v>
      </c>
      <c r="P1906">
        <v>47.937235809999997</v>
      </c>
      <c r="Q1906">
        <v>0.41599678000000001</v>
      </c>
      <c r="R1906" t="s">
        <v>1019</v>
      </c>
      <c r="S1906">
        <v>0.365193296</v>
      </c>
    </row>
    <row r="1907" spans="1:19" x14ac:dyDescent="0.25">
      <c r="A1907" t="s">
        <v>76</v>
      </c>
      <c r="B1907" t="s">
        <v>852</v>
      </c>
      <c r="C1907">
        <v>10</v>
      </c>
      <c r="D1907" t="s">
        <v>31</v>
      </c>
      <c r="E1907" t="s">
        <v>94</v>
      </c>
      <c r="F1907" t="s">
        <v>113</v>
      </c>
      <c r="G1907" t="s">
        <v>113</v>
      </c>
      <c r="H1907" t="s">
        <v>113</v>
      </c>
      <c r="J1907">
        <v>0</v>
      </c>
      <c r="K1907">
        <v>2</v>
      </c>
      <c r="L1907">
        <v>83.757575759999995</v>
      </c>
      <c r="M1907">
        <v>22.60997987</v>
      </c>
      <c r="N1907">
        <v>0.72884000000000004</v>
      </c>
      <c r="O1907">
        <v>83.757575759999995</v>
      </c>
      <c r="P1907">
        <v>22.60997987</v>
      </c>
      <c r="Q1907">
        <v>0.72884000000000004</v>
      </c>
      <c r="R1907" t="s">
        <v>1019</v>
      </c>
      <c r="S1907">
        <v>0</v>
      </c>
    </row>
    <row r="1908" spans="1:19" x14ac:dyDescent="0.25">
      <c r="A1908" t="s">
        <v>76</v>
      </c>
      <c r="B1908" t="s">
        <v>852</v>
      </c>
      <c r="C1908">
        <v>10</v>
      </c>
      <c r="D1908" t="s">
        <v>31</v>
      </c>
      <c r="E1908" t="s">
        <v>94</v>
      </c>
      <c r="F1908" t="s">
        <v>113</v>
      </c>
      <c r="G1908" t="s">
        <v>113</v>
      </c>
      <c r="H1908" t="s">
        <v>238</v>
      </c>
      <c r="J1908">
        <v>0</v>
      </c>
      <c r="K1908">
        <v>1</v>
      </c>
      <c r="L1908">
        <v>83.757575759999995</v>
      </c>
      <c r="M1908">
        <v>22.60997987</v>
      </c>
      <c r="N1908">
        <v>0.72884000000000004</v>
      </c>
      <c r="O1908">
        <v>87.5</v>
      </c>
      <c r="P1908">
        <v>29.478311600000001</v>
      </c>
      <c r="Q1908">
        <v>3.0797751000000002E-2</v>
      </c>
      <c r="R1908" t="s">
        <v>1019</v>
      </c>
      <c r="S1908">
        <v>0.698042249</v>
      </c>
    </row>
    <row r="1909" spans="1:19" x14ac:dyDescent="0.25">
      <c r="A1909" t="s">
        <v>76</v>
      </c>
      <c r="B1909" t="s">
        <v>852</v>
      </c>
      <c r="C1909">
        <v>10</v>
      </c>
      <c r="D1909" t="s">
        <v>31</v>
      </c>
      <c r="E1909" t="s">
        <v>94</v>
      </c>
      <c r="F1909" t="s">
        <v>113</v>
      </c>
      <c r="G1909" t="s">
        <v>113</v>
      </c>
      <c r="H1909" t="s">
        <v>235</v>
      </c>
      <c r="J1909">
        <v>0</v>
      </c>
      <c r="K1909">
        <v>5</v>
      </c>
      <c r="L1909">
        <v>83.757575759999995</v>
      </c>
      <c r="M1909">
        <v>22.60997987</v>
      </c>
      <c r="N1909">
        <v>0.72884000000000004</v>
      </c>
      <c r="O1909">
        <v>132.27272730000001</v>
      </c>
      <c r="P1909">
        <v>20.180448590000001</v>
      </c>
      <c r="Q1909">
        <v>3.7813451999999997E-2</v>
      </c>
      <c r="R1909" t="s">
        <v>1019</v>
      </c>
      <c r="S1909">
        <v>0.69102654800000007</v>
      </c>
    </row>
    <row r="1910" spans="1:19" x14ac:dyDescent="0.25">
      <c r="A1910" t="s">
        <v>77</v>
      </c>
      <c r="B1910" t="s">
        <v>853</v>
      </c>
      <c r="C1910">
        <v>10</v>
      </c>
      <c r="D1910" t="s">
        <v>33</v>
      </c>
      <c r="E1910" t="s">
        <v>94</v>
      </c>
      <c r="F1910" t="s">
        <v>102</v>
      </c>
      <c r="G1910" t="s">
        <v>110</v>
      </c>
      <c r="H1910" t="s">
        <v>110</v>
      </c>
      <c r="J1910">
        <v>0</v>
      </c>
      <c r="K1910">
        <v>1</v>
      </c>
      <c r="L1910">
        <v>84.740740740000007</v>
      </c>
      <c r="M1910">
        <v>29.167014049999999</v>
      </c>
      <c r="N1910">
        <v>1.1169849999999999</v>
      </c>
      <c r="O1910">
        <v>73.260869569999997</v>
      </c>
      <c r="P1910">
        <v>34.453830549999999</v>
      </c>
      <c r="Q1910">
        <v>1.058333333</v>
      </c>
      <c r="R1910" t="s">
        <v>1019</v>
      </c>
      <c r="S1910">
        <v>5.8651666999999907E-2</v>
      </c>
    </row>
    <row r="1911" spans="1:19" x14ac:dyDescent="0.25">
      <c r="A1911" t="s">
        <v>77</v>
      </c>
      <c r="B1911" t="s">
        <v>853</v>
      </c>
      <c r="C1911">
        <v>10</v>
      </c>
      <c r="D1911" t="s">
        <v>33</v>
      </c>
      <c r="E1911" t="s">
        <v>94</v>
      </c>
      <c r="F1911" t="s">
        <v>102</v>
      </c>
      <c r="G1911" t="s">
        <v>110</v>
      </c>
      <c r="H1911" t="s">
        <v>162</v>
      </c>
      <c r="J1911">
        <v>0</v>
      </c>
      <c r="K1911">
        <v>1</v>
      </c>
      <c r="L1911">
        <v>84.740740740000007</v>
      </c>
      <c r="M1911">
        <v>29.167014049999999</v>
      </c>
      <c r="N1911">
        <v>1.1169849999999999</v>
      </c>
      <c r="O1911">
        <v>82.53846154</v>
      </c>
      <c r="P1911">
        <v>35.660530039999998</v>
      </c>
      <c r="Q1911">
        <v>3.3754499999999998</v>
      </c>
      <c r="R1911" t="s">
        <v>1019</v>
      </c>
      <c r="S1911">
        <v>2.2584650000000002</v>
      </c>
    </row>
    <row r="1912" spans="1:19" x14ac:dyDescent="0.25">
      <c r="A1912" t="s">
        <v>77</v>
      </c>
      <c r="B1912" t="s">
        <v>854</v>
      </c>
      <c r="C1912">
        <v>10</v>
      </c>
      <c r="D1912" t="s">
        <v>33</v>
      </c>
      <c r="E1912" t="s">
        <v>94</v>
      </c>
      <c r="F1912" t="s">
        <v>110</v>
      </c>
      <c r="G1912" t="s">
        <v>110</v>
      </c>
      <c r="H1912" t="s">
        <v>110</v>
      </c>
      <c r="J1912">
        <v>0</v>
      </c>
      <c r="K1912">
        <v>3</v>
      </c>
      <c r="L1912">
        <v>73.260869569999997</v>
      </c>
      <c r="M1912">
        <v>34.453830549999999</v>
      </c>
      <c r="N1912">
        <v>1.058333333</v>
      </c>
      <c r="O1912">
        <v>73.260869569999997</v>
      </c>
      <c r="P1912">
        <v>34.453830549999999</v>
      </c>
      <c r="Q1912">
        <v>1.058333333</v>
      </c>
      <c r="R1912" t="s">
        <v>1019</v>
      </c>
      <c r="S1912">
        <v>0</v>
      </c>
    </row>
    <row r="1913" spans="1:19" x14ac:dyDescent="0.25">
      <c r="A1913" t="s">
        <v>78</v>
      </c>
      <c r="B1913" t="s">
        <v>855</v>
      </c>
      <c r="C1913">
        <v>10</v>
      </c>
      <c r="D1913" t="s">
        <v>35</v>
      </c>
      <c r="E1913" t="s">
        <v>94</v>
      </c>
      <c r="F1913" t="s">
        <v>111</v>
      </c>
      <c r="G1913" t="s">
        <v>121</v>
      </c>
      <c r="H1913" t="s">
        <v>114</v>
      </c>
      <c r="J1913">
        <v>0</v>
      </c>
      <c r="K1913">
        <v>0</v>
      </c>
      <c r="L1913">
        <v>94.97142857</v>
      </c>
      <c r="M1913">
        <v>24.31591813</v>
      </c>
      <c r="N1913">
        <v>0.122951111</v>
      </c>
      <c r="O1913" t="s">
        <v>114</v>
      </c>
      <c r="P1913" t="s">
        <v>114</v>
      </c>
      <c r="Q1913" t="s">
        <v>114</v>
      </c>
      <c r="R1913" t="s">
        <v>1019</v>
      </c>
      <c r="S1913" t="s">
        <v>114</v>
      </c>
    </row>
    <row r="1914" spans="1:19" x14ac:dyDescent="0.25">
      <c r="A1914" t="s">
        <v>50</v>
      </c>
      <c r="B1914" t="s">
        <v>856</v>
      </c>
      <c r="C1914">
        <v>12</v>
      </c>
      <c r="D1914" t="s">
        <v>11</v>
      </c>
      <c r="E1914" t="s">
        <v>95</v>
      </c>
      <c r="F1914" t="s">
        <v>113</v>
      </c>
      <c r="G1914" t="s">
        <v>113</v>
      </c>
      <c r="H1914" t="s">
        <v>113</v>
      </c>
      <c r="J1914">
        <v>0</v>
      </c>
      <c r="K1914">
        <v>6</v>
      </c>
      <c r="L1914">
        <v>83.757575759999995</v>
      </c>
      <c r="M1914">
        <v>22.60997987</v>
      </c>
      <c r="N1914">
        <v>0.72884000000000004</v>
      </c>
      <c r="O1914">
        <v>83.757575759999995</v>
      </c>
      <c r="P1914">
        <v>22.60997987</v>
      </c>
      <c r="Q1914">
        <v>0.72884000000000004</v>
      </c>
      <c r="R1914" t="s">
        <v>1019</v>
      </c>
      <c r="S1914">
        <v>0</v>
      </c>
    </row>
    <row r="1915" spans="1:19" x14ac:dyDescent="0.25">
      <c r="A1915" t="s">
        <v>50</v>
      </c>
      <c r="B1915" t="s">
        <v>856</v>
      </c>
      <c r="C1915">
        <v>12</v>
      </c>
      <c r="D1915" t="s">
        <v>11</v>
      </c>
      <c r="E1915" t="s">
        <v>95</v>
      </c>
      <c r="F1915" t="s">
        <v>113</v>
      </c>
      <c r="G1915" t="s">
        <v>113</v>
      </c>
      <c r="H1915" t="s">
        <v>238</v>
      </c>
      <c r="J1915">
        <v>0</v>
      </c>
      <c r="K1915">
        <v>1</v>
      </c>
      <c r="L1915">
        <v>83.757575759999995</v>
      </c>
      <c r="M1915">
        <v>22.60997987</v>
      </c>
      <c r="N1915">
        <v>0.72884000000000004</v>
      </c>
      <c r="O1915">
        <v>87.5</v>
      </c>
      <c r="P1915">
        <v>29.478311600000001</v>
      </c>
      <c r="Q1915">
        <v>3.0797751000000002E-2</v>
      </c>
      <c r="R1915" t="s">
        <v>1019</v>
      </c>
      <c r="S1915">
        <v>0.698042249</v>
      </c>
    </row>
    <row r="1916" spans="1:19" x14ac:dyDescent="0.25">
      <c r="A1916" t="s">
        <v>50</v>
      </c>
      <c r="B1916" t="s">
        <v>857</v>
      </c>
      <c r="C1916">
        <v>12</v>
      </c>
      <c r="D1916" t="s">
        <v>11</v>
      </c>
      <c r="E1916" t="s">
        <v>95</v>
      </c>
      <c r="F1916" t="s">
        <v>103</v>
      </c>
      <c r="G1916" t="s">
        <v>113</v>
      </c>
      <c r="H1916" t="s">
        <v>113</v>
      </c>
      <c r="J1916">
        <v>0</v>
      </c>
      <c r="K1916">
        <v>4</v>
      </c>
      <c r="L1916">
        <v>98.291666669999998</v>
      </c>
      <c r="M1916">
        <v>30.315130790000001</v>
      </c>
      <c r="N1916">
        <v>5.0803484000000003E-2</v>
      </c>
      <c r="O1916">
        <v>83.757575759999995</v>
      </c>
      <c r="P1916">
        <v>22.60997987</v>
      </c>
      <c r="Q1916">
        <v>0.72884000000000004</v>
      </c>
      <c r="R1916" t="s">
        <v>1019</v>
      </c>
      <c r="S1916">
        <v>0.67803651600000003</v>
      </c>
    </row>
    <row r="1917" spans="1:19" x14ac:dyDescent="0.25">
      <c r="A1917" t="s">
        <v>50</v>
      </c>
      <c r="B1917" t="s">
        <v>857</v>
      </c>
      <c r="C1917">
        <v>12</v>
      </c>
      <c r="D1917" t="s">
        <v>11</v>
      </c>
      <c r="E1917" t="s">
        <v>95</v>
      </c>
      <c r="F1917" t="s">
        <v>103</v>
      </c>
      <c r="G1917" t="s">
        <v>113</v>
      </c>
      <c r="H1917" t="s">
        <v>242</v>
      </c>
      <c r="J1917">
        <v>0</v>
      </c>
      <c r="K1917">
        <v>3</v>
      </c>
      <c r="L1917">
        <v>98.291666669999998</v>
      </c>
      <c r="M1917">
        <v>30.315130790000001</v>
      </c>
      <c r="N1917">
        <v>5.0803484000000003E-2</v>
      </c>
      <c r="O1917">
        <v>139.375</v>
      </c>
      <c r="P1917">
        <v>23.713465920000001</v>
      </c>
      <c r="Q1917" t="s">
        <v>114</v>
      </c>
      <c r="R1917" t="s">
        <v>1019</v>
      </c>
      <c r="S1917" t="s">
        <v>114</v>
      </c>
    </row>
    <row r="1918" spans="1:19" x14ac:dyDescent="0.25">
      <c r="A1918" t="s">
        <v>50</v>
      </c>
      <c r="B1918" t="s">
        <v>858</v>
      </c>
      <c r="C1918">
        <v>12</v>
      </c>
      <c r="D1918" t="s">
        <v>11</v>
      </c>
      <c r="E1918" t="s">
        <v>95</v>
      </c>
      <c r="F1918" t="s">
        <v>111</v>
      </c>
      <c r="G1918" t="s">
        <v>113</v>
      </c>
      <c r="H1918" t="s">
        <v>113</v>
      </c>
      <c r="J1918">
        <v>0</v>
      </c>
      <c r="K1918">
        <v>3</v>
      </c>
      <c r="L1918">
        <v>94.97142857</v>
      </c>
      <c r="M1918">
        <v>24.31591813</v>
      </c>
      <c r="N1918">
        <v>0.122951111</v>
      </c>
      <c r="O1918">
        <v>83.757575759999995</v>
      </c>
      <c r="P1918">
        <v>22.60997987</v>
      </c>
      <c r="Q1918">
        <v>0.72884000000000004</v>
      </c>
      <c r="R1918" t="s">
        <v>1019</v>
      </c>
      <c r="S1918">
        <v>0.60588888900000004</v>
      </c>
    </row>
    <row r="1919" spans="1:19" x14ac:dyDescent="0.25">
      <c r="A1919" t="s">
        <v>50</v>
      </c>
      <c r="B1919" t="s">
        <v>858</v>
      </c>
      <c r="C1919">
        <v>12</v>
      </c>
      <c r="D1919" t="s">
        <v>11</v>
      </c>
      <c r="E1919" t="s">
        <v>95</v>
      </c>
      <c r="F1919" t="s">
        <v>111</v>
      </c>
      <c r="G1919" t="s">
        <v>113</v>
      </c>
      <c r="H1919" t="s">
        <v>242</v>
      </c>
      <c r="J1919">
        <v>0</v>
      </c>
      <c r="K1919">
        <v>2</v>
      </c>
      <c r="L1919">
        <v>94.97142857</v>
      </c>
      <c r="M1919">
        <v>24.31591813</v>
      </c>
      <c r="N1919">
        <v>0.122951111</v>
      </c>
      <c r="O1919">
        <v>139.375</v>
      </c>
      <c r="P1919">
        <v>23.713465920000001</v>
      </c>
      <c r="Q1919" t="s">
        <v>114</v>
      </c>
      <c r="R1919" t="s">
        <v>1019</v>
      </c>
      <c r="S1919" t="s">
        <v>114</v>
      </c>
    </row>
    <row r="1920" spans="1:19" x14ac:dyDescent="0.25">
      <c r="A1920" t="s">
        <v>50</v>
      </c>
      <c r="B1920" t="s">
        <v>859</v>
      </c>
      <c r="C1920">
        <v>12</v>
      </c>
      <c r="D1920" t="s">
        <v>11</v>
      </c>
      <c r="E1920" t="s">
        <v>95</v>
      </c>
      <c r="F1920" t="s">
        <v>104</v>
      </c>
      <c r="G1920" t="s">
        <v>121</v>
      </c>
      <c r="H1920" t="s">
        <v>103</v>
      </c>
      <c r="J1920">
        <v>0</v>
      </c>
      <c r="K1920">
        <v>1</v>
      </c>
      <c r="L1920">
        <v>113.9375</v>
      </c>
      <c r="M1920">
        <v>33.375507550000002</v>
      </c>
      <c r="N1920">
        <v>2.4262999999999999</v>
      </c>
      <c r="O1920">
        <v>98.291666669999998</v>
      </c>
      <c r="P1920">
        <v>30.315130790000001</v>
      </c>
      <c r="Q1920">
        <v>5.0803484000000003E-2</v>
      </c>
      <c r="R1920" t="s">
        <v>1019</v>
      </c>
      <c r="S1920">
        <v>2.3754965160000001</v>
      </c>
    </row>
    <row r="1921" spans="1:19" x14ac:dyDescent="0.25">
      <c r="A1921" t="s">
        <v>50</v>
      </c>
      <c r="B1921" t="s">
        <v>859</v>
      </c>
      <c r="C1921">
        <v>12</v>
      </c>
      <c r="D1921" t="s">
        <v>11</v>
      </c>
      <c r="E1921" t="s">
        <v>95</v>
      </c>
      <c r="F1921" t="s">
        <v>104</v>
      </c>
      <c r="G1921" t="s">
        <v>121</v>
      </c>
      <c r="H1921" t="s">
        <v>238</v>
      </c>
      <c r="J1921">
        <v>0</v>
      </c>
      <c r="K1921">
        <v>1</v>
      </c>
      <c r="L1921">
        <v>113.9375</v>
      </c>
      <c r="M1921">
        <v>33.375507550000002</v>
      </c>
      <c r="N1921">
        <v>2.4262999999999999</v>
      </c>
      <c r="O1921">
        <v>87.5</v>
      </c>
      <c r="P1921">
        <v>29.478311600000001</v>
      </c>
      <c r="Q1921">
        <v>3.0797751000000002E-2</v>
      </c>
      <c r="R1921" t="s">
        <v>1019</v>
      </c>
      <c r="S1921">
        <v>2.3955022489999998</v>
      </c>
    </row>
    <row r="1922" spans="1:19" x14ac:dyDescent="0.25">
      <c r="A1922" t="s">
        <v>51</v>
      </c>
      <c r="B1922" t="s">
        <v>860</v>
      </c>
      <c r="C1922">
        <v>12</v>
      </c>
      <c r="D1922" t="s">
        <v>15</v>
      </c>
      <c r="E1922" t="s">
        <v>94</v>
      </c>
      <c r="F1922" t="s">
        <v>105</v>
      </c>
      <c r="G1922" t="s">
        <v>104</v>
      </c>
      <c r="H1922" t="s">
        <v>104</v>
      </c>
      <c r="J1922">
        <v>0</v>
      </c>
      <c r="K1922">
        <v>2</v>
      </c>
      <c r="L1922">
        <v>67.5</v>
      </c>
      <c r="M1922">
        <v>47.937235809999997</v>
      </c>
      <c r="N1922">
        <v>0.41599678000000001</v>
      </c>
      <c r="O1922">
        <v>113.9375</v>
      </c>
      <c r="P1922">
        <v>33.375507550000002</v>
      </c>
      <c r="Q1922">
        <v>2.4262999999999999</v>
      </c>
      <c r="R1922" t="s">
        <v>1019</v>
      </c>
      <c r="S1922">
        <v>2.0103032199999999</v>
      </c>
    </row>
    <row r="1923" spans="1:19" x14ac:dyDescent="0.25">
      <c r="A1923" t="s">
        <v>51</v>
      </c>
      <c r="B1923" t="s">
        <v>861</v>
      </c>
      <c r="C1923">
        <v>12</v>
      </c>
      <c r="D1923" t="s">
        <v>15</v>
      </c>
      <c r="E1923" t="s">
        <v>94</v>
      </c>
      <c r="F1923" t="s">
        <v>111</v>
      </c>
      <c r="G1923" t="s">
        <v>121</v>
      </c>
      <c r="H1923" t="s">
        <v>241</v>
      </c>
      <c r="J1923">
        <v>0</v>
      </c>
      <c r="K1923">
        <v>1</v>
      </c>
      <c r="L1923">
        <v>94.97142857</v>
      </c>
      <c r="M1923">
        <v>24.31591813</v>
      </c>
      <c r="N1923">
        <v>0.122951111</v>
      </c>
      <c r="O1923">
        <v>114</v>
      </c>
      <c r="P1923">
        <v>30.43077242</v>
      </c>
      <c r="Q1923">
        <v>0.53383111100000002</v>
      </c>
      <c r="R1923" t="s">
        <v>1019</v>
      </c>
      <c r="S1923">
        <v>0.41088000000000002</v>
      </c>
    </row>
    <row r="1924" spans="1:19" x14ac:dyDescent="0.25">
      <c r="A1924" t="s">
        <v>51</v>
      </c>
      <c r="B1924" t="s">
        <v>862</v>
      </c>
      <c r="C1924">
        <v>12</v>
      </c>
      <c r="D1924" t="s">
        <v>15</v>
      </c>
      <c r="E1924" t="s">
        <v>94</v>
      </c>
      <c r="F1924" t="s">
        <v>112</v>
      </c>
      <c r="G1924" t="s">
        <v>112</v>
      </c>
      <c r="H1924" t="s">
        <v>112</v>
      </c>
      <c r="J1924">
        <v>0</v>
      </c>
      <c r="K1924">
        <v>2</v>
      </c>
      <c r="L1924">
        <v>65.09375</v>
      </c>
      <c r="M1924">
        <v>37.895352600000002</v>
      </c>
      <c r="N1924">
        <v>2.2882677779999998</v>
      </c>
      <c r="O1924">
        <v>65.09375</v>
      </c>
      <c r="P1924">
        <v>37.895352600000002</v>
      </c>
      <c r="Q1924">
        <v>2.2882677779999998</v>
      </c>
      <c r="R1924" t="s">
        <v>1019</v>
      </c>
      <c r="S1924">
        <v>0</v>
      </c>
    </row>
    <row r="1925" spans="1:19" x14ac:dyDescent="0.25">
      <c r="A1925" t="s">
        <v>52</v>
      </c>
      <c r="B1925" t="s">
        <v>863</v>
      </c>
      <c r="C1925">
        <v>12</v>
      </c>
      <c r="D1925" t="s">
        <v>17</v>
      </c>
      <c r="E1925" t="s">
        <v>95</v>
      </c>
      <c r="F1925" t="s">
        <v>102</v>
      </c>
      <c r="G1925" t="s">
        <v>121</v>
      </c>
      <c r="H1925" t="s">
        <v>238</v>
      </c>
      <c r="J1925">
        <v>0</v>
      </c>
      <c r="K1925">
        <v>1</v>
      </c>
      <c r="L1925">
        <v>84.740740740000007</v>
      </c>
      <c r="M1925">
        <v>29.167014049999999</v>
      </c>
      <c r="N1925">
        <v>1.1169849999999999</v>
      </c>
      <c r="O1925">
        <v>87.5</v>
      </c>
      <c r="P1925">
        <v>29.478311600000001</v>
      </c>
      <c r="Q1925">
        <v>3.0797751000000002E-2</v>
      </c>
      <c r="R1925" t="s">
        <v>1019</v>
      </c>
      <c r="S1925">
        <v>1.086187249</v>
      </c>
    </row>
    <row r="1926" spans="1:19" x14ac:dyDescent="0.25">
      <c r="A1926" t="s">
        <v>52</v>
      </c>
      <c r="B1926" t="s">
        <v>863</v>
      </c>
      <c r="C1926">
        <v>12</v>
      </c>
      <c r="D1926" t="s">
        <v>17</v>
      </c>
      <c r="E1926" t="s">
        <v>95</v>
      </c>
      <c r="F1926" t="s">
        <v>102</v>
      </c>
      <c r="G1926" t="s">
        <v>121</v>
      </c>
      <c r="H1926" t="s">
        <v>113</v>
      </c>
      <c r="J1926">
        <v>0</v>
      </c>
      <c r="K1926">
        <v>1</v>
      </c>
      <c r="L1926">
        <v>84.740740740000007</v>
      </c>
      <c r="M1926">
        <v>29.167014049999999</v>
      </c>
      <c r="N1926">
        <v>1.1169849999999999</v>
      </c>
      <c r="O1926">
        <v>83.757575759999995</v>
      </c>
      <c r="P1926">
        <v>22.60997987</v>
      </c>
      <c r="Q1926">
        <v>0.72884000000000004</v>
      </c>
      <c r="R1926" t="s">
        <v>1019</v>
      </c>
      <c r="S1926">
        <v>0.38814499999999985</v>
      </c>
    </row>
    <row r="1927" spans="1:19" x14ac:dyDescent="0.25">
      <c r="A1927" t="s">
        <v>52</v>
      </c>
      <c r="B1927" t="s">
        <v>864</v>
      </c>
      <c r="C1927">
        <v>12</v>
      </c>
      <c r="D1927" t="s">
        <v>17</v>
      </c>
      <c r="E1927" t="s">
        <v>95</v>
      </c>
      <c r="F1927" t="s">
        <v>103</v>
      </c>
      <c r="G1927" t="s">
        <v>121</v>
      </c>
      <c r="H1927" t="s">
        <v>234</v>
      </c>
      <c r="J1927">
        <v>0</v>
      </c>
      <c r="K1927">
        <v>5</v>
      </c>
      <c r="L1927">
        <v>98.291666669999998</v>
      </c>
      <c r="M1927">
        <v>30.315130790000001</v>
      </c>
      <c r="N1927">
        <v>5.0803484000000003E-2</v>
      </c>
      <c r="O1927">
        <v>89.8125</v>
      </c>
      <c r="P1927">
        <v>34.754706650000003</v>
      </c>
      <c r="Q1927">
        <v>2.3065078999999999E-2</v>
      </c>
      <c r="R1927" t="s">
        <v>1019</v>
      </c>
      <c r="S1927">
        <v>2.7738405000000004E-2</v>
      </c>
    </row>
    <row r="1928" spans="1:19" x14ac:dyDescent="0.25">
      <c r="A1928" t="s">
        <v>52</v>
      </c>
      <c r="B1928" t="s">
        <v>865</v>
      </c>
      <c r="C1928">
        <v>12</v>
      </c>
      <c r="D1928" t="s">
        <v>17</v>
      </c>
      <c r="E1928" t="s">
        <v>95</v>
      </c>
      <c r="F1928" t="s">
        <v>111</v>
      </c>
      <c r="G1928" t="s">
        <v>103</v>
      </c>
      <c r="H1928" t="s">
        <v>103</v>
      </c>
      <c r="J1928">
        <v>0</v>
      </c>
      <c r="K1928">
        <v>1</v>
      </c>
      <c r="L1928">
        <v>94.97142857</v>
      </c>
      <c r="M1928">
        <v>24.31591813</v>
      </c>
      <c r="N1928">
        <v>0.122951111</v>
      </c>
      <c r="O1928">
        <v>98.291666669999998</v>
      </c>
      <c r="P1928">
        <v>30.315130790000001</v>
      </c>
      <c r="Q1928">
        <v>5.0803484000000003E-2</v>
      </c>
      <c r="R1928" t="s">
        <v>1019</v>
      </c>
      <c r="S1928">
        <v>7.2147626999999992E-2</v>
      </c>
    </row>
    <row r="1929" spans="1:19" x14ac:dyDescent="0.25">
      <c r="A1929" t="s">
        <v>52</v>
      </c>
      <c r="B1929" t="s">
        <v>866</v>
      </c>
      <c r="C1929">
        <v>12</v>
      </c>
      <c r="D1929" t="s">
        <v>17</v>
      </c>
      <c r="E1929" t="s">
        <v>95</v>
      </c>
      <c r="F1929" t="s">
        <v>112</v>
      </c>
      <c r="G1929" t="s">
        <v>121</v>
      </c>
      <c r="H1929" t="s">
        <v>235</v>
      </c>
      <c r="J1929">
        <v>0</v>
      </c>
      <c r="K1929">
        <v>1</v>
      </c>
      <c r="L1929">
        <v>65.09375</v>
      </c>
      <c r="M1929">
        <v>37.895352600000002</v>
      </c>
      <c r="N1929">
        <v>2.2882677779999998</v>
      </c>
      <c r="O1929">
        <v>132.27272730000001</v>
      </c>
      <c r="P1929">
        <v>20.180448590000001</v>
      </c>
      <c r="Q1929">
        <v>3.7813451999999997E-2</v>
      </c>
      <c r="R1929" t="s">
        <v>1019</v>
      </c>
      <c r="S1929">
        <v>2.2504543259999998</v>
      </c>
    </row>
    <row r="1930" spans="1:19" x14ac:dyDescent="0.25">
      <c r="A1930" t="s">
        <v>53</v>
      </c>
      <c r="B1930" t="s">
        <v>867</v>
      </c>
      <c r="C1930">
        <v>12</v>
      </c>
      <c r="D1930" t="s">
        <v>19</v>
      </c>
      <c r="E1930" t="s">
        <v>94</v>
      </c>
      <c r="F1930" t="s">
        <v>102</v>
      </c>
      <c r="G1930" t="s">
        <v>121</v>
      </c>
      <c r="H1930" t="s">
        <v>808</v>
      </c>
      <c r="J1930">
        <v>0</v>
      </c>
      <c r="K1930">
        <v>1</v>
      </c>
      <c r="L1930">
        <v>84.740740740000007</v>
      </c>
      <c r="M1930">
        <v>29.167014049999999</v>
      </c>
      <c r="N1930">
        <v>1.1169849999999999</v>
      </c>
      <c r="O1930">
        <v>102.79166669999999</v>
      </c>
      <c r="P1930">
        <v>27.057373470000002</v>
      </c>
      <c r="Q1930">
        <v>6.3567849939999999</v>
      </c>
      <c r="R1930" t="s">
        <v>1019</v>
      </c>
      <c r="S1930">
        <v>5.2397999940000002</v>
      </c>
    </row>
    <row r="1931" spans="1:19" x14ac:dyDescent="0.25">
      <c r="A1931" t="s">
        <v>53</v>
      </c>
      <c r="B1931" t="s">
        <v>867</v>
      </c>
      <c r="C1931">
        <v>12</v>
      </c>
      <c r="D1931" t="s">
        <v>19</v>
      </c>
      <c r="E1931" t="s">
        <v>94</v>
      </c>
      <c r="F1931" t="s">
        <v>102</v>
      </c>
      <c r="G1931" t="s">
        <v>121</v>
      </c>
      <c r="H1931" t="s">
        <v>241</v>
      </c>
      <c r="J1931">
        <v>0</v>
      </c>
      <c r="K1931">
        <v>1</v>
      </c>
      <c r="L1931">
        <v>84.740740740000007</v>
      </c>
      <c r="M1931">
        <v>29.167014049999999</v>
      </c>
      <c r="N1931">
        <v>1.1169849999999999</v>
      </c>
      <c r="O1931">
        <v>114</v>
      </c>
      <c r="P1931">
        <v>30.43077242</v>
      </c>
      <c r="Q1931">
        <v>0.53383111100000002</v>
      </c>
      <c r="R1931" t="s">
        <v>1019</v>
      </c>
      <c r="S1931">
        <v>0.58315388899999987</v>
      </c>
    </row>
    <row r="1932" spans="1:19" x14ac:dyDescent="0.25">
      <c r="A1932" t="s">
        <v>53</v>
      </c>
      <c r="B1932" t="s">
        <v>868</v>
      </c>
      <c r="C1932">
        <v>12</v>
      </c>
      <c r="D1932" t="s">
        <v>19</v>
      </c>
      <c r="E1932" t="s">
        <v>94</v>
      </c>
      <c r="F1932" t="s">
        <v>113</v>
      </c>
      <c r="G1932" t="s">
        <v>121</v>
      </c>
      <c r="H1932" t="s">
        <v>103</v>
      </c>
      <c r="J1932">
        <v>0</v>
      </c>
      <c r="K1932">
        <v>1</v>
      </c>
      <c r="L1932">
        <v>83.757575759999995</v>
      </c>
      <c r="M1932">
        <v>22.60997987</v>
      </c>
      <c r="N1932">
        <v>0.72884000000000004</v>
      </c>
      <c r="O1932">
        <v>98.291666669999998</v>
      </c>
      <c r="P1932">
        <v>30.315130790000001</v>
      </c>
      <c r="Q1932">
        <v>5.0803484000000003E-2</v>
      </c>
      <c r="R1932" t="s">
        <v>1019</v>
      </c>
      <c r="S1932">
        <v>0.67803651600000003</v>
      </c>
    </row>
    <row r="1933" spans="1:19" x14ac:dyDescent="0.25">
      <c r="A1933" t="s">
        <v>53</v>
      </c>
      <c r="B1933" t="s">
        <v>868</v>
      </c>
      <c r="C1933">
        <v>12</v>
      </c>
      <c r="D1933" t="s">
        <v>19</v>
      </c>
      <c r="E1933" t="s">
        <v>94</v>
      </c>
      <c r="F1933" t="s">
        <v>113</v>
      </c>
      <c r="G1933" t="s">
        <v>121</v>
      </c>
      <c r="H1933" t="s">
        <v>238</v>
      </c>
      <c r="J1933">
        <v>0</v>
      </c>
      <c r="K1933">
        <v>1</v>
      </c>
      <c r="L1933">
        <v>83.757575759999995</v>
      </c>
      <c r="M1933">
        <v>22.60997987</v>
      </c>
      <c r="N1933">
        <v>0.72884000000000004</v>
      </c>
      <c r="O1933">
        <v>87.5</v>
      </c>
      <c r="P1933">
        <v>29.478311600000001</v>
      </c>
      <c r="Q1933">
        <v>3.0797751000000002E-2</v>
      </c>
      <c r="R1933" t="s">
        <v>1019</v>
      </c>
      <c r="S1933">
        <v>0.698042249</v>
      </c>
    </row>
    <row r="1934" spans="1:19" x14ac:dyDescent="0.25">
      <c r="A1934" t="s">
        <v>53</v>
      </c>
      <c r="B1934" t="s">
        <v>868</v>
      </c>
      <c r="C1934">
        <v>12</v>
      </c>
      <c r="D1934" t="s">
        <v>19</v>
      </c>
      <c r="E1934" t="s">
        <v>94</v>
      </c>
      <c r="F1934" t="s">
        <v>113</v>
      </c>
      <c r="G1934" t="s">
        <v>121</v>
      </c>
      <c r="H1934" t="s">
        <v>235</v>
      </c>
      <c r="J1934">
        <v>0</v>
      </c>
      <c r="K1934">
        <v>1</v>
      </c>
      <c r="L1934">
        <v>83.757575759999995</v>
      </c>
      <c r="M1934">
        <v>22.60997987</v>
      </c>
      <c r="N1934">
        <v>0.72884000000000004</v>
      </c>
      <c r="O1934">
        <v>132.27272730000001</v>
      </c>
      <c r="P1934">
        <v>20.180448590000001</v>
      </c>
      <c r="Q1934">
        <v>3.7813451999999997E-2</v>
      </c>
      <c r="R1934" t="s">
        <v>1019</v>
      </c>
      <c r="S1934">
        <v>0.69102654800000007</v>
      </c>
    </row>
    <row r="1935" spans="1:19" x14ac:dyDescent="0.25">
      <c r="A1935" t="s">
        <v>53</v>
      </c>
      <c r="B1935" t="s">
        <v>868</v>
      </c>
      <c r="C1935">
        <v>12</v>
      </c>
      <c r="D1935" t="s">
        <v>19</v>
      </c>
      <c r="E1935" t="s">
        <v>94</v>
      </c>
      <c r="F1935" t="s">
        <v>113</v>
      </c>
      <c r="G1935" t="s">
        <v>121</v>
      </c>
      <c r="H1935" t="s">
        <v>241</v>
      </c>
      <c r="J1935">
        <v>0</v>
      </c>
      <c r="K1935">
        <v>2</v>
      </c>
      <c r="L1935">
        <v>83.757575759999995</v>
      </c>
      <c r="M1935">
        <v>22.60997987</v>
      </c>
      <c r="N1935">
        <v>0.72884000000000004</v>
      </c>
      <c r="O1935">
        <v>114</v>
      </c>
      <c r="P1935">
        <v>30.43077242</v>
      </c>
      <c r="Q1935">
        <v>0.53383111100000002</v>
      </c>
      <c r="R1935" t="s">
        <v>1019</v>
      </c>
      <c r="S1935">
        <v>0.19500888900000002</v>
      </c>
    </row>
    <row r="1936" spans="1:19" x14ac:dyDescent="0.25">
      <c r="A1936" t="s">
        <v>53</v>
      </c>
      <c r="B1936" t="s">
        <v>868</v>
      </c>
      <c r="C1936">
        <v>12</v>
      </c>
      <c r="D1936" t="s">
        <v>19</v>
      </c>
      <c r="E1936" t="s">
        <v>94</v>
      </c>
      <c r="F1936" t="s">
        <v>113</v>
      </c>
      <c r="G1936" t="s">
        <v>121</v>
      </c>
      <c r="H1936" t="s">
        <v>242</v>
      </c>
      <c r="J1936">
        <v>0</v>
      </c>
      <c r="K1936">
        <v>1</v>
      </c>
      <c r="L1936">
        <v>83.757575759999995</v>
      </c>
      <c r="M1936">
        <v>22.60997987</v>
      </c>
      <c r="N1936">
        <v>0.72884000000000004</v>
      </c>
      <c r="O1936">
        <v>139.375</v>
      </c>
      <c r="P1936">
        <v>23.713465920000001</v>
      </c>
      <c r="Q1936" t="s">
        <v>114</v>
      </c>
      <c r="R1936" t="s">
        <v>1019</v>
      </c>
      <c r="S1936" t="s">
        <v>114</v>
      </c>
    </row>
    <row r="1937" spans="1:19" x14ac:dyDescent="0.25">
      <c r="A1937" t="s">
        <v>53</v>
      </c>
      <c r="B1937" t="s">
        <v>868</v>
      </c>
      <c r="C1937">
        <v>12</v>
      </c>
      <c r="D1937" t="s">
        <v>19</v>
      </c>
      <c r="E1937" t="s">
        <v>94</v>
      </c>
      <c r="F1937" t="s">
        <v>113</v>
      </c>
      <c r="G1937" t="s">
        <v>121</v>
      </c>
      <c r="H1937" t="s">
        <v>112</v>
      </c>
      <c r="J1937">
        <v>0</v>
      </c>
      <c r="K1937">
        <v>1</v>
      </c>
      <c r="L1937">
        <v>83.757575759999995</v>
      </c>
      <c r="M1937">
        <v>22.60997987</v>
      </c>
      <c r="N1937">
        <v>0.72884000000000004</v>
      </c>
      <c r="O1937">
        <v>65.09375</v>
      </c>
      <c r="P1937">
        <v>37.895352600000002</v>
      </c>
      <c r="Q1937">
        <v>2.2882677779999998</v>
      </c>
      <c r="R1937" t="s">
        <v>1019</v>
      </c>
      <c r="S1937">
        <v>1.5594277779999999</v>
      </c>
    </row>
    <row r="1938" spans="1:19" x14ac:dyDescent="0.25">
      <c r="A1938" t="s">
        <v>53</v>
      </c>
      <c r="B1938" t="s">
        <v>869</v>
      </c>
      <c r="C1938">
        <v>12</v>
      </c>
      <c r="D1938" t="s">
        <v>19</v>
      </c>
      <c r="E1938" t="s">
        <v>94</v>
      </c>
      <c r="F1938" t="s">
        <v>103</v>
      </c>
      <c r="G1938" t="s">
        <v>121</v>
      </c>
      <c r="H1938" t="s">
        <v>103</v>
      </c>
      <c r="J1938">
        <v>0</v>
      </c>
      <c r="K1938">
        <v>1</v>
      </c>
      <c r="L1938">
        <v>98.291666669999998</v>
      </c>
      <c r="M1938">
        <v>30.315130790000001</v>
      </c>
      <c r="N1938">
        <v>5.0803484000000003E-2</v>
      </c>
      <c r="O1938">
        <v>98.291666669999998</v>
      </c>
      <c r="P1938">
        <v>30.315130790000001</v>
      </c>
      <c r="Q1938">
        <v>5.0803484000000003E-2</v>
      </c>
      <c r="R1938" t="s">
        <v>1019</v>
      </c>
      <c r="S1938">
        <v>0</v>
      </c>
    </row>
    <row r="1939" spans="1:19" x14ac:dyDescent="0.25">
      <c r="A1939" t="s">
        <v>53</v>
      </c>
      <c r="B1939" t="s">
        <v>869</v>
      </c>
      <c r="C1939">
        <v>12</v>
      </c>
      <c r="D1939" t="s">
        <v>19</v>
      </c>
      <c r="E1939" t="s">
        <v>94</v>
      </c>
      <c r="F1939" t="s">
        <v>103</v>
      </c>
      <c r="G1939" t="s">
        <v>121</v>
      </c>
      <c r="H1939" t="s">
        <v>241</v>
      </c>
      <c r="J1939">
        <v>0</v>
      </c>
      <c r="K1939">
        <v>1</v>
      </c>
      <c r="L1939">
        <v>98.291666669999998</v>
      </c>
      <c r="M1939">
        <v>30.315130790000001</v>
      </c>
      <c r="N1939">
        <v>5.0803484000000003E-2</v>
      </c>
      <c r="O1939">
        <v>114</v>
      </c>
      <c r="P1939">
        <v>30.43077242</v>
      </c>
      <c r="Q1939">
        <v>0.53383111100000002</v>
      </c>
      <c r="R1939" t="s">
        <v>1019</v>
      </c>
      <c r="S1939">
        <v>0.48302762700000001</v>
      </c>
    </row>
    <row r="1940" spans="1:19" x14ac:dyDescent="0.25">
      <c r="A1940" t="s">
        <v>53</v>
      </c>
      <c r="B1940" t="s">
        <v>870</v>
      </c>
      <c r="C1940">
        <v>12</v>
      </c>
      <c r="D1940" t="s">
        <v>19</v>
      </c>
      <c r="E1940" t="s">
        <v>94</v>
      </c>
      <c r="F1940" t="s">
        <v>112</v>
      </c>
      <c r="G1940" t="s">
        <v>121</v>
      </c>
      <c r="H1940" t="s">
        <v>114</v>
      </c>
      <c r="J1940">
        <v>0</v>
      </c>
      <c r="K1940">
        <v>0</v>
      </c>
      <c r="L1940">
        <v>65.09375</v>
      </c>
      <c r="M1940">
        <v>37.895352600000002</v>
      </c>
      <c r="N1940">
        <v>2.2882677779999998</v>
      </c>
      <c r="O1940" t="s">
        <v>114</v>
      </c>
      <c r="P1940" t="s">
        <v>114</v>
      </c>
      <c r="Q1940" t="s">
        <v>114</v>
      </c>
      <c r="R1940" t="s">
        <v>1019</v>
      </c>
      <c r="S1940" t="s">
        <v>114</v>
      </c>
    </row>
    <row r="1941" spans="1:19" x14ac:dyDescent="0.25">
      <c r="A1941" t="s">
        <v>54</v>
      </c>
      <c r="B1941" t="s">
        <v>871</v>
      </c>
      <c r="C1941">
        <v>12</v>
      </c>
      <c r="D1941" t="s">
        <v>21</v>
      </c>
      <c r="E1941" t="s">
        <v>95</v>
      </c>
      <c r="F1941" t="s">
        <v>113</v>
      </c>
      <c r="G1941" t="s">
        <v>121</v>
      </c>
      <c r="H1941" t="s">
        <v>241</v>
      </c>
      <c r="J1941">
        <v>0</v>
      </c>
      <c r="K1941">
        <v>2</v>
      </c>
      <c r="L1941">
        <v>83.757575759999995</v>
      </c>
      <c r="M1941">
        <v>22.60997987</v>
      </c>
      <c r="N1941">
        <v>0.72884000000000004</v>
      </c>
      <c r="O1941">
        <v>114</v>
      </c>
      <c r="P1941">
        <v>30.43077242</v>
      </c>
      <c r="Q1941">
        <v>0.53383111100000002</v>
      </c>
      <c r="R1941" t="s">
        <v>1019</v>
      </c>
      <c r="S1941">
        <v>0.19500888900000002</v>
      </c>
    </row>
    <row r="1942" spans="1:19" x14ac:dyDescent="0.25">
      <c r="A1942" t="s">
        <v>54</v>
      </c>
      <c r="B1942" t="s">
        <v>872</v>
      </c>
      <c r="C1942">
        <v>12</v>
      </c>
      <c r="D1942" t="s">
        <v>21</v>
      </c>
      <c r="E1942" t="s">
        <v>95</v>
      </c>
      <c r="F1942" t="s">
        <v>110</v>
      </c>
      <c r="G1942" t="s">
        <v>121</v>
      </c>
      <c r="H1942" t="s">
        <v>241</v>
      </c>
      <c r="I1942" t="s">
        <v>162</v>
      </c>
      <c r="J1942">
        <v>1</v>
      </c>
      <c r="K1942">
        <v>2</v>
      </c>
      <c r="L1942">
        <v>73.260869569999997</v>
      </c>
      <c r="M1942">
        <v>34.453830549999999</v>
      </c>
      <c r="N1942">
        <v>1.058333333</v>
      </c>
      <c r="O1942">
        <v>114</v>
      </c>
      <c r="P1942">
        <v>30.43077242</v>
      </c>
      <c r="Q1942">
        <v>0.53383111100000002</v>
      </c>
      <c r="R1942" t="s">
        <v>1019</v>
      </c>
      <c r="S1942">
        <v>0.52450222199999996</v>
      </c>
    </row>
    <row r="1943" spans="1:19" x14ac:dyDescent="0.25">
      <c r="A1943" t="s">
        <v>54</v>
      </c>
      <c r="B1943" t="s">
        <v>873</v>
      </c>
      <c r="C1943">
        <v>12</v>
      </c>
      <c r="D1943" t="s">
        <v>21</v>
      </c>
      <c r="E1943" t="s">
        <v>95</v>
      </c>
      <c r="F1943" t="s">
        <v>111</v>
      </c>
      <c r="G1943" t="s">
        <v>121</v>
      </c>
      <c r="H1943" t="s">
        <v>162</v>
      </c>
      <c r="J1943">
        <v>0</v>
      </c>
      <c r="K1943">
        <v>1</v>
      </c>
      <c r="L1943">
        <v>94.97142857</v>
      </c>
      <c r="M1943">
        <v>24.31591813</v>
      </c>
      <c r="N1943">
        <v>0.122951111</v>
      </c>
      <c r="O1943">
        <v>82.53846154</v>
      </c>
      <c r="P1943">
        <v>35.660530039999998</v>
      </c>
      <c r="Q1943">
        <v>3.3754499999999998</v>
      </c>
      <c r="R1943" t="s">
        <v>1019</v>
      </c>
      <c r="S1943">
        <v>3.2524988889999999</v>
      </c>
    </row>
    <row r="1944" spans="1:19" x14ac:dyDescent="0.25">
      <c r="A1944" t="s">
        <v>55</v>
      </c>
      <c r="B1944" t="s">
        <v>874</v>
      </c>
      <c r="C1944">
        <v>12</v>
      </c>
      <c r="D1944" t="s">
        <v>23</v>
      </c>
      <c r="E1944" t="s">
        <v>94</v>
      </c>
      <c r="F1944" t="s">
        <v>113</v>
      </c>
      <c r="G1944" t="s">
        <v>110</v>
      </c>
      <c r="H1944" t="s">
        <v>238</v>
      </c>
      <c r="J1944">
        <v>0</v>
      </c>
      <c r="K1944">
        <v>1</v>
      </c>
      <c r="L1944">
        <v>83.757575759999995</v>
      </c>
      <c r="M1944">
        <v>22.60997987</v>
      </c>
      <c r="N1944">
        <v>0.72884000000000004</v>
      </c>
      <c r="O1944">
        <v>87.5</v>
      </c>
      <c r="P1944">
        <v>29.478311600000001</v>
      </c>
      <c r="Q1944">
        <v>3.0797751000000002E-2</v>
      </c>
      <c r="R1944" t="s">
        <v>1019</v>
      </c>
      <c r="S1944">
        <v>0.698042249</v>
      </c>
    </row>
    <row r="1945" spans="1:19" x14ac:dyDescent="0.25">
      <c r="A1945" t="s">
        <v>55</v>
      </c>
      <c r="B1945" t="s">
        <v>874</v>
      </c>
      <c r="C1945">
        <v>12</v>
      </c>
      <c r="D1945" t="s">
        <v>23</v>
      </c>
      <c r="E1945" t="s">
        <v>94</v>
      </c>
      <c r="F1945" t="s">
        <v>113</v>
      </c>
      <c r="G1945" t="s">
        <v>110</v>
      </c>
      <c r="H1945" t="s">
        <v>103</v>
      </c>
      <c r="J1945">
        <v>0</v>
      </c>
      <c r="K1945">
        <v>1</v>
      </c>
      <c r="L1945">
        <v>83.757575759999995</v>
      </c>
      <c r="M1945">
        <v>22.60997987</v>
      </c>
      <c r="N1945">
        <v>0.72884000000000004</v>
      </c>
      <c r="O1945">
        <v>98.291666669999998</v>
      </c>
      <c r="P1945">
        <v>30.315130790000001</v>
      </c>
      <c r="Q1945">
        <v>5.0803484000000003E-2</v>
      </c>
      <c r="R1945" t="s">
        <v>1019</v>
      </c>
      <c r="S1945">
        <v>0.67803651600000003</v>
      </c>
    </row>
    <row r="1946" spans="1:19" x14ac:dyDescent="0.25">
      <c r="A1946" t="s">
        <v>55</v>
      </c>
      <c r="B1946" t="s">
        <v>874</v>
      </c>
      <c r="C1946">
        <v>12</v>
      </c>
      <c r="D1946" t="s">
        <v>23</v>
      </c>
      <c r="E1946" t="s">
        <v>94</v>
      </c>
      <c r="F1946" t="s">
        <v>113</v>
      </c>
      <c r="G1946" t="s">
        <v>110</v>
      </c>
      <c r="H1946" t="s">
        <v>808</v>
      </c>
      <c r="J1946">
        <v>0</v>
      </c>
      <c r="K1946">
        <v>1</v>
      </c>
      <c r="L1946">
        <v>83.757575759999995</v>
      </c>
      <c r="M1946">
        <v>22.60997987</v>
      </c>
      <c r="N1946">
        <v>0.72884000000000004</v>
      </c>
      <c r="O1946">
        <v>102.79166669999999</v>
      </c>
      <c r="P1946">
        <v>27.057373470000002</v>
      </c>
      <c r="Q1946">
        <v>6.3567849939999999</v>
      </c>
      <c r="R1946" t="s">
        <v>1019</v>
      </c>
      <c r="S1946">
        <v>5.6279449939999999</v>
      </c>
    </row>
    <row r="1947" spans="1:19" x14ac:dyDescent="0.25">
      <c r="A1947" t="s">
        <v>55</v>
      </c>
      <c r="B1947" t="s">
        <v>874</v>
      </c>
      <c r="C1947">
        <v>12</v>
      </c>
      <c r="D1947" t="s">
        <v>23</v>
      </c>
      <c r="E1947" t="s">
        <v>94</v>
      </c>
      <c r="F1947" t="s">
        <v>113</v>
      </c>
      <c r="G1947" t="s">
        <v>110</v>
      </c>
      <c r="H1947" t="s">
        <v>113</v>
      </c>
      <c r="J1947">
        <v>0</v>
      </c>
      <c r="K1947">
        <v>1</v>
      </c>
      <c r="L1947">
        <v>83.757575759999995</v>
      </c>
      <c r="M1947">
        <v>22.60997987</v>
      </c>
      <c r="N1947">
        <v>0.72884000000000004</v>
      </c>
      <c r="O1947">
        <v>83.757575759999995</v>
      </c>
      <c r="P1947">
        <v>22.60997987</v>
      </c>
      <c r="Q1947">
        <v>0.72884000000000004</v>
      </c>
      <c r="R1947" t="s">
        <v>1019</v>
      </c>
      <c r="S1947">
        <v>0</v>
      </c>
    </row>
    <row r="1948" spans="1:19" x14ac:dyDescent="0.25">
      <c r="A1948" t="s">
        <v>55</v>
      </c>
      <c r="B1948" t="s">
        <v>875</v>
      </c>
      <c r="C1948">
        <v>12</v>
      </c>
      <c r="D1948" t="s">
        <v>23</v>
      </c>
      <c r="E1948" t="s">
        <v>94</v>
      </c>
      <c r="F1948" t="s">
        <v>110</v>
      </c>
      <c r="G1948" t="s">
        <v>103</v>
      </c>
      <c r="H1948" t="s">
        <v>114</v>
      </c>
      <c r="J1948">
        <v>0</v>
      </c>
      <c r="K1948" t="s">
        <v>114</v>
      </c>
      <c r="L1948">
        <v>73.260869569999997</v>
      </c>
      <c r="M1948">
        <v>34.453830549999999</v>
      </c>
      <c r="N1948">
        <v>1.058333333</v>
      </c>
      <c r="O1948" t="s">
        <v>114</v>
      </c>
      <c r="P1948" t="s">
        <v>114</v>
      </c>
      <c r="Q1948" t="s">
        <v>114</v>
      </c>
      <c r="R1948" t="s">
        <v>1019</v>
      </c>
      <c r="S1948" t="s">
        <v>114</v>
      </c>
    </row>
    <row r="1949" spans="1:19" x14ac:dyDescent="0.25">
      <c r="A1949" t="s">
        <v>55</v>
      </c>
      <c r="B1949" t="s">
        <v>876</v>
      </c>
      <c r="C1949">
        <v>12</v>
      </c>
      <c r="D1949" t="s">
        <v>23</v>
      </c>
      <c r="E1949" t="s">
        <v>94</v>
      </c>
      <c r="F1949" t="s">
        <v>103</v>
      </c>
      <c r="G1949" t="s">
        <v>103</v>
      </c>
      <c r="H1949" t="s">
        <v>114</v>
      </c>
      <c r="J1949">
        <v>0</v>
      </c>
      <c r="K1949" t="s">
        <v>114</v>
      </c>
      <c r="L1949">
        <v>98.291666669999998</v>
      </c>
      <c r="M1949">
        <v>30.315130790000001</v>
      </c>
      <c r="N1949">
        <v>5.0803484000000003E-2</v>
      </c>
      <c r="O1949" t="s">
        <v>114</v>
      </c>
      <c r="P1949" t="s">
        <v>114</v>
      </c>
      <c r="Q1949" t="s">
        <v>114</v>
      </c>
      <c r="R1949" t="s">
        <v>1019</v>
      </c>
      <c r="S1949" t="s">
        <v>114</v>
      </c>
    </row>
    <row r="1950" spans="1:19" x14ac:dyDescent="0.25">
      <c r="A1950" t="s">
        <v>55</v>
      </c>
      <c r="B1950" t="s">
        <v>877</v>
      </c>
      <c r="C1950">
        <v>12</v>
      </c>
      <c r="D1950" t="s">
        <v>23</v>
      </c>
      <c r="E1950" t="s">
        <v>94</v>
      </c>
      <c r="F1950" t="s">
        <v>111</v>
      </c>
      <c r="G1950" t="s">
        <v>113</v>
      </c>
      <c r="H1950" t="s">
        <v>113</v>
      </c>
      <c r="J1950">
        <v>0</v>
      </c>
      <c r="K1950">
        <v>2</v>
      </c>
      <c r="L1950">
        <v>94.97142857</v>
      </c>
      <c r="M1950">
        <v>24.31591813</v>
      </c>
      <c r="N1950">
        <v>0.122951111</v>
      </c>
      <c r="O1950">
        <v>83.757575759999995</v>
      </c>
      <c r="P1950">
        <v>22.60997987</v>
      </c>
      <c r="Q1950">
        <v>0.72884000000000004</v>
      </c>
      <c r="R1950" t="s">
        <v>1019</v>
      </c>
      <c r="S1950">
        <v>0.60588888900000004</v>
      </c>
    </row>
    <row r="1951" spans="1:19" x14ac:dyDescent="0.25">
      <c r="A1951" t="s">
        <v>55</v>
      </c>
      <c r="B1951" t="s">
        <v>877</v>
      </c>
      <c r="C1951">
        <v>12</v>
      </c>
      <c r="D1951" t="s">
        <v>23</v>
      </c>
      <c r="E1951" t="s">
        <v>94</v>
      </c>
      <c r="F1951" t="s">
        <v>111</v>
      </c>
      <c r="G1951" t="s">
        <v>113</v>
      </c>
      <c r="H1951" t="s">
        <v>797</v>
      </c>
      <c r="J1951">
        <v>0</v>
      </c>
      <c r="K1951">
        <v>1</v>
      </c>
      <c r="L1951">
        <v>94.97142857</v>
      </c>
      <c r="M1951">
        <v>24.31591813</v>
      </c>
      <c r="N1951">
        <v>0.122951111</v>
      </c>
      <c r="O1951">
        <v>179.45454549999999</v>
      </c>
      <c r="P1951">
        <v>26.326869609999999</v>
      </c>
      <c r="Q1951">
        <v>2.3456094639999998</v>
      </c>
      <c r="R1951" t="s">
        <v>1019</v>
      </c>
      <c r="S1951">
        <v>2.2226583529999999</v>
      </c>
    </row>
    <row r="1952" spans="1:19" x14ac:dyDescent="0.25">
      <c r="A1952" t="s">
        <v>56</v>
      </c>
      <c r="B1952" t="s">
        <v>878</v>
      </c>
      <c r="C1952">
        <v>12</v>
      </c>
      <c r="D1952" t="s">
        <v>25</v>
      </c>
      <c r="E1952" t="s">
        <v>94</v>
      </c>
      <c r="F1952" t="s">
        <v>113</v>
      </c>
      <c r="G1952" t="s">
        <v>113</v>
      </c>
      <c r="H1952" t="s">
        <v>113</v>
      </c>
      <c r="J1952">
        <v>0</v>
      </c>
      <c r="K1952">
        <v>3</v>
      </c>
      <c r="L1952">
        <v>83.757575759999995</v>
      </c>
      <c r="M1952">
        <v>22.60997987</v>
      </c>
      <c r="N1952">
        <v>0.72884000000000004</v>
      </c>
      <c r="O1952">
        <v>83.757575759999995</v>
      </c>
      <c r="P1952">
        <v>22.60997987</v>
      </c>
      <c r="Q1952">
        <v>0.72884000000000004</v>
      </c>
      <c r="R1952" t="s">
        <v>1019</v>
      </c>
      <c r="S1952">
        <v>0</v>
      </c>
    </row>
    <row r="1953" spans="1:19" x14ac:dyDescent="0.25">
      <c r="A1953" t="s">
        <v>56</v>
      </c>
      <c r="B1953" t="s">
        <v>879</v>
      </c>
      <c r="C1953">
        <v>12</v>
      </c>
      <c r="D1953" t="s">
        <v>25</v>
      </c>
      <c r="E1953" t="s">
        <v>94</v>
      </c>
      <c r="F1953" t="s">
        <v>111</v>
      </c>
      <c r="G1953" t="s">
        <v>121</v>
      </c>
      <c r="H1953" t="s">
        <v>112</v>
      </c>
      <c r="J1953">
        <v>0</v>
      </c>
      <c r="K1953">
        <v>1</v>
      </c>
      <c r="L1953">
        <v>94.97142857</v>
      </c>
      <c r="M1953">
        <v>24.31591813</v>
      </c>
      <c r="N1953">
        <v>0.122951111</v>
      </c>
      <c r="O1953">
        <v>65.09375</v>
      </c>
      <c r="P1953">
        <v>37.895352600000002</v>
      </c>
      <c r="Q1953">
        <v>2.2882677779999998</v>
      </c>
      <c r="R1953" t="s">
        <v>1019</v>
      </c>
      <c r="S1953">
        <v>2.1653166669999999</v>
      </c>
    </row>
    <row r="1954" spans="1:19" x14ac:dyDescent="0.25">
      <c r="A1954" t="s">
        <v>56</v>
      </c>
      <c r="B1954" t="s">
        <v>880</v>
      </c>
      <c r="C1954">
        <v>12</v>
      </c>
      <c r="D1954" t="s">
        <v>25</v>
      </c>
      <c r="E1954" t="s">
        <v>94</v>
      </c>
      <c r="F1954" t="s">
        <v>104</v>
      </c>
      <c r="G1954" t="s">
        <v>121</v>
      </c>
      <c r="H1954" t="s">
        <v>104</v>
      </c>
      <c r="J1954">
        <v>0</v>
      </c>
      <c r="K1954">
        <v>1</v>
      </c>
      <c r="L1954">
        <v>113.9375</v>
      </c>
      <c r="M1954">
        <v>33.375507550000002</v>
      </c>
      <c r="N1954">
        <v>2.4262999999999999</v>
      </c>
      <c r="O1954">
        <v>113.9375</v>
      </c>
      <c r="P1954">
        <v>33.375507550000002</v>
      </c>
      <c r="Q1954">
        <v>2.4262999999999999</v>
      </c>
      <c r="R1954" t="s">
        <v>1019</v>
      </c>
      <c r="S1954">
        <v>0</v>
      </c>
    </row>
    <row r="1955" spans="1:19" x14ac:dyDescent="0.25">
      <c r="A1955" t="s">
        <v>56</v>
      </c>
      <c r="B1955" t="s">
        <v>881</v>
      </c>
      <c r="C1955">
        <v>12</v>
      </c>
      <c r="D1955" t="s">
        <v>25</v>
      </c>
      <c r="E1955" t="s">
        <v>94</v>
      </c>
      <c r="F1955" t="s">
        <v>112</v>
      </c>
      <c r="G1955" t="s">
        <v>121</v>
      </c>
      <c r="H1955" t="s">
        <v>241</v>
      </c>
      <c r="J1955">
        <v>0</v>
      </c>
      <c r="K1955">
        <v>4</v>
      </c>
      <c r="L1955">
        <v>65.09375</v>
      </c>
      <c r="M1955">
        <v>37.895352600000002</v>
      </c>
      <c r="N1955">
        <v>2.2882677779999998</v>
      </c>
      <c r="O1955">
        <v>114</v>
      </c>
      <c r="P1955">
        <v>30.43077242</v>
      </c>
      <c r="Q1955">
        <v>0.53383111100000002</v>
      </c>
      <c r="R1955" t="s">
        <v>1019</v>
      </c>
      <c r="S1955">
        <v>1.7544366669999998</v>
      </c>
    </row>
    <row r="1956" spans="1:19" x14ac:dyDescent="0.25">
      <c r="A1956" t="s">
        <v>57</v>
      </c>
      <c r="B1956" t="s">
        <v>882</v>
      </c>
      <c r="C1956">
        <v>12</v>
      </c>
      <c r="D1956" t="s">
        <v>27</v>
      </c>
      <c r="E1956" t="s">
        <v>94</v>
      </c>
      <c r="F1956" t="s">
        <v>105</v>
      </c>
      <c r="G1956" t="s">
        <v>121</v>
      </c>
      <c r="H1956" t="s">
        <v>247</v>
      </c>
      <c r="J1956">
        <v>0</v>
      </c>
      <c r="K1956">
        <v>1</v>
      </c>
      <c r="L1956">
        <v>67.5</v>
      </c>
      <c r="M1956">
        <v>47.937235809999997</v>
      </c>
      <c r="N1956">
        <v>0.41599678000000001</v>
      </c>
      <c r="O1956">
        <v>65.791044779999993</v>
      </c>
      <c r="P1956">
        <v>22.94519201</v>
      </c>
      <c r="Q1956">
        <v>8.1320334999999994E-2</v>
      </c>
      <c r="R1956" t="s">
        <v>1019</v>
      </c>
      <c r="S1956">
        <v>0.33467644500000004</v>
      </c>
    </row>
    <row r="1957" spans="1:19" x14ac:dyDescent="0.25">
      <c r="A1957" t="s">
        <v>57</v>
      </c>
      <c r="B1957" t="s">
        <v>882</v>
      </c>
      <c r="C1957">
        <v>12</v>
      </c>
      <c r="D1957" t="s">
        <v>27</v>
      </c>
      <c r="E1957" t="s">
        <v>94</v>
      </c>
      <c r="F1957" t="s">
        <v>105</v>
      </c>
      <c r="G1957" t="s">
        <v>121</v>
      </c>
      <c r="H1957" t="s">
        <v>103</v>
      </c>
      <c r="J1957">
        <v>0</v>
      </c>
      <c r="K1957">
        <v>1</v>
      </c>
      <c r="L1957">
        <v>67.5</v>
      </c>
      <c r="M1957">
        <v>47.937235809999997</v>
      </c>
      <c r="N1957">
        <v>0.41599678000000001</v>
      </c>
      <c r="O1957">
        <v>98.291666669999998</v>
      </c>
      <c r="P1957">
        <v>30.315130790000001</v>
      </c>
      <c r="Q1957">
        <v>5.0803484000000003E-2</v>
      </c>
      <c r="R1957" t="s">
        <v>1019</v>
      </c>
      <c r="S1957">
        <v>0.365193296</v>
      </c>
    </row>
    <row r="1958" spans="1:19" x14ac:dyDescent="0.25">
      <c r="A1958" t="s">
        <v>57</v>
      </c>
      <c r="B1958" t="s">
        <v>882</v>
      </c>
      <c r="C1958">
        <v>12</v>
      </c>
      <c r="D1958" t="s">
        <v>27</v>
      </c>
      <c r="E1958" t="s">
        <v>94</v>
      </c>
      <c r="F1958" t="s">
        <v>105</v>
      </c>
      <c r="G1958" t="s">
        <v>121</v>
      </c>
      <c r="H1958" t="s">
        <v>233</v>
      </c>
      <c r="J1958">
        <v>0</v>
      </c>
      <c r="K1958">
        <v>6</v>
      </c>
      <c r="L1958">
        <v>67.5</v>
      </c>
      <c r="M1958">
        <v>47.937235809999997</v>
      </c>
      <c r="N1958">
        <v>0.41599678000000001</v>
      </c>
      <c r="O1958">
        <v>106.0540541</v>
      </c>
      <c r="P1958">
        <v>52.690533369999997</v>
      </c>
      <c r="Q1958">
        <v>7.6058968000000005E-2</v>
      </c>
      <c r="R1958" t="s">
        <v>1019</v>
      </c>
      <c r="S1958">
        <v>0.33993781200000001</v>
      </c>
    </row>
    <row r="1959" spans="1:19" x14ac:dyDescent="0.25">
      <c r="A1959" t="s">
        <v>57</v>
      </c>
      <c r="B1959" t="s">
        <v>883</v>
      </c>
      <c r="C1959">
        <v>12</v>
      </c>
      <c r="D1959" t="s">
        <v>27</v>
      </c>
      <c r="E1959" t="s">
        <v>94</v>
      </c>
      <c r="F1959" t="s">
        <v>113</v>
      </c>
      <c r="G1959" t="s">
        <v>121</v>
      </c>
      <c r="H1959" t="s">
        <v>114</v>
      </c>
      <c r="J1959">
        <v>0</v>
      </c>
      <c r="K1959" t="s">
        <v>114</v>
      </c>
      <c r="L1959">
        <v>83.757575759999995</v>
      </c>
      <c r="M1959">
        <v>22.60997987</v>
      </c>
      <c r="N1959">
        <v>0.72884000000000004</v>
      </c>
      <c r="O1959" t="s">
        <v>114</v>
      </c>
      <c r="P1959" t="s">
        <v>114</v>
      </c>
      <c r="Q1959" t="s">
        <v>114</v>
      </c>
      <c r="R1959" t="s">
        <v>1019</v>
      </c>
      <c r="S1959" t="s">
        <v>114</v>
      </c>
    </row>
    <row r="1960" spans="1:19" x14ac:dyDescent="0.25">
      <c r="A1960" t="s">
        <v>57</v>
      </c>
      <c r="B1960" t="s">
        <v>884</v>
      </c>
      <c r="C1960">
        <v>12</v>
      </c>
      <c r="D1960" t="s">
        <v>27</v>
      </c>
      <c r="E1960" t="s">
        <v>94</v>
      </c>
      <c r="F1960" t="s">
        <v>112</v>
      </c>
      <c r="G1960" t="s">
        <v>112</v>
      </c>
      <c r="H1960" t="s">
        <v>112</v>
      </c>
      <c r="J1960">
        <v>0</v>
      </c>
      <c r="K1960">
        <v>2</v>
      </c>
      <c r="L1960">
        <v>65.09375</v>
      </c>
      <c r="M1960">
        <v>37.895352600000002</v>
      </c>
      <c r="N1960">
        <v>2.2882677779999998</v>
      </c>
      <c r="O1960">
        <v>65.09375</v>
      </c>
      <c r="P1960">
        <v>37.895352600000002</v>
      </c>
      <c r="Q1960">
        <v>2.2882677779999998</v>
      </c>
      <c r="R1960" t="s">
        <v>1019</v>
      </c>
      <c r="S1960">
        <v>0</v>
      </c>
    </row>
    <row r="1961" spans="1:19" x14ac:dyDescent="0.25">
      <c r="A1961" t="s">
        <v>57</v>
      </c>
      <c r="B1961" t="s">
        <v>884</v>
      </c>
      <c r="C1961">
        <v>12</v>
      </c>
      <c r="D1961" t="s">
        <v>27</v>
      </c>
      <c r="E1961" t="s">
        <v>94</v>
      </c>
      <c r="F1961" t="s">
        <v>112</v>
      </c>
      <c r="G1961" t="s">
        <v>112</v>
      </c>
      <c r="H1961" t="s">
        <v>247</v>
      </c>
      <c r="J1961">
        <v>0</v>
      </c>
      <c r="K1961">
        <v>1</v>
      </c>
      <c r="L1961">
        <v>65.09375</v>
      </c>
      <c r="M1961">
        <v>37.895352600000002</v>
      </c>
      <c r="N1961">
        <v>2.2882677779999998</v>
      </c>
      <c r="O1961">
        <v>65.791044779999993</v>
      </c>
      <c r="P1961">
        <v>22.94519201</v>
      </c>
      <c r="Q1961">
        <v>8.1320334999999994E-2</v>
      </c>
      <c r="R1961" t="s">
        <v>1019</v>
      </c>
      <c r="S1961">
        <v>2.2069474429999998</v>
      </c>
    </row>
    <row r="1962" spans="1:19" x14ac:dyDescent="0.25">
      <c r="A1962" t="s">
        <v>58</v>
      </c>
      <c r="B1962" t="s">
        <v>885</v>
      </c>
      <c r="C1962">
        <v>12</v>
      </c>
      <c r="D1962" t="s">
        <v>29</v>
      </c>
      <c r="E1962" t="s">
        <v>95</v>
      </c>
      <c r="F1962" t="s">
        <v>102</v>
      </c>
      <c r="G1962" t="s">
        <v>104</v>
      </c>
      <c r="H1962" t="s">
        <v>104</v>
      </c>
      <c r="J1962">
        <v>0</v>
      </c>
      <c r="K1962">
        <v>1</v>
      </c>
      <c r="L1962">
        <v>84.740740740000007</v>
      </c>
      <c r="M1962">
        <v>29.167014049999999</v>
      </c>
      <c r="N1962">
        <v>1.1169849999999999</v>
      </c>
      <c r="O1962">
        <v>113.9375</v>
      </c>
      <c r="P1962">
        <v>33.375507550000002</v>
      </c>
      <c r="Q1962">
        <v>2.4262999999999999</v>
      </c>
      <c r="R1962" t="s">
        <v>1019</v>
      </c>
      <c r="S1962">
        <v>1.309315</v>
      </c>
    </row>
    <row r="1963" spans="1:19" x14ac:dyDescent="0.25">
      <c r="A1963" t="s">
        <v>58</v>
      </c>
      <c r="B1963" t="s">
        <v>885</v>
      </c>
      <c r="C1963">
        <v>12</v>
      </c>
      <c r="D1963" t="s">
        <v>29</v>
      </c>
      <c r="E1963" t="s">
        <v>95</v>
      </c>
      <c r="F1963" t="s">
        <v>102</v>
      </c>
      <c r="G1963" t="s">
        <v>104</v>
      </c>
      <c r="H1963" t="s">
        <v>246</v>
      </c>
      <c r="J1963">
        <v>0</v>
      </c>
      <c r="K1963">
        <v>1</v>
      </c>
      <c r="L1963">
        <v>84.740740740000007</v>
      </c>
      <c r="M1963">
        <v>29.167014049999999</v>
      </c>
      <c r="N1963">
        <v>1.1169849999999999</v>
      </c>
      <c r="O1963">
        <v>120.25</v>
      </c>
      <c r="P1963">
        <v>30.670450110000001</v>
      </c>
      <c r="Q1963">
        <v>0.91037498500000003</v>
      </c>
      <c r="R1963" t="s">
        <v>1019</v>
      </c>
      <c r="S1963">
        <v>0.20661001499999987</v>
      </c>
    </row>
    <row r="1964" spans="1:19" x14ac:dyDescent="0.25">
      <c r="A1964" t="s">
        <v>58</v>
      </c>
      <c r="B1964" t="s">
        <v>886</v>
      </c>
      <c r="C1964">
        <v>12</v>
      </c>
      <c r="D1964" t="s">
        <v>29</v>
      </c>
      <c r="E1964" t="s">
        <v>95</v>
      </c>
      <c r="F1964" t="s">
        <v>110</v>
      </c>
      <c r="G1964" t="s">
        <v>121</v>
      </c>
      <c r="H1964" t="s">
        <v>246</v>
      </c>
      <c r="I1964" t="s">
        <v>162</v>
      </c>
      <c r="J1964">
        <v>1</v>
      </c>
      <c r="K1964">
        <v>1</v>
      </c>
      <c r="L1964">
        <v>73.260869569999997</v>
      </c>
      <c r="M1964">
        <v>34.453830549999999</v>
      </c>
      <c r="N1964">
        <v>1.058333333</v>
      </c>
      <c r="O1964">
        <v>120.25</v>
      </c>
      <c r="P1964">
        <v>30.670450110000001</v>
      </c>
      <c r="Q1964">
        <v>0.91037498500000003</v>
      </c>
      <c r="R1964" t="s">
        <v>1019</v>
      </c>
      <c r="S1964">
        <v>0.14795834799999996</v>
      </c>
    </row>
    <row r="1965" spans="1:19" x14ac:dyDescent="0.25">
      <c r="A1965" t="s">
        <v>58</v>
      </c>
      <c r="B1965" t="s">
        <v>886</v>
      </c>
      <c r="C1965">
        <v>12</v>
      </c>
      <c r="D1965" t="s">
        <v>29</v>
      </c>
      <c r="E1965" t="s">
        <v>95</v>
      </c>
      <c r="F1965" t="s">
        <v>110</v>
      </c>
      <c r="G1965" t="s">
        <v>121</v>
      </c>
      <c r="H1965" t="s">
        <v>239</v>
      </c>
      <c r="J1965">
        <v>1</v>
      </c>
      <c r="K1965">
        <v>1</v>
      </c>
      <c r="L1965">
        <v>73.260869569999997</v>
      </c>
      <c r="M1965">
        <v>34.453830549999999</v>
      </c>
      <c r="N1965">
        <v>1.058333333</v>
      </c>
      <c r="O1965">
        <v>100.45454549999999</v>
      </c>
      <c r="P1965">
        <v>26.754810689999999</v>
      </c>
      <c r="Q1965">
        <v>0.75829999999999997</v>
      </c>
      <c r="R1965" t="s">
        <v>1019</v>
      </c>
      <c r="S1965">
        <v>0.30003333300000001</v>
      </c>
    </row>
    <row r="1966" spans="1:19" x14ac:dyDescent="0.25">
      <c r="A1966" t="s">
        <v>58</v>
      </c>
      <c r="B1966" t="s">
        <v>887</v>
      </c>
      <c r="C1966">
        <v>12</v>
      </c>
      <c r="D1966" t="s">
        <v>29</v>
      </c>
      <c r="E1966" t="s">
        <v>95</v>
      </c>
      <c r="F1966" t="s">
        <v>103</v>
      </c>
      <c r="G1966" t="s">
        <v>121</v>
      </c>
      <c r="H1966" t="s">
        <v>249</v>
      </c>
      <c r="J1966">
        <v>0</v>
      </c>
      <c r="K1966">
        <v>1</v>
      </c>
      <c r="L1966">
        <v>98.291666669999998</v>
      </c>
      <c r="M1966">
        <v>30.315130790000001</v>
      </c>
      <c r="N1966">
        <v>5.0803484000000003E-2</v>
      </c>
      <c r="O1966">
        <v>81.666666669999998</v>
      </c>
      <c r="P1966">
        <v>48.056268459999998</v>
      </c>
      <c r="Q1966">
        <v>0.120291364</v>
      </c>
      <c r="R1966" t="s">
        <v>1019</v>
      </c>
      <c r="S1966">
        <v>6.9487880000000002E-2</v>
      </c>
    </row>
    <row r="1967" spans="1:19" x14ac:dyDescent="0.25">
      <c r="A1967" t="s">
        <v>58</v>
      </c>
      <c r="B1967" t="s">
        <v>887</v>
      </c>
      <c r="C1967">
        <v>12</v>
      </c>
      <c r="D1967" t="s">
        <v>29</v>
      </c>
      <c r="E1967" t="s">
        <v>95</v>
      </c>
      <c r="F1967" t="s">
        <v>103</v>
      </c>
      <c r="G1967" t="s">
        <v>121</v>
      </c>
      <c r="H1967" t="s">
        <v>238</v>
      </c>
      <c r="J1967">
        <v>0</v>
      </c>
      <c r="K1967">
        <v>1</v>
      </c>
      <c r="L1967">
        <v>98.291666669999998</v>
      </c>
      <c r="M1967">
        <v>30.315130790000001</v>
      </c>
      <c r="N1967">
        <v>5.0803484000000003E-2</v>
      </c>
      <c r="O1967">
        <v>87.5</v>
      </c>
      <c r="P1967">
        <v>29.478311600000001</v>
      </c>
      <c r="Q1967">
        <v>3.0797751000000002E-2</v>
      </c>
      <c r="R1967" t="s">
        <v>1019</v>
      </c>
      <c r="S1967">
        <v>2.0005733000000001E-2</v>
      </c>
    </row>
    <row r="1968" spans="1:19" x14ac:dyDescent="0.25">
      <c r="A1968" t="s">
        <v>59</v>
      </c>
      <c r="B1968" t="s">
        <v>888</v>
      </c>
      <c r="C1968">
        <v>12</v>
      </c>
      <c r="D1968" t="s">
        <v>31</v>
      </c>
      <c r="E1968" t="s">
        <v>94</v>
      </c>
      <c r="F1968" t="s">
        <v>105</v>
      </c>
      <c r="G1968" t="s">
        <v>121</v>
      </c>
      <c r="H1968" t="s">
        <v>241</v>
      </c>
      <c r="J1968">
        <v>0</v>
      </c>
      <c r="K1968">
        <v>1</v>
      </c>
      <c r="L1968">
        <v>67.5</v>
      </c>
      <c r="M1968">
        <v>47.937235809999997</v>
      </c>
      <c r="N1968">
        <v>0.41599678000000001</v>
      </c>
      <c r="O1968">
        <v>114</v>
      </c>
      <c r="P1968">
        <v>30.43077242</v>
      </c>
      <c r="Q1968">
        <v>0.53383111100000002</v>
      </c>
      <c r="R1968" t="s">
        <v>1019</v>
      </c>
      <c r="S1968">
        <v>0.11783433100000001</v>
      </c>
    </row>
    <row r="1969" spans="1:19" x14ac:dyDescent="0.25">
      <c r="A1969" t="s">
        <v>59</v>
      </c>
      <c r="B1969" t="s">
        <v>889</v>
      </c>
      <c r="C1969">
        <v>12</v>
      </c>
      <c r="D1969" t="s">
        <v>31</v>
      </c>
      <c r="E1969" t="s">
        <v>94</v>
      </c>
      <c r="F1969" t="s">
        <v>110</v>
      </c>
      <c r="G1969" t="s">
        <v>121</v>
      </c>
      <c r="H1969" t="s">
        <v>241</v>
      </c>
      <c r="J1969">
        <v>0</v>
      </c>
      <c r="K1969">
        <v>2</v>
      </c>
      <c r="L1969">
        <v>73.260869569999997</v>
      </c>
      <c r="M1969">
        <v>34.453830549999999</v>
      </c>
      <c r="N1969">
        <v>1.058333333</v>
      </c>
      <c r="O1969">
        <v>114</v>
      </c>
      <c r="P1969">
        <v>30.43077242</v>
      </c>
      <c r="Q1969">
        <v>0.53383111100000002</v>
      </c>
      <c r="R1969" t="s">
        <v>1019</v>
      </c>
      <c r="S1969">
        <v>0.52450222199999996</v>
      </c>
    </row>
    <row r="1970" spans="1:19" x14ac:dyDescent="0.25">
      <c r="A1970" t="s">
        <v>60</v>
      </c>
      <c r="B1970" t="s">
        <v>890</v>
      </c>
      <c r="C1970">
        <v>12</v>
      </c>
      <c r="D1970" t="s">
        <v>33</v>
      </c>
      <c r="E1970" t="s">
        <v>95</v>
      </c>
      <c r="F1970" t="s">
        <v>102</v>
      </c>
      <c r="G1970" t="s">
        <v>104</v>
      </c>
      <c r="H1970" t="s">
        <v>104</v>
      </c>
      <c r="J1970">
        <v>0</v>
      </c>
      <c r="K1970">
        <v>1</v>
      </c>
      <c r="L1970">
        <v>84.740740740000007</v>
      </c>
      <c r="M1970">
        <v>29.167014049999999</v>
      </c>
      <c r="N1970">
        <v>1.1169849999999999</v>
      </c>
      <c r="O1970">
        <v>113.9375</v>
      </c>
      <c r="P1970">
        <v>33.375507550000002</v>
      </c>
      <c r="Q1970">
        <v>2.4262999999999999</v>
      </c>
      <c r="R1970" t="s">
        <v>1019</v>
      </c>
      <c r="S1970">
        <v>1.309315</v>
      </c>
    </row>
    <row r="1971" spans="1:19" x14ac:dyDescent="0.25">
      <c r="A1971" t="s">
        <v>60</v>
      </c>
      <c r="B1971" t="s">
        <v>891</v>
      </c>
      <c r="C1971">
        <v>12</v>
      </c>
      <c r="D1971" t="s">
        <v>33</v>
      </c>
      <c r="E1971" t="s">
        <v>95</v>
      </c>
      <c r="F1971" t="s">
        <v>110</v>
      </c>
      <c r="G1971" t="s">
        <v>121</v>
      </c>
      <c r="H1971" t="s">
        <v>241</v>
      </c>
      <c r="J1971">
        <v>0</v>
      </c>
      <c r="K1971">
        <v>2</v>
      </c>
      <c r="L1971">
        <v>73.260869569999997</v>
      </c>
      <c r="M1971">
        <v>34.453830549999999</v>
      </c>
      <c r="N1971">
        <v>1.058333333</v>
      </c>
      <c r="O1971">
        <v>114</v>
      </c>
      <c r="P1971">
        <v>30.43077242</v>
      </c>
      <c r="Q1971">
        <v>0.53383111100000002</v>
      </c>
      <c r="R1971" t="s">
        <v>1019</v>
      </c>
      <c r="S1971">
        <v>0.52450222199999996</v>
      </c>
    </row>
    <row r="1972" spans="1:19" x14ac:dyDescent="0.25">
      <c r="A1972" t="s">
        <v>60</v>
      </c>
      <c r="B1972" t="s">
        <v>891</v>
      </c>
      <c r="C1972">
        <v>12</v>
      </c>
      <c r="D1972" t="s">
        <v>33</v>
      </c>
      <c r="E1972" t="s">
        <v>95</v>
      </c>
      <c r="F1972" t="s">
        <v>110</v>
      </c>
      <c r="G1972" t="s">
        <v>121</v>
      </c>
      <c r="H1972" t="s">
        <v>246</v>
      </c>
      <c r="J1972">
        <v>0</v>
      </c>
      <c r="K1972">
        <v>2</v>
      </c>
      <c r="L1972">
        <v>73.260869569999997</v>
      </c>
      <c r="M1972">
        <v>34.453830549999999</v>
      </c>
      <c r="N1972">
        <v>1.058333333</v>
      </c>
      <c r="O1972">
        <v>120.25</v>
      </c>
      <c r="P1972">
        <v>30.670450110000001</v>
      </c>
      <c r="Q1972">
        <v>0.91037498500000003</v>
      </c>
      <c r="R1972" t="s">
        <v>1019</v>
      </c>
      <c r="S1972">
        <v>0.14795834799999996</v>
      </c>
    </row>
    <row r="1973" spans="1:19" x14ac:dyDescent="0.25">
      <c r="A1973" t="s">
        <v>60</v>
      </c>
      <c r="B1973" t="s">
        <v>892</v>
      </c>
      <c r="C1973">
        <v>12</v>
      </c>
      <c r="D1973" t="s">
        <v>33</v>
      </c>
      <c r="E1973" t="s">
        <v>95</v>
      </c>
      <c r="F1973" t="s">
        <v>104</v>
      </c>
      <c r="G1973" t="s">
        <v>104</v>
      </c>
      <c r="H1973" t="s">
        <v>104</v>
      </c>
      <c r="J1973">
        <v>0</v>
      </c>
      <c r="K1973">
        <v>1</v>
      </c>
      <c r="L1973">
        <v>113.9375</v>
      </c>
      <c r="M1973">
        <v>33.375507550000002</v>
      </c>
      <c r="N1973">
        <v>2.4262999999999999</v>
      </c>
      <c r="O1973">
        <v>113.9375</v>
      </c>
      <c r="P1973">
        <v>33.375507550000002</v>
      </c>
      <c r="Q1973">
        <v>2.4262999999999999</v>
      </c>
      <c r="R1973" t="s">
        <v>1019</v>
      </c>
      <c r="S1973">
        <v>0</v>
      </c>
    </row>
    <row r="1974" spans="1:19" x14ac:dyDescent="0.25">
      <c r="A1974" t="s">
        <v>60</v>
      </c>
      <c r="B1974" t="s">
        <v>892</v>
      </c>
      <c r="C1974">
        <v>12</v>
      </c>
      <c r="D1974" t="s">
        <v>33</v>
      </c>
      <c r="E1974" t="s">
        <v>95</v>
      </c>
      <c r="F1974" t="s">
        <v>104</v>
      </c>
      <c r="G1974" t="s">
        <v>104</v>
      </c>
      <c r="H1974" t="s">
        <v>246</v>
      </c>
      <c r="J1974">
        <v>0</v>
      </c>
      <c r="K1974">
        <v>2</v>
      </c>
      <c r="L1974">
        <v>113.9375</v>
      </c>
      <c r="M1974">
        <v>33.375507550000002</v>
      </c>
      <c r="N1974">
        <v>2.4262999999999999</v>
      </c>
      <c r="O1974">
        <v>120.25</v>
      </c>
      <c r="P1974">
        <v>30.670450110000001</v>
      </c>
      <c r="Q1974">
        <v>0.91037498500000003</v>
      </c>
      <c r="R1974" t="s">
        <v>1019</v>
      </c>
      <c r="S1974">
        <v>1.5159250149999999</v>
      </c>
    </row>
    <row r="1975" spans="1:19" x14ac:dyDescent="0.25">
      <c r="A1975" t="s">
        <v>60</v>
      </c>
      <c r="B1975" t="s">
        <v>892</v>
      </c>
      <c r="C1975">
        <v>12</v>
      </c>
      <c r="D1975" t="s">
        <v>33</v>
      </c>
      <c r="E1975" t="s">
        <v>95</v>
      </c>
      <c r="F1975" t="s">
        <v>104</v>
      </c>
      <c r="G1975" t="s">
        <v>104</v>
      </c>
      <c r="H1975" t="s">
        <v>797</v>
      </c>
      <c r="J1975">
        <v>0</v>
      </c>
      <c r="K1975">
        <v>1</v>
      </c>
      <c r="L1975">
        <v>113.9375</v>
      </c>
      <c r="M1975">
        <v>33.375507550000002</v>
      </c>
      <c r="N1975">
        <v>2.4262999999999999</v>
      </c>
      <c r="O1975">
        <v>179.45454549999999</v>
      </c>
      <c r="P1975">
        <v>26.326869609999999</v>
      </c>
      <c r="Q1975">
        <v>2.3456094639999998</v>
      </c>
      <c r="R1975" t="s">
        <v>1019</v>
      </c>
      <c r="S1975">
        <v>8.069053600000009E-2</v>
      </c>
    </row>
    <row r="1976" spans="1:19" x14ac:dyDescent="0.25">
      <c r="A1976" t="s">
        <v>60</v>
      </c>
      <c r="B1976" t="s">
        <v>892</v>
      </c>
      <c r="C1976">
        <v>12</v>
      </c>
      <c r="D1976" t="s">
        <v>33</v>
      </c>
      <c r="E1976" t="s">
        <v>95</v>
      </c>
      <c r="F1976" t="s">
        <v>104</v>
      </c>
      <c r="G1976" t="s">
        <v>104</v>
      </c>
      <c r="H1976" t="s">
        <v>247</v>
      </c>
      <c r="J1976">
        <v>0</v>
      </c>
      <c r="K1976">
        <v>1</v>
      </c>
      <c r="L1976">
        <v>113.9375</v>
      </c>
      <c r="M1976">
        <v>33.375507550000002</v>
      </c>
      <c r="N1976">
        <v>2.4262999999999999</v>
      </c>
      <c r="O1976">
        <v>65.791044779999993</v>
      </c>
      <c r="P1976">
        <v>22.94519201</v>
      </c>
      <c r="Q1976">
        <v>8.1320334999999994E-2</v>
      </c>
      <c r="R1976" t="s">
        <v>1019</v>
      </c>
      <c r="S1976">
        <v>2.3449796649999999</v>
      </c>
    </row>
    <row r="1977" spans="1:19" x14ac:dyDescent="0.25">
      <c r="A1977" t="s">
        <v>60</v>
      </c>
      <c r="B1977" t="s">
        <v>893</v>
      </c>
      <c r="C1977">
        <v>12</v>
      </c>
      <c r="D1977" t="s">
        <v>33</v>
      </c>
      <c r="E1977" t="s">
        <v>95</v>
      </c>
      <c r="F1977" t="s">
        <v>112</v>
      </c>
      <c r="G1977" t="s">
        <v>121</v>
      </c>
      <c r="H1977" t="s">
        <v>114</v>
      </c>
      <c r="J1977">
        <v>0</v>
      </c>
      <c r="K1977">
        <v>0</v>
      </c>
      <c r="L1977">
        <v>65.09375</v>
      </c>
      <c r="M1977">
        <v>37.895352600000002</v>
      </c>
      <c r="N1977">
        <v>2.2882677779999998</v>
      </c>
      <c r="O1977" t="s">
        <v>114</v>
      </c>
      <c r="P1977" t="s">
        <v>114</v>
      </c>
      <c r="Q1977" t="s">
        <v>114</v>
      </c>
      <c r="R1977" t="s">
        <v>1019</v>
      </c>
      <c r="S1977" t="s">
        <v>114</v>
      </c>
    </row>
    <row r="1978" spans="1:19" x14ac:dyDescent="0.25">
      <c r="A1978" t="s">
        <v>61</v>
      </c>
      <c r="B1978" t="s">
        <v>894</v>
      </c>
      <c r="C1978">
        <v>12</v>
      </c>
      <c r="D1978" t="s">
        <v>35</v>
      </c>
      <c r="E1978" t="s">
        <v>94</v>
      </c>
      <c r="F1978" t="s">
        <v>102</v>
      </c>
      <c r="G1978" t="s">
        <v>121</v>
      </c>
      <c r="H1978" t="s">
        <v>162</v>
      </c>
      <c r="J1978">
        <v>1</v>
      </c>
      <c r="K1978">
        <v>1</v>
      </c>
      <c r="L1978">
        <v>84.740740740000007</v>
      </c>
      <c r="M1978">
        <v>29.167014049999999</v>
      </c>
      <c r="N1978">
        <v>1.1169849999999999</v>
      </c>
      <c r="O1978">
        <v>82.53846154</v>
      </c>
      <c r="P1978">
        <v>35.660530039999998</v>
      </c>
      <c r="Q1978">
        <v>3.3754499999999998</v>
      </c>
      <c r="R1978" t="s">
        <v>1019</v>
      </c>
      <c r="S1978">
        <v>2.2584650000000002</v>
      </c>
    </row>
    <row r="1979" spans="1:19" x14ac:dyDescent="0.25">
      <c r="A1979" t="s">
        <v>61</v>
      </c>
      <c r="B1979" t="s">
        <v>895</v>
      </c>
      <c r="C1979">
        <v>12</v>
      </c>
      <c r="D1979" t="s">
        <v>35</v>
      </c>
      <c r="E1979" t="s">
        <v>94</v>
      </c>
      <c r="F1979" t="s">
        <v>110</v>
      </c>
      <c r="G1979" t="s">
        <v>121</v>
      </c>
      <c r="H1979" t="s">
        <v>162</v>
      </c>
      <c r="J1979">
        <v>0</v>
      </c>
      <c r="K1979">
        <v>1</v>
      </c>
      <c r="L1979">
        <v>73.260869569999997</v>
      </c>
      <c r="M1979">
        <v>34.453830549999999</v>
      </c>
      <c r="N1979">
        <v>1.058333333</v>
      </c>
      <c r="O1979">
        <v>82.53846154</v>
      </c>
      <c r="P1979">
        <v>35.660530039999998</v>
      </c>
      <c r="Q1979">
        <v>3.3754499999999998</v>
      </c>
      <c r="R1979" t="s">
        <v>1019</v>
      </c>
      <c r="S1979">
        <v>2.3171166669999996</v>
      </c>
    </row>
    <row r="1980" spans="1:19" x14ac:dyDescent="0.25">
      <c r="A1980" t="s">
        <v>61</v>
      </c>
      <c r="B1980" t="s">
        <v>895</v>
      </c>
      <c r="C1980">
        <v>12</v>
      </c>
      <c r="D1980" t="s">
        <v>35</v>
      </c>
      <c r="E1980" t="s">
        <v>94</v>
      </c>
      <c r="F1980" t="s">
        <v>110</v>
      </c>
      <c r="G1980" t="s">
        <v>121</v>
      </c>
      <c r="H1980" t="s">
        <v>102</v>
      </c>
      <c r="J1980">
        <v>0</v>
      </c>
      <c r="K1980">
        <v>1</v>
      </c>
      <c r="L1980">
        <v>73.260869569999997</v>
      </c>
      <c r="M1980">
        <v>34.453830549999999</v>
      </c>
      <c r="N1980">
        <v>1.058333333</v>
      </c>
      <c r="O1980">
        <v>84.740740740000007</v>
      </c>
      <c r="P1980">
        <v>29.167014049999999</v>
      </c>
      <c r="Q1980">
        <v>1.1169849999999999</v>
      </c>
      <c r="R1980" t="s">
        <v>1019</v>
      </c>
      <c r="S1980">
        <v>5.8651666999999907E-2</v>
      </c>
    </row>
    <row r="1981" spans="1:19" x14ac:dyDescent="0.25">
      <c r="A1981" t="s">
        <v>61</v>
      </c>
      <c r="B1981" t="s">
        <v>896</v>
      </c>
      <c r="C1981">
        <v>12</v>
      </c>
      <c r="D1981" t="s">
        <v>35</v>
      </c>
      <c r="E1981" t="s">
        <v>94</v>
      </c>
      <c r="F1981" t="s">
        <v>112</v>
      </c>
      <c r="G1981" t="s">
        <v>121</v>
      </c>
      <c r="H1981" t="s">
        <v>162</v>
      </c>
      <c r="J1981">
        <v>0</v>
      </c>
      <c r="K1981">
        <v>1</v>
      </c>
      <c r="L1981">
        <v>65.09375</v>
      </c>
      <c r="M1981">
        <v>37.895352600000002</v>
      </c>
      <c r="N1981">
        <v>2.2882677779999998</v>
      </c>
      <c r="O1981">
        <v>82.53846154</v>
      </c>
      <c r="P1981">
        <v>35.660530039999998</v>
      </c>
      <c r="Q1981">
        <v>3.3754499999999998</v>
      </c>
      <c r="R1981" t="s">
        <v>1019</v>
      </c>
      <c r="S1981">
        <v>1.087182222</v>
      </c>
    </row>
    <row r="1982" spans="1:19" x14ac:dyDescent="0.25">
      <c r="A1982" t="s">
        <v>62</v>
      </c>
      <c r="B1982" t="s">
        <v>897</v>
      </c>
      <c r="C1982">
        <v>12</v>
      </c>
      <c r="D1982" t="s">
        <v>37</v>
      </c>
      <c r="E1982" t="s">
        <v>95</v>
      </c>
      <c r="F1982" t="s">
        <v>102</v>
      </c>
      <c r="G1982" t="s">
        <v>121</v>
      </c>
      <c r="H1982" t="s">
        <v>114</v>
      </c>
      <c r="J1982">
        <v>0</v>
      </c>
      <c r="K1982">
        <v>0</v>
      </c>
      <c r="L1982">
        <v>84.740740740000007</v>
      </c>
      <c r="M1982">
        <v>29.167014049999999</v>
      </c>
      <c r="N1982">
        <v>1.1169849999999999</v>
      </c>
      <c r="O1982" t="s">
        <v>114</v>
      </c>
      <c r="P1982" t="s">
        <v>114</v>
      </c>
      <c r="Q1982" t="s">
        <v>114</v>
      </c>
      <c r="R1982" t="s">
        <v>1019</v>
      </c>
      <c r="S1982" t="s">
        <v>114</v>
      </c>
    </row>
    <row r="1983" spans="1:19" x14ac:dyDescent="0.25">
      <c r="A1983" t="s">
        <v>62</v>
      </c>
      <c r="B1983" t="s">
        <v>898</v>
      </c>
      <c r="C1983">
        <v>12</v>
      </c>
      <c r="D1983" t="s">
        <v>37</v>
      </c>
      <c r="E1983" t="s">
        <v>95</v>
      </c>
      <c r="F1983" t="s">
        <v>103</v>
      </c>
      <c r="G1983" t="s">
        <v>121</v>
      </c>
      <c r="H1983" t="s">
        <v>233</v>
      </c>
      <c r="J1983">
        <v>0</v>
      </c>
      <c r="K1983">
        <v>1</v>
      </c>
      <c r="L1983">
        <v>98.291666669999998</v>
      </c>
      <c r="M1983">
        <v>30.315130790000001</v>
      </c>
      <c r="N1983">
        <v>5.0803484000000003E-2</v>
      </c>
      <c r="O1983">
        <v>106.0540541</v>
      </c>
      <c r="P1983">
        <v>52.690533369999997</v>
      </c>
      <c r="Q1983">
        <v>7.6058968000000005E-2</v>
      </c>
      <c r="R1983" t="s">
        <v>1019</v>
      </c>
      <c r="S1983">
        <v>2.5255484000000002E-2</v>
      </c>
    </row>
    <row r="1984" spans="1:19" x14ac:dyDescent="0.25">
      <c r="A1984" t="s">
        <v>62</v>
      </c>
      <c r="B1984" t="s">
        <v>898</v>
      </c>
      <c r="C1984">
        <v>12</v>
      </c>
      <c r="D1984" t="s">
        <v>37</v>
      </c>
      <c r="E1984" t="s">
        <v>95</v>
      </c>
      <c r="F1984" t="s">
        <v>103</v>
      </c>
      <c r="G1984" t="s">
        <v>121</v>
      </c>
      <c r="H1984" t="s">
        <v>234</v>
      </c>
      <c r="J1984">
        <v>0</v>
      </c>
      <c r="K1984">
        <v>1</v>
      </c>
      <c r="L1984">
        <v>98.291666669999998</v>
      </c>
      <c r="M1984">
        <v>30.315130790000001</v>
      </c>
      <c r="N1984">
        <v>5.0803484000000003E-2</v>
      </c>
      <c r="O1984">
        <v>89.8125</v>
      </c>
      <c r="P1984">
        <v>34.754706650000003</v>
      </c>
      <c r="Q1984">
        <v>2.3065078999999999E-2</v>
      </c>
      <c r="R1984" t="s">
        <v>1019</v>
      </c>
      <c r="S1984">
        <v>2.7738405000000004E-2</v>
      </c>
    </row>
    <row r="1985" spans="1:19" x14ac:dyDescent="0.25">
      <c r="A1985" t="s">
        <v>62</v>
      </c>
      <c r="B1985" t="s">
        <v>898</v>
      </c>
      <c r="C1985">
        <v>12</v>
      </c>
      <c r="D1985" t="s">
        <v>37</v>
      </c>
      <c r="E1985" t="s">
        <v>95</v>
      </c>
      <c r="F1985" t="s">
        <v>103</v>
      </c>
      <c r="G1985" t="s">
        <v>121</v>
      </c>
      <c r="H1985" t="s">
        <v>241</v>
      </c>
      <c r="J1985">
        <v>0</v>
      </c>
      <c r="K1985">
        <v>1</v>
      </c>
      <c r="L1985">
        <v>98.291666669999998</v>
      </c>
      <c r="M1985">
        <v>30.315130790000001</v>
      </c>
      <c r="N1985">
        <v>5.0803484000000003E-2</v>
      </c>
      <c r="O1985">
        <v>114</v>
      </c>
      <c r="P1985">
        <v>30.43077242</v>
      </c>
      <c r="Q1985">
        <v>0.53383111100000002</v>
      </c>
      <c r="R1985" t="s">
        <v>1019</v>
      </c>
      <c r="S1985">
        <v>0.48302762700000001</v>
      </c>
    </row>
    <row r="1986" spans="1:19" x14ac:dyDescent="0.25">
      <c r="A1986" t="s">
        <v>63</v>
      </c>
      <c r="B1986" t="s">
        <v>899</v>
      </c>
      <c r="C1986">
        <v>12</v>
      </c>
      <c r="D1986" t="s">
        <v>64</v>
      </c>
      <c r="E1986" t="s">
        <v>94</v>
      </c>
      <c r="F1986" t="s">
        <v>104</v>
      </c>
      <c r="G1986" t="s">
        <v>121</v>
      </c>
      <c r="H1986" t="s">
        <v>238</v>
      </c>
      <c r="J1986">
        <v>0</v>
      </c>
      <c r="K1986">
        <v>2</v>
      </c>
      <c r="L1986">
        <v>113.9375</v>
      </c>
      <c r="M1986">
        <v>33.375507550000002</v>
      </c>
      <c r="N1986">
        <v>2.4262999999999999</v>
      </c>
      <c r="O1986">
        <v>87.5</v>
      </c>
      <c r="P1986">
        <v>29.478311600000001</v>
      </c>
      <c r="Q1986">
        <v>3.0797751000000002E-2</v>
      </c>
      <c r="R1986" t="s">
        <v>1019</v>
      </c>
      <c r="S1986">
        <v>2.3955022489999998</v>
      </c>
    </row>
    <row r="1987" spans="1:19" x14ac:dyDescent="0.25">
      <c r="A1987" t="s">
        <v>63</v>
      </c>
      <c r="B1987" t="s">
        <v>899</v>
      </c>
      <c r="C1987">
        <v>12</v>
      </c>
      <c r="D1987" t="s">
        <v>64</v>
      </c>
      <c r="E1987" t="s">
        <v>94</v>
      </c>
      <c r="F1987" t="s">
        <v>104</v>
      </c>
      <c r="G1987" t="s">
        <v>121</v>
      </c>
      <c r="H1987" t="s">
        <v>103</v>
      </c>
      <c r="J1987">
        <v>0</v>
      </c>
      <c r="K1987">
        <v>1</v>
      </c>
      <c r="L1987">
        <v>113.9375</v>
      </c>
      <c r="M1987">
        <v>33.375507550000002</v>
      </c>
      <c r="N1987">
        <v>2.4262999999999999</v>
      </c>
      <c r="O1987">
        <v>98.291666669999998</v>
      </c>
      <c r="P1987">
        <v>30.315130790000001</v>
      </c>
      <c r="Q1987">
        <v>5.0803484000000003E-2</v>
      </c>
      <c r="R1987" t="s">
        <v>1019</v>
      </c>
      <c r="S1987">
        <v>2.3754965160000001</v>
      </c>
    </row>
    <row r="1988" spans="1:19" x14ac:dyDescent="0.25">
      <c r="A1988" t="s">
        <v>63</v>
      </c>
      <c r="B1988" t="s">
        <v>899</v>
      </c>
      <c r="C1988">
        <v>12</v>
      </c>
      <c r="D1988" t="s">
        <v>64</v>
      </c>
      <c r="E1988" t="s">
        <v>94</v>
      </c>
      <c r="F1988" t="s">
        <v>104</v>
      </c>
      <c r="G1988" t="s">
        <v>121</v>
      </c>
      <c r="H1988" t="s">
        <v>248</v>
      </c>
      <c r="J1988">
        <v>0</v>
      </c>
      <c r="K1988">
        <v>2</v>
      </c>
      <c r="L1988">
        <v>113.9375</v>
      </c>
      <c r="M1988">
        <v>33.375507550000002</v>
      </c>
      <c r="N1988">
        <v>2.4262999999999999</v>
      </c>
      <c r="O1988">
        <v>83.92307692</v>
      </c>
      <c r="P1988">
        <v>44.319135699999997</v>
      </c>
      <c r="Q1988">
        <v>5.9548609999999997E-3</v>
      </c>
      <c r="R1988" t="s">
        <v>1019</v>
      </c>
      <c r="S1988">
        <v>2.4203451389999997</v>
      </c>
    </row>
    <row r="1989" spans="1:19" x14ac:dyDescent="0.25">
      <c r="A1989" t="s">
        <v>65</v>
      </c>
      <c r="B1989" t="s">
        <v>900</v>
      </c>
      <c r="C1989">
        <v>12</v>
      </c>
      <c r="D1989" t="s">
        <v>66</v>
      </c>
      <c r="E1989" t="s">
        <v>95</v>
      </c>
      <c r="F1989" t="s">
        <v>105</v>
      </c>
      <c r="G1989" t="s">
        <v>121</v>
      </c>
      <c r="H1989" t="s">
        <v>111</v>
      </c>
      <c r="J1989">
        <v>0</v>
      </c>
      <c r="K1989">
        <v>1</v>
      </c>
      <c r="L1989">
        <v>67.5</v>
      </c>
      <c r="M1989">
        <v>47.937235809999997</v>
      </c>
      <c r="N1989">
        <v>0.41599678000000001</v>
      </c>
      <c r="O1989">
        <v>94.97142857</v>
      </c>
      <c r="P1989">
        <v>24.31591813</v>
      </c>
      <c r="Q1989">
        <v>0.122951111</v>
      </c>
      <c r="R1989" t="s">
        <v>1019</v>
      </c>
      <c r="S1989">
        <v>0.29304566900000001</v>
      </c>
    </row>
    <row r="1990" spans="1:19" x14ac:dyDescent="0.25">
      <c r="A1990" t="s">
        <v>65</v>
      </c>
      <c r="B1990" t="s">
        <v>900</v>
      </c>
      <c r="C1990">
        <v>12</v>
      </c>
      <c r="D1990" t="s">
        <v>66</v>
      </c>
      <c r="E1990" t="s">
        <v>95</v>
      </c>
      <c r="F1990" t="s">
        <v>105</v>
      </c>
      <c r="G1990" t="s">
        <v>121</v>
      </c>
      <c r="H1990" t="s">
        <v>808</v>
      </c>
      <c r="J1990">
        <v>0</v>
      </c>
      <c r="K1990">
        <v>1</v>
      </c>
      <c r="L1990">
        <v>67.5</v>
      </c>
      <c r="M1990">
        <v>47.937235809999997</v>
      </c>
      <c r="N1990">
        <v>0.41599678000000001</v>
      </c>
      <c r="O1990">
        <v>102.79166669999999</v>
      </c>
      <c r="P1990">
        <v>27.057373470000002</v>
      </c>
      <c r="Q1990">
        <v>6.3567849939999999</v>
      </c>
      <c r="R1990" t="s">
        <v>1019</v>
      </c>
      <c r="S1990">
        <v>5.9407882139999995</v>
      </c>
    </row>
    <row r="1991" spans="1:19" x14ac:dyDescent="0.25">
      <c r="A1991" t="s">
        <v>65</v>
      </c>
      <c r="B1991" t="s">
        <v>900</v>
      </c>
      <c r="C1991">
        <v>12</v>
      </c>
      <c r="D1991" t="s">
        <v>66</v>
      </c>
      <c r="E1991" t="s">
        <v>95</v>
      </c>
      <c r="F1991" t="s">
        <v>105</v>
      </c>
      <c r="G1991" t="s">
        <v>121</v>
      </c>
      <c r="H1991" t="s">
        <v>247</v>
      </c>
      <c r="J1991">
        <v>0</v>
      </c>
      <c r="K1991">
        <v>1</v>
      </c>
      <c r="L1991">
        <v>67.5</v>
      </c>
      <c r="M1991">
        <v>47.937235809999997</v>
      </c>
      <c r="N1991">
        <v>0.41599678000000001</v>
      </c>
      <c r="O1991">
        <v>65.791044779999993</v>
      </c>
      <c r="P1991">
        <v>22.94519201</v>
      </c>
      <c r="Q1991">
        <v>8.1320334999999994E-2</v>
      </c>
      <c r="R1991" t="s">
        <v>1019</v>
      </c>
      <c r="S1991">
        <v>0.33467644500000004</v>
      </c>
    </row>
    <row r="1992" spans="1:19" x14ac:dyDescent="0.25">
      <c r="A1992" t="s">
        <v>65</v>
      </c>
      <c r="B1992" t="s">
        <v>900</v>
      </c>
      <c r="C1992">
        <v>12</v>
      </c>
      <c r="D1992" t="s">
        <v>66</v>
      </c>
      <c r="E1992" t="s">
        <v>95</v>
      </c>
      <c r="F1992" t="s">
        <v>105</v>
      </c>
      <c r="G1992" t="s">
        <v>121</v>
      </c>
      <c r="H1992" t="s">
        <v>248</v>
      </c>
      <c r="J1992">
        <v>0</v>
      </c>
      <c r="K1992">
        <v>2</v>
      </c>
      <c r="L1992">
        <v>67.5</v>
      </c>
      <c r="M1992">
        <v>47.937235809999997</v>
      </c>
      <c r="N1992">
        <v>0.41599678000000001</v>
      </c>
      <c r="O1992">
        <v>83.92307692</v>
      </c>
      <c r="P1992">
        <v>44.319135699999997</v>
      </c>
      <c r="Q1992">
        <v>5.9548609999999997E-3</v>
      </c>
      <c r="R1992" t="s">
        <v>1019</v>
      </c>
      <c r="S1992">
        <v>0.41004191900000003</v>
      </c>
    </row>
    <row r="1993" spans="1:19" x14ac:dyDescent="0.25">
      <c r="A1993" t="s">
        <v>10</v>
      </c>
      <c r="B1993" t="s">
        <v>901</v>
      </c>
      <c r="C1993">
        <v>15</v>
      </c>
      <c r="D1993" t="s">
        <v>11</v>
      </c>
      <c r="E1993" t="s">
        <v>94</v>
      </c>
      <c r="F1993" t="s">
        <v>102</v>
      </c>
      <c r="G1993" t="s">
        <v>102</v>
      </c>
      <c r="H1993" t="s">
        <v>102</v>
      </c>
      <c r="J1993">
        <v>0</v>
      </c>
      <c r="K1993">
        <v>1</v>
      </c>
      <c r="L1993">
        <v>84.740740740000007</v>
      </c>
      <c r="M1993">
        <v>29.167014049999999</v>
      </c>
      <c r="N1993">
        <v>1.1169849999999999</v>
      </c>
      <c r="O1993">
        <v>84.740740740000007</v>
      </c>
      <c r="P1993">
        <v>29.167014049999999</v>
      </c>
      <c r="Q1993">
        <v>1.1169849999999999</v>
      </c>
      <c r="R1993" t="s">
        <v>1019</v>
      </c>
      <c r="S1993">
        <v>0</v>
      </c>
    </row>
    <row r="1994" spans="1:19" x14ac:dyDescent="0.25">
      <c r="A1994" t="s">
        <v>10</v>
      </c>
      <c r="B1994" t="s">
        <v>901</v>
      </c>
      <c r="C1994">
        <v>16</v>
      </c>
      <c r="D1994" t="s">
        <v>11</v>
      </c>
      <c r="E1994" t="s">
        <v>94</v>
      </c>
      <c r="F1994" t="s">
        <v>102</v>
      </c>
      <c r="G1994" t="s">
        <v>102</v>
      </c>
      <c r="H1994" t="s">
        <v>111</v>
      </c>
      <c r="J1994">
        <v>0</v>
      </c>
      <c r="K1994">
        <v>1</v>
      </c>
      <c r="L1994">
        <v>84.740740740000007</v>
      </c>
      <c r="M1994">
        <v>29.167014049999999</v>
      </c>
      <c r="N1994">
        <v>1.1169849999999999</v>
      </c>
      <c r="O1994">
        <v>94.97142857</v>
      </c>
      <c r="P1994">
        <v>24.31591813</v>
      </c>
      <c r="Q1994">
        <v>0.122951111</v>
      </c>
      <c r="R1994" t="s">
        <v>1019</v>
      </c>
      <c r="S1994">
        <v>0.99403388899999989</v>
      </c>
    </row>
    <row r="1995" spans="1:19" x14ac:dyDescent="0.25">
      <c r="A1995" t="s">
        <v>10</v>
      </c>
      <c r="B1995" t="s">
        <v>902</v>
      </c>
      <c r="C1995">
        <v>15</v>
      </c>
      <c r="D1995" t="s">
        <v>11</v>
      </c>
      <c r="E1995" t="s">
        <v>94</v>
      </c>
      <c r="F1995" t="s">
        <v>105</v>
      </c>
      <c r="G1995" t="s">
        <v>121</v>
      </c>
      <c r="H1995" t="s">
        <v>244</v>
      </c>
      <c r="J1995">
        <v>0</v>
      </c>
      <c r="K1995">
        <v>2</v>
      </c>
      <c r="L1995">
        <v>67.5</v>
      </c>
      <c r="M1995">
        <v>47.937235809999997</v>
      </c>
      <c r="N1995">
        <v>0.41599678000000001</v>
      </c>
      <c r="O1995">
        <v>75</v>
      </c>
      <c r="P1995">
        <v>28.80614499</v>
      </c>
      <c r="Q1995">
        <v>2.3860428570000001</v>
      </c>
      <c r="R1995" t="s">
        <v>1019</v>
      </c>
      <c r="S1995">
        <v>1.9700460770000001</v>
      </c>
    </row>
    <row r="1996" spans="1:19" x14ac:dyDescent="0.25">
      <c r="A1996" t="s">
        <v>10</v>
      </c>
      <c r="B1996" t="s">
        <v>902</v>
      </c>
      <c r="C1996">
        <v>16</v>
      </c>
      <c r="D1996" t="s">
        <v>11</v>
      </c>
      <c r="E1996" t="s">
        <v>94</v>
      </c>
      <c r="F1996" t="s">
        <v>105</v>
      </c>
      <c r="G1996" t="s">
        <v>121</v>
      </c>
      <c r="H1996" t="s">
        <v>104</v>
      </c>
      <c r="J1996">
        <v>0</v>
      </c>
      <c r="K1996">
        <v>1</v>
      </c>
      <c r="L1996">
        <v>67.5</v>
      </c>
      <c r="M1996">
        <v>47.937235809999997</v>
      </c>
      <c r="N1996">
        <v>0.41599678000000001</v>
      </c>
      <c r="O1996">
        <v>113.9375</v>
      </c>
      <c r="P1996">
        <v>33.375507550000002</v>
      </c>
      <c r="Q1996">
        <v>2.4262999999999999</v>
      </c>
      <c r="R1996" t="s">
        <v>1019</v>
      </c>
      <c r="S1996">
        <v>2.0103032199999999</v>
      </c>
    </row>
    <row r="1997" spans="1:19" x14ac:dyDescent="0.25">
      <c r="A1997" t="s">
        <v>10</v>
      </c>
      <c r="B1997" t="s">
        <v>903</v>
      </c>
      <c r="C1997">
        <v>15</v>
      </c>
      <c r="D1997" t="s">
        <v>11</v>
      </c>
      <c r="E1997" t="s">
        <v>94</v>
      </c>
      <c r="F1997" t="s">
        <v>103</v>
      </c>
      <c r="G1997" t="s">
        <v>121</v>
      </c>
      <c r="H1997" t="s">
        <v>245</v>
      </c>
      <c r="J1997">
        <v>0</v>
      </c>
      <c r="K1997">
        <v>1</v>
      </c>
      <c r="L1997">
        <v>98.291666669999998</v>
      </c>
      <c r="M1997">
        <v>30.315130790000001</v>
      </c>
      <c r="N1997">
        <v>5.0803484000000003E-2</v>
      </c>
      <c r="O1997" t="s">
        <v>114</v>
      </c>
      <c r="P1997" t="s">
        <v>114</v>
      </c>
      <c r="Q1997" t="s">
        <v>114</v>
      </c>
      <c r="R1997" t="s">
        <v>1019</v>
      </c>
      <c r="S1997" t="s">
        <v>114</v>
      </c>
    </row>
    <row r="1998" spans="1:19" x14ac:dyDescent="0.25">
      <c r="A1998" t="s">
        <v>10</v>
      </c>
      <c r="B1998" t="s">
        <v>904</v>
      </c>
      <c r="C1998">
        <v>15</v>
      </c>
      <c r="D1998" t="s">
        <v>11</v>
      </c>
      <c r="E1998" t="s">
        <v>94</v>
      </c>
      <c r="F1998" t="s">
        <v>104</v>
      </c>
      <c r="G1998" t="s">
        <v>121</v>
      </c>
      <c r="H1998" t="s">
        <v>242</v>
      </c>
      <c r="J1998">
        <v>0</v>
      </c>
      <c r="K1998">
        <v>6</v>
      </c>
      <c r="L1998">
        <v>113.9375</v>
      </c>
      <c r="M1998">
        <v>33.375507550000002</v>
      </c>
      <c r="N1998">
        <v>2.4262999999999999</v>
      </c>
      <c r="O1998">
        <v>139.375</v>
      </c>
      <c r="P1998">
        <v>23.713465920000001</v>
      </c>
      <c r="Q1998" t="s">
        <v>114</v>
      </c>
      <c r="R1998" t="s">
        <v>1019</v>
      </c>
      <c r="S1998" t="s">
        <v>114</v>
      </c>
    </row>
    <row r="1999" spans="1:19" x14ac:dyDescent="0.25">
      <c r="A1999" t="s">
        <v>14</v>
      </c>
      <c r="B1999" t="s">
        <v>905</v>
      </c>
      <c r="C1999">
        <v>15</v>
      </c>
      <c r="D1999" t="s">
        <v>15</v>
      </c>
      <c r="E1999" t="s">
        <v>94</v>
      </c>
      <c r="F1999" t="s">
        <v>102</v>
      </c>
      <c r="G1999" t="s">
        <v>121</v>
      </c>
      <c r="H1999" t="s">
        <v>114</v>
      </c>
      <c r="J1999">
        <v>0</v>
      </c>
      <c r="K1999" t="s">
        <v>114</v>
      </c>
      <c r="L1999">
        <v>84.740740740000007</v>
      </c>
      <c r="M1999">
        <v>29.167014049999999</v>
      </c>
      <c r="N1999">
        <v>1.1169849999999999</v>
      </c>
      <c r="O1999" t="s">
        <v>114</v>
      </c>
      <c r="P1999" t="s">
        <v>114</v>
      </c>
      <c r="Q1999" t="s">
        <v>114</v>
      </c>
      <c r="R1999" t="s">
        <v>1019</v>
      </c>
      <c r="S1999" t="s">
        <v>114</v>
      </c>
    </row>
    <row r="2000" spans="1:19" x14ac:dyDescent="0.25">
      <c r="A2000" t="s">
        <v>14</v>
      </c>
      <c r="B2000" t="s">
        <v>906</v>
      </c>
      <c r="C2000">
        <v>15</v>
      </c>
      <c r="D2000" t="s">
        <v>15</v>
      </c>
      <c r="E2000" t="s">
        <v>94</v>
      </c>
      <c r="F2000" t="s">
        <v>110</v>
      </c>
      <c r="G2000" t="s">
        <v>121</v>
      </c>
      <c r="H2000" t="s">
        <v>114</v>
      </c>
      <c r="J2000">
        <v>0</v>
      </c>
      <c r="K2000" t="s">
        <v>114</v>
      </c>
      <c r="L2000">
        <v>73.260869569999997</v>
      </c>
      <c r="M2000">
        <v>34.453830549999999</v>
      </c>
      <c r="N2000">
        <v>1.058333333</v>
      </c>
      <c r="O2000" t="s">
        <v>114</v>
      </c>
      <c r="P2000" t="s">
        <v>114</v>
      </c>
      <c r="Q2000" t="s">
        <v>114</v>
      </c>
      <c r="R2000" t="s">
        <v>1019</v>
      </c>
      <c r="S2000" t="s">
        <v>114</v>
      </c>
    </row>
    <row r="2001" spans="1:19" x14ac:dyDescent="0.25">
      <c r="A2001" t="s">
        <v>14</v>
      </c>
      <c r="B2001" t="s">
        <v>907</v>
      </c>
      <c r="C2001">
        <v>15</v>
      </c>
      <c r="D2001" t="s">
        <v>15</v>
      </c>
      <c r="E2001" t="s">
        <v>94</v>
      </c>
      <c r="F2001" t="s">
        <v>111</v>
      </c>
      <c r="G2001" t="s">
        <v>110</v>
      </c>
      <c r="H2001" t="s">
        <v>110</v>
      </c>
      <c r="J2001">
        <v>0</v>
      </c>
      <c r="K2001">
        <v>1</v>
      </c>
      <c r="L2001">
        <v>94.97142857</v>
      </c>
      <c r="M2001">
        <v>24.31591813</v>
      </c>
      <c r="N2001">
        <v>0.122951111</v>
      </c>
      <c r="O2001">
        <v>73.260869569999997</v>
      </c>
      <c r="P2001">
        <v>34.453830549999999</v>
      </c>
      <c r="Q2001">
        <v>1.058333333</v>
      </c>
      <c r="R2001" t="s">
        <v>1019</v>
      </c>
      <c r="S2001">
        <v>0.93538222199999999</v>
      </c>
    </row>
    <row r="2002" spans="1:19" x14ac:dyDescent="0.25">
      <c r="A2002" t="s">
        <v>14</v>
      </c>
      <c r="B2002" t="s">
        <v>908</v>
      </c>
      <c r="C2002">
        <v>15</v>
      </c>
      <c r="D2002" t="s">
        <v>15</v>
      </c>
      <c r="E2002" t="s">
        <v>94</v>
      </c>
      <c r="F2002" t="s">
        <v>104</v>
      </c>
      <c r="G2002" t="s">
        <v>110</v>
      </c>
      <c r="H2002" t="s">
        <v>110</v>
      </c>
      <c r="J2002">
        <v>0</v>
      </c>
      <c r="K2002">
        <v>1</v>
      </c>
      <c r="L2002">
        <v>113.9375</v>
      </c>
      <c r="M2002">
        <v>33.375507550000002</v>
      </c>
      <c r="N2002">
        <v>2.4262999999999999</v>
      </c>
      <c r="O2002">
        <v>73.260869569999997</v>
      </c>
      <c r="P2002">
        <v>34.453830549999999</v>
      </c>
      <c r="Q2002">
        <v>1.058333333</v>
      </c>
      <c r="R2002" t="s">
        <v>1019</v>
      </c>
      <c r="S2002">
        <v>1.3679666669999999</v>
      </c>
    </row>
    <row r="2003" spans="1:19" x14ac:dyDescent="0.25">
      <c r="A2003" t="s">
        <v>14</v>
      </c>
      <c r="B2003" t="s">
        <v>908</v>
      </c>
      <c r="C2003">
        <v>16</v>
      </c>
      <c r="D2003" t="s">
        <v>15</v>
      </c>
      <c r="E2003" t="s">
        <v>94</v>
      </c>
      <c r="F2003" t="s">
        <v>104</v>
      </c>
      <c r="G2003" t="s">
        <v>110</v>
      </c>
      <c r="H2003" t="s">
        <v>104</v>
      </c>
      <c r="J2003">
        <v>0</v>
      </c>
      <c r="K2003">
        <v>2</v>
      </c>
      <c r="L2003">
        <v>113.9375</v>
      </c>
      <c r="M2003">
        <v>33.375507550000002</v>
      </c>
      <c r="N2003">
        <v>2.4262999999999999</v>
      </c>
      <c r="O2003">
        <v>113.9375</v>
      </c>
      <c r="P2003">
        <v>33.375507550000002</v>
      </c>
      <c r="Q2003">
        <v>2.4262999999999999</v>
      </c>
      <c r="R2003" t="s">
        <v>1019</v>
      </c>
      <c r="S2003">
        <v>0</v>
      </c>
    </row>
    <row r="2004" spans="1:19" x14ac:dyDescent="0.25">
      <c r="A2004" t="s">
        <v>16</v>
      </c>
      <c r="B2004" t="s">
        <v>909</v>
      </c>
      <c r="C2004">
        <v>15</v>
      </c>
      <c r="D2004" t="s">
        <v>17</v>
      </c>
      <c r="E2004" t="s">
        <v>95</v>
      </c>
      <c r="F2004" t="s">
        <v>113</v>
      </c>
      <c r="G2004" t="s">
        <v>104</v>
      </c>
      <c r="H2004" t="s">
        <v>104</v>
      </c>
      <c r="J2004">
        <v>0</v>
      </c>
      <c r="K2004">
        <v>1</v>
      </c>
      <c r="L2004">
        <v>83.757575759999995</v>
      </c>
      <c r="M2004">
        <v>22.60997987</v>
      </c>
      <c r="N2004">
        <v>0.72884000000000004</v>
      </c>
      <c r="O2004">
        <v>113.9375</v>
      </c>
      <c r="P2004">
        <v>33.375507550000002</v>
      </c>
      <c r="Q2004">
        <v>2.4262999999999999</v>
      </c>
      <c r="R2004" t="s">
        <v>1019</v>
      </c>
      <c r="S2004">
        <v>1.69746</v>
      </c>
    </row>
    <row r="2005" spans="1:19" x14ac:dyDescent="0.25">
      <c r="A2005" t="s">
        <v>16</v>
      </c>
      <c r="B2005" t="s">
        <v>909</v>
      </c>
      <c r="C2005">
        <v>16</v>
      </c>
      <c r="D2005" t="s">
        <v>17</v>
      </c>
      <c r="E2005" t="s">
        <v>95</v>
      </c>
      <c r="F2005" t="s">
        <v>113</v>
      </c>
      <c r="G2005" t="s">
        <v>104</v>
      </c>
      <c r="H2005" t="s">
        <v>113</v>
      </c>
      <c r="J2005">
        <v>0</v>
      </c>
      <c r="K2005">
        <v>3</v>
      </c>
      <c r="L2005">
        <v>83.757575759999995</v>
      </c>
      <c r="M2005">
        <v>22.60997987</v>
      </c>
      <c r="N2005">
        <v>0.72884000000000004</v>
      </c>
      <c r="O2005">
        <v>83.757575759999995</v>
      </c>
      <c r="P2005">
        <v>22.60997987</v>
      </c>
      <c r="Q2005">
        <v>0.72884000000000004</v>
      </c>
      <c r="R2005" t="s">
        <v>1019</v>
      </c>
      <c r="S2005">
        <v>0</v>
      </c>
    </row>
    <row r="2006" spans="1:19" x14ac:dyDescent="0.25">
      <c r="A2006" t="s">
        <v>16</v>
      </c>
      <c r="B2006" t="s">
        <v>910</v>
      </c>
      <c r="C2006">
        <v>15</v>
      </c>
      <c r="D2006" t="s">
        <v>17</v>
      </c>
      <c r="E2006" t="s">
        <v>95</v>
      </c>
      <c r="F2006" t="s">
        <v>110</v>
      </c>
      <c r="G2006" t="s">
        <v>121</v>
      </c>
      <c r="H2006" t="s">
        <v>104</v>
      </c>
      <c r="J2006">
        <v>0</v>
      </c>
      <c r="K2006">
        <v>1</v>
      </c>
      <c r="L2006">
        <v>73.260869569999997</v>
      </c>
      <c r="M2006">
        <v>34.453830549999999</v>
      </c>
      <c r="N2006">
        <v>1.058333333</v>
      </c>
      <c r="O2006">
        <v>113.9375</v>
      </c>
      <c r="P2006">
        <v>33.375507550000002</v>
      </c>
      <c r="Q2006">
        <v>2.4262999999999999</v>
      </c>
      <c r="R2006" t="s">
        <v>1019</v>
      </c>
      <c r="S2006">
        <v>1.3679666669999999</v>
      </c>
    </row>
    <row r="2007" spans="1:19" x14ac:dyDescent="0.25">
      <c r="A2007" t="s">
        <v>16</v>
      </c>
      <c r="B2007" t="s">
        <v>910</v>
      </c>
      <c r="C2007">
        <v>16</v>
      </c>
      <c r="D2007" t="s">
        <v>17</v>
      </c>
      <c r="E2007" t="s">
        <v>95</v>
      </c>
      <c r="F2007" t="s">
        <v>110</v>
      </c>
      <c r="G2007" t="s">
        <v>121</v>
      </c>
      <c r="H2007" t="s">
        <v>241</v>
      </c>
      <c r="J2007">
        <v>0</v>
      </c>
      <c r="K2007">
        <v>1</v>
      </c>
      <c r="L2007">
        <v>73.260869569999997</v>
      </c>
      <c r="M2007">
        <v>34.453830549999999</v>
      </c>
      <c r="N2007">
        <v>1.058333333</v>
      </c>
      <c r="O2007">
        <v>114</v>
      </c>
      <c r="P2007">
        <v>30.43077242</v>
      </c>
      <c r="Q2007">
        <v>0.53383111100000002</v>
      </c>
      <c r="R2007" t="s">
        <v>1019</v>
      </c>
      <c r="S2007">
        <v>0.52450222199999996</v>
      </c>
    </row>
    <row r="2008" spans="1:19" x14ac:dyDescent="0.25">
      <c r="A2008" t="s">
        <v>16</v>
      </c>
      <c r="B2008" t="s">
        <v>911</v>
      </c>
      <c r="C2008">
        <v>15</v>
      </c>
      <c r="D2008" t="s">
        <v>17</v>
      </c>
      <c r="E2008" t="s">
        <v>95</v>
      </c>
      <c r="F2008" t="s">
        <v>111</v>
      </c>
      <c r="G2008" t="s">
        <v>113</v>
      </c>
      <c r="H2008" t="s">
        <v>113</v>
      </c>
      <c r="J2008">
        <v>0</v>
      </c>
      <c r="K2008">
        <v>2</v>
      </c>
      <c r="L2008">
        <v>94.97142857</v>
      </c>
      <c r="M2008">
        <v>24.31591813</v>
      </c>
      <c r="N2008">
        <v>0.122951111</v>
      </c>
      <c r="O2008">
        <v>83.757575759999995</v>
      </c>
      <c r="P2008">
        <v>22.60997987</v>
      </c>
      <c r="Q2008">
        <v>0.72884000000000004</v>
      </c>
      <c r="R2008" t="s">
        <v>1019</v>
      </c>
      <c r="S2008">
        <v>0.60588888900000004</v>
      </c>
    </row>
    <row r="2009" spans="1:19" x14ac:dyDescent="0.25">
      <c r="A2009" t="s">
        <v>16</v>
      </c>
      <c r="B2009" t="s">
        <v>911</v>
      </c>
      <c r="C2009">
        <v>16</v>
      </c>
      <c r="D2009" t="s">
        <v>17</v>
      </c>
      <c r="E2009" t="s">
        <v>95</v>
      </c>
      <c r="F2009" t="s">
        <v>111</v>
      </c>
      <c r="G2009" t="s">
        <v>113</v>
      </c>
      <c r="H2009" t="s">
        <v>247</v>
      </c>
      <c r="J2009">
        <v>0</v>
      </c>
      <c r="K2009">
        <v>3</v>
      </c>
      <c r="L2009">
        <v>94.97142857</v>
      </c>
      <c r="M2009">
        <v>24.31591813</v>
      </c>
      <c r="N2009">
        <v>0.122951111</v>
      </c>
      <c r="O2009">
        <v>65.791044779999993</v>
      </c>
      <c r="P2009">
        <v>22.94519201</v>
      </c>
      <c r="Q2009">
        <v>8.1320334999999994E-2</v>
      </c>
      <c r="R2009" t="s">
        <v>1019</v>
      </c>
      <c r="S2009">
        <v>4.1630776000000008E-2</v>
      </c>
    </row>
    <row r="2010" spans="1:19" x14ac:dyDescent="0.25">
      <c r="A2010" t="s">
        <v>16</v>
      </c>
      <c r="B2010" t="s">
        <v>912</v>
      </c>
      <c r="C2010">
        <v>15</v>
      </c>
      <c r="D2010" t="s">
        <v>17</v>
      </c>
      <c r="E2010" t="s">
        <v>95</v>
      </c>
      <c r="F2010" t="s">
        <v>104</v>
      </c>
      <c r="G2010" t="s">
        <v>121</v>
      </c>
      <c r="H2010" t="s">
        <v>247</v>
      </c>
      <c r="J2010">
        <v>0</v>
      </c>
      <c r="K2010">
        <v>1</v>
      </c>
      <c r="L2010">
        <v>113.9375</v>
      </c>
      <c r="M2010">
        <v>33.375507550000002</v>
      </c>
      <c r="N2010">
        <v>2.4262999999999999</v>
      </c>
      <c r="O2010">
        <v>65.791044779999993</v>
      </c>
      <c r="P2010">
        <v>22.94519201</v>
      </c>
      <c r="Q2010">
        <v>8.1320334999999994E-2</v>
      </c>
      <c r="R2010" t="s">
        <v>1019</v>
      </c>
      <c r="S2010">
        <v>2.3449796649999999</v>
      </c>
    </row>
    <row r="2011" spans="1:19" x14ac:dyDescent="0.25">
      <c r="A2011" t="s">
        <v>16</v>
      </c>
      <c r="B2011" t="s">
        <v>912</v>
      </c>
      <c r="C2011">
        <v>16</v>
      </c>
      <c r="D2011" t="s">
        <v>17</v>
      </c>
      <c r="E2011" t="s">
        <v>95</v>
      </c>
      <c r="F2011" t="s">
        <v>104</v>
      </c>
      <c r="G2011" t="s">
        <v>121</v>
      </c>
      <c r="H2011" t="s">
        <v>111</v>
      </c>
      <c r="J2011">
        <v>0</v>
      </c>
      <c r="K2011">
        <v>1</v>
      </c>
      <c r="L2011">
        <v>113.9375</v>
      </c>
      <c r="M2011">
        <v>33.375507550000002</v>
      </c>
      <c r="N2011">
        <v>2.4262999999999999</v>
      </c>
      <c r="O2011">
        <v>94.97142857</v>
      </c>
      <c r="P2011">
        <v>24.31591813</v>
      </c>
      <c r="Q2011">
        <v>0.122951111</v>
      </c>
      <c r="R2011" t="s">
        <v>1019</v>
      </c>
      <c r="S2011">
        <v>2.303348889</v>
      </c>
    </row>
    <row r="2012" spans="1:19" x14ac:dyDescent="0.25">
      <c r="A2012" t="s">
        <v>18</v>
      </c>
      <c r="B2012" t="s">
        <v>913</v>
      </c>
      <c r="C2012">
        <v>15</v>
      </c>
      <c r="D2012" t="s">
        <v>19</v>
      </c>
      <c r="E2012" t="s">
        <v>95</v>
      </c>
      <c r="F2012" t="s">
        <v>113</v>
      </c>
      <c r="G2012" t="s">
        <v>121</v>
      </c>
      <c r="H2012" t="s">
        <v>113</v>
      </c>
      <c r="J2012">
        <v>0</v>
      </c>
      <c r="K2012">
        <v>3</v>
      </c>
      <c r="L2012">
        <v>83.757575759999995</v>
      </c>
      <c r="M2012">
        <v>22.60997987</v>
      </c>
      <c r="N2012">
        <v>0.72884000000000004</v>
      </c>
      <c r="O2012">
        <v>83.757575759999995</v>
      </c>
      <c r="P2012">
        <v>22.60997987</v>
      </c>
      <c r="Q2012">
        <v>0.72884000000000004</v>
      </c>
      <c r="R2012" t="s">
        <v>1019</v>
      </c>
      <c r="S2012">
        <v>0</v>
      </c>
    </row>
    <row r="2013" spans="1:19" x14ac:dyDescent="0.25">
      <c r="A2013" t="s">
        <v>18</v>
      </c>
      <c r="B2013" t="s">
        <v>913</v>
      </c>
      <c r="C2013">
        <v>16</v>
      </c>
      <c r="D2013" t="s">
        <v>19</v>
      </c>
      <c r="E2013" t="s">
        <v>95</v>
      </c>
      <c r="F2013" t="s">
        <v>113</v>
      </c>
      <c r="G2013" t="s">
        <v>121</v>
      </c>
      <c r="H2013" t="s">
        <v>808</v>
      </c>
      <c r="J2013">
        <v>0</v>
      </c>
      <c r="K2013">
        <v>1</v>
      </c>
      <c r="L2013">
        <v>83.757575759999995</v>
      </c>
      <c r="M2013">
        <v>22.60997987</v>
      </c>
      <c r="N2013">
        <v>0.72884000000000004</v>
      </c>
      <c r="O2013">
        <v>102.79166669999999</v>
      </c>
      <c r="P2013">
        <v>27.057373470000002</v>
      </c>
      <c r="Q2013">
        <v>6.3567849939999999</v>
      </c>
      <c r="R2013" t="s">
        <v>1019</v>
      </c>
      <c r="S2013">
        <v>5.6279449939999999</v>
      </c>
    </row>
    <row r="2014" spans="1:19" x14ac:dyDescent="0.25">
      <c r="A2014" t="s">
        <v>18</v>
      </c>
      <c r="B2014" t="s">
        <v>913</v>
      </c>
      <c r="C2014">
        <v>17</v>
      </c>
      <c r="D2014" t="s">
        <v>19</v>
      </c>
      <c r="E2014" t="s">
        <v>95</v>
      </c>
      <c r="F2014" t="s">
        <v>113</v>
      </c>
      <c r="G2014" t="s">
        <v>121</v>
      </c>
      <c r="H2014" t="s">
        <v>242</v>
      </c>
      <c r="J2014">
        <v>0</v>
      </c>
      <c r="K2014">
        <v>15</v>
      </c>
      <c r="L2014">
        <v>83.757575759999995</v>
      </c>
      <c r="M2014">
        <v>22.60997987</v>
      </c>
      <c r="N2014">
        <v>0.72884000000000004</v>
      </c>
      <c r="O2014">
        <v>139.375</v>
      </c>
      <c r="P2014">
        <v>23.713465920000001</v>
      </c>
      <c r="Q2014" t="s">
        <v>114</v>
      </c>
      <c r="R2014" t="s">
        <v>1019</v>
      </c>
      <c r="S2014" t="s">
        <v>114</v>
      </c>
    </row>
    <row r="2015" spans="1:19" x14ac:dyDescent="0.25">
      <c r="A2015" t="s">
        <v>18</v>
      </c>
      <c r="B2015" t="s">
        <v>914</v>
      </c>
      <c r="C2015">
        <v>15</v>
      </c>
      <c r="D2015" t="s">
        <v>19</v>
      </c>
      <c r="E2015" t="s">
        <v>95</v>
      </c>
      <c r="F2015" t="s">
        <v>111</v>
      </c>
      <c r="G2015" t="s">
        <v>121</v>
      </c>
      <c r="H2015" t="s">
        <v>113</v>
      </c>
      <c r="J2015">
        <v>0</v>
      </c>
      <c r="K2015">
        <v>2</v>
      </c>
      <c r="L2015">
        <v>94.97142857</v>
      </c>
      <c r="M2015">
        <v>24.31591813</v>
      </c>
      <c r="N2015">
        <v>0.122951111</v>
      </c>
      <c r="O2015">
        <v>83.757575759999995</v>
      </c>
      <c r="P2015">
        <v>22.60997987</v>
      </c>
      <c r="Q2015">
        <v>0.72884000000000004</v>
      </c>
      <c r="R2015" t="s">
        <v>1019</v>
      </c>
      <c r="S2015">
        <v>0.60588888900000004</v>
      </c>
    </row>
    <row r="2016" spans="1:19" x14ac:dyDescent="0.25">
      <c r="A2016" t="s">
        <v>18</v>
      </c>
      <c r="B2016" t="s">
        <v>914</v>
      </c>
      <c r="C2016">
        <v>16</v>
      </c>
      <c r="D2016" t="s">
        <v>19</v>
      </c>
      <c r="E2016" t="s">
        <v>95</v>
      </c>
      <c r="F2016" t="s">
        <v>111</v>
      </c>
      <c r="G2016" t="s">
        <v>121</v>
      </c>
      <c r="H2016" t="s">
        <v>242</v>
      </c>
      <c r="J2016">
        <v>0</v>
      </c>
      <c r="K2016">
        <v>2</v>
      </c>
      <c r="L2016">
        <v>94.97142857</v>
      </c>
      <c r="M2016">
        <v>24.31591813</v>
      </c>
      <c r="N2016">
        <v>0.122951111</v>
      </c>
      <c r="O2016">
        <v>139.375</v>
      </c>
      <c r="P2016">
        <v>23.713465920000001</v>
      </c>
      <c r="Q2016" t="s">
        <v>114</v>
      </c>
      <c r="R2016" t="s">
        <v>1019</v>
      </c>
      <c r="S2016" t="s">
        <v>114</v>
      </c>
    </row>
    <row r="2017" spans="1:19" x14ac:dyDescent="0.25">
      <c r="A2017" t="s">
        <v>18</v>
      </c>
      <c r="B2017" t="s">
        <v>915</v>
      </c>
      <c r="C2017">
        <v>15</v>
      </c>
      <c r="D2017" t="s">
        <v>19</v>
      </c>
      <c r="E2017" t="s">
        <v>95</v>
      </c>
      <c r="F2017" t="s">
        <v>104</v>
      </c>
      <c r="G2017" t="s">
        <v>121</v>
      </c>
      <c r="H2017" t="s">
        <v>247</v>
      </c>
      <c r="J2017">
        <v>0</v>
      </c>
      <c r="K2017">
        <v>1</v>
      </c>
      <c r="L2017">
        <v>113.9375</v>
      </c>
      <c r="M2017">
        <v>33.375507550000002</v>
      </c>
      <c r="N2017">
        <v>2.4262999999999999</v>
      </c>
      <c r="O2017">
        <v>65.791044779999993</v>
      </c>
      <c r="P2017">
        <v>22.94519201</v>
      </c>
      <c r="Q2017">
        <v>8.1320334999999994E-2</v>
      </c>
      <c r="R2017" t="s">
        <v>1019</v>
      </c>
      <c r="S2017">
        <v>2.3449796649999999</v>
      </c>
    </row>
    <row r="2018" spans="1:19" x14ac:dyDescent="0.25">
      <c r="A2018" t="s">
        <v>18</v>
      </c>
      <c r="B2018" t="s">
        <v>915</v>
      </c>
      <c r="C2018">
        <v>16</v>
      </c>
      <c r="D2018" t="s">
        <v>19</v>
      </c>
      <c r="E2018" t="s">
        <v>95</v>
      </c>
      <c r="F2018" t="s">
        <v>104</v>
      </c>
      <c r="G2018" t="s">
        <v>121</v>
      </c>
      <c r="H2018" t="s">
        <v>113</v>
      </c>
      <c r="J2018">
        <v>0</v>
      </c>
      <c r="K2018">
        <v>3</v>
      </c>
      <c r="L2018">
        <v>113.9375</v>
      </c>
      <c r="M2018">
        <v>33.375507550000002</v>
      </c>
      <c r="N2018">
        <v>2.4262999999999999</v>
      </c>
      <c r="O2018">
        <v>83.757575759999995</v>
      </c>
      <c r="P2018">
        <v>22.60997987</v>
      </c>
      <c r="Q2018">
        <v>0.72884000000000004</v>
      </c>
      <c r="R2018" t="s">
        <v>1019</v>
      </c>
      <c r="S2018">
        <v>1.69746</v>
      </c>
    </row>
    <row r="2019" spans="1:19" x14ac:dyDescent="0.25">
      <c r="A2019" t="s">
        <v>18</v>
      </c>
      <c r="B2019" t="s">
        <v>916</v>
      </c>
      <c r="C2019">
        <v>15</v>
      </c>
      <c r="D2019" t="s">
        <v>19</v>
      </c>
      <c r="E2019" t="s">
        <v>95</v>
      </c>
      <c r="F2019" t="s">
        <v>112</v>
      </c>
      <c r="G2019" t="s">
        <v>113</v>
      </c>
      <c r="H2019" t="s">
        <v>113</v>
      </c>
      <c r="J2019">
        <v>0</v>
      </c>
      <c r="K2019">
        <v>1</v>
      </c>
      <c r="L2019">
        <v>65.09375</v>
      </c>
      <c r="M2019">
        <v>37.895352600000002</v>
      </c>
      <c r="N2019">
        <v>2.2882677779999998</v>
      </c>
      <c r="O2019">
        <v>83.757575759999995</v>
      </c>
      <c r="P2019">
        <v>22.60997987</v>
      </c>
      <c r="Q2019">
        <v>0.72884000000000004</v>
      </c>
      <c r="R2019" t="s">
        <v>1019</v>
      </c>
      <c r="S2019">
        <v>1.5594277779999999</v>
      </c>
    </row>
    <row r="2020" spans="1:19" x14ac:dyDescent="0.25">
      <c r="A2020" t="s">
        <v>20</v>
      </c>
      <c r="B2020" t="s">
        <v>917</v>
      </c>
      <c r="C2020">
        <v>15</v>
      </c>
      <c r="D2020" t="s">
        <v>21</v>
      </c>
      <c r="E2020" t="s">
        <v>94</v>
      </c>
      <c r="F2020" t="s">
        <v>102</v>
      </c>
      <c r="G2020" t="s">
        <v>121</v>
      </c>
      <c r="H2020" t="s">
        <v>246</v>
      </c>
      <c r="J2020">
        <v>0</v>
      </c>
      <c r="K2020">
        <v>1</v>
      </c>
      <c r="L2020">
        <v>84.740740740000007</v>
      </c>
      <c r="M2020">
        <v>29.167014049999999</v>
      </c>
      <c r="N2020">
        <v>1.1169849999999999</v>
      </c>
      <c r="O2020">
        <v>120.25</v>
      </c>
      <c r="P2020">
        <v>30.670450110000001</v>
      </c>
      <c r="Q2020">
        <v>0.91037498500000003</v>
      </c>
      <c r="R2020" t="s">
        <v>1019</v>
      </c>
      <c r="S2020">
        <v>0.20661001499999987</v>
      </c>
    </row>
    <row r="2021" spans="1:19" x14ac:dyDescent="0.25">
      <c r="A2021" t="s">
        <v>20</v>
      </c>
      <c r="B2021" t="s">
        <v>918</v>
      </c>
      <c r="C2021">
        <v>15</v>
      </c>
      <c r="D2021" t="s">
        <v>21</v>
      </c>
      <c r="E2021" t="s">
        <v>94</v>
      </c>
      <c r="F2021" t="s">
        <v>113</v>
      </c>
      <c r="G2021" t="s">
        <v>113</v>
      </c>
      <c r="H2021" t="s">
        <v>113</v>
      </c>
      <c r="J2021">
        <v>0</v>
      </c>
      <c r="K2021">
        <v>1</v>
      </c>
      <c r="L2021">
        <v>83.757575759999995</v>
      </c>
      <c r="M2021">
        <v>22.60997987</v>
      </c>
      <c r="N2021">
        <v>0.72884000000000004</v>
      </c>
      <c r="O2021">
        <v>83.757575759999995</v>
      </c>
      <c r="P2021">
        <v>22.60997987</v>
      </c>
      <c r="Q2021">
        <v>0.72884000000000004</v>
      </c>
      <c r="R2021" t="s">
        <v>1019</v>
      </c>
      <c r="S2021">
        <v>0</v>
      </c>
    </row>
    <row r="2022" spans="1:19" x14ac:dyDescent="0.25">
      <c r="A2022" t="s">
        <v>20</v>
      </c>
      <c r="B2022" t="s">
        <v>919</v>
      </c>
      <c r="C2022">
        <v>15</v>
      </c>
      <c r="D2022" t="s">
        <v>21</v>
      </c>
      <c r="E2022" t="s">
        <v>94</v>
      </c>
      <c r="F2022" t="s">
        <v>110</v>
      </c>
      <c r="G2022" t="s">
        <v>121</v>
      </c>
      <c r="H2022" t="s">
        <v>113</v>
      </c>
      <c r="J2022">
        <v>0</v>
      </c>
      <c r="K2022">
        <v>2</v>
      </c>
      <c r="L2022">
        <v>73.260869569999997</v>
      </c>
      <c r="M2022">
        <v>34.453830549999999</v>
      </c>
      <c r="N2022">
        <v>1.058333333</v>
      </c>
      <c r="O2022">
        <v>83.757575759999995</v>
      </c>
      <c r="P2022">
        <v>22.60997987</v>
      </c>
      <c r="Q2022">
        <v>0.72884000000000004</v>
      </c>
      <c r="R2022" t="s">
        <v>1019</v>
      </c>
      <c r="S2022">
        <v>0.32949333299999994</v>
      </c>
    </row>
    <row r="2023" spans="1:19" x14ac:dyDescent="0.25">
      <c r="A2023" t="s">
        <v>20</v>
      </c>
      <c r="B2023" t="s">
        <v>919</v>
      </c>
      <c r="C2023">
        <v>16</v>
      </c>
      <c r="D2023" t="s">
        <v>21</v>
      </c>
      <c r="E2023" t="s">
        <v>94</v>
      </c>
      <c r="F2023" t="s">
        <v>110</v>
      </c>
      <c r="G2023" t="s">
        <v>121</v>
      </c>
      <c r="H2023" t="s">
        <v>102</v>
      </c>
      <c r="J2023">
        <v>0</v>
      </c>
      <c r="K2023">
        <v>1</v>
      </c>
      <c r="L2023">
        <v>73.260869569999997</v>
      </c>
      <c r="M2023">
        <v>34.453830549999999</v>
      </c>
      <c r="N2023">
        <v>1.058333333</v>
      </c>
      <c r="O2023">
        <v>84.740740740000007</v>
      </c>
      <c r="P2023">
        <v>29.167014049999999</v>
      </c>
      <c r="Q2023">
        <v>1.1169849999999999</v>
      </c>
      <c r="R2023" t="s">
        <v>1019</v>
      </c>
      <c r="S2023">
        <v>5.8651666999999907E-2</v>
      </c>
    </row>
    <row r="2024" spans="1:19" x14ac:dyDescent="0.25">
      <c r="A2024" t="s">
        <v>20</v>
      </c>
      <c r="B2024" t="s">
        <v>920</v>
      </c>
      <c r="C2024">
        <v>15</v>
      </c>
      <c r="D2024" t="s">
        <v>21</v>
      </c>
      <c r="E2024" t="s">
        <v>94</v>
      </c>
      <c r="F2024" t="s">
        <v>111</v>
      </c>
      <c r="G2024" t="s">
        <v>121</v>
      </c>
      <c r="H2024" t="s">
        <v>110</v>
      </c>
      <c r="J2024">
        <v>0</v>
      </c>
      <c r="K2024">
        <v>1</v>
      </c>
      <c r="L2024">
        <v>94.97142857</v>
      </c>
      <c r="M2024">
        <v>24.31591813</v>
      </c>
      <c r="N2024">
        <v>0.122951111</v>
      </c>
      <c r="O2024">
        <v>73.260869569999997</v>
      </c>
      <c r="P2024">
        <v>34.453830549999999</v>
      </c>
      <c r="Q2024">
        <v>1.058333333</v>
      </c>
      <c r="R2024" t="s">
        <v>1019</v>
      </c>
      <c r="S2024">
        <v>0.93538222199999999</v>
      </c>
    </row>
    <row r="2025" spans="1:19" x14ac:dyDescent="0.25">
      <c r="A2025" t="s">
        <v>22</v>
      </c>
      <c r="B2025" t="s">
        <v>921</v>
      </c>
      <c r="C2025">
        <v>15</v>
      </c>
      <c r="D2025" t="s">
        <v>23</v>
      </c>
      <c r="E2025" t="s">
        <v>95</v>
      </c>
      <c r="F2025" t="s">
        <v>102</v>
      </c>
      <c r="G2025" t="s">
        <v>121</v>
      </c>
      <c r="H2025" t="s">
        <v>236</v>
      </c>
      <c r="J2025">
        <v>0</v>
      </c>
      <c r="K2025">
        <v>1</v>
      </c>
      <c r="L2025">
        <v>84.740740740000007</v>
      </c>
      <c r="M2025">
        <v>29.167014049999999</v>
      </c>
      <c r="N2025">
        <v>1.1169849999999999</v>
      </c>
      <c r="O2025">
        <v>113.33333330000001</v>
      </c>
      <c r="P2025">
        <v>26.41632581</v>
      </c>
      <c r="Q2025">
        <v>1.6844570160000001</v>
      </c>
      <c r="R2025" t="s">
        <v>1019</v>
      </c>
      <c r="S2025">
        <v>0.56747201600000019</v>
      </c>
    </row>
    <row r="2026" spans="1:19" x14ac:dyDescent="0.25">
      <c r="A2026" t="s">
        <v>22</v>
      </c>
      <c r="B2026" t="s">
        <v>922</v>
      </c>
      <c r="C2026">
        <v>15</v>
      </c>
      <c r="D2026" t="s">
        <v>23</v>
      </c>
      <c r="E2026" t="s">
        <v>95</v>
      </c>
      <c r="F2026" t="s">
        <v>105</v>
      </c>
      <c r="G2026" t="s">
        <v>121</v>
      </c>
      <c r="H2026" t="s">
        <v>113</v>
      </c>
      <c r="J2026">
        <v>0</v>
      </c>
      <c r="K2026">
        <v>4</v>
      </c>
      <c r="L2026">
        <v>67.5</v>
      </c>
      <c r="M2026">
        <v>47.937235809999997</v>
      </c>
      <c r="N2026">
        <v>0.41599678000000001</v>
      </c>
      <c r="O2026">
        <v>83.757575759999995</v>
      </c>
      <c r="P2026">
        <v>22.60997987</v>
      </c>
      <c r="Q2026">
        <v>0.72884000000000004</v>
      </c>
      <c r="R2026" t="s">
        <v>1019</v>
      </c>
      <c r="S2026">
        <v>0.31284322000000003</v>
      </c>
    </row>
    <row r="2027" spans="1:19" x14ac:dyDescent="0.25">
      <c r="A2027" t="s">
        <v>22</v>
      </c>
      <c r="B2027" t="s">
        <v>922</v>
      </c>
      <c r="C2027">
        <v>16</v>
      </c>
      <c r="D2027" t="s">
        <v>23</v>
      </c>
      <c r="E2027" t="s">
        <v>95</v>
      </c>
      <c r="F2027" t="s">
        <v>105</v>
      </c>
      <c r="G2027" t="s">
        <v>121</v>
      </c>
      <c r="H2027" t="s">
        <v>103</v>
      </c>
      <c r="J2027">
        <v>0</v>
      </c>
      <c r="K2027">
        <v>1</v>
      </c>
      <c r="L2027">
        <v>67.5</v>
      </c>
      <c r="M2027">
        <v>47.937235809999997</v>
      </c>
      <c r="N2027">
        <v>0.41599678000000001</v>
      </c>
      <c r="O2027">
        <v>98.291666669999998</v>
      </c>
      <c r="P2027">
        <v>30.315130790000001</v>
      </c>
      <c r="Q2027">
        <v>5.0803484000000003E-2</v>
      </c>
      <c r="R2027" t="s">
        <v>1019</v>
      </c>
      <c r="S2027">
        <v>0.365193296</v>
      </c>
    </row>
    <row r="2028" spans="1:19" x14ac:dyDescent="0.25">
      <c r="A2028" t="s">
        <v>22</v>
      </c>
      <c r="B2028" t="s">
        <v>922</v>
      </c>
      <c r="C2028">
        <v>17</v>
      </c>
      <c r="D2028" t="s">
        <v>23</v>
      </c>
      <c r="E2028" t="s">
        <v>95</v>
      </c>
      <c r="F2028" t="s">
        <v>105</v>
      </c>
      <c r="G2028" t="s">
        <v>121</v>
      </c>
      <c r="H2028" t="s">
        <v>234</v>
      </c>
      <c r="J2028">
        <v>0</v>
      </c>
      <c r="K2028">
        <v>1</v>
      </c>
      <c r="L2028">
        <v>67.5</v>
      </c>
      <c r="M2028">
        <v>47.937235809999997</v>
      </c>
      <c r="N2028">
        <v>0.41599678000000001</v>
      </c>
      <c r="O2028">
        <v>89.8125</v>
      </c>
      <c r="P2028">
        <v>34.754706650000003</v>
      </c>
      <c r="Q2028">
        <v>2.3065078999999999E-2</v>
      </c>
      <c r="R2028" t="s">
        <v>1019</v>
      </c>
      <c r="S2028">
        <v>0.39293170100000002</v>
      </c>
    </row>
    <row r="2029" spans="1:19" x14ac:dyDescent="0.25">
      <c r="A2029" t="s">
        <v>22</v>
      </c>
      <c r="B2029" t="s">
        <v>923</v>
      </c>
      <c r="C2029">
        <v>15</v>
      </c>
      <c r="D2029" t="s">
        <v>23</v>
      </c>
      <c r="E2029" t="s">
        <v>95</v>
      </c>
      <c r="F2029" t="s">
        <v>103</v>
      </c>
      <c r="G2029" t="s">
        <v>103</v>
      </c>
      <c r="H2029" t="s">
        <v>103</v>
      </c>
      <c r="J2029">
        <v>0</v>
      </c>
      <c r="K2029">
        <v>6</v>
      </c>
      <c r="L2029">
        <v>98.291666669999998</v>
      </c>
      <c r="M2029">
        <v>30.315130790000001</v>
      </c>
      <c r="N2029">
        <v>5.0803484000000003E-2</v>
      </c>
      <c r="O2029">
        <v>98.291666669999998</v>
      </c>
      <c r="P2029">
        <v>30.315130790000001</v>
      </c>
      <c r="Q2029">
        <v>5.0803484000000003E-2</v>
      </c>
      <c r="R2029" t="s">
        <v>1019</v>
      </c>
      <c r="S2029">
        <v>0</v>
      </c>
    </row>
    <row r="2030" spans="1:19" x14ac:dyDescent="0.25">
      <c r="A2030" t="s">
        <v>22</v>
      </c>
      <c r="B2030" t="s">
        <v>923</v>
      </c>
      <c r="C2030">
        <v>16</v>
      </c>
      <c r="D2030" t="s">
        <v>23</v>
      </c>
      <c r="E2030" t="s">
        <v>95</v>
      </c>
      <c r="F2030" t="s">
        <v>103</v>
      </c>
      <c r="G2030" t="s">
        <v>103</v>
      </c>
      <c r="H2030" t="s">
        <v>248</v>
      </c>
      <c r="J2030">
        <v>0</v>
      </c>
      <c r="K2030">
        <v>4</v>
      </c>
      <c r="L2030">
        <v>98.291666669999998</v>
      </c>
      <c r="M2030">
        <v>30.315130790000001</v>
      </c>
      <c r="N2030">
        <v>5.0803484000000003E-2</v>
      </c>
      <c r="O2030">
        <v>83.92307692</v>
      </c>
      <c r="P2030">
        <v>44.319135699999997</v>
      </c>
      <c r="Q2030">
        <v>5.9548609999999997E-3</v>
      </c>
      <c r="R2030" t="s">
        <v>1019</v>
      </c>
      <c r="S2030">
        <v>4.4848623000000004E-2</v>
      </c>
    </row>
    <row r="2031" spans="1:19" x14ac:dyDescent="0.25">
      <c r="A2031" t="s">
        <v>22</v>
      </c>
      <c r="B2031" t="s">
        <v>924</v>
      </c>
      <c r="C2031">
        <v>15</v>
      </c>
      <c r="D2031" t="s">
        <v>23</v>
      </c>
      <c r="E2031" t="s">
        <v>95</v>
      </c>
      <c r="F2031" t="s">
        <v>111</v>
      </c>
      <c r="G2031" t="s">
        <v>121</v>
      </c>
      <c r="H2031" t="s">
        <v>112</v>
      </c>
      <c r="J2031">
        <v>1</v>
      </c>
      <c r="K2031">
        <v>1</v>
      </c>
      <c r="L2031">
        <v>94.97142857</v>
      </c>
      <c r="M2031">
        <v>24.31591813</v>
      </c>
      <c r="N2031">
        <v>0.122951111</v>
      </c>
      <c r="O2031">
        <v>65.09375</v>
      </c>
      <c r="P2031">
        <v>37.895352600000002</v>
      </c>
      <c r="Q2031">
        <v>2.2882677779999998</v>
      </c>
      <c r="R2031" t="s">
        <v>1019</v>
      </c>
      <c r="S2031">
        <v>2.1653166669999999</v>
      </c>
    </row>
    <row r="2032" spans="1:19" x14ac:dyDescent="0.25">
      <c r="A2032" t="s">
        <v>22</v>
      </c>
      <c r="B2032" t="s">
        <v>924</v>
      </c>
      <c r="C2032">
        <v>16</v>
      </c>
      <c r="D2032" t="s">
        <v>23</v>
      </c>
      <c r="E2032" t="s">
        <v>95</v>
      </c>
      <c r="F2032" t="s">
        <v>111</v>
      </c>
      <c r="G2032" t="s">
        <v>121</v>
      </c>
      <c r="H2032" t="s">
        <v>239</v>
      </c>
      <c r="J2032">
        <v>1</v>
      </c>
      <c r="K2032">
        <v>1</v>
      </c>
      <c r="L2032">
        <v>94.97142857</v>
      </c>
      <c r="M2032">
        <v>24.31591813</v>
      </c>
      <c r="N2032">
        <v>0.122951111</v>
      </c>
      <c r="O2032">
        <v>100.45454549999999</v>
      </c>
      <c r="P2032">
        <v>26.754810689999999</v>
      </c>
      <c r="Q2032">
        <v>0.75829999999999997</v>
      </c>
      <c r="R2032" t="s">
        <v>1019</v>
      </c>
      <c r="S2032">
        <v>0.63534888899999997</v>
      </c>
    </row>
    <row r="2033" spans="1:19" x14ac:dyDescent="0.25">
      <c r="A2033" t="s">
        <v>22</v>
      </c>
      <c r="B2033" t="s">
        <v>924</v>
      </c>
      <c r="C2033">
        <v>17</v>
      </c>
      <c r="D2033" t="s">
        <v>23</v>
      </c>
      <c r="E2033" t="s">
        <v>95</v>
      </c>
      <c r="F2033" t="s">
        <v>111</v>
      </c>
      <c r="G2033" t="s">
        <v>121</v>
      </c>
      <c r="H2033" t="s">
        <v>248</v>
      </c>
      <c r="J2033">
        <v>1</v>
      </c>
      <c r="K2033">
        <v>5</v>
      </c>
      <c r="L2033">
        <v>94.97142857</v>
      </c>
      <c r="M2033">
        <v>24.31591813</v>
      </c>
      <c r="N2033">
        <v>0.122951111</v>
      </c>
      <c r="O2033">
        <v>83.92307692</v>
      </c>
      <c r="P2033">
        <v>44.319135699999997</v>
      </c>
      <c r="Q2033">
        <v>5.9548609999999997E-3</v>
      </c>
      <c r="R2033" t="s">
        <v>1019</v>
      </c>
      <c r="S2033">
        <v>0.11699625</v>
      </c>
    </row>
    <row r="2034" spans="1:19" x14ac:dyDescent="0.25">
      <c r="A2034" t="s">
        <v>22</v>
      </c>
      <c r="B2034" t="s">
        <v>925</v>
      </c>
      <c r="C2034">
        <v>15</v>
      </c>
      <c r="D2034" t="s">
        <v>23</v>
      </c>
      <c r="E2034" t="s">
        <v>95</v>
      </c>
      <c r="F2034" t="s">
        <v>112</v>
      </c>
      <c r="G2034" t="s">
        <v>103</v>
      </c>
      <c r="H2034" t="s">
        <v>103</v>
      </c>
      <c r="J2034">
        <v>0</v>
      </c>
      <c r="K2034">
        <v>3</v>
      </c>
      <c r="L2034">
        <v>65.09375</v>
      </c>
      <c r="M2034">
        <v>37.895352600000002</v>
      </c>
      <c r="N2034">
        <v>2.2882677779999998</v>
      </c>
      <c r="O2034">
        <v>98.291666669999998</v>
      </c>
      <c r="P2034">
        <v>30.315130790000001</v>
      </c>
      <c r="Q2034">
        <v>5.0803484000000003E-2</v>
      </c>
      <c r="R2034" t="s">
        <v>1019</v>
      </c>
      <c r="S2034">
        <v>2.237464294</v>
      </c>
    </row>
    <row r="2035" spans="1:19" x14ac:dyDescent="0.25">
      <c r="A2035" t="s">
        <v>22</v>
      </c>
      <c r="B2035" t="s">
        <v>925</v>
      </c>
      <c r="C2035">
        <v>16</v>
      </c>
      <c r="D2035" t="s">
        <v>23</v>
      </c>
      <c r="E2035" t="s">
        <v>95</v>
      </c>
      <c r="F2035" t="s">
        <v>112</v>
      </c>
      <c r="G2035" t="s">
        <v>103</v>
      </c>
      <c r="H2035" t="s">
        <v>113</v>
      </c>
      <c r="J2035">
        <v>0</v>
      </c>
      <c r="K2035">
        <v>2</v>
      </c>
      <c r="L2035">
        <v>65.09375</v>
      </c>
      <c r="M2035">
        <v>37.895352600000002</v>
      </c>
      <c r="N2035">
        <v>2.2882677779999998</v>
      </c>
      <c r="O2035">
        <v>83.757575759999995</v>
      </c>
      <c r="P2035">
        <v>22.60997987</v>
      </c>
      <c r="Q2035">
        <v>0.72884000000000004</v>
      </c>
      <c r="R2035" t="s">
        <v>1019</v>
      </c>
      <c r="S2035">
        <v>1.5594277779999999</v>
      </c>
    </row>
    <row r="2036" spans="1:19" x14ac:dyDescent="0.25">
      <c r="A2036" t="s">
        <v>22</v>
      </c>
      <c r="B2036" t="s">
        <v>925</v>
      </c>
      <c r="C2036">
        <v>17</v>
      </c>
      <c r="D2036" t="s">
        <v>23</v>
      </c>
      <c r="E2036" t="s">
        <v>95</v>
      </c>
      <c r="F2036" t="s">
        <v>112</v>
      </c>
      <c r="G2036" t="s">
        <v>103</v>
      </c>
      <c r="H2036" t="s">
        <v>247</v>
      </c>
      <c r="J2036">
        <v>0</v>
      </c>
      <c r="K2036">
        <v>1</v>
      </c>
      <c r="L2036">
        <v>65.09375</v>
      </c>
      <c r="M2036">
        <v>37.895352600000002</v>
      </c>
      <c r="N2036">
        <v>2.2882677779999998</v>
      </c>
      <c r="O2036">
        <v>65.791044779999993</v>
      </c>
      <c r="P2036">
        <v>22.94519201</v>
      </c>
      <c r="Q2036">
        <v>8.1320334999999994E-2</v>
      </c>
      <c r="R2036" t="s">
        <v>1019</v>
      </c>
      <c r="S2036">
        <v>2.2069474429999998</v>
      </c>
    </row>
    <row r="2037" spans="1:19" x14ac:dyDescent="0.25">
      <c r="A2037" t="s">
        <v>22</v>
      </c>
      <c r="B2037" t="s">
        <v>925</v>
      </c>
      <c r="C2037">
        <v>18</v>
      </c>
      <c r="D2037" t="s">
        <v>23</v>
      </c>
      <c r="E2037" t="s">
        <v>95</v>
      </c>
      <c r="F2037" t="s">
        <v>112</v>
      </c>
      <c r="G2037" t="s">
        <v>103</v>
      </c>
      <c r="H2037" t="s">
        <v>248</v>
      </c>
      <c r="J2037">
        <v>0</v>
      </c>
      <c r="K2037">
        <v>3</v>
      </c>
      <c r="L2037">
        <v>65.09375</v>
      </c>
      <c r="M2037">
        <v>37.895352600000002</v>
      </c>
      <c r="N2037">
        <v>2.2882677779999998</v>
      </c>
      <c r="O2037">
        <v>83.92307692</v>
      </c>
      <c r="P2037">
        <v>44.319135699999997</v>
      </c>
      <c r="Q2037">
        <v>5.9548609999999997E-3</v>
      </c>
      <c r="R2037" t="s">
        <v>1019</v>
      </c>
      <c r="S2037">
        <v>2.2823129169999996</v>
      </c>
    </row>
    <row r="2038" spans="1:19" x14ac:dyDescent="0.25">
      <c r="A2038" t="s">
        <v>24</v>
      </c>
      <c r="B2038" t="s">
        <v>926</v>
      </c>
      <c r="C2038">
        <v>15</v>
      </c>
      <c r="D2038" t="s">
        <v>25</v>
      </c>
      <c r="E2038" t="s">
        <v>95</v>
      </c>
      <c r="F2038" t="s">
        <v>105</v>
      </c>
      <c r="G2038" t="s">
        <v>121</v>
      </c>
      <c r="H2038" t="s">
        <v>111</v>
      </c>
      <c r="J2038">
        <v>0</v>
      </c>
      <c r="K2038">
        <v>1</v>
      </c>
      <c r="L2038">
        <v>67.5</v>
      </c>
      <c r="M2038">
        <v>47.937235809999997</v>
      </c>
      <c r="N2038">
        <v>0.41599678000000001</v>
      </c>
      <c r="O2038">
        <v>94.97142857</v>
      </c>
      <c r="P2038">
        <v>24.31591813</v>
      </c>
      <c r="Q2038">
        <v>0.122951111</v>
      </c>
      <c r="R2038" t="s">
        <v>1019</v>
      </c>
      <c r="S2038">
        <v>0.29304566900000001</v>
      </c>
    </row>
    <row r="2039" spans="1:19" x14ac:dyDescent="0.25">
      <c r="A2039" t="s">
        <v>24</v>
      </c>
      <c r="B2039" t="s">
        <v>926</v>
      </c>
      <c r="C2039">
        <v>16</v>
      </c>
      <c r="D2039" t="s">
        <v>25</v>
      </c>
      <c r="E2039" t="s">
        <v>95</v>
      </c>
      <c r="F2039" t="s">
        <v>105</v>
      </c>
      <c r="G2039" t="s">
        <v>121</v>
      </c>
      <c r="H2039" t="s">
        <v>104</v>
      </c>
      <c r="J2039">
        <v>0</v>
      </c>
      <c r="K2039">
        <v>1</v>
      </c>
      <c r="L2039">
        <v>67.5</v>
      </c>
      <c r="M2039">
        <v>47.937235809999997</v>
      </c>
      <c r="N2039">
        <v>0.41599678000000001</v>
      </c>
      <c r="O2039">
        <v>113.9375</v>
      </c>
      <c r="P2039">
        <v>33.375507550000002</v>
      </c>
      <c r="Q2039">
        <v>2.4262999999999999</v>
      </c>
      <c r="R2039" t="s">
        <v>1019</v>
      </c>
      <c r="S2039">
        <v>2.0103032199999999</v>
      </c>
    </row>
    <row r="2040" spans="1:19" x14ac:dyDescent="0.25">
      <c r="A2040" t="s">
        <v>24</v>
      </c>
      <c r="B2040" t="s">
        <v>927</v>
      </c>
      <c r="C2040">
        <v>15</v>
      </c>
      <c r="D2040" t="s">
        <v>25</v>
      </c>
      <c r="E2040" t="s">
        <v>95</v>
      </c>
      <c r="F2040" t="s">
        <v>112</v>
      </c>
      <c r="G2040" t="s">
        <v>112</v>
      </c>
      <c r="H2040" t="s">
        <v>112</v>
      </c>
      <c r="J2040">
        <v>0</v>
      </c>
      <c r="K2040">
        <v>1</v>
      </c>
      <c r="L2040">
        <v>65.09375</v>
      </c>
      <c r="M2040">
        <v>37.895352600000002</v>
      </c>
      <c r="N2040">
        <v>2.2882677779999998</v>
      </c>
      <c r="O2040">
        <v>65.09375</v>
      </c>
      <c r="P2040">
        <v>37.895352600000002</v>
      </c>
      <c r="Q2040">
        <v>2.2882677779999998</v>
      </c>
      <c r="R2040" t="s">
        <v>1019</v>
      </c>
      <c r="S2040">
        <v>0</v>
      </c>
    </row>
    <row r="2041" spans="1:19" x14ac:dyDescent="0.25">
      <c r="A2041" t="s">
        <v>26</v>
      </c>
      <c r="B2041" t="s">
        <v>928</v>
      </c>
      <c r="C2041">
        <v>15</v>
      </c>
      <c r="D2041" t="s">
        <v>27</v>
      </c>
      <c r="E2041" t="s">
        <v>95</v>
      </c>
      <c r="F2041" t="s">
        <v>105</v>
      </c>
      <c r="G2041" t="s">
        <v>102</v>
      </c>
      <c r="H2041" t="s">
        <v>102</v>
      </c>
      <c r="J2041">
        <v>0</v>
      </c>
      <c r="K2041">
        <v>1</v>
      </c>
      <c r="L2041">
        <v>67.5</v>
      </c>
      <c r="M2041">
        <v>47.937235809999997</v>
      </c>
      <c r="N2041">
        <v>0.41599678000000001</v>
      </c>
      <c r="O2041">
        <v>84.740740740000007</v>
      </c>
      <c r="P2041">
        <v>29.167014049999999</v>
      </c>
      <c r="Q2041">
        <v>1.1169849999999999</v>
      </c>
      <c r="R2041" t="s">
        <v>1019</v>
      </c>
      <c r="S2041">
        <v>0.70098821999999994</v>
      </c>
    </row>
    <row r="2042" spans="1:19" x14ac:dyDescent="0.25">
      <c r="A2042" t="s">
        <v>26</v>
      </c>
      <c r="B2042" t="s">
        <v>928</v>
      </c>
      <c r="C2042">
        <v>16</v>
      </c>
      <c r="D2042" t="s">
        <v>27</v>
      </c>
      <c r="E2042" t="s">
        <v>95</v>
      </c>
      <c r="F2042" t="s">
        <v>105</v>
      </c>
      <c r="G2042" t="s">
        <v>102</v>
      </c>
      <c r="H2042" t="s">
        <v>111</v>
      </c>
      <c r="J2042">
        <v>0</v>
      </c>
      <c r="K2042">
        <v>1</v>
      </c>
      <c r="L2042">
        <v>67.5</v>
      </c>
      <c r="M2042">
        <v>47.937235809999997</v>
      </c>
      <c r="N2042">
        <v>0.41599678000000001</v>
      </c>
      <c r="O2042">
        <v>94.97142857</v>
      </c>
      <c r="P2042">
        <v>24.31591813</v>
      </c>
      <c r="Q2042">
        <v>0.122951111</v>
      </c>
      <c r="R2042" t="s">
        <v>1019</v>
      </c>
      <c r="S2042">
        <v>0.29304566900000001</v>
      </c>
    </row>
    <row r="2043" spans="1:19" x14ac:dyDescent="0.25">
      <c r="A2043" t="s">
        <v>26</v>
      </c>
      <c r="B2043" t="s">
        <v>928</v>
      </c>
      <c r="C2043">
        <v>17</v>
      </c>
      <c r="D2043" t="s">
        <v>27</v>
      </c>
      <c r="E2043" t="s">
        <v>95</v>
      </c>
      <c r="F2043" t="s">
        <v>105</v>
      </c>
      <c r="G2043" t="s">
        <v>102</v>
      </c>
      <c r="H2043" t="s">
        <v>242</v>
      </c>
      <c r="J2043">
        <v>0</v>
      </c>
      <c r="K2043">
        <v>1</v>
      </c>
      <c r="L2043">
        <v>67.5</v>
      </c>
      <c r="M2043">
        <v>47.937235809999997</v>
      </c>
      <c r="N2043">
        <v>0.41599678000000001</v>
      </c>
      <c r="O2043">
        <v>139.375</v>
      </c>
      <c r="P2043">
        <v>23.713465920000001</v>
      </c>
      <c r="Q2043" t="s">
        <v>114</v>
      </c>
      <c r="R2043" t="s">
        <v>1019</v>
      </c>
      <c r="S2043" t="s">
        <v>114</v>
      </c>
    </row>
    <row r="2044" spans="1:19" x14ac:dyDescent="0.25">
      <c r="A2044" t="s">
        <v>26</v>
      </c>
      <c r="B2044" t="s">
        <v>929</v>
      </c>
      <c r="C2044">
        <v>15</v>
      </c>
      <c r="D2044" t="s">
        <v>27</v>
      </c>
      <c r="E2044" t="s">
        <v>95</v>
      </c>
      <c r="F2044" t="s">
        <v>110</v>
      </c>
      <c r="G2044" t="s">
        <v>111</v>
      </c>
      <c r="H2044" t="s">
        <v>111</v>
      </c>
      <c r="J2044">
        <v>0</v>
      </c>
      <c r="K2044">
        <v>1</v>
      </c>
      <c r="L2044">
        <v>73.260869569999997</v>
      </c>
      <c r="M2044">
        <v>34.453830549999999</v>
      </c>
      <c r="N2044">
        <v>1.058333333</v>
      </c>
      <c r="O2044">
        <v>94.97142857</v>
      </c>
      <c r="P2044">
        <v>24.31591813</v>
      </c>
      <c r="Q2044">
        <v>0.122951111</v>
      </c>
      <c r="R2044" t="s">
        <v>1019</v>
      </c>
      <c r="S2044">
        <v>0.93538222199999999</v>
      </c>
    </row>
    <row r="2045" spans="1:19" x14ac:dyDescent="0.25">
      <c r="A2045" t="s">
        <v>26</v>
      </c>
      <c r="B2045" t="s">
        <v>929</v>
      </c>
      <c r="C2045">
        <v>16</v>
      </c>
      <c r="D2045" t="s">
        <v>27</v>
      </c>
      <c r="E2045" t="s">
        <v>95</v>
      </c>
      <c r="F2045" t="s">
        <v>110</v>
      </c>
      <c r="G2045" t="s">
        <v>111</v>
      </c>
      <c r="H2045" t="s">
        <v>242</v>
      </c>
      <c r="J2045">
        <v>0</v>
      </c>
      <c r="K2045">
        <v>8</v>
      </c>
      <c r="L2045">
        <v>73.260869569999997</v>
      </c>
      <c r="M2045">
        <v>34.453830549999999</v>
      </c>
      <c r="N2045">
        <v>1.058333333</v>
      </c>
      <c r="O2045">
        <v>139.375</v>
      </c>
      <c r="P2045">
        <v>23.713465920000001</v>
      </c>
      <c r="Q2045" t="s">
        <v>114</v>
      </c>
      <c r="R2045" t="s">
        <v>1019</v>
      </c>
      <c r="S2045" t="s">
        <v>114</v>
      </c>
    </row>
    <row r="2046" spans="1:19" x14ac:dyDescent="0.25">
      <c r="A2046" t="s">
        <v>26</v>
      </c>
      <c r="B2046" t="s">
        <v>930</v>
      </c>
      <c r="C2046">
        <v>15</v>
      </c>
      <c r="D2046" t="s">
        <v>27</v>
      </c>
      <c r="E2046" t="s">
        <v>95</v>
      </c>
      <c r="F2046" t="s">
        <v>111</v>
      </c>
      <c r="G2046" t="s">
        <v>102</v>
      </c>
      <c r="H2046" t="s">
        <v>244</v>
      </c>
      <c r="J2046">
        <v>0</v>
      </c>
      <c r="K2046">
        <v>1</v>
      </c>
      <c r="L2046">
        <v>94.97142857</v>
      </c>
      <c r="M2046">
        <v>24.31591813</v>
      </c>
      <c r="N2046">
        <v>0.122951111</v>
      </c>
      <c r="O2046">
        <v>75</v>
      </c>
      <c r="P2046">
        <v>28.80614499</v>
      </c>
      <c r="Q2046">
        <v>2.3860428570000001</v>
      </c>
      <c r="R2046" t="s">
        <v>1019</v>
      </c>
      <c r="S2046">
        <v>2.2630917460000002</v>
      </c>
    </row>
    <row r="2047" spans="1:19" x14ac:dyDescent="0.25">
      <c r="A2047" t="s">
        <v>26</v>
      </c>
      <c r="B2047" t="s">
        <v>930</v>
      </c>
      <c r="C2047">
        <v>16</v>
      </c>
      <c r="D2047" t="s">
        <v>27</v>
      </c>
      <c r="E2047" t="s">
        <v>95</v>
      </c>
      <c r="F2047" t="s">
        <v>111</v>
      </c>
      <c r="G2047" t="s">
        <v>102</v>
      </c>
      <c r="H2047" t="s">
        <v>236</v>
      </c>
      <c r="J2047">
        <v>0</v>
      </c>
      <c r="K2047">
        <v>1</v>
      </c>
      <c r="L2047">
        <v>94.97142857</v>
      </c>
      <c r="M2047">
        <v>24.31591813</v>
      </c>
      <c r="N2047">
        <v>0.122951111</v>
      </c>
      <c r="O2047">
        <v>113.33333330000001</v>
      </c>
      <c r="P2047">
        <v>26.41632581</v>
      </c>
      <c r="Q2047">
        <v>1.6844570160000001</v>
      </c>
      <c r="R2047" t="s">
        <v>1019</v>
      </c>
      <c r="S2047">
        <v>1.5615059050000002</v>
      </c>
    </row>
    <row r="2048" spans="1:19" x14ac:dyDescent="0.25">
      <c r="A2048" t="s">
        <v>26</v>
      </c>
      <c r="B2048" t="s">
        <v>930</v>
      </c>
      <c r="C2048">
        <v>17</v>
      </c>
      <c r="D2048" t="s">
        <v>27</v>
      </c>
      <c r="E2048" t="s">
        <v>95</v>
      </c>
      <c r="F2048" t="s">
        <v>111</v>
      </c>
      <c r="G2048" t="s">
        <v>102</v>
      </c>
      <c r="H2048" t="s">
        <v>102</v>
      </c>
      <c r="J2048">
        <v>0</v>
      </c>
      <c r="K2048">
        <v>1</v>
      </c>
      <c r="L2048">
        <v>94.97142857</v>
      </c>
      <c r="M2048">
        <v>24.31591813</v>
      </c>
      <c r="N2048">
        <v>0.122951111</v>
      </c>
      <c r="O2048">
        <v>84.740740740000007</v>
      </c>
      <c r="P2048">
        <v>29.167014049999999</v>
      </c>
      <c r="Q2048">
        <v>1.1169849999999999</v>
      </c>
      <c r="R2048" t="s">
        <v>1019</v>
      </c>
      <c r="S2048">
        <v>0.99403388899999989</v>
      </c>
    </row>
    <row r="2049" spans="1:19" x14ac:dyDescent="0.25">
      <c r="A2049" t="s">
        <v>26</v>
      </c>
      <c r="B2049" t="s">
        <v>930</v>
      </c>
      <c r="C2049">
        <v>18</v>
      </c>
      <c r="D2049" t="s">
        <v>27</v>
      </c>
      <c r="E2049" t="s">
        <v>95</v>
      </c>
      <c r="F2049" t="s">
        <v>111</v>
      </c>
      <c r="G2049" t="s">
        <v>102</v>
      </c>
      <c r="H2049" t="s">
        <v>242</v>
      </c>
      <c r="J2049">
        <v>0</v>
      </c>
      <c r="K2049">
        <v>3</v>
      </c>
      <c r="L2049">
        <v>94.97142857</v>
      </c>
      <c r="M2049">
        <v>24.31591813</v>
      </c>
      <c r="N2049">
        <v>0.122951111</v>
      </c>
      <c r="O2049">
        <v>139.375</v>
      </c>
      <c r="P2049">
        <v>23.713465920000001</v>
      </c>
      <c r="Q2049" t="s">
        <v>114</v>
      </c>
      <c r="R2049" t="s">
        <v>1019</v>
      </c>
      <c r="S2049" t="s">
        <v>114</v>
      </c>
    </row>
    <row r="2050" spans="1:19" x14ac:dyDescent="0.25">
      <c r="A2050" t="s">
        <v>28</v>
      </c>
      <c r="B2050" t="s">
        <v>931</v>
      </c>
      <c r="C2050">
        <v>15</v>
      </c>
      <c r="D2050" t="s">
        <v>29</v>
      </c>
      <c r="E2050" t="s">
        <v>94</v>
      </c>
      <c r="F2050" t="s">
        <v>113</v>
      </c>
      <c r="G2050" t="s">
        <v>113</v>
      </c>
      <c r="H2050" t="s">
        <v>113</v>
      </c>
      <c r="J2050">
        <v>0</v>
      </c>
      <c r="K2050">
        <v>2</v>
      </c>
      <c r="L2050">
        <v>83.757575759999995</v>
      </c>
      <c r="M2050">
        <v>22.60997987</v>
      </c>
      <c r="N2050">
        <v>0.72884000000000004</v>
      </c>
      <c r="O2050">
        <v>83.757575759999995</v>
      </c>
      <c r="P2050">
        <v>22.60997987</v>
      </c>
      <c r="Q2050">
        <v>0.72884000000000004</v>
      </c>
      <c r="R2050" t="s">
        <v>1019</v>
      </c>
      <c r="S2050">
        <v>0</v>
      </c>
    </row>
    <row r="2051" spans="1:19" x14ac:dyDescent="0.25">
      <c r="A2051" t="s">
        <v>28</v>
      </c>
      <c r="B2051" t="s">
        <v>931</v>
      </c>
      <c r="C2051">
        <v>16</v>
      </c>
      <c r="D2051" t="s">
        <v>29</v>
      </c>
      <c r="E2051" t="s">
        <v>94</v>
      </c>
      <c r="F2051" t="s">
        <v>113</v>
      </c>
      <c r="G2051" t="s">
        <v>113</v>
      </c>
      <c r="H2051" t="s">
        <v>248</v>
      </c>
      <c r="J2051">
        <v>0</v>
      </c>
      <c r="K2051">
        <v>12</v>
      </c>
      <c r="L2051">
        <v>83.757575759999995</v>
      </c>
      <c r="M2051">
        <v>22.60997987</v>
      </c>
      <c r="N2051">
        <v>0.72884000000000004</v>
      </c>
      <c r="O2051">
        <v>83.92307692</v>
      </c>
      <c r="P2051">
        <v>44.319135699999997</v>
      </c>
      <c r="Q2051">
        <v>5.9548609999999997E-3</v>
      </c>
      <c r="R2051" t="s">
        <v>1019</v>
      </c>
      <c r="S2051">
        <v>0.72288513900000007</v>
      </c>
    </row>
    <row r="2052" spans="1:19" x14ac:dyDescent="0.25">
      <c r="A2052" t="s">
        <v>28</v>
      </c>
      <c r="B2052" t="s">
        <v>931</v>
      </c>
      <c r="C2052">
        <v>17</v>
      </c>
      <c r="D2052" t="s">
        <v>29</v>
      </c>
      <c r="E2052" t="s">
        <v>94</v>
      </c>
      <c r="F2052" t="s">
        <v>113</v>
      </c>
      <c r="G2052" t="s">
        <v>113</v>
      </c>
      <c r="H2052" t="s">
        <v>247</v>
      </c>
      <c r="J2052">
        <v>0</v>
      </c>
      <c r="K2052">
        <v>1</v>
      </c>
      <c r="L2052">
        <v>83.757575759999995</v>
      </c>
      <c r="M2052">
        <v>22.60997987</v>
      </c>
      <c r="N2052">
        <v>0.72884000000000004</v>
      </c>
      <c r="O2052">
        <v>65.791044779999993</v>
      </c>
      <c r="P2052">
        <v>22.94519201</v>
      </c>
      <c r="Q2052">
        <v>8.1320334999999994E-2</v>
      </c>
      <c r="R2052" t="s">
        <v>1019</v>
      </c>
      <c r="S2052">
        <v>0.64751966500000002</v>
      </c>
    </row>
    <row r="2053" spans="1:19" x14ac:dyDescent="0.25">
      <c r="A2053" t="s">
        <v>28</v>
      </c>
      <c r="B2053" t="s">
        <v>931</v>
      </c>
      <c r="C2053">
        <v>18</v>
      </c>
      <c r="D2053" t="s">
        <v>29</v>
      </c>
      <c r="E2053" t="s">
        <v>94</v>
      </c>
      <c r="F2053" t="s">
        <v>113</v>
      </c>
      <c r="G2053" t="s">
        <v>113</v>
      </c>
      <c r="H2053" t="s">
        <v>239</v>
      </c>
      <c r="J2053">
        <v>0</v>
      </c>
      <c r="K2053">
        <v>1</v>
      </c>
      <c r="L2053">
        <v>83.757575759999995</v>
      </c>
      <c r="M2053">
        <v>22.60997987</v>
      </c>
      <c r="N2053">
        <v>0.72884000000000004</v>
      </c>
      <c r="O2053">
        <v>100.45454549999999</v>
      </c>
      <c r="P2053">
        <v>26.754810689999999</v>
      </c>
      <c r="Q2053">
        <v>0.75829999999999997</v>
      </c>
      <c r="R2053" t="s">
        <v>1019</v>
      </c>
      <c r="S2053">
        <v>2.9459999999999931E-2</v>
      </c>
    </row>
    <row r="2054" spans="1:19" x14ac:dyDescent="0.25">
      <c r="A2054" t="s">
        <v>28</v>
      </c>
      <c r="B2054" t="s">
        <v>932</v>
      </c>
      <c r="C2054">
        <v>15</v>
      </c>
      <c r="D2054" t="s">
        <v>29</v>
      </c>
      <c r="E2054" t="s">
        <v>94</v>
      </c>
      <c r="F2054" t="s">
        <v>103</v>
      </c>
      <c r="G2054" t="s">
        <v>102</v>
      </c>
      <c r="H2054" t="s">
        <v>102</v>
      </c>
      <c r="J2054">
        <v>0</v>
      </c>
      <c r="K2054">
        <v>1</v>
      </c>
      <c r="L2054">
        <v>98.291666669999998</v>
      </c>
      <c r="M2054">
        <v>30.315130790000001</v>
      </c>
      <c r="N2054">
        <v>5.0803484000000003E-2</v>
      </c>
      <c r="O2054">
        <v>84.740740740000007</v>
      </c>
      <c r="P2054">
        <v>29.167014049999999</v>
      </c>
      <c r="Q2054">
        <v>1.1169849999999999</v>
      </c>
      <c r="R2054" t="s">
        <v>1019</v>
      </c>
      <c r="S2054">
        <v>1.0661815159999999</v>
      </c>
    </row>
    <row r="2055" spans="1:19" x14ac:dyDescent="0.25">
      <c r="A2055" t="s">
        <v>28</v>
      </c>
      <c r="B2055" t="s">
        <v>932</v>
      </c>
      <c r="C2055">
        <v>16</v>
      </c>
      <c r="D2055" t="s">
        <v>29</v>
      </c>
      <c r="E2055" t="s">
        <v>94</v>
      </c>
      <c r="F2055" t="s">
        <v>103</v>
      </c>
      <c r="G2055" t="s">
        <v>102</v>
      </c>
      <c r="H2055" t="s">
        <v>103</v>
      </c>
      <c r="J2055">
        <v>0</v>
      </c>
      <c r="K2055">
        <v>2</v>
      </c>
      <c r="L2055">
        <v>98.291666669999998</v>
      </c>
      <c r="M2055">
        <v>30.315130790000001</v>
      </c>
      <c r="N2055">
        <v>5.0803484000000003E-2</v>
      </c>
      <c r="O2055">
        <v>98.291666669999998</v>
      </c>
      <c r="P2055">
        <v>30.315130790000001</v>
      </c>
      <c r="Q2055">
        <v>5.0803484000000003E-2</v>
      </c>
      <c r="R2055" t="s">
        <v>1019</v>
      </c>
      <c r="S2055">
        <v>0</v>
      </c>
    </row>
    <row r="2056" spans="1:19" x14ac:dyDescent="0.25">
      <c r="A2056" t="s">
        <v>28</v>
      </c>
      <c r="B2056" t="s">
        <v>933</v>
      </c>
      <c r="C2056">
        <v>15</v>
      </c>
      <c r="D2056" t="s">
        <v>29</v>
      </c>
      <c r="E2056" t="s">
        <v>94</v>
      </c>
      <c r="F2056" t="s">
        <v>111</v>
      </c>
      <c r="G2056" t="s">
        <v>121</v>
      </c>
      <c r="H2056" t="s">
        <v>247</v>
      </c>
      <c r="J2056">
        <v>0</v>
      </c>
      <c r="K2056">
        <v>1</v>
      </c>
      <c r="L2056">
        <v>94.97142857</v>
      </c>
      <c r="M2056">
        <v>24.31591813</v>
      </c>
      <c r="N2056">
        <v>0.122951111</v>
      </c>
      <c r="O2056">
        <v>65.791044779999993</v>
      </c>
      <c r="P2056">
        <v>22.94519201</v>
      </c>
      <c r="Q2056">
        <v>8.1320334999999994E-2</v>
      </c>
      <c r="R2056" t="s">
        <v>1019</v>
      </c>
      <c r="S2056">
        <v>4.1630776000000008E-2</v>
      </c>
    </row>
    <row r="2057" spans="1:19" x14ac:dyDescent="0.25">
      <c r="A2057" t="s">
        <v>28</v>
      </c>
      <c r="B2057" t="s">
        <v>933</v>
      </c>
      <c r="C2057">
        <v>16</v>
      </c>
      <c r="D2057" t="s">
        <v>29</v>
      </c>
      <c r="E2057" t="s">
        <v>94</v>
      </c>
      <c r="F2057" t="s">
        <v>111</v>
      </c>
      <c r="G2057" t="s">
        <v>121</v>
      </c>
      <c r="H2057" t="s">
        <v>113</v>
      </c>
      <c r="J2057">
        <v>0</v>
      </c>
      <c r="K2057">
        <v>3</v>
      </c>
      <c r="L2057">
        <v>94.97142857</v>
      </c>
      <c r="M2057">
        <v>24.31591813</v>
      </c>
      <c r="N2057">
        <v>0.122951111</v>
      </c>
      <c r="O2057">
        <v>83.757575759999995</v>
      </c>
      <c r="P2057">
        <v>22.60997987</v>
      </c>
      <c r="Q2057">
        <v>0.72884000000000004</v>
      </c>
      <c r="R2057" t="s">
        <v>1019</v>
      </c>
      <c r="S2057">
        <v>0.60588888900000004</v>
      </c>
    </row>
    <row r="2058" spans="1:19" x14ac:dyDescent="0.25">
      <c r="A2058" t="s">
        <v>28</v>
      </c>
      <c r="B2058" t="s">
        <v>933</v>
      </c>
      <c r="C2058">
        <v>17</v>
      </c>
      <c r="D2058" t="s">
        <v>29</v>
      </c>
      <c r="E2058" t="s">
        <v>94</v>
      </c>
      <c r="F2058" t="s">
        <v>111</v>
      </c>
      <c r="G2058" t="s">
        <v>121</v>
      </c>
      <c r="H2058" t="s">
        <v>248</v>
      </c>
      <c r="J2058">
        <v>0</v>
      </c>
      <c r="K2058">
        <v>1</v>
      </c>
      <c r="L2058">
        <v>94.97142857</v>
      </c>
      <c r="M2058">
        <v>24.31591813</v>
      </c>
      <c r="N2058">
        <v>0.122951111</v>
      </c>
      <c r="O2058">
        <v>83.92307692</v>
      </c>
      <c r="P2058">
        <v>44.319135699999997</v>
      </c>
      <c r="Q2058">
        <v>5.9548609999999997E-3</v>
      </c>
      <c r="R2058" t="s">
        <v>1019</v>
      </c>
      <c r="S2058">
        <v>0.11699625</v>
      </c>
    </row>
    <row r="2059" spans="1:19" x14ac:dyDescent="0.25">
      <c r="A2059" t="s">
        <v>28</v>
      </c>
      <c r="B2059" t="s">
        <v>934</v>
      </c>
      <c r="C2059">
        <v>15</v>
      </c>
      <c r="D2059" t="s">
        <v>29</v>
      </c>
      <c r="E2059" t="s">
        <v>94</v>
      </c>
      <c r="F2059" t="s">
        <v>112</v>
      </c>
      <c r="G2059" t="s">
        <v>121</v>
      </c>
      <c r="H2059" t="s">
        <v>103</v>
      </c>
      <c r="J2059">
        <v>0</v>
      </c>
      <c r="K2059">
        <v>4</v>
      </c>
      <c r="L2059">
        <v>65.09375</v>
      </c>
      <c r="M2059">
        <v>37.895352600000002</v>
      </c>
      <c r="N2059">
        <v>2.2882677779999998</v>
      </c>
      <c r="O2059">
        <v>98.291666669999998</v>
      </c>
      <c r="P2059">
        <v>30.315130790000001</v>
      </c>
      <c r="Q2059">
        <v>5.0803484000000003E-2</v>
      </c>
      <c r="R2059" t="s">
        <v>1019</v>
      </c>
      <c r="S2059">
        <v>2.237464294</v>
      </c>
    </row>
    <row r="2060" spans="1:19" x14ac:dyDescent="0.25">
      <c r="A2060" t="s">
        <v>28</v>
      </c>
      <c r="B2060" t="s">
        <v>934</v>
      </c>
      <c r="C2060">
        <v>16</v>
      </c>
      <c r="D2060" t="s">
        <v>29</v>
      </c>
      <c r="E2060" t="s">
        <v>94</v>
      </c>
      <c r="F2060" t="s">
        <v>112</v>
      </c>
      <c r="G2060" t="s">
        <v>121</v>
      </c>
      <c r="H2060" t="s">
        <v>113</v>
      </c>
      <c r="J2060">
        <v>0</v>
      </c>
      <c r="K2060">
        <v>6</v>
      </c>
      <c r="L2060">
        <v>65.09375</v>
      </c>
      <c r="M2060">
        <v>37.895352600000002</v>
      </c>
      <c r="N2060">
        <v>2.2882677779999998</v>
      </c>
      <c r="O2060">
        <v>83.757575759999995</v>
      </c>
      <c r="P2060">
        <v>22.60997987</v>
      </c>
      <c r="Q2060">
        <v>0.72884000000000004</v>
      </c>
      <c r="R2060" t="s">
        <v>1019</v>
      </c>
      <c r="S2060">
        <v>1.5594277779999999</v>
      </c>
    </row>
    <row r="2061" spans="1:19" x14ac:dyDescent="0.25">
      <c r="A2061" t="s">
        <v>28</v>
      </c>
      <c r="B2061" t="s">
        <v>934</v>
      </c>
      <c r="C2061">
        <v>17</v>
      </c>
      <c r="D2061" t="s">
        <v>29</v>
      </c>
      <c r="E2061" t="s">
        <v>94</v>
      </c>
      <c r="F2061" t="s">
        <v>112</v>
      </c>
      <c r="G2061" t="s">
        <v>121</v>
      </c>
      <c r="H2061" t="s">
        <v>248</v>
      </c>
      <c r="J2061">
        <v>0</v>
      </c>
      <c r="K2061">
        <v>3</v>
      </c>
      <c r="L2061">
        <v>65.09375</v>
      </c>
      <c r="M2061">
        <v>37.895352600000002</v>
      </c>
      <c r="N2061">
        <v>2.2882677779999998</v>
      </c>
      <c r="O2061">
        <v>83.92307692</v>
      </c>
      <c r="P2061">
        <v>44.319135699999997</v>
      </c>
      <c r="Q2061">
        <v>5.9548609999999997E-3</v>
      </c>
      <c r="R2061" t="s">
        <v>1019</v>
      </c>
      <c r="S2061">
        <v>2.2823129169999996</v>
      </c>
    </row>
    <row r="2062" spans="1:19" x14ac:dyDescent="0.25">
      <c r="A2062" t="s">
        <v>30</v>
      </c>
      <c r="B2062" t="s">
        <v>935</v>
      </c>
      <c r="C2062">
        <v>15</v>
      </c>
      <c r="D2062" t="s">
        <v>31</v>
      </c>
      <c r="E2062" t="s">
        <v>95</v>
      </c>
      <c r="F2062" t="s">
        <v>113</v>
      </c>
      <c r="G2062" t="s">
        <v>121</v>
      </c>
      <c r="H2062" t="s">
        <v>113</v>
      </c>
      <c r="J2062">
        <v>0</v>
      </c>
      <c r="K2062">
        <v>1</v>
      </c>
      <c r="L2062">
        <v>83.757575759999995</v>
      </c>
      <c r="M2062">
        <v>22.60997987</v>
      </c>
      <c r="N2062">
        <v>0.72884000000000004</v>
      </c>
      <c r="O2062">
        <v>83.757575759999995</v>
      </c>
      <c r="P2062">
        <v>22.60997987</v>
      </c>
      <c r="Q2062">
        <v>0.72884000000000004</v>
      </c>
      <c r="R2062" t="s">
        <v>1019</v>
      </c>
      <c r="S2062">
        <v>0</v>
      </c>
    </row>
    <row r="2063" spans="1:19" x14ac:dyDescent="0.25">
      <c r="A2063" t="s">
        <v>30</v>
      </c>
      <c r="B2063" t="s">
        <v>935</v>
      </c>
      <c r="C2063">
        <v>16</v>
      </c>
      <c r="D2063" t="s">
        <v>31</v>
      </c>
      <c r="E2063" t="s">
        <v>95</v>
      </c>
      <c r="F2063" t="s">
        <v>113</v>
      </c>
      <c r="G2063" t="s">
        <v>121</v>
      </c>
      <c r="H2063" t="s">
        <v>103</v>
      </c>
      <c r="J2063">
        <v>0</v>
      </c>
      <c r="K2063">
        <v>2</v>
      </c>
      <c r="L2063">
        <v>83.757575759999995</v>
      </c>
      <c r="M2063">
        <v>22.60997987</v>
      </c>
      <c r="N2063">
        <v>0.72884000000000004</v>
      </c>
      <c r="O2063">
        <v>98.291666669999998</v>
      </c>
      <c r="P2063">
        <v>30.315130790000001</v>
      </c>
      <c r="Q2063">
        <v>5.0803484000000003E-2</v>
      </c>
      <c r="R2063" t="s">
        <v>1019</v>
      </c>
      <c r="S2063">
        <v>0.67803651600000003</v>
      </c>
    </row>
    <row r="2064" spans="1:19" x14ac:dyDescent="0.25">
      <c r="A2064" t="s">
        <v>30</v>
      </c>
      <c r="B2064" t="s">
        <v>935</v>
      </c>
      <c r="C2064">
        <v>17</v>
      </c>
      <c r="D2064" t="s">
        <v>31</v>
      </c>
      <c r="E2064" t="s">
        <v>95</v>
      </c>
      <c r="F2064" t="s">
        <v>113</v>
      </c>
      <c r="G2064" t="s">
        <v>121</v>
      </c>
      <c r="H2064" t="s">
        <v>248</v>
      </c>
      <c r="J2064">
        <v>0</v>
      </c>
      <c r="K2064">
        <v>9</v>
      </c>
      <c r="L2064">
        <v>83.757575759999995</v>
      </c>
      <c r="M2064">
        <v>22.60997987</v>
      </c>
      <c r="N2064">
        <v>0.72884000000000004</v>
      </c>
      <c r="O2064">
        <v>83.92307692</v>
      </c>
      <c r="P2064">
        <v>44.319135699999997</v>
      </c>
      <c r="Q2064">
        <v>5.9548609999999997E-3</v>
      </c>
      <c r="R2064" t="s">
        <v>1019</v>
      </c>
      <c r="S2064">
        <v>0.72288513900000007</v>
      </c>
    </row>
    <row r="2065" spans="1:19" x14ac:dyDescent="0.25">
      <c r="A2065" t="s">
        <v>30</v>
      </c>
      <c r="B2065" t="s">
        <v>935</v>
      </c>
      <c r="C2065">
        <v>18</v>
      </c>
      <c r="D2065" t="s">
        <v>31</v>
      </c>
      <c r="E2065" t="s">
        <v>95</v>
      </c>
      <c r="F2065" t="s">
        <v>113</v>
      </c>
      <c r="G2065" t="s">
        <v>121</v>
      </c>
      <c r="H2065" t="s">
        <v>111</v>
      </c>
      <c r="J2065">
        <v>0</v>
      </c>
      <c r="K2065">
        <v>1</v>
      </c>
      <c r="L2065">
        <v>83.757575759999995</v>
      </c>
      <c r="M2065">
        <v>22.60997987</v>
      </c>
      <c r="N2065">
        <v>0.72884000000000004</v>
      </c>
      <c r="O2065">
        <v>94.97142857</v>
      </c>
      <c r="P2065">
        <v>24.31591813</v>
      </c>
      <c r="Q2065">
        <v>0.122951111</v>
      </c>
      <c r="R2065" t="s">
        <v>1019</v>
      </c>
      <c r="S2065">
        <v>0.60588888900000004</v>
      </c>
    </row>
    <row r="2066" spans="1:19" x14ac:dyDescent="0.25">
      <c r="A2066" t="s">
        <v>30</v>
      </c>
      <c r="B2066" t="s">
        <v>936</v>
      </c>
      <c r="C2066">
        <v>15</v>
      </c>
      <c r="D2066" t="s">
        <v>31</v>
      </c>
      <c r="E2066" t="s">
        <v>95</v>
      </c>
      <c r="F2066" t="s">
        <v>103</v>
      </c>
      <c r="G2066" t="s">
        <v>113</v>
      </c>
      <c r="H2066" t="s">
        <v>113</v>
      </c>
      <c r="J2066">
        <v>0</v>
      </c>
      <c r="K2066">
        <v>3</v>
      </c>
      <c r="L2066">
        <v>98.291666669999998</v>
      </c>
      <c r="M2066">
        <v>30.315130790000001</v>
      </c>
      <c r="N2066">
        <v>5.0803484000000003E-2</v>
      </c>
      <c r="O2066">
        <v>83.757575759999995</v>
      </c>
      <c r="P2066">
        <v>22.60997987</v>
      </c>
      <c r="Q2066">
        <v>0.72884000000000004</v>
      </c>
      <c r="R2066" t="s">
        <v>1019</v>
      </c>
      <c r="S2066">
        <v>0.67803651600000003</v>
      </c>
    </row>
    <row r="2067" spans="1:19" x14ac:dyDescent="0.25">
      <c r="A2067" t="s">
        <v>30</v>
      </c>
      <c r="B2067" t="s">
        <v>936</v>
      </c>
      <c r="C2067">
        <v>16</v>
      </c>
      <c r="D2067" t="s">
        <v>31</v>
      </c>
      <c r="E2067" t="s">
        <v>95</v>
      </c>
      <c r="F2067" t="s">
        <v>103</v>
      </c>
      <c r="G2067" t="s">
        <v>113</v>
      </c>
      <c r="H2067" t="s">
        <v>247</v>
      </c>
      <c r="J2067">
        <v>0</v>
      </c>
      <c r="K2067">
        <v>1</v>
      </c>
      <c r="L2067">
        <v>98.291666669999998</v>
      </c>
      <c r="M2067">
        <v>30.315130790000001</v>
      </c>
      <c r="N2067">
        <v>5.0803484000000003E-2</v>
      </c>
      <c r="O2067">
        <v>65.791044779999993</v>
      </c>
      <c r="P2067">
        <v>22.94519201</v>
      </c>
      <c r="Q2067">
        <v>8.1320334999999994E-2</v>
      </c>
      <c r="R2067" t="s">
        <v>1019</v>
      </c>
      <c r="S2067">
        <v>3.0516850999999991E-2</v>
      </c>
    </row>
    <row r="2068" spans="1:19" x14ac:dyDescent="0.25">
      <c r="A2068" t="s">
        <v>30</v>
      </c>
      <c r="B2068" t="s">
        <v>936</v>
      </c>
      <c r="C2068">
        <v>17</v>
      </c>
      <c r="D2068" t="s">
        <v>31</v>
      </c>
      <c r="E2068" t="s">
        <v>95</v>
      </c>
      <c r="F2068" t="s">
        <v>103</v>
      </c>
      <c r="G2068" t="s">
        <v>113</v>
      </c>
      <c r="H2068" t="s">
        <v>111</v>
      </c>
      <c r="J2068">
        <v>0</v>
      </c>
      <c r="K2068">
        <v>1</v>
      </c>
      <c r="L2068">
        <v>98.291666669999998</v>
      </c>
      <c r="M2068">
        <v>30.315130790000001</v>
      </c>
      <c r="N2068">
        <v>5.0803484000000003E-2</v>
      </c>
      <c r="O2068">
        <v>94.97142857</v>
      </c>
      <c r="P2068">
        <v>24.31591813</v>
      </c>
      <c r="Q2068">
        <v>0.122951111</v>
      </c>
      <c r="R2068" t="s">
        <v>1019</v>
      </c>
      <c r="S2068">
        <v>7.2147626999999992E-2</v>
      </c>
    </row>
    <row r="2069" spans="1:19" x14ac:dyDescent="0.25">
      <c r="A2069" t="s">
        <v>30</v>
      </c>
      <c r="B2069" t="s">
        <v>936</v>
      </c>
      <c r="C2069">
        <v>18</v>
      </c>
      <c r="D2069" t="s">
        <v>31</v>
      </c>
      <c r="E2069" t="s">
        <v>95</v>
      </c>
      <c r="F2069" t="s">
        <v>103</v>
      </c>
      <c r="G2069" t="s">
        <v>113</v>
      </c>
      <c r="H2069" t="s">
        <v>234</v>
      </c>
      <c r="J2069">
        <v>0</v>
      </c>
      <c r="K2069">
        <v>1</v>
      </c>
      <c r="L2069">
        <v>98.291666669999998</v>
      </c>
      <c r="M2069">
        <v>30.315130790000001</v>
      </c>
      <c r="N2069">
        <v>5.0803484000000003E-2</v>
      </c>
      <c r="O2069">
        <v>89.8125</v>
      </c>
      <c r="P2069">
        <v>34.754706650000003</v>
      </c>
      <c r="Q2069">
        <v>2.3065078999999999E-2</v>
      </c>
      <c r="R2069" t="s">
        <v>1019</v>
      </c>
      <c r="S2069">
        <v>2.7738405000000004E-2</v>
      </c>
    </row>
    <row r="2070" spans="1:19" x14ac:dyDescent="0.25">
      <c r="A2070" t="s">
        <v>30</v>
      </c>
      <c r="B2070" t="s">
        <v>936</v>
      </c>
      <c r="C2070">
        <v>19</v>
      </c>
      <c r="D2070" t="s">
        <v>31</v>
      </c>
      <c r="E2070" t="s">
        <v>95</v>
      </c>
      <c r="F2070" t="s">
        <v>103</v>
      </c>
      <c r="G2070" t="s">
        <v>113</v>
      </c>
      <c r="H2070" t="s">
        <v>241</v>
      </c>
      <c r="J2070">
        <v>0</v>
      </c>
      <c r="K2070">
        <v>1</v>
      </c>
      <c r="L2070">
        <v>98.291666669999998</v>
      </c>
      <c r="M2070">
        <v>30.315130790000001</v>
      </c>
      <c r="N2070">
        <v>5.0803484000000003E-2</v>
      </c>
      <c r="O2070">
        <v>114</v>
      </c>
      <c r="P2070">
        <v>30.43077242</v>
      </c>
      <c r="Q2070">
        <v>0.53383111100000002</v>
      </c>
      <c r="R2070" t="s">
        <v>1019</v>
      </c>
      <c r="S2070">
        <v>0.48302762700000001</v>
      </c>
    </row>
    <row r="2071" spans="1:19" x14ac:dyDescent="0.25">
      <c r="A2071" t="s">
        <v>30</v>
      </c>
      <c r="B2071" t="s">
        <v>937</v>
      </c>
      <c r="C2071">
        <v>15</v>
      </c>
      <c r="D2071" t="s">
        <v>31</v>
      </c>
      <c r="E2071" t="s">
        <v>95</v>
      </c>
      <c r="F2071" t="s">
        <v>112</v>
      </c>
      <c r="G2071" t="s">
        <v>103</v>
      </c>
      <c r="H2071" t="s">
        <v>114</v>
      </c>
      <c r="J2071">
        <v>0</v>
      </c>
      <c r="K2071" t="s">
        <v>114</v>
      </c>
      <c r="L2071">
        <v>65.09375</v>
      </c>
      <c r="M2071">
        <v>37.895352600000002</v>
      </c>
      <c r="N2071">
        <v>2.2882677779999998</v>
      </c>
      <c r="O2071" t="s">
        <v>114</v>
      </c>
      <c r="P2071" t="s">
        <v>114</v>
      </c>
      <c r="Q2071" t="s">
        <v>114</v>
      </c>
      <c r="R2071" t="s">
        <v>1019</v>
      </c>
      <c r="S2071" t="s">
        <v>114</v>
      </c>
    </row>
    <row r="2072" spans="1:19" x14ac:dyDescent="0.25">
      <c r="A2072" t="s">
        <v>32</v>
      </c>
      <c r="B2072" t="s">
        <v>938</v>
      </c>
      <c r="C2072">
        <v>15</v>
      </c>
      <c r="D2072" t="s">
        <v>33</v>
      </c>
      <c r="E2072" t="s">
        <v>94</v>
      </c>
      <c r="F2072" t="s">
        <v>105</v>
      </c>
      <c r="G2072" t="s">
        <v>121</v>
      </c>
      <c r="H2072" t="s">
        <v>247</v>
      </c>
      <c r="J2072">
        <v>0</v>
      </c>
      <c r="K2072">
        <v>2</v>
      </c>
      <c r="L2072">
        <v>67.5</v>
      </c>
      <c r="M2072">
        <v>47.937235809999997</v>
      </c>
      <c r="N2072">
        <v>0.41599678000000001</v>
      </c>
      <c r="O2072">
        <v>65.791044779999993</v>
      </c>
      <c r="P2072">
        <v>22.94519201</v>
      </c>
      <c r="Q2072">
        <v>8.1320334999999994E-2</v>
      </c>
      <c r="R2072" t="s">
        <v>1019</v>
      </c>
      <c r="S2072">
        <v>0.33467644500000004</v>
      </c>
    </row>
    <row r="2073" spans="1:19" x14ac:dyDescent="0.25">
      <c r="A2073" t="s">
        <v>32</v>
      </c>
      <c r="B2073" t="s">
        <v>938</v>
      </c>
      <c r="C2073">
        <v>16</v>
      </c>
      <c r="D2073" t="s">
        <v>33</v>
      </c>
      <c r="E2073" t="s">
        <v>94</v>
      </c>
      <c r="F2073" t="s">
        <v>105</v>
      </c>
      <c r="G2073" t="s">
        <v>121</v>
      </c>
      <c r="H2073" t="s">
        <v>249</v>
      </c>
      <c r="J2073">
        <v>0</v>
      </c>
      <c r="K2073">
        <v>1</v>
      </c>
      <c r="L2073">
        <v>67.5</v>
      </c>
      <c r="M2073">
        <v>47.937235809999997</v>
      </c>
      <c r="N2073">
        <v>0.41599678000000001</v>
      </c>
      <c r="O2073">
        <v>81.666666669999998</v>
      </c>
      <c r="P2073">
        <v>48.056268459999998</v>
      </c>
      <c r="Q2073">
        <v>0.120291364</v>
      </c>
      <c r="R2073" t="s">
        <v>1019</v>
      </c>
      <c r="S2073">
        <v>0.295705416</v>
      </c>
    </row>
    <row r="2074" spans="1:19" x14ac:dyDescent="0.25">
      <c r="A2074" t="s">
        <v>34</v>
      </c>
      <c r="B2074" t="s">
        <v>939</v>
      </c>
      <c r="C2074">
        <v>15</v>
      </c>
      <c r="D2074" t="s">
        <v>35</v>
      </c>
      <c r="E2074" t="s">
        <v>94</v>
      </c>
      <c r="F2074" t="s">
        <v>112</v>
      </c>
      <c r="G2074" t="s">
        <v>112</v>
      </c>
      <c r="H2074" t="s">
        <v>112</v>
      </c>
      <c r="J2074">
        <v>0</v>
      </c>
      <c r="K2074">
        <v>1</v>
      </c>
      <c r="L2074">
        <v>65.09375</v>
      </c>
      <c r="M2074">
        <v>37.895352600000002</v>
      </c>
      <c r="N2074">
        <v>2.2882677779999998</v>
      </c>
      <c r="O2074">
        <v>65.09375</v>
      </c>
      <c r="P2074">
        <v>37.895352600000002</v>
      </c>
      <c r="Q2074">
        <v>2.2882677779999998</v>
      </c>
      <c r="R2074" t="s">
        <v>1019</v>
      </c>
      <c r="S2074">
        <v>0</v>
      </c>
    </row>
    <row r="2075" spans="1:19" x14ac:dyDescent="0.25">
      <c r="A2075" t="s">
        <v>36</v>
      </c>
      <c r="B2075" t="s">
        <v>940</v>
      </c>
      <c r="C2075">
        <v>15</v>
      </c>
      <c r="D2075" t="s">
        <v>37</v>
      </c>
      <c r="E2075" t="s">
        <v>95</v>
      </c>
      <c r="F2075" t="s">
        <v>110</v>
      </c>
      <c r="G2075" t="s">
        <v>121</v>
      </c>
      <c r="H2075" t="s">
        <v>110</v>
      </c>
      <c r="J2075">
        <v>0</v>
      </c>
      <c r="K2075">
        <v>1</v>
      </c>
      <c r="L2075">
        <v>73.260869569999997</v>
      </c>
      <c r="M2075">
        <v>34.453830549999999</v>
      </c>
      <c r="N2075">
        <v>1.058333333</v>
      </c>
      <c r="O2075">
        <v>73.260869569999997</v>
      </c>
      <c r="P2075">
        <v>34.453830549999999</v>
      </c>
      <c r="Q2075">
        <v>1.058333333</v>
      </c>
      <c r="R2075" t="s">
        <v>1019</v>
      </c>
      <c r="S2075">
        <v>0</v>
      </c>
    </row>
    <row r="2076" spans="1:19" x14ac:dyDescent="0.25">
      <c r="A2076" t="s">
        <v>36</v>
      </c>
      <c r="B2076" t="s">
        <v>941</v>
      </c>
      <c r="C2076">
        <v>15</v>
      </c>
      <c r="D2076" t="s">
        <v>37</v>
      </c>
      <c r="E2076" t="s">
        <v>95</v>
      </c>
      <c r="F2076" t="s">
        <v>104</v>
      </c>
      <c r="G2076" t="s">
        <v>121</v>
      </c>
      <c r="H2076" t="s">
        <v>104</v>
      </c>
      <c r="J2076">
        <v>0</v>
      </c>
      <c r="K2076">
        <v>1</v>
      </c>
      <c r="L2076">
        <v>113.9375</v>
      </c>
      <c r="M2076">
        <v>33.375507550000002</v>
      </c>
      <c r="N2076">
        <v>2.4262999999999999</v>
      </c>
      <c r="O2076">
        <v>113.9375</v>
      </c>
      <c r="P2076">
        <v>33.375507550000002</v>
      </c>
      <c r="Q2076">
        <v>2.4262999999999999</v>
      </c>
      <c r="R2076" t="s">
        <v>1019</v>
      </c>
      <c r="S2076">
        <v>0</v>
      </c>
    </row>
    <row r="2077" spans="1:19" x14ac:dyDescent="0.25">
      <c r="A2077" t="s">
        <v>36</v>
      </c>
      <c r="B2077" t="s">
        <v>941</v>
      </c>
      <c r="C2077">
        <v>16</v>
      </c>
      <c r="D2077" t="s">
        <v>37</v>
      </c>
      <c r="E2077" t="s">
        <v>95</v>
      </c>
      <c r="F2077" t="s">
        <v>104</v>
      </c>
      <c r="G2077" t="s">
        <v>121</v>
      </c>
      <c r="H2077" t="s">
        <v>111</v>
      </c>
      <c r="J2077">
        <v>0</v>
      </c>
      <c r="K2077">
        <v>1</v>
      </c>
      <c r="L2077">
        <v>113.9375</v>
      </c>
      <c r="M2077">
        <v>33.375507550000002</v>
      </c>
      <c r="N2077">
        <v>2.4262999999999999</v>
      </c>
      <c r="O2077">
        <v>94.97142857</v>
      </c>
      <c r="P2077">
        <v>24.31591813</v>
      </c>
      <c r="Q2077">
        <v>0.122951111</v>
      </c>
      <c r="R2077" t="s">
        <v>1019</v>
      </c>
      <c r="S2077">
        <v>2.303348889</v>
      </c>
    </row>
    <row r="2078" spans="1:19" x14ac:dyDescent="0.25">
      <c r="A2078" t="s">
        <v>36</v>
      </c>
      <c r="B2078" t="s">
        <v>941</v>
      </c>
      <c r="C2078">
        <v>17</v>
      </c>
      <c r="D2078" t="s">
        <v>37</v>
      </c>
      <c r="E2078" t="s">
        <v>95</v>
      </c>
      <c r="F2078" t="s">
        <v>104</v>
      </c>
      <c r="G2078" t="s">
        <v>121</v>
      </c>
      <c r="H2078" t="s">
        <v>162</v>
      </c>
      <c r="J2078">
        <v>0</v>
      </c>
      <c r="K2078">
        <v>1</v>
      </c>
      <c r="L2078">
        <v>113.9375</v>
      </c>
      <c r="M2078">
        <v>33.375507550000002</v>
      </c>
      <c r="N2078">
        <v>2.4262999999999999</v>
      </c>
      <c r="O2078">
        <v>82.53846154</v>
      </c>
      <c r="P2078">
        <v>35.660530039999998</v>
      </c>
      <c r="Q2078">
        <v>3.3754499999999998</v>
      </c>
      <c r="R2078" t="s">
        <v>1019</v>
      </c>
      <c r="S2078">
        <v>0.94914999999999994</v>
      </c>
    </row>
    <row r="2079" spans="1:19" x14ac:dyDescent="0.25">
      <c r="A2079" t="s">
        <v>38</v>
      </c>
      <c r="B2079" t="s">
        <v>942</v>
      </c>
      <c r="C2079">
        <v>2</v>
      </c>
      <c r="D2079" t="s">
        <v>11</v>
      </c>
      <c r="E2079" t="s">
        <v>95</v>
      </c>
      <c r="F2079" t="s">
        <v>113</v>
      </c>
      <c r="G2079" t="s">
        <v>103</v>
      </c>
      <c r="H2079" t="s">
        <v>103</v>
      </c>
      <c r="J2079">
        <v>0</v>
      </c>
      <c r="K2079">
        <v>3</v>
      </c>
      <c r="L2079">
        <v>83.757575759999995</v>
      </c>
      <c r="M2079">
        <v>22.60997987</v>
      </c>
      <c r="N2079">
        <v>0.72884000000000004</v>
      </c>
      <c r="O2079">
        <v>98.291666669999998</v>
      </c>
      <c r="P2079">
        <v>30.315130790000001</v>
      </c>
      <c r="Q2079">
        <v>5.0803484000000003E-2</v>
      </c>
      <c r="R2079" t="s">
        <v>1019</v>
      </c>
      <c r="S2079">
        <v>0.67803651600000003</v>
      </c>
    </row>
    <row r="2080" spans="1:19" x14ac:dyDescent="0.25">
      <c r="A2080" t="s">
        <v>38</v>
      </c>
      <c r="B2080" t="s">
        <v>943</v>
      </c>
      <c r="C2080">
        <v>2</v>
      </c>
      <c r="D2080" t="s">
        <v>11</v>
      </c>
      <c r="E2080" t="s">
        <v>95</v>
      </c>
      <c r="F2080" t="s">
        <v>103</v>
      </c>
      <c r="G2080" t="s">
        <v>103</v>
      </c>
      <c r="H2080" t="s">
        <v>103</v>
      </c>
      <c r="J2080">
        <v>0</v>
      </c>
      <c r="K2080">
        <v>7</v>
      </c>
      <c r="L2080">
        <v>98.291666669999998</v>
      </c>
      <c r="M2080">
        <v>30.315130790000001</v>
      </c>
      <c r="N2080">
        <v>5.0803484000000003E-2</v>
      </c>
      <c r="O2080">
        <v>98.291666669999998</v>
      </c>
      <c r="P2080">
        <v>30.315130790000001</v>
      </c>
      <c r="Q2080">
        <v>5.0803484000000003E-2</v>
      </c>
      <c r="R2080" t="s">
        <v>1019</v>
      </c>
      <c r="S2080">
        <v>0</v>
      </c>
    </row>
    <row r="2081" spans="1:19" x14ac:dyDescent="0.25">
      <c r="A2081" t="s">
        <v>38</v>
      </c>
      <c r="B2081" t="s">
        <v>943</v>
      </c>
      <c r="C2081">
        <v>2</v>
      </c>
      <c r="D2081" t="s">
        <v>11</v>
      </c>
      <c r="E2081" t="s">
        <v>95</v>
      </c>
      <c r="F2081" t="s">
        <v>103</v>
      </c>
      <c r="G2081" t="s">
        <v>103</v>
      </c>
      <c r="H2081" t="s">
        <v>113</v>
      </c>
      <c r="J2081">
        <v>0</v>
      </c>
      <c r="K2081">
        <v>2</v>
      </c>
      <c r="L2081">
        <v>98.291666669999998</v>
      </c>
      <c r="M2081">
        <v>30.315130790000001</v>
      </c>
      <c r="N2081">
        <v>5.0803484000000003E-2</v>
      </c>
      <c r="O2081">
        <v>83.757575759999995</v>
      </c>
      <c r="P2081">
        <v>22.60997987</v>
      </c>
      <c r="Q2081">
        <v>0.72884000000000004</v>
      </c>
      <c r="R2081" t="s">
        <v>1019</v>
      </c>
      <c r="S2081">
        <v>0.67803651600000003</v>
      </c>
    </row>
    <row r="2082" spans="1:19" x14ac:dyDescent="0.25">
      <c r="A2082" t="s">
        <v>38</v>
      </c>
      <c r="B2082" t="s">
        <v>944</v>
      </c>
      <c r="C2082">
        <v>2</v>
      </c>
      <c r="D2082" t="s">
        <v>11</v>
      </c>
      <c r="E2082" t="s">
        <v>95</v>
      </c>
      <c r="F2082" t="s">
        <v>111</v>
      </c>
      <c r="G2082" t="s">
        <v>103</v>
      </c>
      <c r="H2082" t="s">
        <v>103</v>
      </c>
      <c r="J2082">
        <v>0</v>
      </c>
      <c r="K2082">
        <v>2</v>
      </c>
      <c r="L2082">
        <v>94.97142857</v>
      </c>
      <c r="M2082">
        <v>24.31591813</v>
      </c>
      <c r="N2082">
        <v>0.122951111</v>
      </c>
      <c r="O2082">
        <v>98.291666669999998</v>
      </c>
      <c r="P2082">
        <v>30.315130790000001</v>
      </c>
      <c r="Q2082">
        <v>5.0803484000000003E-2</v>
      </c>
      <c r="R2082" t="s">
        <v>1019</v>
      </c>
      <c r="S2082">
        <v>7.2147626999999992E-2</v>
      </c>
    </row>
    <row r="2083" spans="1:19" x14ac:dyDescent="0.25">
      <c r="A2083" t="s">
        <v>39</v>
      </c>
      <c r="B2083" t="s">
        <v>945</v>
      </c>
      <c r="C2083">
        <v>2</v>
      </c>
      <c r="D2083" t="s">
        <v>15</v>
      </c>
      <c r="E2083" t="s">
        <v>94</v>
      </c>
      <c r="F2083" t="s">
        <v>102</v>
      </c>
      <c r="G2083" t="s">
        <v>102</v>
      </c>
      <c r="H2083" t="s">
        <v>235</v>
      </c>
      <c r="J2083">
        <v>0</v>
      </c>
      <c r="K2083">
        <v>1</v>
      </c>
      <c r="L2083">
        <v>84.740740740000007</v>
      </c>
      <c r="M2083">
        <v>29.167014049999999</v>
      </c>
      <c r="N2083">
        <v>1.1169849999999999</v>
      </c>
      <c r="O2083">
        <v>132.27272730000001</v>
      </c>
      <c r="P2083">
        <v>20.180448590000001</v>
      </c>
      <c r="Q2083">
        <v>3.7813451999999997E-2</v>
      </c>
      <c r="R2083" t="s">
        <v>1019</v>
      </c>
      <c r="S2083">
        <v>1.0791715479999999</v>
      </c>
    </row>
    <row r="2084" spans="1:19" x14ac:dyDescent="0.25">
      <c r="A2084" t="s">
        <v>39</v>
      </c>
      <c r="B2084" t="s">
        <v>945</v>
      </c>
      <c r="C2084">
        <v>2</v>
      </c>
      <c r="D2084" t="s">
        <v>15</v>
      </c>
      <c r="E2084" t="s">
        <v>94</v>
      </c>
      <c r="F2084" t="s">
        <v>102</v>
      </c>
      <c r="G2084" t="s">
        <v>102</v>
      </c>
      <c r="H2084" t="s">
        <v>113</v>
      </c>
      <c r="J2084">
        <v>0</v>
      </c>
      <c r="K2084">
        <v>2</v>
      </c>
      <c r="L2084">
        <v>84.740740740000007</v>
      </c>
      <c r="M2084">
        <v>29.167014049999999</v>
      </c>
      <c r="N2084">
        <v>1.1169849999999999</v>
      </c>
      <c r="O2084">
        <v>83.757575759999995</v>
      </c>
      <c r="P2084">
        <v>22.60997987</v>
      </c>
      <c r="Q2084">
        <v>0.72884000000000004</v>
      </c>
      <c r="R2084" t="s">
        <v>1019</v>
      </c>
      <c r="S2084">
        <v>0.38814499999999985</v>
      </c>
    </row>
    <row r="2085" spans="1:19" x14ac:dyDescent="0.25">
      <c r="A2085" t="s">
        <v>39</v>
      </c>
      <c r="B2085" t="s">
        <v>945</v>
      </c>
      <c r="C2085">
        <v>2</v>
      </c>
      <c r="D2085" t="s">
        <v>15</v>
      </c>
      <c r="E2085" t="s">
        <v>94</v>
      </c>
      <c r="F2085" t="s">
        <v>102</v>
      </c>
      <c r="G2085" t="s">
        <v>102</v>
      </c>
      <c r="H2085" t="s">
        <v>103</v>
      </c>
      <c r="J2085">
        <v>0</v>
      </c>
      <c r="K2085">
        <v>3</v>
      </c>
      <c r="L2085">
        <v>84.740740740000007</v>
      </c>
      <c r="M2085">
        <v>29.167014049999999</v>
      </c>
      <c r="N2085">
        <v>1.1169849999999999</v>
      </c>
      <c r="O2085">
        <v>98.291666669999998</v>
      </c>
      <c r="P2085">
        <v>30.315130790000001</v>
      </c>
      <c r="Q2085">
        <v>5.0803484000000003E-2</v>
      </c>
      <c r="R2085" t="s">
        <v>1019</v>
      </c>
      <c r="S2085">
        <v>1.0661815159999999</v>
      </c>
    </row>
    <row r="2086" spans="1:19" x14ac:dyDescent="0.25">
      <c r="A2086" t="s">
        <v>39</v>
      </c>
      <c r="B2086" t="s">
        <v>945</v>
      </c>
      <c r="C2086">
        <v>2</v>
      </c>
      <c r="D2086" t="s">
        <v>15</v>
      </c>
      <c r="E2086" t="s">
        <v>94</v>
      </c>
      <c r="F2086" t="s">
        <v>102</v>
      </c>
      <c r="G2086" t="s">
        <v>102</v>
      </c>
      <c r="H2086" t="s">
        <v>233</v>
      </c>
      <c r="J2086">
        <v>0</v>
      </c>
      <c r="K2086">
        <v>1</v>
      </c>
      <c r="L2086">
        <v>84.740740740000007</v>
      </c>
      <c r="M2086">
        <v>29.167014049999999</v>
      </c>
      <c r="N2086">
        <v>1.1169849999999999</v>
      </c>
      <c r="O2086">
        <v>106.0540541</v>
      </c>
      <c r="P2086">
        <v>52.690533369999997</v>
      </c>
      <c r="Q2086">
        <v>7.6058968000000005E-2</v>
      </c>
      <c r="R2086" t="s">
        <v>1019</v>
      </c>
      <c r="S2086">
        <v>1.0409260319999998</v>
      </c>
    </row>
    <row r="2087" spans="1:19" x14ac:dyDescent="0.25">
      <c r="A2087" t="s">
        <v>39</v>
      </c>
      <c r="B2087" t="s">
        <v>945</v>
      </c>
      <c r="C2087">
        <v>2</v>
      </c>
      <c r="D2087" t="s">
        <v>15</v>
      </c>
      <c r="E2087" t="s">
        <v>94</v>
      </c>
      <c r="F2087" t="s">
        <v>102</v>
      </c>
      <c r="G2087" t="s">
        <v>102</v>
      </c>
      <c r="H2087" t="s">
        <v>104</v>
      </c>
      <c r="J2087">
        <v>0</v>
      </c>
      <c r="K2087">
        <v>1</v>
      </c>
      <c r="L2087">
        <v>84.740740740000007</v>
      </c>
      <c r="M2087">
        <v>29.167014049999999</v>
      </c>
      <c r="N2087">
        <v>1.1169849999999999</v>
      </c>
      <c r="O2087">
        <v>113.9375</v>
      </c>
      <c r="P2087">
        <v>33.375507550000002</v>
      </c>
      <c r="Q2087">
        <v>2.4262999999999999</v>
      </c>
      <c r="R2087" t="s">
        <v>1019</v>
      </c>
      <c r="S2087">
        <v>1.309315</v>
      </c>
    </row>
    <row r="2088" spans="1:19" x14ac:dyDescent="0.25">
      <c r="A2088" t="s">
        <v>39</v>
      </c>
      <c r="B2088" t="s">
        <v>946</v>
      </c>
      <c r="C2088">
        <v>2</v>
      </c>
      <c r="D2088" t="s">
        <v>15</v>
      </c>
      <c r="E2088" t="s">
        <v>94</v>
      </c>
      <c r="F2088" t="s">
        <v>113</v>
      </c>
      <c r="G2088" t="s">
        <v>113</v>
      </c>
      <c r="H2088" t="s">
        <v>113</v>
      </c>
      <c r="J2088">
        <v>0</v>
      </c>
      <c r="K2088">
        <v>5</v>
      </c>
      <c r="L2088">
        <v>83.757575759999995</v>
      </c>
      <c r="M2088">
        <v>22.60997987</v>
      </c>
      <c r="N2088">
        <v>0.72884000000000004</v>
      </c>
      <c r="O2088">
        <v>83.757575759999995</v>
      </c>
      <c r="P2088">
        <v>22.60997987</v>
      </c>
      <c r="Q2088">
        <v>0.72884000000000004</v>
      </c>
      <c r="R2088" t="s">
        <v>1019</v>
      </c>
      <c r="S2088">
        <v>0</v>
      </c>
    </row>
    <row r="2089" spans="1:19" x14ac:dyDescent="0.25">
      <c r="A2089" t="s">
        <v>39</v>
      </c>
      <c r="B2089" t="s">
        <v>946</v>
      </c>
      <c r="C2089">
        <v>2</v>
      </c>
      <c r="D2089" t="s">
        <v>15</v>
      </c>
      <c r="E2089" t="s">
        <v>94</v>
      </c>
      <c r="F2089" t="s">
        <v>113</v>
      </c>
      <c r="G2089" t="s">
        <v>113</v>
      </c>
      <c r="H2089" t="s">
        <v>233</v>
      </c>
      <c r="J2089">
        <v>0</v>
      </c>
      <c r="K2089">
        <v>4</v>
      </c>
      <c r="L2089">
        <v>83.757575759999995</v>
      </c>
      <c r="M2089">
        <v>22.60997987</v>
      </c>
      <c r="N2089">
        <v>0.72884000000000004</v>
      </c>
      <c r="O2089">
        <v>106.0540541</v>
      </c>
      <c r="P2089">
        <v>52.690533369999997</v>
      </c>
      <c r="Q2089">
        <v>7.6058968000000005E-2</v>
      </c>
      <c r="R2089" t="s">
        <v>1019</v>
      </c>
      <c r="S2089">
        <v>0.65278103200000004</v>
      </c>
    </row>
    <row r="2090" spans="1:19" x14ac:dyDescent="0.25">
      <c r="A2090" t="s">
        <v>39</v>
      </c>
      <c r="B2090" t="s">
        <v>946</v>
      </c>
      <c r="C2090">
        <v>2</v>
      </c>
      <c r="D2090" t="s">
        <v>15</v>
      </c>
      <c r="E2090" t="s">
        <v>94</v>
      </c>
      <c r="F2090" t="s">
        <v>113</v>
      </c>
      <c r="G2090" t="s">
        <v>113</v>
      </c>
      <c r="H2090" t="s">
        <v>234</v>
      </c>
      <c r="J2090">
        <v>0</v>
      </c>
      <c r="K2090">
        <v>1</v>
      </c>
      <c r="L2090">
        <v>83.757575759999995</v>
      </c>
      <c r="M2090">
        <v>22.60997987</v>
      </c>
      <c r="N2090">
        <v>0.72884000000000004</v>
      </c>
      <c r="O2090">
        <v>89.8125</v>
      </c>
      <c r="P2090">
        <v>34.754706650000003</v>
      </c>
      <c r="Q2090">
        <v>2.3065078999999999E-2</v>
      </c>
      <c r="R2090" t="s">
        <v>1019</v>
      </c>
      <c r="S2090">
        <v>0.70577492100000006</v>
      </c>
    </row>
    <row r="2091" spans="1:19" x14ac:dyDescent="0.25">
      <c r="A2091" t="s">
        <v>39</v>
      </c>
      <c r="B2091" t="s">
        <v>947</v>
      </c>
      <c r="C2091">
        <v>2</v>
      </c>
      <c r="D2091" t="s">
        <v>15</v>
      </c>
      <c r="E2091" t="s">
        <v>94</v>
      </c>
      <c r="F2091" t="s">
        <v>103</v>
      </c>
      <c r="G2091" t="s">
        <v>103</v>
      </c>
      <c r="H2091" t="s">
        <v>103</v>
      </c>
      <c r="J2091">
        <v>0</v>
      </c>
      <c r="K2091">
        <v>3</v>
      </c>
      <c r="L2091">
        <v>98.291666669999998</v>
      </c>
      <c r="M2091">
        <v>30.315130790000001</v>
      </c>
      <c r="N2091">
        <v>5.0803484000000003E-2</v>
      </c>
      <c r="O2091">
        <v>98.291666669999998</v>
      </c>
      <c r="P2091">
        <v>30.315130790000001</v>
      </c>
      <c r="Q2091">
        <v>5.0803484000000003E-2</v>
      </c>
      <c r="R2091" t="s">
        <v>1019</v>
      </c>
      <c r="S2091">
        <v>0</v>
      </c>
    </row>
    <row r="2092" spans="1:19" x14ac:dyDescent="0.25">
      <c r="A2092" t="s">
        <v>39</v>
      </c>
      <c r="B2092" t="s">
        <v>947</v>
      </c>
      <c r="C2092">
        <v>2</v>
      </c>
      <c r="D2092" t="s">
        <v>15</v>
      </c>
      <c r="E2092" t="s">
        <v>94</v>
      </c>
      <c r="F2092" t="s">
        <v>103</v>
      </c>
      <c r="G2092" t="s">
        <v>103</v>
      </c>
      <c r="H2092" t="s">
        <v>104</v>
      </c>
      <c r="J2092">
        <v>0</v>
      </c>
      <c r="K2092">
        <v>1</v>
      </c>
      <c r="L2092">
        <v>98.291666669999998</v>
      </c>
      <c r="M2092">
        <v>30.315130790000001</v>
      </c>
      <c r="N2092">
        <v>5.0803484000000003E-2</v>
      </c>
      <c r="O2092">
        <v>113.9375</v>
      </c>
      <c r="P2092">
        <v>33.375507550000002</v>
      </c>
      <c r="Q2092">
        <v>2.4262999999999999</v>
      </c>
      <c r="R2092" t="s">
        <v>1019</v>
      </c>
      <c r="S2092">
        <v>2.3754965160000001</v>
      </c>
    </row>
    <row r="2093" spans="1:19" x14ac:dyDescent="0.25">
      <c r="A2093" t="s">
        <v>39</v>
      </c>
      <c r="B2093" t="s">
        <v>947</v>
      </c>
      <c r="C2093">
        <v>2</v>
      </c>
      <c r="D2093" t="s">
        <v>15</v>
      </c>
      <c r="E2093" t="s">
        <v>94</v>
      </c>
      <c r="F2093" t="s">
        <v>103</v>
      </c>
      <c r="G2093" t="s">
        <v>103</v>
      </c>
      <c r="H2093" t="s">
        <v>113</v>
      </c>
      <c r="J2093">
        <v>0</v>
      </c>
      <c r="K2093">
        <v>4</v>
      </c>
      <c r="L2093">
        <v>98.291666669999998</v>
      </c>
      <c r="M2093">
        <v>30.315130790000001</v>
      </c>
      <c r="N2093">
        <v>5.0803484000000003E-2</v>
      </c>
      <c r="O2093">
        <v>83.757575759999995</v>
      </c>
      <c r="P2093">
        <v>22.60997987</v>
      </c>
      <c r="Q2093">
        <v>0.72884000000000004</v>
      </c>
      <c r="R2093" t="s">
        <v>1019</v>
      </c>
      <c r="S2093">
        <v>0.67803651600000003</v>
      </c>
    </row>
    <row r="2094" spans="1:19" x14ac:dyDescent="0.25">
      <c r="A2094" t="s">
        <v>39</v>
      </c>
      <c r="B2094" t="s">
        <v>948</v>
      </c>
      <c r="C2094">
        <v>2</v>
      </c>
      <c r="D2094" t="s">
        <v>15</v>
      </c>
      <c r="E2094" t="s">
        <v>94</v>
      </c>
      <c r="F2094" t="s">
        <v>111</v>
      </c>
      <c r="G2094" t="s">
        <v>104</v>
      </c>
      <c r="H2094" t="s">
        <v>236</v>
      </c>
      <c r="J2094">
        <v>0</v>
      </c>
      <c r="K2094">
        <v>1</v>
      </c>
      <c r="L2094">
        <v>94.97142857</v>
      </c>
      <c r="M2094">
        <v>24.31591813</v>
      </c>
      <c r="N2094">
        <v>0.122951111</v>
      </c>
      <c r="O2094">
        <v>113.33333330000001</v>
      </c>
      <c r="P2094">
        <v>26.41632581</v>
      </c>
      <c r="Q2094">
        <v>1.6844570160000001</v>
      </c>
      <c r="R2094" t="s">
        <v>1019</v>
      </c>
      <c r="S2094">
        <v>1.5615059050000002</v>
      </c>
    </row>
    <row r="2095" spans="1:19" x14ac:dyDescent="0.25">
      <c r="A2095" t="s">
        <v>39</v>
      </c>
      <c r="B2095" t="s">
        <v>948</v>
      </c>
      <c r="C2095">
        <v>2</v>
      </c>
      <c r="D2095" t="s">
        <v>15</v>
      </c>
      <c r="E2095" t="s">
        <v>94</v>
      </c>
      <c r="F2095" t="s">
        <v>111</v>
      </c>
      <c r="G2095" t="s">
        <v>104</v>
      </c>
      <c r="H2095" t="s">
        <v>103</v>
      </c>
      <c r="J2095">
        <v>0</v>
      </c>
      <c r="K2095">
        <v>1</v>
      </c>
      <c r="L2095">
        <v>94.97142857</v>
      </c>
      <c r="M2095">
        <v>24.31591813</v>
      </c>
      <c r="N2095">
        <v>0.122951111</v>
      </c>
      <c r="O2095">
        <v>98.291666669999998</v>
      </c>
      <c r="P2095">
        <v>30.315130790000001</v>
      </c>
      <c r="Q2095">
        <v>5.0803484000000003E-2</v>
      </c>
      <c r="R2095" t="s">
        <v>1019</v>
      </c>
      <c r="S2095">
        <v>7.2147626999999992E-2</v>
      </c>
    </row>
    <row r="2096" spans="1:19" x14ac:dyDescent="0.25">
      <c r="A2096" t="s">
        <v>39</v>
      </c>
      <c r="B2096" t="s">
        <v>948</v>
      </c>
      <c r="C2096">
        <v>2</v>
      </c>
      <c r="D2096" t="s">
        <v>15</v>
      </c>
      <c r="E2096" t="s">
        <v>94</v>
      </c>
      <c r="F2096" t="s">
        <v>111</v>
      </c>
      <c r="G2096" t="s">
        <v>104</v>
      </c>
      <c r="H2096" t="s">
        <v>104</v>
      </c>
      <c r="J2096">
        <v>0</v>
      </c>
      <c r="K2096">
        <v>1</v>
      </c>
      <c r="L2096">
        <v>94.97142857</v>
      </c>
      <c r="M2096">
        <v>24.31591813</v>
      </c>
      <c r="N2096">
        <v>0.122951111</v>
      </c>
      <c r="O2096">
        <v>113.9375</v>
      </c>
      <c r="P2096">
        <v>33.375507550000002</v>
      </c>
      <c r="Q2096">
        <v>2.4262999999999999</v>
      </c>
      <c r="R2096" t="s">
        <v>1019</v>
      </c>
      <c r="S2096">
        <v>2.303348889</v>
      </c>
    </row>
    <row r="2097" spans="1:19" x14ac:dyDescent="0.25">
      <c r="A2097" t="s">
        <v>39</v>
      </c>
      <c r="B2097" t="s">
        <v>949</v>
      </c>
      <c r="C2097">
        <v>2</v>
      </c>
      <c r="D2097" t="s">
        <v>15</v>
      </c>
      <c r="E2097" t="s">
        <v>94</v>
      </c>
      <c r="F2097" t="s">
        <v>104</v>
      </c>
      <c r="G2097" t="s">
        <v>104</v>
      </c>
      <c r="H2097" t="s">
        <v>104</v>
      </c>
      <c r="J2097">
        <v>0</v>
      </c>
      <c r="K2097">
        <v>3</v>
      </c>
      <c r="L2097">
        <v>113.9375</v>
      </c>
      <c r="M2097">
        <v>33.375507550000002</v>
      </c>
      <c r="N2097">
        <v>2.4262999999999999</v>
      </c>
      <c r="O2097">
        <v>113.9375</v>
      </c>
      <c r="P2097">
        <v>33.375507550000002</v>
      </c>
      <c r="Q2097">
        <v>2.4262999999999999</v>
      </c>
      <c r="R2097" t="s">
        <v>1019</v>
      </c>
      <c r="S2097">
        <v>0</v>
      </c>
    </row>
    <row r="2098" spans="1:19" x14ac:dyDescent="0.25">
      <c r="A2098" t="s">
        <v>39</v>
      </c>
      <c r="B2098" t="s">
        <v>949</v>
      </c>
      <c r="C2098">
        <v>2</v>
      </c>
      <c r="D2098" t="s">
        <v>15</v>
      </c>
      <c r="E2098" t="s">
        <v>94</v>
      </c>
      <c r="F2098" t="s">
        <v>104</v>
      </c>
      <c r="G2098" t="s">
        <v>104</v>
      </c>
      <c r="H2098" t="s">
        <v>113</v>
      </c>
      <c r="J2098">
        <v>0</v>
      </c>
      <c r="K2098">
        <v>1</v>
      </c>
      <c r="L2098">
        <v>113.9375</v>
      </c>
      <c r="M2098">
        <v>33.375507550000002</v>
      </c>
      <c r="N2098">
        <v>2.4262999999999999</v>
      </c>
      <c r="O2098">
        <v>83.757575759999995</v>
      </c>
      <c r="P2098">
        <v>22.60997987</v>
      </c>
      <c r="Q2098">
        <v>0.72884000000000004</v>
      </c>
      <c r="R2098" t="s">
        <v>1019</v>
      </c>
      <c r="S2098">
        <v>1.69746</v>
      </c>
    </row>
    <row r="2099" spans="1:19" x14ac:dyDescent="0.25">
      <c r="A2099" t="s">
        <v>40</v>
      </c>
      <c r="B2099" t="s">
        <v>950</v>
      </c>
      <c r="C2099">
        <v>2</v>
      </c>
      <c r="D2099" t="s">
        <v>17</v>
      </c>
      <c r="E2099" t="s">
        <v>95</v>
      </c>
      <c r="F2099" t="s">
        <v>113</v>
      </c>
      <c r="G2099" t="s">
        <v>113</v>
      </c>
      <c r="H2099" t="s">
        <v>113</v>
      </c>
      <c r="J2099">
        <v>0</v>
      </c>
      <c r="K2099">
        <v>1</v>
      </c>
      <c r="L2099">
        <v>83.757575759999995</v>
      </c>
      <c r="M2099">
        <v>22.60997987</v>
      </c>
      <c r="N2099">
        <v>0.72884000000000004</v>
      </c>
      <c r="O2099">
        <v>83.757575759999995</v>
      </c>
      <c r="P2099">
        <v>22.60997987</v>
      </c>
      <c r="Q2099">
        <v>0.72884000000000004</v>
      </c>
      <c r="R2099" t="s">
        <v>1019</v>
      </c>
      <c r="S2099">
        <v>0</v>
      </c>
    </row>
    <row r="2100" spans="1:19" x14ac:dyDescent="0.25">
      <c r="A2100" t="s">
        <v>40</v>
      </c>
      <c r="B2100" t="s">
        <v>950</v>
      </c>
      <c r="C2100">
        <v>2</v>
      </c>
      <c r="D2100" t="s">
        <v>17</v>
      </c>
      <c r="E2100" t="s">
        <v>95</v>
      </c>
      <c r="F2100" t="s">
        <v>113</v>
      </c>
      <c r="G2100" t="s">
        <v>113</v>
      </c>
      <c r="H2100" t="s">
        <v>103</v>
      </c>
      <c r="J2100">
        <v>0</v>
      </c>
      <c r="K2100">
        <v>2</v>
      </c>
      <c r="L2100">
        <v>83.757575759999995</v>
      </c>
      <c r="M2100">
        <v>22.60997987</v>
      </c>
      <c r="N2100">
        <v>0.72884000000000004</v>
      </c>
      <c r="O2100">
        <v>98.291666669999998</v>
      </c>
      <c r="P2100">
        <v>30.315130790000001</v>
      </c>
      <c r="Q2100">
        <v>5.0803484000000003E-2</v>
      </c>
      <c r="R2100" t="s">
        <v>1019</v>
      </c>
      <c r="S2100">
        <v>0.67803651600000003</v>
      </c>
    </row>
    <row r="2101" spans="1:19" x14ac:dyDescent="0.25">
      <c r="A2101" t="s">
        <v>40</v>
      </c>
      <c r="B2101" t="s">
        <v>951</v>
      </c>
      <c r="C2101">
        <v>2</v>
      </c>
      <c r="D2101" t="s">
        <v>17</v>
      </c>
      <c r="E2101" t="s">
        <v>95</v>
      </c>
      <c r="F2101" t="s">
        <v>103</v>
      </c>
      <c r="G2101" t="s">
        <v>103</v>
      </c>
      <c r="H2101" t="s">
        <v>103</v>
      </c>
      <c r="J2101">
        <v>0</v>
      </c>
      <c r="K2101">
        <v>6</v>
      </c>
      <c r="L2101">
        <v>98.291666669999998</v>
      </c>
      <c r="M2101">
        <v>30.315130790000001</v>
      </c>
      <c r="N2101">
        <v>5.0803484000000003E-2</v>
      </c>
      <c r="O2101">
        <v>98.291666669999998</v>
      </c>
      <c r="P2101">
        <v>30.315130790000001</v>
      </c>
      <c r="Q2101">
        <v>5.0803484000000003E-2</v>
      </c>
      <c r="R2101" t="s">
        <v>1019</v>
      </c>
      <c r="S2101">
        <v>0</v>
      </c>
    </row>
    <row r="2102" spans="1:19" x14ac:dyDescent="0.25">
      <c r="A2102" t="s">
        <v>40</v>
      </c>
      <c r="B2102" t="s">
        <v>952</v>
      </c>
      <c r="C2102">
        <v>2</v>
      </c>
      <c r="D2102" t="s">
        <v>17</v>
      </c>
      <c r="E2102" t="s">
        <v>95</v>
      </c>
      <c r="F2102" t="s">
        <v>112</v>
      </c>
      <c r="G2102" t="s">
        <v>103</v>
      </c>
      <c r="H2102" t="s">
        <v>103</v>
      </c>
      <c r="I2102" t="s">
        <v>243</v>
      </c>
      <c r="J2102">
        <v>1</v>
      </c>
      <c r="K2102">
        <v>7</v>
      </c>
      <c r="L2102">
        <v>65.09375</v>
      </c>
      <c r="M2102">
        <v>37.895352600000002</v>
      </c>
      <c r="N2102">
        <v>2.2882677779999998</v>
      </c>
      <c r="O2102">
        <v>98.291666669999998</v>
      </c>
      <c r="P2102">
        <v>30.315130790000001</v>
      </c>
      <c r="Q2102">
        <v>5.0803484000000003E-2</v>
      </c>
      <c r="R2102" t="s">
        <v>1019</v>
      </c>
      <c r="S2102">
        <v>2.237464294</v>
      </c>
    </row>
    <row r="2103" spans="1:19" x14ac:dyDescent="0.25">
      <c r="A2103" t="s">
        <v>40</v>
      </c>
      <c r="B2103" t="s">
        <v>952</v>
      </c>
      <c r="C2103">
        <v>2</v>
      </c>
      <c r="D2103" t="s">
        <v>17</v>
      </c>
      <c r="E2103" t="s">
        <v>95</v>
      </c>
      <c r="F2103" t="s">
        <v>112</v>
      </c>
      <c r="G2103" t="s">
        <v>103</v>
      </c>
      <c r="H2103" t="s">
        <v>113</v>
      </c>
      <c r="J2103">
        <v>1</v>
      </c>
      <c r="K2103">
        <v>5</v>
      </c>
      <c r="L2103">
        <v>65.09375</v>
      </c>
      <c r="M2103">
        <v>37.895352600000002</v>
      </c>
      <c r="N2103">
        <v>2.2882677779999998</v>
      </c>
      <c r="O2103">
        <v>83.757575759999995</v>
      </c>
      <c r="P2103">
        <v>22.60997987</v>
      </c>
      <c r="Q2103">
        <v>0.72884000000000004</v>
      </c>
      <c r="R2103" t="s">
        <v>1019</v>
      </c>
      <c r="S2103">
        <v>1.5594277779999999</v>
      </c>
    </row>
    <row r="2104" spans="1:19" x14ac:dyDescent="0.25">
      <c r="A2104" t="s">
        <v>41</v>
      </c>
      <c r="B2104" t="s">
        <v>953</v>
      </c>
      <c r="C2104">
        <v>2</v>
      </c>
      <c r="D2104" t="s">
        <v>19</v>
      </c>
      <c r="E2104" t="s">
        <v>94</v>
      </c>
      <c r="F2104" t="s">
        <v>105</v>
      </c>
      <c r="G2104" t="s">
        <v>104</v>
      </c>
      <c r="H2104" t="s">
        <v>104</v>
      </c>
      <c r="J2104">
        <v>0</v>
      </c>
      <c r="K2104">
        <v>3</v>
      </c>
      <c r="L2104">
        <v>67.5</v>
      </c>
      <c r="M2104">
        <v>47.937235809999997</v>
      </c>
      <c r="N2104">
        <v>0.41599678000000001</v>
      </c>
      <c r="O2104">
        <v>113.9375</v>
      </c>
      <c r="P2104">
        <v>33.375507550000002</v>
      </c>
      <c r="Q2104">
        <v>2.4262999999999999</v>
      </c>
      <c r="R2104" t="s">
        <v>1019</v>
      </c>
      <c r="S2104">
        <v>2.0103032199999999</v>
      </c>
    </row>
    <row r="2105" spans="1:19" x14ac:dyDescent="0.25">
      <c r="A2105" t="s">
        <v>41</v>
      </c>
      <c r="B2105" t="s">
        <v>953</v>
      </c>
      <c r="C2105">
        <v>2</v>
      </c>
      <c r="D2105" t="s">
        <v>19</v>
      </c>
      <c r="E2105" t="s">
        <v>94</v>
      </c>
      <c r="F2105" t="s">
        <v>105</v>
      </c>
      <c r="G2105" t="s">
        <v>104</v>
      </c>
      <c r="H2105" t="s">
        <v>113</v>
      </c>
      <c r="J2105">
        <v>0</v>
      </c>
      <c r="K2105">
        <v>1</v>
      </c>
      <c r="L2105">
        <v>67.5</v>
      </c>
      <c r="M2105">
        <v>47.937235809999997</v>
      </c>
      <c r="N2105">
        <v>0.41599678000000001</v>
      </c>
      <c r="O2105">
        <v>83.757575759999995</v>
      </c>
      <c r="P2105">
        <v>22.60997987</v>
      </c>
      <c r="Q2105">
        <v>0.72884000000000004</v>
      </c>
      <c r="R2105" t="s">
        <v>1019</v>
      </c>
      <c r="S2105">
        <v>0.31284322000000003</v>
      </c>
    </row>
    <row r="2106" spans="1:19" x14ac:dyDescent="0.25">
      <c r="A2106" t="s">
        <v>41</v>
      </c>
      <c r="B2106" t="s">
        <v>953</v>
      </c>
      <c r="C2106">
        <v>2</v>
      </c>
      <c r="D2106" t="s">
        <v>19</v>
      </c>
      <c r="E2106" t="s">
        <v>94</v>
      </c>
      <c r="F2106" t="s">
        <v>105</v>
      </c>
      <c r="G2106" t="s">
        <v>104</v>
      </c>
      <c r="H2106" t="s">
        <v>237</v>
      </c>
      <c r="J2106">
        <v>0</v>
      </c>
      <c r="K2106">
        <v>1</v>
      </c>
      <c r="L2106">
        <v>67.5</v>
      </c>
      <c r="M2106">
        <v>47.937235809999997</v>
      </c>
      <c r="N2106">
        <v>0.41599678000000001</v>
      </c>
      <c r="O2106">
        <v>83.888888890000004</v>
      </c>
      <c r="P2106">
        <v>31.026943280000001</v>
      </c>
      <c r="Q2106">
        <v>0.53083999999999998</v>
      </c>
      <c r="R2106" t="s">
        <v>1019</v>
      </c>
      <c r="S2106">
        <v>0.11484321999999997</v>
      </c>
    </row>
    <row r="2107" spans="1:19" x14ac:dyDescent="0.25">
      <c r="A2107" t="s">
        <v>41</v>
      </c>
      <c r="B2107" t="s">
        <v>953</v>
      </c>
      <c r="C2107">
        <v>2</v>
      </c>
      <c r="D2107" t="s">
        <v>19</v>
      </c>
      <c r="E2107" t="s">
        <v>94</v>
      </c>
      <c r="F2107" t="s">
        <v>105</v>
      </c>
      <c r="G2107" t="s">
        <v>104</v>
      </c>
      <c r="H2107" t="s">
        <v>239</v>
      </c>
      <c r="J2107">
        <v>0</v>
      </c>
      <c r="K2107">
        <v>1</v>
      </c>
      <c r="L2107">
        <v>67.5</v>
      </c>
      <c r="M2107">
        <v>47.937235809999997</v>
      </c>
      <c r="N2107">
        <v>0.41599678000000001</v>
      </c>
      <c r="O2107">
        <v>100.45454549999999</v>
      </c>
      <c r="P2107">
        <v>26.754810689999999</v>
      </c>
      <c r="Q2107">
        <v>0.75829999999999997</v>
      </c>
      <c r="R2107" t="s">
        <v>1019</v>
      </c>
      <c r="S2107">
        <v>0.34230321999999996</v>
      </c>
    </row>
    <row r="2108" spans="1:19" x14ac:dyDescent="0.25">
      <c r="A2108" t="s">
        <v>41</v>
      </c>
      <c r="B2108" t="s">
        <v>954</v>
      </c>
      <c r="C2108">
        <v>2</v>
      </c>
      <c r="D2108" t="s">
        <v>19</v>
      </c>
      <c r="E2108" t="s">
        <v>94</v>
      </c>
      <c r="F2108" t="s">
        <v>113</v>
      </c>
      <c r="G2108" t="s">
        <v>104</v>
      </c>
      <c r="H2108" t="s">
        <v>237</v>
      </c>
      <c r="J2108">
        <v>0</v>
      </c>
      <c r="K2108">
        <v>1</v>
      </c>
      <c r="L2108">
        <v>83.757575759999995</v>
      </c>
      <c r="M2108">
        <v>22.60997987</v>
      </c>
      <c r="N2108">
        <v>0.72884000000000004</v>
      </c>
      <c r="O2108">
        <v>83.888888890000004</v>
      </c>
      <c r="P2108">
        <v>31.026943280000001</v>
      </c>
      <c r="Q2108">
        <v>0.53083999999999998</v>
      </c>
      <c r="R2108" t="s">
        <v>1019</v>
      </c>
      <c r="S2108">
        <v>0.19800000000000006</v>
      </c>
    </row>
    <row r="2109" spans="1:19" x14ac:dyDescent="0.25">
      <c r="A2109" t="s">
        <v>41</v>
      </c>
      <c r="B2109" t="s">
        <v>954</v>
      </c>
      <c r="C2109">
        <v>2</v>
      </c>
      <c r="D2109" t="s">
        <v>19</v>
      </c>
      <c r="E2109" t="s">
        <v>94</v>
      </c>
      <c r="F2109" t="s">
        <v>113</v>
      </c>
      <c r="G2109" t="s">
        <v>104</v>
      </c>
      <c r="H2109" t="s">
        <v>113</v>
      </c>
      <c r="J2109">
        <v>0</v>
      </c>
      <c r="K2109">
        <v>7</v>
      </c>
      <c r="L2109">
        <v>83.757575759999995</v>
      </c>
      <c r="M2109">
        <v>22.60997987</v>
      </c>
      <c r="N2109">
        <v>0.72884000000000004</v>
      </c>
      <c r="O2109">
        <v>83.757575759999995</v>
      </c>
      <c r="P2109">
        <v>22.60997987</v>
      </c>
      <c r="Q2109">
        <v>0.72884000000000004</v>
      </c>
      <c r="R2109" t="s">
        <v>1019</v>
      </c>
      <c r="S2109">
        <v>0</v>
      </c>
    </row>
    <row r="2110" spans="1:19" x14ac:dyDescent="0.25">
      <c r="A2110" t="s">
        <v>41</v>
      </c>
      <c r="B2110" t="s">
        <v>954</v>
      </c>
      <c r="C2110">
        <v>2</v>
      </c>
      <c r="D2110" t="s">
        <v>19</v>
      </c>
      <c r="E2110" t="s">
        <v>94</v>
      </c>
      <c r="F2110" t="s">
        <v>113</v>
      </c>
      <c r="G2110" t="s">
        <v>104</v>
      </c>
      <c r="H2110" t="s">
        <v>104</v>
      </c>
      <c r="J2110">
        <v>0</v>
      </c>
      <c r="K2110">
        <v>1</v>
      </c>
      <c r="L2110">
        <v>83.757575759999995</v>
      </c>
      <c r="M2110">
        <v>22.60997987</v>
      </c>
      <c r="N2110">
        <v>0.72884000000000004</v>
      </c>
      <c r="O2110">
        <v>113.9375</v>
      </c>
      <c r="P2110">
        <v>33.375507550000002</v>
      </c>
      <c r="Q2110">
        <v>2.4262999999999999</v>
      </c>
      <c r="R2110" t="s">
        <v>1019</v>
      </c>
      <c r="S2110">
        <v>1.69746</v>
      </c>
    </row>
    <row r="2111" spans="1:19" x14ac:dyDescent="0.25">
      <c r="A2111" t="s">
        <v>41</v>
      </c>
      <c r="B2111" t="s">
        <v>954</v>
      </c>
      <c r="C2111">
        <v>2</v>
      </c>
      <c r="D2111" t="s">
        <v>19</v>
      </c>
      <c r="E2111" t="s">
        <v>94</v>
      </c>
      <c r="F2111" t="s">
        <v>113</v>
      </c>
      <c r="G2111" t="s">
        <v>104</v>
      </c>
      <c r="H2111" t="s">
        <v>238</v>
      </c>
      <c r="J2111">
        <v>0</v>
      </c>
      <c r="K2111">
        <v>1</v>
      </c>
      <c r="L2111">
        <v>83.757575759999995</v>
      </c>
      <c r="M2111">
        <v>22.60997987</v>
      </c>
      <c r="N2111">
        <v>0.72884000000000004</v>
      </c>
      <c r="O2111">
        <v>87.5</v>
      </c>
      <c r="P2111">
        <v>29.478311600000001</v>
      </c>
      <c r="Q2111">
        <v>3.0797751000000002E-2</v>
      </c>
      <c r="R2111" t="s">
        <v>1019</v>
      </c>
      <c r="S2111">
        <v>0.698042249</v>
      </c>
    </row>
    <row r="2112" spans="1:19" x14ac:dyDescent="0.25">
      <c r="A2112" t="s">
        <v>41</v>
      </c>
      <c r="B2112" t="s">
        <v>955</v>
      </c>
      <c r="C2112">
        <v>2</v>
      </c>
      <c r="D2112" t="s">
        <v>19</v>
      </c>
      <c r="E2112" t="s">
        <v>94</v>
      </c>
      <c r="F2112" t="s">
        <v>103</v>
      </c>
      <c r="G2112" t="s">
        <v>113</v>
      </c>
      <c r="H2112" t="s">
        <v>103</v>
      </c>
      <c r="J2112">
        <v>0</v>
      </c>
      <c r="K2112">
        <v>2</v>
      </c>
      <c r="L2112">
        <v>98.291666669999998</v>
      </c>
      <c r="M2112">
        <v>30.315130790000001</v>
      </c>
      <c r="N2112">
        <v>5.0803484000000003E-2</v>
      </c>
      <c r="O2112">
        <v>98.291666669999998</v>
      </c>
      <c r="P2112">
        <v>30.315130790000001</v>
      </c>
      <c r="Q2112">
        <v>5.0803484000000003E-2</v>
      </c>
      <c r="R2112" t="s">
        <v>1019</v>
      </c>
      <c r="S2112">
        <v>0</v>
      </c>
    </row>
    <row r="2113" spans="1:19" x14ac:dyDescent="0.25">
      <c r="A2113" t="s">
        <v>41</v>
      </c>
      <c r="B2113" t="s">
        <v>955</v>
      </c>
      <c r="C2113">
        <v>2</v>
      </c>
      <c r="D2113" t="s">
        <v>19</v>
      </c>
      <c r="E2113" t="s">
        <v>94</v>
      </c>
      <c r="F2113" t="s">
        <v>103</v>
      </c>
      <c r="G2113" t="s">
        <v>113</v>
      </c>
      <c r="H2113" t="s">
        <v>113</v>
      </c>
      <c r="J2113">
        <v>0</v>
      </c>
      <c r="K2113">
        <v>3</v>
      </c>
      <c r="L2113">
        <v>98.291666669999998</v>
      </c>
      <c r="M2113">
        <v>30.315130790000001</v>
      </c>
      <c r="N2113">
        <v>5.0803484000000003E-2</v>
      </c>
      <c r="O2113">
        <v>83.757575759999995</v>
      </c>
      <c r="P2113">
        <v>22.60997987</v>
      </c>
      <c r="Q2113">
        <v>0.72884000000000004</v>
      </c>
      <c r="R2113" t="s">
        <v>1019</v>
      </c>
      <c r="S2113">
        <v>0.67803651600000003</v>
      </c>
    </row>
    <row r="2114" spans="1:19" x14ac:dyDescent="0.25">
      <c r="A2114" t="s">
        <v>42</v>
      </c>
      <c r="B2114" t="s">
        <v>956</v>
      </c>
      <c r="C2114">
        <v>2</v>
      </c>
      <c r="D2114" t="s">
        <v>21</v>
      </c>
      <c r="E2114" t="s">
        <v>94</v>
      </c>
      <c r="F2114" t="s">
        <v>105</v>
      </c>
      <c r="G2114" t="s">
        <v>121</v>
      </c>
      <c r="H2114" t="s">
        <v>242</v>
      </c>
      <c r="J2114">
        <v>0</v>
      </c>
      <c r="K2114">
        <v>6</v>
      </c>
      <c r="L2114">
        <v>67.5</v>
      </c>
      <c r="M2114">
        <v>47.937235809999997</v>
      </c>
      <c r="N2114">
        <v>0.41599678000000001</v>
      </c>
      <c r="O2114">
        <v>139.375</v>
      </c>
      <c r="P2114">
        <v>23.713465920000001</v>
      </c>
      <c r="Q2114" t="s">
        <v>114</v>
      </c>
      <c r="R2114" t="s">
        <v>1019</v>
      </c>
      <c r="S2114" t="s">
        <v>114</v>
      </c>
    </row>
    <row r="2115" spans="1:19" x14ac:dyDescent="0.25">
      <c r="A2115" t="s">
        <v>42</v>
      </c>
      <c r="B2115" t="s">
        <v>957</v>
      </c>
      <c r="C2115">
        <v>2</v>
      </c>
      <c r="D2115" t="s">
        <v>21</v>
      </c>
      <c r="E2115" t="s">
        <v>94</v>
      </c>
      <c r="F2115" t="s">
        <v>110</v>
      </c>
      <c r="G2115" t="s">
        <v>113</v>
      </c>
      <c r="H2115" t="s">
        <v>104</v>
      </c>
      <c r="J2115">
        <v>0</v>
      </c>
      <c r="K2115">
        <v>2</v>
      </c>
      <c r="L2115">
        <v>73.260869569999997</v>
      </c>
      <c r="M2115">
        <v>34.453830549999999</v>
      </c>
      <c r="N2115">
        <v>1.058333333</v>
      </c>
      <c r="O2115">
        <v>113.9375</v>
      </c>
      <c r="P2115">
        <v>33.375507550000002</v>
      </c>
      <c r="Q2115">
        <v>2.4262999999999999</v>
      </c>
      <c r="R2115" t="s">
        <v>1019</v>
      </c>
      <c r="S2115">
        <v>1.3679666669999999</v>
      </c>
    </row>
    <row r="2116" spans="1:19" x14ac:dyDescent="0.25">
      <c r="A2116" t="s">
        <v>42</v>
      </c>
      <c r="B2116" t="s">
        <v>957</v>
      </c>
      <c r="C2116">
        <v>2</v>
      </c>
      <c r="D2116" t="s">
        <v>21</v>
      </c>
      <c r="E2116" t="s">
        <v>94</v>
      </c>
      <c r="F2116" t="s">
        <v>110</v>
      </c>
      <c r="G2116" t="s">
        <v>113</v>
      </c>
      <c r="H2116" t="s">
        <v>242</v>
      </c>
      <c r="J2116">
        <v>0</v>
      </c>
      <c r="K2116">
        <v>5</v>
      </c>
      <c r="L2116">
        <v>73.260869569999997</v>
      </c>
      <c r="M2116">
        <v>34.453830549999999</v>
      </c>
      <c r="N2116">
        <v>1.058333333</v>
      </c>
      <c r="O2116">
        <v>139.375</v>
      </c>
      <c r="P2116">
        <v>23.713465920000001</v>
      </c>
      <c r="Q2116" t="s">
        <v>114</v>
      </c>
      <c r="R2116" t="s">
        <v>1019</v>
      </c>
      <c r="S2116" t="s">
        <v>114</v>
      </c>
    </row>
    <row r="2117" spans="1:19" x14ac:dyDescent="0.25">
      <c r="A2117" t="s">
        <v>42</v>
      </c>
      <c r="B2117" t="s">
        <v>957</v>
      </c>
      <c r="C2117">
        <v>2</v>
      </c>
      <c r="D2117" t="s">
        <v>21</v>
      </c>
      <c r="E2117" t="s">
        <v>94</v>
      </c>
      <c r="F2117" t="s">
        <v>110</v>
      </c>
      <c r="G2117" t="s">
        <v>113</v>
      </c>
      <c r="H2117" t="s">
        <v>113</v>
      </c>
      <c r="J2117">
        <v>0</v>
      </c>
      <c r="K2117">
        <v>2</v>
      </c>
      <c r="L2117">
        <v>73.260869569999997</v>
      </c>
      <c r="M2117">
        <v>34.453830549999999</v>
      </c>
      <c r="N2117">
        <v>1.058333333</v>
      </c>
      <c r="O2117">
        <v>83.757575759999995</v>
      </c>
      <c r="P2117">
        <v>22.60997987</v>
      </c>
      <c r="Q2117">
        <v>0.72884000000000004</v>
      </c>
      <c r="R2117" t="s">
        <v>1019</v>
      </c>
      <c r="S2117">
        <v>0.32949333299999994</v>
      </c>
    </row>
    <row r="2118" spans="1:19" x14ac:dyDescent="0.25">
      <c r="A2118" t="s">
        <v>42</v>
      </c>
      <c r="B2118" t="s">
        <v>958</v>
      </c>
      <c r="C2118">
        <v>2</v>
      </c>
      <c r="D2118" t="s">
        <v>21</v>
      </c>
      <c r="E2118" t="s">
        <v>94</v>
      </c>
      <c r="F2118" t="s">
        <v>111</v>
      </c>
      <c r="G2118" t="s">
        <v>110</v>
      </c>
      <c r="H2118" t="s">
        <v>113</v>
      </c>
      <c r="J2118">
        <v>0</v>
      </c>
      <c r="K2118">
        <v>1</v>
      </c>
      <c r="L2118">
        <v>94.97142857</v>
      </c>
      <c r="M2118">
        <v>24.31591813</v>
      </c>
      <c r="N2118">
        <v>0.122951111</v>
      </c>
      <c r="O2118">
        <v>83.757575759999995</v>
      </c>
      <c r="P2118">
        <v>22.60997987</v>
      </c>
      <c r="Q2118">
        <v>0.72884000000000004</v>
      </c>
      <c r="R2118" t="s">
        <v>1019</v>
      </c>
      <c r="S2118">
        <v>0.60588888900000004</v>
      </c>
    </row>
    <row r="2119" spans="1:19" x14ac:dyDescent="0.25">
      <c r="A2119" t="s">
        <v>42</v>
      </c>
      <c r="B2119" t="s">
        <v>958</v>
      </c>
      <c r="C2119">
        <v>2</v>
      </c>
      <c r="D2119" t="s">
        <v>21</v>
      </c>
      <c r="E2119" t="s">
        <v>94</v>
      </c>
      <c r="F2119" t="s">
        <v>111</v>
      </c>
      <c r="G2119" t="s">
        <v>110</v>
      </c>
      <c r="H2119" t="s">
        <v>110</v>
      </c>
      <c r="J2119">
        <v>0</v>
      </c>
      <c r="K2119">
        <v>1</v>
      </c>
      <c r="L2119">
        <v>94.97142857</v>
      </c>
      <c r="M2119">
        <v>24.31591813</v>
      </c>
      <c r="N2119">
        <v>0.122951111</v>
      </c>
      <c r="O2119">
        <v>73.260869569999997</v>
      </c>
      <c r="P2119">
        <v>34.453830549999999</v>
      </c>
      <c r="Q2119">
        <v>1.058333333</v>
      </c>
      <c r="R2119" t="s">
        <v>1019</v>
      </c>
      <c r="S2119">
        <v>0.93538222199999999</v>
      </c>
    </row>
    <row r="2120" spans="1:19" x14ac:dyDescent="0.25">
      <c r="A2120" t="s">
        <v>42</v>
      </c>
      <c r="B2120" t="s">
        <v>959</v>
      </c>
      <c r="C2120">
        <v>2</v>
      </c>
      <c r="D2120" t="s">
        <v>21</v>
      </c>
      <c r="E2120" t="s">
        <v>94</v>
      </c>
      <c r="F2120" t="s">
        <v>104</v>
      </c>
      <c r="G2120" t="s">
        <v>121</v>
      </c>
      <c r="H2120" t="s">
        <v>110</v>
      </c>
      <c r="J2120">
        <v>1</v>
      </c>
      <c r="K2120">
        <v>2</v>
      </c>
      <c r="L2120">
        <v>113.9375</v>
      </c>
      <c r="M2120">
        <v>33.375507550000002</v>
      </c>
      <c r="N2120">
        <v>2.4262999999999999</v>
      </c>
      <c r="O2120">
        <v>73.260869569999997</v>
      </c>
      <c r="P2120">
        <v>34.453830549999999</v>
      </c>
      <c r="Q2120">
        <v>1.058333333</v>
      </c>
      <c r="R2120" t="s">
        <v>1019</v>
      </c>
      <c r="S2120">
        <v>1.3679666669999999</v>
      </c>
    </row>
    <row r="2121" spans="1:19" x14ac:dyDescent="0.25">
      <c r="A2121" t="s">
        <v>42</v>
      </c>
      <c r="B2121" t="s">
        <v>959</v>
      </c>
      <c r="C2121">
        <v>2</v>
      </c>
      <c r="D2121" t="s">
        <v>21</v>
      </c>
      <c r="E2121" t="s">
        <v>94</v>
      </c>
      <c r="F2121" t="s">
        <v>104</v>
      </c>
      <c r="G2121" t="s">
        <v>121</v>
      </c>
      <c r="H2121" t="s">
        <v>240</v>
      </c>
      <c r="J2121">
        <v>1</v>
      </c>
      <c r="K2121">
        <v>2</v>
      </c>
      <c r="L2121">
        <v>113.9375</v>
      </c>
      <c r="M2121">
        <v>33.375507550000002</v>
      </c>
      <c r="N2121">
        <v>2.4262999999999999</v>
      </c>
      <c r="O2121">
        <v>104.83333330000001</v>
      </c>
      <c r="P2121">
        <v>43.798647680000002</v>
      </c>
      <c r="Q2121">
        <v>7.7741939999999999E-3</v>
      </c>
      <c r="R2121" t="s">
        <v>1019</v>
      </c>
      <c r="S2121">
        <v>2.4185258059999999</v>
      </c>
    </row>
    <row r="2122" spans="1:19" x14ac:dyDescent="0.25">
      <c r="A2122" t="s">
        <v>42</v>
      </c>
      <c r="B2122" t="s">
        <v>959</v>
      </c>
      <c r="C2122">
        <v>2</v>
      </c>
      <c r="D2122" t="s">
        <v>21</v>
      </c>
      <c r="E2122" t="s">
        <v>94</v>
      </c>
      <c r="F2122" t="s">
        <v>104</v>
      </c>
      <c r="G2122" t="s">
        <v>121</v>
      </c>
      <c r="H2122" t="s">
        <v>241</v>
      </c>
      <c r="J2122">
        <v>1</v>
      </c>
      <c r="K2122">
        <v>1</v>
      </c>
      <c r="L2122">
        <v>113.9375</v>
      </c>
      <c r="M2122">
        <v>33.375507550000002</v>
      </c>
      <c r="N2122">
        <v>2.4262999999999999</v>
      </c>
      <c r="O2122">
        <v>114</v>
      </c>
      <c r="P2122">
        <v>30.43077242</v>
      </c>
      <c r="Q2122">
        <v>0.53383111100000002</v>
      </c>
      <c r="R2122" t="s">
        <v>1019</v>
      </c>
      <c r="S2122">
        <v>1.8924688889999999</v>
      </c>
    </row>
    <row r="2123" spans="1:19" x14ac:dyDescent="0.25">
      <c r="A2123" t="s">
        <v>43</v>
      </c>
      <c r="B2123" t="s">
        <v>960</v>
      </c>
      <c r="C2123">
        <v>2</v>
      </c>
      <c r="D2123" t="s">
        <v>23</v>
      </c>
      <c r="E2123" t="s">
        <v>94</v>
      </c>
      <c r="F2123" t="s">
        <v>105</v>
      </c>
      <c r="G2123" t="s">
        <v>104</v>
      </c>
      <c r="H2123" t="s">
        <v>104</v>
      </c>
      <c r="J2123">
        <v>0</v>
      </c>
      <c r="K2123">
        <v>1</v>
      </c>
      <c r="L2123">
        <v>67.5</v>
      </c>
      <c r="M2123">
        <v>47.937235809999997</v>
      </c>
      <c r="N2123">
        <v>0.41599678000000001</v>
      </c>
      <c r="O2123">
        <v>113.9375</v>
      </c>
      <c r="P2123">
        <v>33.375507550000002</v>
      </c>
      <c r="Q2123">
        <v>2.4262999999999999</v>
      </c>
      <c r="R2123" t="s">
        <v>1019</v>
      </c>
      <c r="S2123">
        <v>2.0103032199999999</v>
      </c>
    </row>
    <row r="2124" spans="1:19" x14ac:dyDescent="0.25">
      <c r="A2124" t="s">
        <v>43</v>
      </c>
      <c r="B2124" t="s">
        <v>961</v>
      </c>
      <c r="C2124">
        <v>2</v>
      </c>
      <c r="D2124" t="s">
        <v>23</v>
      </c>
      <c r="E2124" t="s">
        <v>94</v>
      </c>
      <c r="F2124" t="s">
        <v>110</v>
      </c>
      <c r="G2124" t="s">
        <v>110</v>
      </c>
      <c r="H2124" t="s">
        <v>110</v>
      </c>
      <c r="J2124">
        <v>0</v>
      </c>
      <c r="K2124">
        <v>1</v>
      </c>
      <c r="L2124">
        <v>73.260869569999997</v>
      </c>
      <c r="M2124">
        <v>34.453830549999999</v>
      </c>
      <c r="N2124">
        <v>1.058333333</v>
      </c>
      <c r="O2124">
        <v>73.260869569999997</v>
      </c>
      <c r="P2124">
        <v>34.453830549999999</v>
      </c>
      <c r="Q2124">
        <v>1.058333333</v>
      </c>
      <c r="R2124" t="s">
        <v>1019</v>
      </c>
      <c r="S2124">
        <v>0</v>
      </c>
    </row>
    <row r="2125" spans="1:19" x14ac:dyDescent="0.25">
      <c r="A2125" t="s">
        <v>43</v>
      </c>
      <c r="B2125" t="s">
        <v>962</v>
      </c>
      <c r="C2125">
        <v>2</v>
      </c>
      <c r="D2125" t="s">
        <v>23</v>
      </c>
      <c r="E2125" t="s">
        <v>94</v>
      </c>
      <c r="F2125" t="s">
        <v>111</v>
      </c>
      <c r="G2125" t="s">
        <v>121</v>
      </c>
      <c r="H2125" t="s">
        <v>114</v>
      </c>
      <c r="J2125">
        <v>0</v>
      </c>
      <c r="K2125" t="s">
        <v>114</v>
      </c>
      <c r="L2125">
        <v>94.97142857</v>
      </c>
      <c r="M2125">
        <v>24.31591813</v>
      </c>
      <c r="N2125">
        <v>0.122951111</v>
      </c>
      <c r="O2125" t="s">
        <v>114</v>
      </c>
      <c r="P2125" t="s">
        <v>114</v>
      </c>
      <c r="Q2125" t="s">
        <v>114</v>
      </c>
      <c r="R2125" t="s">
        <v>1019</v>
      </c>
      <c r="S2125" t="s">
        <v>114</v>
      </c>
    </row>
    <row r="2126" spans="1:19" x14ac:dyDescent="0.25">
      <c r="A2126" t="s">
        <v>43</v>
      </c>
      <c r="B2126" t="s">
        <v>963</v>
      </c>
      <c r="C2126">
        <v>2</v>
      </c>
      <c r="D2126" t="s">
        <v>23</v>
      </c>
      <c r="E2126" t="s">
        <v>94</v>
      </c>
      <c r="F2126" t="s">
        <v>104</v>
      </c>
      <c r="G2126" t="s">
        <v>104</v>
      </c>
      <c r="H2126" t="s">
        <v>104</v>
      </c>
      <c r="J2126">
        <v>0</v>
      </c>
      <c r="K2126">
        <v>1</v>
      </c>
      <c r="L2126">
        <v>113.9375</v>
      </c>
      <c r="M2126">
        <v>33.375507550000002</v>
      </c>
      <c r="N2126">
        <v>2.4262999999999999</v>
      </c>
      <c r="O2126">
        <v>113.9375</v>
      </c>
      <c r="P2126">
        <v>33.375507550000002</v>
      </c>
      <c r="Q2126">
        <v>2.4262999999999999</v>
      </c>
      <c r="R2126" t="s">
        <v>1019</v>
      </c>
      <c r="S2126">
        <v>0</v>
      </c>
    </row>
    <row r="2127" spans="1:19" x14ac:dyDescent="0.25">
      <c r="A2127" t="s">
        <v>43</v>
      </c>
      <c r="B2127" t="s">
        <v>963</v>
      </c>
      <c r="C2127">
        <v>2</v>
      </c>
      <c r="D2127" t="s">
        <v>23</v>
      </c>
      <c r="E2127" t="s">
        <v>94</v>
      </c>
      <c r="F2127" t="s">
        <v>104</v>
      </c>
      <c r="G2127" t="s">
        <v>104</v>
      </c>
      <c r="H2127" t="s">
        <v>808</v>
      </c>
      <c r="J2127">
        <v>0</v>
      </c>
      <c r="K2127">
        <v>1</v>
      </c>
      <c r="L2127">
        <v>113.9375</v>
      </c>
      <c r="M2127">
        <v>33.375507550000002</v>
      </c>
      <c r="N2127">
        <v>2.4262999999999999</v>
      </c>
      <c r="O2127">
        <v>102.79166669999999</v>
      </c>
      <c r="P2127">
        <v>27.057373470000002</v>
      </c>
      <c r="Q2127">
        <v>6.3567849939999999</v>
      </c>
      <c r="R2127" t="s">
        <v>1019</v>
      </c>
      <c r="S2127">
        <v>3.930484994</v>
      </c>
    </row>
    <row r="2128" spans="1:19" x14ac:dyDescent="0.25">
      <c r="A2128" t="s">
        <v>44</v>
      </c>
      <c r="B2128" t="s">
        <v>964</v>
      </c>
      <c r="C2128">
        <v>2</v>
      </c>
      <c r="D2128" t="s">
        <v>25</v>
      </c>
      <c r="E2128" t="s">
        <v>95</v>
      </c>
      <c r="F2128" t="s">
        <v>102</v>
      </c>
      <c r="G2128" t="s">
        <v>102</v>
      </c>
      <c r="H2128" t="s">
        <v>102</v>
      </c>
      <c r="J2128">
        <v>0</v>
      </c>
      <c r="K2128">
        <v>1</v>
      </c>
      <c r="L2128">
        <v>84.740740740000007</v>
      </c>
      <c r="M2128">
        <v>29.167014049999999</v>
      </c>
      <c r="N2128">
        <v>1.1169849999999999</v>
      </c>
      <c r="O2128">
        <v>84.740740740000007</v>
      </c>
      <c r="P2128">
        <v>29.167014049999999</v>
      </c>
      <c r="Q2128">
        <v>1.1169849999999999</v>
      </c>
      <c r="R2128" t="s">
        <v>1019</v>
      </c>
      <c r="S2128">
        <v>0</v>
      </c>
    </row>
    <row r="2129" spans="1:19" x14ac:dyDescent="0.25">
      <c r="A2129" t="s">
        <v>44</v>
      </c>
      <c r="B2129" t="s">
        <v>965</v>
      </c>
      <c r="C2129">
        <v>2</v>
      </c>
      <c r="D2129" t="s">
        <v>25</v>
      </c>
      <c r="E2129" t="s">
        <v>95</v>
      </c>
      <c r="F2129" t="s">
        <v>110</v>
      </c>
      <c r="G2129" t="s">
        <v>121</v>
      </c>
      <c r="H2129" t="s">
        <v>114</v>
      </c>
      <c r="I2129" t="s">
        <v>162</v>
      </c>
      <c r="J2129">
        <v>1</v>
      </c>
      <c r="K2129">
        <v>0</v>
      </c>
      <c r="L2129">
        <v>73.260869569999997</v>
      </c>
      <c r="M2129">
        <v>34.453830549999999</v>
      </c>
      <c r="N2129">
        <v>1.058333333</v>
      </c>
      <c r="O2129" t="s">
        <v>114</v>
      </c>
      <c r="P2129" t="s">
        <v>114</v>
      </c>
      <c r="Q2129" t="s">
        <v>114</v>
      </c>
      <c r="R2129" t="s">
        <v>1019</v>
      </c>
      <c r="S2129" t="s">
        <v>114</v>
      </c>
    </row>
    <row r="2130" spans="1:19" x14ac:dyDescent="0.25">
      <c r="A2130" t="s">
        <v>44</v>
      </c>
      <c r="B2130" t="s">
        <v>966</v>
      </c>
      <c r="C2130">
        <v>2</v>
      </c>
      <c r="D2130" t="s">
        <v>25</v>
      </c>
      <c r="E2130" t="s">
        <v>95</v>
      </c>
      <c r="F2130" t="s">
        <v>104</v>
      </c>
      <c r="G2130" t="s">
        <v>112</v>
      </c>
      <c r="H2130" t="s">
        <v>112</v>
      </c>
      <c r="J2130">
        <v>0</v>
      </c>
      <c r="K2130">
        <v>1</v>
      </c>
      <c r="L2130">
        <v>113.9375</v>
      </c>
      <c r="M2130">
        <v>33.375507550000002</v>
      </c>
      <c r="N2130">
        <v>2.4262999999999999</v>
      </c>
      <c r="O2130">
        <v>65.09375</v>
      </c>
      <c r="P2130">
        <v>37.895352600000002</v>
      </c>
      <c r="Q2130">
        <v>2.2882677779999998</v>
      </c>
      <c r="R2130" t="s">
        <v>1019</v>
      </c>
      <c r="S2130">
        <v>0.13803222200000009</v>
      </c>
    </row>
    <row r="2131" spans="1:19" x14ac:dyDescent="0.25">
      <c r="A2131" t="s">
        <v>44</v>
      </c>
      <c r="B2131" t="s">
        <v>966</v>
      </c>
      <c r="C2131">
        <v>2</v>
      </c>
      <c r="D2131" t="s">
        <v>25</v>
      </c>
      <c r="E2131" t="s">
        <v>95</v>
      </c>
      <c r="F2131" t="s">
        <v>104</v>
      </c>
      <c r="G2131" t="s">
        <v>112</v>
      </c>
      <c r="H2131" t="s">
        <v>162</v>
      </c>
      <c r="J2131">
        <v>0</v>
      </c>
      <c r="K2131">
        <v>1</v>
      </c>
      <c r="L2131">
        <v>113.9375</v>
      </c>
      <c r="M2131">
        <v>33.375507550000002</v>
      </c>
      <c r="N2131">
        <v>2.4262999999999999</v>
      </c>
      <c r="O2131">
        <v>82.53846154</v>
      </c>
      <c r="P2131">
        <v>35.660530039999998</v>
      </c>
      <c r="Q2131">
        <v>3.3754499999999998</v>
      </c>
      <c r="R2131" t="s">
        <v>1019</v>
      </c>
      <c r="S2131">
        <v>0.94914999999999994</v>
      </c>
    </row>
    <row r="2132" spans="1:19" x14ac:dyDescent="0.25">
      <c r="A2132" t="s">
        <v>44</v>
      </c>
      <c r="B2132" t="s">
        <v>966</v>
      </c>
      <c r="C2132">
        <v>2</v>
      </c>
      <c r="D2132" t="s">
        <v>25</v>
      </c>
      <c r="E2132" t="s">
        <v>95</v>
      </c>
      <c r="F2132" t="s">
        <v>104</v>
      </c>
      <c r="G2132" t="s">
        <v>112</v>
      </c>
      <c r="H2132" t="s">
        <v>113</v>
      </c>
      <c r="J2132">
        <v>0</v>
      </c>
      <c r="K2132">
        <v>1</v>
      </c>
      <c r="L2132">
        <v>113.9375</v>
      </c>
      <c r="M2132">
        <v>33.375507550000002</v>
      </c>
      <c r="N2132">
        <v>2.4262999999999999</v>
      </c>
      <c r="O2132">
        <v>83.757575759999995</v>
      </c>
      <c r="P2132">
        <v>22.60997987</v>
      </c>
      <c r="Q2132">
        <v>0.72884000000000004</v>
      </c>
      <c r="R2132" t="s">
        <v>1019</v>
      </c>
      <c r="S2132">
        <v>1.69746</v>
      </c>
    </row>
    <row r="2133" spans="1:19" x14ac:dyDescent="0.25">
      <c r="A2133" t="s">
        <v>44</v>
      </c>
      <c r="B2133" t="s">
        <v>967</v>
      </c>
      <c r="C2133">
        <v>2</v>
      </c>
      <c r="D2133" t="s">
        <v>25</v>
      </c>
      <c r="E2133" t="s">
        <v>95</v>
      </c>
      <c r="F2133" t="s">
        <v>112</v>
      </c>
      <c r="G2133" t="s">
        <v>121</v>
      </c>
      <c r="H2133" t="s">
        <v>114</v>
      </c>
      <c r="J2133">
        <v>0</v>
      </c>
      <c r="K2133" t="s">
        <v>114</v>
      </c>
      <c r="L2133">
        <v>65.09375</v>
      </c>
      <c r="M2133">
        <v>37.895352600000002</v>
      </c>
      <c r="N2133">
        <v>2.2882677779999998</v>
      </c>
      <c r="O2133" t="s">
        <v>114</v>
      </c>
      <c r="P2133" t="s">
        <v>114</v>
      </c>
      <c r="Q2133" t="s">
        <v>114</v>
      </c>
      <c r="R2133" t="s">
        <v>1019</v>
      </c>
      <c r="S2133" t="s">
        <v>114</v>
      </c>
    </row>
    <row r="2134" spans="1:19" x14ac:dyDescent="0.25">
      <c r="A2134" t="s">
        <v>45</v>
      </c>
      <c r="B2134" t="s">
        <v>968</v>
      </c>
      <c r="C2134">
        <v>2</v>
      </c>
      <c r="D2134" t="s">
        <v>27</v>
      </c>
      <c r="E2134" t="s">
        <v>95</v>
      </c>
      <c r="F2134" t="s">
        <v>102</v>
      </c>
      <c r="G2134" t="s">
        <v>113</v>
      </c>
      <c r="H2134" t="s">
        <v>113</v>
      </c>
      <c r="J2134">
        <v>0</v>
      </c>
      <c r="K2134">
        <v>2</v>
      </c>
      <c r="L2134">
        <v>84.740740740000007</v>
      </c>
      <c r="M2134">
        <v>29.167014049999999</v>
      </c>
      <c r="N2134">
        <v>1.1169849999999999</v>
      </c>
      <c r="O2134">
        <v>83.757575759999995</v>
      </c>
      <c r="P2134">
        <v>22.60997987</v>
      </c>
      <c r="Q2134">
        <v>0.72884000000000004</v>
      </c>
      <c r="R2134" t="s">
        <v>1019</v>
      </c>
      <c r="S2134">
        <v>0.38814499999999985</v>
      </c>
    </row>
    <row r="2135" spans="1:19" x14ac:dyDescent="0.25">
      <c r="A2135" t="s">
        <v>45</v>
      </c>
      <c r="B2135" t="s">
        <v>969</v>
      </c>
      <c r="C2135">
        <v>2</v>
      </c>
      <c r="D2135" t="s">
        <v>27</v>
      </c>
      <c r="E2135" t="s">
        <v>95</v>
      </c>
      <c r="F2135" t="s">
        <v>105</v>
      </c>
      <c r="G2135" t="s">
        <v>113</v>
      </c>
      <c r="H2135" t="s">
        <v>113</v>
      </c>
      <c r="J2135">
        <v>0</v>
      </c>
      <c r="K2135">
        <v>6</v>
      </c>
      <c r="L2135">
        <v>67.5</v>
      </c>
      <c r="M2135">
        <v>47.937235809999997</v>
      </c>
      <c r="N2135">
        <v>0.41599678000000001</v>
      </c>
      <c r="O2135">
        <v>83.757575759999995</v>
      </c>
      <c r="P2135">
        <v>22.60997987</v>
      </c>
      <c r="Q2135">
        <v>0.72884000000000004</v>
      </c>
      <c r="R2135" t="s">
        <v>1019</v>
      </c>
      <c r="S2135">
        <v>0.31284322000000003</v>
      </c>
    </row>
    <row r="2136" spans="1:19" x14ac:dyDescent="0.25">
      <c r="A2136" t="s">
        <v>45</v>
      </c>
      <c r="B2136" t="s">
        <v>970</v>
      </c>
      <c r="C2136">
        <v>2</v>
      </c>
      <c r="D2136" t="s">
        <v>27</v>
      </c>
      <c r="E2136" t="s">
        <v>95</v>
      </c>
      <c r="F2136" t="s">
        <v>112</v>
      </c>
      <c r="G2136" t="s">
        <v>121</v>
      </c>
      <c r="H2136" t="s">
        <v>113</v>
      </c>
      <c r="J2136">
        <v>0</v>
      </c>
      <c r="K2136">
        <v>8</v>
      </c>
      <c r="L2136">
        <v>65.09375</v>
      </c>
      <c r="M2136">
        <v>37.895352600000002</v>
      </c>
      <c r="N2136">
        <v>2.2882677779999998</v>
      </c>
      <c r="O2136">
        <v>83.757575759999995</v>
      </c>
      <c r="P2136">
        <v>22.60997987</v>
      </c>
      <c r="Q2136">
        <v>0.72884000000000004</v>
      </c>
      <c r="R2136" t="s">
        <v>1019</v>
      </c>
      <c r="S2136">
        <v>1.5594277779999999</v>
      </c>
    </row>
    <row r="2137" spans="1:19" x14ac:dyDescent="0.25">
      <c r="A2137" t="s">
        <v>45</v>
      </c>
      <c r="B2137" t="s">
        <v>970</v>
      </c>
      <c r="C2137">
        <v>2</v>
      </c>
      <c r="D2137" t="s">
        <v>27</v>
      </c>
      <c r="E2137" t="s">
        <v>95</v>
      </c>
      <c r="F2137" t="s">
        <v>112</v>
      </c>
      <c r="G2137" t="s">
        <v>121</v>
      </c>
      <c r="H2137" t="s">
        <v>103</v>
      </c>
      <c r="J2137">
        <v>0</v>
      </c>
      <c r="K2137">
        <v>1</v>
      </c>
      <c r="L2137">
        <v>65.09375</v>
      </c>
      <c r="M2137">
        <v>37.895352600000002</v>
      </c>
      <c r="N2137">
        <v>2.2882677779999998</v>
      </c>
      <c r="O2137">
        <v>98.291666669999998</v>
      </c>
      <c r="P2137">
        <v>30.315130790000001</v>
      </c>
      <c r="Q2137">
        <v>5.0803484000000003E-2</v>
      </c>
      <c r="R2137" t="s">
        <v>1019</v>
      </c>
      <c r="S2137">
        <v>2.237464294</v>
      </c>
    </row>
    <row r="2138" spans="1:19" x14ac:dyDescent="0.25">
      <c r="A2138" t="s">
        <v>46</v>
      </c>
      <c r="B2138" t="s">
        <v>971</v>
      </c>
      <c r="C2138">
        <v>2</v>
      </c>
      <c r="D2138" t="s">
        <v>29</v>
      </c>
      <c r="E2138" t="s">
        <v>95</v>
      </c>
      <c r="F2138" t="s">
        <v>102</v>
      </c>
      <c r="G2138" t="s">
        <v>121</v>
      </c>
      <c r="H2138" t="s">
        <v>114</v>
      </c>
      <c r="J2138">
        <v>0</v>
      </c>
      <c r="K2138" t="s">
        <v>114</v>
      </c>
      <c r="L2138">
        <v>84.740740740000007</v>
      </c>
      <c r="M2138">
        <v>29.167014049999999</v>
      </c>
      <c r="N2138">
        <v>1.1169849999999999</v>
      </c>
      <c r="O2138" t="s">
        <v>114</v>
      </c>
      <c r="P2138" t="s">
        <v>114</v>
      </c>
      <c r="Q2138" t="s">
        <v>114</v>
      </c>
      <c r="R2138" t="s">
        <v>1019</v>
      </c>
      <c r="S2138" t="s">
        <v>114</v>
      </c>
    </row>
    <row r="2139" spans="1:19" x14ac:dyDescent="0.25">
      <c r="A2139" t="s">
        <v>46</v>
      </c>
      <c r="B2139" t="s">
        <v>972</v>
      </c>
      <c r="C2139">
        <v>2</v>
      </c>
      <c r="D2139" t="s">
        <v>29</v>
      </c>
      <c r="E2139" t="s">
        <v>95</v>
      </c>
      <c r="F2139" t="s">
        <v>110</v>
      </c>
      <c r="G2139" t="s">
        <v>113</v>
      </c>
      <c r="H2139" t="s">
        <v>113</v>
      </c>
      <c r="J2139">
        <v>0</v>
      </c>
      <c r="K2139">
        <v>3</v>
      </c>
      <c r="L2139">
        <v>73.260869569999997</v>
      </c>
      <c r="M2139">
        <v>34.453830549999999</v>
      </c>
      <c r="N2139">
        <v>1.058333333</v>
      </c>
      <c r="O2139">
        <v>83.757575759999995</v>
      </c>
      <c r="P2139">
        <v>22.60997987</v>
      </c>
      <c r="Q2139">
        <v>0.72884000000000004</v>
      </c>
      <c r="R2139" t="s">
        <v>1019</v>
      </c>
      <c r="S2139">
        <v>0.32949333299999994</v>
      </c>
    </row>
    <row r="2140" spans="1:19" x14ac:dyDescent="0.25">
      <c r="A2140" t="s">
        <v>46</v>
      </c>
      <c r="B2140" t="s">
        <v>973</v>
      </c>
      <c r="C2140">
        <v>2</v>
      </c>
      <c r="D2140" t="s">
        <v>29</v>
      </c>
      <c r="E2140" t="s">
        <v>95</v>
      </c>
      <c r="F2140" t="s">
        <v>112</v>
      </c>
      <c r="G2140" t="s">
        <v>121</v>
      </c>
      <c r="H2140" t="s">
        <v>114</v>
      </c>
      <c r="J2140">
        <v>0</v>
      </c>
      <c r="K2140" t="s">
        <v>114</v>
      </c>
      <c r="L2140">
        <v>65.09375</v>
      </c>
      <c r="M2140">
        <v>37.895352600000002</v>
      </c>
      <c r="N2140">
        <v>2.2882677779999998</v>
      </c>
      <c r="O2140" t="s">
        <v>114</v>
      </c>
      <c r="P2140" t="s">
        <v>114</v>
      </c>
      <c r="Q2140" t="s">
        <v>114</v>
      </c>
      <c r="R2140" t="s">
        <v>1019</v>
      </c>
      <c r="S2140" t="s">
        <v>114</v>
      </c>
    </row>
    <row r="2141" spans="1:19" x14ac:dyDescent="0.25">
      <c r="A2141" t="s">
        <v>47</v>
      </c>
      <c r="B2141" t="s">
        <v>974</v>
      </c>
      <c r="C2141">
        <v>2</v>
      </c>
      <c r="D2141" t="s">
        <v>31</v>
      </c>
      <c r="E2141" t="s">
        <v>94</v>
      </c>
      <c r="F2141" t="s">
        <v>112</v>
      </c>
      <c r="G2141" t="s">
        <v>112</v>
      </c>
      <c r="H2141" t="s">
        <v>112</v>
      </c>
      <c r="J2141">
        <v>0</v>
      </c>
      <c r="K2141">
        <v>1</v>
      </c>
      <c r="L2141">
        <v>65.09375</v>
      </c>
      <c r="M2141">
        <v>37.895352600000002</v>
      </c>
      <c r="N2141">
        <v>2.2882677779999998</v>
      </c>
      <c r="O2141">
        <v>65.09375</v>
      </c>
      <c r="P2141">
        <v>37.895352600000002</v>
      </c>
      <c r="Q2141">
        <v>2.2882677779999998</v>
      </c>
      <c r="R2141" t="s">
        <v>1019</v>
      </c>
      <c r="S2141">
        <v>0</v>
      </c>
    </row>
    <row r="2142" spans="1:19" x14ac:dyDescent="0.25">
      <c r="A2142" t="s">
        <v>47</v>
      </c>
      <c r="B2142" t="s">
        <v>974</v>
      </c>
      <c r="C2142">
        <v>2</v>
      </c>
      <c r="D2142" t="s">
        <v>31</v>
      </c>
      <c r="E2142" t="s">
        <v>94</v>
      </c>
      <c r="F2142" t="s">
        <v>112</v>
      </c>
      <c r="G2142" t="s">
        <v>112</v>
      </c>
      <c r="H2142" t="s">
        <v>113</v>
      </c>
      <c r="J2142">
        <v>0</v>
      </c>
      <c r="K2142">
        <v>1</v>
      </c>
      <c r="L2142">
        <v>65.09375</v>
      </c>
      <c r="M2142">
        <v>37.895352600000002</v>
      </c>
      <c r="N2142">
        <v>2.2882677779999998</v>
      </c>
      <c r="O2142">
        <v>83.757575759999995</v>
      </c>
      <c r="P2142">
        <v>22.60997987</v>
      </c>
      <c r="Q2142">
        <v>0.72884000000000004</v>
      </c>
      <c r="R2142" t="s">
        <v>1019</v>
      </c>
      <c r="S2142">
        <v>1.5594277779999999</v>
      </c>
    </row>
    <row r="2143" spans="1:19" x14ac:dyDescent="0.25">
      <c r="A2143" t="s">
        <v>48</v>
      </c>
      <c r="B2143" t="s">
        <v>975</v>
      </c>
      <c r="C2143">
        <v>2</v>
      </c>
      <c r="D2143" t="s">
        <v>33</v>
      </c>
      <c r="E2143" t="s">
        <v>95</v>
      </c>
      <c r="F2143" t="s">
        <v>105</v>
      </c>
      <c r="G2143" t="s">
        <v>104</v>
      </c>
      <c r="H2143" t="s">
        <v>103</v>
      </c>
      <c r="J2143">
        <v>0</v>
      </c>
      <c r="K2143">
        <v>1</v>
      </c>
      <c r="L2143">
        <v>67.5</v>
      </c>
      <c r="M2143">
        <v>47.937235809999997</v>
      </c>
      <c r="N2143">
        <v>0.41599678000000001</v>
      </c>
      <c r="O2143">
        <v>98.291666669999998</v>
      </c>
      <c r="P2143">
        <v>30.315130790000001</v>
      </c>
      <c r="Q2143">
        <v>5.0803484000000003E-2</v>
      </c>
      <c r="R2143" t="s">
        <v>1019</v>
      </c>
      <c r="S2143">
        <v>0.365193296</v>
      </c>
    </row>
    <row r="2144" spans="1:19" x14ac:dyDescent="0.25">
      <c r="A2144" t="s">
        <v>48</v>
      </c>
      <c r="B2144" t="s">
        <v>975</v>
      </c>
      <c r="C2144">
        <v>2</v>
      </c>
      <c r="D2144" t="s">
        <v>33</v>
      </c>
      <c r="E2144" t="s">
        <v>95</v>
      </c>
      <c r="F2144" t="s">
        <v>105</v>
      </c>
      <c r="G2144" t="s">
        <v>104</v>
      </c>
      <c r="H2144" t="s">
        <v>104</v>
      </c>
      <c r="J2144">
        <v>0</v>
      </c>
      <c r="K2144">
        <v>2</v>
      </c>
      <c r="L2144">
        <v>67.5</v>
      </c>
      <c r="M2144">
        <v>47.937235809999997</v>
      </c>
      <c r="N2144">
        <v>0.41599678000000001</v>
      </c>
      <c r="O2144">
        <v>113.9375</v>
      </c>
      <c r="P2144">
        <v>33.375507550000002</v>
      </c>
      <c r="Q2144">
        <v>2.4262999999999999</v>
      </c>
      <c r="R2144" t="s">
        <v>1019</v>
      </c>
      <c r="S2144">
        <v>2.0103032199999999</v>
      </c>
    </row>
    <row r="2145" spans="1:19" x14ac:dyDescent="0.25">
      <c r="A2145" t="s">
        <v>48</v>
      </c>
      <c r="B2145" t="s">
        <v>976</v>
      </c>
      <c r="C2145">
        <v>2</v>
      </c>
      <c r="D2145" t="s">
        <v>33</v>
      </c>
      <c r="E2145" t="s">
        <v>95</v>
      </c>
      <c r="F2145" t="s">
        <v>111</v>
      </c>
      <c r="G2145" t="s">
        <v>113</v>
      </c>
      <c r="H2145" t="s">
        <v>113</v>
      </c>
      <c r="J2145">
        <v>0</v>
      </c>
      <c r="K2145">
        <v>1</v>
      </c>
      <c r="L2145">
        <v>94.97142857</v>
      </c>
      <c r="M2145">
        <v>24.31591813</v>
      </c>
      <c r="N2145">
        <v>0.122951111</v>
      </c>
      <c r="O2145">
        <v>83.757575759999995</v>
      </c>
      <c r="P2145">
        <v>22.60997987</v>
      </c>
      <c r="Q2145">
        <v>0.72884000000000004</v>
      </c>
      <c r="R2145" t="s">
        <v>1019</v>
      </c>
      <c r="S2145">
        <v>0.60588888900000004</v>
      </c>
    </row>
    <row r="2146" spans="1:19" x14ac:dyDescent="0.25">
      <c r="A2146" t="s">
        <v>48</v>
      </c>
      <c r="B2146" t="s">
        <v>976</v>
      </c>
      <c r="C2146">
        <v>2</v>
      </c>
      <c r="D2146" t="s">
        <v>33</v>
      </c>
      <c r="E2146" t="s">
        <v>95</v>
      </c>
      <c r="F2146" t="s">
        <v>111</v>
      </c>
      <c r="G2146" t="s">
        <v>113</v>
      </c>
      <c r="H2146" t="s">
        <v>241</v>
      </c>
      <c r="J2146">
        <v>0</v>
      </c>
      <c r="K2146">
        <v>1</v>
      </c>
      <c r="L2146">
        <v>94.97142857</v>
      </c>
      <c r="M2146">
        <v>24.31591813</v>
      </c>
      <c r="N2146">
        <v>0.122951111</v>
      </c>
      <c r="O2146">
        <v>114</v>
      </c>
      <c r="P2146">
        <v>30.43077242</v>
      </c>
      <c r="Q2146">
        <v>0.53383111100000002</v>
      </c>
      <c r="R2146" t="s">
        <v>1019</v>
      </c>
      <c r="S2146">
        <v>0.41088000000000002</v>
      </c>
    </row>
    <row r="2147" spans="1:19" x14ac:dyDescent="0.25">
      <c r="A2147" t="s">
        <v>48</v>
      </c>
      <c r="B2147" t="s">
        <v>977</v>
      </c>
      <c r="C2147">
        <v>2</v>
      </c>
      <c r="D2147" t="s">
        <v>33</v>
      </c>
      <c r="E2147" t="s">
        <v>95</v>
      </c>
      <c r="F2147" t="s">
        <v>104</v>
      </c>
      <c r="G2147" t="s">
        <v>121</v>
      </c>
      <c r="H2147" t="s">
        <v>113</v>
      </c>
      <c r="J2147">
        <v>0</v>
      </c>
      <c r="K2147">
        <v>5</v>
      </c>
      <c r="L2147">
        <v>113.9375</v>
      </c>
      <c r="M2147">
        <v>33.375507550000002</v>
      </c>
      <c r="N2147">
        <v>2.4262999999999999</v>
      </c>
      <c r="O2147">
        <v>83.757575759999995</v>
      </c>
      <c r="P2147">
        <v>22.60997987</v>
      </c>
      <c r="Q2147">
        <v>0.72884000000000004</v>
      </c>
      <c r="R2147" t="s">
        <v>1019</v>
      </c>
      <c r="S2147">
        <v>1.69746</v>
      </c>
    </row>
    <row r="2148" spans="1:19" x14ac:dyDescent="0.25">
      <c r="A2148" t="s">
        <v>48</v>
      </c>
      <c r="B2148" t="s">
        <v>977</v>
      </c>
      <c r="C2148">
        <v>2</v>
      </c>
      <c r="D2148" t="s">
        <v>33</v>
      </c>
      <c r="E2148" t="s">
        <v>95</v>
      </c>
      <c r="F2148" t="s">
        <v>104</v>
      </c>
      <c r="G2148" t="s">
        <v>121</v>
      </c>
      <c r="H2148" t="s">
        <v>104</v>
      </c>
      <c r="J2148">
        <v>0</v>
      </c>
      <c r="K2148">
        <v>2</v>
      </c>
      <c r="L2148">
        <v>113.9375</v>
      </c>
      <c r="M2148">
        <v>33.375507550000002</v>
      </c>
      <c r="N2148">
        <v>2.4262999999999999</v>
      </c>
      <c r="O2148">
        <v>113.9375</v>
      </c>
      <c r="P2148">
        <v>33.375507550000002</v>
      </c>
      <c r="Q2148">
        <v>2.4262999999999999</v>
      </c>
      <c r="R2148" t="s">
        <v>1019</v>
      </c>
      <c r="S2148">
        <v>0</v>
      </c>
    </row>
    <row r="2149" spans="1:19" x14ac:dyDescent="0.25">
      <c r="A2149" t="s">
        <v>48</v>
      </c>
      <c r="B2149" t="s">
        <v>977</v>
      </c>
      <c r="C2149">
        <v>2</v>
      </c>
      <c r="D2149" t="s">
        <v>33</v>
      </c>
      <c r="E2149" t="s">
        <v>95</v>
      </c>
      <c r="F2149" t="s">
        <v>104</v>
      </c>
      <c r="G2149" t="s">
        <v>121</v>
      </c>
      <c r="H2149" t="s">
        <v>103</v>
      </c>
      <c r="J2149">
        <v>0</v>
      </c>
      <c r="K2149">
        <v>1</v>
      </c>
      <c r="L2149">
        <v>113.9375</v>
      </c>
      <c r="M2149">
        <v>33.375507550000002</v>
      </c>
      <c r="N2149">
        <v>2.4262999999999999</v>
      </c>
      <c r="O2149">
        <v>98.291666669999998</v>
      </c>
      <c r="P2149">
        <v>30.315130790000001</v>
      </c>
      <c r="Q2149">
        <v>5.0803484000000003E-2</v>
      </c>
      <c r="R2149" t="s">
        <v>1019</v>
      </c>
      <c r="S2149">
        <v>2.3754965160000001</v>
      </c>
    </row>
    <row r="2150" spans="1:19" x14ac:dyDescent="0.25">
      <c r="A2150" t="s">
        <v>49</v>
      </c>
      <c r="B2150" t="s">
        <v>978</v>
      </c>
      <c r="C2150">
        <v>2</v>
      </c>
      <c r="D2150" t="s">
        <v>35</v>
      </c>
      <c r="E2150" t="s">
        <v>94</v>
      </c>
      <c r="F2150" t="s">
        <v>102</v>
      </c>
      <c r="G2150" t="s">
        <v>112</v>
      </c>
      <c r="H2150" t="s">
        <v>112</v>
      </c>
      <c r="J2150">
        <v>0</v>
      </c>
      <c r="K2150">
        <v>1</v>
      </c>
      <c r="L2150">
        <v>84.740740740000007</v>
      </c>
      <c r="M2150">
        <v>29.167014049999999</v>
      </c>
      <c r="N2150">
        <v>1.1169849999999999</v>
      </c>
      <c r="O2150">
        <v>65.09375</v>
      </c>
      <c r="P2150">
        <v>37.895352600000002</v>
      </c>
      <c r="Q2150">
        <v>2.2882677779999998</v>
      </c>
      <c r="R2150" t="s">
        <v>1019</v>
      </c>
      <c r="S2150">
        <v>1.1712827779999999</v>
      </c>
    </row>
    <row r="2151" spans="1:19" x14ac:dyDescent="0.25">
      <c r="A2151" t="s">
        <v>49</v>
      </c>
      <c r="B2151" t="s">
        <v>978</v>
      </c>
      <c r="C2151">
        <v>2</v>
      </c>
      <c r="D2151" t="s">
        <v>35</v>
      </c>
      <c r="E2151" t="s">
        <v>94</v>
      </c>
      <c r="F2151" t="s">
        <v>102</v>
      </c>
      <c r="G2151" t="s">
        <v>112</v>
      </c>
      <c r="H2151" t="s">
        <v>104</v>
      </c>
      <c r="J2151">
        <v>0</v>
      </c>
      <c r="K2151">
        <v>5</v>
      </c>
      <c r="L2151">
        <v>84.740740740000007</v>
      </c>
      <c r="M2151">
        <v>29.167014049999999</v>
      </c>
      <c r="N2151">
        <v>1.1169849999999999</v>
      </c>
      <c r="O2151">
        <v>113.9375</v>
      </c>
      <c r="P2151">
        <v>33.375507550000002</v>
      </c>
      <c r="Q2151">
        <v>2.4262999999999999</v>
      </c>
      <c r="R2151" t="s">
        <v>1019</v>
      </c>
      <c r="S2151">
        <v>1.309315</v>
      </c>
    </row>
    <row r="2152" spans="1:19" x14ac:dyDescent="0.25">
      <c r="A2152" t="s">
        <v>49</v>
      </c>
      <c r="B2152" t="s">
        <v>979</v>
      </c>
      <c r="C2152">
        <v>2</v>
      </c>
      <c r="D2152" t="s">
        <v>35</v>
      </c>
      <c r="E2152" t="s">
        <v>94</v>
      </c>
      <c r="F2152" t="s">
        <v>112</v>
      </c>
      <c r="G2152" t="s">
        <v>112</v>
      </c>
      <c r="H2152" t="s">
        <v>112</v>
      </c>
      <c r="J2152">
        <v>0</v>
      </c>
      <c r="K2152">
        <v>1</v>
      </c>
      <c r="L2152">
        <v>65.09375</v>
      </c>
      <c r="M2152">
        <v>37.895352600000002</v>
      </c>
      <c r="N2152">
        <v>2.2882677779999998</v>
      </c>
      <c r="O2152">
        <v>65.09375</v>
      </c>
      <c r="P2152">
        <v>37.895352600000002</v>
      </c>
      <c r="Q2152">
        <v>2.2882677779999998</v>
      </c>
      <c r="R2152" t="s">
        <v>1019</v>
      </c>
      <c r="S2152">
        <v>0</v>
      </c>
    </row>
    <row r="2153" spans="1:19" x14ac:dyDescent="0.25">
      <c r="A2153" t="s">
        <v>49</v>
      </c>
      <c r="B2153" t="s">
        <v>979</v>
      </c>
      <c r="C2153">
        <v>2</v>
      </c>
      <c r="D2153" t="s">
        <v>35</v>
      </c>
      <c r="E2153" t="s">
        <v>94</v>
      </c>
      <c r="F2153" t="s">
        <v>112</v>
      </c>
      <c r="G2153" t="s">
        <v>112</v>
      </c>
      <c r="H2153" t="s">
        <v>103</v>
      </c>
      <c r="J2153">
        <v>0</v>
      </c>
      <c r="K2153">
        <v>1</v>
      </c>
      <c r="L2153">
        <v>65.09375</v>
      </c>
      <c r="M2153">
        <v>37.895352600000002</v>
      </c>
      <c r="N2153">
        <v>2.2882677779999998</v>
      </c>
      <c r="O2153">
        <v>98.291666669999998</v>
      </c>
      <c r="P2153">
        <v>30.315130790000001</v>
      </c>
      <c r="Q2153">
        <v>5.0803484000000003E-2</v>
      </c>
      <c r="R2153" t="s">
        <v>1019</v>
      </c>
      <c r="S2153">
        <v>2.237464294</v>
      </c>
    </row>
    <row r="2154" spans="1:19" x14ac:dyDescent="0.25">
      <c r="A2154" t="s">
        <v>79</v>
      </c>
      <c r="B2154" t="s">
        <v>980</v>
      </c>
      <c r="C2154">
        <v>6</v>
      </c>
      <c r="D2154" t="s">
        <v>11</v>
      </c>
      <c r="E2154" t="s">
        <v>95</v>
      </c>
      <c r="F2154" t="s">
        <v>113</v>
      </c>
      <c r="G2154" t="s">
        <v>113</v>
      </c>
      <c r="H2154" t="s">
        <v>113</v>
      </c>
      <c r="J2154">
        <v>0</v>
      </c>
      <c r="K2154">
        <v>4</v>
      </c>
      <c r="L2154">
        <v>83.757575759999995</v>
      </c>
      <c r="M2154">
        <v>22.60997987</v>
      </c>
      <c r="N2154">
        <v>0.72884000000000004</v>
      </c>
      <c r="O2154">
        <v>83.757575759999995</v>
      </c>
      <c r="P2154">
        <v>22.60997987</v>
      </c>
      <c r="Q2154">
        <v>0.72884000000000004</v>
      </c>
      <c r="R2154" t="s">
        <v>1019</v>
      </c>
      <c r="S2154">
        <v>0</v>
      </c>
    </row>
    <row r="2155" spans="1:19" x14ac:dyDescent="0.25">
      <c r="A2155" t="s">
        <v>79</v>
      </c>
      <c r="B2155" t="s">
        <v>981</v>
      </c>
      <c r="C2155">
        <v>6</v>
      </c>
      <c r="D2155" t="s">
        <v>11</v>
      </c>
      <c r="E2155" t="s">
        <v>95</v>
      </c>
      <c r="F2155" t="s">
        <v>103</v>
      </c>
      <c r="G2155" t="s">
        <v>113</v>
      </c>
      <c r="H2155" t="s">
        <v>113</v>
      </c>
      <c r="J2155">
        <v>0</v>
      </c>
      <c r="K2155">
        <v>7</v>
      </c>
      <c r="L2155">
        <v>98.291666669999998</v>
      </c>
      <c r="M2155">
        <v>30.315130790000001</v>
      </c>
      <c r="N2155">
        <v>5.0803484000000003E-2</v>
      </c>
      <c r="O2155">
        <v>83.757575759999995</v>
      </c>
      <c r="P2155">
        <v>22.60997987</v>
      </c>
      <c r="Q2155">
        <v>0.72884000000000004</v>
      </c>
      <c r="R2155" t="s">
        <v>1019</v>
      </c>
      <c r="S2155">
        <v>0.67803651600000003</v>
      </c>
    </row>
    <row r="2156" spans="1:19" x14ac:dyDescent="0.25">
      <c r="A2156" t="s">
        <v>79</v>
      </c>
      <c r="B2156" t="s">
        <v>981</v>
      </c>
      <c r="C2156">
        <v>6</v>
      </c>
      <c r="D2156" t="s">
        <v>11</v>
      </c>
      <c r="E2156" t="s">
        <v>95</v>
      </c>
      <c r="F2156" t="s">
        <v>103</v>
      </c>
      <c r="G2156" t="s">
        <v>113</v>
      </c>
      <c r="H2156" t="s">
        <v>103</v>
      </c>
      <c r="J2156">
        <v>0</v>
      </c>
      <c r="K2156">
        <v>4</v>
      </c>
      <c r="L2156">
        <v>98.291666669999998</v>
      </c>
      <c r="M2156">
        <v>30.315130790000001</v>
      </c>
      <c r="N2156">
        <v>5.0803484000000003E-2</v>
      </c>
      <c r="O2156">
        <v>98.291666669999998</v>
      </c>
      <c r="P2156">
        <v>30.315130790000001</v>
      </c>
      <c r="Q2156">
        <v>5.0803484000000003E-2</v>
      </c>
      <c r="R2156" t="s">
        <v>1019</v>
      </c>
      <c r="S2156">
        <v>0</v>
      </c>
    </row>
    <row r="2157" spans="1:19" x14ac:dyDescent="0.25">
      <c r="A2157" t="s">
        <v>79</v>
      </c>
      <c r="B2157" t="s">
        <v>982</v>
      </c>
      <c r="C2157">
        <v>6</v>
      </c>
      <c r="D2157" t="s">
        <v>11</v>
      </c>
      <c r="E2157" t="s">
        <v>95</v>
      </c>
      <c r="F2157" t="s">
        <v>111</v>
      </c>
      <c r="G2157" t="s">
        <v>113</v>
      </c>
      <c r="H2157" t="s">
        <v>234</v>
      </c>
      <c r="J2157">
        <v>0</v>
      </c>
      <c r="K2157">
        <v>1</v>
      </c>
      <c r="L2157">
        <v>94.97142857</v>
      </c>
      <c r="M2157">
        <v>24.31591813</v>
      </c>
      <c r="N2157">
        <v>0.122951111</v>
      </c>
      <c r="O2157">
        <v>89.8125</v>
      </c>
      <c r="P2157">
        <v>34.754706650000003</v>
      </c>
      <c r="Q2157">
        <v>2.3065078999999999E-2</v>
      </c>
      <c r="R2157" t="s">
        <v>1019</v>
      </c>
      <c r="S2157">
        <v>9.9886032E-2</v>
      </c>
    </row>
    <row r="2158" spans="1:19" x14ac:dyDescent="0.25">
      <c r="A2158" t="s">
        <v>79</v>
      </c>
      <c r="B2158" t="s">
        <v>982</v>
      </c>
      <c r="C2158">
        <v>6</v>
      </c>
      <c r="D2158" t="s">
        <v>11</v>
      </c>
      <c r="E2158" t="s">
        <v>95</v>
      </c>
      <c r="F2158" t="s">
        <v>111</v>
      </c>
      <c r="G2158" t="s">
        <v>113</v>
      </c>
      <c r="H2158" t="s">
        <v>113</v>
      </c>
      <c r="J2158">
        <v>0</v>
      </c>
      <c r="K2158">
        <v>5</v>
      </c>
      <c r="L2158">
        <v>94.97142857</v>
      </c>
      <c r="M2158">
        <v>24.31591813</v>
      </c>
      <c r="N2158">
        <v>0.122951111</v>
      </c>
      <c r="O2158">
        <v>83.757575759999995</v>
      </c>
      <c r="P2158">
        <v>22.60997987</v>
      </c>
      <c r="Q2158">
        <v>0.72884000000000004</v>
      </c>
      <c r="R2158" t="s">
        <v>1019</v>
      </c>
      <c r="S2158">
        <v>0.60588888900000004</v>
      </c>
    </row>
    <row r="2159" spans="1:19" x14ac:dyDescent="0.25">
      <c r="A2159" t="s">
        <v>79</v>
      </c>
      <c r="B2159" t="s">
        <v>982</v>
      </c>
      <c r="C2159">
        <v>6</v>
      </c>
      <c r="D2159" t="s">
        <v>11</v>
      </c>
      <c r="E2159" t="s">
        <v>95</v>
      </c>
      <c r="F2159" t="s">
        <v>111</v>
      </c>
      <c r="G2159" t="s">
        <v>113</v>
      </c>
      <c r="H2159" t="s">
        <v>103</v>
      </c>
      <c r="J2159">
        <v>0</v>
      </c>
      <c r="K2159">
        <v>1</v>
      </c>
      <c r="L2159">
        <v>94.97142857</v>
      </c>
      <c r="M2159">
        <v>24.31591813</v>
      </c>
      <c r="N2159">
        <v>0.122951111</v>
      </c>
      <c r="O2159">
        <v>98.291666669999998</v>
      </c>
      <c r="P2159">
        <v>30.315130790000001</v>
      </c>
      <c r="Q2159">
        <v>5.0803484000000003E-2</v>
      </c>
      <c r="R2159" t="s">
        <v>1019</v>
      </c>
      <c r="S2159">
        <v>7.2147626999999992E-2</v>
      </c>
    </row>
    <row r="2160" spans="1:19" x14ac:dyDescent="0.25">
      <c r="A2160" t="s">
        <v>80</v>
      </c>
      <c r="B2160" t="s">
        <v>983</v>
      </c>
      <c r="C2160">
        <v>6</v>
      </c>
      <c r="D2160" t="s">
        <v>15</v>
      </c>
      <c r="E2160" t="s">
        <v>95</v>
      </c>
      <c r="F2160" t="s">
        <v>105</v>
      </c>
      <c r="G2160" t="s">
        <v>121</v>
      </c>
      <c r="H2160" t="s">
        <v>113</v>
      </c>
      <c r="J2160">
        <v>0</v>
      </c>
      <c r="K2160">
        <v>1</v>
      </c>
      <c r="L2160">
        <v>67.5</v>
      </c>
      <c r="M2160">
        <v>47.937235809999997</v>
      </c>
      <c r="N2160">
        <v>0.41599678000000001</v>
      </c>
      <c r="O2160">
        <v>83.757575759999995</v>
      </c>
      <c r="P2160">
        <v>22.60997987</v>
      </c>
      <c r="Q2160">
        <v>0.72884000000000004</v>
      </c>
      <c r="R2160" t="s">
        <v>1019</v>
      </c>
      <c r="S2160">
        <v>0.31284322000000003</v>
      </c>
    </row>
    <row r="2161" spans="1:19" x14ac:dyDescent="0.25">
      <c r="A2161" t="s">
        <v>80</v>
      </c>
      <c r="B2161" t="s">
        <v>983</v>
      </c>
      <c r="C2161">
        <v>6</v>
      </c>
      <c r="D2161" t="s">
        <v>15</v>
      </c>
      <c r="E2161" t="s">
        <v>95</v>
      </c>
      <c r="F2161" t="s">
        <v>105</v>
      </c>
      <c r="G2161" t="s">
        <v>121</v>
      </c>
      <c r="H2161" t="s">
        <v>103</v>
      </c>
      <c r="J2161">
        <v>0</v>
      </c>
      <c r="K2161">
        <v>9</v>
      </c>
      <c r="L2161">
        <v>67.5</v>
      </c>
      <c r="M2161">
        <v>47.937235809999997</v>
      </c>
      <c r="N2161">
        <v>0.41599678000000001</v>
      </c>
      <c r="O2161">
        <v>98.291666669999998</v>
      </c>
      <c r="P2161">
        <v>30.315130790000001</v>
      </c>
      <c r="Q2161">
        <v>5.0803484000000003E-2</v>
      </c>
      <c r="R2161" t="s">
        <v>1019</v>
      </c>
      <c r="S2161">
        <v>0.365193296</v>
      </c>
    </row>
    <row r="2162" spans="1:19" x14ac:dyDescent="0.25">
      <c r="A2162" t="s">
        <v>80</v>
      </c>
      <c r="B2162" t="s">
        <v>984</v>
      </c>
      <c r="C2162">
        <v>6</v>
      </c>
      <c r="D2162" t="s">
        <v>15</v>
      </c>
      <c r="E2162" t="s">
        <v>95</v>
      </c>
      <c r="F2162" t="s">
        <v>113</v>
      </c>
      <c r="G2162" t="s">
        <v>113</v>
      </c>
      <c r="H2162" t="s">
        <v>113</v>
      </c>
      <c r="J2162">
        <v>0</v>
      </c>
      <c r="K2162">
        <v>6</v>
      </c>
      <c r="L2162">
        <v>83.757575759999995</v>
      </c>
      <c r="M2162">
        <v>22.60997987</v>
      </c>
      <c r="N2162">
        <v>0.72884000000000004</v>
      </c>
      <c r="O2162">
        <v>83.757575759999995</v>
      </c>
      <c r="P2162">
        <v>22.60997987</v>
      </c>
      <c r="Q2162">
        <v>0.72884000000000004</v>
      </c>
      <c r="R2162" t="s">
        <v>1019</v>
      </c>
      <c r="S2162">
        <v>0</v>
      </c>
    </row>
    <row r="2163" spans="1:19" x14ac:dyDescent="0.25">
      <c r="A2163" t="s">
        <v>80</v>
      </c>
      <c r="B2163" t="s">
        <v>985</v>
      </c>
      <c r="C2163">
        <v>6</v>
      </c>
      <c r="D2163" t="s">
        <v>15</v>
      </c>
      <c r="E2163" t="s">
        <v>95</v>
      </c>
      <c r="F2163" t="s">
        <v>103</v>
      </c>
      <c r="G2163" t="s">
        <v>113</v>
      </c>
      <c r="H2163" t="s">
        <v>113</v>
      </c>
      <c r="J2163">
        <v>0</v>
      </c>
      <c r="K2163">
        <v>1</v>
      </c>
      <c r="L2163">
        <v>98.291666669999998</v>
      </c>
      <c r="M2163">
        <v>30.315130790000001</v>
      </c>
      <c r="N2163">
        <v>5.0803484000000003E-2</v>
      </c>
      <c r="O2163">
        <v>83.757575759999995</v>
      </c>
      <c r="P2163">
        <v>22.60997987</v>
      </c>
      <c r="Q2163">
        <v>0.72884000000000004</v>
      </c>
      <c r="R2163" t="s">
        <v>1019</v>
      </c>
      <c r="S2163">
        <v>0.67803651600000003</v>
      </c>
    </row>
    <row r="2164" spans="1:19" x14ac:dyDescent="0.25">
      <c r="A2164" t="s">
        <v>80</v>
      </c>
      <c r="B2164" t="s">
        <v>985</v>
      </c>
      <c r="C2164">
        <v>6</v>
      </c>
      <c r="D2164" t="s">
        <v>15</v>
      </c>
      <c r="E2164" t="s">
        <v>95</v>
      </c>
      <c r="F2164" t="s">
        <v>103</v>
      </c>
      <c r="G2164" t="s">
        <v>113</v>
      </c>
      <c r="H2164" t="s">
        <v>103</v>
      </c>
      <c r="J2164">
        <v>0</v>
      </c>
      <c r="K2164">
        <v>2</v>
      </c>
      <c r="L2164">
        <v>98.291666669999998</v>
      </c>
      <c r="M2164">
        <v>30.315130790000001</v>
      </c>
      <c r="N2164">
        <v>5.0803484000000003E-2</v>
      </c>
      <c r="O2164">
        <v>98.291666669999998</v>
      </c>
      <c r="P2164">
        <v>30.315130790000001</v>
      </c>
      <c r="Q2164">
        <v>5.0803484000000003E-2</v>
      </c>
      <c r="R2164" t="s">
        <v>1019</v>
      </c>
      <c r="S2164">
        <v>0</v>
      </c>
    </row>
    <row r="2165" spans="1:19" x14ac:dyDescent="0.25">
      <c r="A2165" t="s">
        <v>81</v>
      </c>
      <c r="B2165" t="s">
        <v>986</v>
      </c>
      <c r="C2165">
        <v>6</v>
      </c>
      <c r="D2165" t="s">
        <v>17</v>
      </c>
      <c r="E2165" t="s">
        <v>94</v>
      </c>
      <c r="F2165" t="s">
        <v>105</v>
      </c>
      <c r="G2165" t="s">
        <v>113</v>
      </c>
      <c r="H2165" t="s">
        <v>113</v>
      </c>
      <c r="J2165">
        <v>0</v>
      </c>
      <c r="K2165">
        <v>6</v>
      </c>
      <c r="L2165">
        <v>67.5</v>
      </c>
      <c r="M2165">
        <v>47.937235809999997</v>
      </c>
      <c r="N2165">
        <v>0.41599678000000001</v>
      </c>
      <c r="O2165">
        <v>83.757575759999995</v>
      </c>
      <c r="P2165">
        <v>22.60997987</v>
      </c>
      <c r="Q2165">
        <v>0.72884000000000004</v>
      </c>
      <c r="R2165" t="s">
        <v>1019</v>
      </c>
      <c r="S2165">
        <v>0.31284322000000003</v>
      </c>
    </row>
    <row r="2166" spans="1:19" x14ac:dyDescent="0.25">
      <c r="A2166" t="s">
        <v>81</v>
      </c>
      <c r="B2166" t="s">
        <v>987</v>
      </c>
      <c r="C2166">
        <v>6</v>
      </c>
      <c r="D2166" t="s">
        <v>17</v>
      </c>
      <c r="E2166" t="s">
        <v>94</v>
      </c>
      <c r="F2166" t="s">
        <v>113</v>
      </c>
      <c r="G2166" t="s">
        <v>113</v>
      </c>
      <c r="H2166" t="s">
        <v>113</v>
      </c>
      <c r="J2166">
        <v>0</v>
      </c>
      <c r="K2166">
        <v>6</v>
      </c>
      <c r="L2166">
        <v>83.757575759999995</v>
      </c>
      <c r="M2166">
        <v>22.60997987</v>
      </c>
      <c r="N2166">
        <v>0.72884000000000004</v>
      </c>
      <c r="O2166">
        <v>83.757575759999995</v>
      </c>
      <c r="P2166">
        <v>22.60997987</v>
      </c>
      <c r="Q2166">
        <v>0.72884000000000004</v>
      </c>
      <c r="R2166" t="s">
        <v>1019</v>
      </c>
      <c r="S2166">
        <v>0</v>
      </c>
    </row>
    <row r="2167" spans="1:19" x14ac:dyDescent="0.25">
      <c r="A2167" t="s">
        <v>81</v>
      </c>
      <c r="B2167" t="s">
        <v>988</v>
      </c>
      <c r="C2167">
        <v>6</v>
      </c>
      <c r="D2167" t="s">
        <v>17</v>
      </c>
      <c r="E2167" t="s">
        <v>94</v>
      </c>
      <c r="F2167" t="s">
        <v>103</v>
      </c>
      <c r="G2167" t="s">
        <v>113</v>
      </c>
      <c r="H2167" t="s">
        <v>113</v>
      </c>
      <c r="J2167">
        <v>0</v>
      </c>
      <c r="K2167">
        <v>5</v>
      </c>
      <c r="L2167">
        <v>98.291666669999998</v>
      </c>
      <c r="M2167">
        <v>30.315130790000001</v>
      </c>
      <c r="N2167">
        <v>5.0803484000000003E-2</v>
      </c>
      <c r="O2167">
        <v>83.757575759999995</v>
      </c>
      <c r="P2167">
        <v>22.60997987</v>
      </c>
      <c r="Q2167">
        <v>0.72884000000000004</v>
      </c>
      <c r="R2167" t="s">
        <v>1019</v>
      </c>
      <c r="S2167">
        <v>0.67803651600000003</v>
      </c>
    </row>
    <row r="2168" spans="1:19" x14ac:dyDescent="0.25">
      <c r="A2168" t="s">
        <v>81</v>
      </c>
      <c r="B2168" t="s">
        <v>988</v>
      </c>
      <c r="C2168">
        <v>6</v>
      </c>
      <c r="D2168" t="s">
        <v>17</v>
      </c>
      <c r="E2168" t="s">
        <v>94</v>
      </c>
      <c r="F2168" t="s">
        <v>103</v>
      </c>
      <c r="G2168" t="s">
        <v>113</v>
      </c>
      <c r="H2168" t="s">
        <v>103</v>
      </c>
      <c r="J2168">
        <v>0</v>
      </c>
      <c r="K2168">
        <v>1</v>
      </c>
      <c r="L2168">
        <v>98.291666669999998</v>
      </c>
      <c r="M2168">
        <v>30.315130790000001</v>
      </c>
      <c r="N2168">
        <v>5.0803484000000003E-2</v>
      </c>
      <c r="O2168">
        <v>98.291666669999998</v>
      </c>
      <c r="P2168">
        <v>30.315130790000001</v>
      </c>
      <c r="Q2168">
        <v>5.0803484000000003E-2</v>
      </c>
      <c r="R2168" t="s">
        <v>1019</v>
      </c>
      <c r="S2168">
        <v>0</v>
      </c>
    </row>
    <row r="2169" spans="1:19" x14ac:dyDescent="0.25">
      <c r="A2169" t="s">
        <v>82</v>
      </c>
      <c r="B2169" t="s">
        <v>989</v>
      </c>
      <c r="C2169">
        <v>6</v>
      </c>
      <c r="D2169" t="s">
        <v>19</v>
      </c>
      <c r="E2169" t="s">
        <v>94</v>
      </c>
      <c r="F2169" t="s">
        <v>102</v>
      </c>
      <c r="G2169" t="s">
        <v>102</v>
      </c>
      <c r="H2169" t="s">
        <v>102</v>
      </c>
      <c r="J2169">
        <v>0</v>
      </c>
      <c r="K2169">
        <v>1</v>
      </c>
      <c r="L2169">
        <v>84.740740740000007</v>
      </c>
      <c r="M2169">
        <v>29.167014049999999</v>
      </c>
      <c r="N2169">
        <v>1.1169849999999999</v>
      </c>
      <c r="O2169">
        <v>84.740740740000007</v>
      </c>
      <c r="P2169">
        <v>29.167014049999999</v>
      </c>
      <c r="Q2169">
        <v>1.1169849999999999</v>
      </c>
      <c r="R2169" t="s">
        <v>1019</v>
      </c>
      <c r="S2169">
        <v>0</v>
      </c>
    </row>
    <row r="2170" spans="1:19" x14ac:dyDescent="0.25">
      <c r="A2170" t="s">
        <v>82</v>
      </c>
      <c r="B2170" t="s">
        <v>990</v>
      </c>
      <c r="C2170">
        <v>6</v>
      </c>
      <c r="D2170" t="s">
        <v>19</v>
      </c>
      <c r="E2170" t="s">
        <v>94</v>
      </c>
      <c r="F2170" t="s">
        <v>113</v>
      </c>
      <c r="G2170" t="s">
        <v>113</v>
      </c>
      <c r="H2170" t="s">
        <v>113</v>
      </c>
      <c r="J2170">
        <v>0</v>
      </c>
      <c r="K2170">
        <v>4</v>
      </c>
      <c r="L2170">
        <v>83.757575759999995</v>
      </c>
      <c r="M2170">
        <v>22.60997987</v>
      </c>
      <c r="N2170">
        <v>0.72884000000000004</v>
      </c>
      <c r="O2170">
        <v>83.757575759999995</v>
      </c>
      <c r="P2170">
        <v>22.60997987</v>
      </c>
      <c r="Q2170">
        <v>0.72884000000000004</v>
      </c>
      <c r="R2170" t="s">
        <v>1019</v>
      </c>
      <c r="S2170">
        <v>0</v>
      </c>
    </row>
    <row r="2171" spans="1:19" x14ac:dyDescent="0.25">
      <c r="A2171" t="s">
        <v>82</v>
      </c>
      <c r="B2171" t="s">
        <v>990</v>
      </c>
      <c r="C2171">
        <v>6</v>
      </c>
      <c r="D2171" t="s">
        <v>19</v>
      </c>
      <c r="E2171" t="s">
        <v>94</v>
      </c>
      <c r="F2171" t="s">
        <v>113</v>
      </c>
      <c r="G2171" t="s">
        <v>113</v>
      </c>
      <c r="H2171" t="s">
        <v>241</v>
      </c>
      <c r="J2171">
        <v>0</v>
      </c>
      <c r="K2171">
        <v>1</v>
      </c>
      <c r="L2171">
        <v>83.757575759999995</v>
      </c>
      <c r="M2171">
        <v>22.60997987</v>
      </c>
      <c r="N2171">
        <v>0.72884000000000004</v>
      </c>
      <c r="O2171">
        <v>114</v>
      </c>
      <c r="P2171">
        <v>30.43077242</v>
      </c>
      <c r="Q2171">
        <v>0.53383111100000002</v>
      </c>
      <c r="R2171" t="s">
        <v>1019</v>
      </c>
      <c r="S2171">
        <v>0.19500888900000002</v>
      </c>
    </row>
    <row r="2172" spans="1:19" x14ac:dyDescent="0.25">
      <c r="A2172" t="s">
        <v>82</v>
      </c>
      <c r="B2172" t="s">
        <v>990</v>
      </c>
      <c r="C2172">
        <v>6</v>
      </c>
      <c r="D2172" t="s">
        <v>19</v>
      </c>
      <c r="E2172" t="s">
        <v>94</v>
      </c>
      <c r="F2172" t="s">
        <v>113</v>
      </c>
      <c r="G2172" t="s">
        <v>113</v>
      </c>
      <c r="H2172" t="s">
        <v>808</v>
      </c>
      <c r="J2172">
        <v>0</v>
      </c>
      <c r="K2172">
        <v>1</v>
      </c>
      <c r="L2172">
        <v>83.757575759999995</v>
      </c>
      <c r="M2172">
        <v>22.60997987</v>
      </c>
      <c r="N2172">
        <v>0.72884000000000004</v>
      </c>
      <c r="O2172">
        <v>102.79166669999999</v>
      </c>
      <c r="P2172">
        <v>27.057373470000002</v>
      </c>
      <c r="Q2172">
        <v>6.3567849939999999</v>
      </c>
      <c r="R2172" t="s">
        <v>1019</v>
      </c>
      <c r="S2172">
        <v>5.6279449939999999</v>
      </c>
    </row>
    <row r="2173" spans="1:19" x14ac:dyDescent="0.25">
      <c r="A2173" t="s">
        <v>82</v>
      </c>
      <c r="B2173" t="s">
        <v>990</v>
      </c>
      <c r="C2173">
        <v>6</v>
      </c>
      <c r="D2173" t="s">
        <v>19</v>
      </c>
      <c r="E2173" t="s">
        <v>94</v>
      </c>
      <c r="F2173" t="s">
        <v>113</v>
      </c>
      <c r="G2173" t="s">
        <v>113</v>
      </c>
      <c r="H2173" t="s">
        <v>103</v>
      </c>
      <c r="J2173">
        <v>0</v>
      </c>
      <c r="K2173">
        <v>1</v>
      </c>
      <c r="L2173">
        <v>83.757575759999995</v>
      </c>
      <c r="M2173">
        <v>22.60997987</v>
      </c>
      <c r="N2173">
        <v>0.72884000000000004</v>
      </c>
      <c r="O2173">
        <v>98.291666669999998</v>
      </c>
      <c r="P2173">
        <v>30.315130790000001</v>
      </c>
      <c r="Q2173">
        <v>5.0803484000000003E-2</v>
      </c>
      <c r="R2173" t="s">
        <v>1019</v>
      </c>
      <c r="S2173">
        <v>0.67803651600000003</v>
      </c>
    </row>
    <row r="2174" spans="1:19" x14ac:dyDescent="0.25">
      <c r="A2174" t="s">
        <v>82</v>
      </c>
      <c r="B2174" t="s">
        <v>991</v>
      </c>
      <c r="C2174">
        <v>6</v>
      </c>
      <c r="D2174" t="s">
        <v>19</v>
      </c>
      <c r="E2174" t="s">
        <v>94</v>
      </c>
      <c r="F2174" t="s">
        <v>104</v>
      </c>
      <c r="G2174" t="s">
        <v>113</v>
      </c>
      <c r="H2174" t="s">
        <v>113</v>
      </c>
      <c r="J2174">
        <v>0</v>
      </c>
      <c r="K2174">
        <v>3</v>
      </c>
      <c r="L2174">
        <v>113.9375</v>
      </c>
      <c r="M2174">
        <v>33.375507550000002</v>
      </c>
      <c r="N2174">
        <v>2.4262999999999999</v>
      </c>
      <c r="O2174">
        <v>83.757575759999995</v>
      </c>
      <c r="P2174">
        <v>22.60997987</v>
      </c>
      <c r="Q2174">
        <v>0.72884000000000004</v>
      </c>
      <c r="R2174" t="s">
        <v>1019</v>
      </c>
      <c r="S2174">
        <v>1.69746</v>
      </c>
    </row>
    <row r="2175" spans="1:19" x14ac:dyDescent="0.25">
      <c r="A2175" t="s">
        <v>83</v>
      </c>
      <c r="B2175" t="s">
        <v>992</v>
      </c>
      <c r="C2175">
        <v>6</v>
      </c>
      <c r="D2175" t="s">
        <v>21</v>
      </c>
      <c r="E2175" t="s">
        <v>94</v>
      </c>
      <c r="F2175" t="s">
        <v>102</v>
      </c>
      <c r="G2175" t="s">
        <v>121</v>
      </c>
      <c r="H2175" t="s">
        <v>114</v>
      </c>
      <c r="J2175">
        <v>0</v>
      </c>
      <c r="K2175">
        <v>0</v>
      </c>
      <c r="L2175">
        <v>84.740740740000007</v>
      </c>
      <c r="M2175">
        <v>29.167014049999999</v>
      </c>
      <c r="N2175">
        <v>1.1169849999999999</v>
      </c>
      <c r="O2175" t="s">
        <v>114</v>
      </c>
      <c r="P2175" t="s">
        <v>114</v>
      </c>
      <c r="Q2175" t="s">
        <v>114</v>
      </c>
      <c r="R2175" t="s">
        <v>1019</v>
      </c>
      <c r="S2175" t="s">
        <v>114</v>
      </c>
    </row>
    <row r="2176" spans="1:19" x14ac:dyDescent="0.25">
      <c r="A2176" t="s">
        <v>83</v>
      </c>
      <c r="B2176" t="s">
        <v>993</v>
      </c>
      <c r="C2176">
        <v>6</v>
      </c>
      <c r="D2176" t="s">
        <v>21</v>
      </c>
      <c r="E2176" t="s">
        <v>94</v>
      </c>
      <c r="F2176" t="s">
        <v>103</v>
      </c>
      <c r="G2176" t="s">
        <v>103</v>
      </c>
      <c r="H2176" t="s">
        <v>103</v>
      </c>
      <c r="J2176">
        <v>0</v>
      </c>
      <c r="K2176">
        <v>2</v>
      </c>
      <c r="L2176">
        <v>98.291666669999998</v>
      </c>
      <c r="M2176">
        <v>30.315130790000001</v>
      </c>
      <c r="N2176">
        <v>5.0803484000000003E-2</v>
      </c>
      <c r="O2176">
        <v>98.291666669999998</v>
      </c>
      <c r="P2176">
        <v>30.315130790000001</v>
      </c>
      <c r="Q2176">
        <v>5.0803484000000003E-2</v>
      </c>
      <c r="R2176" t="s">
        <v>1019</v>
      </c>
      <c r="S2176">
        <v>0</v>
      </c>
    </row>
    <row r="2177" spans="1:19" x14ac:dyDescent="0.25">
      <c r="A2177" t="s">
        <v>83</v>
      </c>
      <c r="B2177" t="s">
        <v>993</v>
      </c>
      <c r="C2177">
        <v>6</v>
      </c>
      <c r="D2177" t="s">
        <v>21</v>
      </c>
      <c r="E2177" t="s">
        <v>94</v>
      </c>
      <c r="F2177" t="s">
        <v>103</v>
      </c>
      <c r="G2177" t="s">
        <v>103</v>
      </c>
      <c r="H2177" t="s">
        <v>246</v>
      </c>
      <c r="J2177">
        <v>0</v>
      </c>
      <c r="K2177">
        <v>1</v>
      </c>
      <c r="L2177">
        <v>98.291666669999998</v>
      </c>
      <c r="M2177">
        <v>30.315130790000001</v>
      </c>
      <c r="N2177">
        <v>5.0803484000000003E-2</v>
      </c>
      <c r="O2177">
        <v>120.25</v>
      </c>
      <c r="P2177">
        <v>30.670450110000001</v>
      </c>
      <c r="Q2177">
        <v>0.91037498500000003</v>
      </c>
      <c r="R2177" t="s">
        <v>1019</v>
      </c>
      <c r="S2177">
        <v>0.85957150100000002</v>
      </c>
    </row>
    <row r="2178" spans="1:19" x14ac:dyDescent="0.25">
      <c r="A2178" t="s">
        <v>83</v>
      </c>
      <c r="B2178" t="s">
        <v>993</v>
      </c>
      <c r="C2178">
        <v>6</v>
      </c>
      <c r="D2178" t="s">
        <v>21</v>
      </c>
      <c r="E2178" t="s">
        <v>94</v>
      </c>
      <c r="F2178" t="s">
        <v>103</v>
      </c>
      <c r="G2178" t="s">
        <v>103</v>
      </c>
      <c r="H2178" t="s">
        <v>239</v>
      </c>
      <c r="J2178">
        <v>0</v>
      </c>
      <c r="K2178">
        <v>1</v>
      </c>
      <c r="L2178">
        <v>98.291666669999998</v>
      </c>
      <c r="M2178">
        <v>30.315130790000001</v>
      </c>
      <c r="N2178">
        <v>5.0803484000000003E-2</v>
      </c>
      <c r="O2178">
        <v>100.45454549999999</v>
      </c>
      <c r="P2178">
        <v>26.754810689999999</v>
      </c>
      <c r="Q2178">
        <v>0.75829999999999997</v>
      </c>
      <c r="R2178" t="s">
        <v>1019</v>
      </c>
      <c r="S2178">
        <v>0.70749651599999996</v>
      </c>
    </row>
    <row r="2179" spans="1:19" x14ac:dyDescent="0.25">
      <c r="A2179" t="s">
        <v>83</v>
      </c>
      <c r="B2179" t="s">
        <v>994</v>
      </c>
      <c r="C2179">
        <v>6</v>
      </c>
      <c r="D2179" t="s">
        <v>21</v>
      </c>
      <c r="E2179" t="s">
        <v>94</v>
      </c>
      <c r="F2179" t="s">
        <v>111</v>
      </c>
      <c r="G2179" t="s">
        <v>121</v>
      </c>
      <c r="H2179" t="s">
        <v>114</v>
      </c>
      <c r="J2179">
        <v>0</v>
      </c>
      <c r="K2179">
        <v>0</v>
      </c>
      <c r="L2179">
        <v>94.97142857</v>
      </c>
      <c r="M2179">
        <v>24.31591813</v>
      </c>
      <c r="N2179">
        <v>0.122951111</v>
      </c>
      <c r="O2179" t="s">
        <v>114</v>
      </c>
      <c r="P2179" t="s">
        <v>114</v>
      </c>
      <c r="Q2179" t="s">
        <v>114</v>
      </c>
      <c r="R2179" t="s">
        <v>1019</v>
      </c>
      <c r="S2179" t="s">
        <v>114</v>
      </c>
    </row>
    <row r="2180" spans="1:19" x14ac:dyDescent="0.25">
      <c r="A2180" t="s">
        <v>84</v>
      </c>
      <c r="B2180" t="s">
        <v>995</v>
      </c>
      <c r="C2180">
        <v>6</v>
      </c>
      <c r="D2180" t="s">
        <v>23</v>
      </c>
      <c r="E2180" t="s">
        <v>95</v>
      </c>
      <c r="F2180" t="s">
        <v>102</v>
      </c>
      <c r="G2180" t="s">
        <v>121</v>
      </c>
      <c r="H2180" t="s">
        <v>254</v>
      </c>
      <c r="J2180">
        <v>0</v>
      </c>
      <c r="K2180">
        <v>3</v>
      </c>
      <c r="L2180">
        <v>84.740740740000007</v>
      </c>
      <c r="M2180">
        <v>29.167014049999999</v>
      </c>
      <c r="N2180">
        <v>1.1169849999999999</v>
      </c>
      <c r="O2180" t="s">
        <v>114</v>
      </c>
      <c r="P2180" t="s">
        <v>114</v>
      </c>
      <c r="Q2180" t="s">
        <v>114</v>
      </c>
      <c r="R2180" t="s">
        <v>1019</v>
      </c>
      <c r="S2180" t="s">
        <v>114</v>
      </c>
    </row>
    <row r="2181" spans="1:19" x14ac:dyDescent="0.25">
      <c r="A2181" t="s">
        <v>84</v>
      </c>
      <c r="B2181" t="s">
        <v>995</v>
      </c>
      <c r="C2181">
        <v>6</v>
      </c>
      <c r="D2181" t="s">
        <v>23</v>
      </c>
      <c r="E2181" t="s">
        <v>95</v>
      </c>
      <c r="F2181" t="s">
        <v>102</v>
      </c>
      <c r="G2181" t="s">
        <v>121</v>
      </c>
      <c r="H2181" t="s">
        <v>248</v>
      </c>
      <c r="J2181">
        <v>0</v>
      </c>
      <c r="K2181">
        <v>1</v>
      </c>
      <c r="L2181">
        <v>84.740740740000007</v>
      </c>
      <c r="M2181">
        <v>29.167014049999999</v>
      </c>
      <c r="N2181">
        <v>1.1169849999999999</v>
      </c>
      <c r="O2181">
        <v>83.92307692</v>
      </c>
      <c r="P2181">
        <v>44.319135699999997</v>
      </c>
      <c r="Q2181">
        <v>5.9548609999999997E-3</v>
      </c>
      <c r="R2181" t="s">
        <v>1019</v>
      </c>
      <c r="S2181">
        <v>1.1110301389999999</v>
      </c>
    </row>
    <row r="2182" spans="1:19" x14ac:dyDescent="0.25">
      <c r="A2182" t="s">
        <v>84</v>
      </c>
      <c r="B2182" t="s">
        <v>995</v>
      </c>
      <c r="C2182">
        <v>6</v>
      </c>
      <c r="D2182" t="s">
        <v>23</v>
      </c>
      <c r="E2182" t="s">
        <v>95</v>
      </c>
      <c r="F2182" t="s">
        <v>102</v>
      </c>
      <c r="G2182" t="s">
        <v>121</v>
      </c>
      <c r="H2182" t="s">
        <v>233</v>
      </c>
      <c r="J2182">
        <v>0</v>
      </c>
      <c r="K2182">
        <v>1</v>
      </c>
      <c r="L2182">
        <v>84.740740740000007</v>
      </c>
      <c r="M2182">
        <v>29.167014049999999</v>
      </c>
      <c r="N2182">
        <v>1.1169849999999999</v>
      </c>
      <c r="O2182">
        <v>106.0540541</v>
      </c>
      <c r="P2182">
        <v>52.690533369999997</v>
      </c>
      <c r="Q2182">
        <v>7.6058968000000005E-2</v>
      </c>
      <c r="R2182" t="s">
        <v>1019</v>
      </c>
      <c r="S2182">
        <v>1.0409260319999998</v>
      </c>
    </row>
    <row r="2183" spans="1:19" x14ac:dyDescent="0.25">
      <c r="A2183" t="s">
        <v>84</v>
      </c>
      <c r="B2183" t="s">
        <v>995</v>
      </c>
      <c r="C2183">
        <v>6</v>
      </c>
      <c r="D2183" t="s">
        <v>23</v>
      </c>
      <c r="E2183" t="s">
        <v>95</v>
      </c>
      <c r="F2183" t="s">
        <v>102</v>
      </c>
      <c r="G2183" t="s">
        <v>121</v>
      </c>
      <c r="H2183" t="s">
        <v>103</v>
      </c>
      <c r="J2183">
        <v>0</v>
      </c>
      <c r="K2183">
        <v>5</v>
      </c>
      <c r="L2183">
        <v>84.740740740000007</v>
      </c>
      <c r="M2183">
        <v>29.167014049999999</v>
      </c>
      <c r="N2183">
        <v>1.1169849999999999</v>
      </c>
      <c r="O2183">
        <v>98.291666669999998</v>
      </c>
      <c r="P2183">
        <v>30.315130790000001</v>
      </c>
      <c r="Q2183">
        <v>5.0803484000000003E-2</v>
      </c>
      <c r="R2183" t="s">
        <v>1019</v>
      </c>
      <c r="S2183">
        <v>1.0661815159999999</v>
      </c>
    </row>
    <row r="2184" spans="1:19" x14ac:dyDescent="0.25">
      <c r="A2184" t="s">
        <v>84</v>
      </c>
      <c r="B2184" t="s">
        <v>996</v>
      </c>
      <c r="C2184">
        <v>6</v>
      </c>
      <c r="D2184" t="s">
        <v>23</v>
      </c>
      <c r="E2184" t="s">
        <v>95</v>
      </c>
      <c r="F2184" t="s">
        <v>105</v>
      </c>
      <c r="G2184" t="s">
        <v>103</v>
      </c>
      <c r="H2184" t="s">
        <v>114</v>
      </c>
      <c r="J2184">
        <v>0</v>
      </c>
      <c r="K2184" t="s">
        <v>114</v>
      </c>
      <c r="L2184">
        <v>67.5</v>
      </c>
      <c r="M2184">
        <v>47.937235809999997</v>
      </c>
      <c r="N2184">
        <v>0.41599678000000001</v>
      </c>
      <c r="O2184" t="s">
        <v>114</v>
      </c>
      <c r="P2184" t="s">
        <v>114</v>
      </c>
      <c r="Q2184" t="s">
        <v>114</v>
      </c>
      <c r="R2184" t="s">
        <v>1019</v>
      </c>
      <c r="S2184" t="s">
        <v>114</v>
      </c>
    </row>
    <row r="2185" spans="1:19" x14ac:dyDescent="0.25">
      <c r="A2185" t="s">
        <v>84</v>
      </c>
      <c r="B2185" t="s">
        <v>997</v>
      </c>
      <c r="C2185">
        <v>6</v>
      </c>
      <c r="D2185" t="s">
        <v>23</v>
      </c>
      <c r="E2185" t="s">
        <v>95</v>
      </c>
      <c r="F2185" t="s">
        <v>111</v>
      </c>
      <c r="G2185" t="s">
        <v>103</v>
      </c>
      <c r="H2185" t="s">
        <v>103</v>
      </c>
      <c r="J2185">
        <v>0</v>
      </c>
      <c r="K2185">
        <v>2</v>
      </c>
      <c r="L2185">
        <v>94.97142857</v>
      </c>
      <c r="M2185">
        <v>24.31591813</v>
      </c>
      <c r="N2185">
        <v>0.122951111</v>
      </c>
      <c r="O2185">
        <v>98.291666669999998</v>
      </c>
      <c r="P2185">
        <v>30.315130790000001</v>
      </c>
      <c r="Q2185">
        <v>5.0803484000000003E-2</v>
      </c>
      <c r="R2185" t="s">
        <v>1019</v>
      </c>
      <c r="S2185">
        <v>7.2147626999999992E-2</v>
      </c>
    </row>
    <row r="2186" spans="1:19" x14ac:dyDescent="0.25">
      <c r="A2186" t="s">
        <v>84</v>
      </c>
      <c r="B2186" t="s">
        <v>997</v>
      </c>
      <c r="C2186">
        <v>6</v>
      </c>
      <c r="D2186" t="s">
        <v>23</v>
      </c>
      <c r="E2186" t="s">
        <v>95</v>
      </c>
      <c r="F2186" t="s">
        <v>111</v>
      </c>
      <c r="G2186" t="s">
        <v>103</v>
      </c>
      <c r="H2186" t="s">
        <v>247</v>
      </c>
      <c r="J2186">
        <v>0</v>
      </c>
      <c r="K2186">
        <v>1</v>
      </c>
      <c r="L2186">
        <v>94.97142857</v>
      </c>
      <c r="M2186">
        <v>24.31591813</v>
      </c>
      <c r="N2186">
        <v>0.122951111</v>
      </c>
      <c r="O2186">
        <v>65.791044779999993</v>
      </c>
      <c r="P2186">
        <v>22.94519201</v>
      </c>
      <c r="Q2186">
        <v>8.1320334999999994E-2</v>
      </c>
      <c r="R2186" t="s">
        <v>1019</v>
      </c>
      <c r="S2186">
        <v>4.1630776000000008E-2</v>
      </c>
    </row>
    <row r="2187" spans="1:19" x14ac:dyDescent="0.25">
      <c r="A2187" t="s">
        <v>84</v>
      </c>
      <c r="B2187" t="s">
        <v>997</v>
      </c>
      <c r="C2187">
        <v>6</v>
      </c>
      <c r="D2187" t="s">
        <v>23</v>
      </c>
      <c r="E2187" t="s">
        <v>95</v>
      </c>
      <c r="F2187" t="s">
        <v>111</v>
      </c>
      <c r="G2187" t="s">
        <v>103</v>
      </c>
      <c r="H2187" t="s">
        <v>233</v>
      </c>
      <c r="J2187">
        <v>0</v>
      </c>
      <c r="K2187">
        <v>1</v>
      </c>
      <c r="L2187">
        <v>94.97142857</v>
      </c>
      <c r="M2187">
        <v>24.31591813</v>
      </c>
      <c r="N2187">
        <v>0.122951111</v>
      </c>
      <c r="O2187">
        <v>106.0540541</v>
      </c>
      <c r="P2187">
        <v>52.690533369999997</v>
      </c>
      <c r="Q2187">
        <v>7.6058968000000005E-2</v>
      </c>
      <c r="R2187" t="s">
        <v>1019</v>
      </c>
      <c r="S2187">
        <v>4.6892142999999997E-2</v>
      </c>
    </row>
    <row r="2188" spans="1:19" x14ac:dyDescent="0.25">
      <c r="A2188" t="s">
        <v>84</v>
      </c>
      <c r="B2188" t="s">
        <v>997</v>
      </c>
      <c r="C2188">
        <v>6</v>
      </c>
      <c r="D2188" t="s">
        <v>23</v>
      </c>
      <c r="E2188" t="s">
        <v>95</v>
      </c>
      <c r="F2188" t="s">
        <v>111</v>
      </c>
      <c r="G2188" t="s">
        <v>103</v>
      </c>
      <c r="H2188" t="s">
        <v>808</v>
      </c>
      <c r="J2188">
        <v>0</v>
      </c>
      <c r="K2188">
        <v>1</v>
      </c>
      <c r="L2188">
        <v>94.97142857</v>
      </c>
      <c r="M2188">
        <v>24.31591813</v>
      </c>
      <c r="N2188">
        <v>0.122951111</v>
      </c>
      <c r="O2188">
        <v>102.79166669999999</v>
      </c>
      <c r="P2188">
        <v>27.057373470000002</v>
      </c>
      <c r="Q2188">
        <v>6.3567849939999999</v>
      </c>
      <c r="R2188" t="s">
        <v>1019</v>
      </c>
      <c r="S2188">
        <v>6.233833883</v>
      </c>
    </row>
    <row r="2189" spans="1:19" x14ac:dyDescent="0.25">
      <c r="A2189" t="s">
        <v>84</v>
      </c>
      <c r="B2189" t="s">
        <v>998</v>
      </c>
      <c r="C2189">
        <v>6</v>
      </c>
      <c r="D2189" t="s">
        <v>23</v>
      </c>
      <c r="E2189" t="s">
        <v>95</v>
      </c>
      <c r="F2189" t="s">
        <v>112</v>
      </c>
      <c r="G2189" t="s">
        <v>103</v>
      </c>
      <c r="H2189" t="s">
        <v>236</v>
      </c>
      <c r="J2189">
        <v>0</v>
      </c>
      <c r="K2189">
        <v>1</v>
      </c>
      <c r="L2189">
        <v>65.09375</v>
      </c>
      <c r="M2189">
        <v>37.895352600000002</v>
      </c>
      <c r="N2189">
        <v>2.2882677779999998</v>
      </c>
      <c r="O2189">
        <v>113.33333330000001</v>
      </c>
      <c r="P2189">
        <v>26.41632581</v>
      </c>
      <c r="Q2189">
        <v>1.6844570160000001</v>
      </c>
      <c r="R2189" t="s">
        <v>1019</v>
      </c>
      <c r="S2189">
        <v>0.60381076199999972</v>
      </c>
    </row>
    <row r="2190" spans="1:19" x14ac:dyDescent="0.25">
      <c r="A2190" t="s">
        <v>84</v>
      </c>
      <c r="B2190" t="s">
        <v>998</v>
      </c>
      <c r="C2190">
        <v>6</v>
      </c>
      <c r="D2190" t="s">
        <v>23</v>
      </c>
      <c r="E2190" t="s">
        <v>95</v>
      </c>
      <c r="F2190" t="s">
        <v>112</v>
      </c>
      <c r="G2190" t="s">
        <v>103</v>
      </c>
      <c r="H2190" t="s">
        <v>103</v>
      </c>
      <c r="J2190">
        <v>0</v>
      </c>
      <c r="K2190">
        <v>2</v>
      </c>
      <c r="L2190">
        <v>65.09375</v>
      </c>
      <c r="M2190">
        <v>37.895352600000002</v>
      </c>
      <c r="N2190">
        <v>2.2882677779999998</v>
      </c>
      <c r="O2190">
        <v>98.291666669999998</v>
      </c>
      <c r="P2190">
        <v>30.315130790000001</v>
      </c>
      <c r="Q2190">
        <v>5.0803484000000003E-2</v>
      </c>
      <c r="R2190" t="s">
        <v>1019</v>
      </c>
      <c r="S2190">
        <v>2.237464294</v>
      </c>
    </row>
    <row r="2191" spans="1:19" x14ac:dyDescent="0.25">
      <c r="A2191" t="s">
        <v>84</v>
      </c>
      <c r="B2191" t="s">
        <v>998</v>
      </c>
      <c r="C2191">
        <v>6</v>
      </c>
      <c r="D2191" t="s">
        <v>23</v>
      </c>
      <c r="E2191" t="s">
        <v>95</v>
      </c>
      <c r="F2191" t="s">
        <v>112</v>
      </c>
      <c r="G2191" t="s">
        <v>103</v>
      </c>
      <c r="H2191" t="s">
        <v>808</v>
      </c>
      <c r="J2191">
        <v>0</v>
      </c>
      <c r="K2191">
        <v>1</v>
      </c>
      <c r="L2191">
        <v>65.09375</v>
      </c>
      <c r="M2191">
        <v>37.895352600000002</v>
      </c>
      <c r="N2191">
        <v>2.2882677779999998</v>
      </c>
      <c r="O2191">
        <v>102.79166669999999</v>
      </c>
      <c r="P2191">
        <v>27.057373470000002</v>
      </c>
      <c r="Q2191">
        <v>6.3567849939999999</v>
      </c>
      <c r="R2191" t="s">
        <v>1019</v>
      </c>
      <c r="S2191">
        <v>4.068517216</v>
      </c>
    </row>
    <row r="2192" spans="1:19" x14ac:dyDescent="0.25">
      <c r="A2192" t="s">
        <v>84</v>
      </c>
      <c r="B2192" t="s">
        <v>998</v>
      </c>
      <c r="C2192">
        <v>6</v>
      </c>
      <c r="D2192" t="s">
        <v>23</v>
      </c>
      <c r="E2192" t="s">
        <v>95</v>
      </c>
      <c r="F2192" t="s">
        <v>112</v>
      </c>
      <c r="G2192" t="s">
        <v>103</v>
      </c>
      <c r="H2192" t="s">
        <v>239</v>
      </c>
      <c r="J2192">
        <v>0</v>
      </c>
      <c r="K2192">
        <v>2</v>
      </c>
      <c r="L2192">
        <v>65.09375</v>
      </c>
      <c r="M2192">
        <v>37.895352600000002</v>
      </c>
      <c r="N2192">
        <v>2.2882677779999998</v>
      </c>
      <c r="O2192">
        <v>100.45454549999999</v>
      </c>
      <c r="P2192">
        <v>26.754810689999999</v>
      </c>
      <c r="Q2192">
        <v>0.75829999999999997</v>
      </c>
      <c r="R2192" t="s">
        <v>1019</v>
      </c>
      <c r="S2192">
        <v>1.5299677779999998</v>
      </c>
    </row>
    <row r="2193" spans="1:19" x14ac:dyDescent="0.25">
      <c r="A2193" t="s">
        <v>85</v>
      </c>
      <c r="B2193" t="s">
        <v>999</v>
      </c>
      <c r="C2193">
        <v>6</v>
      </c>
      <c r="D2193" t="s">
        <v>25</v>
      </c>
      <c r="E2193" t="s">
        <v>94</v>
      </c>
      <c r="F2193" t="s">
        <v>105</v>
      </c>
      <c r="G2193" t="s">
        <v>103</v>
      </c>
      <c r="H2193" t="s">
        <v>810</v>
      </c>
      <c r="J2193">
        <v>0</v>
      </c>
      <c r="K2193">
        <v>1</v>
      </c>
      <c r="L2193">
        <v>67.5</v>
      </c>
      <c r="M2193">
        <v>47.937235809999997</v>
      </c>
      <c r="N2193">
        <v>0.41599678000000001</v>
      </c>
      <c r="O2193">
        <v>77.055555560000002</v>
      </c>
      <c r="P2193">
        <v>18.389110710000001</v>
      </c>
      <c r="Q2193">
        <v>1.5559800079999999</v>
      </c>
      <c r="R2193" t="s">
        <v>1019</v>
      </c>
      <c r="S2193">
        <v>1.139983228</v>
      </c>
    </row>
    <row r="2194" spans="1:19" x14ac:dyDescent="0.25">
      <c r="A2194" t="s">
        <v>85</v>
      </c>
      <c r="B2194" t="s">
        <v>999</v>
      </c>
      <c r="C2194">
        <v>6</v>
      </c>
      <c r="D2194" t="s">
        <v>25</v>
      </c>
      <c r="E2194" t="s">
        <v>94</v>
      </c>
      <c r="F2194" t="s">
        <v>105</v>
      </c>
      <c r="G2194" t="s">
        <v>103</v>
      </c>
      <c r="H2194" t="s">
        <v>104</v>
      </c>
      <c r="J2194">
        <v>0</v>
      </c>
      <c r="K2194">
        <v>1</v>
      </c>
      <c r="L2194">
        <v>67.5</v>
      </c>
      <c r="M2194">
        <v>47.937235809999997</v>
      </c>
      <c r="N2194">
        <v>0.41599678000000001</v>
      </c>
      <c r="O2194">
        <v>113.9375</v>
      </c>
      <c r="P2194">
        <v>33.375507550000002</v>
      </c>
      <c r="Q2194">
        <v>2.4262999999999999</v>
      </c>
      <c r="R2194" t="s">
        <v>1019</v>
      </c>
      <c r="S2194">
        <v>2.0103032199999999</v>
      </c>
    </row>
    <row r="2195" spans="1:19" x14ac:dyDescent="0.25">
      <c r="A2195" t="s">
        <v>85</v>
      </c>
      <c r="B2195" t="s">
        <v>999</v>
      </c>
      <c r="C2195">
        <v>6</v>
      </c>
      <c r="D2195" t="s">
        <v>25</v>
      </c>
      <c r="E2195" t="s">
        <v>94</v>
      </c>
      <c r="F2195" t="s">
        <v>105</v>
      </c>
      <c r="G2195" t="s">
        <v>103</v>
      </c>
      <c r="H2195" t="s">
        <v>110</v>
      </c>
      <c r="J2195">
        <v>0</v>
      </c>
      <c r="K2195">
        <v>1</v>
      </c>
      <c r="L2195">
        <v>67.5</v>
      </c>
      <c r="M2195">
        <v>47.937235809999997</v>
      </c>
      <c r="N2195">
        <v>0.41599678000000001</v>
      </c>
      <c r="O2195">
        <v>73.260869569999997</v>
      </c>
      <c r="P2195">
        <v>34.453830549999999</v>
      </c>
      <c r="Q2195">
        <v>1.058333333</v>
      </c>
      <c r="R2195" t="s">
        <v>1019</v>
      </c>
      <c r="S2195">
        <v>0.64233655300000003</v>
      </c>
    </row>
    <row r="2196" spans="1:19" x14ac:dyDescent="0.25">
      <c r="A2196" t="s">
        <v>85</v>
      </c>
      <c r="B2196" t="s">
        <v>999</v>
      </c>
      <c r="C2196">
        <v>6</v>
      </c>
      <c r="D2196" t="s">
        <v>25</v>
      </c>
      <c r="E2196" t="s">
        <v>94</v>
      </c>
      <c r="F2196" t="s">
        <v>105</v>
      </c>
      <c r="G2196" t="s">
        <v>103</v>
      </c>
      <c r="H2196" t="s">
        <v>103</v>
      </c>
      <c r="J2196">
        <v>0</v>
      </c>
      <c r="K2196">
        <v>4</v>
      </c>
      <c r="L2196">
        <v>67.5</v>
      </c>
      <c r="M2196">
        <v>47.937235809999997</v>
      </c>
      <c r="N2196">
        <v>0.41599678000000001</v>
      </c>
      <c r="O2196">
        <v>98.291666669999998</v>
      </c>
      <c r="P2196">
        <v>30.315130790000001</v>
      </c>
      <c r="Q2196">
        <v>5.0803484000000003E-2</v>
      </c>
      <c r="R2196" t="s">
        <v>1019</v>
      </c>
      <c r="S2196">
        <v>0.365193296</v>
      </c>
    </row>
    <row r="2197" spans="1:19" x14ac:dyDescent="0.25">
      <c r="A2197" t="s">
        <v>85</v>
      </c>
      <c r="B2197" t="s">
        <v>1000</v>
      </c>
      <c r="C2197">
        <v>6</v>
      </c>
      <c r="D2197" t="s">
        <v>25</v>
      </c>
      <c r="E2197" t="s">
        <v>94</v>
      </c>
      <c r="F2197" t="s">
        <v>110</v>
      </c>
      <c r="G2197" t="s">
        <v>103</v>
      </c>
      <c r="H2197" t="s">
        <v>103</v>
      </c>
      <c r="J2197">
        <v>0</v>
      </c>
      <c r="K2197">
        <v>9</v>
      </c>
      <c r="L2197">
        <v>73.260869569999997</v>
      </c>
      <c r="M2197">
        <v>34.453830549999999</v>
      </c>
      <c r="N2197">
        <v>1.058333333</v>
      </c>
      <c r="O2197">
        <v>98.291666669999998</v>
      </c>
      <c r="P2197">
        <v>30.315130790000001</v>
      </c>
      <c r="Q2197">
        <v>5.0803484000000003E-2</v>
      </c>
      <c r="R2197" t="s">
        <v>1019</v>
      </c>
      <c r="S2197">
        <v>1.007529849</v>
      </c>
    </row>
    <row r="2198" spans="1:19" x14ac:dyDescent="0.25">
      <c r="A2198" t="s">
        <v>85</v>
      </c>
      <c r="B2198" t="s">
        <v>1000</v>
      </c>
      <c r="C2198">
        <v>6</v>
      </c>
      <c r="D2198" t="s">
        <v>25</v>
      </c>
      <c r="E2198" t="s">
        <v>94</v>
      </c>
      <c r="F2198" t="s">
        <v>110</v>
      </c>
      <c r="G2198" t="s">
        <v>103</v>
      </c>
      <c r="H2198" t="s">
        <v>248</v>
      </c>
      <c r="J2198">
        <v>0</v>
      </c>
      <c r="K2198">
        <v>4</v>
      </c>
      <c r="L2198">
        <v>73.260869569999997</v>
      </c>
      <c r="M2198">
        <v>34.453830549999999</v>
      </c>
      <c r="N2198">
        <v>1.058333333</v>
      </c>
      <c r="O2198">
        <v>83.92307692</v>
      </c>
      <c r="P2198">
        <v>44.319135699999997</v>
      </c>
      <c r="Q2198">
        <v>5.9548609999999997E-3</v>
      </c>
      <c r="R2198" t="s">
        <v>1019</v>
      </c>
      <c r="S2198">
        <v>1.052378472</v>
      </c>
    </row>
    <row r="2199" spans="1:19" x14ac:dyDescent="0.25">
      <c r="A2199" t="s">
        <v>85</v>
      </c>
      <c r="B2199" t="s">
        <v>1000</v>
      </c>
      <c r="C2199">
        <v>6</v>
      </c>
      <c r="D2199" t="s">
        <v>25</v>
      </c>
      <c r="E2199" t="s">
        <v>94</v>
      </c>
      <c r="F2199" t="s">
        <v>110</v>
      </c>
      <c r="G2199" t="s">
        <v>103</v>
      </c>
      <c r="H2199" t="s">
        <v>233</v>
      </c>
      <c r="J2199">
        <v>0</v>
      </c>
      <c r="K2199">
        <v>3</v>
      </c>
      <c r="L2199">
        <v>73.260869569999997</v>
      </c>
      <c r="M2199">
        <v>34.453830549999999</v>
      </c>
      <c r="N2199">
        <v>1.058333333</v>
      </c>
      <c r="O2199">
        <v>106.0540541</v>
      </c>
      <c r="P2199">
        <v>52.690533369999997</v>
      </c>
      <c r="Q2199">
        <v>7.6058968000000005E-2</v>
      </c>
      <c r="R2199" t="s">
        <v>1019</v>
      </c>
      <c r="S2199">
        <v>0.98227436499999998</v>
      </c>
    </row>
    <row r="2200" spans="1:19" x14ac:dyDescent="0.25">
      <c r="A2200" t="s">
        <v>85</v>
      </c>
      <c r="B2200" t="s">
        <v>1000</v>
      </c>
      <c r="C2200">
        <v>6</v>
      </c>
      <c r="D2200" t="s">
        <v>25</v>
      </c>
      <c r="E2200" t="s">
        <v>94</v>
      </c>
      <c r="F2200" t="s">
        <v>110</v>
      </c>
      <c r="G2200" t="s">
        <v>103</v>
      </c>
      <c r="H2200" t="s">
        <v>110</v>
      </c>
      <c r="J2200">
        <v>0</v>
      </c>
      <c r="K2200">
        <v>1</v>
      </c>
      <c r="L2200">
        <v>73.260869569999997</v>
      </c>
      <c r="M2200">
        <v>34.453830549999999</v>
      </c>
      <c r="N2200">
        <v>1.058333333</v>
      </c>
      <c r="O2200">
        <v>73.260869569999997</v>
      </c>
      <c r="P2200">
        <v>34.453830549999999</v>
      </c>
      <c r="Q2200">
        <v>1.058333333</v>
      </c>
      <c r="R2200" t="s">
        <v>1019</v>
      </c>
      <c r="S2200">
        <v>0</v>
      </c>
    </row>
    <row r="2201" spans="1:19" x14ac:dyDescent="0.25">
      <c r="A2201" t="s">
        <v>86</v>
      </c>
      <c r="B2201" t="s">
        <v>1001</v>
      </c>
      <c r="C2201">
        <v>6</v>
      </c>
      <c r="D2201" t="s">
        <v>27</v>
      </c>
      <c r="E2201" t="s">
        <v>94</v>
      </c>
      <c r="F2201" t="s">
        <v>110</v>
      </c>
      <c r="G2201" t="s">
        <v>121</v>
      </c>
      <c r="H2201" t="s">
        <v>246</v>
      </c>
      <c r="J2201">
        <v>0</v>
      </c>
      <c r="K2201">
        <v>1</v>
      </c>
      <c r="L2201">
        <v>73.260869569999997</v>
      </c>
      <c r="M2201">
        <v>34.453830549999999</v>
      </c>
      <c r="N2201">
        <v>1.058333333</v>
      </c>
      <c r="O2201">
        <v>120.25</v>
      </c>
      <c r="P2201">
        <v>30.670450110000001</v>
      </c>
      <c r="Q2201">
        <v>0.91037498500000003</v>
      </c>
      <c r="R2201" t="s">
        <v>1019</v>
      </c>
      <c r="S2201">
        <v>0.14795834799999996</v>
      </c>
    </row>
    <row r="2202" spans="1:19" x14ac:dyDescent="0.25">
      <c r="A2202" t="s">
        <v>86</v>
      </c>
      <c r="B2202" t="s">
        <v>1001</v>
      </c>
      <c r="C2202">
        <v>6</v>
      </c>
      <c r="D2202" t="s">
        <v>27</v>
      </c>
      <c r="E2202" t="s">
        <v>94</v>
      </c>
      <c r="F2202" t="s">
        <v>110</v>
      </c>
      <c r="G2202" t="s">
        <v>121</v>
      </c>
      <c r="H2202" t="s">
        <v>242</v>
      </c>
      <c r="J2202">
        <v>0</v>
      </c>
      <c r="K2202">
        <v>2</v>
      </c>
      <c r="L2202">
        <v>73.260869569999997</v>
      </c>
      <c r="M2202">
        <v>34.453830549999999</v>
      </c>
      <c r="N2202">
        <v>1.058333333</v>
      </c>
      <c r="O2202">
        <v>139.375</v>
      </c>
      <c r="P2202">
        <v>23.713465920000001</v>
      </c>
      <c r="Q2202" t="s">
        <v>114</v>
      </c>
      <c r="R2202" t="s">
        <v>1019</v>
      </c>
      <c r="S2202" t="s">
        <v>114</v>
      </c>
    </row>
    <row r="2203" spans="1:19" x14ac:dyDescent="0.25">
      <c r="A2203" t="s">
        <v>86</v>
      </c>
      <c r="B2203" t="s">
        <v>1002</v>
      </c>
      <c r="C2203">
        <v>6</v>
      </c>
      <c r="D2203" t="s">
        <v>27</v>
      </c>
      <c r="E2203" t="s">
        <v>94</v>
      </c>
      <c r="F2203" t="s">
        <v>112</v>
      </c>
      <c r="G2203" t="s">
        <v>110</v>
      </c>
      <c r="H2203" t="s">
        <v>110</v>
      </c>
      <c r="J2203">
        <v>0</v>
      </c>
      <c r="K2203">
        <v>1</v>
      </c>
      <c r="L2203">
        <v>65.09375</v>
      </c>
      <c r="M2203">
        <v>37.895352600000002</v>
      </c>
      <c r="N2203">
        <v>2.2882677779999998</v>
      </c>
      <c r="O2203">
        <v>73.260869569999997</v>
      </c>
      <c r="P2203">
        <v>34.453830549999999</v>
      </c>
      <c r="Q2203">
        <v>1.058333333</v>
      </c>
      <c r="R2203" t="s">
        <v>1019</v>
      </c>
      <c r="S2203">
        <v>1.2299344449999998</v>
      </c>
    </row>
    <row r="2204" spans="1:19" x14ac:dyDescent="0.25">
      <c r="A2204" t="s">
        <v>86</v>
      </c>
      <c r="B2204" t="s">
        <v>1002</v>
      </c>
      <c r="C2204">
        <v>6</v>
      </c>
      <c r="D2204" t="s">
        <v>27</v>
      </c>
      <c r="E2204" t="s">
        <v>94</v>
      </c>
      <c r="F2204" t="s">
        <v>112</v>
      </c>
      <c r="G2204" t="s">
        <v>110</v>
      </c>
      <c r="H2204" t="s">
        <v>246</v>
      </c>
      <c r="J2204">
        <v>0</v>
      </c>
      <c r="K2204">
        <v>1</v>
      </c>
      <c r="L2204">
        <v>65.09375</v>
      </c>
      <c r="M2204">
        <v>37.895352600000002</v>
      </c>
      <c r="N2204">
        <v>2.2882677779999998</v>
      </c>
      <c r="O2204">
        <v>120.25</v>
      </c>
      <c r="P2204">
        <v>30.670450110000001</v>
      </c>
      <c r="Q2204">
        <v>0.91037498500000003</v>
      </c>
      <c r="R2204" t="s">
        <v>1019</v>
      </c>
      <c r="S2204">
        <v>1.3778927929999998</v>
      </c>
    </row>
    <row r="2205" spans="1:19" x14ac:dyDescent="0.25">
      <c r="A2205" t="s">
        <v>87</v>
      </c>
      <c r="B2205" t="s">
        <v>1003</v>
      </c>
      <c r="C2205">
        <v>6</v>
      </c>
      <c r="D2205" t="s">
        <v>29</v>
      </c>
      <c r="E2205" t="s">
        <v>95</v>
      </c>
      <c r="F2205" t="s">
        <v>102</v>
      </c>
      <c r="G2205" t="s">
        <v>110</v>
      </c>
      <c r="H2205" t="s">
        <v>110</v>
      </c>
      <c r="J2205">
        <v>0</v>
      </c>
      <c r="K2205">
        <v>3</v>
      </c>
      <c r="L2205">
        <v>84.740740740000007</v>
      </c>
      <c r="M2205">
        <v>29.167014049999999</v>
      </c>
      <c r="N2205">
        <v>1.1169849999999999</v>
      </c>
      <c r="O2205">
        <v>73.260869569999997</v>
      </c>
      <c r="P2205">
        <v>34.453830549999999</v>
      </c>
      <c r="Q2205">
        <v>1.058333333</v>
      </c>
      <c r="R2205" t="s">
        <v>1019</v>
      </c>
      <c r="S2205">
        <v>5.8651666999999907E-2</v>
      </c>
    </row>
    <row r="2206" spans="1:19" x14ac:dyDescent="0.25">
      <c r="A2206" t="s">
        <v>87</v>
      </c>
      <c r="B2206" t="s">
        <v>1003</v>
      </c>
      <c r="C2206">
        <v>6</v>
      </c>
      <c r="D2206" t="s">
        <v>29</v>
      </c>
      <c r="E2206" t="s">
        <v>95</v>
      </c>
      <c r="F2206" t="s">
        <v>102</v>
      </c>
      <c r="G2206" t="s">
        <v>110</v>
      </c>
      <c r="H2206" t="s">
        <v>246</v>
      </c>
      <c r="J2206">
        <v>0</v>
      </c>
      <c r="K2206">
        <v>1</v>
      </c>
      <c r="L2206">
        <v>84.740740740000007</v>
      </c>
      <c r="M2206">
        <v>29.167014049999999</v>
      </c>
      <c r="N2206">
        <v>1.1169849999999999</v>
      </c>
      <c r="O2206">
        <v>120.25</v>
      </c>
      <c r="P2206">
        <v>30.670450110000001</v>
      </c>
      <c r="Q2206">
        <v>0.91037498500000003</v>
      </c>
      <c r="R2206" t="s">
        <v>1019</v>
      </c>
      <c r="S2206">
        <v>0.20661001499999987</v>
      </c>
    </row>
    <row r="2207" spans="1:19" x14ac:dyDescent="0.25">
      <c r="A2207" t="s">
        <v>87</v>
      </c>
      <c r="B2207" t="s">
        <v>1003</v>
      </c>
      <c r="C2207">
        <v>6</v>
      </c>
      <c r="D2207" t="s">
        <v>29</v>
      </c>
      <c r="E2207" t="s">
        <v>95</v>
      </c>
      <c r="F2207" t="s">
        <v>102</v>
      </c>
      <c r="G2207" t="s">
        <v>110</v>
      </c>
      <c r="H2207" t="s">
        <v>242</v>
      </c>
      <c r="J2207">
        <v>0</v>
      </c>
      <c r="K2207">
        <v>2</v>
      </c>
      <c r="L2207">
        <v>84.740740740000007</v>
      </c>
      <c r="M2207">
        <v>29.167014049999999</v>
      </c>
      <c r="N2207">
        <v>1.1169849999999999</v>
      </c>
      <c r="O2207">
        <v>139.375</v>
      </c>
      <c r="P2207">
        <v>23.713465920000001</v>
      </c>
      <c r="Q2207" t="s">
        <v>114</v>
      </c>
      <c r="R2207" t="s">
        <v>1019</v>
      </c>
      <c r="S2207" t="s">
        <v>114</v>
      </c>
    </row>
    <row r="2208" spans="1:19" x14ac:dyDescent="0.25">
      <c r="A2208" t="s">
        <v>87</v>
      </c>
      <c r="B2208" t="s">
        <v>1004</v>
      </c>
      <c r="C2208">
        <v>6</v>
      </c>
      <c r="D2208" t="s">
        <v>29</v>
      </c>
      <c r="E2208" t="s">
        <v>95</v>
      </c>
      <c r="F2208" t="s">
        <v>110</v>
      </c>
      <c r="G2208" t="s">
        <v>110</v>
      </c>
      <c r="H2208" t="s">
        <v>110</v>
      </c>
      <c r="J2208">
        <v>0</v>
      </c>
      <c r="K2208">
        <v>1</v>
      </c>
      <c r="L2208">
        <v>73.260869569999997</v>
      </c>
      <c r="M2208">
        <v>34.453830549999999</v>
      </c>
      <c r="N2208">
        <v>1.058333333</v>
      </c>
      <c r="O2208">
        <v>73.260869569999997</v>
      </c>
      <c r="P2208">
        <v>34.453830549999999</v>
      </c>
      <c r="Q2208">
        <v>1.058333333</v>
      </c>
      <c r="R2208" t="s">
        <v>1019</v>
      </c>
      <c r="S2208">
        <v>0</v>
      </c>
    </row>
    <row r="2209" spans="1:19" x14ac:dyDescent="0.25">
      <c r="A2209" t="s">
        <v>88</v>
      </c>
      <c r="B2209" t="s">
        <v>1005</v>
      </c>
      <c r="C2209">
        <v>6</v>
      </c>
      <c r="D2209" t="s">
        <v>31</v>
      </c>
      <c r="E2209" t="s">
        <v>95</v>
      </c>
      <c r="F2209" t="s">
        <v>110</v>
      </c>
      <c r="G2209" t="s">
        <v>113</v>
      </c>
      <c r="H2209" t="s">
        <v>113</v>
      </c>
      <c r="J2209">
        <v>0</v>
      </c>
      <c r="K2209">
        <v>3</v>
      </c>
      <c r="L2209">
        <v>73.260869569999997</v>
      </c>
      <c r="M2209">
        <v>34.453830549999999</v>
      </c>
      <c r="N2209">
        <v>1.058333333</v>
      </c>
      <c r="O2209">
        <v>83.757575759999995</v>
      </c>
      <c r="P2209">
        <v>22.60997987</v>
      </c>
      <c r="Q2209">
        <v>0.72884000000000004</v>
      </c>
      <c r="R2209" t="s">
        <v>1019</v>
      </c>
      <c r="S2209">
        <v>0.32949333299999994</v>
      </c>
    </row>
    <row r="2210" spans="1:19" x14ac:dyDescent="0.25">
      <c r="A2210" t="s">
        <v>88</v>
      </c>
      <c r="B2210" t="s">
        <v>1005</v>
      </c>
      <c r="C2210">
        <v>6</v>
      </c>
      <c r="D2210" t="s">
        <v>31</v>
      </c>
      <c r="E2210" t="s">
        <v>95</v>
      </c>
      <c r="F2210" t="s">
        <v>110</v>
      </c>
      <c r="G2210" t="s">
        <v>113</v>
      </c>
      <c r="H2210" t="s">
        <v>103</v>
      </c>
      <c r="J2210">
        <v>0</v>
      </c>
      <c r="K2210">
        <v>1</v>
      </c>
      <c r="L2210">
        <v>73.260869569999997</v>
      </c>
      <c r="M2210">
        <v>34.453830549999999</v>
      </c>
      <c r="N2210">
        <v>1.058333333</v>
      </c>
      <c r="O2210">
        <v>98.291666669999998</v>
      </c>
      <c r="P2210">
        <v>30.315130790000001</v>
      </c>
      <c r="Q2210">
        <v>5.0803484000000003E-2</v>
      </c>
      <c r="R2210" t="s">
        <v>1019</v>
      </c>
      <c r="S2210">
        <v>1.007529849</v>
      </c>
    </row>
    <row r="2211" spans="1:19" x14ac:dyDescent="0.25">
      <c r="A2211" t="s">
        <v>88</v>
      </c>
      <c r="B2211" t="s">
        <v>1006</v>
      </c>
      <c r="C2211">
        <v>6</v>
      </c>
      <c r="D2211" t="s">
        <v>31</v>
      </c>
      <c r="E2211" t="s">
        <v>95</v>
      </c>
      <c r="F2211" t="s">
        <v>112</v>
      </c>
      <c r="G2211" t="s">
        <v>113</v>
      </c>
      <c r="H2211" t="s">
        <v>113</v>
      </c>
      <c r="J2211">
        <v>0</v>
      </c>
      <c r="K2211">
        <v>2</v>
      </c>
      <c r="L2211">
        <v>65.09375</v>
      </c>
      <c r="M2211">
        <v>37.895352600000002</v>
      </c>
      <c r="N2211">
        <v>2.2882677779999998</v>
      </c>
      <c r="O2211">
        <v>83.757575759999995</v>
      </c>
      <c r="P2211">
        <v>22.60997987</v>
      </c>
      <c r="Q2211">
        <v>0.72884000000000004</v>
      </c>
      <c r="R2211" t="s">
        <v>1019</v>
      </c>
      <c r="S2211">
        <v>1.5594277779999999</v>
      </c>
    </row>
    <row r="2212" spans="1:19" x14ac:dyDescent="0.25">
      <c r="A2212" t="s">
        <v>89</v>
      </c>
      <c r="B2212" t="s">
        <v>1007</v>
      </c>
      <c r="C2212">
        <v>6</v>
      </c>
      <c r="D2212" t="s">
        <v>33</v>
      </c>
      <c r="E2212" t="s">
        <v>95</v>
      </c>
      <c r="F2212" t="s">
        <v>104</v>
      </c>
      <c r="G2212" t="s">
        <v>104</v>
      </c>
      <c r="H2212" t="s">
        <v>104</v>
      </c>
      <c r="J2212">
        <v>1</v>
      </c>
      <c r="K2212">
        <v>1</v>
      </c>
      <c r="L2212">
        <v>113.9375</v>
      </c>
      <c r="M2212">
        <v>33.375507550000002</v>
      </c>
      <c r="N2212">
        <v>2.4262999999999999</v>
      </c>
      <c r="O2212">
        <v>113.9375</v>
      </c>
      <c r="P2212">
        <v>33.375507550000002</v>
      </c>
      <c r="Q2212">
        <v>2.4262999999999999</v>
      </c>
      <c r="R2212" t="s">
        <v>1019</v>
      </c>
      <c r="S2212">
        <v>0</v>
      </c>
    </row>
    <row r="2213" spans="1:19" x14ac:dyDescent="0.25">
      <c r="A2213" t="s">
        <v>89</v>
      </c>
      <c r="B2213" t="s">
        <v>1007</v>
      </c>
      <c r="C2213">
        <v>6</v>
      </c>
      <c r="D2213" t="s">
        <v>33</v>
      </c>
      <c r="E2213" t="s">
        <v>95</v>
      </c>
      <c r="F2213" t="s">
        <v>104</v>
      </c>
      <c r="G2213" t="s">
        <v>104</v>
      </c>
      <c r="H2213" t="s">
        <v>103</v>
      </c>
      <c r="J2213">
        <v>1</v>
      </c>
      <c r="K2213">
        <v>1</v>
      </c>
      <c r="L2213">
        <v>113.9375</v>
      </c>
      <c r="M2213">
        <v>33.375507550000002</v>
      </c>
      <c r="N2213">
        <v>2.4262999999999999</v>
      </c>
      <c r="O2213">
        <v>98.291666669999998</v>
      </c>
      <c r="P2213">
        <v>30.315130790000001</v>
      </c>
      <c r="Q2213">
        <v>5.0803484000000003E-2</v>
      </c>
      <c r="R2213" t="s">
        <v>1019</v>
      </c>
      <c r="S2213">
        <v>2.3754965160000001</v>
      </c>
    </row>
    <row r="2214" spans="1:19" x14ac:dyDescent="0.25">
      <c r="A2214" t="s">
        <v>89</v>
      </c>
      <c r="B2214" t="s">
        <v>1007</v>
      </c>
      <c r="C2214">
        <v>6</v>
      </c>
      <c r="D2214" t="s">
        <v>33</v>
      </c>
      <c r="E2214" t="s">
        <v>95</v>
      </c>
      <c r="F2214" t="s">
        <v>104</v>
      </c>
      <c r="G2214" t="s">
        <v>104</v>
      </c>
      <c r="H2214" t="s">
        <v>246</v>
      </c>
      <c r="J2214">
        <v>1</v>
      </c>
      <c r="K2214">
        <v>1</v>
      </c>
      <c r="L2214">
        <v>113.9375</v>
      </c>
      <c r="M2214">
        <v>33.375507550000002</v>
      </c>
      <c r="N2214">
        <v>2.4262999999999999</v>
      </c>
      <c r="O2214">
        <v>120.25</v>
      </c>
      <c r="P2214">
        <v>30.670450110000001</v>
      </c>
      <c r="Q2214">
        <v>0.91037498500000003</v>
      </c>
      <c r="R2214" t="s">
        <v>1019</v>
      </c>
      <c r="S2214">
        <v>1.5159250149999999</v>
      </c>
    </row>
    <row r="2215" spans="1:19" x14ac:dyDescent="0.25">
      <c r="A2215" t="s">
        <v>89</v>
      </c>
      <c r="B2215" t="s">
        <v>1008</v>
      </c>
      <c r="C2215">
        <v>6</v>
      </c>
      <c r="D2215" t="s">
        <v>33</v>
      </c>
      <c r="E2215" t="s">
        <v>95</v>
      </c>
      <c r="F2215" t="s">
        <v>112</v>
      </c>
      <c r="G2215" t="s">
        <v>113</v>
      </c>
      <c r="H2215" t="s">
        <v>113</v>
      </c>
      <c r="I2215" t="s">
        <v>255</v>
      </c>
      <c r="J2215">
        <v>0</v>
      </c>
      <c r="K2215">
        <v>4</v>
      </c>
      <c r="L2215">
        <v>65.09375</v>
      </c>
      <c r="M2215">
        <v>37.895352600000002</v>
      </c>
      <c r="N2215">
        <v>2.2882677779999998</v>
      </c>
      <c r="O2215">
        <v>83.757575759999995</v>
      </c>
      <c r="P2215">
        <v>22.60997987</v>
      </c>
      <c r="Q2215">
        <v>0.72884000000000004</v>
      </c>
      <c r="R2215" t="s">
        <v>1019</v>
      </c>
      <c r="S2215">
        <v>1.5594277779999999</v>
      </c>
    </row>
    <row r="2216" spans="1:19" x14ac:dyDescent="0.25">
      <c r="A2216" t="s">
        <v>90</v>
      </c>
      <c r="B2216" t="s">
        <v>1009</v>
      </c>
      <c r="C2216">
        <v>6</v>
      </c>
      <c r="D2216" t="s">
        <v>35</v>
      </c>
      <c r="E2216" t="s">
        <v>94</v>
      </c>
      <c r="F2216" t="s">
        <v>111</v>
      </c>
      <c r="G2216" t="s">
        <v>121</v>
      </c>
      <c r="H2216" t="s">
        <v>253</v>
      </c>
      <c r="J2216">
        <v>0</v>
      </c>
      <c r="K2216">
        <v>3</v>
      </c>
      <c r="L2216">
        <v>94.97142857</v>
      </c>
      <c r="M2216">
        <v>24.31591813</v>
      </c>
      <c r="N2216">
        <v>0.122951111</v>
      </c>
      <c r="O2216">
        <v>172.08823530000001</v>
      </c>
      <c r="P2216">
        <v>29.581605960000001</v>
      </c>
      <c r="Q2216">
        <v>0.24280444400000001</v>
      </c>
      <c r="R2216" t="s">
        <v>1019</v>
      </c>
      <c r="S2216">
        <v>0.11985333300000001</v>
      </c>
    </row>
    <row r="2217" spans="1:19" x14ac:dyDescent="0.25">
      <c r="A2217" t="s">
        <v>90</v>
      </c>
      <c r="B2217" t="s">
        <v>1009</v>
      </c>
      <c r="C2217">
        <v>6</v>
      </c>
      <c r="D2217" t="s">
        <v>35</v>
      </c>
      <c r="E2217" t="s">
        <v>94</v>
      </c>
      <c r="F2217" t="s">
        <v>111</v>
      </c>
      <c r="G2217" t="s">
        <v>121</v>
      </c>
      <c r="H2217" t="s">
        <v>162</v>
      </c>
      <c r="J2217">
        <v>0</v>
      </c>
      <c r="K2217">
        <v>1</v>
      </c>
      <c r="L2217">
        <v>94.97142857</v>
      </c>
      <c r="M2217">
        <v>24.31591813</v>
      </c>
      <c r="N2217">
        <v>0.122951111</v>
      </c>
      <c r="O2217">
        <v>82.53846154</v>
      </c>
      <c r="P2217">
        <v>35.660530039999998</v>
      </c>
      <c r="Q2217">
        <v>3.3754499999999998</v>
      </c>
      <c r="R2217" t="s">
        <v>1019</v>
      </c>
      <c r="S2217">
        <v>3.2524988889999999</v>
      </c>
    </row>
    <row r="2218" spans="1:19" x14ac:dyDescent="0.25">
      <c r="A2218" t="s">
        <v>90</v>
      </c>
      <c r="B2218" t="s">
        <v>1010</v>
      </c>
      <c r="C2218">
        <v>6</v>
      </c>
      <c r="D2218" t="s">
        <v>35</v>
      </c>
      <c r="E2218" t="s">
        <v>94</v>
      </c>
      <c r="F2218" t="s">
        <v>104</v>
      </c>
      <c r="G2218" t="s">
        <v>111</v>
      </c>
      <c r="H2218" t="s">
        <v>111</v>
      </c>
      <c r="J2218">
        <v>1</v>
      </c>
      <c r="K2218">
        <v>1</v>
      </c>
      <c r="L2218">
        <v>113.9375</v>
      </c>
      <c r="M2218">
        <v>33.375507550000002</v>
      </c>
      <c r="N2218">
        <v>2.4262999999999999</v>
      </c>
      <c r="O2218">
        <v>94.97142857</v>
      </c>
      <c r="P2218">
        <v>24.31591813</v>
      </c>
      <c r="Q2218">
        <v>0.122951111</v>
      </c>
      <c r="R2218" t="s">
        <v>1019</v>
      </c>
      <c r="S2218">
        <v>2.303348889</v>
      </c>
    </row>
    <row r="2219" spans="1:19" x14ac:dyDescent="0.25">
      <c r="A2219" t="s">
        <v>90</v>
      </c>
      <c r="B2219" t="s">
        <v>1010</v>
      </c>
      <c r="C2219">
        <v>6</v>
      </c>
      <c r="D2219" t="s">
        <v>35</v>
      </c>
      <c r="E2219" t="s">
        <v>94</v>
      </c>
      <c r="F2219" t="s">
        <v>104</v>
      </c>
      <c r="G2219" t="s">
        <v>111</v>
      </c>
      <c r="H2219" t="s">
        <v>253</v>
      </c>
      <c r="J2219">
        <v>1</v>
      </c>
      <c r="K2219">
        <v>2</v>
      </c>
      <c r="L2219">
        <v>113.9375</v>
      </c>
      <c r="M2219">
        <v>33.375507550000002</v>
      </c>
      <c r="N2219">
        <v>2.4262999999999999</v>
      </c>
      <c r="O2219">
        <v>172.08823530000001</v>
      </c>
      <c r="P2219">
        <v>29.581605960000001</v>
      </c>
      <c r="Q2219">
        <v>0.24280444400000001</v>
      </c>
      <c r="R2219" t="s">
        <v>1019</v>
      </c>
      <c r="S2219">
        <v>2.183495556</v>
      </c>
    </row>
    <row r="2220" spans="1:19" x14ac:dyDescent="0.25">
      <c r="A2220" t="s">
        <v>91</v>
      </c>
      <c r="B2220" t="s">
        <v>1011</v>
      </c>
      <c r="C2220">
        <v>6</v>
      </c>
      <c r="D2220" t="s">
        <v>37</v>
      </c>
      <c r="E2220" t="s">
        <v>94</v>
      </c>
      <c r="F2220" t="s">
        <v>112</v>
      </c>
      <c r="G2220" t="s">
        <v>112</v>
      </c>
      <c r="H2220" t="s">
        <v>112</v>
      </c>
      <c r="J2220">
        <v>0</v>
      </c>
      <c r="K2220">
        <v>1</v>
      </c>
      <c r="L2220">
        <v>65.09375</v>
      </c>
      <c r="M2220">
        <v>37.895352600000002</v>
      </c>
      <c r="N2220">
        <v>2.2882677779999998</v>
      </c>
      <c r="O2220">
        <v>65.09375</v>
      </c>
      <c r="P2220">
        <v>37.895352600000002</v>
      </c>
      <c r="Q2220">
        <v>2.2882677779999998</v>
      </c>
      <c r="R2220" t="s">
        <v>1019</v>
      </c>
      <c r="S2220">
        <v>0</v>
      </c>
    </row>
    <row r="2221" spans="1:19" x14ac:dyDescent="0.25">
      <c r="A2221" t="s">
        <v>92</v>
      </c>
      <c r="B2221" t="s">
        <v>1012</v>
      </c>
      <c r="C2221">
        <v>6</v>
      </c>
      <c r="D2221" t="s">
        <v>64</v>
      </c>
      <c r="E2221" t="s">
        <v>94</v>
      </c>
      <c r="F2221" t="s">
        <v>112</v>
      </c>
      <c r="G2221" t="s">
        <v>102</v>
      </c>
      <c r="H2221" t="s">
        <v>102</v>
      </c>
      <c r="J2221">
        <v>0</v>
      </c>
      <c r="K2221">
        <v>2</v>
      </c>
      <c r="L2221">
        <v>65.09375</v>
      </c>
      <c r="M2221">
        <v>37.895352600000002</v>
      </c>
      <c r="N2221">
        <v>2.2882677779999998</v>
      </c>
      <c r="O2221">
        <v>84.740740740000007</v>
      </c>
      <c r="P2221">
        <v>29.167014049999999</v>
      </c>
      <c r="Q2221">
        <v>1.1169849999999999</v>
      </c>
      <c r="R2221" t="s">
        <v>1019</v>
      </c>
      <c r="S2221">
        <v>1.1712827779999999</v>
      </c>
    </row>
    <row r="2222" spans="1:19" x14ac:dyDescent="0.25">
      <c r="A2222" t="s">
        <v>92</v>
      </c>
      <c r="B2222" t="s">
        <v>1012</v>
      </c>
      <c r="C2222">
        <v>6</v>
      </c>
      <c r="D2222" t="s">
        <v>64</v>
      </c>
      <c r="E2222" t="s">
        <v>94</v>
      </c>
      <c r="F2222" t="s">
        <v>112</v>
      </c>
      <c r="G2222" t="s">
        <v>102</v>
      </c>
      <c r="H2222" t="s">
        <v>241</v>
      </c>
      <c r="J2222">
        <v>0</v>
      </c>
      <c r="K2222">
        <v>1</v>
      </c>
      <c r="L2222">
        <v>65.09375</v>
      </c>
      <c r="M2222">
        <v>37.895352600000002</v>
      </c>
      <c r="N2222">
        <v>2.2882677779999998</v>
      </c>
      <c r="O2222">
        <v>114</v>
      </c>
      <c r="P2222">
        <v>30.43077242</v>
      </c>
      <c r="Q2222">
        <v>0.53383111100000002</v>
      </c>
      <c r="R2222" t="s">
        <v>1019</v>
      </c>
      <c r="S2222">
        <v>1.7544366669999998</v>
      </c>
    </row>
    <row r="2223" spans="1:19" x14ac:dyDescent="0.25">
      <c r="A2223" t="s">
        <v>93</v>
      </c>
      <c r="B2223" t="s">
        <v>1013</v>
      </c>
      <c r="C2223">
        <v>6</v>
      </c>
      <c r="D2223" t="s">
        <v>66</v>
      </c>
      <c r="E2223" t="s">
        <v>95</v>
      </c>
      <c r="F2223" t="s">
        <v>104</v>
      </c>
      <c r="G2223" t="s">
        <v>103</v>
      </c>
      <c r="H2223" t="s">
        <v>104</v>
      </c>
      <c r="J2223">
        <v>0</v>
      </c>
      <c r="K2223">
        <v>1</v>
      </c>
      <c r="L2223">
        <v>113.9375</v>
      </c>
      <c r="M2223">
        <v>33.375507550000002</v>
      </c>
      <c r="N2223">
        <v>2.4262999999999999</v>
      </c>
      <c r="O2223">
        <v>113.9375</v>
      </c>
      <c r="P2223">
        <v>33.375507550000002</v>
      </c>
      <c r="Q2223">
        <v>2.4262999999999999</v>
      </c>
      <c r="R2223" t="s">
        <v>1019</v>
      </c>
      <c r="S2223">
        <v>0</v>
      </c>
    </row>
    <row r="2224" spans="1:19" x14ac:dyDescent="0.25">
      <c r="A2224" t="s">
        <v>93</v>
      </c>
      <c r="B2224" t="s">
        <v>1013</v>
      </c>
      <c r="C2224">
        <v>6</v>
      </c>
      <c r="D2224" t="s">
        <v>66</v>
      </c>
      <c r="E2224" t="s">
        <v>95</v>
      </c>
      <c r="F2224" t="s">
        <v>104</v>
      </c>
      <c r="G2224" t="s">
        <v>103</v>
      </c>
      <c r="H2224" t="s">
        <v>111</v>
      </c>
      <c r="J2224">
        <v>0</v>
      </c>
      <c r="K2224">
        <v>1</v>
      </c>
      <c r="L2224">
        <v>113.9375</v>
      </c>
      <c r="M2224">
        <v>33.375507550000002</v>
      </c>
      <c r="N2224">
        <v>2.4262999999999999</v>
      </c>
      <c r="O2224">
        <v>94.97142857</v>
      </c>
      <c r="P2224">
        <v>24.31591813</v>
      </c>
      <c r="Q2224">
        <v>0.122951111</v>
      </c>
      <c r="R2224" t="s">
        <v>1019</v>
      </c>
      <c r="S2224">
        <v>2.303348889</v>
      </c>
    </row>
    <row r="2225" spans="1:19" x14ac:dyDescent="0.25">
      <c r="A2225" t="s">
        <v>93</v>
      </c>
      <c r="B2225" t="s">
        <v>1013</v>
      </c>
      <c r="C2225">
        <v>6</v>
      </c>
      <c r="D2225" t="s">
        <v>66</v>
      </c>
      <c r="E2225" t="s">
        <v>95</v>
      </c>
      <c r="F2225" t="s">
        <v>104</v>
      </c>
      <c r="G2225" t="s">
        <v>103</v>
      </c>
      <c r="H2225" t="s">
        <v>103</v>
      </c>
      <c r="J2225">
        <v>0</v>
      </c>
      <c r="K2225">
        <v>4</v>
      </c>
      <c r="L2225">
        <v>113.9375</v>
      </c>
      <c r="M2225">
        <v>33.375507550000002</v>
      </c>
      <c r="N2225">
        <v>2.4262999999999999</v>
      </c>
      <c r="O2225">
        <v>98.291666669999998</v>
      </c>
      <c r="P2225">
        <v>30.315130790000001</v>
      </c>
      <c r="Q2225">
        <v>5.0803484000000003E-2</v>
      </c>
      <c r="R2225" t="s">
        <v>1019</v>
      </c>
      <c r="S2225">
        <v>2.3754965160000001</v>
      </c>
    </row>
    <row r="2226" spans="1:19" x14ac:dyDescent="0.25">
      <c r="A2226" t="s">
        <v>93</v>
      </c>
      <c r="B2226" t="s">
        <v>1013</v>
      </c>
      <c r="C2226">
        <v>6</v>
      </c>
      <c r="D2226" t="s">
        <v>66</v>
      </c>
      <c r="E2226" t="s">
        <v>95</v>
      </c>
      <c r="F2226" t="s">
        <v>104</v>
      </c>
      <c r="G2226" t="s">
        <v>103</v>
      </c>
      <c r="H2226" t="s">
        <v>238</v>
      </c>
      <c r="J2226">
        <v>0</v>
      </c>
      <c r="K2226">
        <v>2</v>
      </c>
      <c r="L2226">
        <v>113.9375</v>
      </c>
      <c r="M2226">
        <v>33.375507550000002</v>
      </c>
      <c r="N2226">
        <v>2.4262999999999999</v>
      </c>
      <c r="O2226">
        <v>87.5</v>
      </c>
      <c r="P2226">
        <v>29.478311600000001</v>
      </c>
      <c r="Q2226">
        <v>3.0797751000000002E-2</v>
      </c>
      <c r="R2226" t="s">
        <v>1019</v>
      </c>
      <c r="S2226">
        <v>2.3955022489999998</v>
      </c>
    </row>
    <row r="2227" spans="1:19" x14ac:dyDescent="0.25">
      <c r="A2227" t="s">
        <v>93</v>
      </c>
      <c r="B2227" t="s">
        <v>1013</v>
      </c>
      <c r="C2227">
        <v>6</v>
      </c>
      <c r="D2227" t="s">
        <v>66</v>
      </c>
      <c r="E2227" t="s">
        <v>95</v>
      </c>
      <c r="F2227" t="s">
        <v>104</v>
      </c>
      <c r="G2227" t="s">
        <v>103</v>
      </c>
      <c r="H2227" t="s">
        <v>246</v>
      </c>
      <c r="J2227">
        <v>0</v>
      </c>
      <c r="K2227">
        <v>1</v>
      </c>
      <c r="L2227">
        <v>113.9375</v>
      </c>
      <c r="M2227">
        <v>33.375507550000002</v>
      </c>
      <c r="N2227">
        <v>2.4262999999999999</v>
      </c>
      <c r="O2227">
        <v>120.25</v>
      </c>
      <c r="P2227">
        <v>30.670450110000001</v>
      </c>
      <c r="Q2227">
        <v>0.91037498500000003</v>
      </c>
      <c r="R2227" t="s">
        <v>1019</v>
      </c>
      <c r="S2227">
        <v>1.5159250149999999</v>
      </c>
    </row>
    <row r="2228" spans="1:19" x14ac:dyDescent="0.25">
      <c r="A2228" t="s">
        <v>67</v>
      </c>
      <c r="B2228" t="s">
        <v>820</v>
      </c>
      <c r="C2228">
        <v>10</v>
      </c>
      <c r="D2228" t="s">
        <v>11</v>
      </c>
      <c r="E2228" t="s">
        <v>94</v>
      </c>
      <c r="F2228" t="s">
        <v>113</v>
      </c>
      <c r="G2228" t="s">
        <v>121</v>
      </c>
      <c r="H2228" t="s">
        <v>113</v>
      </c>
      <c r="J2228">
        <v>0</v>
      </c>
      <c r="K2228">
        <v>2</v>
      </c>
      <c r="L2228">
        <v>83.757575759999995</v>
      </c>
      <c r="M2228">
        <v>22.60997987</v>
      </c>
      <c r="N2228">
        <v>0.72884000000000004</v>
      </c>
      <c r="O2228">
        <v>83.757575759999995</v>
      </c>
      <c r="P2228">
        <v>22.60997987</v>
      </c>
      <c r="Q2228">
        <v>0.72884000000000004</v>
      </c>
      <c r="R2228" t="s">
        <v>1041</v>
      </c>
      <c r="S2228">
        <v>0</v>
      </c>
    </row>
    <row r="2229" spans="1:19" x14ac:dyDescent="0.25">
      <c r="A2229" t="s">
        <v>67</v>
      </c>
      <c r="B2229" t="s">
        <v>820</v>
      </c>
      <c r="C2229">
        <v>10</v>
      </c>
      <c r="D2229" t="s">
        <v>11</v>
      </c>
      <c r="E2229" t="s">
        <v>94</v>
      </c>
      <c r="F2229" t="s">
        <v>113</v>
      </c>
      <c r="G2229" t="s">
        <v>121</v>
      </c>
      <c r="H2229" t="s">
        <v>248</v>
      </c>
      <c r="J2229">
        <v>0</v>
      </c>
      <c r="K2229">
        <v>1</v>
      </c>
      <c r="L2229">
        <v>83.757575759999995</v>
      </c>
      <c r="M2229">
        <v>22.60997987</v>
      </c>
      <c r="N2229">
        <v>0.72884000000000004</v>
      </c>
      <c r="O2229">
        <v>83.92307692</v>
      </c>
      <c r="P2229">
        <v>44.319135699999997</v>
      </c>
      <c r="Q2229">
        <v>5.9548609999999997E-3</v>
      </c>
      <c r="R2229" t="s">
        <v>1041</v>
      </c>
      <c r="S2229">
        <v>3.2834119999999994E-2</v>
      </c>
    </row>
    <row r="2230" spans="1:19" x14ac:dyDescent="0.25">
      <c r="A2230" t="s">
        <v>67</v>
      </c>
      <c r="B2230" t="s">
        <v>821</v>
      </c>
      <c r="C2230">
        <v>10</v>
      </c>
      <c r="D2230" t="s">
        <v>11</v>
      </c>
      <c r="E2230" t="s">
        <v>94</v>
      </c>
      <c r="F2230" t="s">
        <v>103</v>
      </c>
      <c r="G2230" t="s">
        <v>121</v>
      </c>
      <c r="H2230" t="s">
        <v>103</v>
      </c>
      <c r="J2230">
        <v>0</v>
      </c>
      <c r="K2230">
        <v>1</v>
      </c>
      <c r="L2230">
        <v>98.291666669999998</v>
      </c>
      <c r="M2230">
        <v>30.315130790000001</v>
      </c>
      <c r="N2230">
        <v>5.0803484000000003E-2</v>
      </c>
      <c r="O2230">
        <v>98.291666669999998</v>
      </c>
      <c r="P2230">
        <v>30.315130790000001</v>
      </c>
      <c r="Q2230">
        <v>5.0803484000000003E-2</v>
      </c>
      <c r="R2230" t="s">
        <v>1041</v>
      </c>
      <c r="S2230">
        <v>0</v>
      </c>
    </row>
    <row r="2231" spans="1:19" x14ac:dyDescent="0.25">
      <c r="A2231" t="s">
        <v>67</v>
      </c>
      <c r="B2231" t="s">
        <v>822</v>
      </c>
      <c r="C2231">
        <v>10</v>
      </c>
      <c r="D2231" t="s">
        <v>11</v>
      </c>
      <c r="E2231" t="s">
        <v>94</v>
      </c>
      <c r="F2231" t="s">
        <v>112</v>
      </c>
      <c r="G2231" t="s">
        <v>121</v>
      </c>
      <c r="H2231" t="s">
        <v>235</v>
      </c>
      <c r="J2231">
        <v>0</v>
      </c>
      <c r="K2231">
        <v>1</v>
      </c>
      <c r="L2231">
        <v>65.09375</v>
      </c>
      <c r="M2231">
        <v>37.895352600000002</v>
      </c>
      <c r="N2231">
        <v>2.2882677779999998</v>
      </c>
      <c r="O2231">
        <v>132.27272730000001</v>
      </c>
      <c r="P2231">
        <v>20.180448590000001</v>
      </c>
      <c r="Q2231">
        <v>3.7813451999999997E-2</v>
      </c>
      <c r="R2231" t="s">
        <v>1041</v>
      </c>
      <c r="S2231">
        <v>1.7971333899999999</v>
      </c>
    </row>
    <row r="2232" spans="1:19" x14ac:dyDescent="0.25">
      <c r="A2232" t="s">
        <v>67</v>
      </c>
      <c r="B2232" t="s">
        <v>822</v>
      </c>
      <c r="C2232">
        <v>10</v>
      </c>
      <c r="D2232" t="s">
        <v>11</v>
      </c>
      <c r="E2232" t="s">
        <v>94</v>
      </c>
      <c r="F2232" t="s">
        <v>112</v>
      </c>
      <c r="G2232" t="s">
        <v>121</v>
      </c>
      <c r="H2232" t="s">
        <v>248</v>
      </c>
      <c r="J2232">
        <v>0</v>
      </c>
      <c r="K2232">
        <v>2</v>
      </c>
      <c r="L2232">
        <v>65.09375</v>
      </c>
      <c r="M2232">
        <v>37.895352600000002</v>
      </c>
      <c r="N2232">
        <v>2.2882677779999998</v>
      </c>
      <c r="O2232">
        <v>83.92307692</v>
      </c>
      <c r="P2232">
        <v>44.319135699999997</v>
      </c>
      <c r="Q2232">
        <v>5.9548609999999997E-3</v>
      </c>
      <c r="R2232" t="s">
        <v>1041</v>
      </c>
      <c r="S2232">
        <v>2.03099812</v>
      </c>
    </row>
    <row r="2233" spans="1:19" x14ac:dyDescent="0.25">
      <c r="A2233" t="s">
        <v>68</v>
      </c>
      <c r="B2233" t="s">
        <v>823</v>
      </c>
      <c r="C2233">
        <v>10</v>
      </c>
      <c r="D2233" t="s">
        <v>15</v>
      </c>
      <c r="E2233" t="s">
        <v>95</v>
      </c>
      <c r="F2233" t="s">
        <v>113</v>
      </c>
      <c r="G2233" t="s">
        <v>121</v>
      </c>
      <c r="H2233" t="s">
        <v>113</v>
      </c>
      <c r="J2233">
        <v>0</v>
      </c>
      <c r="K2233">
        <v>1</v>
      </c>
      <c r="L2233">
        <v>83.757575759999995</v>
      </c>
      <c r="M2233">
        <v>22.60997987</v>
      </c>
      <c r="N2233">
        <v>0.72884000000000004</v>
      </c>
      <c r="O2233">
        <v>83.757575759999995</v>
      </c>
      <c r="P2233">
        <v>22.60997987</v>
      </c>
      <c r="Q2233">
        <v>0.72884000000000004</v>
      </c>
      <c r="R2233" t="s">
        <v>1041</v>
      </c>
      <c r="S2233">
        <v>0</v>
      </c>
    </row>
    <row r="2234" spans="1:19" x14ac:dyDescent="0.25">
      <c r="A2234" t="s">
        <v>68</v>
      </c>
      <c r="B2234" t="s">
        <v>824</v>
      </c>
      <c r="C2234">
        <v>10</v>
      </c>
      <c r="D2234" t="s">
        <v>15</v>
      </c>
      <c r="E2234" t="s">
        <v>95</v>
      </c>
      <c r="F2234" t="s">
        <v>110</v>
      </c>
      <c r="G2234" t="s">
        <v>113</v>
      </c>
      <c r="H2234" t="s">
        <v>113</v>
      </c>
      <c r="J2234">
        <v>0</v>
      </c>
      <c r="K2234">
        <v>2</v>
      </c>
      <c r="L2234">
        <v>73.260869569999997</v>
      </c>
      <c r="M2234">
        <v>34.453830549999999</v>
      </c>
      <c r="N2234">
        <v>1.058333333</v>
      </c>
      <c r="O2234">
        <v>83.757575759999995</v>
      </c>
      <c r="P2234">
        <v>22.60997987</v>
      </c>
      <c r="Q2234">
        <v>0.72884000000000004</v>
      </c>
      <c r="R2234" t="s">
        <v>1041</v>
      </c>
      <c r="S2234">
        <v>0.6959573</v>
      </c>
    </row>
    <row r="2235" spans="1:19" x14ac:dyDescent="0.25">
      <c r="A2235" t="s">
        <v>68</v>
      </c>
      <c r="B2235" t="s">
        <v>825</v>
      </c>
      <c r="C2235">
        <v>10</v>
      </c>
      <c r="D2235" t="s">
        <v>15</v>
      </c>
      <c r="E2235" t="s">
        <v>95</v>
      </c>
      <c r="F2235" t="s">
        <v>111</v>
      </c>
      <c r="G2235" t="s">
        <v>121</v>
      </c>
      <c r="H2235" t="s">
        <v>239</v>
      </c>
      <c r="J2235">
        <v>0</v>
      </c>
      <c r="K2235">
        <v>1</v>
      </c>
      <c r="L2235">
        <v>94.97142857</v>
      </c>
      <c r="M2235">
        <v>24.31591813</v>
      </c>
      <c r="N2235">
        <v>0.122951111</v>
      </c>
      <c r="O2235">
        <v>100.45454549999999</v>
      </c>
      <c r="P2235">
        <v>26.754810689999999</v>
      </c>
      <c r="Q2235">
        <v>0.75829999999999997</v>
      </c>
      <c r="R2235" t="s">
        <v>1041</v>
      </c>
      <c r="S2235">
        <v>1.857070999999999E-2</v>
      </c>
    </row>
    <row r="2236" spans="1:19" x14ac:dyDescent="0.25">
      <c r="A2236" t="s">
        <v>68</v>
      </c>
      <c r="B2236" t="s">
        <v>826</v>
      </c>
      <c r="C2236">
        <v>10</v>
      </c>
      <c r="D2236" t="s">
        <v>15</v>
      </c>
      <c r="E2236" t="s">
        <v>95</v>
      </c>
      <c r="F2236" t="s">
        <v>104</v>
      </c>
      <c r="G2236" t="s">
        <v>121</v>
      </c>
      <c r="H2236" t="s">
        <v>114</v>
      </c>
      <c r="I2236" t="s">
        <v>161</v>
      </c>
      <c r="J2236">
        <v>1</v>
      </c>
      <c r="K2236">
        <v>0</v>
      </c>
      <c r="L2236">
        <v>113.9375</v>
      </c>
      <c r="M2236">
        <v>33.375507550000002</v>
      </c>
      <c r="N2236">
        <v>2.4262999999999999</v>
      </c>
      <c r="O2236" t="s">
        <v>114</v>
      </c>
      <c r="P2236" t="s">
        <v>114</v>
      </c>
      <c r="Q2236" t="s">
        <v>114</v>
      </c>
      <c r="R2236" t="s">
        <v>1041</v>
      </c>
      <c r="S2236" t="s">
        <v>114</v>
      </c>
    </row>
    <row r="2237" spans="1:19" x14ac:dyDescent="0.25">
      <c r="A2237" t="s">
        <v>69</v>
      </c>
      <c r="B2237" t="s">
        <v>827</v>
      </c>
      <c r="C2237">
        <v>10</v>
      </c>
      <c r="D2237" t="s">
        <v>17</v>
      </c>
      <c r="E2237" t="s">
        <v>95</v>
      </c>
      <c r="F2237" t="s">
        <v>102</v>
      </c>
      <c r="G2237" t="s">
        <v>102</v>
      </c>
      <c r="H2237" t="s">
        <v>102</v>
      </c>
      <c r="J2237">
        <v>0</v>
      </c>
      <c r="K2237">
        <v>1</v>
      </c>
      <c r="L2237">
        <v>84.740740740000007</v>
      </c>
      <c r="M2237">
        <v>29.167014049999999</v>
      </c>
      <c r="N2237">
        <v>1.1169849999999999</v>
      </c>
      <c r="O2237">
        <v>84.740740740000007</v>
      </c>
      <c r="P2237">
        <v>29.167014049999999</v>
      </c>
      <c r="Q2237">
        <v>1.1169849999999999</v>
      </c>
      <c r="R2237" t="s">
        <v>1041</v>
      </c>
      <c r="S2237">
        <v>0</v>
      </c>
    </row>
    <row r="2238" spans="1:19" x14ac:dyDescent="0.25">
      <c r="A2238" t="s">
        <v>69</v>
      </c>
      <c r="B2238" t="s">
        <v>827</v>
      </c>
      <c r="C2238">
        <v>10</v>
      </c>
      <c r="D2238" t="s">
        <v>17</v>
      </c>
      <c r="E2238" t="s">
        <v>95</v>
      </c>
      <c r="F2238" t="s">
        <v>102</v>
      </c>
      <c r="G2238" t="s">
        <v>102</v>
      </c>
      <c r="H2238" t="s">
        <v>235</v>
      </c>
      <c r="J2238">
        <v>0</v>
      </c>
      <c r="K2238">
        <v>2</v>
      </c>
      <c r="L2238">
        <v>84.740740740000007</v>
      </c>
      <c r="M2238">
        <v>29.167014049999999</v>
      </c>
      <c r="N2238">
        <v>1.1169849999999999</v>
      </c>
      <c r="O2238">
        <v>132.27272730000001</v>
      </c>
      <c r="P2238">
        <v>20.180448590000001</v>
      </c>
      <c r="Q2238">
        <v>3.7813451999999997E-2</v>
      </c>
      <c r="R2238" t="s">
        <v>1041</v>
      </c>
      <c r="S2238">
        <v>0.74310589000000005</v>
      </c>
    </row>
    <row r="2239" spans="1:19" x14ac:dyDescent="0.25">
      <c r="A2239" t="s">
        <v>69</v>
      </c>
      <c r="B2239" t="s">
        <v>828</v>
      </c>
      <c r="C2239">
        <v>10</v>
      </c>
      <c r="D2239" t="s">
        <v>17</v>
      </c>
      <c r="E2239" t="s">
        <v>95</v>
      </c>
      <c r="F2239" t="s">
        <v>113</v>
      </c>
      <c r="G2239" t="s">
        <v>113</v>
      </c>
      <c r="H2239" t="s">
        <v>113</v>
      </c>
      <c r="J2239">
        <v>0</v>
      </c>
      <c r="K2239">
        <v>1</v>
      </c>
      <c r="L2239">
        <v>83.757575759999995</v>
      </c>
      <c r="M2239">
        <v>22.60997987</v>
      </c>
      <c r="N2239">
        <v>0.72884000000000004</v>
      </c>
      <c r="O2239">
        <v>83.757575759999995</v>
      </c>
      <c r="P2239">
        <v>22.60997987</v>
      </c>
      <c r="Q2239">
        <v>0.72884000000000004</v>
      </c>
      <c r="R2239" t="s">
        <v>1041</v>
      </c>
      <c r="S2239">
        <v>0</v>
      </c>
    </row>
    <row r="2240" spans="1:19" x14ac:dyDescent="0.25">
      <c r="A2240" t="s">
        <v>69</v>
      </c>
      <c r="B2240" t="s">
        <v>828</v>
      </c>
      <c r="C2240">
        <v>10</v>
      </c>
      <c r="D2240" t="s">
        <v>17</v>
      </c>
      <c r="E2240" t="s">
        <v>95</v>
      </c>
      <c r="F2240" t="s">
        <v>113</v>
      </c>
      <c r="G2240" t="s">
        <v>113</v>
      </c>
      <c r="H2240" t="s">
        <v>235</v>
      </c>
      <c r="J2240">
        <v>0</v>
      </c>
      <c r="K2240">
        <v>2</v>
      </c>
      <c r="L2240">
        <v>83.757575759999995</v>
      </c>
      <c r="M2240">
        <v>22.60997987</v>
      </c>
      <c r="N2240">
        <v>0.72884000000000004</v>
      </c>
      <c r="O2240">
        <v>132.27272730000001</v>
      </c>
      <c r="P2240">
        <v>20.180448590000001</v>
      </c>
      <c r="Q2240">
        <v>3.7813451999999997E-2</v>
      </c>
      <c r="R2240" t="s">
        <v>1041</v>
      </c>
      <c r="S2240">
        <v>0.20103061000000003</v>
      </c>
    </row>
    <row r="2241" spans="1:19" x14ac:dyDescent="0.25">
      <c r="A2241" t="s">
        <v>69</v>
      </c>
      <c r="B2241" t="s">
        <v>829</v>
      </c>
      <c r="C2241">
        <v>10</v>
      </c>
      <c r="D2241" t="s">
        <v>17</v>
      </c>
      <c r="E2241" t="s">
        <v>95</v>
      </c>
      <c r="F2241" t="s">
        <v>103</v>
      </c>
      <c r="G2241" t="s">
        <v>103</v>
      </c>
      <c r="H2241" t="s">
        <v>103</v>
      </c>
      <c r="J2241">
        <v>0</v>
      </c>
      <c r="K2241">
        <v>1</v>
      </c>
      <c r="L2241">
        <v>98.291666669999998</v>
      </c>
      <c r="M2241">
        <v>30.315130790000001</v>
      </c>
      <c r="N2241">
        <v>5.0803484000000003E-2</v>
      </c>
      <c r="O2241">
        <v>98.291666669999998</v>
      </c>
      <c r="P2241">
        <v>30.315130790000001</v>
      </c>
      <c r="Q2241">
        <v>5.0803484000000003E-2</v>
      </c>
      <c r="R2241" t="s">
        <v>1041</v>
      </c>
      <c r="S2241">
        <v>0</v>
      </c>
    </row>
    <row r="2242" spans="1:19" x14ac:dyDescent="0.25">
      <c r="A2242" t="s">
        <v>69</v>
      </c>
      <c r="B2242" t="s">
        <v>829</v>
      </c>
      <c r="C2242">
        <v>10</v>
      </c>
      <c r="D2242" t="s">
        <v>17</v>
      </c>
      <c r="E2242" t="s">
        <v>95</v>
      </c>
      <c r="F2242" t="s">
        <v>103</v>
      </c>
      <c r="G2242" t="s">
        <v>103</v>
      </c>
      <c r="H2242" t="s">
        <v>241</v>
      </c>
      <c r="J2242">
        <v>0</v>
      </c>
      <c r="K2242">
        <v>1</v>
      </c>
      <c r="L2242">
        <v>98.291666669999998</v>
      </c>
      <c r="M2242">
        <v>30.315130790000001</v>
      </c>
      <c r="N2242">
        <v>5.0803484000000003E-2</v>
      </c>
      <c r="O2242">
        <v>114</v>
      </c>
      <c r="P2242">
        <v>30.43077242</v>
      </c>
      <c r="Q2242">
        <v>0.53383111100000002</v>
      </c>
      <c r="R2242" t="s">
        <v>1041</v>
      </c>
      <c r="S2242">
        <v>0.14532737000000001</v>
      </c>
    </row>
    <row r="2243" spans="1:19" x14ac:dyDescent="0.25">
      <c r="A2243" t="s">
        <v>69</v>
      </c>
      <c r="B2243" t="s">
        <v>829</v>
      </c>
      <c r="C2243">
        <v>10</v>
      </c>
      <c r="D2243" t="s">
        <v>17</v>
      </c>
      <c r="E2243" t="s">
        <v>95</v>
      </c>
      <c r="F2243" t="s">
        <v>103</v>
      </c>
      <c r="G2243" t="s">
        <v>103</v>
      </c>
      <c r="H2243" t="s">
        <v>235</v>
      </c>
      <c r="J2243">
        <v>0</v>
      </c>
      <c r="K2243">
        <v>1</v>
      </c>
      <c r="L2243">
        <v>98.291666669999998</v>
      </c>
      <c r="M2243">
        <v>30.315130790000001</v>
      </c>
      <c r="N2243">
        <v>5.0803484000000003E-2</v>
      </c>
      <c r="O2243">
        <v>132.27272730000001</v>
      </c>
      <c r="P2243">
        <v>20.180448590000001</v>
      </c>
      <c r="Q2243">
        <v>3.7813451999999997E-2</v>
      </c>
      <c r="R2243" t="s">
        <v>1041</v>
      </c>
      <c r="S2243">
        <v>1.4616689999999988E-2</v>
      </c>
    </row>
    <row r="2244" spans="1:19" x14ac:dyDescent="0.25">
      <c r="A2244" t="s">
        <v>69</v>
      </c>
      <c r="B2244" t="s">
        <v>830</v>
      </c>
      <c r="C2244">
        <v>10</v>
      </c>
      <c r="D2244" t="s">
        <v>17</v>
      </c>
      <c r="E2244" t="s">
        <v>95</v>
      </c>
      <c r="F2244" t="s">
        <v>111</v>
      </c>
      <c r="G2244" t="s">
        <v>121</v>
      </c>
      <c r="H2244" t="s">
        <v>235</v>
      </c>
      <c r="J2244">
        <v>0</v>
      </c>
      <c r="K2244">
        <v>3</v>
      </c>
      <c r="L2244">
        <v>94.97142857</v>
      </c>
      <c r="M2244">
        <v>24.31591813</v>
      </c>
      <c r="N2244">
        <v>0.122951111</v>
      </c>
      <c r="O2244">
        <v>132.27272730000001</v>
      </c>
      <c r="P2244">
        <v>20.180448590000001</v>
      </c>
      <c r="Q2244">
        <v>3.7813451999999997E-2</v>
      </c>
      <c r="R2244" t="s">
        <v>1041</v>
      </c>
      <c r="S2244">
        <v>2.3536109999999999E-2</v>
      </c>
    </row>
    <row r="2245" spans="1:19" x14ac:dyDescent="0.25">
      <c r="A2245" t="s">
        <v>69</v>
      </c>
      <c r="B2245" t="s">
        <v>831</v>
      </c>
      <c r="C2245">
        <v>10</v>
      </c>
      <c r="D2245" t="s">
        <v>17</v>
      </c>
      <c r="E2245" t="s">
        <v>95</v>
      </c>
      <c r="F2245" t="s">
        <v>112</v>
      </c>
      <c r="G2245" t="s">
        <v>121</v>
      </c>
      <c r="H2245" t="s">
        <v>235</v>
      </c>
      <c r="I2245" t="s">
        <v>252</v>
      </c>
      <c r="J2245">
        <v>1</v>
      </c>
      <c r="K2245">
        <v>2</v>
      </c>
      <c r="L2245">
        <v>65.09375</v>
      </c>
      <c r="M2245">
        <v>37.895352600000002</v>
      </c>
      <c r="N2245">
        <v>2.2882677779999998</v>
      </c>
      <c r="O2245">
        <v>132.27272730000001</v>
      </c>
      <c r="P2245">
        <v>20.180448590000001</v>
      </c>
      <c r="Q2245">
        <v>3.7813451999999997E-2</v>
      </c>
      <c r="R2245" t="s">
        <v>1041</v>
      </c>
      <c r="S2245">
        <v>1.7971333899999999</v>
      </c>
    </row>
    <row r="2246" spans="1:19" x14ac:dyDescent="0.25">
      <c r="A2246" t="s">
        <v>70</v>
      </c>
      <c r="B2246" t="s">
        <v>832</v>
      </c>
      <c r="C2246">
        <v>10</v>
      </c>
      <c r="D2246" t="s">
        <v>19</v>
      </c>
      <c r="E2246" t="s">
        <v>95</v>
      </c>
      <c r="F2246" t="s">
        <v>102</v>
      </c>
      <c r="G2246" t="s">
        <v>121</v>
      </c>
      <c r="H2246" t="s">
        <v>102</v>
      </c>
      <c r="J2246">
        <v>0</v>
      </c>
      <c r="K2246">
        <v>1</v>
      </c>
      <c r="L2246">
        <v>84.740740740000007</v>
      </c>
      <c r="M2246">
        <v>29.167014049999999</v>
      </c>
      <c r="N2246">
        <v>1.1169849999999999</v>
      </c>
      <c r="O2246">
        <v>84.740740740000007</v>
      </c>
      <c r="P2246">
        <v>29.167014049999999</v>
      </c>
      <c r="Q2246">
        <v>1.1169849999999999</v>
      </c>
      <c r="R2246" t="s">
        <v>1041</v>
      </c>
      <c r="S2246">
        <v>0</v>
      </c>
    </row>
    <row r="2247" spans="1:19" x14ac:dyDescent="0.25">
      <c r="A2247" t="s">
        <v>70</v>
      </c>
      <c r="B2247" t="s">
        <v>832</v>
      </c>
      <c r="C2247">
        <v>10</v>
      </c>
      <c r="D2247" t="s">
        <v>19</v>
      </c>
      <c r="E2247" t="s">
        <v>95</v>
      </c>
      <c r="F2247" t="s">
        <v>102</v>
      </c>
      <c r="G2247" t="s">
        <v>121</v>
      </c>
      <c r="H2247" t="s">
        <v>236</v>
      </c>
      <c r="J2247">
        <v>0</v>
      </c>
      <c r="K2247">
        <v>1</v>
      </c>
      <c r="L2247">
        <v>84.740740740000007</v>
      </c>
      <c r="M2247">
        <v>29.167014049999999</v>
      </c>
      <c r="N2247">
        <v>1.1169849999999999</v>
      </c>
      <c r="O2247">
        <v>113.33333330000001</v>
      </c>
      <c r="P2247">
        <v>26.41632581</v>
      </c>
      <c r="Q2247">
        <v>1.6844570160000001</v>
      </c>
      <c r="R2247" t="s">
        <v>1041</v>
      </c>
      <c r="S2247">
        <v>1.0678641900000001</v>
      </c>
    </row>
    <row r="2248" spans="1:19" x14ac:dyDescent="0.25">
      <c r="A2248" t="s">
        <v>70</v>
      </c>
      <c r="B2248" t="s">
        <v>833</v>
      </c>
      <c r="C2248">
        <v>10</v>
      </c>
      <c r="D2248" t="s">
        <v>19</v>
      </c>
      <c r="E2248" t="s">
        <v>95</v>
      </c>
      <c r="F2248" t="s">
        <v>105</v>
      </c>
      <c r="G2248" t="s">
        <v>121</v>
      </c>
      <c r="H2248" t="s">
        <v>235</v>
      </c>
      <c r="J2248">
        <v>0</v>
      </c>
      <c r="K2248">
        <v>1</v>
      </c>
      <c r="L2248">
        <v>67.5</v>
      </c>
      <c r="M2248">
        <v>47.937235809999997</v>
      </c>
      <c r="N2248">
        <v>0.41599678000000001</v>
      </c>
      <c r="O2248">
        <v>132.27272730000001</v>
      </c>
      <c r="P2248">
        <v>20.180448590000001</v>
      </c>
      <c r="Q2248">
        <v>3.7813451999999997E-2</v>
      </c>
      <c r="R2248" t="s">
        <v>1041</v>
      </c>
      <c r="S2248">
        <v>1.6809906899999998</v>
      </c>
    </row>
    <row r="2249" spans="1:19" x14ac:dyDescent="0.25">
      <c r="A2249" t="s">
        <v>70</v>
      </c>
      <c r="B2249" t="s">
        <v>833</v>
      </c>
      <c r="C2249">
        <v>10</v>
      </c>
      <c r="D2249" t="s">
        <v>19</v>
      </c>
      <c r="E2249" t="s">
        <v>95</v>
      </c>
      <c r="F2249" t="s">
        <v>105</v>
      </c>
      <c r="G2249" t="s">
        <v>121</v>
      </c>
      <c r="H2249" t="s">
        <v>236</v>
      </c>
      <c r="J2249">
        <v>0</v>
      </c>
      <c r="K2249">
        <v>2</v>
      </c>
      <c r="L2249">
        <v>67.5</v>
      </c>
      <c r="M2249">
        <v>47.937235809999997</v>
      </c>
      <c r="N2249">
        <v>0.41599678000000001</v>
      </c>
      <c r="O2249">
        <v>113.33333330000001</v>
      </c>
      <c r="P2249">
        <v>26.41632581</v>
      </c>
      <c r="Q2249">
        <v>1.6844570160000001</v>
      </c>
      <c r="R2249" t="s">
        <v>1041</v>
      </c>
      <c r="S2249">
        <v>2.0057489899999998</v>
      </c>
    </row>
    <row r="2250" spans="1:19" x14ac:dyDescent="0.25">
      <c r="A2250" t="s">
        <v>70</v>
      </c>
      <c r="B2250" t="s">
        <v>833</v>
      </c>
      <c r="C2250">
        <v>10</v>
      </c>
      <c r="D2250" t="s">
        <v>19</v>
      </c>
      <c r="E2250" t="s">
        <v>95</v>
      </c>
      <c r="F2250" t="s">
        <v>105</v>
      </c>
      <c r="G2250" t="s">
        <v>121</v>
      </c>
      <c r="H2250" t="s">
        <v>162</v>
      </c>
      <c r="J2250">
        <v>0</v>
      </c>
      <c r="K2250">
        <v>1</v>
      </c>
      <c r="L2250">
        <v>67.5</v>
      </c>
      <c r="M2250">
        <v>47.937235809999997</v>
      </c>
      <c r="N2250">
        <v>0.41599678000000001</v>
      </c>
      <c r="O2250">
        <v>82.53846154</v>
      </c>
      <c r="P2250">
        <v>35.660530039999998</v>
      </c>
      <c r="Q2250">
        <v>3.3754499999999998</v>
      </c>
      <c r="R2250" t="s">
        <v>1041</v>
      </c>
      <c r="S2250" t="s">
        <v>114</v>
      </c>
    </row>
    <row r="2251" spans="1:19" x14ac:dyDescent="0.25">
      <c r="A2251" t="s">
        <v>70</v>
      </c>
      <c r="B2251" t="s">
        <v>834</v>
      </c>
      <c r="C2251">
        <v>10</v>
      </c>
      <c r="D2251" t="s">
        <v>19</v>
      </c>
      <c r="E2251" t="s">
        <v>95</v>
      </c>
      <c r="F2251" t="s">
        <v>111</v>
      </c>
      <c r="G2251" t="s">
        <v>121</v>
      </c>
      <c r="H2251" t="s">
        <v>235</v>
      </c>
      <c r="J2251">
        <v>0</v>
      </c>
      <c r="K2251">
        <v>1</v>
      </c>
      <c r="L2251">
        <v>94.97142857</v>
      </c>
      <c r="M2251">
        <v>24.31591813</v>
      </c>
      <c r="N2251">
        <v>0.122951111</v>
      </c>
      <c r="O2251">
        <v>132.27272730000001</v>
      </c>
      <c r="P2251">
        <v>20.180448590000001</v>
      </c>
      <c r="Q2251">
        <v>3.7813451999999997E-2</v>
      </c>
      <c r="R2251" t="s">
        <v>1041</v>
      </c>
      <c r="S2251">
        <v>2.3536109999999999E-2</v>
      </c>
    </row>
    <row r="2252" spans="1:19" x14ac:dyDescent="0.25">
      <c r="A2252" t="s">
        <v>71</v>
      </c>
      <c r="B2252" t="s">
        <v>835</v>
      </c>
      <c r="C2252">
        <v>10</v>
      </c>
      <c r="D2252" t="s">
        <v>21</v>
      </c>
      <c r="E2252" t="s">
        <v>94</v>
      </c>
      <c r="F2252" t="s">
        <v>102</v>
      </c>
      <c r="G2252" t="s">
        <v>121</v>
      </c>
      <c r="H2252" t="s">
        <v>114</v>
      </c>
      <c r="J2252">
        <v>0</v>
      </c>
      <c r="K2252" t="s">
        <v>114</v>
      </c>
      <c r="L2252">
        <v>84.740740740000007</v>
      </c>
      <c r="M2252">
        <v>29.167014049999999</v>
      </c>
      <c r="N2252">
        <v>1.1169849999999999</v>
      </c>
      <c r="O2252" t="s">
        <v>114</v>
      </c>
      <c r="P2252" t="s">
        <v>114</v>
      </c>
      <c r="Q2252" t="s">
        <v>114</v>
      </c>
      <c r="R2252" t="s">
        <v>1041</v>
      </c>
      <c r="S2252" t="s">
        <v>114</v>
      </c>
    </row>
    <row r="2253" spans="1:19" x14ac:dyDescent="0.25">
      <c r="A2253" t="s">
        <v>71</v>
      </c>
      <c r="B2253" t="s">
        <v>836</v>
      </c>
      <c r="C2253">
        <v>10</v>
      </c>
      <c r="D2253" t="s">
        <v>21</v>
      </c>
      <c r="E2253" t="s">
        <v>94</v>
      </c>
      <c r="F2253" t="s">
        <v>111</v>
      </c>
      <c r="G2253" t="s">
        <v>111</v>
      </c>
      <c r="H2253" t="s">
        <v>111</v>
      </c>
      <c r="J2253">
        <v>0</v>
      </c>
      <c r="K2253">
        <v>1</v>
      </c>
      <c r="L2253">
        <v>94.97142857</v>
      </c>
      <c r="M2253">
        <v>24.31591813</v>
      </c>
      <c r="N2253">
        <v>0.122951111</v>
      </c>
      <c r="O2253">
        <v>94.97142857</v>
      </c>
      <c r="P2253">
        <v>24.31591813</v>
      </c>
      <c r="Q2253">
        <v>0.122951111</v>
      </c>
      <c r="R2253" t="s">
        <v>1041</v>
      </c>
      <c r="S2253">
        <v>0</v>
      </c>
    </row>
    <row r="2254" spans="1:19" x14ac:dyDescent="0.25">
      <c r="A2254" t="s">
        <v>71</v>
      </c>
      <c r="B2254" t="s">
        <v>836</v>
      </c>
      <c r="C2254">
        <v>10</v>
      </c>
      <c r="D2254" t="s">
        <v>21</v>
      </c>
      <c r="E2254" t="s">
        <v>94</v>
      </c>
      <c r="F2254" t="s">
        <v>111</v>
      </c>
      <c r="G2254" t="s">
        <v>111</v>
      </c>
      <c r="H2254" t="s">
        <v>250</v>
      </c>
      <c r="J2254">
        <v>0</v>
      </c>
      <c r="K2254">
        <v>1</v>
      </c>
      <c r="L2254">
        <v>94.97142857</v>
      </c>
      <c r="M2254">
        <v>24.31591813</v>
      </c>
      <c r="N2254">
        <v>0.122951111</v>
      </c>
      <c r="O2254">
        <v>157.14285709999999</v>
      </c>
      <c r="P2254">
        <v>28.969081320000001</v>
      </c>
      <c r="Q2254">
        <v>0.55164111100000002</v>
      </c>
      <c r="R2254" t="s">
        <v>1041</v>
      </c>
      <c r="S2254" t="s">
        <v>114</v>
      </c>
    </row>
    <row r="2255" spans="1:19" x14ac:dyDescent="0.25">
      <c r="A2255" t="s">
        <v>71</v>
      </c>
      <c r="B2255" t="s">
        <v>837</v>
      </c>
      <c r="C2255">
        <v>10</v>
      </c>
      <c r="D2255" t="s">
        <v>21</v>
      </c>
      <c r="E2255" t="s">
        <v>94</v>
      </c>
      <c r="F2255" t="s">
        <v>104</v>
      </c>
      <c r="G2255" t="s">
        <v>104</v>
      </c>
      <c r="H2255" t="s">
        <v>104</v>
      </c>
      <c r="J2255">
        <v>0</v>
      </c>
      <c r="K2255">
        <v>1</v>
      </c>
      <c r="L2255">
        <v>113.9375</v>
      </c>
      <c r="M2255">
        <v>33.375507550000002</v>
      </c>
      <c r="N2255">
        <v>2.4262999999999999</v>
      </c>
      <c r="O2255">
        <v>113.9375</v>
      </c>
      <c r="P2255">
        <v>33.375507550000002</v>
      </c>
      <c r="Q2255">
        <v>2.4262999999999999</v>
      </c>
      <c r="R2255" t="s">
        <v>1041</v>
      </c>
      <c r="S2255">
        <v>0</v>
      </c>
    </row>
    <row r="2256" spans="1:19" x14ac:dyDescent="0.25">
      <c r="A2256" t="s">
        <v>72</v>
      </c>
      <c r="B2256" t="s">
        <v>838</v>
      </c>
      <c r="C2256">
        <v>10</v>
      </c>
      <c r="D2256" t="s">
        <v>23</v>
      </c>
      <c r="E2256" t="s">
        <v>95</v>
      </c>
      <c r="F2256" t="s">
        <v>105</v>
      </c>
      <c r="G2256" t="s">
        <v>121</v>
      </c>
      <c r="H2256" t="s">
        <v>238</v>
      </c>
      <c r="J2256">
        <v>0</v>
      </c>
      <c r="K2256">
        <v>1</v>
      </c>
      <c r="L2256">
        <v>67.5</v>
      </c>
      <c r="M2256">
        <v>47.937235809999997</v>
      </c>
      <c r="N2256">
        <v>0.41599678000000001</v>
      </c>
      <c r="O2256">
        <v>87.5</v>
      </c>
      <c r="P2256">
        <v>29.478311600000001</v>
      </c>
      <c r="Q2256">
        <v>3.0797751000000002E-2</v>
      </c>
      <c r="R2256" t="s">
        <v>1041</v>
      </c>
      <c r="S2256">
        <v>1.9657163499999999</v>
      </c>
    </row>
    <row r="2257" spans="1:19" x14ac:dyDescent="0.25">
      <c r="A2257" t="s">
        <v>72</v>
      </c>
      <c r="B2257" t="s">
        <v>839</v>
      </c>
      <c r="C2257">
        <v>10</v>
      </c>
      <c r="D2257" t="s">
        <v>23</v>
      </c>
      <c r="E2257" t="s">
        <v>95</v>
      </c>
      <c r="F2257" t="s">
        <v>111</v>
      </c>
      <c r="G2257" t="s">
        <v>121</v>
      </c>
      <c r="H2257" t="s">
        <v>114</v>
      </c>
      <c r="J2257">
        <v>0</v>
      </c>
      <c r="K2257">
        <v>0</v>
      </c>
      <c r="L2257">
        <v>94.97142857</v>
      </c>
      <c r="M2257">
        <v>24.31591813</v>
      </c>
      <c r="N2257">
        <v>0.122951111</v>
      </c>
      <c r="O2257" t="s">
        <v>114</v>
      </c>
      <c r="P2257" t="s">
        <v>114</v>
      </c>
      <c r="Q2257" t="s">
        <v>114</v>
      </c>
      <c r="R2257" t="s">
        <v>1041</v>
      </c>
      <c r="S2257" t="s">
        <v>114</v>
      </c>
    </row>
    <row r="2258" spans="1:19" x14ac:dyDescent="0.25">
      <c r="A2258" t="s">
        <v>72</v>
      </c>
      <c r="B2258" t="s">
        <v>840</v>
      </c>
      <c r="C2258">
        <v>10</v>
      </c>
      <c r="D2258" t="s">
        <v>23</v>
      </c>
      <c r="E2258" t="s">
        <v>95</v>
      </c>
      <c r="F2258" t="s">
        <v>104</v>
      </c>
      <c r="G2258" t="s">
        <v>104</v>
      </c>
      <c r="H2258" t="s">
        <v>104</v>
      </c>
      <c r="J2258">
        <v>0</v>
      </c>
      <c r="K2258">
        <v>1</v>
      </c>
      <c r="L2258">
        <v>113.9375</v>
      </c>
      <c r="M2258">
        <v>33.375507550000002</v>
      </c>
      <c r="N2258">
        <v>2.4262999999999999</v>
      </c>
      <c r="O2258">
        <v>113.9375</v>
      </c>
      <c r="P2258">
        <v>33.375507550000002</v>
      </c>
      <c r="Q2258">
        <v>2.4262999999999999</v>
      </c>
      <c r="R2258" t="s">
        <v>1041</v>
      </c>
      <c r="S2258">
        <v>0</v>
      </c>
    </row>
    <row r="2259" spans="1:19" x14ac:dyDescent="0.25">
      <c r="A2259" t="s">
        <v>72</v>
      </c>
      <c r="B2259" t="s">
        <v>840</v>
      </c>
      <c r="C2259">
        <v>10</v>
      </c>
      <c r="D2259" t="s">
        <v>23</v>
      </c>
      <c r="E2259" t="s">
        <v>95</v>
      </c>
      <c r="F2259" t="s">
        <v>104</v>
      </c>
      <c r="G2259" t="s">
        <v>104</v>
      </c>
      <c r="H2259" t="s">
        <v>244</v>
      </c>
      <c r="J2259">
        <v>0</v>
      </c>
      <c r="K2259">
        <v>1</v>
      </c>
      <c r="L2259">
        <v>113.9375</v>
      </c>
      <c r="M2259">
        <v>33.375507550000002</v>
      </c>
      <c r="N2259">
        <v>2.4262999999999999</v>
      </c>
      <c r="O2259">
        <v>75</v>
      </c>
      <c r="P2259">
        <v>28.80614499</v>
      </c>
      <c r="Q2259">
        <v>2.3860428570000001</v>
      </c>
      <c r="R2259" t="s">
        <v>1041</v>
      </c>
      <c r="S2259">
        <v>0.14291327999999998</v>
      </c>
    </row>
    <row r="2260" spans="1:19" x14ac:dyDescent="0.25">
      <c r="A2260" t="s">
        <v>72</v>
      </c>
      <c r="B2260" t="s">
        <v>841</v>
      </c>
      <c r="C2260">
        <v>10</v>
      </c>
      <c r="D2260" t="s">
        <v>23</v>
      </c>
      <c r="E2260" t="s">
        <v>95</v>
      </c>
      <c r="F2260" t="s">
        <v>112</v>
      </c>
      <c r="G2260" t="s">
        <v>121</v>
      </c>
      <c r="H2260" t="s">
        <v>238</v>
      </c>
      <c r="J2260">
        <v>0</v>
      </c>
      <c r="K2260">
        <v>1</v>
      </c>
      <c r="L2260">
        <v>65.09375</v>
      </c>
      <c r="M2260">
        <v>37.895352600000002</v>
      </c>
      <c r="N2260">
        <v>2.2882677779999998</v>
      </c>
      <c r="O2260">
        <v>87.5</v>
      </c>
      <c r="P2260">
        <v>29.478311600000001</v>
      </c>
      <c r="Q2260">
        <v>3.0797751000000002E-2</v>
      </c>
      <c r="R2260" t="s">
        <v>1041</v>
      </c>
      <c r="S2260">
        <v>2.0818590499999998</v>
      </c>
    </row>
    <row r="2261" spans="1:19" x14ac:dyDescent="0.25">
      <c r="A2261" t="s">
        <v>73</v>
      </c>
      <c r="B2261" t="s">
        <v>842</v>
      </c>
      <c r="C2261">
        <v>10</v>
      </c>
      <c r="D2261" t="s">
        <v>25</v>
      </c>
      <c r="E2261" t="s">
        <v>94</v>
      </c>
      <c r="F2261" t="s">
        <v>105</v>
      </c>
      <c r="G2261" t="s">
        <v>112</v>
      </c>
      <c r="H2261" t="s">
        <v>112</v>
      </c>
      <c r="J2261">
        <v>0</v>
      </c>
      <c r="K2261">
        <v>1</v>
      </c>
      <c r="L2261">
        <v>67.5</v>
      </c>
      <c r="M2261">
        <v>47.937235809999997</v>
      </c>
      <c r="N2261">
        <v>0.41599678000000001</v>
      </c>
      <c r="O2261">
        <v>65.09375</v>
      </c>
      <c r="P2261">
        <v>37.895352600000002</v>
      </c>
      <c r="Q2261">
        <v>2.2882677779999998</v>
      </c>
      <c r="R2261" t="s">
        <v>1041</v>
      </c>
      <c r="S2261">
        <v>0.11614270000000015</v>
      </c>
    </row>
    <row r="2262" spans="1:19" x14ac:dyDescent="0.25">
      <c r="A2262" t="s">
        <v>73</v>
      </c>
      <c r="B2262" t="s">
        <v>843</v>
      </c>
      <c r="C2262">
        <v>10</v>
      </c>
      <c r="D2262" t="s">
        <v>25</v>
      </c>
      <c r="E2262" t="s">
        <v>94</v>
      </c>
      <c r="F2262" t="s">
        <v>110</v>
      </c>
      <c r="G2262" t="s">
        <v>110</v>
      </c>
      <c r="H2262" t="s">
        <v>110</v>
      </c>
      <c r="J2262">
        <v>0</v>
      </c>
      <c r="K2262">
        <v>3</v>
      </c>
      <c r="L2262">
        <v>73.260869569999997</v>
      </c>
      <c r="M2262">
        <v>34.453830549999999</v>
      </c>
      <c r="N2262">
        <v>1.058333333</v>
      </c>
      <c r="O2262">
        <v>73.260869569999997</v>
      </c>
      <c r="P2262">
        <v>34.453830549999999</v>
      </c>
      <c r="Q2262">
        <v>1.058333333</v>
      </c>
      <c r="R2262" t="s">
        <v>1041</v>
      </c>
      <c r="S2262">
        <v>0</v>
      </c>
    </row>
    <row r="2263" spans="1:19" x14ac:dyDescent="0.25">
      <c r="A2263" t="s">
        <v>73</v>
      </c>
      <c r="B2263" t="s">
        <v>843</v>
      </c>
      <c r="C2263">
        <v>10</v>
      </c>
      <c r="D2263" t="s">
        <v>25</v>
      </c>
      <c r="E2263" t="s">
        <v>94</v>
      </c>
      <c r="F2263" t="s">
        <v>110</v>
      </c>
      <c r="G2263" t="s">
        <v>110</v>
      </c>
      <c r="H2263" t="s">
        <v>251</v>
      </c>
      <c r="J2263">
        <v>0</v>
      </c>
      <c r="K2263">
        <v>1</v>
      </c>
      <c r="L2263">
        <v>73.260869569999997</v>
      </c>
      <c r="M2263">
        <v>34.453830549999999</v>
      </c>
      <c r="N2263">
        <v>1.058333333</v>
      </c>
      <c r="O2263">
        <v>85</v>
      </c>
      <c r="P2263">
        <v>37.099157669999997</v>
      </c>
      <c r="Q2263">
        <v>0.65291888899999995</v>
      </c>
      <c r="R2263" t="s">
        <v>1041</v>
      </c>
      <c r="S2263" t="s">
        <v>114</v>
      </c>
    </row>
    <row r="2264" spans="1:19" x14ac:dyDescent="0.25">
      <c r="A2264" t="s">
        <v>73</v>
      </c>
      <c r="B2264" t="s">
        <v>843</v>
      </c>
      <c r="C2264">
        <v>10</v>
      </c>
      <c r="D2264" t="s">
        <v>25</v>
      </c>
      <c r="E2264" t="s">
        <v>94</v>
      </c>
      <c r="F2264" t="s">
        <v>110</v>
      </c>
      <c r="G2264" t="s">
        <v>110</v>
      </c>
      <c r="H2264" t="s">
        <v>246</v>
      </c>
      <c r="J2264">
        <v>0</v>
      </c>
      <c r="K2264">
        <v>1</v>
      </c>
      <c r="L2264">
        <v>73.260869569999997</v>
      </c>
      <c r="M2264">
        <v>34.453830549999999</v>
      </c>
      <c r="N2264">
        <v>1.058333333</v>
      </c>
      <c r="O2264">
        <v>120.25</v>
      </c>
      <c r="P2264">
        <v>30.670450110000001</v>
      </c>
      <c r="Q2264">
        <v>0.91037498500000003</v>
      </c>
      <c r="R2264" t="s">
        <v>1041</v>
      </c>
      <c r="S2264" t="s">
        <v>114</v>
      </c>
    </row>
    <row r="2265" spans="1:19" x14ac:dyDescent="0.25">
      <c r="A2265" t="s">
        <v>73</v>
      </c>
      <c r="B2265" t="s">
        <v>844</v>
      </c>
      <c r="C2265">
        <v>10</v>
      </c>
      <c r="D2265" t="s">
        <v>25</v>
      </c>
      <c r="E2265" t="s">
        <v>94</v>
      </c>
      <c r="F2265" t="s">
        <v>104</v>
      </c>
      <c r="G2265" t="s">
        <v>104</v>
      </c>
      <c r="H2265" t="s">
        <v>104</v>
      </c>
      <c r="J2265">
        <v>0</v>
      </c>
      <c r="K2265">
        <v>1</v>
      </c>
      <c r="L2265">
        <v>113.9375</v>
      </c>
      <c r="M2265">
        <v>33.375507550000002</v>
      </c>
      <c r="N2265">
        <v>2.4262999999999999</v>
      </c>
      <c r="O2265">
        <v>113.9375</v>
      </c>
      <c r="P2265">
        <v>33.375507550000002</v>
      </c>
      <c r="Q2265">
        <v>2.4262999999999999</v>
      </c>
      <c r="R2265" t="s">
        <v>1041</v>
      </c>
      <c r="S2265">
        <v>0</v>
      </c>
    </row>
    <row r="2266" spans="1:19" x14ac:dyDescent="0.25">
      <c r="A2266" t="s">
        <v>73</v>
      </c>
      <c r="B2266" t="s">
        <v>845</v>
      </c>
      <c r="C2266">
        <v>10</v>
      </c>
      <c r="D2266" t="s">
        <v>25</v>
      </c>
      <c r="E2266" t="s">
        <v>94</v>
      </c>
      <c r="F2266" t="s">
        <v>112</v>
      </c>
      <c r="G2266" t="s">
        <v>121</v>
      </c>
      <c r="H2266" t="s">
        <v>114</v>
      </c>
      <c r="J2266">
        <v>0</v>
      </c>
      <c r="K2266" t="s">
        <v>114</v>
      </c>
      <c r="L2266">
        <v>65.09375</v>
      </c>
      <c r="M2266">
        <v>37.895352600000002</v>
      </c>
      <c r="N2266">
        <v>2.2882677779999998</v>
      </c>
      <c r="O2266" t="s">
        <v>114</v>
      </c>
      <c r="P2266" t="s">
        <v>114</v>
      </c>
      <c r="Q2266" t="s">
        <v>114</v>
      </c>
      <c r="R2266" t="s">
        <v>1041</v>
      </c>
      <c r="S2266" t="s">
        <v>114</v>
      </c>
    </row>
    <row r="2267" spans="1:19" x14ac:dyDescent="0.25">
      <c r="A2267" t="s">
        <v>74</v>
      </c>
      <c r="B2267" t="s">
        <v>846</v>
      </c>
      <c r="C2267">
        <v>10</v>
      </c>
      <c r="D2267" t="s">
        <v>27</v>
      </c>
      <c r="E2267" t="s">
        <v>95</v>
      </c>
      <c r="F2267" t="s">
        <v>102</v>
      </c>
      <c r="G2267" t="s">
        <v>113</v>
      </c>
      <c r="H2267" t="s">
        <v>113</v>
      </c>
      <c r="J2267">
        <v>0</v>
      </c>
      <c r="K2267">
        <v>3</v>
      </c>
      <c r="L2267">
        <v>84.740740740000007</v>
      </c>
      <c r="M2267">
        <v>29.167014049999999</v>
      </c>
      <c r="N2267">
        <v>1.1169849999999999</v>
      </c>
      <c r="O2267">
        <v>83.757575759999995</v>
      </c>
      <c r="P2267">
        <v>22.60997987</v>
      </c>
      <c r="Q2267">
        <v>0.72884000000000004</v>
      </c>
      <c r="R2267" t="s">
        <v>1041</v>
      </c>
      <c r="S2267">
        <v>0.94413650000000005</v>
      </c>
    </row>
    <row r="2268" spans="1:19" x14ac:dyDescent="0.25">
      <c r="A2268" t="s">
        <v>74</v>
      </c>
      <c r="B2268" t="s">
        <v>846</v>
      </c>
      <c r="C2268">
        <v>10</v>
      </c>
      <c r="D2268" t="s">
        <v>27</v>
      </c>
      <c r="E2268" t="s">
        <v>95</v>
      </c>
      <c r="F2268" t="s">
        <v>102</v>
      </c>
      <c r="G2268" t="s">
        <v>113</v>
      </c>
      <c r="H2268" t="s">
        <v>103</v>
      </c>
      <c r="J2268">
        <v>0</v>
      </c>
      <c r="K2268">
        <v>1</v>
      </c>
      <c r="L2268">
        <v>84.740740740000007</v>
      </c>
      <c r="M2268">
        <v>29.167014049999999</v>
      </c>
      <c r="N2268">
        <v>1.1169849999999999</v>
      </c>
      <c r="O2268">
        <v>98.291666669999998</v>
      </c>
      <c r="P2268">
        <v>30.315130790000001</v>
      </c>
      <c r="Q2268">
        <v>5.0803484000000003E-2</v>
      </c>
      <c r="R2268" t="s">
        <v>1041</v>
      </c>
      <c r="S2268">
        <v>0.72848920000000006</v>
      </c>
    </row>
    <row r="2269" spans="1:19" x14ac:dyDescent="0.25">
      <c r="A2269" t="s">
        <v>74</v>
      </c>
      <c r="B2269" t="s">
        <v>847</v>
      </c>
      <c r="C2269">
        <v>10</v>
      </c>
      <c r="D2269" t="s">
        <v>27</v>
      </c>
      <c r="E2269" t="s">
        <v>95</v>
      </c>
      <c r="F2269" t="s">
        <v>113</v>
      </c>
      <c r="G2269" t="s">
        <v>113</v>
      </c>
      <c r="H2269" t="s">
        <v>113</v>
      </c>
      <c r="J2269">
        <v>0</v>
      </c>
      <c r="K2269">
        <v>1</v>
      </c>
      <c r="L2269">
        <v>83.757575759999995</v>
      </c>
      <c r="M2269">
        <v>22.60997987</v>
      </c>
      <c r="N2269">
        <v>0.72884000000000004</v>
      </c>
      <c r="O2269">
        <v>83.757575759999995</v>
      </c>
      <c r="P2269">
        <v>22.60997987</v>
      </c>
      <c r="Q2269">
        <v>0.72884000000000004</v>
      </c>
      <c r="R2269" t="s">
        <v>1041</v>
      </c>
      <c r="S2269">
        <v>0</v>
      </c>
    </row>
    <row r="2270" spans="1:19" x14ac:dyDescent="0.25">
      <c r="A2270" t="s">
        <v>74</v>
      </c>
      <c r="B2270" t="s">
        <v>847</v>
      </c>
      <c r="C2270">
        <v>10</v>
      </c>
      <c r="D2270" t="s">
        <v>27</v>
      </c>
      <c r="E2270" t="s">
        <v>95</v>
      </c>
      <c r="F2270" t="s">
        <v>113</v>
      </c>
      <c r="G2270" t="s">
        <v>113</v>
      </c>
      <c r="H2270" t="s">
        <v>248</v>
      </c>
      <c r="J2270">
        <v>0</v>
      </c>
      <c r="K2270">
        <v>2</v>
      </c>
      <c r="L2270">
        <v>83.757575759999995</v>
      </c>
      <c r="M2270">
        <v>22.60997987</v>
      </c>
      <c r="N2270">
        <v>0.72884000000000004</v>
      </c>
      <c r="O2270">
        <v>83.92307692</v>
      </c>
      <c r="P2270">
        <v>44.319135699999997</v>
      </c>
      <c r="Q2270">
        <v>5.9548609999999997E-3</v>
      </c>
      <c r="R2270" t="s">
        <v>1041</v>
      </c>
      <c r="S2270">
        <v>3.2834119999999994E-2</v>
      </c>
    </row>
    <row r="2271" spans="1:19" x14ac:dyDescent="0.25">
      <c r="A2271" t="s">
        <v>74</v>
      </c>
      <c r="B2271" t="s">
        <v>848</v>
      </c>
      <c r="C2271">
        <v>10</v>
      </c>
      <c r="D2271" t="s">
        <v>27</v>
      </c>
      <c r="E2271" t="s">
        <v>95</v>
      </c>
      <c r="F2271" t="s">
        <v>103</v>
      </c>
      <c r="G2271" t="s">
        <v>113</v>
      </c>
      <c r="H2271" t="s">
        <v>113</v>
      </c>
      <c r="J2271">
        <v>0</v>
      </c>
      <c r="K2271">
        <v>1</v>
      </c>
      <c r="L2271">
        <v>98.291666669999998</v>
      </c>
      <c r="M2271">
        <v>30.315130790000001</v>
      </c>
      <c r="N2271">
        <v>5.0803484000000003E-2</v>
      </c>
      <c r="O2271">
        <v>83.757575759999995</v>
      </c>
      <c r="P2271">
        <v>22.60997987</v>
      </c>
      <c r="Q2271">
        <v>0.72884000000000004</v>
      </c>
      <c r="R2271" t="s">
        <v>1041</v>
      </c>
      <c r="S2271">
        <v>0.21564730000000001</v>
      </c>
    </row>
    <row r="2272" spans="1:19" x14ac:dyDescent="0.25">
      <c r="A2272" t="s">
        <v>75</v>
      </c>
      <c r="B2272" t="s">
        <v>849</v>
      </c>
      <c r="C2272">
        <v>10</v>
      </c>
      <c r="D2272" t="s">
        <v>29</v>
      </c>
      <c r="E2272" t="s">
        <v>94</v>
      </c>
      <c r="F2272" t="s">
        <v>105</v>
      </c>
      <c r="G2272" t="s">
        <v>121</v>
      </c>
      <c r="H2272" t="s">
        <v>251</v>
      </c>
      <c r="J2272">
        <v>0</v>
      </c>
      <c r="K2272">
        <v>1</v>
      </c>
      <c r="L2272">
        <v>67.5</v>
      </c>
      <c r="M2272">
        <v>47.937235809999997</v>
      </c>
      <c r="N2272">
        <v>0.41599678000000001</v>
      </c>
      <c r="O2272">
        <v>85</v>
      </c>
      <c r="P2272">
        <v>37.099157669999997</v>
      </c>
      <c r="Q2272">
        <v>0.65291888899999995</v>
      </c>
      <c r="R2272" t="s">
        <v>1041</v>
      </c>
      <c r="S2272" t="s">
        <v>114</v>
      </c>
    </row>
    <row r="2273" spans="1:19" x14ac:dyDescent="0.25">
      <c r="A2273" t="s">
        <v>75</v>
      </c>
      <c r="B2273" t="s">
        <v>849</v>
      </c>
      <c r="C2273">
        <v>10</v>
      </c>
      <c r="D2273" t="s">
        <v>29</v>
      </c>
      <c r="E2273" t="s">
        <v>94</v>
      </c>
      <c r="F2273" t="s">
        <v>105</v>
      </c>
      <c r="G2273" t="s">
        <v>121</v>
      </c>
      <c r="H2273" t="s">
        <v>244</v>
      </c>
      <c r="J2273">
        <v>0</v>
      </c>
      <c r="K2273">
        <v>1</v>
      </c>
      <c r="L2273">
        <v>67.5</v>
      </c>
      <c r="M2273">
        <v>47.937235809999997</v>
      </c>
      <c r="N2273">
        <v>0.41599678000000001</v>
      </c>
      <c r="O2273">
        <v>75</v>
      </c>
      <c r="P2273">
        <v>28.80614499</v>
      </c>
      <c r="Q2273">
        <v>2.3860428570000001</v>
      </c>
      <c r="R2273" t="s">
        <v>1041</v>
      </c>
      <c r="S2273">
        <v>1.8310263799999997</v>
      </c>
    </row>
    <row r="2274" spans="1:19" x14ac:dyDescent="0.25">
      <c r="A2274" t="s">
        <v>75</v>
      </c>
      <c r="B2274" t="s">
        <v>850</v>
      </c>
      <c r="C2274">
        <v>10</v>
      </c>
      <c r="D2274" t="s">
        <v>29</v>
      </c>
      <c r="E2274" t="s">
        <v>94</v>
      </c>
      <c r="F2274" t="s">
        <v>110</v>
      </c>
      <c r="G2274" t="s">
        <v>104</v>
      </c>
      <c r="H2274" t="s">
        <v>104</v>
      </c>
      <c r="J2274">
        <v>0</v>
      </c>
      <c r="K2274">
        <v>2</v>
      </c>
      <c r="L2274">
        <v>73.260869569999997</v>
      </c>
      <c r="M2274">
        <v>34.453830549999999</v>
      </c>
      <c r="N2274">
        <v>1.058333333</v>
      </c>
      <c r="O2274">
        <v>113.9375</v>
      </c>
      <c r="P2274">
        <v>33.375507550000002</v>
      </c>
      <c r="Q2274">
        <v>2.4262999999999999</v>
      </c>
      <c r="R2274" t="s">
        <v>1041</v>
      </c>
      <c r="S2274">
        <v>0.50204910000000003</v>
      </c>
    </row>
    <row r="2275" spans="1:19" x14ac:dyDescent="0.25">
      <c r="A2275" t="s">
        <v>75</v>
      </c>
      <c r="B2275" t="s">
        <v>851</v>
      </c>
      <c r="C2275">
        <v>10</v>
      </c>
      <c r="D2275" t="s">
        <v>29</v>
      </c>
      <c r="E2275" t="s">
        <v>94</v>
      </c>
      <c r="F2275" t="s">
        <v>103</v>
      </c>
      <c r="G2275" t="s">
        <v>121</v>
      </c>
      <c r="H2275" t="s">
        <v>251</v>
      </c>
      <c r="J2275">
        <v>0</v>
      </c>
      <c r="K2275">
        <v>1</v>
      </c>
      <c r="L2275">
        <v>98.291666669999998</v>
      </c>
      <c r="M2275">
        <v>30.315130790000001</v>
      </c>
      <c r="N2275">
        <v>5.0803484000000003E-2</v>
      </c>
      <c r="O2275">
        <v>85</v>
      </c>
      <c r="P2275">
        <v>37.099157669999997</v>
      </c>
      <c r="Q2275">
        <v>0.65291888899999995</v>
      </c>
      <c r="R2275" t="s">
        <v>1041</v>
      </c>
      <c r="S2275" t="s">
        <v>114</v>
      </c>
    </row>
    <row r="2276" spans="1:19" x14ac:dyDescent="0.25">
      <c r="A2276" t="s">
        <v>75</v>
      </c>
      <c r="B2276" t="s">
        <v>851</v>
      </c>
      <c r="C2276">
        <v>10</v>
      </c>
      <c r="D2276" t="s">
        <v>29</v>
      </c>
      <c r="E2276" t="s">
        <v>94</v>
      </c>
      <c r="F2276" t="s">
        <v>103</v>
      </c>
      <c r="G2276" t="s">
        <v>121</v>
      </c>
      <c r="H2276" t="s">
        <v>233</v>
      </c>
      <c r="J2276">
        <v>0</v>
      </c>
      <c r="K2276">
        <v>1</v>
      </c>
      <c r="L2276">
        <v>98.291666669999998</v>
      </c>
      <c r="M2276">
        <v>30.315130790000001</v>
      </c>
      <c r="N2276">
        <v>5.0803484000000003E-2</v>
      </c>
      <c r="O2276">
        <v>106.0540541</v>
      </c>
      <c r="P2276">
        <v>52.690533369999997</v>
      </c>
      <c r="Q2276">
        <v>7.6058968000000005E-2</v>
      </c>
      <c r="R2276" t="s">
        <v>1041</v>
      </c>
      <c r="S2276">
        <v>2.0228189999999979E-2</v>
      </c>
    </row>
    <row r="2277" spans="1:19" x14ac:dyDescent="0.25">
      <c r="A2277" t="s">
        <v>75</v>
      </c>
      <c r="B2277" t="s">
        <v>851</v>
      </c>
      <c r="C2277">
        <v>10</v>
      </c>
      <c r="D2277" t="s">
        <v>29</v>
      </c>
      <c r="E2277" t="s">
        <v>94</v>
      </c>
      <c r="F2277" t="s">
        <v>103</v>
      </c>
      <c r="G2277" t="s">
        <v>121</v>
      </c>
      <c r="H2277" t="s">
        <v>105</v>
      </c>
      <c r="J2277">
        <v>0</v>
      </c>
      <c r="K2277">
        <v>1</v>
      </c>
      <c r="L2277">
        <v>98.291666669999998</v>
      </c>
      <c r="M2277">
        <v>30.315130790000001</v>
      </c>
      <c r="N2277">
        <v>5.0803484000000003E-2</v>
      </c>
      <c r="O2277">
        <v>67.5</v>
      </c>
      <c r="P2277">
        <v>47.937235809999997</v>
      </c>
      <c r="Q2277">
        <v>0.41599678000000001</v>
      </c>
      <c r="R2277" t="s">
        <v>1041</v>
      </c>
      <c r="S2277">
        <v>1.6663739999999998</v>
      </c>
    </row>
    <row r="2278" spans="1:19" x14ac:dyDescent="0.25">
      <c r="A2278" t="s">
        <v>76</v>
      </c>
      <c r="B2278" t="s">
        <v>852</v>
      </c>
      <c r="C2278">
        <v>10</v>
      </c>
      <c r="D2278" t="s">
        <v>31</v>
      </c>
      <c r="E2278" t="s">
        <v>94</v>
      </c>
      <c r="F2278" t="s">
        <v>113</v>
      </c>
      <c r="G2278" t="s">
        <v>113</v>
      </c>
      <c r="H2278" t="s">
        <v>113</v>
      </c>
      <c r="J2278">
        <v>0</v>
      </c>
      <c r="K2278">
        <v>2</v>
      </c>
      <c r="L2278">
        <v>83.757575759999995</v>
      </c>
      <c r="M2278">
        <v>22.60997987</v>
      </c>
      <c r="N2278">
        <v>0.72884000000000004</v>
      </c>
      <c r="O2278">
        <v>83.757575759999995</v>
      </c>
      <c r="P2278">
        <v>22.60997987</v>
      </c>
      <c r="Q2278">
        <v>0.72884000000000004</v>
      </c>
      <c r="R2278" t="s">
        <v>1041</v>
      </c>
      <c r="S2278">
        <v>0</v>
      </c>
    </row>
    <row r="2279" spans="1:19" x14ac:dyDescent="0.25">
      <c r="A2279" t="s">
        <v>76</v>
      </c>
      <c r="B2279" t="s">
        <v>852</v>
      </c>
      <c r="C2279">
        <v>10</v>
      </c>
      <c r="D2279" t="s">
        <v>31</v>
      </c>
      <c r="E2279" t="s">
        <v>94</v>
      </c>
      <c r="F2279" t="s">
        <v>113</v>
      </c>
      <c r="G2279" t="s">
        <v>113</v>
      </c>
      <c r="H2279" t="s">
        <v>238</v>
      </c>
      <c r="J2279">
        <v>0</v>
      </c>
      <c r="K2279">
        <v>1</v>
      </c>
      <c r="L2279">
        <v>83.757575759999995</v>
      </c>
      <c r="M2279">
        <v>22.60997987</v>
      </c>
      <c r="N2279">
        <v>0.72884000000000004</v>
      </c>
      <c r="O2279">
        <v>87.5</v>
      </c>
      <c r="P2279">
        <v>29.478311600000001</v>
      </c>
      <c r="Q2279">
        <v>3.0797751000000002E-2</v>
      </c>
      <c r="R2279" t="s">
        <v>1041</v>
      </c>
      <c r="S2279">
        <v>8.3695049999999993E-2</v>
      </c>
    </row>
    <row r="2280" spans="1:19" x14ac:dyDescent="0.25">
      <c r="A2280" t="s">
        <v>76</v>
      </c>
      <c r="B2280" t="s">
        <v>852</v>
      </c>
      <c r="C2280">
        <v>10</v>
      </c>
      <c r="D2280" t="s">
        <v>31</v>
      </c>
      <c r="E2280" t="s">
        <v>94</v>
      </c>
      <c r="F2280" t="s">
        <v>113</v>
      </c>
      <c r="G2280" t="s">
        <v>113</v>
      </c>
      <c r="H2280" t="s">
        <v>235</v>
      </c>
      <c r="J2280">
        <v>0</v>
      </c>
      <c r="K2280">
        <v>5</v>
      </c>
      <c r="L2280">
        <v>83.757575759999995</v>
      </c>
      <c r="M2280">
        <v>22.60997987</v>
      </c>
      <c r="N2280">
        <v>0.72884000000000004</v>
      </c>
      <c r="O2280">
        <v>132.27272730000001</v>
      </c>
      <c r="P2280">
        <v>20.180448590000001</v>
      </c>
      <c r="Q2280">
        <v>3.7813451999999997E-2</v>
      </c>
      <c r="R2280" t="s">
        <v>1041</v>
      </c>
      <c r="S2280">
        <v>0.20103061000000003</v>
      </c>
    </row>
    <row r="2281" spans="1:19" x14ac:dyDescent="0.25">
      <c r="A2281" t="s">
        <v>77</v>
      </c>
      <c r="B2281" t="s">
        <v>853</v>
      </c>
      <c r="C2281">
        <v>10</v>
      </c>
      <c r="D2281" t="s">
        <v>33</v>
      </c>
      <c r="E2281" t="s">
        <v>94</v>
      </c>
      <c r="F2281" t="s">
        <v>102</v>
      </c>
      <c r="G2281" t="s">
        <v>110</v>
      </c>
      <c r="H2281" t="s">
        <v>110</v>
      </c>
      <c r="J2281">
        <v>0</v>
      </c>
      <c r="K2281">
        <v>1</v>
      </c>
      <c r="L2281">
        <v>84.740740740000007</v>
      </c>
      <c r="M2281">
        <v>29.167014049999999</v>
      </c>
      <c r="N2281">
        <v>1.1169849999999999</v>
      </c>
      <c r="O2281">
        <v>73.260869569999997</v>
      </c>
      <c r="P2281">
        <v>34.453830549999999</v>
      </c>
      <c r="Q2281">
        <v>1.058333333</v>
      </c>
      <c r="R2281" t="s">
        <v>1041</v>
      </c>
      <c r="S2281">
        <v>0.24817920000000004</v>
      </c>
    </row>
    <row r="2282" spans="1:19" x14ac:dyDescent="0.25">
      <c r="A2282" t="s">
        <v>77</v>
      </c>
      <c r="B2282" t="s">
        <v>853</v>
      </c>
      <c r="C2282">
        <v>10</v>
      </c>
      <c r="D2282" t="s">
        <v>33</v>
      </c>
      <c r="E2282" t="s">
        <v>94</v>
      </c>
      <c r="F2282" t="s">
        <v>102</v>
      </c>
      <c r="G2282" t="s">
        <v>110</v>
      </c>
      <c r="H2282" t="s">
        <v>162</v>
      </c>
      <c r="J2282">
        <v>0</v>
      </c>
      <c r="K2282">
        <v>1</v>
      </c>
      <c r="L2282">
        <v>84.740740740000007</v>
      </c>
      <c r="M2282">
        <v>29.167014049999999</v>
      </c>
      <c r="N2282">
        <v>1.1169849999999999</v>
      </c>
      <c r="O2282">
        <v>82.53846154</v>
      </c>
      <c r="P2282">
        <v>35.660530039999998</v>
      </c>
      <c r="Q2282">
        <v>3.3754499999999998</v>
      </c>
      <c r="R2282" t="s">
        <v>1041</v>
      </c>
      <c r="S2282" t="s">
        <v>114</v>
      </c>
    </row>
    <row r="2283" spans="1:19" x14ac:dyDescent="0.25">
      <c r="A2283" t="s">
        <v>77</v>
      </c>
      <c r="B2283" t="s">
        <v>854</v>
      </c>
      <c r="C2283">
        <v>10</v>
      </c>
      <c r="D2283" t="s">
        <v>33</v>
      </c>
      <c r="E2283" t="s">
        <v>94</v>
      </c>
      <c r="F2283" t="s">
        <v>110</v>
      </c>
      <c r="G2283" t="s">
        <v>110</v>
      </c>
      <c r="H2283" t="s">
        <v>110</v>
      </c>
      <c r="J2283">
        <v>0</v>
      </c>
      <c r="K2283">
        <v>3</v>
      </c>
      <c r="L2283">
        <v>73.260869569999997</v>
      </c>
      <c r="M2283">
        <v>34.453830549999999</v>
      </c>
      <c r="N2283">
        <v>1.058333333</v>
      </c>
      <c r="O2283">
        <v>73.260869569999997</v>
      </c>
      <c r="P2283">
        <v>34.453830549999999</v>
      </c>
      <c r="Q2283">
        <v>1.058333333</v>
      </c>
      <c r="R2283" t="s">
        <v>1041</v>
      </c>
      <c r="S2283">
        <v>0</v>
      </c>
    </row>
    <row r="2284" spans="1:19" x14ac:dyDescent="0.25">
      <c r="A2284" t="s">
        <v>78</v>
      </c>
      <c r="B2284" t="s">
        <v>855</v>
      </c>
      <c r="C2284">
        <v>10</v>
      </c>
      <c r="D2284" t="s">
        <v>35</v>
      </c>
      <c r="E2284" t="s">
        <v>94</v>
      </c>
      <c r="F2284" t="s">
        <v>111</v>
      </c>
      <c r="G2284" t="s">
        <v>121</v>
      </c>
      <c r="H2284" t="s">
        <v>114</v>
      </c>
      <c r="J2284">
        <v>0</v>
      </c>
      <c r="K2284">
        <v>0</v>
      </c>
      <c r="L2284">
        <v>94.97142857</v>
      </c>
      <c r="M2284">
        <v>24.31591813</v>
      </c>
      <c r="N2284">
        <v>0.122951111</v>
      </c>
      <c r="O2284" t="s">
        <v>114</v>
      </c>
      <c r="P2284" t="s">
        <v>114</v>
      </c>
      <c r="Q2284" t="s">
        <v>114</v>
      </c>
      <c r="R2284" t="s">
        <v>1041</v>
      </c>
      <c r="S2284" t="s">
        <v>114</v>
      </c>
    </row>
    <row r="2285" spans="1:19" x14ac:dyDescent="0.25">
      <c r="A2285" t="s">
        <v>50</v>
      </c>
      <c r="B2285" t="s">
        <v>856</v>
      </c>
      <c r="C2285">
        <v>12</v>
      </c>
      <c r="D2285" t="s">
        <v>11</v>
      </c>
      <c r="E2285" t="s">
        <v>95</v>
      </c>
      <c r="F2285" t="s">
        <v>113</v>
      </c>
      <c r="G2285" t="s">
        <v>113</v>
      </c>
      <c r="H2285" t="s">
        <v>113</v>
      </c>
      <c r="J2285">
        <v>0</v>
      </c>
      <c r="K2285">
        <v>6</v>
      </c>
      <c r="L2285">
        <v>83.757575759999995</v>
      </c>
      <c r="M2285">
        <v>22.60997987</v>
      </c>
      <c r="N2285">
        <v>0.72884000000000004</v>
      </c>
      <c r="O2285">
        <v>83.757575759999995</v>
      </c>
      <c r="P2285">
        <v>22.60997987</v>
      </c>
      <c r="Q2285">
        <v>0.72884000000000004</v>
      </c>
      <c r="R2285" t="s">
        <v>1041</v>
      </c>
      <c r="S2285">
        <v>0</v>
      </c>
    </row>
    <row r="2286" spans="1:19" x14ac:dyDescent="0.25">
      <c r="A2286" t="s">
        <v>50</v>
      </c>
      <c r="B2286" t="s">
        <v>856</v>
      </c>
      <c r="C2286">
        <v>12</v>
      </c>
      <c r="D2286" t="s">
        <v>11</v>
      </c>
      <c r="E2286" t="s">
        <v>95</v>
      </c>
      <c r="F2286" t="s">
        <v>113</v>
      </c>
      <c r="G2286" t="s">
        <v>113</v>
      </c>
      <c r="H2286" t="s">
        <v>238</v>
      </c>
      <c r="J2286">
        <v>0</v>
      </c>
      <c r="K2286">
        <v>1</v>
      </c>
      <c r="L2286">
        <v>83.757575759999995</v>
      </c>
      <c r="M2286">
        <v>22.60997987</v>
      </c>
      <c r="N2286">
        <v>0.72884000000000004</v>
      </c>
      <c r="O2286">
        <v>87.5</v>
      </c>
      <c r="P2286">
        <v>29.478311600000001</v>
      </c>
      <c r="Q2286">
        <v>3.0797751000000002E-2</v>
      </c>
      <c r="R2286" t="s">
        <v>1041</v>
      </c>
      <c r="S2286">
        <v>8.3695049999999993E-2</v>
      </c>
    </row>
    <row r="2287" spans="1:19" x14ac:dyDescent="0.25">
      <c r="A2287" t="s">
        <v>50</v>
      </c>
      <c r="B2287" t="s">
        <v>857</v>
      </c>
      <c r="C2287">
        <v>12</v>
      </c>
      <c r="D2287" t="s">
        <v>11</v>
      </c>
      <c r="E2287" t="s">
        <v>95</v>
      </c>
      <c r="F2287" t="s">
        <v>103</v>
      </c>
      <c r="G2287" t="s">
        <v>113</v>
      </c>
      <c r="H2287" t="s">
        <v>113</v>
      </c>
      <c r="J2287">
        <v>0</v>
      </c>
      <c r="K2287">
        <v>4</v>
      </c>
      <c r="L2287">
        <v>98.291666669999998</v>
      </c>
      <c r="M2287">
        <v>30.315130790000001</v>
      </c>
      <c r="N2287">
        <v>5.0803484000000003E-2</v>
      </c>
      <c r="O2287">
        <v>83.757575759999995</v>
      </c>
      <c r="P2287">
        <v>22.60997987</v>
      </c>
      <c r="Q2287">
        <v>0.72884000000000004</v>
      </c>
      <c r="R2287" t="s">
        <v>1041</v>
      </c>
      <c r="S2287">
        <v>0.21564730000000001</v>
      </c>
    </row>
    <row r="2288" spans="1:19" x14ac:dyDescent="0.25">
      <c r="A2288" t="s">
        <v>50</v>
      </c>
      <c r="B2288" t="s">
        <v>857</v>
      </c>
      <c r="C2288">
        <v>12</v>
      </c>
      <c r="D2288" t="s">
        <v>11</v>
      </c>
      <c r="E2288" t="s">
        <v>95</v>
      </c>
      <c r="F2288" t="s">
        <v>103</v>
      </c>
      <c r="G2288" t="s">
        <v>113</v>
      </c>
      <c r="H2288" t="s">
        <v>242</v>
      </c>
      <c r="J2288">
        <v>0</v>
      </c>
      <c r="K2288">
        <v>3</v>
      </c>
      <c r="L2288">
        <v>98.291666669999998</v>
      </c>
      <c r="M2288">
        <v>30.315130790000001</v>
      </c>
      <c r="N2288">
        <v>5.0803484000000003E-2</v>
      </c>
      <c r="O2288">
        <v>139.375</v>
      </c>
      <c r="P2288">
        <v>23.713465920000001</v>
      </c>
      <c r="Q2288" t="s">
        <v>114</v>
      </c>
      <c r="R2288" t="s">
        <v>1041</v>
      </c>
      <c r="S2288" t="s">
        <v>114</v>
      </c>
    </row>
    <row r="2289" spans="1:19" x14ac:dyDescent="0.25">
      <c r="A2289" t="s">
        <v>50</v>
      </c>
      <c r="B2289" t="s">
        <v>858</v>
      </c>
      <c r="C2289">
        <v>12</v>
      </c>
      <c r="D2289" t="s">
        <v>11</v>
      </c>
      <c r="E2289" t="s">
        <v>95</v>
      </c>
      <c r="F2289" t="s">
        <v>111</v>
      </c>
      <c r="G2289" t="s">
        <v>113</v>
      </c>
      <c r="H2289" t="s">
        <v>113</v>
      </c>
      <c r="J2289">
        <v>0</v>
      </c>
      <c r="K2289">
        <v>3</v>
      </c>
      <c r="L2289">
        <v>94.97142857</v>
      </c>
      <c r="M2289">
        <v>24.31591813</v>
      </c>
      <c r="N2289">
        <v>0.122951111</v>
      </c>
      <c r="O2289">
        <v>83.757575759999995</v>
      </c>
      <c r="P2289">
        <v>22.60997987</v>
      </c>
      <c r="Q2289">
        <v>0.72884000000000004</v>
      </c>
      <c r="R2289" t="s">
        <v>1041</v>
      </c>
      <c r="S2289">
        <v>0.17749450000000003</v>
      </c>
    </row>
    <row r="2290" spans="1:19" x14ac:dyDescent="0.25">
      <c r="A2290" t="s">
        <v>50</v>
      </c>
      <c r="B2290" t="s">
        <v>858</v>
      </c>
      <c r="C2290">
        <v>12</v>
      </c>
      <c r="D2290" t="s">
        <v>11</v>
      </c>
      <c r="E2290" t="s">
        <v>95</v>
      </c>
      <c r="F2290" t="s">
        <v>111</v>
      </c>
      <c r="G2290" t="s">
        <v>113</v>
      </c>
      <c r="H2290" t="s">
        <v>242</v>
      </c>
      <c r="J2290">
        <v>0</v>
      </c>
      <c r="K2290">
        <v>2</v>
      </c>
      <c r="L2290">
        <v>94.97142857</v>
      </c>
      <c r="M2290">
        <v>24.31591813</v>
      </c>
      <c r="N2290">
        <v>0.122951111</v>
      </c>
      <c r="O2290">
        <v>139.375</v>
      </c>
      <c r="P2290">
        <v>23.713465920000001</v>
      </c>
      <c r="Q2290" t="s">
        <v>114</v>
      </c>
      <c r="R2290" t="s">
        <v>1041</v>
      </c>
      <c r="S2290" t="s">
        <v>114</v>
      </c>
    </row>
    <row r="2291" spans="1:19" x14ac:dyDescent="0.25">
      <c r="A2291" t="s">
        <v>50</v>
      </c>
      <c r="B2291" t="s">
        <v>859</v>
      </c>
      <c r="C2291">
        <v>12</v>
      </c>
      <c r="D2291" t="s">
        <v>11</v>
      </c>
      <c r="E2291" t="s">
        <v>95</v>
      </c>
      <c r="F2291" t="s">
        <v>104</v>
      </c>
      <c r="G2291" t="s">
        <v>121</v>
      </c>
      <c r="H2291" t="s">
        <v>103</v>
      </c>
      <c r="J2291">
        <v>0</v>
      </c>
      <c r="K2291">
        <v>1</v>
      </c>
      <c r="L2291">
        <v>113.9375</v>
      </c>
      <c r="M2291">
        <v>33.375507550000002</v>
      </c>
      <c r="N2291">
        <v>2.4262999999999999</v>
      </c>
      <c r="O2291">
        <v>98.291666669999998</v>
      </c>
      <c r="P2291">
        <v>30.315130790000001</v>
      </c>
      <c r="Q2291">
        <v>5.0803484000000003E-2</v>
      </c>
      <c r="R2291" t="s">
        <v>1041</v>
      </c>
      <c r="S2291">
        <v>2.1739100000000011E-2</v>
      </c>
    </row>
    <row r="2292" spans="1:19" x14ac:dyDescent="0.25">
      <c r="A2292" t="s">
        <v>50</v>
      </c>
      <c r="B2292" t="s">
        <v>859</v>
      </c>
      <c r="C2292">
        <v>12</v>
      </c>
      <c r="D2292" t="s">
        <v>11</v>
      </c>
      <c r="E2292" t="s">
        <v>95</v>
      </c>
      <c r="F2292" t="s">
        <v>104</v>
      </c>
      <c r="G2292" t="s">
        <v>121</v>
      </c>
      <c r="H2292" t="s">
        <v>238</v>
      </c>
      <c r="J2292">
        <v>0</v>
      </c>
      <c r="K2292">
        <v>1</v>
      </c>
      <c r="L2292">
        <v>113.9375</v>
      </c>
      <c r="M2292">
        <v>33.375507550000002</v>
      </c>
      <c r="N2292">
        <v>2.4262999999999999</v>
      </c>
      <c r="O2292">
        <v>87.5</v>
      </c>
      <c r="P2292">
        <v>29.478311600000001</v>
      </c>
      <c r="Q2292">
        <v>3.0797751000000002E-2</v>
      </c>
      <c r="R2292" t="s">
        <v>1041</v>
      </c>
      <c r="S2292">
        <v>0.27760324999999997</v>
      </c>
    </row>
    <row r="2293" spans="1:19" x14ac:dyDescent="0.25">
      <c r="A2293" t="s">
        <v>51</v>
      </c>
      <c r="B2293" t="s">
        <v>860</v>
      </c>
      <c r="C2293">
        <v>12</v>
      </c>
      <c r="D2293" t="s">
        <v>15</v>
      </c>
      <c r="E2293" t="s">
        <v>94</v>
      </c>
      <c r="F2293" t="s">
        <v>105</v>
      </c>
      <c r="G2293" t="s">
        <v>104</v>
      </c>
      <c r="H2293" t="s">
        <v>104</v>
      </c>
      <c r="J2293">
        <v>0</v>
      </c>
      <c r="K2293">
        <v>2</v>
      </c>
      <c r="L2293">
        <v>67.5</v>
      </c>
      <c r="M2293">
        <v>47.937235809999997</v>
      </c>
      <c r="N2293">
        <v>0.41599678000000001</v>
      </c>
      <c r="O2293">
        <v>113.9375</v>
      </c>
      <c r="P2293">
        <v>33.375507550000002</v>
      </c>
      <c r="Q2293">
        <v>2.4262999999999999</v>
      </c>
      <c r="R2293" t="s">
        <v>1041</v>
      </c>
      <c r="S2293">
        <v>1.6881130999999998</v>
      </c>
    </row>
    <row r="2294" spans="1:19" x14ac:dyDescent="0.25">
      <c r="A2294" t="s">
        <v>51</v>
      </c>
      <c r="B2294" t="s">
        <v>861</v>
      </c>
      <c r="C2294">
        <v>12</v>
      </c>
      <c r="D2294" t="s">
        <v>15</v>
      </c>
      <c r="E2294" t="s">
        <v>94</v>
      </c>
      <c r="F2294" t="s">
        <v>111</v>
      </c>
      <c r="G2294" t="s">
        <v>121</v>
      </c>
      <c r="H2294" t="s">
        <v>241</v>
      </c>
      <c r="J2294">
        <v>0</v>
      </c>
      <c r="K2294">
        <v>1</v>
      </c>
      <c r="L2294">
        <v>94.97142857</v>
      </c>
      <c r="M2294">
        <v>24.31591813</v>
      </c>
      <c r="N2294">
        <v>0.122951111</v>
      </c>
      <c r="O2294">
        <v>114</v>
      </c>
      <c r="P2294">
        <v>30.43077242</v>
      </c>
      <c r="Q2294">
        <v>0.53383111100000002</v>
      </c>
      <c r="R2294" t="s">
        <v>1041</v>
      </c>
      <c r="S2294">
        <v>0.10717457000000002</v>
      </c>
    </row>
    <row r="2295" spans="1:19" x14ac:dyDescent="0.25">
      <c r="A2295" t="s">
        <v>51</v>
      </c>
      <c r="B2295" t="s">
        <v>862</v>
      </c>
      <c r="C2295">
        <v>12</v>
      </c>
      <c r="D2295" t="s">
        <v>15</v>
      </c>
      <c r="E2295" t="s">
        <v>94</v>
      </c>
      <c r="F2295" t="s">
        <v>112</v>
      </c>
      <c r="G2295" t="s">
        <v>112</v>
      </c>
      <c r="H2295" t="s">
        <v>112</v>
      </c>
      <c r="J2295">
        <v>0</v>
      </c>
      <c r="K2295">
        <v>2</v>
      </c>
      <c r="L2295">
        <v>65.09375</v>
      </c>
      <c r="M2295">
        <v>37.895352600000002</v>
      </c>
      <c r="N2295">
        <v>2.2882677779999998</v>
      </c>
      <c r="O2295">
        <v>65.09375</v>
      </c>
      <c r="P2295">
        <v>37.895352600000002</v>
      </c>
      <c r="Q2295">
        <v>2.2882677779999998</v>
      </c>
      <c r="R2295" t="s">
        <v>1041</v>
      </c>
      <c r="S2295">
        <v>0</v>
      </c>
    </row>
    <row r="2296" spans="1:19" x14ac:dyDescent="0.25">
      <c r="A2296" t="s">
        <v>52</v>
      </c>
      <c r="B2296" t="s">
        <v>863</v>
      </c>
      <c r="C2296">
        <v>12</v>
      </c>
      <c r="D2296" t="s">
        <v>17</v>
      </c>
      <c r="E2296" t="s">
        <v>95</v>
      </c>
      <c r="F2296" t="s">
        <v>102</v>
      </c>
      <c r="G2296" t="s">
        <v>121</v>
      </c>
      <c r="H2296" t="s">
        <v>238</v>
      </c>
      <c r="J2296">
        <v>0</v>
      </c>
      <c r="K2296">
        <v>1</v>
      </c>
      <c r="L2296">
        <v>84.740740740000007</v>
      </c>
      <c r="M2296">
        <v>29.167014049999999</v>
      </c>
      <c r="N2296">
        <v>1.1169849999999999</v>
      </c>
      <c r="O2296">
        <v>87.5</v>
      </c>
      <c r="P2296">
        <v>29.478311600000001</v>
      </c>
      <c r="Q2296">
        <v>3.0797751000000002E-2</v>
      </c>
      <c r="R2296" t="s">
        <v>1041</v>
      </c>
      <c r="S2296">
        <v>1.0278315500000001</v>
      </c>
    </row>
    <row r="2297" spans="1:19" x14ac:dyDescent="0.25">
      <c r="A2297" t="s">
        <v>52</v>
      </c>
      <c r="B2297" t="s">
        <v>863</v>
      </c>
      <c r="C2297">
        <v>12</v>
      </c>
      <c r="D2297" t="s">
        <v>17</v>
      </c>
      <c r="E2297" t="s">
        <v>95</v>
      </c>
      <c r="F2297" t="s">
        <v>102</v>
      </c>
      <c r="G2297" t="s">
        <v>121</v>
      </c>
      <c r="H2297" t="s">
        <v>113</v>
      </c>
      <c r="J2297">
        <v>0</v>
      </c>
      <c r="K2297">
        <v>1</v>
      </c>
      <c r="L2297">
        <v>84.740740740000007</v>
      </c>
      <c r="M2297">
        <v>29.167014049999999</v>
      </c>
      <c r="N2297">
        <v>1.1169849999999999</v>
      </c>
      <c r="O2297">
        <v>83.757575759999995</v>
      </c>
      <c r="P2297">
        <v>22.60997987</v>
      </c>
      <c r="Q2297">
        <v>0.72884000000000004</v>
      </c>
      <c r="R2297" t="s">
        <v>1041</v>
      </c>
      <c r="S2297">
        <v>0.94413650000000005</v>
      </c>
    </row>
    <row r="2298" spans="1:19" x14ac:dyDescent="0.25">
      <c r="A2298" t="s">
        <v>52</v>
      </c>
      <c r="B2298" t="s">
        <v>864</v>
      </c>
      <c r="C2298">
        <v>12</v>
      </c>
      <c r="D2298" t="s">
        <v>17</v>
      </c>
      <c r="E2298" t="s">
        <v>95</v>
      </c>
      <c r="F2298" t="s">
        <v>103</v>
      </c>
      <c r="G2298" t="s">
        <v>121</v>
      </c>
      <c r="H2298" t="s">
        <v>234</v>
      </c>
      <c r="J2298">
        <v>0</v>
      </c>
      <c r="K2298">
        <v>5</v>
      </c>
      <c r="L2298">
        <v>98.291666669999998</v>
      </c>
      <c r="M2298">
        <v>30.315130790000001</v>
      </c>
      <c r="N2298">
        <v>5.0803484000000003E-2</v>
      </c>
      <c r="O2298">
        <v>89.8125</v>
      </c>
      <c r="P2298">
        <v>34.754706650000003</v>
      </c>
      <c r="Q2298">
        <v>2.3065078999999999E-2</v>
      </c>
      <c r="R2298" t="s">
        <v>1041</v>
      </c>
      <c r="S2298">
        <v>2.0505059700000001</v>
      </c>
    </row>
    <row r="2299" spans="1:19" x14ac:dyDescent="0.25">
      <c r="A2299" t="s">
        <v>52</v>
      </c>
      <c r="B2299" t="s">
        <v>865</v>
      </c>
      <c r="C2299">
        <v>12</v>
      </c>
      <c r="D2299" t="s">
        <v>17</v>
      </c>
      <c r="E2299" t="s">
        <v>95</v>
      </c>
      <c r="F2299" t="s">
        <v>111</v>
      </c>
      <c r="G2299" t="s">
        <v>103</v>
      </c>
      <c r="H2299" t="s">
        <v>103</v>
      </c>
      <c r="J2299">
        <v>0</v>
      </c>
      <c r="K2299">
        <v>1</v>
      </c>
      <c r="L2299">
        <v>94.97142857</v>
      </c>
      <c r="M2299">
        <v>24.31591813</v>
      </c>
      <c r="N2299">
        <v>0.122951111</v>
      </c>
      <c r="O2299">
        <v>98.291666669999998</v>
      </c>
      <c r="P2299">
        <v>30.315130790000001</v>
      </c>
      <c r="Q2299">
        <v>5.0803484000000003E-2</v>
      </c>
      <c r="R2299" t="s">
        <v>1041</v>
      </c>
      <c r="S2299">
        <v>3.8152799999999987E-2</v>
      </c>
    </row>
    <row r="2300" spans="1:19" x14ac:dyDescent="0.25">
      <c r="A2300" t="s">
        <v>52</v>
      </c>
      <c r="B2300" t="s">
        <v>866</v>
      </c>
      <c r="C2300">
        <v>12</v>
      </c>
      <c r="D2300" t="s">
        <v>17</v>
      </c>
      <c r="E2300" t="s">
        <v>95</v>
      </c>
      <c r="F2300" t="s">
        <v>112</v>
      </c>
      <c r="G2300" t="s">
        <v>121</v>
      </c>
      <c r="H2300" t="s">
        <v>235</v>
      </c>
      <c r="J2300">
        <v>0</v>
      </c>
      <c r="K2300">
        <v>1</v>
      </c>
      <c r="L2300">
        <v>65.09375</v>
      </c>
      <c r="M2300">
        <v>37.895352600000002</v>
      </c>
      <c r="N2300">
        <v>2.2882677779999998</v>
      </c>
      <c r="O2300">
        <v>132.27272730000001</v>
      </c>
      <c r="P2300">
        <v>20.180448590000001</v>
      </c>
      <c r="Q2300">
        <v>3.7813451999999997E-2</v>
      </c>
      <c r="R2300" t="s">
        <v>1041</v>
      </c>
      <c r="S2300">
        <v>1.7971333899999999</v>
      </c>
    </row>
    <row r="2301" spans="1:19" x14ac:dyDescent="0.25">
      <c r="A2301" t="s">
        <v>53</v>
      </c>
      <c r="B2301" t="s">
        <v>867</v>
      </c>
      <c r="C2301">
        <v>12</v>
      </c>
      <c r="D2301" t="s">
        <v>19</v>
      </c>
      <c r="E2301" t="s">
        <v>94</v>
      </c>
      <c r="F2301" t="s">
        <v>102</v>
      </c>
      <c r="G2301" t="s">
        <v>121</v>
      </c>
      <c r="H2301" t="s">
        <v>808</v>
      </c>
      <c r="J2301">
        <v>0</v>
      </c>
      <c r="K2301">
        <v>1</v>
      </c>
      <c r="L2301">
        <v>84.740740740000007</v>
      </c>
      <c r="M2301">
        <v>29.167014049999999</v>
      </c>
      <c r="N2301">
        <v>1.1169849999999999</v>
      </c>
      <c r="O2301">
        <v>102.79166669999999</v>
      </c>
      <c r="P2301">
        <v>27.057373470000002</v>
      </c>
      <c r="Q2301">
        <v>6.3567849939999999</v>
      </c>
      <c r="R2301" t="s">
        <v>1041</v>
      </c>
      <c r="S2301" t="s">
        <v>114</v>
      </c>
    </row>
    <row r="2302" spans="1:19" x14ac:dyDescent="0.25">
      <c r="A2302" t="s">
        <v>53</v>
      </c>
      <c r="B2302" t="s">
        <v>867</v>
      </c>
      <c r="C2302">
        <v>12</v>
      </c>
      <c r="D2302" t="s">
        <v>19</v>
      </c>
      <c r="E2302" t="s">
        <v>94</v>
      </c>
      <c r="F2302" t="s">
        <v>102</v>
      </c>
      <c r="G2302" t="s">
        <v>121</v>
      </c>
      <c r="H2302" t="s">
        <v>241</v>
      </c>
      <c r="J2302">
        <v>0</v>
      </c>
      <c r="K2302">
        <v>1</v>
      </c>
      <c r="L2302">
        <v>84.740740740000007</v>
      </c>
      <c r="M2302">
        <v>29.167014049999999</v>
      </c>
      <c r="N2302">
        <v>1.1169849999999999</v>
      </c>
      <c r="O2302">
        <v>114</v>
      </c>
      <c r="P2302">
        <v>30.43077242</v>
      </c>
      <c r="Q2302">
        <v>0.53383111100000002</v>
      </c>
      <c r="R2302" t="s">
        <v>1041</v>
      </c>
      <c r="S2302">
        <v>0.87381657000000001</v>
      </c>
    </row>
    <row r="2303" spans="1:19" x14ac:dyDescent="0.25">
      <c r="A2303" t="s">
        <v>53</v>
      </c>
      <c r="B2303" t="s">
        <v>868</v>
      </c>
      <c r="C2303">
        <v>12</v>
      </c>
      <c r="D2303" t="s">
        <v>19</v>
      </c>
      <c r="E2303" t="s">
        <v>94</v>
      </c>
      <c r="F2303" t="s">
        <v>113</v>
      </c>
      <c r="G2303" t="s">
        <v>121</v>
      </c>
      <c r="H2303" t="s">
        <v>103</v>
      </c>
      <c r="J2303">
        <v>0</v>
      </c>
      <c r="K2303">
        <v>1</v>
      </c>
      <c r="L2303">
        <v>83.757575759999995</v>
      </c>
      <c r="M2303">
        <v>22.60997987</v>
      </c>
      <c r="N2303">
        <v>0.72884000000000004</v>
      </c>
      <c r="O2303">
        <v>98.291666669999998</v>
      </c>
      <c r="P2303">
        <v>30.315130790000001</v>
      </c>
      <c r="Q2303">
        <v>5.0803484000000003E-2</v>
      </c>
      <c r="R2303" t="s">
        <v>1041</v>
      </c>
      <c r="S2303">
        <v>0.21564730000000001</v>
      </c>
    </row>
    <row r="2304" spans="1:19" x14ac:dyDescent="0.25">
      <c r="A2304" t="s">
        <v>53</v>
      </c>
      <c r="B2304" t="s">
        <v>868</v>
      </c>
      <c r="C2304">
        <v>12</v>
      </c>
      <c r="D2304" t="s">
        <v>19</v>
      </c>
      <c r="E2304" t="s">
        <v>94</v>
      </c>
      <c r="F2304" t="s">
        <v>113</v>
      </c>
      <c r="G2304" t="s">
        <v>121</v>
      </c>
      <c r="H2304" t="s">
        <v>238</v>
      </c>
      <c r="J2304">
        <v>0</v>
      </c>
      <c r="K2304">
        <v>1</v>
      </c>
      <c r="L2304">
        <v>83.757575759999995</v>
      </c>
      <c r="M2304">
        <v>22.60997987</v>
      </c>
      <c r="N2304">
        <v>0.72884000000000004</v>
      </c>
      <c r="O2304">
        <v>87.5</v>
      </c>
      <c r="P2304">
        <v>29.478311600000001</v>
      </c>
      <c r="Q2304">
        <v>3.0797751000000002E-2</v>
      </c>
      <c r="R2304" t="s">
        <v>1041</v>
      </c>
      <c r="S2304">
        <v>8.3695049999999993E-2</v>
      </c>
    </row>
    <row r="2305" spans="1:19" x14ac:dyDescent="0.25">
      <c r="A2305" t="s">
        <v>53</v>
      </c>
      <c r="B2305" t="s">
        <v>868</v>
      </c>
      <c r="C2305">
        <v>12</v>
      </c>
      <c r="D2305" t="s">
        <v>19</v>
      </c>
      <c r="E2305" t="s">
        <v>94</v>
      </c>
      <c r="F2305" t="s">
        <v>113</v>
      </c>
      <c r="G2305" t="s">
        <v>121</v>
      </c>
      <c r="H2305" t="s">
        <v>235</v>
      </c>
      <c r="J2305">
        <v>0</v>
      </c>
      <c r="K2305">
        <v>1</v>
      </c>
      <c r="L2305">
        <v>83.757575759999995</v>
      </c>
      <c r="M2305">
        <v>22.60997987</v>
      </c>
      <c r="N2305">
        <v>0.72884000000000004</v>
      </c>
      <c r="O2305">
        <v>132.27272730000001</v>
      </c>
      <c r="P2305">
        <v>20.180448590000001</v>
      </c>
      <c r="Q2305">
        <v>3.7813451999999997E-2</v>
      </c>
      <c r="R2305" t="s">
        <v>1041</v>
      </c>
      <c r="S2305">
        <v>0.20103061000000003</v>
      </c>
    </row>
    <row r="2306" spans="1:19" x14ac:dyDescent="0.25">
      <c r="A2306" t="s">
        <v>53</v>
      </c>
      <c r="B2306" t="s">
        <v>868</v>
      </c>
      <c r="C2306">
        <v>12</v>
      </c>
      <c r="D2306" t="s">
        <v>19</v>
      </c>
      <c r="E2306" t="s">
        <v>94</v>
      </c>
      <c r="F2306" t="s">
        <v>113</v>
      </c>
      <c r="G2306" t="s">
        <v>121</v>
      </c>
      <c r="H2306" t="s">
        <v>241</v>
      </c>
      <c r="J2306">
        <v>0</v>
      </c>
      <c r="K2306">
        <v>2</v>
      </c>
      <c r="L2306">
        <v>83.757575759999995</v>
      </c>
      <c r="M2306">
        <v>22.60997987</v>
      </c>
      <c r="N2306">
        <v>0.72884000000000004</v>
      </c>
      <c r="O2306">
        <v>114</v>
      </c>
      <c r="P2306">
        <v>30.43077242</v>
      </c>
      <c r="Q2306">
        <v>0.53383111100000002</v>
      </c>
      <c r="R2306" t="s">
        <v>1041</v>
      </c>
      <c r="S2306">
        <v>7.0319930000000003E-2</v>
      </c>
    </row>
    <row r="2307" spans="1:19" x14ac:dyDescent="0.25">
      <c r="A2307" t="s">
        <v>53</v>
      </c>
      <c r="B2307" t="s">
        <v>868</v>
      </c>
      <c r="C2307">
        <v>12</v>
      </c>
      <c r="D2307" t="s">
        <v>19</v>
      </c>
      <c r="E2307" t="s">
        <v>94</v>
      </c>
      <c r="F2307" t="s">
        <v>113</v>
      </c>
      <c r="G2307" t="s">
        <v>121</v>
      </c>
      <c r="H2307" t="s">
        <v>242</v>
      </c>
      <c r="J2307">
        <v>0</v>
      </c>
      <c r="K2307">
        <v>1</v>
      </c>
      <c r="L2307">
        <v>83.757575759999995</v>
      </c>
      <c r="M2307">
        <v>22.60997987</v>
      </c>
      <c r="N2307">
        <v>0.72884000000000004</v>
      </c>
      <c r="O2307">
        <v>139.375</v>
      </c>
      <c r="P2307">
        <v>23.713465920000001</v>
      </c>
      <c r="Q2307" t="s">
        <v>114</v>
      </c>
      <c r="R2307" t="s">
        <v>1041</v>
      </c>
      <c r="S2307" t="s">
        <v>114</v>
      </c>
    </row>
    <row r="2308" spans="1:19" x14ac:dyDescent="0.25">
      <c r="A2308" t="s">
        <v>53</v>
      </c>
      <c r="B2308" t="s">
        <v>868</v>
      </c>
      <c r="C2308">
        <v>12</v>
      </c>
      <c r="D2308" t="s">
        <v>19</v>
      </c>
      <c r="E2308" t="s">
        <v>94</v>
      </c>
      <c r="F2308" t="s">
        <v>113</v>
      </c>
      <c r="G2308" t="s">
        <v>121</v>
      </c>
      <c r="H2308" t="s">
        <v>112</v>
      </c>
      <c r="J2308">
        <v>0</v>
      </c>
      <c r="K2308">
        <v>1</v>
      </c>
      <c r="L2308">
        <v>83.757575759999995</v>
      </c>
      <c r="M2308">
        <v>22.60997987</v>
      </c>
      <c r="N2308">
        <v>0.72884000000000004</v>
      </c>
      <c r="O2308">
        <v>65.09375</v>
      </c>
      <c r="P2308">
        <v>37.895352600000002</v>
      </c>
      <c r="Q2308">
        <v>2.2882677779999998</v>
      </c>
      <c r="R2308" t="s">
        <v>1041</v>
      </c>
      <c r="S2308">
        <v>1.9981640000000001</v>
      </c>
    </row>
    <row r="2309" spans="1:19" x14ac:dyDescent="0.25">
      <c r="A2309" t="s">
        <v>53</v>
      </c>
      <c r="B2309" t="s">
        <v>869</v>
      </c>
      <c r="C2309">
        <v>12</v>
      </c>
      <c r="D2309" t="s">
        <v>19</v>
      </c>
      <c r="E2309" t="s">
        <v>94</v>
      </c>
      <c r="F2309" t="s">
        <v>103</v>
      </c>
      <c r="G2309" t="s">
        <v>121</v>
      </c>
      <c r="H2309" t="s">
        <v>103</v>
      </c>
      <c r="J2309">
        <v>0</v>
      </c>
      <c r="K2309">
        <v>1</v>
      </c>
      <c r="L2309">
        <v>98.291666669999998</v>
      </c>
      <c r="M2309">
        <v>30.315130790000001</v>
      </c>
      <c r="N2309">
        <v>5.0803484000000003E-2</v>
      </c>
      <c r="O2309">
        <v>98.291666669999998</v>
      </c>
      <c r="P2309">
        <v>30.315130790000001</v>
      </c>
      <c r="Q2309">
        <v>5.0803484000000003E-2</v>
      </c>
      <c r="R2309" t="s">
        <v>1041</v>
      </c>
      <c r="S2309">
        <v>0</v>
      </c>
    </row>
    <row r="2310" spans="1:19" x14ac:dyDescent="0.25">
      <c r="A2310" t="s">
        <v>53</v>
      </c>
      <c r="B2310" t="s">
        <v>869</v>
      </c>
      <c r="C2310">
        <v>12</v>
      </c>
      <c r="D2310" t="s">
        <v>19</v>
      </c>
      <c r="E2310" t="s">
        <v>94</v>
      </c>
      <c r="F2310" t="s">
        <v>103</v>
      </c>
      <c r="G2310" t="s">
        <v>121</v>
      </c>
      <c r="H2310" t="s">
        <v>241</v>
      </c>
      <c r="J2310">
        <v>0</v>
      </c>
      <c r="K2310">
        <v>1</v>
      </c>
      <c r="L2310">
        <v>98.291666669999998</v>
      </c>
      <c r="M2310">
        <v>30.315130790000001</v>
      </c>
      <c r="N2310">
        <v>5.0803484000000003E-2</v>
      </c>
      <c r="O2310">
        <v>114</v>
      </c>
      <c r="P2310">
        <v>30.43077242</v>
      </c>
      <c r="Q2310">
        <v>0.53383111100000002</v>
      </c>
      <c r="R2310" t="s">
        <v>1041</v>
      </c>
      <c r="S2310">
        <v>0.14532737000000001</v>
      </c>
    </row>
    <row r="2311" spans="1:19" x14ac:dyDescent="0.25">
      <c r="A2311" t="s">
        <v>53</v>
      </c>
      <c r="B2311" t="s">
        <v>870</v>
      </c>
      <c r="C2311">
        <v>12</v>
      </c>
      <c r="D2311" t="s">
        <v>19</v>
      </c>
      <c r="E2311" t="s">
        <v>94</v>
      </c>
      <c r="F2311" t="s">
        <v>112</v>
      </c>
      <c r="G2311" t="s">
        <v>121</v>
      </c>
      <c r="H2311" t="s">
        <v>114</v>
      </c>
      <c r="J2311">
        <v>0</v>
      </c>
      <c r="K2311">
        <v>0</v>
      </c>
      <c r="L2311">
        <v>65.09375</v>
      </c>
      <c r="M2311">
        <v>37.895352600000002</v>
      </c>
      <c r="N2311">
        <v>2.2882677779999998</v>
      </c>
      <c r="O2311" t="s">
        <v>114</v>
      </c>
      <c r="P2311" t="s">
        <v>114</v>
      </c>
      <c r="Q2311" t="s">
        <v>114</v>
      </c>
      <c r="R2311" t="s">
        <v>1041</v>
      </c>
      <c r="S2311" t="s">
        <v>114</v>
      </c>
    </row>
    <row r="2312" spans="1:19" x14ac:dyDescent="0.25">
      <c r="A2312" t="s">
        <v>54</v>
      </c>
      <c r="B2312" t="s">
        <v>871</v>
      </c>
      <c r="C2312">
        <v>12</v>
      </c>
      <c r="D2312" t="s">
        <v>21</v>
      </c>
      <c r="E2312" t="s">
        <v>95</v>
      </c>
      <c r="F2312" t="s">
        <v>113</v>
      </c>
      <c r="G2312" t="s">
        <v>121</v>
      </c>
      <c r="H2312" t="s">
        <v>241</v>
      </c>
      <c r="J2312">
        <v>0</v>
      </c>
      <c r="K2312">
        <v>2</v>
      </c>
      <c r="L2312">
        <v>83.757575759999995</v>
      </c>
      <c r="M2312">
        <v>22.60997987</v>
      </c>
      <c r="N2312">
        <v>0.72884000000000004</v>
      </c>
      <c r="O2312">
        <v>114</v>
      </c>
      <c r="P2312">
        <v>30.43077242</v>
      </c>
      <c r="Q2312">
        <v>0.53383111100000002</v>
      </c>
      <c r="R2312" t="s">
        <v>1041</v>
      </c>
      <c r="S2312">
        <v>7.0319930000000003E-2</v>
      </c>
    </row>
    <row r="2313" spans="1:19" x14ac:dyDescent="0.25">
      <c r="A2313" t="s">
        <v>54</v>
      </c>
      <c r="B2313" t="s">
        <v>872</v>
      </c>
      <c r="C2313">
        <v>12</v>
      </c>
      <c r="D2313" t="s">
        <v>21</v>
      </c>
      <c r="E2313" t="s">
        <v>95</v>
      </c>
      <c r="F2313" t="s">
        <v>110</v>
      </c>
      <c r="G2313" t="s">
        <v>121</v>
      </c>
      <c r="H2313" t="s">
        <v>241</v>
      </c>
      <c r="I2313" t="s">
        <v>162</v>
      </c>
      <c r="J2313">
        <v>1</v>
      </c>
      <c r="K2313">
        <v>2</v>
      </c>
      <c r="L2313">
        <v>73.260869569999997</v>
      </c>
      <c r="M2313">
        <v>34.453830549999999</v>
      </c>
      <c r="N2313">
        <v>1.058333333</v>
      </c>
      <c r="O2313">
        <v>114</v>
      </c>
      <c r="P2313">
        <v>30.43077242</v>
      </c>
      <c r="Q2313">
        <v>0.53383111100000002</v>
      </c>
      <c r="R2313" t="s">
        <v>1041</v>
      </c>
      <c r="S2313">
        <v>0.62563736999999997</v>
      </c>
    </row>
    <row r="2314" spans="1:19" x14ac:dyDescent="0.25">
      <c r="A2314" t="s">
        <v>54</v>
      </c>
      <c r="B2314" t="s">
        <v>873</v>
      </c>
      <c r="C2314">
        <v>12</v>
      </c>
      <c r="D2314" t="s">
        <v>21</v>
      </c>
      <c r="E2314" t="s">
        <v>95</v>
      </c>
      <c r="F2314" t="s">
        <v>111</v>
      </c>
      <c r="G2314" t="s">
        <v>121</v>
      </c>
      <c r="H2314" t="s">
        <v>162</v>
      </c>
      <c r="J2314">
        <v>0</v>
      </c>
      <c r="K2314">
        <v>1</v>
      </c>
      <c r="L2314">
        <v>94.97142857</v>
      </c>
      <c r="M2314">
        <v>24.31591813</v>
      </c>
      <c r="N2314">
        <v>0.122951111</v>
      </c>
      <c r="O2314">
        <v>82.53846154</v>
      </c>
      <c r="P2314">
        <v>35.660530039999998</v>
      </c>
      <c r="Q2314">
        <v>3.3754499999999998</v>
      </c>
      <c r="R2314" t="s">
        <v>1041</v>
      </c>
      <c r="S2314" t="s">
        <v>114</v>
      </c>
    </row>
    <row r="2315" spans="1:19" x14ac:dyDescent="0.25">
      <c r="A2315" t="s">
        <v>55</v>
      </c>
      <c r="B2315" t="s">
        <v>874</v>
      </c>
      <c r="C2315">
        <v>12</v>
      </c>
      <c r="D2315" t="s">
        <v>23</v>
      </c>
      <c r="E2315" t="s">
        <v>94</v>
      </c>
      <c r="F2315" t="s">
        <v>113</v>
      </c>
      <c r="G2315" t="s">
        <v>110</v>
      </c>
      <c r="H2315" t="s">
        <v>238</v>
      </c>
      <c r="J2315">
        <v>0</v>
      </c>
      <c r="K2315">
        <v>1</v>
      </c>
      <c r="L2315">
        <v>83.757575759999995</v>
      </c>
      <c r="M2315">
        <v>22.60997987</v>
      </c>
      <c r="N2315">
        <v>0.72884000000000004</v>
      </c>
      <c r="O2315">
        <v>87.5</v>
      </c>
      <c r="P2315">
        <v>29.478311600000001</v>
      </c>
      <c r="Q2315">
        <v>3.0797751000000002E-2</v>
      </c>
      <c r="R2315" t="s">
        <v>1041</v>
      </c>
      <c r="S2315">
        <v>8.3695049999999993E-2</v>
      </c>
    </row>
    <row r="2316" spans="1:19" x14ac:dyDescent="0.25">
      <c r="A2316" t="s">
        <v>55</v>
      </c>
      <c r="B2316" t="s">
        <v>874</v>
      </c>
      <c r="C2316">
        <v>12</v>
      </c>
      <c r="D2316" t="s">
        <v>23</v>
      </c>
      <c r="E2316" t="s">
        <v>94</v>
      </c>
      <c r="F2316" t="s">
        <v>113</v>
      </c>
      <c r="G2316" t="s">
        <v>110</v>
      </c>
      <c r="H2316" t="s">
        <v>103</v>
      </c>
      <c r="J2316">
        <v>0</v>
      </c>
      <c r="K2316">
        <v>1</v>
      </c>
      <c r="L2316">
        <v>83.757575759999995</v>
      </c>
      <c r="M2316">
        <v>22.60997987</v>
      </c>
      <c r="N2316">
        <v>0.72884000000000004</v>
      </c>
      <c r="O2316">
        <v>98.291666669999998</v>
      </c>
      <c r="P2316">
        <v>30.315130790000001</v>
      </c>
      <c r="Q2316">
        <v>5.0803484000000003E-2</v>
      </c>
      <c r="R2316" t="s">
        <v>1041</v>
      </c>
      <c r="S2316">
        <v>0.21564730000000001</v>
      </c>
    </row>
    <row r="2317" spans="1:19" x14ac:dyDescent="0.25">
      <c r="A2317" t="s">
        <v>55</v>
      </c>
      <c r="B2317" t="s">
        <v>874</v>
      </c>
      <c r="C2317">
        <v>12</v>
      </c>
      <c r="D2317" t="s">
        <v>23</v>
      </c>
      <c r="E2317" t="s">
        <v>94</v>
      </c>
      <c r="F2317" t="s">
        <v>113</v>
      </c>
      <c r="G2317" t="s">
        <v>110</v>
      </c>
      <c r="H2317" t="s">
        <v>808</v>
      </c>
      <c r="J2317">
        <v>0</v>
      </c>
      <c r="K2317">
        <v>1</v>
      </c>
      <c r="L2317">
        <v>83.757575759999995</v>
      </c>
      <c r="M2317">
        <v>22.60997987</v>
      </c>
      <c r="N2317">
        <v>0.72884000000000004</v>
      </c>
      <c r="O2317">
        <v>102.79166669999999</v>
      </c>
      <c r="P2317">
        <v>27.057373470000002</v>
      </c>
      <c r="Q2317">
        <v>6.3567849939999999</v>
      </c>
      <c r="R2317" t="s">
        <v>1041</v>
      </c>
      <c r="S2317" t="s">
        <v>114</v>
      </c>
    </row>
    <row r="2318" spans="1:19" x14ac:dyDescent="0.25">
      <c r="A2318" t="s">
        <v>55</v>
      </c>
      <c r="B2318" t="s">
        <v>874</v>
      </c>
      <c r="C2318">
        <v>12</v>
      </c>
      <c r="D2318" t="s">
        <v>23</v>
      </c>
      <c r="E2318" t="s">
        <v>94</v>
      </c>
      <c r="F2318" t="s">
        <v>113</v>
      </c>
      <c r="G2318" t="s">
        <v>110</v>
      </c>
      <c r="H2318" t="s">
        <v>113</v>
      </c>
      <c r="J2318">
        <v>0</v>
      </c>
      <c r="K2318">
        <v>1</v>
      </c>
      <c r="L2318">
        <v>83.757575759999995</v>
      </c>
      <c r="M2318">
        <v>22.60997987</v>
      </c>
      <c r="N2318">
        <v>0.72884000000000004</v>
      </c>
      <c r="O2318">
        <v>83.757575759999995</v>
      </c>
      <c r="P2318">
        <v>22.60997987</v>
      </c>
      <c r="Q2318">
        <v>0.72884000000000004</v>
      </c>
      <c r="R2318" t="s">
        <v>1041</v>
      </c>
      <c r="S2318">
        <v>0</v>
      </c>
    </row>
    <row r="2319" spans="1:19" x14ac:dyDescent="0.25">
      <c r="A2319" t="s">
        <v>55</v>
      </c>
      <c r="B2319" t="s">
        <v>875</v>
      </c>
      <c r="C2319">
        <v>12</v>
      </c>
      <c r="D2319" t="s">
        <v>23</v>
      </c>
      <c r="E2319" t="s">
        <v>94</v>
      </c>
      <c r="F2319" t="s">
        <v>110</v>
      </c>
      <c r="G2319" t="s">
        <v>103</v>
      </c>
      <c r="H2319" t="s">
        <v>114</v>
      </c>
      <c r="J2319">
        <v>0</v>
      </c>
      <c r="K2319" t="s">
        <v>114</v>
      </c>
      <c r="L2319">
        <v>73.260869569999997</v>
      </c>
      <c r="M2319">
        <v>34.453830549999999</v>
      </c>
      <c r="N2319">
        <v>1.058333333</v>
      </c>
      <c r="O2319" t="s">
        <v>114</v>
      </c>
      <c r="P2319" t="s">
        <v>114</v>
      </c>
      <c r="Q2319" t="s">
        <v>114</v>
      </c>
      <c r="R2319" t="s">
        <v>1041</v>
      </c>
      <c r="S2319" t="s">
        <v>114</v>
      </c>
    </row>
    <row r="2320" spans="1:19" x14ac:dyDescent="0.25">
      <c r="A2320" t="s">
        <v>55</v>
      </c>
      <c r="B2320" t="s">
        <v>876</v>
      </c>
      <c r="C2320">
        <v>12</v>
      </c>
      <c r="D2320" t="s">
        <v>23</v>
      </c>
      <c r="E2320" t="s">
        <v>94</v>
      </c>
      <c r="F2320" t="s">
        <v>103</v>
      </c>
      <c r="G2320" t="s">
        <v>103</v>
      </c>
      <c r="H2320" t="s">
        <v>114</v>
      </c>
      <c r="J2320">
        <v>0</v>
      </c>
      <c r="K2320" t="s">
        <v>114</v>
      </c>
      <c r="L2320">
        <v>98.291666669999998</v>
      </c>
      <c r="M2320">
        <v>30.315130790000001</v>
      </c>
      <c r="N2320">
        <v>5.0803484000000003E-2</v>
      </c>
      <c r="O2320" t="s">
        <v>114</v>
      </c>
      <c r="P2320" t="s">
        <v>114</v>
      </c>
      <c r="Q2320" t="s">
        <v>114</v>
      </c>
      <c r="R2320" t="s">
        <v>1041</v>
      </c>
      <c r="S2320" t="s">
        <v>114</v>
      </c>
    </row>
    <row r="2321" spans="1:19" x14ac:dyDescent="0.25">
      <c r="A2321" t="s">
        <v>55</v>
      </c>
      <c r="B2321" t="s">
        <v>877</v>
      </c>
      <c r="C2321">
        <v>12</v>
      </c>
      <c r="D2321" t="s">
        <v>23</v>
      </c>
      <c r="E2321" t="s">
        <v>94</v>
      </c>
      <c r="F2321" t="s">
        <v>111</v>
      </c>
      <c r="G2321" t="s">
        <v>113</v>
      </c>
      <c r="H2321" t="s">
        <v>113</v>
      </c>
      <c r="J2321">
        <v>0</v>
      </c>
      <c r="K2321">
        <v>2</v>
      </c>
      <c r="L2321">
        <v>94.97142857</v>
      </c>
      <c r="M2321">
        <v>24.31591813</v>
      </c>
      <c r="N2321">
        <v>0.122951111</v>
      </c>
      <c r="O2321">
        <v>83.757575759999995</v>
      </c>
      <c r="P2321">
        <v>22.60997987</v>
      </c>
      <c r="Q2321">
        <v>0.72884000000000004</v>
      </c>
      <c r="R2321" t="s">
        <v>1041</v>
      </c>
      <c r="S2321">
        <v>0.17749450000000003</v>
      </c>
    </row>
    <row r="2322" spans="1:19" x14ac:dyDescent="0.25">
      <c r="A2322" t="s">
        <v>55</v>
      </c>
      <c r="B2322" t="s">
        <v>877</v>
      </c>
      <c r="C2322">
        <v>12</v>
      </c>
      <c r="D2322" t="s">
        <v>23</v>
      </c>
      <c r="E2322" t="s">
        <v>94</v>
      </c>
      <c r="F2322" t="s">
        <v>111</v>
      </c>
      <c r="G2322" t="s">
        <v>113</v>
      </c>
      <c r="H2322" t="s">
        <v>797</v>
      </c>
      <c r="J2322">
        <v>0</v>
      </c>
      <c r="K2322">
        <v>1</v>
      </c>
      <c r="L2322">
        <v>94.97142857</v>
      </c>
      <c r="M2322">
        <v>24.31591813</v>
      </c>
      <c r="N2322">
        <v>0.122951111</v>
      </c>
      <c r="O2322">
        <v>179.45454549999999</v>
      </c>
      <c r="P2322">
        <v>26.326869609999999</v>
      </c>
      <c r="Q2322">
        <v>2.3456094639999998</v>
      </c>
      <c r="R2322" t="s">
        <v>1041</v>
      </c>
      <c r="S2322">
        <v>0.20217674000000002</v>
      </c>
    </row>
    <row r="2323" spans="1:19" x14ac:dyDescent="0.25">
      <c r="A2323" t="s">
        <v>56</v>
      </c>
      <c r="B2323" t="s">
        <v>878</v>
      </c>
      <c r="C2323">
        <v>12</v>
      </c>
      <c r="D2323" t="s">
        <v>25</v>
      </c>
      <c r="E2323" t="s">
        <v>94</v>
      </c>
      <c r="F2323" t="s">
        <v>113</v>
      </c>
      <c r="G2323" t="s">
        <v>113</v>
      </c>
      <c r="H2323" t="s">
        <v>113</v>
      </c>
      <c r="J2323">
        <v>0</v>
      </c>
      <c r="K2323">
        <v>3</v>
      </c>
      <c r="L2323">
        <v>83.757575759999995</v>
      </c>
      <c r="M2323">
        <v>22.60997987</v>
      </c>
      <c r="N2323">
        <v>0.72884000000000004</v>
      </c>
      <c r="O2323">
        <v>83.757575759999995</v>
      </c>
      <c r="P2323">
        <v>22.60997987</v>
      </c>
      <c r="Q2323">
        <v>0.72884000000000004</v>
      </c>
      <c r="R2323" t="s">
        <v>1041</v>
      </c>
      <c r="S2323">
        <v>0</v>
      </c>
    </row>
    <row r="2324" spans="1:19" x14ac:dyDescent="0.25">
      <c r="A2324" t="s">
        <v>56</v>
      </c>
      <c r="B2324" t="s">
        <v>879</v>
      </c>
      <c r="C2324">
        <v>12</v>
      </c>
      <c r="D2324" t="s">
        <v>25</v>
      </c>
      <c r="E2324" t="s">
        <v>94</v>
      </c>
      <c r="F2324" t="s">
        <v>111</v>
      </c>
      <c r="G2324" t="s">
        <v>121</v>
      </c>
      <c r="H2324" t="s">
        <v>112</v>
      </c>
      <c r="J2324">
        <v>0</v>
      </c>
      <c r="K2324">
        <v>1</v>
      </c>
      <c r="L2324">
        <v>94.97142857</v>
      </c>
      <c r="M2324">
        <v>24.31591813</v>
      </c>
      <c r="N2324">
        <v>0.122951111</v>
      </c>
      <c r="O2324">
        <v>65.09375</v>
      </c>
      <c r="P2324">
        <v>37.895352600000002</v>
      </c>
      <c r="Q2324">
        <v>2.2882677779999998</v>
      </c>
      <c r="R2324" t="s">
        <v>1041</v>
      </c>
      <c r="S2324">
        <v>1.8206694999999999</v>
      </c>
    </row>
    <row r="2325" spans="1:19" x14ac:dyDescent="0.25">
      <c r="A2325" t="s">
        <v>56</v>
      </c>
      <c r="B2325" t="s">
        <v>880</v>
      </c>
      <c r="C2325">
        <v>12</v>
      </c>
      <c r="D2325" t="s">
        <v>25</v>
      </c>
      <c r="E2325" t="s">
        <v>94</v>
      </c>
      <c r="F2325" t="s">
        <v>104</v>
      </c>
      <c r="G2325" t="s">
        <v>121</v>
      </c>
      <c r="H2325" t="s">
        <v>104</v>
      </c>
      <c r="J2325">
        <v>0</v>
      </c>
      <c r="K2325">
        <v>1</v>
      </c>
      <c r="L2325">
        <v>113.9375</v>
      </c>
      <c r="M2325">
        <v>33.375507550000002</v>
      </c>
      <c r="N2325">
        <v>2.4262999999999999</v>
      </c>
      <c r="O2325">
        <v>113.9375</v>
      </c>
      <c r="P2325">
        <v>33.375507550000002</v>
      </c>
      <c r="Q2325">
        <v>2.4262999999999999</v>
      </c>
      <c r="R2325" t="s">
        <v>1041</v>
      </c>
      <c r="S2325">
        <v>0</v>
      </c>
    </row>
    <row r="2326" spans="1:19" x14ac:dyDescent="0.25">
      <c r="A2326" t="s">
        <v>56</v>
      </c>
      <c r="B2326" t="s">
        <v>881</v>
      </c>
      <c r="C2326">
        <v>12</v>
      </c>
      <c r="D2326" t="s">
        <v>25</v>
      </c>
      <c r="E2326" t="s">
        <v>94</v>
      </c>
      <c r="F2326" t="s">
        <v>112</v>
      </c>
      <c r="G2326" t="s">
        <v>121</v>
      </c>
      <c r="H2326" t="s">
        <v>241</v>
      </c>
      <c r="J2326">
        <v>0</v>
      </c>
      <c r="K2326">
        <v>4</v>
      </c>
      <c r="L2326">
        <v>65.09375</v>
      </c>
      <c r="M2326">
        <v>37.895352600000002</v>
      </c>
      <c r="N2326">
        <v>2.2882677779999998</v>
      </c>
      <c r="O2326">
        <v>114</v>
      </c>
      <c r="P2326">
        <v>30.43077242</v>
      </c>
      <c r="Q2326">
        <v>0.53383111100000002</v>
      </c>
      <c r="R2326" t="s">
        <v>1041</v>
      </c>
      <c r="S2326">
        <v>1.9278440699999999</v>
      </c>
    </row>
    <row r="2327" spans="1:19" x14ac:dyDescent="0.25">
      <c r="A2327" t="s">
        <v>57</v>
      </c>
      <c r="B2327" t="s">
        <v>882</v>
      </c>
      <c r="C2327">
        <v>12</v>
      </c>
      <c r="D2327" t="s">
        <v>27</v>
      </c>
      <c r="E2327" t="s">
        <v>94</v>
      </c>
      <c r="F2327" t="s">
        <v>105</v>
      </c>
      <c r="G2327" t="s">
        <v>121</v>
      </c>
      <c r="H2327" t="s">
        <v>247</v>
      </c>
      <c r="J2327">
        <v>0</v>
      </c>
      <c r="K2327">
        <v>1</v>
      </c>
      <c r="L2327">
        <v>67.5</v>
      </c>
      <c r="M2327">
        <v>47.937235809999997</v>
      </c>
      <c r="N2327">
        <v>0.41599678000000001</v>
      </c>
      <c r="O2327">
        <v>65.791044779999993</v>
      </c>
      <c r="P2327">
        <v>22.94519201</v>
      </c>
      <c r="Q2327">
        <v>8.1320334999999994E-2</v>
      </c>
      <c r="R2327" t="s">
        <v>1041</v>
      </c>
      <c r="S2327">
        <v>1.9221781499999997</v>
      </c>
    </row>
    <row r="2328" spans="1:19" x14ac:dyDescent="0.25">
      <c r="A2328" t="s">
        <v>57</v>
      </c>
      <c r="B2328" t="s">
        <v>882</v>
      </c>
      <c r="C2328">
        <v>12</v>
      </c>
      <c r="D2328" t="s">
        <v>27</v>
      </c>
      <c r="E2328" t="s">
        <v>94</v>
      </c>
      <c r="F2328" t="s">
        <v>105</v>
      </c>
      <c r="G2328" t="s">
        <v>121</v>
      </c>
      <c r="H2328" t="s">
        <v>103</v>
      </c>
      <c r="J2328">
        <v>0</v>
      </c>
      <c r="K2328">
        <v>1</v>
      </c>
      <c r="L2328">
        <v>67.5</v>
      </c>
      <c r="M2328">
        <v>47.937235809999997</v>
      </c>
      <c r="N2328">
        <v>0.41599678000000001</v>
      </c>
      <c r="O2328">
        <v>98.291666669999998</v>
      </c>
      <c r="P2328">
        <v>30.315130790000001</v>
      </c>
      <c r="Q2328">
        <v>5.0803484000000003E-2</v>
      </c>
      <c r="R2328" t="s">
        <v>1041</v>
      </c>
      <c r="S2328">
        <v>1.6663739999999998</v>
      </c>
    </row>
    <row r="2329" spans="1:19" x14ac:dyDescent="0.25">
      <c r="A2329" t="s">
        <v>57</v>
      </c>
      <c r="B2329" t="s">
        <v>882</v>
      </c>
      <c r="C2329">
        <v>12</v>
      </c>
      <c r="D2329" t="s">
        <v>27</v>
      </c>
      <c r="E2329" t="s">
        <v>94</v>
      </c>
      <c r="F2329" t="s">
        <v>105</v>
      </c>
      <c r="G2329" t="s">
        <v>121</v>
      </c>
      <c r="H2329" t="s">
        <v>233</v>
      </c>
      <c r="J2329">
        <v>0</v>
      </c>
      <c r="K2329">
        <v>6</v>
      </c>
      <c r="L2329">
        <v>67.5</v>
      </c>
      <c r="M2329">
        <v>47.937235809999997</v>
      </c>
      <c r="N2329">
        <v>0.41599678000000001</v>
      </c>
      <c r="O2329">
        <v>106.0540541</v>
      </c>
      <c r="P2329">
        <v>52.690533369999997</v>
      </c>
      <c r="Q2329">
        <v>7.6058968000000005E-2</v>
      </c>
      <c r="R2329" t="s">
        <v>1041</v>
      </c>
      <c r="S2329">
        <v>1.6461458099999997</v>
      </c>
    </row>
    <row r="2330" spans="1:19" x14ac:dyDescent="0.25">
      <c r="A2330" t="s">
        <v>57</v>
      </c>
      <c r="B2330" t="s">
        <v>883</v>
      </c>
      <c r="C2330">
        <v>12</v>
      </c>
      <c r="D2330" t="s">
        <v>27</v>
      </c>
      <c r="E2330" t="s">
        <v>94</v>
      </c>
      <c r="F2330" t="s">
        <v>113</v>
      </c>
      <c r="G2330" t="s">
        <v>121</v>
      </c>
      <c r="H2330" t="s">
        <v>114</v>
      </c>
      <c r="J2330">
        <v>0</v>
      </c>
      <c r="K2330" t="s">
        <v>114</v>
      </c>
      <c r="L2330">
        <v>83.757575759999995</v>
      </c>
      <c r="M2330">
        <v>22.60997987</v>
      </c>
      <c r="N2330">
        <v>0.72884000000000004</v>
      </c>
      <c r="O2330" t="s">
        <v>114</v>
      </c>
      <c r="P2330" t="s">
        <v>114</v>
      </c>
      <c r="Q2330" t="s">
        <v>114</v>
      </c>
      <c r="R2330" t="s">
        <v>1041</v>
      </c>
      <c r="S2330" t="s">
        <v>114</v>
      </c>
    </row>
    <row r="2331" spans="1:19" x14ac:dyDescent="0.25">
      <c r="A2331" t="s">
        <v>57</v>
      </c>
      <c r="B2331" t="s">
        <v>884</v>
      </c>
      <c r="C2331">
        <v>12</v>
      </c>
      <c r="D2331" t="s">
        <v>27</v>
      </c>
      <c r="E2331" t="s">
        <v>94</v>
      </c>
      <c r="F2331" t="s">
        <v>112</v>
      </c>
      <c r="G2331" t="s">
        <v>112</v>
      </c>
      <c r="H2331" t="s">
        <v>112</v>
      </c>
      <c r="J2331">
        <v>0</v>
      </c>
      <c r="K2331">
        <v>2</v>
      </c>
      <c r="L2331">
        <v>65.09375</v>
      </c>
      <c r="M2331">
        <v>37.895352600000002</v>
      </c>
      <c r="N2331">
        <v>2.2882677779999998</v>
      </c>
      <c r="O2331">
        <v>65.09375</v>
      </c>
      <c r="P2331">
        <v>37.895352600000002</v>
      </c>
      <c r="Q2331">
        <v>2.2882677779999998</v>
      </c>
      <c r="R2331" t="s">
        <v>1041</v>
      </c>
      <c r="S2331">
        <v>0</v>
      </c>
    </row>
    <row r="2332" spans="1:19" x14ac:dyDescent="0.25">
      <c r="A2332" t="s">
        <v>57</v>
      </c>
      <c r="B2332" t="s">
        <v>884</v>
      </c>
      <c r="C2332">
        <v>12</v>
      </c>
      <c r="D2332" t="s">
        <v>27</v>
      </c>
      <c r="E2332" t="s">
        <v>94</v>
      </c>
      <c r="F2332" t="s">
        <v>112</v>
      </c>
      <c r="G2332" t="s">
        <v>112</v>
      </c>
      <c r="H2332" t="s">
        <v>247</v>
      </c>
      <c r="J2332">
        <v>0</v>
      </c>
      <c r="K2332">
        <v>1</v>
      </c>
      <c r="L2332">
        <v>65.09375</v>
      </c>
      <c r="M2332">
        <v>37.895352600000002</v>
      </c>
      <c r="N2332">
        <v>2.2882677779999998</v>
      </c>
      <c r="O2332">
        <v>65.791044779999993</v>
      </c>
      <c r="P2332">
        <v>22.94519201</v>
      </c>
      <c r="Q2332">
        <v>8.1320334999999994E-2</v>
      </c>
      <c r="R2332" t="s">
        <v>1041</v>
      </c>
      <c r="S2332">
        <v>2.0383208499999999</v>
      </c>
    </row>
    <row r="2333" spans="1:19" x14ac:dyDescent="0.25">
      <c r="A2333" t="s">
        <v>58</v>
      </c>
      <c r="B2333" t="s">
        <v>885</v>
      </c>
      <c r="C2333">
        <v>12</v>
      </c>
      <c r="D2333" t="s">
        <v>29</v>
      </c>
      <c r="E2333" t="s">
        <v>95</v>
      </c>
      <c r="F2333" t="s">
        <v>102</v>
      </c>
      <c r="G2333" t="s">
        <v>104</v>
      </c>
      <c r="H2333" t="s">
        <v>104</v>
      </c>
      <c r="J2333">
        <v>0</v>
      </c>
      <c r="K2333">
        <v>1</v>
      </c>
      <c r="L2333">
        <v>84.740740740000007</v>
      </c>
      <c r="M2333">
        <v>29.167014049999999</v>
      </c>
      <c r="N2333">
        <v>1.1169849999999999</v>
      </c>
      <c r="O2333">
        <v>113.9375</v>
      </c>
      <c r="P2333">
        <v>33.375507550000002</v>
      </c>
      <c r="Q2333">
        <v>2.4262999999999999</v>
      </c>
      <c r="R2333" t="s">
        <v>1041</v>
      </c>
      <c r="S2333">
        <v>0.75022830000000007</v>
      </c>
    </row>
    <row r="2334" spans="1:19" x14ac:dyDescent="0.25">
      <c r="A2334" t="s">
        <v>58</v>
      </c>
      <c r="B2334" t="s">
        <v>885</v>
      </c>
      <c r="C2334">
        <v>12</v>
      </c>
      <c r="D2334" t="s">
        <v>29</v>
      </c>
      <c r="E2334" t="s">
        <v>95</v>
      </c>
      <c r="F2334" t="s">
        <v>102</v>
      </c>
      <c r="G2334" t="s">
        <v>104</v>
      </c>
      <c r="H2334" t="s">
        <v>246</v>
      </c>
      <c r="J2334">
        <v>0</v>
      </c>
      <c r="K2334">
        <v>1</v>
      </c>
      <c r="L2334">
        <v>84.740740740000007</v>
      </c>
      <c r="M2334">
        <v>29.167014049999999</v>
      </c>
      <c r="N2334">
        <v>1.1169849999999999</v>
      </c>
      <c r="O2334">
        <v>120.25</v>
      </c>
      <c r="P2334">
        <v>30.670450110000001</v>
      </c>
      <c r="Q2334">
        <v>0.91037498500000003</v>
      </c>
      <c r="R2334" t="s">
        <v>1041</v>
      </c>
      <c r="S2334" t="s">
        <v>114</v>
      </c>
    </row>
    <row r="2335" spans="1:19" x14ac:dyDescent="0.25">
      <c r="A2335" t="s">
        <v>58</v>
      </c>
      <c r="B2335" t="s">
        <v>886</v>
      </c>
      <c r="C2335">
        <v>12</v>
      </c>
      <c r="D2335" t="s">
        <v>29</v>
      </c>
      <c r="E2335" t="s">
        <v>95</v>
      </c>
      <c r="F2335" t="s">
        <v>110</v>
      </c>
      <c r="G2335" t="s">
        <v>121</v>
      </c>
      <c r="H2335" t="s">
        <v>246</v>
      </c>
      <c r="I2335" t="s">
        <v>162</v>
      </c>
      <c r="J2335">
        <v>1</v>
      </c>
      <c r="K2335">
        <v>1</v>
      </c>
      <c r="L2335">
        <v>73.260869569999997</v>
      </c>
      <c r="M2335">
        <v>34.453830549999999</v>
      </c>
      <c r="N2335">
        <v>1.058333333</v>
      </c>
      <c r="O2335">
        <v>120.25</v>
      </c>
      <c r="P2335">
        <v>30.670450110000001</v>
      </c>
      <c r="Q2335">
        <v>0.91037498500000003</v>
      </c>
      <c r="R2335" t="s">
        <v>1041</v>
      </c>
      <c r="S2335" t="s">
        <v>114</v>
      </c>
    </row>
    <row r="2336" spans="1:19" x14ac:dyDescent="0.25">
      <c r="A2336" t="s">
        <v>58</v>
      </c>
      <c r="B2336" t="s">
        <v>886</v>
      </c>
      <c r="C2336">
        <v>12</v>
      </c>
      <c r="D2336" t="s">
        <v>29</v>
      </c>
      <c r="E2336" t="s">
        <v>95</v>
      </c>
      <c r="F2336" t="s">
        <v>110</v>
      </c>
      <c r="G2336" t="s">
        <v>121</v>
      </c>
      <c r="H2336" t="s">
        <v>239</v>
      </c>
      <c r="J2336">
        <v>1</v>
      </c>
      <c r="K2336">
        <v>1</v>
      </c>
      <c r="L2336">
        <v>73.260869569999997</v>
      </c>
      <c r="M2336">
        <v>34.453830549999999</v>
      </c>
      <c r="N2336">
        <v>1.058333333</v>
      </c>
      <c r="O2336">
        <v>100.45454549999999</v>
      </c>
      <c r="P2336">
        <v>26.754810689999999</v>
      </c>
      <c r="Q2336">
        <v>0.75829999999999997</v>
      </c>
      <c r="R2336" t="s">
        <v>1041</v>
      </c>
      <c r="S2336">
        <v>0.49989209000000001</v>
      </c>
    </row>
    <row r="2337" spans="1:19" x14ac:dyDescent="0.25">
      <c r="A2337" t="s">
        <v>58</v>
      </c>
      <c r="B2337" t="s">
        <v>887</v>
      </c>
      <c r="C2337">
        <v>12</v>
      </c>
      <c r="D2337" t="s">
        <v>29</v>
      </c>
      <c r="E2337" t="s">
        <v>95</v>
      </c>
      <c r="F2337" t="s">
        <v>103</v>
      </c>
      <c r="G2337" t="s">
        <v>121</v>
      </c>
      <c r="H2337" t="s">
        <v>249</v>
      </c>
      <c r="J2337">
        <v>0</v>
      </c>
      <c r="K2337">
        <v>1</v>
      </c>
      <c r="L2337">
        <v>98.291666669999998</v>
      </c>
      <c r="M2337">
        <v>30.315130790000001</v>
      </c>
      <c r="N2337">
        <v>5.0803484000000003E-2</v>
      </c>
      <c r="O2337">
        <v>81.666666669999998</v>
      </c>
      <c r="P2337">
        <v>48.056268459999998</v>
      </c>
      <c r="Q2337">
        <v>0.120291364</v>
      </c>
      <c r="R2337" t="s">
        <v>1041</v>
      </c>
      <c r="S2337" t="s">
        <v>114</v>
      </c>
    </row>
    <row r="2338" spans="1:19" x14ac:dyDescent="0.25">
      <c r="A2338" t="s">
        <v>58</v>
      </c>
      <c r="B2338" t="s">
        <v>887</v>
      </c>
      <c r="C2338">
        <v>12</v>
      </c>
      <c r="D2338" t="s">
        <v>29</v>
      </c>
      <c r="E2338" t="s">
        <v>95</v>
      </c>
      <c r="F2338" t="s">
        <v>103</v>
      </c>
      <c r="G2338" t="s">
        <v>121</v>
      </c>
      <c r="H2338" t="s">
        <v>238</v>
      </c>
      <c r="J2338">
        <v>0</v>
      </c>
      <c r="K2338">
        <v>1</v>
      </c>
      <c r="L2338">
        <v>98.291666669999998</v>
      </c>
      <c r="M2338">
        <v>30.315130790000001</v>
      </c>
      <c r="N2338">
        <v>5.0803484000000003E-2</v>
      </c>
      <c r="O2338">
        <v>87.5</v>
      </c>
      <c r="P2338">
        <v>29.478311600000001</v>
      </c>
      <c r="Q2338">
        <v>3.0797751000000002E-2</v>
      </c>
      <c r="R2338" t="s">
        <v>1041</v>
      </c>
      <c r="S2338">
        <v>0.29934234999999998</v>
      </c>
    </row>
    <row r="2339" spans="1:19" x14ac:dyDescent="0.25">
      <c r="A2339" t="s">
        <v>59</v>
      </c>
      <c r="B2339" t="s">
        <v>888</v>
      </c>
      <c r="C2339">
        <v>12</v>
      </c>
      <c r="D2339" t="s">
        <v>31</v>
      </c>
      <c r="E2339" t="s">
        <v>94</v>
      </c>
      <c r="F2339" t="s">
        <v>105</v>
      </c>
      <c r="G2339" t="s">
        <v>121</v>
      </c>
      <c r="H2339" t="s">
        <v>241</v>
      </c>
      <c r="J2339">
        <v>0</v>
      </c>
      <c r="K2339">
        <v>1</v>
      </c>
      <c r="L2339">
        <v>67.5</v>
      </c>
      <c r="M2339">
        <v>47.937235809999997</v>
      </c>
      <c r="N2339">
        <v>0.41599678000000001</v>
      </c>
      <c r="O2339">
        <v>114</v>
      </c>
      <c r="P2339">
        <v>30.43077242</v>
      </c>
      <c r="Q2339">
        <v>0.53383111100000002</v>
      </c>
      <c r="R2339" t="s">
        <v>1041</v>
      </c>
      <c r="S2339">
        <v>1.8117013699999998</v>
      </c>
    </row>
    <row r="2340" spans="1:19" x14ac:dyDescent="0.25">
      <c r="A2340" t="s">
        <v>59</v>
      </c>
      <c r="B2340" t="s">
        <v>889</v>
      </c>
      <c r="C2340">
        <v>12</v>
      </c>
      <c r="D2340" t="s">
        <v>31</v>
      </c>
      <c r="E2340" t="s">
        <v>94</v>
      </c>
      <c r="F2340" t="s">
        <v>110</v>
      </c>
      <c r="G2340" t="s">
        <v>121</v>
      </c>
      <c r="H2340" t="s">
        <v>241</v>
      </c>
      <c r="J2340">
        <v>0</v>
      </c>
      <c r="K2340">
        <v>2</v>
      </c>
      <c r="L2340">
        <v>73.260869569999997</v>
      </c>
      <c r="M2340">
        <v>34.453830549999999</v>
      </c>
      <c r="N2340">
        <v>1.058333333</v>
      </c>
      <c r="O2340">
        <v>114</v>
      </c>
      <c r="P2340">
        <v>30.43077242</v>
      </c>
      <c r="Q2340">
        <v>0.53383111100000002</v>
      </c>
      <c r="R2340" t="s">
        <v>1041</v>
      </c>
      <c r="S2340">
        <v>0.62563736999999997</v>
      </c>
    </row>
    <row r="2341" spans="1:19" x14ac:dyDescent="0.25">
      <c r="A2341" t="s">
        <v>60</v>
      </c>
      <c r="B2341" t="s">
        <v>890</v>
      </c>
      <c r="C2341">
        <v>12</v>
      </c>
      <c r="D2341" t="s">
        <v>33</v>
      </c>
      <c r="E2341" t="s">
        <v>95</v>
      </c>
      <c r="F2341" t="s">
        <v>102</v>
      </c>
      <c r="G2341" t="s">
        <v>104</v>
      </c>
      <c r="H2341" t="s">
        <v>104</v>
      </c>
      <c r="J2341">
        <v>0</v>
      </c>
      <c r="K2341">
        <v>1</v>
      </c>
      <c r="L2341">
        <v>84.740740740000007</v>
      </c>
      <c r="M2341">
        <v>29.167014049999999</v>
      </c>
      <c r="N2341">
        <v>1.1169849999999999</v>
      </c>
      <c r="O2341">
        <v>113.9375</v>
      </c>
      <c r="P2341">
        <v>33.375507550000002</v>
      </c>
      <c r="Q2341">
        <v>2.4262999999999999</v>
      </c>
      <c r="R2341" t="s">
        <v>1041</v>
      </c>
      <c r="S2341">
        <v>0.75022830000000007</v>
      </c>
    </row>
    <row r="2342" spans="1:19" x14ac:dyDescent="0.25">
      <c r="A2342" t="s">
        <v>60</v>
      </c>
      <c r="B2342" t="s">
        <v>891</v>
      </c>
      <c r="C2342">
        <v>12</v>
      </c>
      <c r="D2342" t="s">
        <v>33</v>
      </c>
      <c r="E2342" t="s">
        <v>95</v>
      </c>
      <c r="F2342" t="s">
        <v>110</v>
      </c>
      <c r="G2342" t="s">
        <v>121</v>
      </c>
      <c r="H2342" t="s">
        <v>241</v>
      </c>
      <c r="J2342">
        <v>0</v>
      </c>
      <c r="K2342">
        <v>2</v>
      </c>
      <c r="L2342">
        <v>73.260869569999997</v>
      </c>
      <c r="M2342">
        <v>34.453830549999999</v>
      </c>
      <c r="N2342">
        <v>1.058333333</v>
      </c>
      <c r="O2342">
        <v>114</v>
      </c>
      <c r="P2342">
        <v>30.43077242</v>
      </c>
      <c r="Q2342">
        <v>0.53383111100000002</v>
      </c>
      <c r="R2342" t="s">
        <v>1041</v>
      </c>
      <c r="S2342">
        <v>0.62563736999999997</v>
      </c>
    </row>
    <row r="2343" spans="1:19" x14ac:dyDescent="0.25">
      <c r="A2343" t="s">
        <v>60</v>
      </c>
      <c r="B2343" t="s">
        <v>891</v>
      </c>
      <c r="C2343">
        <v>12</v>
      </c>
      <c r="D2343" t="s">
        <v>33</v>
      </c>
      <c r="E2343" t="s">
        <v>95</v>
      </c>
      <c r="F2343" t="s">
        <v>110</v>
      </c>
      <c r="G2343" t="s">
        <v>121</v>
      </c>
      <c r="H2343" t="s">
        <v>246</v>
      </c>
      <c r="J2343">
        <v>0</v>
      </c>
      <c r="K2343">
        <v>2</v>
      </c>
      <c r="L2343">
        <v>73.260869569999997</v>
      </c>
      <c r="M2343">
        <v>34.453830549999999</v>
      </c>
      <c r="N2343">
        <v>1.058333333</v>
      </c>
      <c r="O2343">
        <v>120.25</v>
      </c>
      <c r="P2343">
        <v>30.670450110000001</v>
      </c>
      <c r="Q2343">
        <v>0.91037498500000003</v>
      </c>
      <c r="R2343" t="s">
        <v>1041</v>
      </c>
      <c r="S2343" t="s">
        <v>114</v>
      </c>
    </row>
    <row r="2344" spans="1:19" x14ac:dyDescent="0.25">
      <c r="A2344" t="s">
        <v>60</v>
      </c>
      <c r="B2344" t="s">
        <v>892</v>
      </c>
      <c r="C2344">
        <v>12</v>
      </c>
      <c r="D2344" t="s">
        <v>33</v>
      </c>
      <c r="E2344" t="s">
        <v>95</v>
      </c>
      <c r="F2344" t="s">
        <v>104</v>
      </c>
      <c r="G2344" t="s">
        <v>104</v>
      </c>
      <c r="H2344" t="s">
        <v>104</v>
      </c>
      <c r="J2344">
        <v>0</v>
      </c>
      <c r="K2344">
        <v>1</v>
      </c>
      <c r="L2344">
        <v>113.9375</v>
      </c>
      <c r="M2344">
        <v>33.375507550000002</v>
      </c>
      <c r="N2344">
        <v>2.4262999999999999</v>
      </c>
      <c r="O2344">
        <v>113.9375</v>
      </c>
      <c r="P2344">
        <v>33.375507550000002</v>
      </c>
      <c r="Q2344">
        <v>2.4262999999999999</v>
      </c>
      <c r="R2344" t="s">
        <v>1041</v>
      </c>
      <c r="S2344">
        <v>0</v>
      </c>
    </row>
    <row r="2345" spans="1:19" x14ac:dyDescent="0.25">
      <c r="A2345" t="s">
        <v>60</v>
      </c>
      <c r="B2345" t="s">
        <v>892</v>
      </c>
      <c r="C2345">
        <v>12</v>
      </c>
      <c r="D2345" t="s">
        <v>33</v>
      </c>
      <c r="E2345" t="s">
        <v>95</v>
      </c>
      <c r="F2345" t="s">
        <v>104</v>
      </c>
      <c r="G2345" t="s">
        <v>104</v>
      </c>
      <c r="H2345" t="s">
        <v>246</v>
      </c>
      <c r="J2345">
        <v>0</v>
      </c>
      <c r="K2345">
        <v>2</v>
      </c>
      <c r="L2345">
        <v>113.9375</v>
      </c>
      <c r="M2345">
        <v>33.375507550000002</v>
      </c>
      <c r="N2345">
        <v>2.4262999999999999</v>
      </c>
      <c r="O2345">
        <v>120.25</v>
      </c>
      <c r="P2345">
        <v>30.670450110000001</v>
      </c>
      <c r="Q2345">
        <v>0.91037498500000003</v>
      </c>
      <c r="R2345" t="s">
        <v>1041</v>
      </c>
      <c r="S2345" t="s">
        <v>114</v>
      </c>
    </row>
    <row r="2346" spans="1:19" x14ac:dyDescent="0.25">
      <c r="A2346" t="s">
        <v>60</v>
      </c>
      <c r="B2346" t="s">
        <v>892</v>
      </c>
      <c r="C2346">
        <v>12</v>
      </c>
      <c r="D2346" t="s">
        <v>33</v>
      </c>
      <c r="E2346" t="s">
        <v>95</v>
      </c>
      <c r="F2346" t="s">
        <v>104</v>
      </c>
      <c r="G2346" t="s">
        <v>104</v>
      </c>
      <c r="H2346" t="s">
        <v>797</v>
      </c>
      <c r="J2346">
        <v>0</v>
      </c>
      <c r="K2346">
        <v>1</v>
      </c>
      <c r="L2346">
        <v>113.9375</v>
      </c>
      <c r="M2346">
        <v>33.375507550000002</v>
      </c>
      <c r="N2346">
        <v>2.4262999999999999</v>
      </c>
      <c r="O2346">
        <v>179.45454549999999</v>
      </c>
      <c r="P2346">
        <v>26.326869609999999</v>
      </c>
      <c r="Q2346">
        <v>2.3456094639999998</v>
      </c>
      <c r="R2346" t="s">
        <v>1041</v>
      </c>
      <c r="S2346">
        <v>0.21859044</v>
      </c>
    </row>
    <row r="2347" spans="1:19" x14ac:dyDescent="0.25">
      <c r="A2347" t="s">
        <v>60</v>
      </c>
      <c r="B2347" t="s">
        <v>892</v>
      </c>
      <c r="C2347">
        <v>12</v>
      </c>
      <c r="D2347" t="s">
        <v>33</v>
      </c>
      <c r="E2347" t="s">
        <v>95</v>
      </c>
      <c r="F2347" t="s">
        <v>104</v>
      </c>
      <c r="G2347" t="s">
        <v>104</v>
      </c>
      <c r="H2347" t="s">
        <v>247</v>
      </c>
      <c r="J2347">
        <v>0</v>
      </c>
      <c r="K2347">
        <v>1</v>
      </c>
      <c r="L2347">
        <v>113.9375</v>
      </c>
      <c r="M2347">
        <v>33.375507550000002</v>
      </c>
      <c r="N2347">
        <v>2.4262999999999999</v>
      </c>
      <c r="O2347">
        <v>65.791044779999993</v>
      </c>
      <c r="P2347">
        <v>22.94519201</v>
      </c>
      <c r="Q2347">
        <v>8.1320334999999994E-2</v>
      </c>
      <c r="R2347" t="s">
        <v>1041</v>
      </c>
      <c r="S2347">
        <v>0.23406505</v>
      </c>
    </row>
    <row r="2348" spans="1:19" x14ac:dyDescent="0.25">
      <c r="A2348" t="s">
        <v>60</v>
      </c>
      <c r="B2348" t="s">
        <v>893</v>
      </c>
      <c r="C2348">
        <v>12</v>
      </c>
      <c r="D2348" t="s">
        <v>33</v>
      </c>
      <c r="E2348" t="s">
        <v>95</v>
      </c>
      <c r="F2348" t="s">
        <v>112</v>
      </c>
      <c r="G2348" t="s">
        <v>121</v>
      </c>
      <c r="H2348" t="s">
        <v>114</v>
      </c>
      <c r="J2348">
        <v>0</v>
      </c>
      <c r="K2348">
        <v>0</v>
      </c>
      <c r="L2348">
        <v>65.09375</v>
      </c>
      <c r="M2348">
        <v>37.895352600000002</v>
      </c>
      <c r="N2348">
        <v>2.2882677779999998</v>
      </c>
      <c r="O2348" t="s">
        <v>114</v>
      </c>
      <c r="P2348" t="s">
        <v>114</v>
      </c>
      <c r="Q2348" t="s">
        <v>114</v>
      </c>
      <c r="R2348" t="s">
        <v>1041</v>
      </c>
      <c r="S2348" t="s">
        <v>114</v>
      </c>
    </row>
    <row r="2349" spans="1:19" x14ac:dyDescent="0.25">
      <c r="A2349" t="s">
        <v>61</v>
      </c>
      <c r="B2349" t="s">
        <v>894</v>
      </c>
      <c r="C2349">
        <v>12</v>
      </c>
      <c r="D2349" t="s">
        <v>35</v>
      </c>
      <c r="E2349" t="s">
        <v>94</v>
      </c>
      <c r="F2349" t="s">
        <v>102</v>
      </c>
      <c r="G2349" t="s">
        <v>121</v>
      </c>
      <c r="H2349" t="s">
        <v>162</v>
      </c>
      <c r="J2349">
        <v>1</v>
      </c>
      <c r="K2349">
        <v>1</v>
      </c>
      <c r="L2349">
        <v>84.740740740000007</v>
      </c>
      <c r="M2349">
        <v>29.167014049999999</v>
      </c>
      <c r="N2349">
        <v>1.1169849999999999</v>
      </c>
      <c r="O2349">
        <v>82.53846154</v>
      </c>
      <c r="P2349">
        <v>35.660530039999998</v>
      </c>
      <c r="Q2349">
        <v>3.3754499999999998</v>
      </c>
      <c r="R2349" t="s">
        <v>1041</v>
      </c>
      <c r="S2349" t="s">
        <v>114</v>
      </c>
    </row>
    <row r="2350" spans="1:19" x14ac:dyDescent="0.25">
      <c r="A2350" t="s">
        <v>61</v>
      </c>
      <c r="B2350" t="s">
        <v>895</v>
      </c>
      <c r="C2350">
        <v>12</v>
      </c>
      <c r="D2350" t="s">
        <v>35</v>
      </c>
      <c r="E2350" t="s">
        <v>94</v>
      </c>
      <c r="F2350" t="s">
        <v>110</v>
      </c>
      <c r="G2350" t="s">
        <v>121</v>
      </c>
      <c r="H2350" t="s">
        <v>162</v>
      </c>
      <c r="J2350">
        <v>0</v>
      </c>
      <c r="K2350">
        <v>1</v>
      </c>
      <c r="L2350">
        <v>73.260869569999997</v>
      </c>
      <c r="M2350">
        <v>34.453830549999999</v>
      </c>
      <c r="N2350">
        <v>1.058333333</v>
      </c>
      <c r="O2350">
        <v>82.53846154</v>
      </c>
      <c r="P2350">
        <v>35.660530039999998</v>
      </c>
      <c r="Q2350">
        <v>3.3754499999999998</v>
      </c>
      <c r="R2350" t="s">
        <v>1041</v>
      </c>
      <c r="S2350" t="s">
        <v>114</v>
      </c>
    </row>
    <row r="2351" spans="1:19" x14ac:dyDescent="0.25">
      <c r="A2351" t="s">
        <v>61</v>
      </c>
      <c r="B2351" t="s">
        <v>895</v>
      </c>
      <c r="C2351">
        <v>12</v>
      </c>
      <c r="D2351" t="s">
        <v>35</v>
      </c>
      <c r="E2351" t="s">
        <v>94</v>
      </c>
      <c r="F2351" t="s">
        <v>110</v>
      </c>
      <c r="G2351" t="s">
        <v>121</v>
      </c>
      <c r="H2351" t="s">
        <v>102</v>
      </c>
      <c r="J2351">
        <v>0</v>
      </c>
      <c r="K2351">
        <v>1</v>
      </c>
      <c r="L2351">
        <v>73.260869569999997</v>
      </c>
      <c r="M2351">
        <v>34.453830549999999</v>
      </c>
      <c r="N2351">
        <v>1.058333333</v>
      </c>
      <c r="O2351">
        <v>84.740740740000007</v>
      </c>
      <c r="P2351">
        <v>29.167014049999999</v>
      </c>
      <c r="Q2351">
        <v>1.1169849999999999</v>
      </c>
      <c r="R2351" t="s">
        <v>1041</v>
      </c>
      <c r="S2351">
        <v>0.24817920000000004</v>
      </c>
    </row>
    <row r="2352" spans="1:19" x14ac:dyDescent="0.25">
      <c r="A2352" t="s">
        <v>61</v>
      </c>
      <c r="B2352" t="s">
        <v>896</v>
      </c>
      <c r="C2352">
        <v>12</v>
      </c>
      <c r="D2352" t="s">
        <v>35</v>
      </c>
      <c r="E2352" t="s">
        <v>94</v>
      </c>
      <c r="F2352" t="s">
        <v>112</v>
      </c>
      <c r="G2352" t="s">
        <v>121</v>
      </c>
      <c r="H2352" t="s">
        <v>162</v>
      </c>
      <c r="J2352">
        <v>0</v>
      </c>
      <c r="K2352">
        <v>1</v>
      </c>
      <c r="L2352">
        <v>65.09375</v>
      </c>
      <c r="M2352">
        <v>37.895352600000002</v>
      </c>
      <c r="N2352">
        <v>2.2882677779999998</v>
      </c>
      <c r="O2352">
        <v>82.53846154</v>
      </c>
      <c r="P2352">
        <v>35.660530039999998</v>
      </c>
      <c r="Q2352">
        <v>3.3754499999999998</v>
      </c>
      <c r="R2352" t="s">
        <v>1041</v>
      </c>
      <c r="S2352" t="s">
        <v>114</v>
      </c>
    </row>
    <row r="2353" spans="1:19" x14ac:dyDescent="0.25">
      <c r="A2353" t="s">
        <v>62</v>
      </c>
      <c r="B2353" t="s">
        <v>897</v>
      </c>
      <c r="C2353">
        <v>12</v>
      </c>
      <c r="D2353" t="s">
        <v>37</v>
      </c>
      <c r="E2353" t="s">
        <v>95</v>
      </c>
      <c r="F2353" t="s">
        <v>102</v>
      </c>
      <c r="G2353" t="s">
        <v>121</v>
      </c>
      <c r="H2353" t="s">
        <v>114</v>
      </c>
      <c r="J2353">
        <v>0</v>
      </c>
      <c r="K2353">
        <v>0</v>
      </c>
      <c r="L2353">
        <v>84.740740740000007</v>
      </c>
      <c r="M2353">
        <v>29.167014049999999</v>
      </c>
      <c r="N2353">
        <v>1.1169849999999999</v>
      </c>
      <c r="O2353" t="s">
        <v>114</v>
      </c>
      <c r="P2353" t="s">
        <v>114</v>
      </c>
      <c r="Q2353" t="s">
        <v>114</v>
      </c>
      <c r="R2353" t="s">
        <v>1041</v>
      </c>
      <c r="S2353" t="s">
        <v>114</v>
      </c>
    </row>
    <row r="2354" spans="1:19" x14ac:dyDescent="0.25">
      <c r="A2354" t="s">
        <v>62</v>
      </c>
      <c r="B2354" t="s">
        <v>898</v>
      </c>
      <c r="C2354">
        <v>12</v>
      </c>
      <c r="D2354" t="s">
        <v>37</v>
      </c>
      <c r="E2354" t="s">
        <v>95</v>
      </c>
      <c r="F2354" t="s">
        <v>103</v>
      </c>
      <c r="G2354" t="s">
        <v>121</v>
      </c>
      <c r="H2354" t="s">
        <v>233</v>
      </c>
      <c r="J2354">
        <v>0</v>
      </c>
      <c r="K2354">
        <v>1</v>
      </c>
      <c r="L2354">
        <v>98.291666669999998</v>
      </c>
      <c r="M2354">
        <v>30.315130790000001</v>
      </c>
      <c r="N2354">
        <v>5.0803484000000003E-2</v>
      </c>
      <c r="O2354">
        <v>106.0540541</v>
      </c>
      <c r="P2354">
        <v>52.690533369999997</v>
      </c>
      <c r="Q2354">
        <v>7.6058968000000005E-2</v>
      </c>
      <c r="R2354" t="s">
        <v>1041</v>
      </c>
      <c r="S2354">
        <v>2.0228189999999979E-2</v>
      </c>
    </row>
    <row r="2355" spans="1:19" x14ac:dyDescent="0.25">
      <c r="A2355" t="s">
        <v>62</v>
      </c>
      <c r="B2355" t="s">
        <v>898</v>
      </c>
      <c r="C2355">
        <v>12</v>
      </c>
      <c r="D2355" t="s">
        <v>37</v>
      </c>
      <c r="E2355" t="s">
        <v>95</v>
      </c>
      <c r="F2355" t="s">
        <v>103</v>
      </c>
      <c r="G2355" t="s">
        <v>121</v>
      </c>
      <c r="H2355" t="s">
        <v>234</v>
      </c>
      <c r="J2355">
        <v>0</v>
      </c>
      <c r="K2355">
        <v>1</v>
      </c>
      <c r="L2355">
        <v>98.291666669999998</v>
      </c>
      <c r="M2355">
        <v>30.315130790000001</v>
      </c>
      <c r="N2355">
        <v>5.0803484000000003E-2</v>
      </c>
      <c r="O2355">
        <v>89.8125</v>
      </c>
      <c r="P2355">
        <v>34.754706650000003</v>
      </c>
      <c r="Q2355">
        <v>2.3065078999999999E-2</v>
      </c>
      <c r="R2355" t="s">
        <v>1041</v>
      </c>
      <c r="S2355">
        <v>2.0505059700000001</v>
      </c>
    </row>
    <row r="2356" spans="1:19" x14ac:dyDescent="0.25">
      <c r="A2356" t="s">
        <v>62</v>
      </c>
      <c r="B2356" t="s">
        <v>898</v>
      </c>
      <c r="C2356">
        <v>12</v>
      </c>
      <c r="D2356" t="s">
        <v>37</v>
      </c>
      <c r="E2356" t="s">
        <v>95</v>
      </c>
      <c r="F2356" t="s">
        <v>103</v>
      </c>
      <c r="G2356" t="s">
        <v>121</v>
      </c>
      <c r="H2356" t="s">
        <v>241</v>
      </c>
      <c r="J2356">
        <v>0</v>
      </c>
      <c r="K2356">
        <v>1</v>
      </c>
      <c r="L2356">
        <v>98.291666669999998</v>
      </c>
      <c r="M2356">
        <v>30.315130790000001</v>
      </c>
      <c r="N2356">
        <v>5.0803484000000003E-2</v>
      </c>
      <c r="O2356">
        <v>114</v>
      </c>
      <c r="P2356">
        <v>30.43077242</v>
      </c>
      <c r="Q2356">
        <v>0.53383111100000002</v>
      </c>
      <c r="R2356" t="s">
        <v>1041</v>
      </c>
      <c r="S2356">
        <v>0.14532737000000001</v>
      </c>
    </row>
    <row r="2357" spans="1:19" x14ac:dyDescent="0.25">
      <c r="A2357" t="s">
        <v>63</v>
      </c>
      <c r="B2357" t="s">
        <v>899</v>
      </c>
      <c r="C2357">
        <v>12</v>
      </c>
      <c r="D2357" t="s">
        <v>64</v>
      </c>
      <c r="E2357" t="s">
        <v>94</v>
      </c>
      <c r="F2357" t="s">
        <v>104</v>
      </c>
      <c r="G2357" t="s">
        <v>121</v>
      </c>
      <c r="H2357" t="s">
        <v>238</v>
      </c>
      <c r="J2357">
        <v>0</v>
      </c>
      <c r="K2357">
        <v>2</v>
      </c>
      <c r="L2357">
        <v>113.9375</v>
      </c>
      <c r="M2357">
        <v>33.375507550000002</v>
      </c>
      <c r="N2357">
        <v>2.4262999999999999</v>
      </c>
      <c r="O2357">
        <v>87.5</v>
      </c>
      <c r="P2357">
        <v>29.478311600000001</v>
      </c>
      <c r="Q2357">
        <v>3.0797751000000002E-2</v>
      </c>
      <c r="R2357" t="s">
        <v>1041</v>
      </c>
      <c r="S2357">
        <v>0.27760324999999997</v>
      </c>
    </row>
    <row r="2358" spans="1:19" x14ac:dyDescent="0.25">
      <c r="A2358" t="s">
        <v>63</v>
      </c>
      <c r="B2358" t="s">
        <v>899</v>
      </c>
      <c r="C2358">
        <v>12</v>
      </c>
      <c r="D2358" t="s">
        <v>64</v>
      </c>
      <c r="E2358" t="s">
        <v>94</v>
      </c>
      <c r="F2358" t="s">
        <v>104</v>
      </c>
      <c r="G2358" t="s">
        <v>121</v>
      </c>
      <c r="H2358" t="s">
        <v>103</v>
      </c>
      <c r="J2358">
        <v>0</v>
      </c>
      <c r="K2358">
        <v>1</v>
      </c>
      <c r="L2358">
        <v>113.9375</v>
      </c>
      <c r="M2358">
        <v>33.375507550000002</v>
      </c>
      <c r="N2358">
        <v>2.4262999999999999</v>
      </c>
      <c r="O2358">
        <v>98.291666669999998</v>
      </c>
      <c r="P2358">
        <v>30.315130790000001</v>
      </c>
      <c r="Q2358">
        <v>5.0803484000000003E-2</v>
      </c>
      <c r="R2358" t="s">
        <v>1041</v>
      </c>
      <c r="S2358">
        <v>2.1739100000000011E-2</v>
      </c>
    </row>
    <row r="2359" spans="1:19" x14ac:dyDescent="0.25">
      <c r="A2359" t="s">
        <v>63</v>
      </c>
      <c r="B2359" t="s">
        <v>899</v>
      </c>
      <c r="C2359">
        <v>12</v>
      </c>
      <c r="D2359" t="s">
        <v>64</v>
      </c>
      <c r="E2359" t="s">
        <v>94</v>
      </c>
      <c r="F2359" t="s">
        <v>104</v>
      </c>
      <c r="G2359" t="s">
        <v>121</v>
      </c>
      <c r="H2359" t="s">
        <v>248</v>
      </c>
      <c r="J2359">
        <v>0</v>
      </c>
      <c r="K2359">
        <v>2</v>
      </c>
      <c r="L2359">
        <v>113.9375</v>
      </c>
      <c r="M2359">
        <v>33.375507550000002</v>
      </c>
      <c r="N2359">
        <v>2.4262999999999999</v>
      </c>
      <c r="O2359">
        <v>83.92307692</v>
      </c>
      <c r="P2359">
        <v>44.319135699999997</v>
      </c>
      <c r="Q2359">
        <v>5.9548609999999997E-3</v>
      </c>
      <c r="R2359" t="s">
        <v>1041</v>
      </c>
      <c r="S2359">
        <v>0.22674232</v>
      </c>
    </row>
    <row r="2360" spans="1:19" x14ac:dyDescent="0.25">
      <c r="A2360" t="s">
        <v>65</v>
      </c>
      <c r="B2360" t="s">
        <v>900</v>
      </c>
      <c r="C2360">
        <v>12</v>
      </c>
      <c r="D2360" t="s">
        <v>66</v>
      </c>
      <c r="E2360" t="s">
        <v>95</v>
      </c>
      <c r="F2360" t="s">
        <v>105</v>
      </c>
      <c r="G2360" t="s">
        <v>121</v>
      </c>
      <c r="H2360" t="s">
        <v>111</v>
      </c>
      <c r="J2360">
        <v>0</v>
      </c>
      <c r="K2360">
        <v>1</v>
      </c>
      <c r="L2360">
        <v>67.5</v>
      </c>
      <c r="M2360">
        <v>47.937235809999997</v>
      </c>
      <c r="N2360">
        <v>0.41599678000000001</v>
      </c>
      <c r="O2360">
        <v>94.97142857</v>
      </c>
      <c r="P2360">
        <v>24.31591813</v>
      </c>
      <c r="Q2360">
        <v>0.122951111</v>
      </c>
      <c r="R2360" t="s">
        <v>1041</v>
      </c>
      <c r="S2360">
        <v>1.7045267999999998</v>
      </c>
    </row>
    <row r="2361" spans="1:19" x14ac:dyDescent="0.25">
      <c r="A2361" t="s">
        <v>65</v>
      </c>
      <c r="B2361" t="s">
        <v>900</v>
      </c>
      <c r="C2361">
        <v>12</v>
      </c>
      <c r="D2361" t="s">
        <v>66</v>
      </c>
      <c r="E2361" t="s">
        <v>95</v>
      </c>
      <c r="F2361" t="s">
        <v>105</v>
      </c>
      <c r="G2361" t="s">
        <v>121</v>
      </c>
      <c r="H2361" t="s">
        <v>808</v>
      </c>
      <c r="J2361">
        <v>0</v>
      </c>
      <c r="K2361">
        <v>1</v>
      </c>
      <c r="L2361">
        <v>67.5</v>
      </c>
      <c r="M2361">
        <v>47.937235809999997</v>
      </c>
      <c r="N2361">
        <v>0.41599678000000001</v>
      </c>
      <c r="O2361">
        <v>102.79166669999999</v>
      </c>
      <c r="P2361">
        <v>27.057373470000002</v>
      </c>
      <c r="Q2361">
        <v>6.3567849939999999</v>
      </c>
      <c r="R2361" t="s">
        <v>1041</v>
      </c>
      <c r="S2361" t="s">
        <v>114</v>
      </c>
    </row>
    <row r="2362" spans="1:19" x14ac:dyDescent="0.25">
      <c r="A2362" t="s">
        <v>65</v>
      </c>
      <c r="B2362" t="s">
        <v>900</v>
      </c>
      <c r="C2362">
        <v>12</v>
      </c>
      <c r="D2362" t="s">
        <v>66</v>
      </c>
      <c r="E2362" t="s">
        <v>95</v>
      </c>
      <c r="F2362" t="s">
        <v>105</v>
      </c>
      <c r="G2362" t="s">
        <v>121</v>
      </c>
      <c r="H2362" t="s">
        <v>247</v>
      </c>
      <c r="J2362">
        <v>0</v>
      </c>
      <c r="K2362">
        <v>1</v>
      </c>
      <c r="L2362">
        <v>67.5</v>
      </c>
      <c r="M2362">
        <v>47.937235809999997</v>
      </c>
      <c r="N2362">
        <v>0.41599678000000001</v>
      </c>
      <c r="O2362">
        <v>65.791044779999993</v>
      </c>
      <c r="P2362">
        <v>22.94519201</v>
      </c>
      <c r="Q2362">
        <v>8.1320334999999994E-2</v>
      </c>
      <c r="R2362" t="s">
        <v>1041</v>
      </c>
      <c r="S2362">
        <v>1.9221781499999997</v>
      </c>
    </row>
    <row r="2363" spans="1:19" x14ac:dyDescent="0.25">
      <c r="A2363" t="s">
        <v>65</v>
      </c>
      <c r="B2363" t="s">
        <v>900</v>
      </c>
      <c r="C2363">
        <v>12</v>
      </c>
      <c r="D2363" t="s">
        <v>66</v>
      </c>
      <c r="E2363" t="s">
        <v>95</v>
      </c>
      <c r="F2363" t="s">
        <v>105</v>
      </c>
      <c r="G2363" t="s">
        <v>121</v>
      </c>
      <c r="H2363" t="s">
        <v>248</v>
      </c>
      <c r="J2363">
        <v>0</v>
      </c>
      <c r="K2363">
        <v>2</v>
      </c>
      <c r="L2363">
        <v>67.5</v>
      </c>
      <c r="M2363">
        <v>47.937235809999997</v>
      </c>
      <c r="N2363">
        <v>0.41599678000000001</v>
      </c>
      <c r="O2363">
        <v>83.92307692</v>
      </c>
      <c r="P2363">
        <v>44.319135699999997</v>
      </c>
      <c r="Q2363">
        <v>5.9548609999999997E-3</v>
      </c>
      <c r="R2363" t="s">
        <v>1041</v>
      </c>
      <c r="S2363">
        <v>1.9148554199999999</v>
      </c>
    </row>
    <row r="2364" spans="1:19" x14ac:dyDescent="0.25">
      <c r="A2364" t="s">
        <v>10</v>
      </c>
      <c r="B2364" t="s">
        <v>901</v>
      </c>
      <c r="C2364">
        <v>15</v>
      </c>
      <c r="D2364" t="s">
        <v>11</v>
      </c>
      <c r="E2364" t="s">
        <v>94</v>
      </c>
      <c r="F2364" t="s">
        <v>102</v>
      </c>
      <c r="G2364" t="s">
        <v>102</v>
      </c>
      <c r="H2364" t="s">
        <v>102</v>
      </c>
      <c r="J2364">
        <v>0</v>
      </c>
      <c r="K2364">
        <v>1</v>
      </c>
      <c r="L2364">
        <v>84.740740740000007</v>
      </c>
      <c r="M2364">
        <v>29.167014049999999</v>
      </c>
      <c r="N2364">
        <v>1.1169849999999999</v>
      </c>
      <c r="O2364">
        <v>84.740740740000007</v>
      </c>
      <c r="P2364">
        <v>29.167014049999999</v>
      </c>
      <c r="Q2364">
        <v>1.1169849999999999</v>
      </c>
      <c r="R2364" t="s">
        <v>1041</v>
      </c>
      <c r="S2364">
        <v>0</v>
      </c>
    </row>
    <row r="2365" spans="1:19" x14ac:dyDescent="0.25">
      <c r="A2365" t="s">
        <v>10</v>
      </c>
      <c r="B2365" t="s">
        <v>901</v>
      </c>
      <c r="C2365">
        <v>16</v>
      </c>
      <c r="D2365" t="s">
        <v>11</v>
      </c>
      <c r="E2365" t="s">
        <v>94</v>
      </c>
      <c r="F2365" t="s">
        <v>102</v>
      </c>
      <c r="G2365" t="s">
        <v>102</v>
      </c>
      <c r="H2365" t="s">
        <v>111</v>
      </c>
      <c r="J2365">
        <v>0</v>
      </c>
      <c r="K2365">
        <v>1</v>
      </c>
      <c r="L2365">
        <v>84.740740740000007</v>
      </c>
      <c r="M2365">
        <v>29.167014049999999</v>
      </c>
      <c r="N2365">
        <v>1.1169849999999999</v>
      </c>
      <c r="O2365">
        <v>94.97142857</v>
      </c>
      <c r="P2365">
        <v>24.31591813</v>
      </c>
      <c r="Q2365">
        <v>0.122951111</v>
      </c>
      <c r="R2365" t="s">
        <v>1041</v>
      </c>
      <c r="S2365">
        <v>0.76664200000000005</v>
      </c>
    </row>
    <row r="2366" spans="1:19" x14ac:dyDescent="0.25">
      <c r="A2366" t="s">
        <v>10</v>
      </c>
      <c r="B2366" t="s">
        <v>902</v>
      </c>
      <c r="C2366">
        <v>15</v>
      </c>
      <c r="D2366" t="s">
        <v>11</v>
      </c>
      <c r="E2366" t="s">
        <v>94</v>
      </c>
      <c r="F2366" t="s">
        <v>105</v>
      </c>
      <c r="G2366" t="s">
        <v>121</v>
      </c>
      <c r="H2366" t="s">
        <v>244</v>
      </c>
      <c r="J2366">
        <v>0</v>
      </c>
      <c r="K2366">
        <v>2</v>
      </c>
      <c r="L2366">
        <v>67.5</v>
      </c>
      <c r="M2366">
        <v>47.937235809999997</v>
      </c>
      <c r="N2366">
        <v>0.41599678000000001</v>
      </c>
      <c r="O2366">
        <v>75</v>
      </c>
      <c r="P2366">
        <v>28.80614499</v>
      </c>
      <c r="Q2366">
        <v>2.3860428570000001</v>
      </c>
      <c r="R2366" t="s">
        <v>1041</v>
      </c>
      <c r="S2366">
        <v>1.8310263799999997</v>
      </c>
    </row>
    <row r="2367" spans="1:19" x14ac:dyDescent="0.25">
      <c r="A2367" t="s">
        <v>10</v>
      </c>
      <c r="B2367" t="s">
        <v>902</v>
      </c>
      <c r="C2367">
        <v>16</v>
      </c>
      <c r="D2367" t="s">
        <v>11</v>
      </c>
      <c r="E2367" t="s">
        <v>94</v>
      </c>
      <c r="F2367" t="s">
        <v>105</v>
      </c>
      <c r="G2367" t="s">
        <v>121</v>
      </c>
      <c r="H2367" t="s">
        <v>104</v>
      </c>
      <c r="J2367">
        <v>0</v>
      </c>
      <c r="K2367">
        <v>1</v>
      </c>
      <c r="L2367">
        <v>67.5</v>
      </c>
      <c r="M2367">
        <v>47.937235809999997</v>
      </c>
      <c r="N2367">
        <v>0.41599678000000001</v>
      </c>
      <c r="O2367">
        <v>113.9375</v>
      </c>
      <c r="P2367">
        <v>33.375507550000002</v>
      </c>
      <c r="Q2367">
        <v>2.4262999999999999</v>
      </c>
      <c r="R2367" t="s">
        <v>1041</v>
      </c>
      <c r="S2367">
        <v>1.6881130999999998</v>
      </c>
    </row>
    <row r="2368" spans="1:19" x14ac:dyDescent="0.25">
      <c r="A2368" t="s">
        <v>10</v>
      </c>
      <c r="B2368" t="s">
        <v>903</v>
      </c>
      <c r="C2368">
        <v>15</v>
      </c>
      <c r="D2368" t="s">
        <v>11</v>
      </c>
      <c r="E2368" t="s">
        <v>94</v>
      </c>
      <c r="F2368" t="s">
        <v>103</v>
      </c>
      <c r="G2368" t="s">
        <v>121</v>
      </c>
      <c r="H2368" t="s">
        <v>245</v>
      </c>
      <c r="J2368">
        <v>0</v>
      </c>
      <c r="K2368">
        <v>1</v>
      </c>
      <c r="L2368">
        <v>98.291666669999998</v>
      </c>
      <c r="M2368">
        <v>30.315130790000001</v>
      </c>
      <c r="N2368">
        <v>5.0803484000000003E-2</v>
      </c>
      <c r="O2368" t="s">
        <v>114</v>
      </c>
      <c r="P2368" t="s">
        <v>114</v>
      </c>
      <c r="Q2368" t="s">
        <v>114</v>
      </c>
      <c r="R2368" t="s">
        <v>1041</v>
      </c>
      <c r="S2368" t="s">
        <v>114</v>
      </c>
    </row>
    <row r="2369" spans="1:19" x14ac:dyDescent="0.25">
      <c r="A2369" t="s">
        <v>10</v>
      </c>
      <c r="B2369" t="s">
        <v>904</v>
      </c>
      <c r="C2369">
        <v>15</v>
      </c>
      <c r="D2369" t="s">
        <v>11</v>
      </c>
      <c r="E2369" t="s">
        <v>94</v>
      </c>
      <c r="F2369" t="s">
        <v>104</v>
      </c>
      <c r="G2369" t="s">
        <v>121</v>
      </c>
      <c r="H2369" t="s">
        <v>242</v>
      </c>
      <c r="J2369">
        <v>0</v>
      </c>
      <c r="K2369">
        <v>6</v>
      </c>
      <c r="L2369">
        <v>113.9375</v>
      </c>
      <c r="M2369">
        <v>33.375507550000002</v>
      </c>
      <c r="N2369">
        <v>2.4262999999999999</v>
      </c>
      <c r="O2369">
        <v>139.375</v>
      </c>
      <c r="P2369">
        <v>23.713465920000001</v>
      </c>
      <c r="Q2369" t="s">
        <v>114</v>
      </c>
      <c r="R2369" t="s">
        <v>1041</v>
      </c>
      <c r="S2369" t="s">
        <v>114</v>
      </c>
    </row>
    <row r="2370" spans="1:19" x14ac:dyDescent="0.25">
      <c r="A2370" t="s">
        <v>14</v>
      </c>
      <c r="B2370" t="s">
        <v>905</v>
      </c>
      <c r="C2370">
        <v>15</v>
      </c>
      <c r="D2370" t="s">
        <v>15</v>
      </c>
      <c r="E2370" t="s">
        <v>94</v>
      </c>
      <c r="F2370" t="s">
        <v>102</v>
      </c>
      <c r="G2370" t="s">
        <v>121</v>
      </c>
      <c r="H2370" t="s">
        <v>114</v>
      </c>
      <c r="J2370">
        <v>0</v>
      </c>
      <c r="K2370" t="s">
        <v>114</v>
      </c>
      <c r="L2370">
        <v>84.740740740000007</v>
      </c>
      <c r="M2370">
        <v>29.167014049999999</v>
      </c>
      <c r="N2370">
        <v>1.1169849999999999</v>
      </c>
      <c r="O2370" t="s">
        <v>114</v>
      </c>
      <c r="P2370" t="s">
        <v>114</v>
      </c>
      <c r="Q2370" t="s">
        <v>114</v>
      </c>
      <c r="R2370" t="s">
        <v>1041</v>
      </c>
      <c r="S2370" t="s">
        <v>114</v>
      </c>
    </row>
    <row r="2371" spans="1:19" x14ac:dyDescent="0.25">
      <c r="A2371" t="s">
        <v>14</v>
      </c>
      <c r="B2371" t="s">
        <v>906</v>
      </c>
      <c r="C2371">
        <v>15</v>
      </c>
      <c r="D2371" t="s">
        <v>15</v>
      </c>
      <c r="E2371" t="s">
        <v>94</v>
      </c>
      <c r="F2371" t="s">
        <v>110</v>
      </c>
      <c r="G2371" t="s">
        <v>121</v>
      </c>
      <c r="H2371" t="s">
        <v>114</v>
      </c>
      <c r="J2371">
        <v>0</v>
      </c>
      <c r="K2371" t="s">
        <v>114</v>
      </c>
      <c r="L2371">
        <v>73.260869569999997</v>
      </c>
      <c r="M2371">
        <v>34.453830549999999</v>
      </c>
      <c r="N2371">
        <v>1.058333333</v>
      </c>
      <c r="O2371" t="s">
        <v>114</v>
      </c>
      <c r="P2371" t="s">
        <v>114</v>
      </c>
      <c r="Q2371" t="s">
        <v>114</v>
      </c>
      <c r="R2371" t="s">
        <v>1041</v>
      </c>
      <c r="S2371" t="s">
        <v>114</v>
      </c>
    </row>
    <row r="2372" spans="1:19" x14ac:dyDescent="0.25">
      <c r="A2372" t="s">
        <v>14</v>
      </c>
      <c r="B2372" t="s">
        <v>907</v>
      </c>
      <c r="C2372">
        <v>15</v>
      </c>
      <c r="D2372" t="s">
        <v>15</v>
      </c>
      <c r="E2372" t="s">
        <v>94</v>
      </c>
      <c r="F2372" t="s">
        <v>111</v>
      </c>
      <c r="G2372" t="s">
        <v>110</v>
      </c>
      <c r="H2372" t="s">
        <v>110</v>
      </c>
      <c r="J2372">
        <v>0</v>
      </c>
      <c r="K2372">
        <v>1</v>
      </c>
      <c r="L2372">
        <v>94.97142857</v>
      </c>
      <c r="M2372">
        <v>24.31591813</v>
      </c>
      <c r="N2372">
        <v>0.122951111</v>
      </c>
      <c r="O2372">
        <v>73.260869569999997</v>
      </c>
      <c r="P2372">
        <v>34.453830549999999</v>
      </c>
      <c r="Q2372">
        <v>1.058333333</v>
      </c>
      <c r="R2372" t="s">
        <v>1041</v>
      </c>
      <c r="S2372">
        <v>0.5184628</v>
      </c>
    </row>
    <row r="2373" spans="1:19" x14ac:dyDescent="0.25">
      <c r="A2373" t="s">
        <v>14</v>
      </c>
      <c r="B2373" t="s">
        <v>908</v>
      </c>
      <c r="C2373">
        <v>15</v>
      </c>
      <c r="D2373" t="s">
        <v>15</v>
      </c>
      <c r="E2373" t="s">
        <v>94</v>
      </c>
      <c r="F2373" t="s">
        <v>104</v>
      </c>
      <c r="G2373" t="s">
        <v>110</v>
      </c>
      <c r="H2373" t="s">
        <v>110</v>
      </c>
      <c r="J2373">
        <v>0</v>
      </c>
      <c r="K2373">
        <v>1</v>
      </c>
      <c r="L2373">
        <v>113.9375</v>
      </c>
      <c r="M2373">
        <v>33.375507550000002</v>
      </c>
      <c r="N2373">
        <v>2.4262999999999999</v>
      </c>
      <c r="O2373">
        <v>73.260869569999997</v>
      </c>
      <c r="P2373">
        <v>34.453830549999999</v>
      </c>
      <c r="Q2373">
        <v>1.058333333</v>
      </c>
      <c r="R2373" t="s">
        <v>1041</v>
      </c>
      <c r="S2373">
        <v>0.50204910000000003</v>
      </c>
    </row>
    <row r="2374" spans="1:19" x14ac:dyDescent="0.25">
      <c r="A2374" t="s">
        <v>14</v>
      </c>
      <c r="B2374" t="s">
        <v>908</v>
      </c>
      <c r="C2374">
        <v>16</v>
      </c>
      <c r="D2374" t="s">
        <v>15</v>
      </c>
      <c r="E2374" t="s">
        <v>94</v>
      </c>
      <c r="F2374" t="s">
        <v>104</v>
      </c>
      <c r="G2374" t="s">
        <v>110</v>
      </c>
      <c r="H2374" t="s">
        <v>104</v>
      </c>
      <c r="J2374">
        <v>0</v>
      </c>
      <c r="K2374">
        <v>2</v>
      </c>
      <c r="L2374">
        <v>113.9375</v>
      </c>
      <c r="M2374">
        <v>33.375507550000002</v>
      </c>
      <c r="N2374">
        <v>2.4262999999999999</v>
      </c>
      <c r="O2374">
        <v>113.9375</v>
      </c>
      <c r="P2374">
        <v>33.375507550000002</v>
      </c>
      <c r="Q2374">
        <v>2.4262999999999999</v>
      </c>
      <c r="R2374" t="s">
        <v>1041</v>
      </c>
      <c r="S2374">
        <v>0</v>
      </c>
    </row>
    <row r="2375" spans="1:19" x14ac:dyDescent="0.25">
      <c r="A2375" t="s">
        <v>16</v>
      </c>
      <c r="B2375" t="s">
        <v>909</v>
      </c>
      <c r="C2375">
        <v>15</v>
      </c>
      <c r="D2375" t="s">
        <v>17</v>
      </c>
      <c r="E2375" t="s">
        <v>95</v>
      </c>
      <c r="F2375" t="s">
        <v>113</v>
      </c>
      <c r="G2375" t="s">
        <v>104</v>
      </c>
      <c r="H2375" t="s">
        <v>104</v>
      </c>
      <c r="J2375">
        <v>0</v>
      </c>
      <c r="K2375">
        <v>1</v>
      </c>
      <c r="L2375">
        <v>83.757575759999995</v>
      </c>
      <c r="M2375">
        <v>22.60997987</v>
      </c>
      <c r="N2375">
        <v>0.72884000000000004</v>
      </c>
      <c r="O2375">
        <v>113.9375</v>
      </c>
      <c r="P2375">
        <v>33.375507550000002</v>
      </c>
      <c r="Q2375">
        <v>2.4262999999999999</v>
      </c>
      <c r="R2375" t="s">
        <v>1041</v>
      </c>
      <c r="S2375">
        <v>0.1939082</v>
      </c>
    </row>
    <row r="2376" spans="1:19" x14ac:dyDescent="0.25">
      <c r="A2376" t="s">
        <v>16</v>
      </c>
      <c r="B2376" t="s">
        <v>909</v>
      </c>
      <c r="C2376">
        <v>16</v>
      </c>
      <c r="D2376" t="s">
        <v>17</v>
      </c>
      <c r="E2376" t="s">
        <v>95</v>
      </c>
      <c r="F2376" t="s">
        <v>113</v>
      </c>
      <c r="G2376" t="s">
        <v>104</v>
      </c>
      <c r="H2376" t="s">
        <v>113</v>
      </c>
      <c r="J2376">
        <v>0</v>
      </c>
      <c r="K2376">
        <v>3</v>
      </c>
      <c r="L2376">
        <v>83.757575759999995</v>
      </c>
      <c r="M2376">
        <v>22.60997987</v>
      </c>
      <c r="N2376">
        <v>0.72884000000000004</v>
      </c>
      <c r="O2376">
        <v>83.757575759999995</v>
      </c>
      <c r="P2376">
        <v>22.60997987</v>
      </c>
      <c r="Q2376">
        <v>0.72884000000000004</v>
      </c>
      <c r="R2376" t="s">
        <v>1041</v>
      </c>
      <c r="S2376">
        <v>0</v>
      </c>
    </row>
    <row r="2377" spans="1:19" x14ac:dyDescent="0.25">
      <c r="A2377" t="s">
        <v>16</v>
      </c>
      <c r="B2377" t="s">
        <v>910</v>
      </c>
      <c r="C2377">
        <v>15</v>
      </c>
      <c r="D2377" t="s">
        <v>17</v>
      </c>
      <c r="E2377" t="s">
        <v>95</v>
      </c>
      <c r="F2377" t="s">
        <v>110</v>
      </c>
      <c r="G2377" t="s">
        <v>121</v>
      </c>
      <c r="H2377" t="s">
        <v>104</v>
      </c>
      <c r="J2377">
        <v>0</v>
      </c>
      <c r="K2377">
        <v>1</v>
      </c>
      <c r="L2377">
        <v>73.260869569999997</v>
      </c>
      <c r="M2377">
        <v>34.453830549999999</v>
      </c>
      <c r="N2377">
        <v>1.058333333</v>
      </c>
      <c r="O2377">
        <v>113.9375</v>
      </c>
      <c r="P2377">
        <v>33.375507550000002</v>
      </c>
      <c r="Q2377">
        <v>2.4262999999999999</v>
      </c>
      <c r="R2377" t="s">
        <v>1041</v>
      </c>
      <c r="S2377">
        <v>0.50204910000000003</v>
      </c>
    </row>
    <row r="2378" spans="1:19" x14ac:dyDescent="0.25">
      <c r="A2378" t="s">
        <v>16</v>
      </c>
      <c r="B2378" t="s">
        <v>910</v>
      </c>
      <c r="C2378">
        <v>16</v>
      </c>
      <c r="D2378" t="s">
        <v>17</v>
      </c>
      <c r="E2378" t="s">
        <v>95</v>
      </c>
      <c r="F2378" t="s">
        <v>110</v>
      </c>
      <c r="G2378" t="s">
        <v>121</v>
      </c>
      <c r="H2378" t="s">
        <v>241</v>
      </c>
      <c r="J2378">
        <v>0</v>
      </c>
      <c r="K2378">
        <v>1</v>
      </c>
      <c r="L2378">
        <v>73.260869569999997</v>
      </c>
      <c r="M2378">
        <v>34.453830549999999</v>
      </c>
      <c r="N2378">
        <v>1.058333333</v>
      </c>
      <c r="O2378">
        <v>114</v>
      </c>
      <c r="P2378">
        <v>30.43077242</v>
      </c>
      <c r="Q2378">
        <v>0.53383111100000002</v>
      </c>
      <c r="R2378" t="s">
        <v>1041</v>
      </c>
      <c r="S2378">
        <v>0.62563736999999997</v>
      </c>
    </row>
    <row r="2379" spans="1:19" x14ac:dyDescent="0.25">
      <c r="A2379" t="s">
        <v>16</v>
      </c>
      <c r="B2379" t="s">
        <v>911</v>
      </c>
      <c r="C2379">
        <v>15</v>
      </c>
      <c r="D2379" t="s">
        <v>17</v>
      </c>
      <c r="E2379" t="s">
        <v>95</v>
      </c>
      <c r="F2379" t="s">
        <v>111</v>
      </c>
      <c r="G2379" t="s">
        <v>113</v>
      </c>
      <c r="H2379" t="s">
        <v>113</v>
      </c>
      <c r="J2379">
        <v>0</v>
      </c>
      <c r="K2379">
        <v>2</v>
      </c>
      <c r="L2379">
        <v>94.97142857</v>
      </c>
      <c r="M2379">
        <v>24.31591813</v>
      </c>
      <c r="N2379">
        <v>0.122951111</v>
      </c>
      <c r="O2379">
        <v>83.757575759999995</v>
      </c>
      <c r="P2379">
        <v>22.60997987</v>
      </c>
      <c r="Q2379">
        <v>0.72884000000000004</v>
      </c>
      <c r="R2379" t="s">
        <v>1041</v>
      </c>
      <c r="S2379">
        <v>0.17749450000000003</v>
      </c>
    </row>
    <row r="2380" spans="1:19" x14ac:dyDescent="0.25">
      <c r="A2380" t="s">
        <v>16</v>
      </c>
      <c r="B2380" t="s">
        <v>911</v>
      </c>
      <c r="C2380">
        <v>16</v>
      </c>
      <c r="D2380" t="s">
        <v>17</v>
      </c>
      <c r="E2380" t="s">
        <v>95</v>
      </c>
      <c r="F2380" t="s">
        <v>111</v>
      </c>
      <c r="G2380" t="s">
        <v>113</v>
      </c>
      <c r="H2380" t="s">
        <v>247</v>
      </c>
      <c r="J2380">
        <v>0</v>
      </c>
      <c r="K2380">
        <v>3</v>
      </c>
      <c r="L2380">
        <v>94.97142857</v>
      </c>
      <c r="M2380">
        <v>24.31591813</v>
      </c>
      <c r="N2380">
        <v>0.122951111</v>
      </c>
      <c r="O2380">
        <v>65.791044779999993</v>
      </c>
      <c r="P2380">
        <v>22.94519201</v>
      </c>
      <c r="Q2380">
        <v>8.1320334999999994E-2</v>
      </c>
      <c r="R2380" t="s">
        <v>1041</v>
      </c>
      <c r="S2380">
        <v>0.21765135000000002</v>
      </c>
    </row>
    <row r="2381" spans="1:19" x14ac:dyDescent="0.25">
      <c r="A2381" t="s">
        <v>16</v>
      </c>
      <c r="B2381" t="s">
        <v>912</v>
      </c>
      <c r="C2381">
        <v>15</v>
      </c>
      <c r="D2381" t="s">
        <v>17</v>
      </c>
      <c r="E2381" t="s">
        <v>95</v>
      </c>
      <c r="F2381" t="s">
        <v>104</v>
      </c>
      <c r="G2381" t="s">
        <v>121</v>
      </c>
      <c r="H2381" t="s">
        <v>247</v>
      </c>
      <c r="J2381">
        <v>0</v>
      </c>
      <c r="K2381">
        <v>1</v>
      </c>
      <c r="L2381">
        <v>113.9375</v>
      </c>
      <c r="M2381">
        <v>33.375507550000002</v>
      </c>
      <c r="N2381">
        <v>2.4262999999999999</v>
      </c>
      <c r="O2381">
        <v>65.791044779999993</v>
      </c>
      <c r="P2381">
        <v>22.94519201</v>
      </c>
      <c r="Q2381">
        <v>8.1320334999999994E-2</v>
      </c>
      <c r="R2381" t="s">
        <v>1041</v>
      </c>
      <c r="S2381">
        <v>0.23406505</v>
      </c>
    </row>
    <row r="2382" spans="1:19" x14ac:dyDescent="0.25">
      <c r="A2382" t="s">
        <v>16</v>
      </c>
      <c r="B2382" t="s">
        <v>912</v>
      </c>
      <c r="C2382">
        <v>16</v>
      </c>
      <c r="D2382" t="s">
        <v>17</v>
      </c>
      <c r="E2382" t="s">
        <v>95</v>
      </c>
      <c r="F2382" t="s">
        <v>104</v>
      </c>
      <c r="G2382" t="s">
        <v>121</v>
      </c>
      <c r="H2382" t="s">
        <v>111</v>
      </c>
      <c r="J2382">
        <v>0</v>
      </c>
      <c r="K2382">
        <v>1</v>
      </c>
      <c r="L2382">
        <v>113.9375</v>
      </c>
      <c r="M2382">
        <v>33.375507550000002</v>
      </c>
      <c r="N2382">
        <v>2.4262999999999999</v>
      </c>
      <c r="O2382">
        <v>94.97142857</v>
      </c>
      <c r="P2382">
        <v>24.31591813</v>
      </c>
      <c r="Q2382">
        <v>0.122951111</v>
      </c>
      <c r="R2382" t="s">
        <v>1041</v>
      </c>
      <c r="S2382">
        <v>1.6413699999999976E-2</v>
      </c>
    </row>
    <row r="2383" spans="1:19" x14ac:dyDescent="0.25">
      <c r="A2383" t="s">
        <v>18</v>
      </c>
      <c r="B2383" t="s">
        <v>913</v>
      </c>
      <c r="C2383">
        <v>15</v>
      </c>
      <c r="D2383" t="s">
        <v>19</v>
      </c>
      <c r="E2383" t="s">
        <v>95</v>
      </c>
      <c r="F2383" t="s">
        <v>113</v>
      </c>
      <c r="G2383" t="s">
        <v>121</v>
      </c>
      <c r="H2383" t="s">
        <v>113</v>
      </c>
      <c r="J2383">
        <v>0</v>
      </c>
      <c r="K2383">
        <v>3</v>
      </c>
      <c r="L2383">
        <v>83.757575759999995</v>
      </c>
      <c r="M2383">
        <v>22.60997987</v>
      </c>
      <c r="N2383">
        <v>0.72884000000000004</v>
      </c>
      <c r="O2383">
        <v>83.757575759999995</v>
      </c>
      <c r="P2383">
        <v>22.60997987</v>
      </c>
      <c r="Q2383">
        <v>0.72884000000000004</v>
      </c>
      <c r="R2383" t="s">
        <v>1041</v>
      </c>
      <c r="S2383">
        <v>0</v>
      </c>
    </row>
    <row r="2384" spans="1:19" x14ac:dyDescent="0.25">
      <c r="A2384" t="s">
        <v>18</v>
      </c>
      <c r="B2384" t="s">
        <v>913</v>
      </c>
      <c r="C2384">
        <v>16</v>
      </c>
      <c r="D2384" t="s">
        <v>19</v>
      </c>
      <c r="E2384" t="s">
        <v>95</v>
      </c>
      <c r="F2384" t="s">
        <v>113</v>
      </c>
      <c r="G2384" t="s">
        <v>121</v>
      </c>
      <c r="H2384" t="s">
        <v>808</v>
      </c>
      <c r="J2384">
        <v>0</v>
      </c>
      <c r="K2384">
        <v>1</v>
      </c>
      <c r="L2384">
        <v>83.757575759999995</v>
      </c>
      <c r="M2384">
        <v>22.60997987</v>
      </c>
      <c r="N2384">
        <v>0.72884000000000004</v>
      </c>
      <c r="O2384">
        <v>102.79166669999999</v>
      </c>
      <c r="P2384">
        <v>27.057373470000002</v>
      </c>
      <c r="Q2384">
        <v>6.3567849939999999</v>
      </c>
      <c r="R2384" t="s">
        <v>1041</v>
      </c>
      <c r="S2384" t="s">
        <v>114</v>
      </c>
    </row>
    <row r="2385" spans="1:19" x14ac:dyDescent="0.25">
      <c r="A2385" t="s">
        <v>18</v>
      </c>
      <c r="B2385" t="s">
        <v>913</v>
      </c>
      <c r="C2385">
        <v>17</v>
      </c>
      <c r="D2385" t="s">
        <v>19</v>
      </c>
      <c r="E2385" t="s">
        <v>95</v>
      </c>
      <c r="F2385" t="s">
        <v>113</v>
      </c>
      <c r="G2385" t="s">
        <v>121</v>
      </c>
      <c r="H2385" t="s">
        <v>242</v>
      </c>
      <c r="J2385">
        <v>0</v>
      </c>
      <c r="K2385">
        <v>15</v>
      </c>
      <c r="L2385">
        <v>83.757575759999995</v>
      </c>
      <c r="M2385">
        <v>22.60997987</v>
      </c>
      <c r="N2385">
        <v>0.72884000000000004</v>
      </c>
      <c r="O2385">
        <v>139.375</v>
      </c>
      <c r="P2385">
        <v>23.713465920000001</v>
      </c>
      <c r="Q2385" t="s">
        <v>114</v>
      </c>
      <c r="R2385" t="s">
        <v>1041</v>
      </c>
      <c r="S2385" t="s">
        <v>114</v>
      </c>
    </row>
    <row r="2386" spans="1:19" x14ac:dyDescent="0.25">
      <c r="A2386" t="s">
        <v>18</v>
      </c>
      <c r="B2386" t="s">
        <v>914</v>
      </c>
      <c r="C2386">
        <v>15</v>
      </c>
      <c r="D2386" t="s">
        <v>19</v>
      </c>
      <c r="E2386" t="s">
        <v>95</v>
      </c>
      <c r="F2386" t="s">
        <v>111</v>
      </c>
      <c r="G2386" t="s">
        <v>121</v>
      </c>
      <c r="H2386" t="s">
        <v>113</v>
      </c>
      <c r="J2386">
        <v>0</v>
      </c>
      <c r="K2386">
        <v>2</v>
      </c>
      <c r="L2386">
        <v>94.97142857</v>
      </c>
      <c r="M2386">
        <v>24.31591813</v>
      </c>
      <c r="N2386">
        <v>0.122951111</v>
      </c>
      <c r="O2386">
        <v>83.757575759999995</v>
      </c>
      <c r="P2386">
        <v>22.60997987</v>
      </c>
      <c r="Q2386">
        <v>0.72884000000000004</v>
      </c>
      <c r="R2386" t="s">
        <v>1041</v>
      </c>
      <c r="S2386">
        <v>0.17749450000000003</v>
      </c>
    </row>
    <row r="2387" spans="1:19" x14ac:dyDescent="0.25">
      <c r="A2387" t="s">
        <v>18</v>
      </c>
      <c r="B2387" t="s">
        <v>914</v>
      </c>
      <c r="C2387">
        <v>16</v>
      </c>
      <c r="D2387" t="s">
        <v>19</v>
      </c>
      <c r="E2387" t="s">
        <v>95</v>
      </c>
      <c r="F2387" t="s">
        <v>111</v>
      </c>
      <c r="G2387" t="s">
        <v>121</v>
      </c>
      <c r="H2387" t="s">
        <v>242</v>
      </c>
      <c r="J2387">
        <v>0</v>
      </c>
      <c r="K2387">
        <v>2</v>
      </c>
      <c r="L2387">
        <v>94.97142857</v>
      </c>
      <c r="M2387">
        <v>24.31591813</v>
      </c>
      <c r="N2387">
        <v>0.122951111</v>
      </c>
      <c r="O2387">
        <v>139.375</v>
      </c>
      <c r="P2387">
        <v>23.713465920000001</v>
      </c>
      <c r="Q2387" t="s">
        <v>114</v>
      </c>
      <c r="R2387" t="s">
        <v>1041</v>
      </c>
      <c r="S2387" t="s">
        <v>114</v>
      </c>
    </row>
    <row r="2388" spans="1:19" x14ac:dyDescent="0.25">
      <c r="A2388" t="s">
        <v>18</v>
      </c>
      <c r="B2388" t="s">
        <v>915</v>
      </c>
      <c r="C2388">
        <v>15</v>
      </c>
      <c r="D2388" t="s">
        <v>19</v>
      </c>
      <c r="E2388" t="s">
        <v>95</v>
      </c>
      <c r="F2388" t="s">
        <v>104</v>
      </c>
      <c r="G2388" t="s">
        <v>121</v>
      </c>
      <c r="H2388" t="s">
        <v>247</v>
      </c>
      <c r="J2388">
        <v>0</v>
      </c>
      <c r="K2388">
        <v>1</v>
      </c>
      <c r="L2388">
        <v>113.9375</v>
      </c>
      <c r="M2388">
        <v>33.375507550000002</v>
      </c>
      <c r="N2388">
        <v>2.4262999999999999</v>
      </c>
      <c r="O2388">
        <v>65.791044779999993</v>
      </c>
      <c r="P2388">
        <v>22.94519201</v>
      </c>
      <c r="Q2388">
        <v>8.1320334999999994E-2</v>
      </c>
      <c r="R2388" t="s">
        <v>1041</v>
      </c>
      <c r="S2388">
        <v>0.23406505</v>
      </c>
    </row>
    <row r="2389" spans="1:19" x14ac:dyDescent="0.25">
      <c r="A2389" t="s">
        <v>18</v>
      </c>
      <c r="B2389" t="s">
        <v>915</v>
      </c>
      <c r="C2389">
        <v>16</v>
      </c>
      <c r="D2389" t="s">
        <v>19</v>
      </c>
      <c r="E2389" t="s">
        <v>95</v>
      </c>
      <c r="F2389" t="s">
        <v>104</v>
      </c>
      <c r="G2389" t="s">
        <v>121</v>
      </c>
      <c r="H2389" t="s">
        <v>113</v>
      </c>
      <c r="J2389">
        <v>0</v>
      </c>
      <c r="K2389">
        <v>3</v>
      </c>
      <c r="L2389">
        <v>113.9375</v>
      </c>
      <c r="M2389">
        <v>33.375507550000002</v>
      </c>
      <c r="N2389">
        <v>2.4262999999999999</v>
      </c>
      <c r="O2389">
        <v>83.757575759999995</v>
      </c>
      <c r="P2389">
        <v>22.60997987</v>
      </c>
      <c r="Q2389">
        <v>0.72884000000000004</v>
      </c>
      <c r="R2389" t="s">
        <v>1041</v>
      </c>
      <c r="S2389">
        <v>0.1939082</v>
      </c>
    </row>
    <row r="2390" spans="1:19" x14ac:dyDescent="0.25">
      <c r="A2390" t="s">
        <v>18</v>
      </c>
      <c r="B2390" t="s">
        <v>916</v>
      </c>
      <c r="C2390">
        <v>15</v>
      </c>
      <c r="D2390" t="s">
        <v>19</v>
      </c>
      <c r="E2390" t="s">
        <v>95</v>
      </c>
      <c r="F2390" t="s">
        <v>112</v>
      </c>
      <c r="G2390" t="s">
        <v>113</v>
      </c>
      <c r="H2390" t="s">
        <v>113</v>
      </c>
      <c r="J2390">
        <v>0</v>
      </c>
      <c r="K2390">
        <v>1</v>
      </c>
      <c r="L2390">
        <v>65.09375</v>
      </c>
      <c r="M2390">
        <v>37.895352600000002</v>
      </c>
      <c r="N2390">
        <v>2.2882677779999998</v>
      </c>
      <c r="O2390">
        <v>83.757575759999995</v>
      </c>
      <c r="P2390">
        <v>22.60997987</v>
      </c>
      <c r="Q2390">
        <v>0.72884000000000004</v>
      </c>
      <c r="R2390" t="s">
        <v>1041</v>
      </c>
      <c r="S2390">
        <v>1.9981640000000001</v>
      </c>
    </row>
    <row r="2391" spans="1:19" x14ac:dyDescent="0.25">
      <c r="A2391" t="s">
        <v>20</v>
      </c>
      <c r="B2391" t="s">
        <v>917</v>
      </c>
      <c r="C2391">
        <v>15</v>
      </c>
      <c r="D2391" t="s">
        <v>21</v>
      </c>
      <c r="E2391" t="s">
        <v>94</v>
      </c>
      <c r="F2391" t="s">
        <v>102</v>
      </c>
      <c r="G2391" t="s">
        <v>121</v>
      </c>
      <c r="H2391" t="s">
        <v>246</v>
      </c>
      <c r="J2391">
        <v>0</v>
      </c>
      <c r="K2391">
        <v>1</v>
      </c>
      <c r="L2391">
        <v>84.740740740000007</v>
      </c>
      <c r="M2391">
        <v>29.167014049999999</v>
      </c>
      <c r="N2391">
        <v>1.1169849999999999</v>
      </c>
      <c r="O2391">
        <v>120.25</v>
      </c>
      <c r="P2391">
        <v>30.670450110000001</v>
      </c>
      <c r="Q2391">
        <v>0.91037498500000003</v>
      </c>
      <c r="R2391" t="s">
        <v>1041</v>
      </c>
      <c r="S2391" t="s">
        <v>114</v>
      </c>
    </row>
    <row r="2392" spans="1:19" x14ac:dyDescent="0.25">
      <c r="A2392" t="s">
        <v>20</v>
      </c>
      <c r="B2392" t="s">
        <v>918</v>
      </c>
      <c r="C2392">
        <v>15</v>
      </c>
      <c r="D2392" t="s">
        <v>21</v>
      </c>
      <c r="E2392" t="s">
        <v>94</v>
      </c>
      <c r="F2392" t="s">
        <v>113</v>
      </c>
      <c r="G2392" t="s">
        <v>113</v>
      </c>
      <c r="H2392" t="s">
        <v>113</v>
      </c>
      <c r="J2392">
        <v>0</v>
      </c>
      <c r="K2392">
        <v>1</v>
      </c>
      <c r="L2392">
        <v>83.757575759999995</v>
      </c>
      <c r="M2392">
        <v>22.60997987</v>
      </c>
      <c r="N2392">
        <v>0.72884000000000004</v>
      </c>
      <c r="O2392">
        <v>83.757575759999995</v>
      </c>
      <c r="P2392">
        <v>22.60997987</v>
      </c>
      <c r="Q2392">
        <v>0.72884000000000004</v>
      </c>
      <c r="R2392" t="s">
        <v>1041</v>
      </c>
      <c r="S2392">
        <v>0</v>
      </c>
    </row>
    <row r="2393" spans="1:19" x14ac:dyDescent="0.25">
      <c r="A2393" t="s">
        <v>20</v>
      </c>
      <c r="B2393" t="s">
        <v>919</v>
      </c>
      <c r="C2393">
        <v>15</v>
      </c>
      <c r="D2393" t="s">
        <v>21</v>
      </c>
      <c r="E2393" t="s">
        <v>94</v>
      </c>
      <c r="F2393" t="s">
        <v>110</v>
      </c>
      <c r="G2393" t="s">
        <v>121</v>
      </c>
      <c r="H2393" t="s">
        <v>113</v>
      </c>
      <c r="J2393">
        <v>0</v>
      </c>
      <c r="K2393">
        <v>2</v>
      </c>
      <c r="L2393">
        <v>73.260869569999997</v>
      </c>
      <c r="M2393">
        <v>34.453830549999999</v>
      </c>
      <c r="N2393">
        <v>1.058333333</v>
      </c>
      <c r="O2393">
        <v>83.757575759999995</v>
      </c>
      <c r="P2393">
        <v>22.60997987</v>
      </c>
      <c r="Q2393">
        <v>0.72884000000000004</v>
      </c>
      <c r="R2393" t="s">
        <v>1041</v>
      </c>
      <c r="S2393">
        <v>0.6959573</v>
      </c>
    </row>
    <row r="2394" spans="1:19" x14ac:dyDescent="0.25">
      <c r="A2394" t="s">
        <v>20</v>
      </c>
      <c r="B2394" t="s">
        <v>919</v>
      </c>
      <c r="C2394">
        <v>16</v>
      </c>
      <c r="D2394" t="s">
        <v>21</v>
      </c>
      <c r="E2394" t="s">
        <v>94</v>
      </c>
      <c r="F2394" t="s">
        <v>110</v>
      </c>
      <c r="G2394" t="s">
        <v>121</v>
      </c>
      <c r="H2394" t="s">
        <v>102</v>
      </c>
      <c r="J2394">
        <v>0</v>
      </c>
      <c r="K2394">
        <v>1</v>
      </c>
      <c r="L2394">
        <v>73.260869569999997</v>
      </c>
      <c r="M2394">
        <v>34.453830549999999</v>
      </c>
      <c r="N2394">
        <v>1.058333333</v>
      </c>
      <c r="O2394">
        <v>84.740740740000007</v>
      </c>
      <c r="P2394">
        <v>29.167014049999999</v>
      </c>
      <c r="Q2394">
        <v>1.1169849999999999</v>
      </c>
      <c r="R2394" t="s">
        <v>1041</v>
      </c>
      <c r="S2394">
        <v>0.24817920000000004</v>
      </c>
    </row>
    <row r="2395" spans="1:19" x14ac:dyDescent="0.25">
      <c r="A2395" t="s">
        <v>20</v>
      </c>
      <c r="B2395" t="s">
        <v>920</v>
      </c>
      <c r="C2395">
        <v>15</v>
      </c>
      <c r="D2395" t="s">
        <v>21</v>
      </c>
      <c r="E2395" t="s">
        <v>94</v>
      </c>
      <c r="F2395" t="s">
        <v>111</v>
      </c>
      <c r="G2395" t="s">
        <v>121</v>
      </c>
      <c r="H2395" t="s">
        <v>110</v>
      </c>
      <c r="J2395">
        <v>0</v>
      </c>
      <c r="K2395">
        <v>1</v>
      </c>
      <c r="L2395">
        <v>94.97142857</v>
      </c>
      <c r="M2395">
        <v>24.31591813</v>
      </c>
      <c r="N2395">
        <v>0.122951111</v>
      </c>
      <c r="O2395">
        <v>73.260869569999997</v>
      </c>
      <c r="P2395">
        <v>34.453830549999999</v>
      </c>
      <c r="Q2395">
        <v>1.058333333</v>
      </c>
      <c r="R2395" t="s">
        <v>1041</v>
      </c>
      <c r="S2395">
        <v>0.5184628</v>
      </c>
    </row>
    <row r="2396" spans="1:19" x14ac:dyDescent="0.25">
      <c r="A2396" t="s">
        <v>22</v>
      </c>
      <c r="B2396" t="s">
        <v>921</v>
      </c>
      <c r="C2396">
        <v>15</v>
      </c>
      <c r="D2396" t="s">
        <v>23</v>
      </c>
      <c r="E2396" t="s">
        <v>95</v>
      </c>
      <c r="F2396" t="s">
        <v>102</v>
      </c>
      <c r="G2396" t="s">
        <v>121</v>
      </c>
      <c r="H2396" t="s">
        <v>236</v>
      </c>
      <c r="J2396">
        <v>0</v>
      </c>
      <c r="K2396">
        <v>1</v>
      </c>
      <c r="L2396">
        <v>84.740740740000007</v>
      </c>
      <c r="M2396">
        <v>29.167014049999999</v>
      </c>
      <c r="N2396">
        <v>1.1169849999999999</v>
      </c>
      <c r="O2396">
        <v>113.33333330000001</v>
      </c>
      <c r="P2396">
        <v>26.41632581</v>
      </c>
      <c r="Q2396">
        <v>1.6844570160000001</v>
      </c>
      <c r="R2396" t="s">
        <v>1041</v>
      </c>
      <c r="S2396">
        <v>1.0678641900000001</v>
      </c>
    </row>
    <row r="2397" spans="1:19" x14ac:dyDescent="0.25">
      <c r="A2397" t="s">
        <v>22</v>
      </c>
      <c r="B2397" t="s">
        <v>922</v>
      </c>
      <c r="C2397">
        <v>15</v>
      </c>
      <c r="D2397" t="s">
        <v>23</v>
      </c>
      <c r="E2397" t="s">
        <v>95</v>
      </c>
      <c r="F2397" t="s">
        <v>105</v>
      </c>
      <c r="G2397" t="s">
        <v>121</v>
      </c>
      <c r="H2397" t="s">
        <v>113</v>
      </c>
      <c r="J2397">
        <v>0</v>
      </c>
      <c r="K2397">
        <v>4</v>
      </c>
      <c r="L2397">
        <v>67.5</v>
      </c>
      <c r="M2397">
        <v>47.937235809999997</v>
      </c>
      <c r="N2397">
        <v>0.41599678000000001</v>
      </c>
      <c r="O2397">
        <v>83.757575759999995</v>
      </c>
      <c r="P2397">
        <v>22.60997987</v>
      </c>
      <c r="Q2397">
        <v>0.72884000000000004</v>
      </c>
      <c r="R2397" t="s">
        <v>1041</v>
      </c>
      <c r="S2397">
        <v>1.8820212999999999</v>
      </c>
    </row>
    <row r="2398" spans="1:19" x14ac:dyDescent="0.25">
      <c r="A2398" t="s">
        <v>22</v>
      </c>
      <c r="B2398" t="s">
        <v>922</v>
      </c>
      <c r="C2398">
        <v>16</v>
      </c>
      <c r="D2398" t="s">
        <v>23</v>
      </c>
      <c r="E2398" t="s">
        <v>95</v>
      </c>
      <c r="F2398" t="s">
        <v>105</v>
      </c>
      <c r="G2398" t="s">
        <v>121</v>
      </c>
      <c r="H2398" t="s">
        <v>103</v>
      </c>
      <c r="J2398">
        <v>0</v>
      </c>
      <c r="K2398">
        <v>1</v>
      </c>
      <c r="L2398">
        <v>67.5</v>
      </c>
      <c r="M2398">
        <v>47.937235809999997</v>
      </c>
      <c r="N2398">
        <v>0.41599678000000001</v>
      </c>
      <c r="O2398">
        <v>98.291666669999998</v>
      </c>
      <c r="P2398">
        <v>30.315130790000001</v>
      </c>
      <c r="Q2398">
        <v>5.0803484000000003E-2</v>
      </c>
      <c r="R2398" t="s">
        <v>1041</v>
      </c>
      <c r="S2398">
        <v>1.6663739999999998</v>
      </c>
    </row>
    <row r="2399" spans="1:19" x14ac:dyDescent="0.25">
      <c r="A2399" t="s">
        <v>22</v>
      </c>
      <c r="B2399" t="s">
        <v>922</v>
      </c>
      <c r="C2399">
        <v>17</v>
      </c>
      <c r="D2399" t="s">
        <v>23</v>
      </c>
      <c r="E2399" t="s">
        <v>95</v>
      </c>
      <c r="F2399" t="s">
        <v>105</v>
      </c>
      <c r="G2399" t="s">
        <v>121</v>
      </c>
      <c r="H2399" t="s">
        <v>234</v>
      </c>
      <c r="J2399">
        <v>0</v>
      </c>
      <c r="K2399">
        <v>1</v>
      </c>
      <c r="L2399">
        <v>67.5</v>
      </c>
      <c r="M2399">
        <v>47.937235809999997</v>
      </c>
      <c r="N2399">
        <v>0.41599678000000001</v>
      </c>
      <c r="O2399">
        <v>89.8125</v>
      </c>
      <c r="P2399">
        <v>34.754706650000003</v>
      </c>
      <c r="Q2399">
        <v>2.3065078999999999E-2</v>
      </c>
      <c r="R2399" t="s">
        <v>1041</v>
      </c>
      <c r="S2399">
        <v>0.38413197000000032</v>
      </c>
    </row>
    <row r="2400" spans="1:19" x14ac:dyDescent="0.25">
      <c r="A2400" t="s">
        <v>22</v>
      </c>
      <c r="B2400" t="s">
        <v>923</v>
      </c>
      <c r="C2400">
        <v>15</v>
      </c>
      <c r="D2400" t="s">
        <v>23</v>
      </c>
      <c r="E2400" t="s">
        <v>95</v>
      </c>
      <c r="F2400" t="s">
        <v>103</v>
      </c>
      <c r="G2400" t="s">
        <v>103</v>
      </c>
      <c r="H2400" t="s">
        <v>103</v>
      </c>
      <c r="J2400">
        <v>0</v>
      </c>
      <c r="K2400">
        <v>6</v>
      </c>
      <c r="L2400">
        <v>98.291666669999998</v>
      </c>
      <c r="M2400">
        <v>30.315130790000001</v>
      </c>
      <c r="N2400">
        <v>5.0803484000000003E-2</v>
      </c>
      <c r="O2400">
        <v>98.291666669999998</v>
      </c>
      <c r="P2400">
        <v>30.315130790000001</v>
      </c>
      <c r="Q2400">
        <v>5.0803484000000003E-2</v>
      </c>
      <c r="R2400" t="s">
        <v>1041</v>
      </c>
      <c r="S2400">
        <v>0</v>
      </c>
    </row>
    <row r="2401" spans="1:19" x14ac:dyDescent="0.25">
      <c r="A2401" t="s">
        <v>22</v>
      </c>
      <c r="B2401" t="s">
        <v>923</v>
      </c>
      <c r="C2401">
        <v>16</v>
      </c>
      <c r="D2401" t="s">
        <v>23</v>
      </c>
      <c r="E2401" t="s">
        <v>95</v>
      </c>
      <c r="F2401" t="s">
        <v>103</v>
      </c>
      <c r="G2401" t="s">
        <v>103</v>
      </c>
      <c r="H2401" t="s">
        <v>248</v>
      </c>
      <c r="J2401">
        <v>0</v>
      </c>
      <c r="K2401">
        <v>4</v>
      </c>
      <c r="L2401">
        <v>98.291666669999998</v>
      </c>
      <c r="M2401">
        <v>30.315130790000001</v>
      </c>
      <c r="N2401">
        <v>5.0803484000000003E-2</v>
      </c>
      <c r="O2401">
        <v>83.92307692</v>
      </c>
      <c r="P2401">
        <v>44.319135699999997</v>
      </c>
      <c r="Q2401">
        <v>5.9548609999999997E-3</v>
      </c>
      <c r="R2401" t="s">
        <v>1041</v>
      </c>
      <c r="S2401">
        <v>0.24848142000000001</v>
      </c>
    </row>
    <row r="2402" spans="1:19" x14ac:dyDescent="0.25">
      <c r="A2402" t="s">
        <v>22</v>
      </c>
      <c r="B2402" t="s">
        <v>924</v>
      </c>
      <c r="C2402">
        <v>15</v>
      </c>
      <c r="D2402" t="s">
        <v>23</v>
      </c>
      <c r="E2402" t="s">
        <v>95</v>
      </c>
      <c r="F2402" t="s">
        <v>111</v>
      </c>
      <c r="G2402" t="s">
        <v>121</v>
      </c>
      <c r="H2402" t="s">
        <v>112</v>
      </c>
      <c r="J2402">
        <v>1</v>
      </c>
      <c r="K2402">
        <v>1</v>
      </c>
      <c r="L2402">
        <v>94.97142857</v>
      </c>
      <c r="M2402">
        <v>24.31591813</v>
      </c>
      <c r="N2402">
        <v>0.122951111</v>
      </c>
      <c r="O2402">
        <v>65.09375</v>
      </c>
      <c r="P2402">
        <v>37.895352600000002</v>
      </c>
      <c r="Q2402">
        <v>2.2882677779999998</v>
      </c>
      <c r="R2402" t="s">
        <v>1041</v>
      </c>
      <c r="S2402">
        <v>1.8206694999999999</v>
      </c>
    </row>
    <row r="2403" spans="1:19" x14ac:dyDescent="0.25">
      <c r="A2403" t="s">
        <v>22</v>
      </c>
      <c r="B2403" t="s">
        <v>924</v>
      </c>
      <c r="C2403">
        <v>16</v>
      </c>
      <c r="D2403" t="s">
        <v>23</v>
      </c>
      <c r="E2403" t="s">
        <v>95</v>
      </c>
      <c r="F2403" t="s">
        <v>111</v>
      </c>
      <c r="G2403" t="s">
        <v>121</v>
      </c>
      <c r="H2403" t="s">
        <v>239</v>
      </c>
      <c r="J2403">
        <v>1</v>
      </c>
      <c r="K2403">
        <v>1</v>
      </c>
      <c r="L2403">
        <v>94.97142857</v>
      </c>
      <c r="M2403">
        <v>24.31591813</v>
      </c>
      <c r="N2403">
        <v>0.122951111</v>
      </c>
      <c r="O2403">
        <v>100.45454549999999</v>
      </c>
      <c r="P2403">
        <v>26.754810689999999</v>
      </c>
      <c r="Q2403">
        <v>0.75829999999999997</v>
      </c>
      <c r="R2403" t="s">
        <v>1041</v>
      </c>
      <c r="S2403">
        <v>1.857070999999999E-2</v>
      </c>
    </row>
    <row r="2404" spans="1:19" x14ac:dyDescent="0.25">
      <c r="A2404" t="s">
        <v>22</v>
      </c>
      <c r="B2404" t="s">
        <v>924</v>
      </c>
      <c r="C2404">
        <v>17</v>
      </c>
      <c r="D2404" t="s">
        <v>23</v>
      </c>
      <c r="E2404" t="s">
        <v>95</v>
      </c>
      <c r="F2404" t="s">
        <v>111</v>
      </c>
      <c r="G2404" t="s">
        <v>121</v>
      </c>
      <c r="H2404" t="s">
        <v>248</v>
      </c>
      <c r="J2404">
        <v>1</v>
      </c>
      <c r="K2404">
        <v>5</v>
      </c>
      <c r="L2404">
        <v>94.97142857</v>
      </c>
      <c r="M2404">
        <v>24.31591813</v>
      </c>
      <c r="N2404">
        <v>0.122951111</v>
      </c>
      <c r="O2404">
        <v>83.92307692</v>
      </c>
      <c r="P2404">
        <v>44.319135699999997</v>
      </c>
      <c r="Q2404">
        <v>5.9548609999999997E-3</v>
      </c>
      <c r="R2404" t="s">
        <v>1041</v>
      </c>
      <c r="S2404">
        <v>0.21032862000000002</v>
      </c>
    </row>
    <row r="2405" spans="1:19" x14ac:dyDescent="0.25">
      <c r="A2405" t="s">
        <v>22</v>
      </c>
      <c r="B2405" t="s">
        <v>925</v>
      </c>
      <c r="C2405">
        <v>15</v>
      </c>
      <c r="D2405" t="s">
        <v>23</v>
      </c>
      <c r="E2405" t="s">
        <v>95</v>
      </c>
      <c r="F2405" t="s">
        <v>112</v>
      </c>
      <c r="G2405" t="s">
        <v>103</v>
      </c>
      <c r="H2405" t="s">
        <v>103</v>
      </c>
      <c r="J2405">
        <v>0</v>
      </c>
      <c r="K2405">
        <v>3</v>
      </c>
      <c r="L2405">
        <v>65.09375</v>
      </c>
      <c r="M2405">
        <v>37.895352600000002</v>
      </c>
      <c r="N2405">
        <v>2.2882677779999998</v>
      </c>
      <c r="O2405">
        <v>98.291666669999998</v>
      </c>
      <c r="P2405">
        <v>30.315130790000001</v>
      </c>
      <c r="Q2405">
        <v>5.0803484000000003E-2</v>
      </c>
      <c r="R2405" t="s">
        <v>1041</v>
      </c>
      <c r="S2405">
        <v>1.7825167</v>
      </c>
    </row>
    <row r="2406" spans="1:19" x14ac:dyDescent="0.25">
      <c r="A2406" t="s">
        <v>22</v>
      </c>
      <c r="B2406" t="s">
        <v>925</v>
      </c>
      <c r="C2406">
        <v>16</v>
      </c>
      <c r="D2406" t="s">
        <v>23</v>
      </c>
      <c r="E2406" t="s">
        <v>95</v>
      </c>
      <c r="F2406" t="s">
        <v>112</v>
      </c>
      <c r="G2406" t="s">
        <v>103</v>
      </c>
      <c r="H2406" t="s">
        <v>113</v>
      </c>
      <c r="J2406">
        <v>0</v>
      </c>
      <c r="K2406">
        <v>2</v>
      </c>
      <c r="L2406">
        <v>65.09375</v>
      </c>
      <c r="M2406">
        <v>37.895352600000002</v>
      </c>
      <c r="N2406">
        <v>2.2882677779999998</v>
      </c>
      <c r="O2406">
        <v>83.757575759999995</v>
      </c>
      <c r="P2406">
        <v>22.60997987</v>
      </c>
      <c r="Q2406">
        <v>0.72884000000000004</v>
      </c>
      <c r="R2406" t="s">
        <v>1041</v>
      </c>
      <c r="S2406">
        <v>1.9981640000000001</v>
      </c>
    </row>
    <row r="2407" spans="1:19" x14ac:dyDescent="0.25">
      <c r="A2407" t="s">
        <v>22</v>
      </c>
      <c r="B2407" t="s">
        <v>925</v>
      </c>
      <c r="C2407">
        <v>17</v>
      </c>
      <c r="D2407" t="s">
        <v>23</v>
      </c>
      <c r="E2407" t="s">
        <v>95</v>
      </c>
      <c r="F2407" t="s">
        <v>112</v>
      </c>
      <c r="G2407" t="s">
        <v>103</v>
      </c>
      <c r="H2407" t="s">
        <v>247</v>
      </c>
      <c r="J2407">
        <v>0</v>
      </c>
      <c r="K2407">
        <v>1</v>
      </c>
      <c r="L2407">
        <v>65.09375</v>
      </c>
      <c r="M2407">
        <v>37.895352600000002</v>
      </c>
      <c r="N2407">
        <v>2.2882677779999998</v>
      </c>
      <c r="O2407">
        <v>65.791044779999993</v>
      </c>
      <c r="P2407">
        <v>22.94519201</v>
      </c>
      <c r="Q2407">
        <v>8.1320334999999994E-2</v>
      </c>
      <c r="R2407" t="s">
        <v>1041</v>
      </c>
      <c r="S2407">
        <v>2.0383208499999999</v>
      </c>
    </row>
    <row r="2408" spans="1:19" x14ac:dyDescent="0.25">
      <c r="A2408" t="s">
        <v>22</v>
      </c>
      <c r="B2408" t="s">
        <v>925</v>
      </c>
      <c r="C2408">
        <v>18</v>
      </c>
      <c r="D2408" t="s">
        <v>23</v>
      </c>
      <c r="E2408" t="s">
        <v>95</v>
      </c>
      <c r="F2408" t="s">
        <v>112</v>
      </c>
      <c r="G2408" t="s">
        <v>103</v>
      </c>
      <c r="H2408" t="s">
        <v>248</v>
      </c>
      <c r="J2408">
        <v>0</v>
      </c>
      <c r="K2408">
        <v>3</v>
      </c>
      <c r="L2408">
        <v>65.09375</v>
      </c>
      <c r="M2408">
        <v>37.895352600000002</v>
      </c>
      <c r="N2408">
        <v>2.2882677779999998</v>
      </c>
      <c r="O2408">
        <v>83.92307692</v>
      </c>
      <c r="P2408">
        <v>44.319135699999997</v>
      </c>
      <c r="Q2408">
        <v>5.9548609999999997E-3</v>
      </c>
      <c r="R2408" t="s">
        <v>1041</v>
      </c>
      <c r="S2408">
        <v>2.03099812</v>
      </c>
    </row>
    <row r="2409" spans="1:19" x14ac:dyDescent="0.25">
      <c r="A2409" t="s">
        <v>24</v>
      </c>
      <c r="B2409" t="s">
        <v>926</v>
      </c>
      <c r="C2409">
        <v>15</v>
      </c>
      <c r="D2409" t="s">
        <v>25</v>
      </c>
      <c r="E2409" t="s">
        <v>95</v>
      </c>
      <c r="F2409" t="s">
        <v>105</v>
      </c>
      <c r="G2409" t="s">
        <v>121</v>
      </c>
      <c r="H2409" t="s">
        <v>111</v>
      </c>
      <c r="J2409">
        <v>0</v>
      </c>
      <c r="K2409">
        <v>1</v>
      </c>
      <c r="L2409">
        <v>67.5</v>
      </c>
      <c r="M2409">
        <v>47.937235809999997</v>
      </c>
      <c r="N2409">
        <v>0.41599678000000001</v>
      </c>
      <c r="O2409">
        <v>94.97142857</v>
      </c>
      <c r="P2409">
        <v>24.31591813</v>
      </c>
      <c r="Q2409">
        <v>0.122951111</v>
      </c>
      <c r="R2409" t="s">
        <v>1041</v>
      </c>
      <c r="S2409">
        <v>1.7045267999999998</v>
      </c>
    </row>
    <row r="2410" spans="1:19" x14ac:dyDescent="0.25">
      <c r="A2410" t="s">
        <v>24</v>
      </c>
      <c r="B2410" t="s">
        <v>926</v>
      </c>
      <c r="C2410">
        <v>16</v>
      </c>
      <c r="D2410" t="s">
        <v>25</v>
      </c>
      <c r="E2410" t="s">
        <v>95</v>
      </c>
      <c r="F2410" t="s">
        <v>105</v>
      </c>
      <c r="G2410" t="s">
        <v>121</v>
      </c>
      <c r="H2410" t="s">
        <v>104</v>
      </c>
      <c r="J2410">
        <v>0</v>
      </c>
      <c r="K2410">
        <v>1</v>
      </c>
      <c r="L2410">
        <v>67.5</v>
      </c>
      <c r="M2410">
        <v>47.937235809999997</v>
      </c>
      <c r="N2410">
        <v>0.41599678000000001</v>
      </c>
      <c r="O2410">
        <v>113.9375</v>
      </c>
      <c r="P2410">
        <v>33.375507550000002</v>
      </c>
      <c r="Q2410">
        <v>2.4262999999999999</v>
      </c>
      <c r="R2410" t="s">
        <v>1041</v>
      </c>
      <c r="S2410">
        <v>1.6881130999999998</v>
      </c>
    </row>
    <row r="2411" spans="1:19" x14ac:dyDescent="0.25">
      <c r="A2411" t="s">
        <v>24</v>
      </c>
      <c r="B2411" t="s">
        <v>927</v>
      </c>
      <c r="C2411">
        <v>15</v>
      </c>
      <c r="D2411" t="s">
        <v>25</v>
      </c>
      <c r="E2411" t="s">
        <v>95</v>
      </c>
      <c r="F2411" t="s">
        <v>112</v>
      </c>
      <c r="G2411" t="s">
        <v>112</v>
      </c>
      <c r="H2411" t="s">
        <v>112</v>
      </c>
      <c r="J2411">
        <v>0</v>
      </c>
      <c r="K2411">
        <v>1</v>
      </c>
      <c r="L2411">
        <v>65.09375</v>
      </c>
      <c r="M2411">
        <v>37.895352600000002</v>
      </c>
      <c r="N2411">
        <v>2.2882677779999998</v>
      </c>
      <c r="O2411">
        <v>65.09375</v>
      </c>
      <c r="P2411">
        <v>37.895352600000002</v>
      </c>
      <c r="Q2411">
        <v>2.2882677779999998</v>
      </c>
      <c r="R2411" t="s">
        <v>1041</v>
      </c>
      <c r="S2411">
        <v>0</v>
      </c>
    </row>
    <row r="2412" spans="1:19" x14ac:dyDescent="0.25">
      <c r="A2412" t="s">
        <v>26</v>
      </c>
      <c r="B2412" t="s">
        <v>928</v>
      </c>
      <c r="C2412">
        <v>15</v>
      </c>
      <c r="D2412" t="s">
        <v>27</v>
      </c>
      <c r="E2412" t="s">
        <v>95</v>
      </c>
      <c r="F2412" t="s">
        <v>105</v>
      </c>
      <c r="G2412" t="s">
        <v>102</v>
      </c>
      <c r="H2412" t="s">
        <v>102</v>
      </c>
      <c r="J2412">
        <v>0</v>
      </c>
      <c r="K2412">
        <v>1</v>
      </c>
      <c r="L2412">
        <v>67.5</v>
      </c>
      <c r="M2412">
        <v>47.937235809999997</v>
      </c>
      <c r="N2412">
        <v>0.41599678000000001</v>
      </c>
      <c r="O2412">
        <v>84.740740740000007</v>
      </c>
      <c r="P2412">
        <v>29.167014049999999</v>
      </c>
      <c r="Q2412">
        <v>1.1169849999999999</v>
      </c>
      <c r="R2412" t="s">
        <v>1041</v>
      </c>
      <c r="S2412">
        <v>0.93788479999999974</v>
      </c>
    </row>
    <row r="2413" spans="1:19" x14ac:dyDescent="0.25">
      <c r="A2413" t="s">
        <v>26</v>
      </c>
      <c r="B2413" t="s">
        <v>928</v>
      </c>
      <c r="C2413">
        <v>16</v>
      </c>
      <c r="D2413" t="s">
        <v>27</v>
      </c>
      <c r="E2413" t="s">
        <v>95</v>
      </c>
      <c r="F2413" t="s">
        <v>105</v>
      </c>
      <c r="G2413" t="s">
        <v>102</v>
      </c>
      <c r="H2413" t="s">
        <v>111</v>
      </c>
      <c r="J2413">
        <v>0</v>
      </c>
      <c r="K2413">
        <v>1</v>
      </c>
      <c r="L2413">
        <v>67.5</v>
      </c>
      <c r="M2413">
        <v>47.937235809999997</v>
      </c>
      <c r="N2413">
        <v>0.41599678000000001</v>
      </c>
      <c r="O2413">
        <v>94.97142857</v>
      </c>
      <c r="P2413">
        <v>24.31591813</v>
      </c>
      <c r="Q2413">
        <v>0.122951111</v>
      </c>
      <c r="R2413" t="s">
        <v>1041</v>
      </c>
      <c r="S2413">
        <v>1.7045267999999998</v>
      </c>
    </row>
    <row r="2414" spans="1:19" x14ac:dyDescent="0.25">
      <c r="A2414" t="s">
        <v>26</v>
      </c>
      <c r="B2414" t="s">
        <v>928</v>
      </c>
      <c r="C2414">
        <v>17</v>
      </c>
      <c r="D2414" t="s">
        <v>27</v>
      </c>
      <c r="E2414" t="s">
        <v>95</v>
      </c>
      <c r="F2414" t="s">
        <v>105</v>
      </c>
      <c r="G2414" t="s">
        <v>102</v>
      </c>
      <c r="H2414" t="s">
        <v>242</v>
      </c>
      <c r="J2414">
        <v>0</v>
      </c>
      <c r="K2414">
        <v>1</v>
      </c>
      <c r="L2414">
        <v>67.5</v>
      </c>
      <c r="M2414">
        <v>47.937235809999997</v>
      </c>
      <c r="N2414">
        <v>0.41599678000000001</v>
      </c>
      <c r="O2414">
        <v>139.375</v>
      </c>
      <c r="P2414">
        <v>23.713465920000001</v>
      </c>
      <c r="Q2414" t="s">
        <v>114</v>
      </c>
      <c r="R2414" t="s">
        <v>1041</v>
      </c>
      <c r="S2414" t="s">
        <v>114</v>
      </c>
    </row>
    <row r="2415" spans="1:19" x14ac:dyDescent="0.25">
      <c r="A2415" t="s">
        <v>26</v>
      </c>
      <c r="B2415" t="s">
        <v>929</v>
      </c>
      <c r="C2415">
        <v>15</v>
      </c>
      <c r="D2415" t="s">
        <v>27</v>
      </c>
      <c r="E2415" t="s">
        <v>95</v>
      </c>
      <c r="F2415" t="s">
        <v>110</v>
      </c>
      <c r="G2415" t="s">
        <v>111</v>
      </c>
      <c r="H2415" t="s">
        <v>111</v>
      </c>
      <c r="J2415">
        <v>0</v>
      </c>
      <c r="K2415">
        <v>1</v>
      </c>
      <c r="L2415">
        <v>73.260869569999997</v>
      </c>
      <c r="M2415">
        <v>34.453830549999999</v>
      </c>
      <c r="N2415">
        <v>1.058333333</v>
      </c>
      <c r="O2415">
        <v>94.97142857</v>
      </c>
      <c r="P2415">
        <v>24.31591813</v>
      </c>
      <c r="Q2415">
        <v>0.122951111</v>
      </c>
      <c r="R2415" t="s">
        <v>1041</v>
      </c>
      <c r="S2415">
        <v>0.5184628</v>
      </c>
    </row>
    <row r="2416" spans="1:19" x14ac:dyDescent="0.25">
      <c r="A2416" t="s">
        <v>26</v>
      </c>
      <c r="B2416" t="s">
        <v>929</v>
      </c>
      <c r="C2416">
        <v>16</v>
      </c>
      <c r="D2416" t="s">
        <v>27</v>
      </c>
      <c r="E2416" t="s">
        <v>95</v>
      </c>
      <c r="F2416" t="s">
        <v>110</v>
      </c>
      <c r="G2416" t="s">
        <v>111</v>
      </c>
      <c r="H2416" t="s">
        <v>242</v>
      </c>
      <c r="J2416">
        <v>0</v>
      </c>
      <c r="K2416">
        <v>8</v>
      </c>
      <c r="L2416">
        <v>73.260869569999997</v>
      </c>
      <c r="M2416">
        <v>34.453830549999999</v>
      </c>
      <c r="N2416">
        <v>1.058333333</v>
      </c>
      <c r="O2416">
        <v>139.375</v>
      </c>
      <c r="P2416">
        <v>23.713465920000001</v>
      </c>
      <c r="Q2416" t="s">
        <v>114</v>
      </c>
      <c r="R2416" t="s">
        <v>1041</v>
      </c>
      <c r="S2416" t="s">
        <v>114</v>
      </c>
    </row>
    <row r="2417" spans="1:19" x14ac:dyDescent="0.25">
      <c r="A2417" t="s">
        <v>26</v>
      </c>
      <c r="B2417" t="s">
        <v>930</v>
      </c>
      <c r="C2417">
        <v>15</v>
      </c>
      <c r="D2417" t="s">
        <v>27</v>
      </c>
      <c r="E2417" t="s">
        <v>95</v>
      </c>
      <c r="F2417" t="s">
        <v>111</v>
      </c>
      <c r="G2417" t="s">
        <v>102</v>
      </c>
      <c r="H2417" t="s">
        <v>244</v>
      </c>
      <c r="J2417">
        <v>0</v>
      </c>
      <c r="K2417">
        <v>1</v>
      </c>
      <c r="L2417">
        <v>94.97142857</v>
      </c>
      <c r="M2417">
        <v>24.31591813</v>
      </c>
      <c r="N2417">
        <v>0.122951111</v>
      </c>
      <c r="O2417">
        <v>75</v>
      </c>
      <c r="P2417">
        <v>28.80614499</v>
      </c>
      <c r="Q2417">
        <v>2.3860428570000001</v>
      </c>
      <c r="R2417" t="s">
        <v>1041</v>
      </c>
      <c r="S2417">
        <v>0.12649958</v>
      </c>
    </row>
    <row r="2418" spans="1:19" x14ac:dyDescent="0.25">
      <c r="A2418" t="s">
        <v>26</v>
      </c>
      <c r="B2418" t="s">
        <v>930</v>
      </c>
      <c r="C2418">
        <v>16</v>
      </c>
      <c r="D2418" t="s">
        <v>27</v>
      </c>
      <c r="E2418" t="s">
        <v>95</v>
      </c>
      <c r="F2418" t="s">
        <v>111</v>
      </c>
      <c r="G2418" t="s">
        <v>102</v>
      </c>
      <c r="H2418" t="s">
        <v>236</v>
      </c>
      <c r="J2418">
        <v>0</v>
      </c>
      <c r="K2418">
        <v>1</v>
      </c>
      <c r="L2418">
        <v>94.97142857</v>
      </c>
      <c r="M2418">
        <v>24.31591813</v>
      </c>
      <c r="N2418">
        <v>0.122951111</v>
      </c>
      <c r="O2418">
        <v>113.33333330000001</v>
      </c>
      <c r="P2418">
        <v>26.41632581</v>
      </c>
      <c r="Q2418">
        <v>1.6844570160000001</v>
      </c>
      <c r="R2418" t="s">
        <v>1041</v>
      </c>
      <c r="S2418">
        <v>0.30122219</v>
      </c>
    </row>
    <row r="2419" spans="1:19" x14ac:dyDescent="0.25">
      <c r="A2419" t="s">
        <v>26</v>
      </c>
      <c r="B2419" t="s">
        <v>930</v>
      </c>
      <c r="C2419">
        <v>17</v>
      </c>
      <c r="D2419" t="s">
        <v>27</v>
      </c>
      <c r="E2419" t="s">
        <v>95</v>
      </c>
      <c r="F2419" t="s">
        <v>111</v>
      </c>
      <c r="G2419" t="s">
        <v>102</v>
      </c>
      <c r="H2419" t="s">
        <v>102</v>
      </c>
      <c r="J2419">
        <v>0</v>
      </c>
      <c r="K2419">
        <v>1</v>
      </c>
      <c r="L2419">
        <v>94.97142857</v>
      </c>
      <c r="M2419">
        <v>24.31591813</v>
      </c>
      <c r="N2419">
        <v>0.122951111</v>
      </c>
      <c r="O2419">
        <v>84.740740740000007</v>
      </c>
      <c r="P2419">
        <v>29.167014049999999</v>
      </c>
      <c r="Q2419">
        <v>1.1169849999999999</v>
      </c>
      <c r="R2419" t="s">
        <v>1041</v>
      </c>
      <c r="S2419">
        <v>0.76664200000000005</v>
      </c>
    </row>
    <row r="2420" spans="1:19" x14ac:dyDescent="0.25">
      <c r="A2420" t="s">
        <v>26</v>
      </c>
      <c r="B2420" t="s">
        <v>930</v>
      </c>
      <c r="C2420">
        <v>18</v>
      </c>
      <c r="D2420" t="s">
        <v>27</v>
      </c>
      <c r="E2420" t="s">
        <v>95</v>
      </c>
      <c r="F2420" t="s">
        <v>111</v>
      </c>
      <c r="G2420" t="s">
        <v>102</v>
      </c>
      <c r="H2420" t="s">
        <v>242</v>
      </c>
      <c r="J2420">
        <v>0</v>
      </c>
      <c r="K2420">
        <v>3</v>
      </c>
      <c r="L2420">
        <v>94.97142857</v>
      </c>
      <c r="M2420">
        <v>24.31591813</v>
      </c>
      <c r="N2420">
        <v>0.122951111</v>
      </c>
      <c r="O2420">
        <v>139.375</v>
      </c>
      <c r="P2420">
        <v>23.713465920000001</v>
      </c>
      <c r="Q2420" t="s">
        <v>114</v>
      </c>
      <c r="R2420" t="s">
        <v>1041</v>
      </c>
      <c r="S2420" t="s">
        <v>114</v>
      </c>
    </row>
    <row r="2421" spans="1:19" x14ac:dyDescent="0.25">
      <c r="A2421" t="s">
        <v>28</v>
      </c>
      <c r="B2421" t="s">
        <v>931</v>
      </c>
      <c r="C2421">
        <v>15</v>
      </c>
      <c r="D2421" t="s">
        <v>29</v>
      </c>
      <c r="E2421" t="s">
        <v>94</v>
      </c>
      <c r="F2421" t="s">
        <v>113</v>
      </c>
      <c r="G2421" t="s">
        <v>113</v>
      </c>
      <c r="H2421" t="s">
        <v>113</v>
      </c>
      <c r="J2421">
        <v>0</v>
      </c>
      <c r="K2421">
        <v>2</v>
      </c>
      <c r="L2421">
        <v>83.757575759999995</v>
      </c>
      <c r="M2421">
        <v>22.60997987</v>
      </c>
      <c r="N2421">
        <v>0.72884000000000004</v>
      </c>
      <c r="O2421">
        <v>83.757575759999995</v>
      </c>
      <c r="P2421">
        <v>22.60997987</v>
      </c>
      <c r="Q2421">
        <v>0.72884000000000004</v>
      </c>
      <c r="R2421" t="s">
        <v>1041</v>
      </c>
      <c r="S2421">
        <v>0</v>
      </c>
    </row>
    <row r="2422" spans="1:19" x14ac:dyDescent="0.25">
      <c r="A2422" t="s">
        <v>28</v>
      </c>
      <c r="B2422" t="s">
        <v>931</v>
      </c>
      <c r="C2422">
        <v>16</v>
      </c>
      <c r="D2422" t="s">
        <v>29</v>
      </c>
      <c r="E2422" t="s">
        <v>94</v>
      </c>
      <c r="F2422" t="s">
        <v>113</v>
      </c>
      <c r="G2422" t="s">
        <v>113</v>
      </c>
      <c r="H2422" t="s">
        <v>248</v>
      </c>
      <c r="J2422">
        <v>0</v>
      </c>
      <c r="K2422">
        <v>12</v>
      </c>
      <c r="L2422">
        <v>83.757575759999995</v>
      </c>
      <c r="M2422">
        <v>22.60997987</v>
      </c>
      <c r="N2422">
        <v>0.72884000000000004</v>
      </c>
      <c r="O2422">
        <v>83.92307692</v>
      </c>
      <c r="P2422">
        <v>44.319135699999997</v>
      </c>
      <c r="Q2422">
        <v>5.9548609999999997E-3</v>
      </c>
      <c r="R2422" t="s">
        <v>1041</v>
      </c>
      <c r="S2422">
        <v>3.2834119999999994E-2</v>
      </c>
    </row>
    <row r="2423" spans="1:19" x14ac:dyDescent="0.25">
      <c r="A2423" t="s">
        <v>28</v>
      </c>
      <c r="B2423" t="s">
        <v>931</v>
      </c>
      <c r="C2423">
        <v>17</v>
      </c>
      <c r="D2423" t="s">
        <v>29</v>
      </c>
      <c r="E2423" t="s">
        <v>94</v>
      </c>
      <c r="F2423" t="s">
        <v>113</v>
      </c>
      <c r="G2423" t="s">
        <v>113</v>
      </c>
      <c r="H2423" t="s">
        <v>247</v>
      </c>
      <c r="J2423">
        <v>0</v>
      </c>
      <c r="K2423">
        <v>1</v>
      </c>
      <c r="L2423">
        <v>83.757575759999995</v>
      </c>
      <c r="M2423">
        <v>22.60997987</v>
      </c>
      <c r="N2423">
        <v>0.72884000000000004</v>
      </c>
      <c r="O2423">
        <v>65.791044779999993</v>
      </c>
      <c r="P2423">
        <v>22.94519201</v>
      </c>
      <c r="Q2423">
        <v>8.1320334999999994E-2</v>
      </c>
      <c r="R2423" t="s">
        <v>1041</v>
      </c>
      <c r="S2423">
        <v>4.0156849999999994E-2</v>
      </c>
    </row>
    <row r="2424" spans="1:19" x14ac:dyDescent="0.25">
      <c r="A2424" t="s">
        <v>28</v>
      </c>
      <c r="B2424" t="s">
        <v>931</v>
      </c>
      <c r="C2424">
        <v>18</v>
      </c>
      <c r="D2424" t="s">
        <v>29</v>
      </c>
      <c r="E2424" t="s">
        <v>94</v>
      </c>
      <c r="F2424" t="s">
        <v>113</v>
      </c>
      <c r="G2424" t="s">
        <v>113</v>
      </c>
      <c r="H2424" t="s">
        <v>239</v>
      </c>
      <c r="J2424">
        <v>0</v>
      </c>
      <c r="K2424">
        <v>1</v>
      </c>
      <c r="L2424">
        <v>83.757575759999995</v>
      </c>
      <c r="M2424">
        <v>22.60997987</v>
      </c>
      <c r="N2424">
        <v>0.72884000000000004</v>
      </c>
      <c r="O2424">
        <v>100.45454549999999</v>
      </c>
      <c r="P2424">
        <v>26.754810689999999</v>
      </c>
      <c r="Q2424">
        <v>0.75829999999999997</v>
      </c>
      <c r="R2424" t="s">
        <v>1041</v>
      </c>
      <c r="S2424">
        <v>0.19606521000000002</v>
      </c>
    </row>
    <row r="2425" spans="1:19" x14ac:dyDescent="0.25">
      <c r="A2425" t="s">
        <v>28</v>
      </c>
      <c r="B2425" t="s">
        <v>932</v>
      </c>
      <c r="C2425">
        <v>15</v>
      </c>
      <c r="D2425" t="s">
        <v>29</v>
      </c>
      <c r="E2425" t="s">
        <v>94</v>
      </c>
      <c r="F2425" t="s">
        <v>103</v>
      </c>
      <c r="G2425" t="s">
        <v>102</v>
      </c>
      <c r="H2425" t="s">
        <v>102</v>
      </c>
      <c r="J2425">
        <v>0</v>
      </c>
      <c r="K2425">
        <v>1</v>
      </c>
      <c r="L2425">
        <v>98.291666669999998</v>
      </c>
      <c r="M2425">
        <v>30.315130790000001</v>
      </c>
      <c r="N2425">
        <v>5.0803484000000003E-2</v>
      </c>
      <c r="O2425">
        <v>84.740740740000007</v>
      </c>
      <c r="P2425">
        <v>29.167014049999999</v>
      </c>
      <c r="Q2425">
        <v>1.1169849999999999</v>
      </c>
      <c r="R2425" t="s">
        <v>1041</v>
      </c>
      <c r="S2425">
        <v>0.72848920000000006</v>
      </c>
    </row>
    <row r="2426" spans="1:19" x14ac:dyDescent="0.25">
      <c r="A2426" t="s">
        <v>28</v>
      </c>
      <c r="B2426" t="s">
        <v>932</v>
      </c>
      <c r="C2426">
        <v>16</v>
      </c>
      <c r="D2426" t="s">
        <v>29</v>
      </c>
      <c r="E2426" t="s">
        <v>94</v>
      </c>
      <c r="F2426" t="s">
        <v>103</v>
      </c>
      <c r="G2426" t="s">
        <v>102</v>
      </c>
      <c r="H2426" t="s">
        <v>103</v>
      </c>
      <c r="J2426">
        <v>0</v>
      </c>
      <c r="K2426">
        <v>2</v>
      </c>
      <c r="L2426">
        <v>98.291666669999998</v>
      </c>
      <c r="M2426">
        <v>30.315130790000001</v>
      </c>
      <c r="N2426">
        <v>5.0803484000000003E-2</v>
      </c>
      <c r="O2426">
        <v>98.291666669999998</v>
      </c>
      <c r="P2426">
        <v>30.315130790000001</v>
      </c>
      <c r="Q2426">
        <v>5.0803484000000003E-2</v>
      </c>
      <c r="R2426" t="s">
        <v>1041</v>
      </c>
      <c r="S2426">
        <v>0</v>
      </c>
    </row>
    <row r="2427" spans="1:19" x14ac:dyDescent="0.25">
      <c r="A2427" t="s">
        <v>28</v>
      </c>
      <c r="B2427" t="s">
        <v>933</v>
      </c>
      <c r="C2427">
        <v>15</v>
      </c>
      <c r="D2427" t="s">
        <v>29</v>
      </c>
      <c r="E2427" t="s">
        <v>94</v>
      </c>
      <c r="F2427" t="s">
        <v>111</v>
      </c>
      <c r="G2427" t="s">
        <v>121</v>
      </c>
      <c r="H2427" t="s">
        <v>247</v>
      </c>
      <c r="J2427">
        <v>0</v>
      </c>
      <c r="K2427">
        <v>1</v>
      </c>
      <c r="L2427">
        <v>94.97142857</v>
      </c>
      <c r="M2427">
        <v>24.31591813</v>
      </c>
      <c r="N2427">
        <v>0.122951111</v>
      </c>
      <c r="O2427">
        <v>65.791044779999993</v>
      </c>
      <c r="P2427">
        <v>22.94519201</v>
      </c>
      <c r="Q2427">
        <v>8.1320334999999994E-2</v>
      </c>
      <c r="R2427" t="s">
        <v>1041</v>
      </c>
      <c r="S2427">
        <v>0.21765135000000002</v>
      </c>
    </row>
    <row r="2428" spans="1:19" x14ac:dyDescent="0.25">
      <c r="A2428" t="s">
        <v>28</v>
      </c>
      <c r="B2428" t="s">
        <v>933</v>
      </c>
      <c r="C2428">
        <v>16</v>
      </c>
      <c r="D2428" t="s">
        <v>29</v>
      </c>
      <c r="E2428" t="s">
        <v>94</v>
      </c>
      <c r="F2428" t="s">
        <v>111</v>
      </c>
      <c r="G2428" t="s">
        <v>121</v>
      </c>
      <c r="H2428" t="s">
        <v>113</v>
      </c>
      <c r="J2428">
        <v>0</v>
      </c>
      <c r="K2428">
        <v>3</v>
      </c>
      <c r="L2428">
        <v>94.97142857</v>
      </c>
      <c r="M2428">
        <v>24.31591813</v>
      </c>
      <c r="N2428">
        <v>0.122951111</v>
      </c>
      <c r="O2428">
        <v>83.757575759999995</v>
      </c>
      <c r="P2428">
        <v>22.60997987</v>
      </c>
      <c r="Q2428">
        <v>0.72884000000000004</v>
      </c>
      <c r="R2428" t="s">
        <v>1041</v>
      </c>
      <c r="S2428">
        <v>0.17749450000000003</v>
      </c>
    </row>
    <row r="2429" spans="1:19" x14ac:dyDescent="0.25">
      <c r="A2429" t="s">
        <v>28</v>
      </c>
      <c r="B2429" t="s">
        <v>933</v>
      </c>
      <c r="C2429">
        <v>17</v>
      </c>
      <c r="D2429" t="s">
        <v>29</v>
      </c>
      <c r="E2429" t="s">
        <v>94</v>
      </c>
      <c r="F2429" t="s">
        <v>111</v>
      </c>
      <c r="G2429" t="s">
        <v>121</v>
      </c>
      <c r="H2429" t="s">
        <v>248</v>
      </c>
      <c r="J2429">
        <v>0</v>
      </c>
      <c r="K2429">
        <v>1</v>
      </c>
      <c r="L2429">
        <v>94.97142857</v>
      </c>
      <c r="M2429">
        <v>24.31591813</v>
      </c>
      <c r="N2429">
        <v>0.122951111</v>
      </c>
      <c r="O2429">
        <v>83.92307692</v>
      </c>
      <c r="P2429">
        <v>44.319135699999997</v>
      </c>
      <c r="Q2429">
        <v>5.9548609999999997E-3</v>
      </c>
      <c r="R2429" t="s">
        <v>1041</v>
      </c>
      <c r="S2429">
        <v>0.21032862000000002</v>
      </c>
    </row>
    <row r="2430" spans="1:19" x14ac:dyDescent="0.25">
      <c r="A2430" t="s">
        <v>28</v>
      </c>
      <c r="B2430" t="s">
        <v>934</v>
      </c>
      <c r="C2430">
        <v>15</v>
      </c>
      <c r="D2430" t="s">
        <v>29</v>
      </c>
      <c r="E2430" t="s">
        <v>94</v>
      </c>
      <c r="F2430" t="s">
        <v>112</v>
      </c>
      <c r="G2430" t="s">
        <v>121</v>
      </c>
      <c r="H2430" t="s">
        <v>103</v>
      </c>
      <c r="J2430">
        <v>0</v>
      </c>
      <c r="K2430">
        <v>4</v>
      </c>
      <c r="L2430">
        <v>65.09375</v>
      </c>
      <c r="M2430">
        <v>37.895352600000002</v>
      </c>
      <c r="N2430">
        <v>2.2882677779999998</v>
      </c>
      <c r="O2430">
        <v>98.291666669999998</v>
      </c>
      <c r="P2430">
        <v>30.315130790000001</v>
      </c>
      <c r="Q2430">
        <v>5.0803484000000003E-2</v>
      </c>
      <c r="R2430" t="s">
        <v>1041</v>
      </c>
      <c r="S2430">
        <v>1.7825167</v>
      </c>
    </row>
    <row r="2431" spans="1:19" x14ac:dyDescent="0.25">
      <c r="A2431" t="s">
        <v>28</v>
      </c>
      <c r="B2431" t="s">
        <v>934</v>
      </c>
      <c r="C2431">
        <v>16</v>
      </c>
      <c r="D2431" t="s">
        <v>29</v>
      </c>
      <c r="E2431" t="s">
        <v>94</v>
      </c>
      <c r="F2431" t="s">
        <v>112</v>
      </c>
      <c r="G2431" t="s">
        <v>121</v>
      </c>
      <c r="H2431" t="s">
        <v>113</v>
      </c>
      <c r="J2431">
        <v>0</v>
      </c>
      <c r="K2431">
        <v>6</v>
      </c>
      <c r="L2431">
        <v>65.09375</v>
      </c>
      <c r="M2431">
        <v>37.895352600000002</v>
      </c>
      <c r="N2431">
        <v>2.2882677779999998</v>
      </c>
      <c r="O2431">
        <v>83.757575759999995</v>
      </c>
      <c r="P2431">
        <v>22.60997987</v>
      </c>
      <c r="Q2431">
        <v>0.72884000000000004</v>
      </c>
      <c r="R2431" t="s">
        <v>1041</v>
      </c>
      <c r="S2431">
        <v>1.9981640000000001</v>
      </c>
    </row>
    <row r="2432" spans="1:19" x14ac:dyDescent="0.25">
      <c r="A2432" t="s">
        <v>28</v>
      </c>
      <c r="B2432" t="s">
        <v>934</v>
      </c>
      <c r="C2432">
        <v>17</v>
      </c>
      <c r="D2432" t="s">
        <v>29</v>
      </c>
      <c r="E2432" t="s">
        <v>94</v>
      </c>
      <c r="F2432" t="s">
        <v>112</v>
      </c>
      <c r="G2432" t="s">
        <v>121</v>
      </c>
      <c r="H2432" t="s">
        <v>248</v>
      </c>
      <c r="J2432">
        <v>0</v>
      </c>
      <c r="K2432">
        <v>3</v>
      </c>
      <c r="L2432">
        <v>65.09375</v>
      </c>
      <c r="M2432">
        <v>37.895352600000002</v>
      </c>
      <c r="N2432">
        <v>2.2882677779999998</v>
      </c>
      <c r="O2432">
        <v>83.92307692</v>
      </c>
      <c r="P2432">
        <v>44.319135699999997</v>
      </c>
      <c r="Q2432">
        <v>5.9548609999999997E-3</v>
      </c>
      <c r="R2432" t="s">
        <v>1041</v>
      </c>
      <c r="S2432">
        <v>2.03099812</v>
      </c>
    </row>
    <row r="2433" spans="1:19" x14ac:dyDescent="0.25">
      <c r="A2433" t="s">
        <v>30</v>
      </c>
      <c r="B2433" t="s">
        <v>935</v>
      </c>
      <c r="C2433">
        <v>15</v>
      </c>
      <c r="D2433" t="s">
        <v>31</v>
      </c>
      <c r="E2433" t="s">
        <v>95</v>
      </c>
      <c r="F2433" t="s">
        <v>113</v>
      </c>
      <c r="G2433" t="s">
        <v>121</v>
      </c>
      <c r="H2433" t="s">
        <v>113</v>
      </c>
      <c r="J2433">
        <v>0</v>
      </c>
      <c r="K2433">
        <v>1</v>
      </c>
      <c r="L2433">
        <v>83.757575759999995</v>
      </c>
      <c r="M2433">
        <v>22.60997987</v>
      </c>
      <c r="N2433">
        <v>0.72884000000000004</v>
      </c>
      <c r="O2433">
        <v>83.757575759999995</v>
      </c>
      <c r="P2433">
        <v>22.60997987</v>
      </c>
      <c r="Q2433">
        <v>0.72884000000000004</v>
      </c>
      <c r="R2433" t="s">
        <v>1041</v>
      </c>
      <c r="S2433">
        <v>0</v>
      </c>
    </row>
    <row r="2434" spans="1:19" x14ac:dyDescent="0.25">
      <c r="A2434" t="s">
        <v>30</v>
      </c>
      <c r="B2434" t="s">
        <v>935</v>
      </c>
      <c r="C2434">
        <v>16</v>
      </c>
      <c r="D2434" t="s">
        <v>31</v>
      </c>
      <c r="E2434" t="s">
        <v>95</v>
      </c>
      <c r="F2434" t="s">
        <v>113</v>
      </c>
      <c r="G2434" t="s">
        <v>121</v>
      </c>
      <c r="H2434" t="s">
        <v>103</v>
      </c>
      <c r="J2434">
        <v>0</v>
      </c>
      <c r="K2434">
        <v>2</v>
      </c>
      <c r="L2434">
        <v>83.757575759999995</v>
      </c>
      <c r="M2434">
        <v>22.60997987</v>
      </c>
      <c r="N2434">
        <v>0.72884000000000004</v>
      </c>
      <c r="O2434">
        <v>98.291666669999998</v>
      </c>
      <c r="P2434">
        <v>30.315130790000001</v>
      </c>
      <c r="Q2434">
        <v>5.0803484000000003E-2</v>
      </c>
      <c r="R2434" t="s">
        <v>1041</v>
      </c>
      <c r="S2434">
        <v>0.21564730000000001</v>
      </c>
    </row>
    <row r="2435" spans="1:19" x14ac:dyDescent="0.25">
      <c r="A2435" t="s">
        <v>30</v>
      </c>
      <c r="B2435" t="s">
        <v>935</v>
      </c>
      <c r="C2435">
        <v>17</v>
      </c>
      <c r="D2435" t="s">
        <v>31</v>
      </c>
      <c r="E2435" t="s">
        <v>95</v>
      </c>
      <c r="F2435" t="s">
        <v>113</v>
      </c>
      <c r="G2435" t="s">
        <v>121</v>
      </c>
      <c r="H2435" t="s">
        <v>248</v>
      </c>
      <c r="J2435">
        <v>0</v>
      </c>
      <c r="K2435">
        <v>9</v>
      </c>
      <c r="L2435">
        <v>83.757575759999995</v>
      </c>
      <c r="M2435">
        <v>22.60997987</v>
      </c>
      <c r="N2435">
        <v>0.72884000000000004</v>
      </c>
      <c r="O2435">
        <v>83.92307692</v>
      </c>
      <c r="P2435">
        <v>44.319135699999997</v>
      </c>
      <c r="Q2435">
        <v>5.9548609999999997E-3</v>
      </c>
      <c r="R2435" t="s">
        <v>1041</v>
      </c>
      <c r="S2435">
        <v>3.2834119999999994E-2</v>
      </c>
    </row>
    <row r="2436" spans="1:19" x14ac:dyDescent="0.25">
      <c r="A2436" t="s">
        <v>30</v>
      </c>
      <c r="B2436" t="s">
        <v>935</v>
      </c>
      <c r="C2436">
        <v>18</v>
      </c>
      <c r="D2436" t="s">
        <v>31</v>
      </c>
      <c r="E2436" t="s">
        <v>95</v>
      </c>
      <c r="F2436" t="s">
        <v>113</v>
      </c>
      <c r="G2436" t="s">
        <v>121</v>
      </c>
      <c r="H2436" t="s">
        <v>111</v>
      </c>
      <c r="J2436">
        <v>0</v>
      </c>
      <c r="K2436">
        <v>1</v>
      </c>
      <c r="L2436">
        <v>83.757575759999995</v>
      </c>
      <c r="M2436">
        <v>22.60997987</v>
      </c>
      <c r="N2436">
        <v>0.72884000000000004</v>
      </c>
      <c r="O2436">
        <v>94.97142857</v>
      </c>
      <c r="P2436">
        <v>24.31591813</v>
      </c>
      <c r="Q2436">
        <v>0.122951111</v>
      </c>
      <c r="R2436" t="s">
        <v>1041</v>
      </c>
      <c r="S2436">
        <v>0.17749450000000003</v>
      </c>
    </row>
    <row r="2437" spans="1:19" x14ac:dyDescent="0.25">
      <c r="A2437" t="s">
        <v>30</v>
      </c>
      <c r="B2437" t="s">
        <v>936</v>
      </c>
      <c r="C2437">
        <v>15</v>
      </c>
      <c r="D2437" t="s">
        <v>31</v>
      </c>
      <c r="E2437" t="s">
        <v>95</v>
      </c>
      <c r="F2437" t="s">
        <v>103</v>
      </c>
      <c r="G2437" t="s">
        <v>113</v>
      </c>
      <c r="H2437" t="s">
        <v>113</v>
      </c>
      <c r="J2437">
        <v>0</v>
      </c>
      <c r="K2437">
        <v>3</v>
      </c>
      <c r="L2437">
        <v>98.291666669999998</v>
      </c>
      <c r="M2437">
        <v>30.315130790000001</v>
      </c>
      <c r="N2437">
        <v>5.0803484000000003E-2</v>
      </c>
      <c r="O2437">
        <v>83.757575759999995</v>
      </c>
      <c r="P2437">
        <v>22.60997987</v>
      </c>
      <c r="Q2437">
        <v>0.72884000000000004</v>
      </c>
      <c r="R2437" t="s">
        <v>1041</v>
      </c>
      <c r="S2437">
        <v>0.21564730000000001</v>
      </c>
    </row>
    <row r="2438" spans="1:19" x14ac:dyDescent="0.25">
      <c r="A2438" t="s">
        <v>30</v>
      </c>
      <c r="B2438" t="s">
        <v>936</v>
      </c>
      <c r="C2438">
        <v>16</v>
      </c>
      <c r="D2438" t="s">
        <v>31</v>
      </c>
      <c r="E2438" t="s">
        <v>95</v>
      </c>
      <c r="F2438" t="s">
        <v>103</v>
      </c>
      <c r="G2438" t="s">
        <v>113</v>
      </c>
      <c r="H2438" t="s">
        <v>247</v>
      </c>
      <c r="J2438">
        <v>0</v>
      </c>
      <c r="K2438">
        <v>1</v>
      </c>
      <c r="L2438">
        <v>98.291666669999998</v>
      </c>
      <c r="M2438">
        <v>30.315130790000001</v>
      </c>
      <c r="N2438">
        <v>5.0803484000000003E-2</v>
      </c>
      <c r="O2438">
        <v>65.791044779999993</v>
      </c>
      <c r="P2438">
        <v>22.94519201</v>
      </c>
      <c r="Q2438">
        <v>8.1320334999999994E-2</v>
      </c>
      <c r="R2438" t="s">
        <v>1041</v>
      </c>
      <c r="S2438">
        <v>0.25580415000000001</v>
      </c>
    </row>
    <row r="2439" spans="1:19" x14ac:dyDescent="0.25">
      <c r="A2439" t="s">
        <v>30</v>
      </c>
      <c r="B2439" t="s">
        <v>936</v>
      </c>
      <c r="C2439">
        <v>17</v>
      </c>
      <c r="D2439" t="s">
        <v>31</v>
      </c>
      <c r="E2439" t="s">
        <v>95</v>
      </c>
      <c r="F2439" t="s">
        <v>103</v>
      </c>
      <c r="G2439" t="s">
        <v>113</v>
      </c>
      <c r="H2439" t="s">
        <v>111</v>
      </c>
      <c r="J2439">
        <v>0</v>
      </c>
      <c r="K2439">
        <v>1</v>
      </c>
      <c r="L2439">
        <v>98.291666669999998</v>
      </c>
      <c r="M2439">
        <v>30.315130790000001</v>
      </c>
      <c r="N2439">
        <v>5.0803484000000003E-2</v>
      </c>
      <c r="O2439">
        <v>94.97142857</v>
      </c>
      <c r="P2439">
        <v>24.31591813</v>
      </c>
      <c r="Q2439">
        <v>0.122951111</v>
      </c>
      <c r="R2439" t="s">
        <v>1041</v>
      </c>
      <c r="S2439">
        <v>3.8152799999999987E-2</v>
      </c>
    </row>
    <row r="2440" spans="1:19" x14ac:dyDescent="0.25">
      <c r="A2440" t="s">
        <v>30</v>
      </c>
      <c r="B2440" t="s">
        <v>936</v>
      </c>
      <c r="C2440">
        <v>18</v>
      </c>
      <c r="D2440" t="s">
        <v>31</v>
      </c>
      <c r="E2440" t="s">
        <v>95</v>
      </c>
      <c r="F2440" t="s">
        <v>103</v>
      </c>
      <c r="G2440" t="s">
        <v>113</v>
      </c>
      <c r="H2440" t="s">
        <v>234</v>
      </c>
      <c r="J2440">
        <v>0</v>
      </c>
      <c r="K2440">
        <v>1</v>
      </c>
      <c r="L2440">
        <v>98.291666669999998</v>
      </c>
      <c r="M2440">
        <v>30.315130790000001</v>
      </c>
      <c r="N2440">
        <v>5.0803484000000003E-2</v>
      </c>
      <c r="O2440">
        <v>89.8125</v>
      </c>
      <c r="P2440">
        <v>34.754706650000003</v>
      </c>
      <c r="Q2440">
        <v>2.3065078999999999E-2</v>
      </c>
      <c r="R2440" t="s">
        <v>1041</v>
      </c>
      <c r="S2440">
        <v>2.0505059700000001</v>
      </c>
    </row>
    <row r="2441" spans="1:19" x14ac:dyDescent="0.25">
      <c r="A2441" t="s">
        <v>30</v>
      </c>
      <c r="B2441" t="s">
        <v>936</v>
      </c>
      <c r="C2441">
        <v>19</v>
      </c>
      <c r="D2441" t="s">
        <v>31</v>
      </c>
      <c r="E2441" t="s">
        <v>95</v>
      </c>
      <c r="F2441" t="s">
        <v>103</v>
      </c>
      <c r="G2441" t="s">
        <v>113</v>
      </c>
      <c r="H2441" t="s">
        <v>241</v>
      </c>
      <c r="J2441">
        <v>0</v>
      </c>
      <c r="K2441">
        <v>1</v>
      </c>
      <c r="L2441">
        <v>98.291666669999998</v>
      </c>
      <c r="M2441">
        <v>30.315130790000001</v>
      </c>
      <c r="N2441">
        <v>5.0803484000000003E-2</v>
      </c>
      <c r="O2441">
        <v>114</v>
      </c>
      <c r="P2441">
        <v>30.43077242</v>
      </c>
      <c r="Q2441">
        <v>0.53383111100000002</v>
      </c>
      <c r="R2441" t="s">
        <v>1041</v>
      </c>
      <c r="S2441">
        <v>0.14532737000000001</v>
      </c>
    </row>
    <row r="2442" spans="1:19" x14ac:dyDescent="0.25">
      <c r="A2442" t="s">
        <v>30</v>
      </c>
      <c r="B2442" t="s">
        <v>937</v>
      </c>
      <c r="C2442">
        <v>15</v>
      </c>
      <c r="D2442" t="s">
        <v>31</v>
      </c>
      <c r="E2442" t="s">
        <v>95</v>
      </c>
      <c r="F2442" t="s">
        <v>112</v>
      </c>
      <c r="G2442" t="s">
        <v>103</v>
      </c>
      <c r="H2442" t="s">
        <v>114</v>
      </c>
      <c r="J2442">
        <v>0</v>
      </c>
      <c r="K2442" t="s">
        <v>114</v>
      </c>
      <c r="L2442">
        <v>65.09375</v>
      </c>
      <c r="M2442">
        <v>37.895352600000002</v>
      </c>
      <c r="N2442">
        <v>2.2882677779999998</v>
      </c>
      <c r="O2442" t="s">
        <v>114</v>
      </c>
      <c r="P2442" t="s">
        <v>114</v>
      </c>
      <c r="Q2442" t="s">
        <v>114</v>
      </c>
      <c r="R2442" t="s">
        <v>1041</v>
      </c>
      <c r="S2442" t="s">
        <v>114</v>
      </c>
    </row>
    <row r="2443" spans="1:19" x14ac:dyDescent="0.25">
      <c r="A2443" t="s">
        <v>32</v>
      </c>
      <c r="B2443" t="s">
        <v>938</v>
      </c>
      <c r="C2443">
        <v>15</v>
      </c>
      <c r="D2443" t="s">
        <v>33</v>
      </c>
      <c r="E2443" t="s">
        <v>94</v>
      </c>
      <c r="F2443" t="s">
        <v>105</v>
      </c>
      <c r="G2443" t="s">
        <v>121</v>
      </c>
      <c r="H2443" t="s">
        <v>247</v>
      </c>
      <c r="J2443">
        <v>0</v>
      </c>
      <c r="K2443">
        <v>2</v>
      </c>
      <c r="L2443">
        <v>67.5</v>
      </c>
      <c r="M2443">
        <v>47.937235809999997</v>
      </c>
      <c r="N2443">
        <v>0.41599678000000001</v>
      </c>
      <c r="O2443">
        <v>65.791044779999993</v>
      </c>
      <c r="P2443">
        <v>22.94519201</v>
      </c>
      <c r="Q2443">
        <v>8.1320334999999994E-2</v>
      </c>
      <c r="R2443" t="s">
        <v>1041</v>
      </c>
      <c r="S2443">
        <v>1.9221781499999997</v>
      </c>
    </row>
    <row r="2444" spans="1:19" x14ac:dyDescent="0.25">
      <c r="A2444" t="s">
        <v>32</v>
      </c>
      <c r="B2444" t="s">
        <v>938</v>
      </c>
      <c r="C2444">
        <v>16</v>
      </c>
      <c r="D2444" t="s">
        <v>33</v>
      </c>
      <c r="E2444" t="s">
        <v>94</v>
      </c>
      <c r="F2444" t="s">
        <v>105</v>
      </c>
      <c r="G2444" t="s">
        <v>121</v>
      </c>
      <c r="H2444" t="s">
        <v>249</v>
      </c>
      <c r="J2444">
        <v>0</v>
      </c>
      <c r="K2444">
        <v>1</v>
      </c>
      <c r="L2444">
        <v>67.5</v>
      </c>
      <c r="M2444">
        <v>47.937235809999997</v>
      </c>
      <c r="N2444">
        <v>0.41599678000000001</v>
      </c>
      <c r="O2444">
        <v>81.666666669999998</v>
      </c>
      <c r="P2444">
        <v>48.056268459999998</v>
      </c>
      <c r="Q2444">
        <v>0.120291364</v>
      </c>
      <c r="R2444" t="s">
        <v>1041</v>
      </c>
      <c r="S2444" t="s">
        <v>114</v>
      </c>
    </row>
    <row r="2445" spans="1:19" x14ac:dyDescent="0.25">
      <c r="A2445" t="s">
        <v>34</v>
      </c>
      <c r="B2445" t="s">
        <v>939</v>
      </c>
      <c r="C2445">
        <v>15</v>
      </c>
      <c r="D2445" t="s">
        <v>35</v>
      </c>
      <c r="E2445" t="s">
        <v>94</v>
      </c>
      <c r="F2445" t="s">
        <v>112</v>
      </c>
      <c r="G2445" t="s">
        <v>112</v>
      </c>
      <c r="H2445" t="s">
        <v>112</v>
      </c>
      <c r="J2445">
        <v>0</v>
      </c>
      <c r="K2445">
        <v>1</v>
      </c>
      <c r="L2445">
        <v>65.09375</v>
      </c>
      <c r="M2445">
        <v>37.895352600000002</v>
      </c>
      <c r="N2445">
        <v>2.2882677779999998</v>
      </c>
      <c r="O2445">
        <v>65.09375</v>
      </c>
      <c r="P2445">
        <v>37.895352600000002</v>
      </c>
      <c r="Q2445">
        <v>2.2882677779999998</v>
      </c>
      <c r="R2445" t="s">
        <v>1041</v>
      </c>
      <c r="S2445">
        <v>0</v>
      </c>
    </row>
    <row r="2446" spans="1:19" x14ac:dyDescent="0.25">
      <c r="A2446" t="s">
        <v>36</v>
      </c>
      <c r="B2446" t="s">
        <v>940</v>
      </c>
      <c r="C2446">
        <v>15</v>
      </c>
      <c r="D2446" t="s">
        <v>37</v>
      </c>
      <c r="E2446" t="s">
        <v>95</v>
      </c>
      <c r="F2446" t="s">
        <v>110</v>
      </c>
      <c r="G2446" t="s">
        <v>121</v>
      </c>
      <c r="H2446" t="s">
        <v>110</v>
      </c>
      <c r="J2446">
        <v>0</v>
      </c>
      <c r="K2446">
        <v>1</v>
      </c>
      <c r="L2446">
        <v>73.260869569999997</v>
      </c>
      <c r="M2446">
        <v>34.453830549999999</v>
      </c>
      <c r="N2446">
        <v>1.058333333</v>
      </c>
      <c r="O2446">
        <v>73.260869569999997</v>
      </c>
      <c r="P2446">
        <v>34.453830549999999</v>
      </c>
      <c r="Q2446">
        <v>1.058333333</v>
      </c>
      <c r="R2446" t="s">
        <v>1041</v>
      </c>
      <c r="S2446">
        <v>0</v>
      </c>
    </row>
    <row r="2447" spans="1:19" x14ac:dyDescent="0.25">
      <c r="A2447" t="s">
        <v>36</v>
      </c>
      <c r="B2447" t="s">
        <v>941</v>
      </c>
      <c r="C2447">
        <v>15</v>
      </c>
      <c r="D2447" t="s">
        <v>37</v>
      </c>
      <c r="E2447" t="s">
        <v>95</v>
      </c>
      <c r="F2447" t="s">
        <v>104</v>
      </c>
      <c r="G2447" t="s">
        <v>121</v>
      </c>
      <c r="H2447" t="s">
        <v>104</v>
      </c>
      <c r="J2447">
        <v>0</v>
      </c>
      <c r="K2447">
        <v>1</v>
      </c>
      <c r="L2447">
        <v>113.9375</v>
      </c>
      <c r="M2447">
        <v>33.375507550000002</v>
      </c>
      <c r="N2447">
        <v>2.4262999999999999</v>
      </c>
      <c r="O2447">
        <v>113.9375</v>
      </c>
      <c r="P2447">
        <v>33.375507550000002</v>
      </c>
      <c r="Q2447">
        <v>2.4262999999999999</v>
      </c>
      <c r="R2447" t="s">
        <v>1041</v>
      </c>
      <c r="S2447">
        <v>0</v>
      </c>
    </row>
    <row r="2448" spans="1:19" x14ac:dyDescent="0.25">
      <c r="A2448" t="s">
        <v>36</v>
      </c>
      <c r="B2448" t="s">
        <v>941</v>
      </c>
      <c r="C2448">
        <v>16</v>
      </c>
      <c r="D2448" t="s">
        <v>37</v>
      </c>
      <c r="E2448" t="s">
        <v>95</v>
      </c>
      <c r="F2448" t="s">
        <v>104</v>
      </c>
      <c r="G2448" t="s">
        <v>121</v>
      </c>
      <c r="H2448" t="s">
        <v>111</v>
      </c>
      <c r="J2448">
        <v>0</v>
      </c>
      <c r="K2448">
        <v>1</v>
      </c>
      <c r="L2448">
        <v>113.9375</v>
      </c>
      <c r="M2448">
        <v>33.375507550000002</v>
      </c>
      <c r="N2448">
        <v>2.4262999999999999</v>
      </c>
      <c r="O2448">
        <v>94.97142857</v>
      </c>
      <c r="P2448">
        <v>24.31591813</v>
      </c>
      <c r="Q2448">
        <v>0.122951111</v>
      </c>
      <c r="R2448" t="s">
        <v>1041</v>
      </c>
      <c r="S2448">
        <v>1.6413699999999976E-2</v>
      </c>
    </row>
    <row r="2449" spans="1:19" x14ac:dyDescent="0.25">
      <c r="A2449" t="s">
        <v>36</v>
      </c>
      <c r="B2449" t="s">
        <v>941</v>
      </c>
      <c r="C2449">
        <v>17</v>
      </c>
      <c r="D2449" t="s">
        <v>37</v>
      </c>
      <c r="E2449" t="s">
        <v>95</v>
      </c>
      <c r="F2449" t="s">
        <v>104</v>
      </c>
      <c r="G2449" t="s">
        <v>121</v>
      </c>
      <c r="H2449" t="s">
        <v>162</v>
      </c>
      <c r="J2449">
        <v>0</v>
      </c>
      <c r="K2449">
        <v>1</v>
      </c>
      <c r="L2449">
        <v>113.9375</v>
      </c>
      <c r="M2449">
        <v>33.375507550000002</v>
      </c>
      <c r="N2449">
        <v>2.4262999999999999</v>
      </c>
      <c r="O2449">
        <v>82.53846154</v>
      </c>
      <c r="P2449">
        <v>35.660530039999998</v>
      </c>
      <c r="Q2449">
        <v>3.3754499999999998</v>
      </c>
      <c r="R2449" t="s">
        <v>1041</v>
      </c>
      <c r="S2449" t="s">
        <v>114</v>
      </c>
    </row>
    <row r="2450" spans="1:19" x14ac:dyDescent="0.25">
      <c r="A2450" t="s">
        <v>38</v>
      </c>
      <c r="B2450" t="s">
        <v>942</v>
      </c>
      <c r="C2450">
        <v>2</v>
      </c>
      <c r="D2450" t="s">
        <v>11</v>
      </c>
      <c r="E2450" t="s">
        <v>95</v>
      </c>
      <c r="F2450" t="s">
        <v>113</v>
      </c>
      <c r="G2450" t="s">
        <v>103</v>
      </c>
      <c r="H2450" t="s">
        <v>103</v>
      </c>
      <c r="J2450">
        <v>0</v>
      </c>
      <c r="K2450">
        <v>3</v>
      </c>
      <c r="L2450">
        <v>83.757575759999995</v>
      </c>
      <c r="M2450">
        <v>22.60997987</v>
      </c>
      <c r="N2450">
        <v>0.72884000000000004</v>
      </c>
      <c r="O2450">
        <v>98.291666669999998</v>
      </c>
      <c r="P2450">
        <v>30.315130790000001</v>
      </c>
      <c r="Q2450">
        <v>5.0803484000000003E-2</v>
      </c>
      <c r="R2450" t="s">
        <v>1041</v>
      </c>
      <c r="S2450">
        <v>0.21564730000000001</v>
      </c>
    </row>
    <row r="2451" spans="1:19" x14ac:dyDescent="0.25">
      <c r="A2451" t="s">
        <v>38</v>
      </c>
      <c r="B2451" t="s">
        <v>943</v>
      </c>
      <c r="C2451">
        <v>2</v>
      </c>
      <c r="D2451" t="s">
        <v>11</v>
      </c>
      <c r="E2451" t="s">
        <v>95</v>
      </c>
      <c r="F2451" t="s">
        <v>103</v>
      </c>
      <c r="G2451" t="s">
        <v>103</v>
      </c>
      <c r="H2451" t="s">
        <v>103</v>
      </c>
      <c r="J2451">
        <v>0</v>
      </c>
      <c r="K2451">
        <v>7</v>
      </c>
      <c r="L2451">
        <v>98.291666669999998</v>
      </c>
      <c r="M2451">
        <v>30.315130790000001</v>
      </c>
      <c r="N2451">
        <v>5.0803484000000003E-2</v>
      </c>
      <c r="O2451">
        <v>98.291666669999998</v>
      </c>
      <c r="P2451">
        <v>30.315130790000001</v>
      </c>
      <c r="Q2451">
        <v>5.0803484000000003E-2</v>
      </c>
      <c r="R2451" t="s">
        <v>1041</v>
      </c>
      <c r="S2451">
        <v>0</v>
      </c>
    </row>
    <row r="2452" spans="1:19" x14ac:dyDescent="0.25">
      <c r="A2452" t="s">
        <v>38</v>
      </c>
      <c r="B2452" t="s">
        <v>943</v>
      </c>
      <c r="C2452">
        <v>2</v>
      </c>
      <c r="D2452" t="s">
        <v>11</v>
      </c>
      <c r="E2452" t="s">
        <v>95</v>
      </c>
      <c r="F2452" t="s">
        <v>103</v>
      </c>
      <c r="G2452" t="s">
        <v>103</v>
      </c>
      <c r="H2452" t="s">
        <v>113</v>
      </c>
      <c r="J2452">
        <v>0</v>
      </c>
      <c r="K2452">
        <v>2</v>
      </c>
      <c r="L2452">
        <v>98.291666669999998</v>
      </c>
      <c r="M2452">
        <v>30.315130790000001</v>
      </c>
      <c r="N2452">
        <v>5.0803484000000003E-2</v>
      </c>
      <c r="O2452">
        <v>83.757575759999995</v>
      </c>
      <c r="P2452">
        <v>22.60997987</v>
      </c>
      <c r="Q2452">
        <v>0.72884000000000004</v>
      </c>
      <c r="R2452" t="s">
        <v>1041</v>
      </c>
      <c r="S2452">
        <v>0.21564730000000001</v>
      </c>
    </row>
    <row r="2453" spans="1:19" x14ac:dyDescent="0.25">
      <c r="A2453" t="s">
        <v>38</v>
      </c>
      <c r="B2453" t="s">
        <v>944</v>
      </c>
      <c r="C2453">
        <v>2</v>
      </c>
      <c r="D2453" t="s">
        <v>11</v>
      </c>
      <c r="E2453" t="s">
        <v>95</v>
      </c>
      <c r="F2453" t="s">
        <v>111</v>
      </c>
      <c r="G2453" t="s">
        <v>103</v>
      </c>
      <c r="H2453" t="s">
        <v>103</v>
      </c>
      <c r="J2453">
        <v>0</v>
      </c>
      <c r="K2453">
        <v>2</v>
      </c>
      <c r="L2453">
        <v>94.97142857</v>
      </c>
      <c r="M2453">
        <v>24.31591813</v>
      </c>
      <c r="N2453">
        <v>0.122951111</v>
      </c>
      <c r="O2453">
        <v>98.291666669999998</v>
      </c>
      <c r="P2453">
        <v>30.315130790000001</v>
      </c>
      <c r="Q2453">
        <v>5.0803484000000003E-2</v>
      </c>
      <c r="R2453" t="s">
        <v>1041</v>
      </c>
      <c r="S2453">
        <v>3.8152799999999987E-2</v>
      </c>
    </row>
    <row r="2454" spans="1:19" x14ac:dyDescent="0.25">
      <c r="A2454" t="s">
        <v>39</v>
      </c>
      <c r="B2454" t="s">
        <v>945</v>
      </c>
      <c r="C2454">
        <v>2</v>
      </c>
      <c r="D2454" t="s">
        <v>15</v>
      </c>
      <c r="E2454" t="s">
        <v>94</v>
      </c>
      <c r="F2454" t="s">
        <v>102</v>
      </c>
      <c r="G2454" t="s">
        <v>102</v>
      </c>
      <c r="H2454" t="s">
        <v>235</v>
      </c>
      <c r="J2454">
        <v>0</v>
      </c>
      <c r="K2454">
        <v>1</v>
      </c>
      <c r="L2454">
        <v>84.740740740000007</v>
      </c>
      <c r="M2454">
        <v>29.167014049999999</v>
      </c>
      <c r="N2454">
        <v>1.1169849999999999</v>
      </c>
      <c r="O2454">
        <v>132.27272730000001</v>
      </c>
      <c r="P2454">
        <v>20.180448590000001</v>
      </c>
      <c r="Q2454">
        <v>3.7813451999999997E-2</v>
      </c>
      <c r="R2454" t="s">
        <v>1041</v>
      </c>
      <c r="S2454">
        <v>0.74310589000000005</v>
      </c>
    </row>
    <row r="2455" spans="1:19" x14ac:dyDescent="0.25">
      <c r="A2455" t="s">
        <v>39</v>
      </c>
      <c r="B2455" t="s">
        <v>945</v>
      </c>
      <c r="C2455">
        <v>2</v>
      </c>
      <c r="D2455" t="s">
        <v>15</v>
      </c>
      <c r="E2455" t="s">
        <v>94</v>
      </c>
      <c r="F2455" t="s">
        <v>102</v>
      </c>
      <c r="G2455" t="s">
        <v>102</v>
      </c>
      <c r="H2455" t="s">
        <v>113</v>
      </c>
      <c r="J2455">
        <v>0</v>
      </c>
      <c r="K2455">
        <v>2</v>
      </c>
      <c r="L2455">
        <v>84.740740740000007</v>
      </c>
      <c r="M2455">
        <v>29.167014049999999</v>
      </c>
      <c r="N2455">
        <v>1.1169849999999999</v>
      </c>
      <c r="O2455">
        <v>83.757575759999995</v>
      </c>
      <c r="P2455">
        <v>22.60997987</v>
      </c>
      <c r="Q2455">
        <v>0.72884000000000004</v>
      </c>
      <c r="R2455" t="s">
        <v>1041</v>
      </c>
      <c r="S2455">
        <v>0.94413650000000005</v>
      </c>
    </row>
    <row r="2456" spans="1:19" x14ac:dyDescent="0.25">
      <c r="A2456" t="s">
        <v>39</v>
      </c>
      <c r="B2456" t="s">
        <v>945</v>
      </c>
      <c r="C2456">
        <v>2</v>
      </c>
      <c r="D2456" t="s">
        <v>15</v>
      </c>
      <c r="E2456" t="s">
        <v>94</v>
      </c>
      <c r="F2456" t="s">
        <v>102</v>
      </c>
      <c r="G2456" t="s">
        <v>102</v>
      </c>
      <c r="H2456" t="s">
        <v>103</v>
      </c>
      <c r="J2456">
        <v>0</v>
      </c>
      <c r="K2456">
        <v>3</v>
      </c>
      <c r="L2456">
        <v>84.740740740000007</v>
      </c>
      <c r="M2456">
        <v>29.167014049999999</v>
      </c>
      <c r="N2456">
        <v>1.1169849999999999</v>
      </c>
      <c r="O2456">
        <v>98.291666669999998</v>
      </c>
      <c r="P2456">
        <v>30.315130790000001</v>
      </c>
      <c r="Q2456">
        <v>5.0803484000000003E-2</v>
      </c>
      <c r="R2456" t="s">
        <v>1041</v>
      </c>
      <c r="S2456">
        <v>0.72848920000000006</v>
      </c>
    </row>
    <row r="2457" spans="1:19" x14ac:dyDescent="0.25">
      <c r="A2457" t="s">
        <v>39</v>
      </c>
      <c r="B2457" t="s">
        <v>945</v>
      </c>
      <c r="C2457">
        <v>2</v>
      </c>
      <c r="D2457" t="s">
        <v>15</v>
      </c>
      <c r="E2457" t="s">
        <v>94</v>
      </c>
      <c r="F2457" t="s">
        <v>102</v>
      </c>
      <c r="G2457" t="s">
        <v>102</v>
      </c>
      <c r="H2457" t="s">
        <v>233</v>
      </c>
      <c r="J2457">
        <v>0</v>
      </c>
      <c r="K2457">
        <v>1</v>
      </c>
      <c r="L2457">
        <v>84.740740740000007</v>
      </c>
      <c r="M2457">
        <v>29.167014049999999</v>
      </c>
      <c r="N2457">
        <v>1.1169849999999999</v>
      </c>
      <c r="O2457">
        <v>106.0540541</v>
      </c>
      <c r="P2457">
        <v>52.690533369999997</v>
      </c>
      <c r="Q2457">
        <v>7.6058968000000005E-2</v>
      </c>
      <c r="R2457" t="s">
        <v>1041</v>
      </c>
      <c r="S2457">
        <v>0.70826101000000008</v>
      </c>
    </row>
    <row r="2458" spans="1:19" x14ac:dyDescent="0.25">
      <c r="A2458" t="s">
        <v>39</v>
      </c>
      <c r="B2458" t="s">
        <v>945</v>
      </c>
      <c r="C2458">
        <v>2</v>
      </c>
      <c r="D2458" t="s">
        <v>15</v>
      </c>
      <c r="E2458" t="s">
        <v>94</v>
      </c>
      <c r="F2458" t="s">
        <v>102</v>
      </c>
      <c r="G2458" t="s">
        <v>102</v>
      </c>
      <c r="H2458" t="s">
        <v>104</v>
      </c>
      <c r="J2458">
        <v>0</v>
      </c>
      <c r="K2458">
        <v>1</v>
      </c>
      <c r="L2458">
        <v>84.740740740000007</v>
      </c>
      <c r="M2458">
        <v>29.167014049999999</v>
      </c>
      <c r="N2458">
        <v>1.1169849999999999</v>
      </c>
      <c r="O2458">
        <v>113.9375</v>
      </c>
      <c r="P2458">
        <v>33.375507550000002</v>
      </c>
      <c r="Q2458">
        <v>2.4262999999999999</v>
      </c>
      <c r="R2458" t="s">
        <v>1041</v>
      </c>
      <c r="S2458">
        <v>0.75022830000000007</v>
      </c>
    </row>
    <row r="2459" spans="1:19" x14ac:dyDescent="0.25">
      <c r="A2459" t="s">
        <v>39</v>
      </c>
      <c r="B2459" t="s">
        <v>946</v>
      </c>
      <c r="C2459">
        <v>2</v>
      </c>
      <c r="D2459" t="s">
        <v>15</v>
      </c>
      <c r="E2459" t="s">
        <v>94</v>
      </c>
      <c r="F2459" t="s">
        <v>113</v>
      </c>
      <c r="G2459" t="s">
        <v>113</v>
      </c>
      <c r="H2459" t="s">
        <v>113</v>
      </c>
      <c r="J2459">
        <v>0</v>
      </c>
      <c r="K2459">
        <v>5</v>
      </c>
      <c r="L2459">
        <v>83.757575759999995</v>
      </c>
      <c r="M2459">
        <v>22.60997987</v>
      </c>
      <c r="N2459">
        <v>0.72884000000000004</v>
      </c>
      <c r="O2459">
        <v>83.757575759999995</v>
      </c>
      <c r="P2459">
        <v>22.60997987</v>
      </c>
      <c r="Q2459">
        <v>0.72884000000000004</v>
      </c>
      <c r="R2459" t="s">
        <v>1041</v>
      </c>
      <c r="S2459">
        <v>0</v>
      </c>
    </row>
    <row r="2460" spans="1:19" x14ac:dyDescent="0.25">
      <c r="A2460" t="s">
        <v>39</v>
      </c>
      <c r="B2460" t="s">
        <v>946</v>
      </c>
      <c r="C2460">
        <v>2</v>
      </c>
      <c r="D2460" t="s">
        <v>15</v>
      </c>
      <c r="E2460" t="s">
        <v>94</v>
      </c>
      <c r="F2460" t="s">
        <v>113</v>
      </c>
      <c r="G2460" t="s">
        <v>113</v>
      </c>
      <c r="H2460" t="s">
        <v>233</v>
      </c>
      <c r="J2460">
        <v>0</v>
      </c>
      <c r="K2460">
        <v>4</v>
      </c>
      <c r="L2460">
        <v>83.757575759999995</v>
      </c>
      <c r="M2460">
        <v>22.60997987</v>
      </c>
      <c r="N2460">
        <v>0.72884000000000004</v>
      </c>
      <c r="O2460">
        <v>106.0540541</v>
      </c>
      <c r="P2460">
        <v>52.690533369999997</v>
      </c>
      <c r="Q2460">
        <v>7.6058968000000005E-2</v>
      </c>
      <c r="R2460" t="s">
        <v>1041</v>
      </c>
      <c r="S2460">
        <v>0.23587548999999999</v>
      </c>
    </row>
    <row r="2461" spans="1:19" x14ac:dyDescent="0.25">
      <c r="A2461" t="s">
        <v>39</v>
      </c>
      <c r="B2461" t="s">
        <v>946</v>
      </c>
      <c r="C2461">
        <v>2</v>
      </c>
      <c r="D2461" t="s">
        <v>15</v>
      </c>
      <c r="E2461" t="s">
        <v>94</v>
      </c>
      <c r="F2461" t="s">
        <v>113</v>
      </c>
      <c r="G2461" t="s">
        <v>113</v>
      </c>
      <c r="H2461" t="s">
        <v>234</v>
      </c>
      <c r="J2461">
        <v>0</v>
      </c>
      <c r="K2461">
        <v>1</v>
      </c>
      <c r="L2461">
        <v>83.757575759999995</v>
      </c>
      <c r="M2461">
        <v>22.60997987</v>
      </c>
      <c r="N2461">
        <v>0.72884000000000004</v>
      </c>
      <c r="O2461">
        <v>89.8125</v>
      </c>
      <c r="P2461">
        <v>34.754706650000003</v>
      </c>
      <c r="Q2461">
        <v>2.3065078999999999E-2</v>
      </c>
      <c r="R2461" t="s">
        <v>1041</v>
      </c>
      <c r="S2461">
        <v>2.2661532700000002</v>
      </c>
    </row>
    <row r="2462" spans="1:19" x14ac:dyDescent="0.25">
      <c r="A2462" t="s">
        <v>39</v>
      </c>
      <c r="B2462" t="s">
        <v>947</v>
      </c>
      <c r="C2462">
        <v>2</v>
      </c>
      <c r="D2462" t="s">
        <v>15</v>
      </c>
      <c r="E2462" t="s">
        <v>94</v>
      </c>
      <c r="F2462" t="s">
        <v>103</v>
      </c>
      <c r="G2462" t="s">
        <v>103</v>
      </c>
      <c r="H2462" t="s">
        <v>103</v>
      </c>
      <c r="J2462">
        <v>0</v>
      </c>
      <c r="K2462">
        <v>3</v>
      </c>
      <c r="L2462">
        <v>98.291666669999998</v>
      </c>
      <c r="M2462">
        <v>30.315130790000001</v>
      </c>
      <c r="N2462">
        <v>5.0803484000000003E-2</v>
      </c>
      <c r="O2462">
        <v>98.291666669999998</v>
      </c>
      <c r="P2462">
        <v>30.315130790000001</v>
      </c>
      <c r="Q2462">
        <v>5.0803484000000003E-2</v>
      </c>
      <c r="R2462" t="s">
        <v>1041</v>
      </c>
      <c r="S2462">
        <v>0</v>
      </c>
    </row>
    <row r="2463" spans="1:19" x14ac:dyDescent="0.25">
      <c r="A2463" t="s">
        <v>39</v>
      </c>
      <c r="B2463" t="s">
        <v>947</v>
      </c>
      <c r="C2463">
        <v>2</v>
      </c>
      <c r="D2463" t="s">
        <v>15</v>
      </c>
      <c r="E2463" t="s">
        <v>94</v>
      </c>
      <c r="F2463" t="s">
        <v>103</v>
      </c>
      <c r="G2463" t="s">
        <v>103</v>
      </c>
      <c r="H2463" t="s">
        <v>104</v>
      </c>
      <c r="J2463">
        <v>0</v>
      </c>
      <c r="K2463">
        <v>1</v>
      </c>
      <c r="L2463">
        <v>98.291666669999998</v>
      </c>
      <c r="M2463">
        <v>30.315130790000001</v>
      </c>
      <c r="N2463">
        <v>5.0803484000000003E-2</v>
      </c>
      <c r="O2463">
        <v>113.9375</v>
      </c>
      <c r="P2463">
        <v>33.375507550000002</v>
      </c>
      <c r="Q2463">
        <v>2.4262999999999999</v>
      </c>
      <c r="R2463" t="s">
        <v>1041</v>
      </c>
      <c r="S2463">
        <v>2.1739100000000011E-2</v>
      </c>
    </row>
    <row r="2464" spans="1:19" x14ac:dyDescent="0.25">
      <c r="A2464" t="s">
        <v>39</v>
      </c>
      <c r="B2464" t="s">
        <v>947</v>
      </c>
      <c r="C2464">
        <v>2</v>
      </c>
      <c r="D2464" t="s">
        <v>15</v>
      </c>
      <c r="E2464" t="s">
        <v>94</v>
      </c>
      <c r="F2464" t="s">
        <v>103</v>
      </c>
      <c r="G2464" t="s">
        <v>103</v>
      </c>
      <c r="H2464" t="s">
        <v>113</v>
      </c>
      <c r="J2464">
        <v>0</v>
      </c>
      <c r="K2464">
        <v>4</v>
      </c>
      <c r="L2464">
        <v>98.291666669999998</v>
      </c>
      <c r="M2464">
        <v>30.315130790000001</v>
      </c>
      <c r="N2464">
        <v>5.0803484000000003E-2</v>
      </c>
      <c r="O2464">
        <v>83.757575759999995</v>
      </c>
      <c r="P2464">
        <v>22.60997987</v>
      </c>
      <c r="Q2464">
        <v>0.72884000000000004</v>
      </c>
      <c r="R2464" t="s">
        <v>1041</v>
      </c>
      <c r="S2464">
        <v>0.21564730000000001</v>
      </c>
    </row>
    <row r="2465" spans="1:19" x14ac:dyDescent="0.25">
      <c r="A2465" t="s">
        <v>39</v>
      </c>
      <c r="B2465" t="s">
        <v>948</v>
      </c>
      <c r="C2465">
        <v>2</v>
      </c>
      <c r="D2465" t="s">
        <v>15</v>
      </c>
      <c r="E2465" t="s">
        <v>94</v>
      </c>
      <c r="F2465" t="s">
        <v>111</v>
      </c>
      <c r="G2465" t="s">
        <v>104</v>
      </c>
      <c r="H2465" t="s">
        <v>236</v>
      </c>
      <c r="J2465">
        <v>0</v>
      </c>
      <c r="K2465">
        <v>1</v>
      </c>
      <c r="L2465">
        <v>94.97142857</v>
      </c>
      <c r="M2465">
        <v>24.31591813</v>
      </c>
      <c r="N2465">
        <v>0.122951111</v>
      </c>
      <c r="O2465">
        <v>113.33333330000001</v>
      </c>
      <c r="P2465">
        <v>26.41632581</v>
      </c>
      <c r="Q2465">
        <v>1.6844570160000001</v>
      </c>
      <c r="R2465" t="s">
        <v>1041</v>
      </c>
      <c r="S2465">
        <v>0.30122219</v>
      </c>
    </row>
    <row r="2466" spans="1:19" x14ac:dyDescent="0.25">
      <c r="A2466" t="s">
        <v>39</v>
      </c>
      <c r="B2466" t="s">
        <v>948</v>
      </c>
      <c r="C2466">
        <v>2</v>
      </c>
      <c r="D2466" t="s">
        <v>15</v>
      </c>
      <c r="E2466" t="s">
        <v>94</v>
      </c>
      <c r="F2466" t="s">
        <v>111</v>
      </c>
      <c r="G2466" t="s">
        <v>104</v>
      </c>
      <c r="H2466" t="s">
        <v>103</v>
      </c>
      <c r="J2466">
        <v>0</v>
      </c>
      <c r="K2466">
        <v>1</v>
      </c>
      <c r="L2466">
        <v>94.97142857</v>
      </c>
      <c r="M2466">
        <v>24.31591813</v>
      </c>
      <c r="N2466">
        <v>0.122951111</v>
      </c>
      <c r="O2466">
        <v>98.291666669999998</v>
      </c>
      <c r="P2466">
        <v>30.315130790000001</v>
      </c>
      <c r="Q2466">
        <v>5.0803484000000003E-2</v>
      </c>
      <c r="R2466" t="s">
        <v>1041</v>
      </c>
      <c r="S2466">
        <v>3.8152799999999987E-2</v>
      </c>
    </row>
    <row r="2467" spans="1:19" x14ac:dyDescent="0.25">
      <c r="A2467" t="s">
        <v>39</v>
      </c>
      <c r="B2467" t="s">
        <v>948</v>
      </c>
      <c r="C2467">
        <v>2</v>
      </c>
      <c r="D2467" t="s">
        <v>15</v>
      </c>
      <c r="E2467" t="s">
        <v>94</v>
      </c>
      <c r="F2467" t="s">
        <v>111</v>
      </c>
      <c r="G2467" t="s">
        <v>104</v>
      </c>
      <c r="H2467" t="s">
        <v>104</v>
      </c>
      <c r="J2467">
        <v>0</v>
      </c>
      <c r="K2467">
        <v>1</v>
      </c>
      <c r="L2467">
        <v>94.97142857</v>
      </c>
      <c r="M2467">
        <v>24.31591813</v>
      </c>
      <c r="N2467">
        <v>0.122951111</v>
      </c>
      <c r="O2467">
        <v>113.9375</v>
      </c>
      <c r="P2467">
        <v>33.375507550000002</v>
      </c>
      <c r="Q2467">
        <v>2.4262999999999999</v>
      </c>
      <c r="R2467" t="s">
        <v>1041</v>
      </c>
      <c r="S2467">
        <v>1.6413699999999976E-2</v>
      </c>
    </row>
    <row r="2468" spans="1:19" x14ac:dyDescent="0.25">
      <c r="A2468" t="s">
        <v>39</v>
      </c>
      <c r="B2468" t="s">
        <v>949</v>
      </c>
      <c r="C2468">
        <v>2</v>
      </c>
      <c r="D2468" t="s">
        <v>15</v>
      </c>
      <c r="E2468" t="s">
        <v>94</v>
      </c>
      <c r="F2468" t="s">
        <v>104</v>
      </c>
      <c r="G2468" t="s">
        <v>104</v>
      </c>
      <c r="H2468" t="s">
        <v>104</v>
      </c>
      <c r="J2468">
        <v>0</v>
      </c>
      <c r="K2468">
        <v>3</v>
      </c>
      <c r="L2468">
        <v>113.9375</v>
      </c>
      <c r="M2468">
        <v>33.375507550000002</v>
      </c>
      <c r="N2468">
        <v>2.4262999999999999</v>
      </c>
      <c r="O2468">
        <v>113.9375</v>
      </c>
      <c r="P2468">
        <v>33.375507550000002</v>
      </c>
      <c r="Q2468">
        <v>2.4262999999999999</v>
      </c>
      <c r="R2468" t="s">
        <v>1041</v>
      </c>
      <c r="S2468">
        <v>0</v>
      </c>
    </row>
    <row r="2469" spans="1:19" x14ac:dyDescent="0.25">
      <c r="A2469" t="s">
        <v>39</v>
      </c>
      <c r="B2469" t="s">
        <v>949</v>
      </c>
      <c r="C2469">
        <v>2</v>
      </c>
      <c r="D2469" t="s">
        <v>15</v>
      </c>
      <c r="E2469" t="s">
        <v>94</v>
      </c>
      <c r="F2469" t="s">
        <v>104</v>
      </c>
      <c r="G2469" t="s">
        <v>104</v>
      </c>
      <c r="H2469" t="s">
        <v>113</v>
      </c>
      <c r="J2469">
        <v>0</v>
      </c>
      <c r="K2469">
        <v>1</v>
      </c>
      <c r="L2469">
        <v>113.9375</v>
      </c>
      <c r="M2469">
        <v>33.375507550000002</v>
      </c>
      <c r="N2469">
        <v>2.4262999999999999</v>
      </c>
      <c r="O2469">
        <v>83.757575759999995</v>
      </c>
      <c r="P2469">
        <v>22.60997987</v>
      </c>
      <c r="Q2469">
        <v>0.72884000000000004</v>
      </c>
      <c r="R2469" t="s">
        <v>1041</v>
      </c>
      <c r="S2469">
        <v>0.1939082</v>
      </c>
    </row>
    <row r="2470" spans="1:19" x14ac:dyDescent="0.25">
      <c r="A2470" t="s">
        <v>40</v>
      </c>
      <c r="B2470" t="s">
        <v>950</v>
      </c>
      <c r="C2470">
        <v>2</v>
      </c>
      <c r="D2470" t="s">
        <v>17</v>
      </c>
      <c r="E2470" t="s">
        <v>95</v>
      </c>
      <c r="F2470" t="s">
        <v>113</v>
      </c>
      <c r="G2470" t="s">
        <v>113</v>
      </c>
      <c r="H2470" t="s">
        <v>113</v>
      </c>
      <c r="J2470">
        <v>0</v>
      </c>
      <c r="K2470">
        <v>1</v>
      </c>
      <c r="L2470">
        <v>83.757575759999995</v>
      </c>
      <c r="M2470">
        <v>22.60997987</v>
      </c>
      <c r="N2470">
        <v>0.72884000000000004</v>
      </c>
      <c r="O2470">
        <v>83.757575759999995</v>
      </c>
      <c r="P2470">
        <v>22.60997987</v>
      </c>
      <c r="Q2470">
        <v>0.72884000000000004</v>
      </c>
      <c r="R2470" t="s">
        <v>1041</v>
      </c>
      <c r="S2470">
        <v>0</v>
      </c>
    </row>
    <row r="2471" spans="1:19" x14ac:dyDescent="0.25">
      <c r="A2471" t="s">
        <v>40</v>
      </c>
      <c r="B2471" t="s">
        <v>950</v>
      </c>
      <c r="C2471">
        <v>2</v>
      </c>
      <c r="D2471" t="s">
        <v>17</v>
      </c>
      <c r="E2471" t="s">
        <v>95</v>
      </c>
      <c r="F2471" t="s">
        <v>113</v>
      </c>
      <c r="G2471" t="s">
        <v>113</v>
      </c>
      <c r="H2471" t="s">
        <v>103</v>
      </c>
      <c r="J2471">
        <v>0</v>
      </c>
      <c r="K2471">
        <v>2</v>
      </c>
      <c r="L2471">
        <v>83.757575759999995</v>
      </c>
      <c r="M2471">
        <v>22.60997987</v>
      </c>
      <c r="N2471">
        <v>0.72884000000000004</v>
      </c>
      <c r="O2471">
        <v>98.291666669999998</v>
      </c>
      <c r="P2471">
        <v>30.315130790000001</v>
      </c>
      <c r="Q2471">
        <v>5.0803484000000003E-2</v>
      </c>
      <c r="R2471" t="s">
        <v>1041</v>
      </c>
      <c r="S2471">
        <v>0.21564730000000001</v>
      </c>
    </row>
    <row r="2472" spans="1:19" x14ac:dyDescent="0.25">
      <c r="A2472" t="s">
        <v>40</v>
      </c>
      <c r="B2472" t="s">
        <v>951</v>
      </c>
      <c r="C2472">
        <v>2</v>
      </c>
      <c r="D2472" t="s">
        <v>17</v>
      </c>
      <c r="E2472" t="s">
        <v>95</v>
      </c>
      <c r="F2472" t="s">
        <v>103</v>
      </c>
      <c r="G2472" t="s">
        <v>103</v>
      </c>
      <c r="H2472" t="s">
        <v>103</v>
      </c>
      <c r="J2472">
        <v>0</v>
      </c>
      <c r="K2472">
        <v>6</v>
      </c>
      <c r="L2472">
        <v>98.291666669999998</v>
      </c>
      <c r="M2472">
        <v>30.315130790000001</v>
      </c>
      <c r="N2472">
        <v>5.0803484000000003E-2</v>
      </c>
      <c r="O2472">
        <v>98.291666669999998</v>
      </c>
      <c r="P2472">
        <v>30.315130790000001</v>
      </c>
      <c r="Q2472">
        <v>5.0803484000000003E-2</v>
      </c>
      <c r="R2472" t="s">
        <v>1041</v>
      </c>
      <c r="S2472">
        <v>0</v>
      </c>
    </row>
    <row r="2473" spans="1:19" x14ac:dyDescent="0.25">
      <c r="A2473" t="s">
        <v>40</v>
      </c>
      <c r="B2473" t="s">
        <v>952</v>
      </c>
      <c r="C2473">
        <v>2</v>
      </c>
      <c r="D2473" t="s">
        <v>17</v>
      </c>
      <c r="E2473" t="s">
        <v>95</v>
      </c>
      <c r="F2473" t="s">
        <v>112</v>
      </c>
      <c r="G2473" t="s">
        <v>103</v>
      </c>
      <c r="H2473" t="s">
        <v>103</v>
      </c>
      <c r="I2473" t="s">
        <v>243</v>
      </c>
      <c r="J2473">
        <v>1</v>
      </c>
      <c r="K2473">
        <v>7</v>
      </c>
      <c r="L2473">
        <v>65.09375</v>
      </c>
      <c r="M2473">
        <v>37.895352600000002</v>
      </c>
      <c r="N2473">
        <v>2.2882677779999998</v>
      </c>
      <c r="O2473">
        <v>98.291666669999998</v>
      </c>
      <c r="P2473">
        <v>30.315130790000001</v>
      </c>
      <c r="Q2473">
        <v>5.0803484000000003E-2</v>
      </c>
      <c r="R2473" t="s">
        <v>1041</v>
      </c>
      <c r="S2473">
        <v>1.7825167</v>
      </c>
    </row>
    <row r="2474" spans="1:19" x14ac:dyDescent="0.25">
      <c r="A2474" t="s">
        <v>40</v>
      </c>
      <c r="B2474" t="s">
        <v>952</v>
      </c>
      <c r="C2474">
        <v>2</v>
      </c>
      <c r="D2474" t="s">
        <v>17</v>
      </c>
      <c r="E2474" t="s">
        <v>95</v>
      </c>
      <c r="F2474" t="s">
        <v>112</v>
      </c>
      <c r="G2474" t="s">
        <v>103</v>
      </c>
      <c r="H2474" t="s">
        <v>113</v>
      </c>
      <c r="J2474">
        <v>1</v>
      </c>
      <c r="K2474">
        <v>5</v>
      </c>
      <c r="L2474">
        <v>65.09375</v>
      </c>
      <c r="M2474">
        <v>37.895352600000002</v>
      </c>
      <c r="N2474">
        <v>2.2882677779999998</v>
      </c>
      <c r="O2474">
        <v>83.757575759999995</v>
      </c>
      <c r="P2474">
        <v>22.60997987</v>
      </c>
      <c r="Q2474">
        <v>0.72884000000000004</v>
      </c>
      <c r="R2474" t="s">
        <v>1041</v>
      </c>
      <c r="S2474">
        <v>1.9981640000000001</v>
      </c>
    </row>
    <row r="2475" spans="1:19" x14ac:dyDescent="0.25">
      <c r="A2475" t="s">
        <v>41</v>
      </c>
      <c r="B2475" t="s">
        <v>953</v>
      </c>
      <c r="C2475">
        <v>2</v>
      </c>
      <c r="D2475" t="s">
        <v>19</v>
      </c>
      <c r="E2475" t="s">
        <v>94</v>
      </c>
      <c r="F2475" t="s">
        <v>105</v>
      </c>
      <c r="G2475" t="s">
        <v>104</v>
      </c>
      <c r="H2475" t="s">
        <v>104</v>
      </c>
      <c r="J2475">
        <v>0</v>
      </c>
      <c r="K2475">
        <v>3</v>
      </c>
      <c r="L2475">
        <v>67.5</v>
      </c>
      <c r="M2475">
        <v>47.937235809999997</v>
      </c>
      <c r="N2475">
        <v>0.41599678000000001</v>
      </c>
      <c r="O2475">
        <v>113.9375</v>
      </c>
      <c r="P2475">
        <v>33.375507550000002</v>
      </c>
      <c r="Q2475">
        <v>2.4262999999999999</v>
      </c>
      <c r="R2475" t="s">
        <v>1041</v>
      </c>
      <c r="S2475">
        <v>1.6881130999999998</v>
      </c>
    </row>
    <row r="2476" spans="1:19" x14ac:dyDescent="0.25">
      <c r="A2476" t="s">
        <v>41</v>
      </c>
      <c r="B2476" t="s">
        <v>953</v>
      </c>
      <c r="C2476">
        <v>2</v>
      </c>
      <c r="D2476" t="s">
        <v>19</v>
      </c>
      <c r="E2476" t="s">
        <v>94</v>
      </c>
      <c r="F2476" t="s">
        <v>105</v>
      </c>
      <c r="G2476" t="s">
        <v>104</v>
      </c>
      <c r="H2476" t="s">
        <v>113</v>
      </c>
      <c r="J2476">
        <v>0</v>
      </c>
      <c r="K2476">
        <v>1</v>
      </c>
      <c r="L2476">
        <v>67.5</v>
      </c>
      <c r="M2476">
        <v>47.937235809999997</v>
      </c>
      <c r="N2476">
        <v>0.41599678000000001</v>
      </c>
      <c r="O2476">
        <v>83.757575759999995</v>
      </c>
      <c r="P2476">
        <v>22.60997987</v>
      </c>
      <c r="Q2476">
        <v>0.72884000000000004</v>
      </c>
      <c r="R2476" t="s">
        <v>1041</v>
      </c>
      <c r="S2476">
        <v>1.8820212999999999</v>
      </c>
    </row>
    <row r="2477" spans="1:19" x14ac:dyDescent="0.25">
      <c r="A2477" t="s">
        <v>41</v>
      </c>
      <c r="B2477" t="s">
        <v>953</v>
      </c>
      <c r="C2477">
        <v>2</v>
      </c>
      <c r="D2477" t="s">
        <v>19</v>
      </c>
      <c r="E2477" t="s">
        <v>94</v>
      </c>
      <c r="F2477" t="s">
        <v>105</v>
      </c>
      <c r="G2477" t="s">
        <v>104</v>
      </c>
      <c r="H2477" t="s">
        <v>237</v>
      </c>
      <c r="J2477">
        <v>0</v>
      </c>
      <c r="K2477">
        <v>1</v>
      </c>
      <c r="L2477">
        <v>67.5</v>
      </c>
      <c r="M2477">
        <v>47.937235809999997</v>
      </c>
      <c r="N2477">
        <v>0.41599678000000001</v>
      </c>
      <c r="O2477">
        <v>83.888888890000004</v>
      </c>
      <c r="P2477">
        <v>31.026943280000001</v>
      </c>
      <c r="Q2477">
        <v>0.53083999999999998</v>
      </c>
      <c r="R2477" t="s">
        <v>1041</v>
      </c>
      <c r="S2477">
        <v>1.8465805099999999</v>
      </c>
    </row>
    <row r="2478" spans="1:19" x14ac:dyDescent="0.25">
      <c r="A2478" t="s">
        <v>41</v>
      </c>
      <c r="B2478" t="s">
        <v>953</v>
      </c>
      <c r="C2478">
        <v>2</v>
      </c>
      <c r="D2478" t="s">
        <v>19</v>
      </c>
      <c r="E2478" t="s">
        <v>94</v>
      </c>
      <c r="F2478" t="s">
        <v>105</v>
      </c>
      <c r="G2478" t="s">
        <v>104</v>
      </c>
      <c r="H2478" t="s">
        <v>239</v>
      </c>
      <c r="J2478">
        <v>0</v>
      </c>
      <c r="K2478">
        <v>1</v>
      </c>
      <c r="L2478">
        <v>67.5</v>
      </c>
      <c r="M2478">
        <v>47.937235809999997</v>
      </c>
      <c r="N2478">
        <v>0.41599678000000001</v>
      </c>
      <c r="O2478">
        <v>100.45454549999999</v>
      </c>
      <c r="P2478">
        <v>26.754810689999999</v>
      </c>
      <c r="Q2478">
        <v>0.75829999999999997</v>
      </c>
      <c r="R2478" t="s">
        <v>1041</v>
      </c>
      <c r="S2478">
        <v>1.6859560899999999</v>
      </c>
    </row>
    <row r="2479" spans="1:19" x14ac:dyDescent="0.25">
      <c r="A2479" t="s">
        <v>41</v>
      </c>
      <c r="B2479" t="s">
        <v>954</v>
      </c>
      <c r="C2479">
        <v>2</v>
      </c>
      <c r="D2479" t="s">
        <v>19</v>
      </c>
      <c r="E2479" t="s">
        <v>94</v>
      </c>
      <c r="F2479" t="s">
        <v>113</v>
      </c>
      <c r="G2479" t="s">
        <v>104</v>
      </c>
      <c r="H2479" t="s">
        <v>237</v>
      </c>
      <c r="J2479">
        <v>0</v>
      </c>
      <c r="K2479">
        <v>1</v>
      </c>
      <c r="L2479">
        <v>83.757575759999995</v>
      </c>
      <c r="M2479">
        <v>22.60997987</v>
      </c>
      <c r="N2479">
        <v>0.72884000000000004</v>
      </c>
      <c r="O2479">
        <v>83.888888890000004</v>
      </c>
      <c r="P2479">
        <v>31.026943280000001</v>
      </c>
      <c r="Q2479">
        <v>0.53083999999999998</v>
      </c>
      <c r="R2479" t="s">
        <v>1041</v>
      </c>
      <c r="S2479">
        <v>3.544079E-2</v>
      </c>
    </row>
    <row r="2480" spans="1:19" x14ac:dyDescent="0.25">
      <c r="A2480" t="s">
        <v>41</v>
      </c>
      <c r="B2480" t="s">
        <v>954</v>
      </c>
      <c r="C2480">
        <v>2</v>
      </c>
      <c r="D2480" t="s">
        <v>19</v>
      </c>
      <c r="E2480" t="s">
        <v>94</v>
      </c>
      <c r="F2480" t="s">
        <v>113</v>
      </c>
      <c r="G2480" t="s">
        <v>104</v>
      </c>
      <c r="H2480" t="s">
        <v>113</v>
      </c>
      <c r="J2480">
        <v>0</v>
      </c>
      <c r="K2480">
        <v>7</v>
      </c>
      <c r="L2480">
        <v>83.757575759999995</v>
      </c>
      <c r="M2480">
        <v>22.60997987</v>
      </c>
      <c r="N2480">
        <v>0.72884000000000004</v>
      </c>
      <c r="O2480">
        <v>83.757575759999995</v>
      </c>
      <c r="P2480">
        <v>22.60997987</v>
      </c>
      <c r="Q2480">
        <v>0.72884000000000004</v>
      </c>
      <c r="R2480" t="s">
        <v>1041</v>
      </c>
      <c r="S2480">
        <v>0</v>
      </c>
    </row>
    <row r="2481" spans="1:19" x14ac:dyDescent="0.25">
      <c r="A2481" t="s">
        <v>41</v>
      </c>
      <c r="B2481" t="s">
        <v>954</v>
      </c>
      <c r="C2481">
        <v>2</v>
      </c>
      <c r="D2481" t="s">
        <v>19</v>
      </c>
      <c r="E2481" t="s">
        <v>94</v>
      </c>
      <c r="F2481" t="s">
        <v>113</v>
      </c>
      <c r="G2481" t="s">
        <v>104</v>
      </c>
      <c r="H2481" t="s">
        <v>104</v>
      </c>
      <c r="J2481">
        <v>0</v>
      </c>
      <c r="K2481">
        <v>1</v>
      </c>
      <c r="L2481">
        <v>83.757575759999995</v>
      </c>
      <c r="M2481">
        <v>22.60997987</v>
      </c>
      <c r="N2481">
        <v>0.72884000000000004</v>
      </c>
      <c r="O2481">
        <v>113.9375</v>
      </c>
      <c r="P2481">
        <v>33.375507550000002</v>
      </c>
      <c r="Q2481">
        <v>2.4262999999999999</v>
      </c>
      <c r="R2481" t="s">
        <v>1041</v>
      </c>
      <c r="S2481">
        <v>0.1939082</v>
      </c>
    </row>
    <row r="2482" spans="1:19" x14ac:dyDescent="0.25">
      <c r="A2482" t="s">
        <v>41</v>
      </c>
      <c r="B2482" t="s">
        <v>954</v>
      </c>
      <c r="C2482">
        <v>2</v>
      </c>
      <c r="D2482" t="s">
        <v>19</v>
      </c>
      <c r="E2482" t="s">
        <v>94</v>
      </c>
      <c r="F2482" t="s">
        <v>113</v>
      </c>
      <c r="G2482" t="s">
        <v>104</v>
      </c>
      <c r="H2482" t="s">
        <v>238</v>
      </c>
      <c r="J2482">
        <v>0</v>
      </c>
      <c r="K2482">
        <v>1</v>
      </c>
      <c r="L2482">
        <v>83.757575759999995</v>
      </c>
      <c r="M2482">
        <v>22.60997987</v>
      </c>
      <c r="N2482">
        <v>0.72884000000000004</v>
      </c>
      <c r="O2482">
        <v>87.5</v>
      </c>
      <c r="P2482">
        <v>29.478311600000001</v>
      </c>
      <c r="Q2482">
        <v>3.0797751000000002E-2</v>
      </c>
      <c r="R2482" t="s">
        <v>1041</v>
      </c>
      <c r="S2482">
        <v>8.3695049999999993E-2</v>
      </c>
    </row>
    <row r="2483" spans="1:19" x14ac:dyDescent="0.25">
      <c r="A2483" t="s">
        <v>41</v>
      </c>
      <c r="B2483" t="s">
        <v>955</v>
      </c>
      <c r="C2483">
        <v>2</v>
      </c>
      <c r="D2483" t="s">
        <v>19</v>
      </c>
      <c r="E2483" t="s">
        <v>94</v>
      </c>
      <c r="F2483" t="s">
        <v>103</v>
      </c>
      <c r="G2483" t="s">
        <v>113</v>
      </c>
      <c r="H2483" t="s">
        <v>103</v>
      </c>
      <c r="J2483">
        <v>0</v>
      </c>
      <c r="K2483">
        <v>2</v>
      </c>
      <c r="L2483">
        <v>98.291666669999998</v>
      </c>
      <c r="M2483">
        <v>30.315130790000001</v>
      </c>
      <c r="N2483">
        <v>5.0803484000000003E-2</v>
      </c>
      <c r="O2483">
        <v>98.291666669999998</v>
      </c>
      <c r="P2483">
        <v>30.315130790000001</v>
      </c>
      <c r="Q2483">
        <v>5.0803484000000003E-2</v>
      </c>
      <c r="R2483" t="s">
        <v>1041</v>
      </c>
      <c r="S2483">
        <v>0</v>
      </c>
    </row>
    <row r="2484" spans="1:19" x14ac:dyDescent="0.25">
      <c r="A2484" t="s">
        <v>41</v>
      </c>
      <c r="B2484" t="s">
        <v>955</v>
      </c>
      <c r="C2484">
        <v>2</v>
      </c>
      <c r="D2484" t="s">
        <v>19</v>
      </c>
      <c r="E2484" t="s">
        <v>94</v>
      </c>
      <c r="F2484" t="s">
        <v>103</v>
      </c>
      <c r="G2484" t="s">
        <v>113</v>
      </c>
      <c r="H2484" t="s">
        <v>113</v>
      </c>
      <c r="J2484">
        <v>0</v>
      </c>
      <c r="K2484">
        <v>3</v>
      </c>
      <c r="L2484">
        <v>98.291666669999998</v>
      </c>
      <c r="M2484">
        <v>30.315130790000001</v>
      </c>
      <c r="N2484">
        <v>5.0803484000000003E-2</v>
      </c>
      <c r="O2484">
        <v>83.757575759999995</v>
      </c>
      <c r="P2484">
        <v>22.60997987</v>
      </c>
      <c r="Q2484">
        <v>0.72884000000000004</v>
      </c>
      <c r="R2484" t="s">
        <v>1041</v>
      </c>
      <c r="S2484">
        <v>0.21564730000000001</v>
      </c>
    </row>
    <row r="2485" spans="1:19" x14ac:dyDescent="0.25">
      <c r="A2485" t="s">
        <v>42</v>
      </c>
      <c r="B2485" t="s">
        <v>956</v>
      </c>
      <c r="C2485">
        <v>2</v>
      </c>
      <c r="D2485" t="s">
        <v>21</v>
      </c>
      <c r="E2485" t="s">
        <v>94</v>
      </c>
      <c r="F2485" t="s">
        <v>105</v>
      </c>
      <c r="G2485" t="s">
        <v>121</v>
      </c>
      <c r="H2485" t="s">
        <v>242</v>
      </c>
      <c r="J2485">
        <v>0</v>
      </c>
      <c r="K2485">
        <v>6</v>
      </c>
      <c r="L2485">
        <v>67.5</v>
      </c>
      <c r="M2485">
        <v>47.937235809999997</v>
      </c>
      <c r="N2485">
        <v>0.41599678000000001</v>
      </c>
      <c r="O2485">
        <v>139.375</v>
      </c>
      <c r="P2485">
        <v>23.713465920000001</v>
      </c>
      <c r="Q2485" t="s">
        <v>114</v>
      </c>
      <c r="R2485" t="s">
        <v>1041</v>
      </c>
      <c r="S2485" t="s">
        <v>114</v>
      </c>
    </row>
    <row r="2486" spans="1:19" x14ac:dyDescent="0.25">
      <c r="A2486" t="s">
        <v>42</v>
      </c>
      <c r="B2486" t="s">
        <v>957</v>
      </c>
      <c r="C2486">
        <v>2</v>
      </c>
      <c r="D2486" t="s">
        <v>21</v>
      </c>
      <c r="E2486" t="s">
        <v>94</v>
      </c>
      <c r="F2486" t="s">
        <v>110</v>
      </c>
      <c r="G2486" t="s">
        <v>113</v>
      </c>
      <c r="H2486" t="s">
        <v>104</v>
      </c>
      <c r="J2486">
        <v>0</v>
      </c>
      <c r="K2486">
        <v>2</v>
      </c>
      <c r="L2486">
        <v>73.260869569999997</v>
      </c>
      <c r="M2486">
        <v>34.453830549999999</v>
      </c>
      <c r="N2486">
        <v>1.058333333</v>
      </c>
      <c r="O2486">
        <v>113.9375</v>
      </c>
      <c r="P2486">
        <v>33.375507550000002</v>
      </c>
      <c r="Q2486">
        <v>2.4262999999999999</v>
      </c>
      <c r="R2486" t="s">
        <v>1041</v>
      </c>
      <c r="S2486">
        <v>0.50204910000000003</v>
      </c>
    </row>
    <row r="2487" spans="1:19" x14ac:dyDescent="0.25">
      <c r="A2487" t="s">
        <v>42</v>
      </c>
      <c r="B2487" t="s">
        <v>957</v>
      </c>
      <c r="C2487">
        <v>2</v>
      </c>
      <c r="D2487" t="s">
        <v>21</v>
      </c>
      <c r="E2487" t="s">
        <v>94</v>
      </c>
      <c r="F2487" t="s">
        <v>110</v>
      </c>
      <c r="G2487" t="s">
        <v>113</v>
      </c>
      <c r="H2487" t="s">
        <v>242</v>
      </c>
      <c r="J2487">
        <v>0</v>
      </c>
      <c r="K2487">
        <v>5</v>
      </c>
      <c r="L2487">
        <v>73.260869569999997</v>
      </c>
      <c r="M2487">
        <v>34.453830549999999</v>
      </c>
      <c r="N2487">
        <v>1.058333333</v>
      </c>
      <c r="O2487">
        <v>139.375</v>
      </c>
      <c r="P2487">
        <v>23.713465920000001</v>
      </c>
      <c r="Q2487" t="s">
        <v>114</v>
      </c>
      <c r="R2487" t="s">
        <v>1041</v>
      </c>
      <c r="S2487" t="s">
        <v>114</v>
      </c>
    </row>
    <row r="2488" spans="1:19" x14ac:dyDescent="0.25">
      <c r="A2488" t="s">
        <v>42</v>
      </c>
      <c r="B2488" t="s">
        <v>957</v>
      </c>
      <c r="C2488">
        <v>2</v>
      </c>
      <c r="D2488" t="s">
        <v>21</v>
      </c>
      <c r="E2488" t="s">
        <v>94</v>
      </c>
      <c r="F2488" t="s">
        <v>110</v>
      </c>
      <c r="G2488" t="s">
        <v>113</v>
      </c>
      <c r="H2488" t="s">
        <v>113</v>
      </c>
      <c r="J2488">
        <v>0</v>
      </c>
      <c r="K2488">
        <v>2</v>
      </c>
      <c r="L2488">
        <v>73.260869569999997</v>
      </c>
      <c r="M2488">
        <v>34.453830549999999</v>
      </c>
      <c r="N2488">
        <v>1.058333333</v>
      </c>
      <c r="O2488">
        <v>83.757575759999995</v>
      </c>
      <c r="P2488">
        <v>22.60997987</v>
      </c>
      <c r="Q2488">
        <v>0.72884000000000004</v>
      </c>
      <c r="R2488" t="s">
        <v>1041</v>
      </c>
      <c r="S2488">
        <v>0.6959573</v>
      </c>
    </row>
    <row r="2489" spans="1:19" x14ac:dyDescent="0.25">
      <c r="A2489" t="s">
        <v>42</v>
      </c>
      <c r="B2489" t="s">
        <v>958</v>
      </c>
      <c r="C2489">
        <v>2</v>
      </c>
      <c r="D2489" t="s">
        <v>21</v>
      </c>
      <c r="E2489" t="s">
        <v>94</v>
      </c>
      <c r="F2489" t="s">
        <v>111</v>
      </c>
      <c r="G2489" t="s">
        <v>110</v>
      </c>
      <c r="H2489" t="s">
        <v>113</v>
      </c>
      <c r="J2489">
        <v>0</v>
      </c>
      <c r="K2489">
        <v>1</v>
      </c>
      <c r="L2489">
        <v>94.97142857</v>
      </c>
      <c r="M2489">
        <v>24.31591813</v>
      </c>
      <c r="N2489">
        <v>0.122951111</v>
      </c>
      <c r="O2489">
        <v>83.757575759999995</v>
      </c>
      <c r="P2489">
        <v>22.60997987</v>
      </c>
      <c r="Q2489">
        <v>0.72884000000000004</v>
      </c>
      <c r="R2489" t="s">
        <v>1041</v>
      </c>
      <c r="S2489">
        <v>0.17749450000000003</v>
      </c>
    </row>
    <row r="2490" spans="1:19" x14ac:dyDescent="0.25">
      <c r="A2490" t="s">
        <v>42</v>
      </c>
      <c r="B2490" t="s">
        <v>958</v>
      </c>
      <c r="C2490">
        <v>2</v>
      </c>
      <c r="D2490" t="s">
        <v>21</v>
      </c>
      <c r="E2490" t="s">
        <v>94</v>
      </c>
      <c r="F2490" t="s">
        <v>111</v>
      </c>
      <c r="G2490" t="s">
        <v>110</v>
      </c>
      <c r="H2490" t="s">
        <v>110</v>
      </c>
      <c r="J2490">
        <v>0</v>
      </c>
      <c r="K2490">
        <v>1</v>
      </c>
      <c r="L2490">
        <v>94.97142857</v>
      </c>
      <c r="M2490">
        <v>24.31591813</v>
      </c>
      <c r="N2490">
        <v>0.122951111</v>
      </c>
      <c r="O2490">
        <v>73.260869569999997</v>
      </c>
      <c r="P2490">
        <v>34.453830549999999</v>
      </c>
      <c r="Q2490">
        <v>1.058333333</v>
      </c>
      <c r="R2490" t="s">
        <v>1041</v>
      </c>
      <c r="S2490">
        <v>0.5184628</v>
      </c>
    </row>
    <row r="2491" spans="1:19" x14ac:dyDescent="0.25">
      <c r="A2491" t="s">
        <v>42</v>
      </c>
      <c r="B2491" t="s">
        <v>959</v>
      </c>
      <c r="C2491">
        <v>2</v>
      </c>
      <c r="D2491" t="s">
        <v>21</v>
      </c>
      <c r="E2491" t="s">
        <v>94</v>
      </c>
      <c r="F2491" t="s">
        <v>104</v>
      </c>
      <c r="G2491" t="s">
        <v>121</v>
      </c>
      <c r="H2491" t="s">
        <v>110</v>
      </c>
      <c r="J2491">
        <v>1</v>
      </c>
      <c r="K2491">
        <v>2</v>
      </c>
      <c r="L2491">
        <v>113.9375</v>
      </c>
      <c r="M2491">
        <v>33.375507550000002</v>
      </c>
      <c r="N2491">
        <v>2.4262999999999999</v>
      </c>
      <c r="O2491">
        <v>73.260869569999997</v>
      </c>
      <c r="P2491">
        <v>34.453830549999999</v>
      </c>
      <c r="Q2491">
        <v>1.058333333</v>
      </c>
      <c r="R2491" t="s">
        <v>1041</v>
      </c>
      <c r="S2491">
        <v>0.50204910000000003</v>
      </c>
    </row>
    <row r="2492" spans="1:19" x14ac:dyDescent="0.25">
      <c r="A2492" t="s">
        <v>42</v>
      </c>
      <c r="B2492" t="s">
        <v>959</v>
      </c>
      <c r="C2492">
        <v>2</v>
      </c>
      <c r="D2492" t="s">
        <v>21</v>
      </c>
      <c r="E2492" t="s">
        <v>94</v>
      </c>
      <c r="F2492" t="s">
        <v>104</v>
      </c>
      <c r="G2492" t="s">
        <v>121</v>
      </c>
      <c r="H2492" t="s">
        <v>240</v>
      </c>
      <c r="J2492">
        <v>1</v>
      </c>
      <c r="K2492">
        <v>2</v>
      </c>
      <c r="L2492">
        <v>113.9375</v>
      </c>
      <c r="M2492">
        <v>33.375507550000002</v>
      </c>
      <c r="N2492">
        <v>2.4262999999999999</v>
      </c>
      <c r="O2492">
        <v>104.83333330000001</v>
      </c>
      <c r="P2492">
        <v>43.798647680000002</v>
      </c>
      <c r="Q2492">
        <v>7.7741939999999999E-3</v>
      </c>
      <c r="R2492" t="s">
        <v>1041</v>
      </c>
      <c r="S2492" t="s">
        <v>114</v>
      </c>
    </row>
    <row r="2493" spans="1:19" x14ac:dyDescent="0.25">
      <c r="A2493" t="s">
        <v>42</v>
      </c>
      <c r="B2493" t="s">
        <v>959</v>
      </c>
      <c r="C2493">
        <v>2</v>
      </c>
      <c r="D2493" t="s">
        <v>21</v>
      </c>
      <c r="E2493" t="s">
        <v>94</v>
      </c>
      <c r="F2493" t="s">
        <v>104</v>
      </c>
      <c r="G2493" t="s">
        <v>121</v>
      </c>
      <c r="H2493" t="s">
        <v>241</v>
      </c>
      <c r="J2493">
        <v>1</v>
      </c>
      <c r="K2493">
        <v>1</v>
      </c>
      <c r="L2493">
        <v>113.9375</v>
      </c>
      <c r="M2493">
        <v>33.375507550000002</v>
      </c>
      <c r="N2493">
        <v>2.4262999999999999</v>
      </c>
      <c r="O2493">
        <v>114</v>
      </c>
      <c r="P2493">
        <v>30.43077242</v>
      </c>
      <c r="Q2493">
        <v>0.53383111100000002</v>
      </c>
      <c r="R2493" t="s">
        <v>1041</v>
      </c>
      <c r="S2493">
        <v>0.12358827</v>
      </c>
    </row>
    <row r="2494" spans="1:19" x14ac:dyDescent="0.25">
      <c r="A2494" t="s">
        <v>43</v>
      </c>
      <c r="B2494" t="s">
        <v>960</v>
      </c>
      <c r="C2494">
        <v>2</v>
      </c>
      <c r="D2494" t="s">
        <v>23</v>
      </c>
      <c r="E2494" t="s">
        <v>94</v>
      </c>
      <c r="F2494" t="s">
        <v>105</v>
      </c>
      <c r="G2494" t="s">
        <v>104</v>
      </c>
      <c r="H2494" t="s">
        <v>104</v>
      </c>
      <c r="J2494">
        <v>0</v>
      </c>
      <c r="K2494">
        <v>1</v>
      </c>
      <c r="L2494">
        <v>67.5</v>
      </c>
      <c r="M2494">
        <v>47.937235809999997</v>
      </c>
      <c r="N2494">
        <v>0.41599678000000001</v>
      </c>
      <c r="O2494">
        <v>113.9375</v>
      </c>
      <c r="P2494">
        <v>33.375507550000002</v>
      </c>
      <c r="Q2494">
        <v>2.4262999999999999</v>
      </c>
      <c r="R2494" t="s">
        <v>1041</v>
      </c>
      <c r="S2494">
        <v>1.6881130999999998</v>
      </c>
    </row>
    <row r="2495" spans="1:19" x14ac:dyDescent="0.25">
      <c r="A2495" t="s">
        <v>43</v>
      </c>
      <c r="B2495" t="s">
        <v>961</v>
      </c>
      <c r="C2495">
        <v>2</v>
      </c>
      <c r="D2495" t="s">
        <v>23</v>
      </c>
      <c r="E2495" t="s">
        <v>94</v>
      </c>
      <c r="F2495" t="s">
        <v>110</v>
      </c>
      <c r="G2495" t="s">
        <v>110</v>
      </c>
      <c r="H2495" t="s">
        <v>110</v>
      </c>
      <c r="J2495">
        <v>0</v>
      </c>
      <c r="K2495">
        <v>1</v>
      </c>
      <c r="L2495">
        <v>73.260869569999997</v>
      </c>
      <c r="M2495">
        <v>34.453830549999999</v>
      </c>
      <c r="N2495">
        <v>1.058333333</v>
      </c>
      <c r="O2495">
        <v>73.260869569999997</v>
      </c>
      <c r="P2495">
        <v>34.453830549999999</v>
      </c>
      <c r="Q2495">
        <v>1.058333333</v>
      </c>
      <c r="R2495" t="s">
        <v>1041</v>
      </c>
      <c r="S2495">
        <v>0</v>
      </c>
    </row>
    <row r="2496" spans="1:19" x14ac:dyDescent="0.25">
      <c r="A2496" t="s">
        <v>43</v>
      </c>
      <c r="B2496" t="s">
        <v>962</v>
      </c>
      <c r="C2496">
        <v>2</v>
      </c>
      <c r="D2496" t="s">
        <v>23</v>
      </c>
      <c r="E2496" t="s">
        <v>94</v>
      </c>
      <c r="F2496" t="s">
        <v>111</v>
      </c>
      <c r="G2496" t="s">
        <v>121</v>
      </c>
      <c r="H2496" t="s">
        <v>114</v>
      </c>
      <c r="J2496">
        <v>0</v>
      </c>
      <c r="K2496" t="s">
        <v>114</v>
      </c>
      <c r="L2496">
        <v>94.97142857</v>
      </c>
      <c r="M2496">
        <v>24.31591813</v>
      </c>
      <c r="N2496">
        <v>0.122951111</v>
      </c>
      <c r="O2496" t="s">
        <v>114</v>
      </c>
      <c r="P2496" t="s">
        <v>114</v>
      </c>
      <c r="Q2496" t="s">
        <v>114</v>
      </c>
      <c r="R2496" t="s">
        <v>1041</v>
      </c>
      <c r="S2496" t="s">
        <v>114</v>
      </c>
    </row>
    <row r="2497" spans="1:19" x14ac:dyDescent="0.25">
      <c r="A2497" t="s">
        <v>43</v>
      </c>
      <c r="B2497" t="s">
        <v>963</v>
      </c>
      <c r="C2497">
        <v>2</v>
      </c>
      <c r="D2497" t="s">
        <v>23</v>
      </c>
      <c r="E2497" t="s">
        <v>94</v>
      </c>
      <c r="F2497" t="s">
        <v>104</v>
      </c>
      <c r="G2497" t="s">
        <v>104</v>
      </c>
      <c r="H2497" t="s">
        <v>104</v>
      </c>
      <c r="J2497">
        <v>0</v>
      </c>
      <c r="K2497">
        <v>1</v>
      </c>
      <c r="L2497">
        <v>113.9375</v>
      </c>
      <c r="M2497">
        <v>33.375507550000002</v>
      </c>
      <c r="N2497">
        <v>2.4262999999999999</v>
      </c>
      <c r="O2497">
        <v>113.9375</v>
      </c>
      <c r="P2497">
        <v>33.375507550000002</v>
      </c>
      <c r="Q2497">
        <v>2.4262999999999999</v>
      </c>
      <c r="R2497" t="s">
        <v>1041</v>
      </c>
      <c r="S2497">
        <v>0</v>
      </c>
    </row>
    <row r="2498" spans="1:19" x14ac:dyDescent="0.25">
      <c r="A2498" t="s">
        <v>43</v>
      </c>
      <c r="B2498" t="s">
        <v>963</v>
      </c>
      <c r="C2498">
        <v>2</v>
      </c>
      <c r="D2498" t="s">
        <v>23</v>
      </c>
      <c r="E2498" t="s">
        <v>94</v>
      </c>
      <c r="F2498" t="s">
        <v>104</v>
      </c>
      <c r="G2498" t="s">
        <v>104</v>
      </c>
      <c r="H2498" t="s">
        <v>808</v>
      </c>
      <c r="J2498">
        <v>0</v>
      </c>
      <c r="K2498">
        <v>1</v>
      </c>
      <c r="L2498">
        <v>113.9375</v>
      </c>
      <c r="M2498">
        <v>33.375507550000002</v>
      </c>
      <c r="N2498">
        <v>2.4262999999999999</v>
      </c>
      <c r="O2498">
        <v>102.79166669999999</v>
      </c>
      <c r="P2498">
        <v>27.057373470000002</v>
      </c>
      <c r="Q2498">
        <v>6.3567849939999999</v>
      </c>
      <c r="R2498" t="s">
        <v>1041</v>
      </c>
      <c r="S2498" t="s">
        <v>114</v>
      </c>
    </row>
    <row r="2499" spans="1:19" x14ac:dyDescent="0.25">
      <c r="A2499" t="s">
        <v>44</v>
      </c>
      <c r="B2499" t="s">
        <v>964</v>
      </c>
      <c r="C2499">
        <v>2</v>
      </c>
      <c r="D2499" t="s">
        <v>25</v>
      </c>
      <c r="E2499" t="s">
        <v>95</v>
      </c>
      <c r="F2499" t="s">
        <v>102</v>
      </c>
      <c r="G2499" t="s">
        <v>102</v>
      </c>
      <c r="H2499" t="s">
        <v>102</v>
      </c>
      <c r="J2499">
        <v>0</v>
      </c>
      <c r="K2499">
        <v>1</v>
      </c>
      <c r="L2499">
        <v>84.740740740000007</v>
      </c>
      <c r="M2499">
        <v>29.167014049999999</v>
      </c>
      <c r="N2499">
        <v>1.1169849999999999</v>
      </c>
      <c r="O2499">
        <v>84.740740740000007</v>
      </c>
      <c r="P2499">
        <v>29.167014049999999</v>
      </c>
      <c r="Q2499">
        <v>1.1169849999999999</v>
      </c>
      <c r="R2499" t="s">
        <v>1041</v>
      </c>
      <c r="S2499">
        <v>0</v>
      </c>
    </row>
    <row r="2500" spans="1:19" x14ac:dyDescent="0.25">
      <c r="A2500" t="s">
        <v>44</v>
      </c>
      <c r="B2500" t="s">
        <v>965</v>
      </c>
      <c r="C2500">
        <v>2</v>
      </c>
      <c r="D2500" t="s">
        <v>25</v>
      </c>
      <c r="E2500" t="s">
        <v>95</v>
      </c>
      <c r="F2500" t="s">
        <v>110</v>
      </c>
      <c r="G2500" t="s">
        <v>121</v>
      </c>
      <c r="H2500" t="s">
        <v>114</v>
      </c>
      <c r="I2500" t="s">
        <v>162</v>
      </c>
      <c r="J2500">
        <v>1</v>
      </c>
      <c r="K2500">
        <v>0</v>
      </c>
      <c r="L2500">
        <v>73.260869569999997</v>
      </c>
      <c r="M2500">
        <v>34.453830549999999</v>
      </c>
      <c r="N2500">
        <v>1.058333333</v>
      </c>
      <c r="O2500" t="s">
        <v>114</v>
      </c>
      <c r="P2500" t="s">
        <v>114</v>
      </c>
      <c r="Q2500" t="s">
        <v>114</v>
      </c>
      <c r="R2500" t="s">
        <v>1041</v>
      </c>
      <c r="S2500" t="s">
        <v>114</v>
      </c>
    </row>
    <row r="2501" spans="1:19" x14ac:dyDescent="0.25">
      <c r="A2501" t="s">
        <v>44</v>
      </c>
      <c r="B2501" t="s">
        <v>966</v>
      </c>
      <c r="C2501">
        <v>2</v>
      </c>
      <c r="D2501" t="s">
        <v>25</v>
      </c>
      <c r="E2501" t="s">
        <v>95</v>
      </c>
      <c r="F2501" t="s">
        <v>104</v>
      </c>
      <c r="G2501" t="s">
        <v>112</v>
      </c>
      <c r="H2501" t="s">
        <v>112</v>
      </c>
      <c r="J2501">
        <v>0</v>
      </c>
      <c r="K2501">
        <v>1</v>
      </c>
      <c r="L2501">
        <v>113.9375</v>
      </c>
      <c r="M2501">
        <v>33.375507550000002</v>
      </c>
      <c r="N2501">
        <v>2.4262999999999999</v>
      </c>
      <c r="O2501">
        <v>65.09375</v>
      </c>
      <c r="P2501">
        <v>37.895352600000002</v>
      </c>
      <c r="Q2501">
        <v>2.2882677779999998</v>
      </c>
      <c r="R2501" t="s">
        <v>1041</v>
      </c>
      <c r="S2501">
        <v>1.8042558</v>
      </c>
    </row>
    <row r="2502" spans="1:19" x14ac:dyDescent="0.25">
      <c r="A2502" t="s">
        <v>44</v>
      </c>
      <c r="B2502" t="s">
        <v>966</v>
      </c>
      <c r="C2502">
        <v>2</v>
      </c>
      <c r="D2502" t="s">
        <v>25</v>
      </c>
      <c r="E2502" t="s">
        <v>95</v>
      </c>
      <c r="F2502" t="s">
        <v>104</v>
      </c>
      <c r="G2502" t="s">
        <v>112</v>
      </c>
      <c r="H2502" t="s">
        <v>162</v>
      </c>
      <c r="J2502">
        <v>0</v>
      </c>
      <c r="K2502">
        <v>1</v>
      </c>
      <c r="L2502">
        <v>113.9375</v>
      </c>
      <c r="M2502">
        <v>33.375507550000002</v>
      </c>
      <c r="N2502">
        <v>2.4262999999999999</v>
      </c>
      <c r="O2502">
        <v>82.53846154</v>
      </c>
      <c r="P2502">
        <v>35.660530039999998</v>
      </c>
      <c r="Q2502">
        <v>3.3754499999999998</v>
      </c>
      <c r="R2502" t="s">
        <v>1041</v>
      </c>
      <c r="S2502" t="s">
        <v>114</v>
      </c>
    </row>
    <row r="2503" spans="1:19" x14ac:dyDescent="0.25">
      <c r="A2503" t="s">
        <v>44</v>
      </c>
      <c r="B2503" t="s">
        <v>966</v>
      </c>
      <c r="C2503">
        <v>2</v>
      </c>
      <c r="D2503" t="s">
        <v>25</v>
      </c>
      <c r="E2503" t="s">
        <v>95</v>
      </c>
      <c r="F2503" t="s">
        <v>104</v>
      </c>
      <c r="G2503" t="s">
        <v>112</v>
      </c>
      <c r="H2503" t="s">
        <v>113</v>
      </c>
      <c r="J2503">
        <v>0</v>
      </c>
      <c r="K2503">
        <v>1</v>
      </c>
      <c r="L2503">
        <v>113.9375</v>
      </c>
      <c r="M2503">
        <v>33.375507550000002</v>
      </c>
      <c r="N2503">
        <v>2.4262999999999999</v>
      </c>
      <c r="O2503">
        <v>83.757575759999995</v>
      </c>
      <c r="P2503">
        <v>22.60997987</v>
      </c>
      <c r="Q2503">
        <v>0.72884000000000004</v>
      </c>
      <c r="R2503" t="s">
        <v>1041</v>
      </c>
      <c r="S2503">
        <v>0.1939082</v>
      </c>
    </row>
    <row r="2504" spans="1:19" x14ac:dyDescent="0.25">
      <c r="A2504" t="s">
        <v>44</v>
      </c>
      <c r="B2504" t="s">
        <v>967</v>
      </c>
      <c r="C2504">
        <v>2</v>
      </c>
      <c r="D2504" t="s">
        <v>25</v>
      </c>
      <c r="E2504" t="s">
        <v>95</v>
      </c>
      <c r="F2504" t="s">
        <v>112</v>
      </c>
      <c r="G2504" t="s">
        <v>121</v>
      </c>
      <c r="H2504" t="s">
        <v>114</v>
      </c>
      <c r="J2504">
        <v>0</v>
      </c>
      <c r="K2504" t="s">
        <v>114</v>
      </c>
      <c r="L2504">
        <v>65.09375</v>
      </c>
      <c r="M2504">
        <v>37.895352600000002</v>
      </c>
      <c r="N2504">
        <v>2.2882677779999998</v>
      </c>
      <c r="O2504" t="s">
        <v>114</v>
      </c>
      <c r="P2504" t="s">
        <v>114</v>
      </c>
      <c r="Q2504" t="s">
        <v>114</v>
      </c>
      <c r="R2504" t="s">
        <v>1041</v>
      </c>
      <c r="S2504" t="s">
        <v>114</v>
      </c>
    </row>
    <row r="2505" spans="1:19" x14ac:dyDescent="0.25">
      <c r="A2505" t="s">
        <v>45</v>
      </c>
      <c r="B2505" t="s">
        <v>968</v>
      </c>
      <c r="C2505">
        <v>2</v>
      </c>
      <c r="D2505" t="s">
        <v>27</v>
      </c>
      <c r="E2505" t="s">
        <v>95</v>
      </c>
      <c r="F2505" t="s">
        <v>102</v>
      </c>
      <c r="G2505" t="s">
        <v>113</v>
      </c>
      <c r="H2505" t="s">
        <v>113</v>
      </c>
      <c r="J2505">
        <v>0</v>
      </c>
      <c r="K2505">
        <v>2</v>
      </c>
      <c r="L2505">
        <v>84.740740740000007</v>
      </c>
      <c r="M2505">
        <v>29.167014049999999</v>
      </c>
      <c r="N2505">
        <v>1.1169849999999999</v>
      </c>
      <c r="O2505">
        <v>83.757575759999995</v>
      </c>
      <c r="P2505">
        <v>22.60997987</v>
      </c>
      <c r="Q2505">
        <v>0.72884000000000004</v>
      </c>
      <c r="R2505" t="s">
        <v>1041</v>
      </c>
      <c r="S2505">
        <v>0.94413650000000005</v>
      </c>
    </row>
    <row r="2506" spans="1:19" x14ac:dyDescent="0.25">
      <c r="A2506" t="s">
        <v>45</v>
      </c>
      <c r="B2506" t="s">
        <v>969</v>
      </c>
      <c r="C2506">
        <v>2</v>
      </c>
      <c r="D2506" t="s">
        <v>27</v>
      </c>
      <c r="E2506" t="s">
        <v>95</v>
      </c>
      <c r="F2506" t="s">
        <v>105</v>
      </c>
      <c r="G2506" t="s">
        <v>113</v>
      </c>
      <c r="H2506" t="s">
        <v>113</v>
      </c>
      <c r="J2506">
        <v>0</v>
      </c>
      <c r="K2506">
        <v>6</v>
      </c>
      <c r="L2506">
        <v>67.5</v>
      </c>
      <c r="M2506">
        <v>47.937235809999997</v>
      </c>
      <c r="N2506">
        <v>0.41599678000000001</v>
      </c>
      <c r="O2506">
        <v>83.757575759999995</v>
      </c>
      <c r="P2506">
        <v>22.60997987</v>
      </c>
      <c r="Q2506">
        <v>0.72884000000000004</v>
      </c>
      <c r="R2506" t="s">
        <v>1041</v>
      </c>
      <c r="S2506">
        <v>1.8820212999999999</v>
      </c>
    </row>
    <row r="2507" spans="1:19" x14ac:dyDescent="0.25">
      <c r="A2507" t="s">
        <v>45</v>
      </c>
      <c r="B2507" t="s">
        <v>970</v>
      </c>
      <c r="C2507">
        <v>2</v>
      </c>
      <c r="D2507" t="s">
        <v>27</v>
      </c>
      <c r="E2507" t="s">
        <v>95</v>
      </c>
      <c r="F2507" t="s">
        <v>112</v>
      </c>
      <c r="G2507" t="s">
        <v>121</v>
      </c>
      <c r="H2507" t="s">
        <v>113</v>
      </c>
      <c r="J2507">
        <v>0</v>
      </c>
      <c r="K2507">
        <v>8</v>
      </c>
      <c r="L2507">
        <v>65.09375</v>
      </c>
      <c r="M2507">
        <v>37.895352600000002</v>
      </c>
      <c r="N2507">
        <v>2.2882677779999998</v>
      </c>
      <c r="O2507">
        <v>83.757575759999995</v>
      </c>
      <c r="P2507">
        <v>22.60997987</v>
      </c>
      <c r="Q2507">
        <v>0.72884000000000004</v>
      </c>
      <c r="R2507" t="s">
        <v>1041</v>
      </c>
      <c r="S2507">
        <v>1.9981640000000001</v>
      </c>
    </row>
    <row r="2508" spans="1:19" x14ac:dyDescent="0.25">
      <c r="A2508" t="s">
        <v>45</v>
      </c>
      <c r="B2508" t="s">
        <v>970</v>
      </c>
      <c r="C2508">
        <v>2</v>
      </c>
      <c r="D2508" t="s">
        <v>27</v>
      </c>
      <c r="E2508" t="s">
        <v>95</v>
      </c>
      <c r="F2508" t="s">
        <v>112</v>
      </c>
      <c r="G2508" t="s">
        <v>121</v>
      </c>
      <c r="H2508" t="s">
        <v>103</v>
      </c>
      <c r="J2508">
        <v>0</v>
      </c>
      <c r="K2508">
        <v>1</v>
      </c>
      <c r="L2508">
        <v>65.09375</v>
      </c>
      <c r="M2508">
        <v>37.895352600000002</v>
      </c>
      <c r="N2508">
        <v>2.2882677779999998</v>
      </c>
      <c r="O2508">
        <v>98.291666669999998</v>
      </c>
      <c r="P2508">
        <v>30.315130790000001</v>
      </c>
      <c r="Q2508">
        <v>5.0803484000000003E-2</v>
      </c>
      <c r="R2508" t="s">
        <v>1041</v>
      </c>
      <c r="S2508">
        <v>1.7825167</v>
      </c>
    </row>
    <row r="2509" spans="1:19" x14ac:dyDescent="0.25">
      <c r="A2509" t="s">
        <v>46</v>
      </c>
      <c r="B2509" t="s">
        <v>971</v>
      </c>
      <c r="C2509">
        <v>2</v>
      </c>
      <c r="D2509" t="s">
        <v>29</v>
      </c>
      <c r="E2509" t="s">
        <v>95</v>
      </c>
      <c r="F2509" t="s">
        <v>102</v>
      </c>
      <c r="G2509" t="s">
        <v>121</v>
      </c>
      <c r="H2509" t="s">
        <v>114</v>
      </c>
      <c r="J2509">
        <v>0</v>
      </c>
      <c r="K2509" t="s">
        <v>114</v>
      </c>
      <c r="L2509">
        <v>84.740740740000007</v>
      </c>
      <c r="M2509">
        <v>29.167014049999999</v>
      </c>
      <c r="N2509">
        <v>1.1169849999999999</v>
      </c>
      <c r="O2509" t="s">
        <v>114</v>
      </c>
      <c r="P2509" t="s">
        <v>114</v>
      </c>
      <c r="Q2509" t="s">
        <v>114</v>
      </c>
      <c r="R2509" t="s">
        <v>1041</v>
      </c>
      <c r="S2509" t="s">
        <v>114</v>
      </c>
    </row>
    <row r="2510" spans="1:19" x14ac:dyDescent="0.25">
      <c r="A2510" t="s">
        <v>46</v>
      </c>
      <c r="B2510" t="s">
        <v>972</v>
      </c>
      <c r="C2510">
        <v>2</v>
      </c>
      <c r="D2510" t="s">
        <v>29</v>
      </c>
      <c r="E2510" t="s">
        <v>95</v>
      </c>
      <c r="F2510" t="s">
        <v>110</v>
      </c>
      <c r="G2510" t="s">
        <v>113</v>
      </c>
      <c r="H2510" t="s">
        <v>113</v>
      </c>
      <c r="J2510">
        <v>0</v>
      </c>
      <c r="K2510">
        <v>3</v>
      </c>
      <c r="L2510">
        <v>73.260869569999997</v>
      </c>
      <c r="M2510">
        <v>34.453830549999999</v>
      </c>
      <c r="N2510">
        <v>1.058333333</v>
      </c>
      <c r="O2510">
        <v>83.757575759999995</v>
      </c>
      <c r="P2510">
        <v>22.60997987</v>
      </c>
      <c r="Q2510">
        <v>0.72884000000000004</v>
      </c>
      <c r="R2510" t="s">
        <v>1041</v>
      </c>
      <c r="S2510">
        <v>0.6959573</v>
      </c>
    </row>
    <row r="2511" spans="1:19" x14ac:dyDescent="0.25">
      <c r="A2511" t="s">
        <v>46</v>
      </c>
      <c r="B2511" t="s">
        <v>973</v>
      </c>
      <c r="C2511">
        <v>2</v>
      </c>
      <c r="D2511" t="s">
        <v>29</v>
      </c>
      <c r="E2511" t="s">
        <v>95</v>
      </c>
      <c r="F2511" t="s">
        <v>112</v>
      </c>
      <c r="G2511" t="s">
        <v>121</v>
      </c>
      <c r="H2511" t="s">
        <v>114</v>
      </c>
      <c r="J2511">
        <v>0</v>
      </c>
      <c r="K2511" t="s">
        <v>114</v>
      </c>
      <c r="L2511">
        <v>65.09375</v>
      </c>
      <c r="M2511">
        <v>37.895352600000002</v>
      </c>
      <c r="N2511">
        <v>2.2882677779999998</v>
      </c>
      <c r="O2511" t="s">
        <v>114</v>
      </c>
      <c r="P2511" t="s">
        <v>114</v>
      </c>
      <c r="Q2511" t="s">
        <v>114</v>
      </c>
      <c r="R2511" t="s">
        <v>1041</v>
      </c>
      <c r="S2511" t="s">
        <v>114</v>
      </c>
    </row>
    <row r="2512" spans="1:19" x14ac:dyDescent="0.25">
      <c r="A2512" t="s">
        <v>47</v>
      </c>
      <c r="B2512" t="s">
        <v>974</v>
      </c>
      <c r="C2512">
        <v>2</v>
      </c>
      <c r="D2512" t="s">
        <v>31</v>
      </c>
      <c r="E2512" t="s">
        <v>94</v>
      </c>
      <c r="F2512" t="s">
        <v>112</v>
      </c>
      <c r="G2512" t="s">
        <v>112</v>
      </c>
      <c r="H2512" t="s">
        <v>112</v>
      </c>
      <c r="J2512">
        <v>0</v>
      </c>
      <c r="K2512">
        <v>1</v>
      </c>
      <c r="L2512">
        <v>65.09375</v>
      </c>
      <c r="M2512">
        <v>37.895352600000002</v>
      </c>
      <c r="N2512">
        <v>2.2882677779999998</v>
      </c>
      <c r="O2512">
        <v>65.09375</v>
      </c>
      <c r="P2512">
        <v>37.895352600000002</v>
      </c>
      <c r="Q2512">
        <v>2.2882677779999998</v>
      </c>
      <c r="R2512" t="s">
        <v>1041</v>
      </c>
      <c r="S2512">
        <v>0</v>
      </c>
    </row>
    <row r="2513" spans="1:19" x14ac:dyDescent="0.25">
      <c r="A2513" t="s">
        <v>47</v>
      </c>
      <c r="B2513" t="s">
        <v>974</v>
      </c>
      <c r="C2513">
        <v>2</v>
      </c>
      <c r="D2513" t="s">
        <v>31</v>
      </c>
      <c r="E2513" t="s">
        <v>94</v>
      </c>
      <c r="F2513" t="s">
        <v>112</v>
      </c>
      <c r="G2513" t="s">
        <v>112</v>
      </c>
      <c r="H2513" t="s">
        <v>113</v>
      </c>
      <c r="J2513">
        <v>0</v>
      </c>
      <c r="K2513">
        <v>1</v>
      </c>
      <c r="L2513">
        <v>65.09375</v>
      </c>
      <c r="M2513">
        <v>37.895352600000002</v>
      </c>
      <c r="N2513">
        <v>2.2882677779999998</v>
      </c>
      <c r="O2513">
        <v>83.757575759999995</v>
      </c>
      <c r="P2513">
        <v>22.60997987</v>
      </c>
      <c r="Q2513">
        <v>0.72884000000000004</v>
      </c>
      <c r="R2513" t="s">
        <v>1041</v>
      </c>
      <c r="S2513">
        <v>1.9981640000000001</v>
      </c>
    </row>
    <row r="2514" spans="1:19" x14ac:dyDescent="0.25">
      <c r="A2514" t="s">
        <v>48</v>
      </c>
      <c r="B2514" t="s">
        <v>975</v>
      </c>
      <c r="C2514">
        <v>2</v>
      </c>
      <c r="D2514" t="s">
        <v>33</v>
      </c>
      <c r="E2514" t="s">
        <v>95</v>
      </c>
      <c r="F2514" t="s">
        <v>105</v>
      </c>
      <c r="G2514" t="s">
        <v>104</v>
      </c>
      <c r="H2514" t="s">
        <v>103</v>
      </c>
      <c r="J2514">
        <v>0</v>
      </c>
      <c r="K2514">
        <v>1</v>
      </c>
      <c r="L2514">
        <v>67.5</v>
      </c>
      <c r="M2514">
        <v>47.937235809999997</v>
      </c>
      <c r="N2514">
        <v>0.41599678000000001</v>
      </c>
      <c r="O2514">
        <v>98.291666669999998</v>
      </c>
      <c r="P2514">
        <v>30.315130790000001</v>
      </c>
      <c r="Q2514">
        <v>5.0803484000000003E-2</v>
      </c>
      <c r="R2514" t="s">
        <v>1041</v>
      </c>
      <c r="S2514">
        <v>1.6663739999999998</v>
      </c>
    </row>
    <row r="2515" spans="1:19" x14ac:dyDescent="0.25">
      <c r="A2515" t="s">
        <v>48</v>
      </c>
      <c r="B2515" t="s">
        <v>975</v>
      </c>
      <c r="C2515">
        <v>2</v>
      </c>
      <c r="D2515" t="s">
        <v>33</v>
      </c>
      <c r="E2515" t="s">
        <v>95</v>
      </c>
      <c r="F2515" t="s">
        <v>105</v>
      </c>
      <c r="G2515" t="s">
        <v>104</v>
      </c>
      <c r="H2515" t="s">
        <v>104</v>
      </c>
      <c r="J2515">
        <v>0</v>
      </c>
      <c r="K2515">
        <v>2</v>
      </c>
      <c r="L2515">
        <v>67.5</v>
      </c>
      <c r="M2515">
        <v>47.937235809999997</v>
      </c>
      <c r="N2515">
        <v>0.41599678000000001</v>
      </c>
      <c r="O2515">
        <v>113.9375</v>
      </c>
      <c r="P2515">
        <v>33.375507550000002</v>
      </c>
      <c r="Q2515">
        <v>2.4262999999999999</v>
      </c>
      <c r="R2515" t="s">
        <v>1041</v>
      </c>
      <c r="S2515">
        <v>1.6881130999999998</v>
      </c>
    </row>
    <row r="2516" spans="1:19" x14ac:dyDescent="0.25">
      <c r="A2516" t="s">
        <v>48</v>
      </c>
      <c r="B2516" t="s">
        <v>976</v>
      </c>
      <c r="C2516">
        <v>2</v>
      </c>
      <c r="D2516" t="s">
        <v>33</v>
      </c>
      <c r="E2516" t="s">
        <v>95</v>
      </c>
      <c r="F2516" t="s">
        <v>111</v>
      </c>
      <c r="G2516" t="s">
        <v>113</v>
      </c>
      <c r="H2516" t="s">
        <v>113</v>
      </c>
      <c r="J2516">
        <v>0</v>
      </c>
      <c r="K2516">
        <v>1</v>
      </c>
      <c r="L2516">
        <v>94.97142857</v>
      </c>
      <c r="M2516">
        <v>24.31591813</v>
      </c>
      <c r="N2516">
        <v>0.122951111</v>
      </c>
      <c r="O2516">
        <v>83.757575759999995</v>
      </c>
      <c r="P2516">
        <v>22.60997987</v>
      </c>
      <c r="Q2516">
        <v>0.72884000000000004</v>
      </c>
      <c r="R2516" t="s">
        <v>1041</v>
      </c>
      <c r="S2516">
        <v>0.17749450000000003</v>
      </c>
    </row>
    <row r="2517" spans="1:19" x14ac:dyDescent="0.25">
      <c r="A2517" t="s">
        <v>48</v>
      </c>
      <c r="B2517" t="s">
        <v>976</v>
      </c>
      <c r="C2517">
        <v>2</v>
      </c>
      <c r="D2517" t="s">
        <v>33</v>
      </c>
      <c r="E2517" t="s">
        <v>95</v>
      </c>
      <c r="F2517" t="s">
        <v>111</v>
      </c>
      <c r="G2517" t="s">
        <v>113</v>
      </c>
      <c r="H2517" t="s">
        <v>241</v>
      </c>
      <c r="J2517">
        <v>0</v>
      </c>
      <c r="K2517">
        <v>1</v>
      </c>
      <c r="L2517">
        <v>94.97142857</v>
      </c>
      <c r="M2517">
        <v>24.31591813</v>
      </c>
      <c r="N2517">
        <v>0.122951111</v>
      </c>
      <c r="O2517">
        <v>114</v>
      </c>
      <c r="P2517">
        <v>30.43077242</v>
      </c>
      <c r="Q2517">
        <v>0.53383111100000002</v>
      </c>
      <c r="R2517" t="s">
        <v>1041</v>
      </c>
      <c r="S2517">
        <v>0.10717457000000002</v>
      </c>
    </row>
    <row r="2518" spans="1:19" x14ac:dyDescent="0.25">
      <c r="A2518" t="s">
        <v>48</v>
      </c>
      <c r="B2518" t="s">
        <v>977</v>
      </c>
      <c r="C2518">
        <v>2</v>
      </c>
      <c r="D2518" t="s">
        <v>33</v>
      </c>
      <c r="E2518" t="s">
        <v>95</v>
      </c>
      <c r="F2518" t="s">
        <v>104</v>
      </c>
      <c r="G2518" t="s">
        <v>121</v>
      </c>
      <c r="H2518" t="s">
        <v>113</v>
      </c>
      <c r="J2518">
        <v>0</v>
      </c>
      <c r="K2518">
        <v>5</v>
      </c>
      <c r="L2518">
        <v>113.9375</v>
      </c>
      <c r="M2518">
        <v>33.375507550000002</v>
      </c>
      <c r="N2518">
        <v>2.4262999999999999</v>
      </c>
      <c r="O2518">
        <v>83.757575759999995</v>
      </c>
      <c r="P2518">
        <v>22.60997987</v>
      </c>
      <c r="Q2518">
        <v>0.72884000000000004</v>
      </c>
      <c r="R2518" t="s">
        <v>1041</v>
      </c>
      <c r="S2518">
        <v>0.1939082</v>
      </c>
    </row>
    <row r="2519" spans="1:19" x14ac:dyDescent="0.25">
      <c r="A2519" t="s">
        <v>48</v>
      </c>
      <c r="B2519" t="s">
        <v>977</v>
      </c>
      <c r="C2519">
        <v>2</v>
      </c>
      <c r="D2519" t="s">
        <v>33</v>
      </c>
      <c r="E2519" t="s">
        <v>95</v>
      </c>
      <c r="F2519" t="s">
        <v>104</v>
      </c>
      <c r="G2519" t="s">
        <v>121</v>
      </c>
      <c r="H2519" t="s">
        <v>104</v>
      </c>
      <c r="J2519">
        <v>0</v>
      </c>
      <c r="K2519">
        <v>2</v>
      </c>
      <c r="L2519">
        <v>113.9375</v>
      </c>
      <c r="M2519">
        <v>33.375507550000002</v>
      </c>
      <c r="N2519">
        <v>2.4262999999999999</v>
      </c>
      <c r="O2519">
        <v>113.9375</v>
      </c>
      <c r="P2519">
        <v>33.375507550000002</v>
      </c>
      <c r="Q2519">
        <v>2.4262999999999999</v>
      </c>
      <c r="R2519" t="s">
        <v>1041</v>
      </c>
      <c r="S2519">
        <v>0</v>
      </c>
    </row>
    <row r="2520" spans="1:19" x14ac:dyDescent="0.25">
      <c r="A2520" t="s">
        <v>48</v>
      </c>
      <c r="B2520" t="s">
        <v>977</v>
      </c>
      <c r="C2520">
        <v>2</v>
      </c>
      <c r="D2520" t="s">
        <v>33</v>
      </c>
      <c r="E2520" t="s">
        <v>95</v>
      </c>
      <c r="F2520" t="s">
        <v>104</v>
      </c>
      <c r="G2520" t="s">
        <v>121</v>
      </c>
      <c r="H2520" t="s">
        <v>103</v>
      </c>
      <c r="J2520">
        <v>0</v>
      </c>
      <c r="K2520">
        <v>1</v>
      </c>
      <c r="L2520">
        <v>113.9375</v>
      </c>
      <c r="M2520">
        <v>33.375507550000002</v>
      </c>
      <c r="N2520">
        <v>2.4262999999999999</v>
      </c>
      <c r="O2520">
        <v>98.291666669999998</v>
      </c>
      <c r="P2520">
        <v>30.315130790000001</v>
      </c>
      <c r="Q2520">
        <v>5.0803484000000003E-2</v>
      </c>
      <c r="R2520" t="s">
        <v>1041</v>
      </c>
      <c r="S2520">
        <v>2.1739100000000011E-2</v>
      </c>
    </row>
    <row r="2521" spans="1:19" x14ac:dyDescent="0.25">
      <c r="A2521" t="s">
        <v>49</v>
      </c>
      <c r="B2521" t="s">
        <v>978</v>
      </c>
      <c r="C2521">
        <v>2</v>
      </c>
      <c r="D2521" t="s">
        <v>35</v>
      </c>
      <c r="E2521" t="s">
        <v>94</v>
      </c>
      <c r="F2521" t="s">
        <v>102</v>
      </c>
      <c r="G2521" t="s">
        <v>112</v>
      </c>
      <c r="H2521" t="s">
        <v>112</v>
      </c>
      <c r="J2521">
        <v>0</v>
      </c>
      <c r="K2521">
        <v>1</v>
      </c>
      <c r="L2521">
        <v>84.740740740000007</v>
      </c>
      <c r="M2521">
        <v>29.167014049999999</v>
      </c>
      <c r="N2521">
        <v>1.1169849999999999</v>
      </c>
      <c r="O2521">
        <v>65.09375</v>
      </c>
      <c r="P2521">
        <v>37.895352600000002</v>
      </c>
      <c r="Q2521">
        <v>2.2882677779999998</v>
      </c>
      <c r="R2521" t="s">
        <v>1041</v>
      </c>
      <c r="S2521">
        <v>1.0540274999999999</v>
      </c>
    </row>
    <row r="2522" spans="1:19" x14ac:dyDescent="0.25">
      <c r="A2522" t="s">
        <v>49</v>
      </c>
      <c r="B2522" t="s">
        <v>978</v>
      </c>
      <c r="C2522">
        <v>2</v>
      </c>
      <c r="D2522" t="s">
        <v>35</v>
      </c>
      <c r="E2522" t="s">
        <v>94</v>
      </c>
      <c r="F2522" t="s">
        <v>102</v>
      </c>
      <c r="G2522" t="s">
        <v>112</v>
      </c>
      <c r="H2522" t="s">
        <v>104</v>
      </c>
      <c r="J2522">
        <v>0</v>
      </c>
      <c r="K2522">
        <v>5</v>
      </c>
      <c r="L2522">
        <v>84.740740740000007</v>
      </c>
      <c r="M2522">
        <v>29.167014049999999</v>
      </c>
      <c r="N2522">
        <v>1.1169849999999999</v>
      </c>
      <c r="O2522">
        <v>113.9375</v>
      </c>
      <c r="P2522">
        <v>33.375507550000002</v>
      </c>
      <c r="Q2522">
        <v>2.4262999999999999</v>
      </c>
      <c r="R2522" t="s">
        <v>1041</v>
      </c>
      <c r="S2522">
        <v>0.75022830000000007</v>
      </c>
    </row>
    <row r="2523" spans="1:19" x14ac:dyDescent="0.25">
      <c r="A2523" t="s">
        <v>49</v>
      </c>
      <c r="B2523" t="s">
        <v>979</v>
      </c>
      <c r="C2523">
        <v>2</v>
      </c>
      <c r="D2523" t="s">
        <v>35</v>
      </c>
      <c r="E2523" t="s">
        <v>94</v>
      </c>
      <c r="F2523" t="s">
        <v>112</v>
      </c>
      <c r="G2523" t="s">
        <v>112</v>
      </c>
      <c r="H2523" t="s">
        <v>112</v>
      </c>
      <c r="J2523">
        <v>0</v>
      </c>
      <c r="K2523">
        <v>1</v>
      </c>
      <c r="L2523">
        <v>65.09375</v>
      </c>
      <c r="M2523">
        <v>37.895352600000002</v>
      </c>
      <c r="N2523">
        <v>2.2882677779999998</v>
      </c>
      <c r="O2523">
        <v>65.09375</v>
      </c>
      <c r="P2523">
        <v>37.895352600000002</v>
      </c>
      <c r="Q2523">
        <v>2.2882677779999998</v>
      </c>
      <c r="R2523" t="s">
        <v>1041</v>
      </c>
      <c r="S2523">
        <v>0</v>
      </c>
    </row>
    <row r="2524" spans="1:19" x14ac:dyDescent="0.25">
      <c r="A2524" t="s">
        <v>49</v>
      </c>
      <c r="B2524" t="s">
        <v>979</v>
      </c>
      <c r="C2524">
        <v>2</v>
      </c>
      <c r="D2524" t="s">
        <v>35</v>
      </c>
      <c r="E2524" t="s">
        <v>94</v>
      </c>
      <c r="F2524" t="s">
        <v>112</v>
      </c>
      <c r="G2524" t="s">
        <v>112</v>
      </c>
      <c r="H2524" t="s">
        <v>103</v>
      </c>
      <c r="J2524">
        <v>0</v>
      </c>
      <c r="K2524">
        <v>1</v>
      </c>
      <c r="L2524">
        <v>65.09375</v>
      </c>
      <c r="M2524">
        <v>37.895352600000002</v>
      </c>
      <c r="N2524">
        <v>2.2882677779999998</v>
      </c>
      <c r="O2524">
        <v>98.291666669999998</v>
      </c>
      <c r="P2524">
        <v>30.315130790000001</v>
      </c>
      <c r="Q2524">
        <v>5.0803484000000003E-2</v>
      </c>
      <c r="R2524" t="s">
        <v>1041</v>
      </c>
      <c r="S2524">
        <v>1.7825167</v>
      </c>
    </row>
    <row r="2525" spans="1:19" x14ac:dyDescent="0.25">
      <c r="A2525" t="s">
        <v>79</v>
      </c>
      <c r="B2525" t="s">
        <v>980</v>
      </c>
      <c r="C2525">
        <v>6</v>
      </c>
      <c r="D2525" t="s">
        <v>11</v>
      </c>
      <c r="E2525" t="s">
        <v>95</v>
      </c>
      <c r="F2525" t="s">
        <v>113</v>
      </c>
      <c r="G2525" t="s">
        <v>113</v>
      </c>
      <c r="H2525" t="s">
        <v>113</v>
      </c>
      <c r="J2525">
        <v>0</v>
      </c>
      <c r="K2525">
        <v>4</v>
      </c>
      <c r="L2525">
        <v>83.757575759999995</v>
      </c>
      <c r="M2525">
        <v>22.60997987</v>
      </c>
      <c r="N2525">
        <v>0.72884000000000004</v>
      </c>
      <c r="O2525">
        <v>83.757575759999995</v>
      </c>
      <c r="P2525">
        <v>22.60997987</v>
      </c>
      <c r="Q2525">
        <v>0.72884000000000004</v>
      </c>
      <c r="R2525" t="s">
        <v>1041</v>
      </c>
      <c r="S2525">
        <v>0</v>
      </c>
    </row>
    <row r="2526" spans="1:19" x14ac:dyDescent="0.25">
      <c r="A2526" t="s">
        <v>79</v>
      </c>
      <c r="B2526" t="s">
        <v>981</v>
      </c>
      <c r="C2526">
        <v>6</v>
      </c>
      <c r="D2526" t="s">
        <v>11</v>
      </c>
      <c r="E2526" t="s">
        <v>95</v>
      </c>
      <c r="F2526" t="s">
        <v>103</v>
      </c>
      <c r="G2526" t="s">
        <v>113</v>
      </c>
      <c r="H2526" t="s">
        <v>113</v>
      </c>
      <c r="J2526">
        <v>0</v>
      </c>
      <c r="K2526">
        <v>7</v>
      </c>
      <c r="L2526">
        <v>98.291666669999998</v>
      </c>
      <c r="M2526">
        <v>30.315130790000001</v>
      </c>
      <c r="N2526">
        <v>5.0803484000000003E-2</v>
      </c>
      <c r="O2526">
        <v>83.757575759999995</v>
      </c>
      <c r="P2526">
        <v>22.60997987</v>
      </c>
      <c r="Q2526">
        <v>0.72884000000000004</v>
      </c>
      <c r="R2526" t="s">
        <v>1041</v>
      </c>
      <c r="S2526">
        <v>0.21564730000000001</v>
      </c>
    </row>
    <row r="2527" spans="1:19" x14ac:dyDescent="0.25">
      <c r="A2527" t="s">
        <v>79</v>
      </c>
      <c r="B2527" t="s">
        <v>981</v>
      </c>
      <c r="C2527">
        <v>6</v>
      </c>
      <c r="D2527" t="s">
        <v>11</v>
      </c>
      <c r="E2527" t="s">
        <v>95</v>
      </c>
      <c r="F2527" t="s">
        <v>103</v>
      </c>
      <c r="G2527" t="s">
        <v>113</v>
      </c>
      <c r="H2527" t="s">
        <v>103</v>
      </c>
      <c r="J2527">
        <v>0</v>
      </c>
      <c r="K2527">
        <v>4</v>
      </c>
      <c r="L2527">
        <v>98.291666669999998</v>
      </c>
      <c r="M2527">
        <v>30.315130790000001</v>
      </c>
      <c r="N2527">
        <v>5.0803484000000003E-2</v>
      </c>
      <c r="O2527">
        <v>98.291666669999998</v>
      </c>
      <c r="P2527">
        <v>30.315130790000001</v>
      </c>
      <c r="Q2527">
        <v>5.0803484000000003E-2</v>
      </c>
      <c r="R2527" t="s">
        <v>1041</v>
      </c>
      <c r="S2527">
        <v>0</v>
      </c>
    </row>
    <row r="2528" spans="1:19" x14ac:dyDescent="0.25">
      <c r="A2528" t="s">
        <v>79</v>
      </c>
      <c r="B2528" t="s">
        <v>982</v>
      </c>
      <c r="C2528">
        <v>6</v>
      </c>
      <c r="D2528" t="s">
        <v>11</v>
      </c>
      <c r="E2528" t="s">
        <v>95</v>
      </c>
      <c r="F2528" t="s">
        <v>111</v>
      </c>
      <c r="G2528" t="s">
        <v>113</v>
      </c>
      <c r="H2528" t="s">
        <v>234</v>
      </c>
      <c r="J2528">
        <v>0</v>
      </c>
      <c r="K2528">
        <v>1</v>
      </c>
      <c r="L2528">
        <v>94.97142857</v>
      </c>
      <c r="M2528">
        <v>24.31591813</v>
      </c>
      <c r="N2528">
        <v>0.122951111</v>
      </c>
      <c r="O2528">
        <v>89.8125</v>
      </c>
      <c r="P2528">
        <v>34.754706650000003</v>
      </c>
      <c r="Q2528">
        <v>2.3065078999999999E-2</v>
      </c>
      <c r="R2528" t="s">
        <v>1041</v>
      </c>
      <c r="S2528">
        <v>2.0886587700000003</v>
      </c>
    </row>
    <row r="2529" spans="1:19" x14ac:dyDescent="0.25">
      <c r="A2529" t="s">
        <v>79</v>
      </c>
      <c r="B2529" t="s">
        <v>982</v>
      </c>
      <c r="C2529">
        <v>6</v>
      </c>
      <c r="D2529" t="s">
        <v>11</v>
      </c>
      <c r="E2529" t="s">
        <v>95</v>
      </c>
      <c r="F2529" t="s">
        <v>111</v>
      </c>
      <c r="G2529" t="s">
        <v>113</v>
      </c>
      <c r="H2529" t="s">
        <v>113</v>
      </c>
      <c r="J2529">
        <v>0</v>
      </c>
      <c r="K2529">
        <v>5</v>
      </c>
      <c r="L2529">
        <v>94.97142857</v>
      </c>
      <c r="M2529">
        <v>24.31591813</v>
      </c>
      <c r="N2529">
        <v>0.122951111</v>
      </c>
      <c r="O2529">
        <v>83.757575759999995</v>
      </c>
      <c r="P2529">
        <v>22.60997987</v>
      </c>
      <c r="Q2529">
        <v>0.72884000000000004</v>
      </c>
      <c r="R2529" t="s">
        <v>1041</v>
      </c>
      <c r="S2529">
        <v>0.17749450000000003</v>
      </c>
    </row>
    <row r="2530" spans="1:19" x14ac:dyDescent="0.25">
      <c r="A2530" t="s">
        <v>79</v>
      </c>
      <c r="B2530" t="s">
        <v>982</v>
      </c>
      <c r="C2530">
        <v>6</v>
      </c>
      <c r="D2530" t="s">
        <v>11</v>
      </c>
      <c r="E2530" t="s">
        <v>95</v>
      </c>
      <c r="F2530" t="s">
        <v>111</v>
      </c>
      <c r="G2530" t="s">
        <v>113</v>
      </c>
      <c r="H2530" t="s">
        <v>103</v>
      </c>
      <c r="J2530">
        <v>0</v>
      </c>
      <c r="K2530">
        <v>1</v>
      </c>
      <c r="L2530">
        <v>94.97142857</v>
      </c>
      <c r="M2530">
        <v>24.31591813</v>
      </c>
      <c r="N2530">
        <v>0.122951111</v>
      </c>
      <c r="O2530">
        <v>98.291666669999998</v>
      </c>
      <c r="P2530">
        <v>30.315130790000001</v>
      </c>
      <c r="Q2530">
        <v>5.0803484000000003E-2</v>
      </c>
      <c r="R2530" t="s">
        <v>1041</v>
      </c>
      <c r="S2530">
        <v>3.8152799999999987E-2</v>
      </c>
    </row>
    <row r="2531" spans="1:19" x14ac:dyDescent="0.25">
      <c r="A2531" t="s">
        <v>80</v>
      </c>
      <c r="B2531" t="s">
        <v>983</v>
      </c>
      <c r="C2531">
        <v>6</v>
      </c>
      <c r="D2531" t="s">
        <v>15</v>
      </c>
      <c r="E2531" t="s">
        <v>95</v>
      </c>
      <c r="F2531" t="s">
        <v>105</v>
      </c>
      <c r="G2531" t="s">
        <v>121</v>
      </c>
      <c r="H2531" t="s">
        <v>113</v>
      </c>
      <c r="J2531">
        <v>0</v>
      </c>
      <c r="K2531">
        <v>1</v>
      </c>
      <c r="L2531">
        <v>67.5</v>
      </c>
      <c r="M2531">
        <v>47.937235809999997</v>
      </c>
      <c r="N2531">
        <v>0.41599678000000001</v>
      </c>
      <c r="O2531">
        <v>83.757575759999995</v>
      </c>
      <c r="P2531">
        <v>22.60997987</v>
      </c>
      <c r="Q2531">
        <v>0.72884000000000004</v>
      </c>
      <c r="R2531" t="s">
        <v>1041</v>
      </c>
      <c r="S2531">
        <v>1.8820212999999999</v>
      </c>
    </row>
    <row r="2532" spans="1:19" x14ac:dyDescent="0.25">
      <c r="A2532" t="s">
        <v>80</v>
      </c>
      <c r="B2532" t="s">
        <v>983</v>
      </c>
      <c r="C2532">
        <v>6</v>
      </c>
      <c r="D2532" t="s">
        <v>15</v>
      </c>
      <c r="E2532" t="s">
        <v>95</v>
      </c>
      <c r="F2532" t="s">
        <v>105</v>
      </c>
      <c r="G2532" t="s">
        <v>121</v>
      </c>
      <c r="H2532" t="s">
        <v>103</v>
      </c>
      <c r="J2532">
        <v>0</v>
      </c>
      <c r="K2532">
        <v>9</v>
      </c>
      <c r="L2532">
        <v>67.5</v>
      </c>
      <c r="M2532">
        <v>47.937235809999997</v>
      </c>
      <c r="N2532">
        <v>0.41599678000000001</v>
      </c>
      <c r="O2532">
        <v>98.291666669999998</v>
      </c>
      <c r="P2532">
        <v>30.315130790000001</v>
      </c>
      <c r="Q2532">
        <v>5.0803484000000003E-2</v>
      </c>
      <c r="R2532" t="s">
        <v>1041</v>
      </c>
      <c r="S2532">
        <v>1.6663739999999998</v>
      </c>
    </row>
    <row r="2533" spans="1:19" x14ac:dyDescent="0.25">
      <c r="A2533" t="s">
        <v>80</v>
      </c>
      <c r="B2533" t="s">
        <v>984</v>
      </c>
      <c r="C2533">
        <v>6</v>
      </c>
      <c r="D2533" t="s">
        <v>15</v>
      </c>
      <c r="E2533" t="s">
        <v>95</v>
      </c>
      <c r="F2533" t="s">
        <v>113</v>
      </c>
      <c r="G2533" t="s">
        <v>113</v>
      </c>
      <c r="H2533" t="s">
        <v>113</v>
      </c>
      <c r="J2533">
        <v>0</v>
      </c>
      <c r="K2533">
        <v>6</v>
      </c>
      <c r="L2533">
        <v>83.757575759999995</v>
      </c>
      <c r="M2533">
        <v>22.60997987</v>
      </c>
      <c r="N2533">
        <v>0.72884000000000004</v>
      </c>
      <c r="O2533">
        <v>83.757575759999995</v>
      </c>
      <c r="P2533">
        <v>22.60997987</v>
      </c>
      <c r="Q2533">
        <v>0.72884000000000004</v>
      </c>
      <c r="R2533" t="s">
        <v>1041</v>
      </c>
      <c r="S2533">
        <v>0</v>
      </c>
    </row>
    <row r="2534" spans="1:19" x14ac:dyDescent="0.25">
      <c r="A2534" t="s">
        <v>80</v>
      </c>
      <c r="B2534" t="s">
        <v>985</v>
      </c>
      <c r="C2534">
        <v>6</v>
      </c>
      <c r="D2534" t="s">
        <v>15</v>
      </c>
      <c r="E2534" t="s">
        <v>95</v>
      </c>
      <c r="F2534" t="s">
        <v>103</v>
      </c>
      <c r="G2534" t="s">
        <v>113</v>
      </c>
      <c r="H2534" t="s">
        <v>113</v>
      </c>
      <c r="J2534">
        <v>0</v>
      </c>
      <c r="K2534">
        <v>1</v>
      </c>
      <c r="L2534">
        <v>98.291666669999998</v>
      </c>
      <c r="M2534">
        <v>30.315130790000001</v>
      </c>
      <c r="N2534">
        <v>5.0803484000000003E-2</v>
      </c>
      <c r="O2534">
        <v>83.757575759999995</v>
      </c>
      <c r="P2534">
        <v>22.60997987</v>
      </c>
      <c r="Q2534">
        <v>0.72884000000000004</v>
      </c>
      <c r="R2534" t="s">
        <v>1041</v>
      </c>
      <c r="S2534">
        <v>0.21564730000000001</v>
      </c>
    </row>
    <row r="2535" spans="1:19" x14ac:dyDescent="0.25">
      <c r="A2535" t="s">
        <v>80</v>
      </c>
      <c r="B2535" t="s">
        <v>985</v>
      </c>
      <c r="C2535">
        <v>6</v>
      </c>
      <c r="D2535" t="s">
        <v>15</v>
      </c>
      <c r="E2535" t="s">
        <v>95</v>
      </c>
      <c r="F2535" t="s">
        <v>103</v>
      </c>
      <c r="G2535" t="s">
        <v>113</v>
      </c>
      <c r="H2535" t="s">
        <v>103</v>
      </c>
      <c r="J2535">
        <v>0</v>
      </c>
      <c r="K2535">
        <v>2</v>
      </c>
      <c r="L2535">
        <v>98.291666669999998</v>
      </c>
      <c r="M2535">
        <v>30.315130790000001</v>
      </c>
      <c r="N2535">
        <v>5.0803484000000003E-2</v>
      </c>
      <c r="O2535">
        <v>98.291666669999998</v>
      </c>
      <c r="P2535">
        <v>30.315130790000001</v>
      </c>
      <c r="Q2535">
        <v>5.0803484000000003E-2</v>
      </c>
      <c r="R2535" t="s">
        <v>1041</v>
      </c>
      <c r="S2535">
        <v>0</v>
      </c>
    </row>
    <row r="2536" spans="1:19" x14ac:dyDescent="0.25">
      <c r="A2536" t="s">
        <v>81</v>
      </c>
      <c r="B2536" t="s">
        <v>986</v>
      </c>
      <c r="C2536">
        <v>6</v>
      </c>
      <c r="D2536" t="s">
        <v>17</v>
      </c>
      <c r="E2536" t="s">
        <v>94</v>
      </c>
      <c r="F2536" t="s">
        <v>105</v>
      </c>
      <c r="G2536" t="s">
        <v>113</v>
      </c>
      <c r="H2536" t="s">
        <v>113</v>
      </c>
      <c r="J2536">
        <v>0</v>
      </c>
      <c r="K2536">
        <v>6</v>
      </c>
      <c r="L2536">
        <v>67.5</v>
      </c>
      <c r="M2536">
        <v>47.937235809999997</v>
      </c>
      <c r="N2536">
        <v>0.41599678000000001</v>
      </c>
      <c r="O2536">
        <v>83.757575759999995</v>
      </c>
      <c r="P2536">
        <v>22.60997987</v>
      </c>
      <c r="Q2536">
        <v>0.72884000000000004</v>
      </c>
      <c r="R2536" t="s">
        <v>1041</v>
      </c>
      <c r="S2536">
        <v>1.8820212999999999</v>
      </c>
    </row>
    <row r="2537" spans="1:19" x14ac:dyDescent="0.25">
      <c r="A2537" t="s">
        <v>81</v>
      </c>
      <c r="B2537" t="s">
        <v>987</v>
      </c>
      <c r="C2537">
        <v>6</v>
      </c>
      <c r="D2537" t="s">
        <v>17</v>
      </c>
      <c r="E2537" t="s">
        <v>94</v>
      </c>
      <c r="F2537" t="s">
        <v>113</v>
      </c>
      <c r="G2537" t="s">
        <v>113</v>
      </c>
      <c r="H2537" t="s">
        <v>113</v>
      </c>
      <c r="J2537">
        <v>0</v>
      </c>
      <c r="K2537">
        <v>6</v>
      </c>
      <c r="L2537">
        <v>83.757575759999995</v>
      </c>
      <c r="M2537">
        <v>22.60997987</v>
      </c>
      <c r="N2537">
        <v>0.72884000000000004</v>
      </c>
      <c r="O2537">
        <v>83.757575759999995</v>
      </c>
      <c r="P2537">
        <v>22.60997987</v>
      </c>
      <c r="Q2537">
        <v>0.72884000000000004</v>
      </c>
      <c r="R2537" t="s">
        <v>1041</v>
      </c>
      <c r="S2537">
        <v>0</v>
      </c>
    </row>
    <row r="2538" spans="1:19" x14ac:dyDescent="0.25">
      <c r="A2538" t="s">
        <v>81</v>
      </c>
      <c r="B2538" t="s">
        <v>988</v>
      </c>
      <c r="C2538">
        <v>6</v>
      </c>
      <c r="D2538" t="s">
        <v>17</v>
      </c>
      <c r="E2538" t="s">
        <v>94</v>
      </c>
      <c r="F2538" t="s">
        <v>103</v>
      </c>
      <c r="G2538" t="s">
        <v>113</v>
      </c>
      <c r="H2538" t="s">
        <v>113</v>
      </c>
      <c r="J2538">
        <v>0</v>
      </c>
      <c r="K2538">
        <v>5</v>
      </c>
      <c r="L2538">
        <v>98.291666669999998</v>
      </c>
      <c r="M2538">
        <v>30.315130790000001</v>
      </c>
      <c r="N2538">
        <v>5.0803484000000003E-2</v>
      </c>
      <c r="O2538">
        <v>83.757575759999995</v>
      </c>
      <c r="P2538">
        <v>22.60997987</v>
      </c>
      <c r="Q2538">
        <v>0.72884000000000004</v>
      </c>
      <c r="R2538" t="s">
        <v>1041</v>
      </c>
      <c r="S2538">
        <v>0.21564730000000001</v>
      </c>
    </row>
    <row r="2539" spans="1:19" x14ac:dyDescent="0.25">
      <c r="A2539" t="s">
        <v>81</v>
      </c>
      <c r="B2539" t="s">
        <v>988</v>
      </c>
      <c r="C2539">
        <v>6</v>
      </c>
      <c r="D2539" t="s">
        <v>17</v>
      </c>
      <c r="E2539" t="s">
        <v>94</v>
      </c>
      <c r="F2539" t="s">
        <v>103</v>
      </c>
      <c r="G2539" t="s">
        <v>113</v>
      </c>
      <c r="H2539" t="s">
        <v>103</v>
      </c>
      <c r="J2539">
        <v>0</v>
      </c>
      <c r="K2539">
        <v>1</v>
      </c>
      <c r="L2539">
        <v>98.291666669999998</v>
      </c>
      <c r="M2539">
        <v>30.315130790000001</v>
      </c>
      <c r="N2539">
        <v>5.0803484000000003E-2</v>
      </c>
      <c r="O2539">
        <v>98.291666669999998</v>
      </c>
      <c r="P2539">
        <v>30.315130790000001</v>
      </c>
      <c r="Q2539">
        <v>5.0803484000000003E-2</v>
      </c>
      <c r="R2539" t="s">
        <v>1041</v>
      </c>
      <c r="S2539">
        <v>0</v>
      </c>
    </row>
    <row r="2540" spans="1:19" x14ac:dyDescent="0.25">
      <c r="A2540" t="s">
        <v>82</v>
      </c>
      <c r="B2540" t="s">
        <v>989</v>
      </c>
      <c r="C2540">
        <v>6</v>
      </c>
      <c r="D2540" t="s">
        <v>19</v>
      </c>
      <c r="E2540" t="s">
        <v>94</v>
      </c>
      <c r="F2540" t="s">
        <v>102</v>
      </c>
      <c r="G2540" t="s">
        <v>102</v>
      </c>
      <c r="H2540" t="s">
        <v>102</v>
      </c>
      <c r="J2540">
        <v>0</v>
      </c>
      <c r="K2540">
        <v>1</v>
      </c>
      <c r="L2540">
        <v>84.740740740000007</v>
      </c>
      <c r="M2540">
        <v>29.167014049999999</v>
      </c>
      <c r="N2540">
        <v>1.1169849999999999</v>
      </c>
      <c r="O2540">
        <v>84.740740740000007</v>
      </c>
      <c r="P2540">
        <v>29.167014049999999</v>
      </c>
      <c r="Q2540">
        <v>1.1169849999999999</v>
      </c>
      <c r="R2540" t="s">
        <v>1041</v>
      </c>
      <c r="S2540">
        <v>0</v>
      </c>
    </row>
    <row r="2541" spans="1:19" x14ac:dyDescent="0.25">
      <c r="A2541" t="s">
        <v>82</v>
      </c>
      <c r="B2541" t="s">
        <v>990</v>
      </c>
      <c r="C2541">
        <v>6</v>
      </c>
      <c r="D2541" t="s">
        <v>19</v>
      </c>
      <c r="E2541" t="s">
        <v>94</v>
      </c>
      <c r="F2541" t="s">
        <v>113</v>
      </c>
      <c r="G2541" t="s">
        <v>113</v>
      </c>
      <c r="H2541" t="s">
        <v>113</v>
      </c>
      <c r="J2541">
        <v>0</v>
      </c>
      <c r="K2541">
        <v>4</v>
      </c>
      <c r="L2541">
        <v>83.757575759999995</v>
      </c>
      <c r="M2541">
        <v>22.60997987</v>
      </c>
      <c r="N2541">
        <v>0.72884000000000004</v>
      </c>
      <c r="O2541">
        <v>83.757575759999995</v>
      </c>
      <c r="P2541">
        <v>22.60997987</v>
      </c>
      <c r="Q2541">
        <v>0.72884000000000004</v>
      </c>
      <c r="R2541" t="s">
        <v>1041</v>
      </c>
      <c r="S2541">
        <v>0</v>
      </c>
    </row>
    <row r="2542" spans="1:19" x14ac:dyDescent="0.25">
      <c r="A2542" t="s">
        <v>82</v>
      </c>
      <c r="B2542" t="s">
        <v>990</v>
      </c>
      <c r="C2542">
        <v>6</v>
      </c>
      <c r="D2542" t="s">
        <v>19</v>
      </c>
      <c r="E2542" t="s">
        <v>94</v>
      </c>
      <c r="F2542" t="s">
        <v>113</v>
      </c>
      <c r="G2542" t="s">
        <v>113</v>
      </c>
      <c r="H2542" t="s">
        <v>241</v>
      </c>
      <c r="J2542">
        <v>0</v>
      </c>
      <c r="K2542">
        <v>1</v>
      </c>
      <c r="L2542">
        <v>83.757575759999995</v>
      </c>
      <c r="M2542">
        <v>22.60997987</v>
      </c>
      <c r="N2542">
        <v>0.72884000000000004</v>
      </c>
      <c r="O2542">
        <v>114</v>
      </c>
      <c r="P2542">
        <v>30.43077242</v>
      </c>
      <c r="Q2542">
        <v>0.53383111100000002</v>
      </c>
      <c r="R2542" t="s">
        <v>1041</v>
      </c>
      <c r="S2542">
        <v>7.0319930000000003E-2</v>
      </c>
    </row>
    <row r="2543" spans="1:19" x14ac:dyDescent="0.25">
      <c r="A2543" t="s">
        <v>82</v>
      </c>
      <c r="B2543" t="s">
        <v>990</v>
      </c>
      <c r="C2543">
        <v>6</v>
      </c>
      <c r="D2543" t="s">
        <v>19</v>
      </c>
      <c r="E2543" t="s">
        <v>94</v>
      </c>
      <c r="F2543" t="s">
        <v>113</v>
      </c>
      <c r="G2543" t="s">
        <v>113</v>
      </c>
      <c r="H2543" t="s">
        <v>808</v>
      </c>
      <c r="J2543">
        <v>0</v>
      </c>
      <c r="K2543">
        <v>1</v>
      </c>
      <c r="L2543">
        <v>83.757575759999995</v>
      </c>
      <c r="M2543">
        <v>22.60997987</v>
      </c>
      <c r="N2543">
        <v>0.72884000000000004</v>
      </c>
      <c r="O2543">
        <v>102.79166669999999</v>
      </c>
      <c r="P2543">
        <v>27.057373470000002</v>
      </c>
      <c r="Q2543">
        <v>6.3567849939999999</v>
      </c>
      <c r="R2543" t="s">
        <v>1041</v>
      </c>
      <c r="S2543" t="s">
        <v>114</v>
      </c>
    </row>
    <row r="2544" spans="1:19" x14ac:dyDescent="0.25">
      <c r="A2544" t="s">
        <v>82</v>
      </c>
      <c r="B2544" t="s">
        <v>990</v>
      </c>
      <c r="C2544">
        <v>6</v>
      </c>
      <c r="D2544" t="s">
        <v>19</v>
      </c>
      <c r="E2544" t="s">
        <v>94</v>
      </c>
      <c r="F2544" t="s">
        <v>113</v>
      </c>
      <c r="G2544" t="s">
        <v>113</v>
      </c>
      <c r="H2544" t="s">
        <v>103</v>
      </c>
      <c r="J2544">
        <v>0</v>
      </c>
      <c r="K2544">
        <v>1</v>
      </c>
      <c r="L2544">
        <v>83.757575759999995</v>
      </c>
      <c r="M2544">
        <v>22.60997987</v>
      </c>
      <c r="N2544">
        <v>0.72884000000000004</v>
      </c>
      <c r="O2544">
        <v>98.291666669999998</v>
      </c>
      <c r="P2544">
        <v>30.315130790000001</v>
      </c>
      <c r="Q2544">
        <v>5.0803484000000003E-2</v>
      </c>
      <c r="R2544" t="s">
        <v>1041</v>
      </c>
      <c r="S2544">
        <v>0.21564730000000001</v>
      </c>
    </row>
    <row r="2545" spans="1:19" x14ac:dyDescent="0.25">
      <c r="A2545" t="s">
        <v>82</v>
      </c>
      <c r="B2545" t="s">
        <v>991</v>
      </c>
      <c r="C2545">
        <v>6</v>
      </c>
      <c r="D2545" t="s">
        <v>19</v>
      </c>
      <c r="E2545" t="s">
        <v>94</v>
      </c>
      <c r="F2545" t="s">
        <v>104</v>
      </c>
      <c r="G2545" t="s">
        <v>113</v>
      </c>
      <c r="H2545" t="s">
        <v>113</v>
      </c>
      <c r="J2545">
        <v>0</v>
      </c>
      <c r="K2545">
        <v>3</v>
      </c>
      <c r="L2545">
        <v>113.9375</v>
      </c>
      <c r="M2545">
        <v>33.375507550000002</v>
      </c>
      <c r="N2545">
        <v>2.4262999999999999</v>
      </c>
      <c r="O2545">
        <v>83.757575759999995</v>
      </c>
      <c r="P2545">
        <v>22.60997987</v>
      </c>
      <c r="Q2545">
        <v>0.72884000000000004</v>
      </c>
      <c r="R2545" t="s">
        <v>1041</v>
      </c>
      <c r="S2545">
        <v>0.1939082</v>
      </c>
    </row>
    <row r="2546" spans="1:19" x14ac:dyDescent="0.25">
      <c r="A2546" t="s">
        <v>83</v>
      </c>
      <c r="B2546" t="s">
        <v>992</v>
      </c>
      <c r="C2546">
        <v>6</v>
      </c>
      <c r="D2546" t="s">
        <v>21</v>
      </c>
      <c r="E2546" t="s">
        <v>94</v>
      </c>
      <c r="F2546" t="s">
        <v>102</v>
      </c>
      <c r="G2546" t="s">
        <v>121</v>
      </c>
      <c r="H2546" t="s">
        <v>114</v>
      </c>
      <c r="J2546">
        <v>0</v>
      </c>
      <c r="K2546">
        <v>0</v>
      </c>
      <c r="L2546">
        <v>84.740740740000007</v>
      </c>
      <c r="M2546">
        <v>29.167014049999999</v>
      </c>
      <c r="N2546">
        <v>1.1169849999999999</v>
      </c>
      <c r="O2546" t="s">
        <v>114</v>
      </c>
      <c r="P2546" t="s">
        <v>114</v>
      </c>
      <c r="Q2546" t="s">
        <v>114</v>
      </c>
      <c r="R2546" t="s">
        <v>1041</v>
      </c>
      <c r="S2546" t="s">
        <v>114</v>
      </c>
    </row>
    <row r="2547" spans="1:19" x14ac:dyDescent="0.25">
      <c r="A2547" t="s">
        <v>83</v>
      </c>
      <c r="B2547" t="s">
        <v>993</v>
      </c>
      <c r="C2547">
        <v>6</v>
      </c>
      <c r="D2547" t="s">
        <v>21</v>
      </c>
      <c r="E2547" t="s">
        <v>94</v>
      </c>
      <c r="F2547" t="s">
        <v>103</v>
      </c>
      <c r="G2547" t="s">
        <v>103</v>
      </c>
      <c r="H2547" t="s">
        <v>103</v>
      </c>
      <c r="J2547">
        <v>0</v>
      </c>
      <c r="K2547">
        <v>2</v>
      </c>
      <c r="L2547">
        <v>98.291666669999998</v>
      </c>
      <c r="M2547">
        <v>30.315130790000001</v>
      </c>
      <c r="N2547">
        <v>5.0803484000000003E-2</v>
      </c>
      <c r="O2547">
        <v>98.291666669999998</v>
      </c>
      <c r="P2547">
        <v>30.315130790000001</v>
      </c>
      <c r="Q2547">
        <v>5.0803484000000003E-2</v>
      </c>
      <c r="R2547" t="s">
        <v>1041</v>
      </c>
      <c r="S2547">
        <v>0</v>
      </c>
    </row>
    <row r="2548" spans="1:19" x14ac:dyDescent="0.25">
      <c r="A2548" t="s">
        <v>83</v>
      </c>
      <c r="B2548" t="s">
        <v>993</v>
      </c>
      <c r="C2548">
        <v>6</v>
      </c>
      <c r="D2548" t="s">
        <v>21</v>
      </c>
      <c r="E2548" t="s">
        <v>94</v>
      </c>
      <c r="F2548" t="s">
        <v>103</v>
      </c>
      <c r="G2548" t="s">
        <v>103</v>
      </c>
      <c r="H2548" t="s">
        <v>246</v>
      </c>
      <c r="J2548">
        <v>0</v>
      </c>
      <c r="K2548">
        <v>1</v>
      </c>
      <c r="L2548">
        <v>98.291666669999998</v>
      </c>
      <c r="M2548">
        <v>30.315130790000001</v>
      </c>
      <c r="N2548">
        <v>5.0803484000000003E-2</v>
      </c>
      <c r="O2548">
        <v>120.25</v>
      </c>
      <c r="P2548">
        <v>30.670450110000001</v>
      </c>
      <c r="Q2548">
        <v>0.91037498500000003</v>
      </c>
      <c r="R2548" t="s">
        <v>1041</v>
      </c>
      <c r="S2548" t="s">
        <v>114</v>
      </c>
    </row>
    <row r="2549" spans="1:19" x14ac:dyDescent="0.25">
      <c r="A2549" t="s">
        <v>83</v>
      </c>
      <c r="B2549" t="s">
        <v>993</v>
      </c>
      <c r="C2549">
        <v>6</v>
      </c>
      <c r="D2549" t="s">
        <v>21</v>
      </c>
      <c r="E2549" t="s">
        <v>94</v>
      </c>
      <c r="F2549" t="s">
        <v>103</v>
      </c>
      <c r="G2549" t="s">
        <v>103</v>
      </c>
      <c r="H2549" t="s">
        <v>239</v>
      </c>
      <c r="J2549">
        <v>0</v>
      </c>
      <c r="K2549">
        <v>1</v>
      </c>
      <c r="L2549">
        <v>98.291666669999998</v>
      </c>
      <c r="M2549">
        <v>30.315130790000001</v>
      </c>
      <c r="N2549">
        <v>5.0803484000000003E-2</v>
      </c>
      <c r="O2549">
        <v>100.45454549999999</v>
      </c>
      <c r="P2549">
        <v>26.754810689999999</v>
      </c>
      <c r="Q2549">
        <v>0.75829999999999997</v>
      </c>
      <c r="R2549" t="s">
        <v>1041</v>
      </c>
      <c r="S2549">
        <v>1.9582089999999996E-2</v>
      </c>
    </row>
    <row r="2550" spans="1:19" x14ac:dyDescent="0.25">
      <c r="A2550" t="s">
        <v>83</v>
      </c>
      <c r="B2550" t="s">
        <v>994</v>
      </c>
      <c r="C2550">
        <v>6</v>
      </c>
      <c r="D2550" t="s">
        <v>21</v>
      </c>
      <c r="E2550" t="s">
        <v>94</v>
      </c>
      <c r="F2550" t="s">
        <v>111</v>
      </c>
      <c r="G2550" t="s">
        <v>121</v>
      </c>
      <c r="H2550" t="s">
        <v>114</v>
      </c>
      <c r="J2550">
        <v>0</v>
      </c>
      <c r="K2550">
        <v>0</v>
      </c>
      <c r="L2550">
        <v>94.97142857</v>
      </c>
      <c r="M2550">
        <v>24.31591813</v>
      </c>
      <c r="N2550">
        <v>0.122951111</v>
      </c>
      <c r="O2550" t="s">
        <v>114</v>
      </c>
      <c r="P2550" t="s">
        <v>114</v>
      </c>
      <c r="Q2550" t="s">
        <v>114</v>
      </c>
      <c r="R2550" t="s">
        <v>1041</v>
      </c>
      <c r="S2550" t="s">
        <v>114</v>
      </c>
    </row>
    <row r="2551" spans="1:19" x14ac:dyDescent="0.25">
      <c r="A2551" t="s">
        <v>84</v>
      </c>
      <c r="B2551" t="s">
        <v>995</v>
      </c>
      <c r="C2551">
        <v>6</v>
      </c>
      <c r="D2551" t="s">
        <v>23</v>
      </c>
      <c r="E2551" t="s">
        <v>95</v>
      </c>
      <c r="F2551" t="s">
        <v>102</v>
      </c>
      <c r="G2551" t="s">
        <v>121</v>
      </c>
      <c r="H2551" t="s">
        <v>254</v>
      </c>
      <c r="J2551">
        <v>0</v>
      </c>
      <c r="K2551">
        <v>3</v>
      </c>
      <c r="L2551">
        <v>84.740740740000007</v>
      </c>
      <c r="M2551">
        <v>29.167014049999999</v>
      </c>
      <c r="N2551">
        <v>1.1169849999999999</v>
      </c>
      <c r="O2551" t="s">
        <v>114</v>
      </c>
      <c r="P2551" t="s">
        <v>114</v>
      </c>
      <c r="Q2551" t="s">
        <v>114</v>
      </c>
      <c r="R2551" t="s">
        <v>1041</v>
      </c>
      <c r="S2551" t="s">
        <v>114</v>
      </c>
    </row>
    <row r="2552" spans="1:19" x14ac:dyDescent="0.25">
      <c r="A2552" t="s">
        <v>84</v>
      </c>
      <c r="B2552" t="s">
        <v>995</v>
      </c>
      <c r="C2552">
        <v>6</v>
      </c>
      <c r="D2552" t="s">
        <v>23</v>
      </c>
      <c r="E2552" t="s">
        <v>95</v>
      </c>
      <c r="F2552" t="s">
        <v>102</v>
      </c>
      <c r="G2552" t="s">
        <v>121</v>
      </c>
      <c r="H2552" t="s">
        <v>248</v>
      </c>
      <c r="J2552">
        <v>0</v>
      </c>
      <c r="K2552">
        <v>1</v>
      </c>
      <c r="L2552">
        <v>84.740740740000007</v>
      </c>
      <c r="M2552">
        <v>29.167014049999999</v>
      </c>
      <c r="N2552">
        <v>1.1169849999999999</v>
      </c>
      <c r="O2552">
        <v>83.92307692</v>
      </c>
      <c r="P2552">
        <v>44.319135699999997</v>
      </c>
      <c r="Q2552">
        <v>5.9548609999999997E-3</v>
      </c>
      <c r="R2552" t="s">
        <v>1041</v>
      </c>
      <c r="S2552">
        <v>0.97697062000000012</v>
      </c>
    </row>
    <row r="2553" spans="1:19" x14ac:dyDescent="0.25">
      <c r="A2553" t="s">
        <v>84</v>
      </c>
      <c r="B2553" t="s">
        <v>995</v>
      </c>
      <c r="C2553">
        <v>6</v>
      </c>
      <c r="D2553" t="s">
        <v>23</v>
      </c>
      <c r="E2553" t="s">
        <v>95</v>
      </c>
      <c r="F2553" t="s">
        <v>102</v>
      </c>
      <c r="G2553" t="s">
        <v>121</v>
      </c>
      <c r="H2553" t="s">
        <v>233</v>
      </c>
      <c r="J2553">
        <v>0</v>
      </c>
      <c r="K2553">
        <v>1</v>
      </c>
      <c r="L2553">
        <v>84.740740740000007</v>
      </c>
      <c r="M2553">
        <v>29.167014049999999</v>
      </c>
      <c r="N2553">
        <v>1.1169849999999999</v>
      </c>
      <c r="O2553">
        <v>106.0540541</v>
      </c>
      <c r="P2553">
        <v>52.690533369999997</v>
      </c>
      <c r="Q2553">
        <v>7.6058968000000005E-2</v>
      </c>
      <c r="R2553" t="s">
        <v>1041</v>
      </c>
      <c r="S2553">
        <v>0.70826101000000008</v>
      </c>
    </row>
    <row r="2554" spans="1:19" x14ac:dyDescent="0.25">
      <c r="A2554" t="s">
        <v>84</v>
      </c>
      <c r="B2554" t="s">
        <v>995</v>
      </c>
      <c r="C2554">
        <v>6</v>
      </c>
      <c r="D2554" t="s">
        <v>23</v>
      </c>
      <c r="E2554" t="s">
        <v>95</v>
      </c>
      <c r="F2554" t="s">
        <v>102</v>
      </c>
      <c r="G2554" t="s">
        <v>121</v>
      </c>
      <c r="H2554" t="s">
        <v>103</v>
      </c>
      <c r="J2554">
        <v>0</v>
      </c>
      <c r="K2554">
        <v>5</v>
      </c>
      <c r="L2554">
        <v>84.740740740000007</v>
      </c>
      <c r="M2554">
        <v>29.167014049999999</v>
      </c>
      <c r="N2554">
        <v>1.1169849999999999</v>
      </c>
      <c r="O2554">
        <v>98.291666669999998</v>
      </c>
      <c r="P2554">
        <v>30.315130790000001</v>
      </c>
      <c r="Q2554">
        <v>5.0803484000000003E-2</v>
      </c>
      <c r="R2554" t="s">
        <v>1041</v>
      </c>
      <c r="S2554">
        <v>0.72848920000000006</v>
      </c>
    </row>
    <row r="2555" spans="1:19" x14ac:dyDescent="0.25">
      <c r="A2555" t="s">
        <v>84</v>
      </c>
      <c r="B2555" t="s">
        <v>996</v>
      </c>
      <c r="C2555">
        <v>6</v>
      </c>
      <c r="D2555" t="s">
        <v>23</v>
      </c>
      <c r="E2555" t="s">
        <v>95</v>
      </c>
      <c r="F2555" t="s">
        <v>105</v>
      </c>
      <c r="G2555" t="s">
        <v>103</v>
      </c>
      <c r="H2555" t="s">
        <v>114</v>
      </c>
      <c r="J2555">
        <v>0</v>
      </c>
      <c r="K2555" t="s">
        <v>114</v>
      </c>
      <c r="L2555">
        <v>67.5</v>
      </c>
      <c r="M2555">
        <v>47.937235809999997</v>
      </c>
      <c r="N2555">
        <v>0.41599678000000001</v>
      </c>
      <c r="O2555" t="s">
        <v>114</v>
      </c>
      <c r="P2555" t="s">
        <v>114</v>
      </c>
      <c r="Q2555" t="s">
        <v>114</v>
      </c>
      <c r="R2555" t="s">
        <v>1041</v>
      </c>
      <c r="S2555" t="s">
        <v>114</v>
      </c>
    </row>
    <row r="2556" spans="1:19" x14ac:dyDescent="0.25">
      <c r="A2556" t="s">
        <v>84</v>
      </c>
      <c r="B2556" t="s">
        <v>997</v>
      </c>
      <c r="C2556">
        <v>6</v>
      </c>
      <c r="D2556" t="s">
        <v>23</v>
      </c>
      <c r="E2556" t="s">
        <v>95</v>
      </c>
      <c r="F2556" t="s">
        <v>111</v>
      </c>
      <c r="G2556" t="s">
        <v>103</v>
      </c>
      <c r="H2556" t="s">
        <v>103</v>
      </c>
      <c r="J2556">
        <v>0</v>
      </c>
      <c r="K2556">
        <v>2</v>
      </c>
      <c r="L2556">
        <v>94.97142857</v>
      </c>
      <c r="M2556">
        <v>24.31591813</v>
      </c>
      <c r="N2556">
        <v>0.122951111</v>
      </c>
      <c r="O2556">
        <v>98.291666669999998</v>
      </c>
      <c r="P2556">
        <v>30.315130790000001</v>
      </c>
      <c r="Q2556">
        <v>5.0803484000000003E-2</v>
      </c>
      <c r="R2556" t="s">
        <v>1041</v>
      </c>
      <c r="S2556">
        <v>3.8152799999999987E-2</v>
      </c>
    </row>
    <row r="2557" spans="1:19" x14ac:dyDescent="0.25">
      <c r="A2557" t="s">
        <v>84</v>
      </c>
      <c r="B2557" t="s">
        <v>997</v>
      </c>
      <c r="C2557">
        <v>6</v>
      </c>
      <c r="D2557" t="s">
        <v>23</v>
      </c>
      <c r="E2557" t="s">
        <v>95</v>
      </c>
      <c r="F2557" t="s">
        <v>111</v>
      </c>
      <c r="G2557" t="s">
        <v>103</v>
      </c>
      <c r="H2557" t="s">
        <v>247</v>
      </c>
      <c r="J2557">
        <v>0</v>
      </c>
      <c r="K2557">
        <v>1</v>
      </c>
      <c r="L2557">
        <v>94.97142857</v>
      </c>
      <c r="M2557">
        <v>24.31591813</v>
      </c>
      <c r="N2557">
        <v>0.122951111</v>
      </c>
      <c r="O2557">
        <v>65.791044779999993</v>
      </c>
      <c r="P2557">
        <v>22.94519201</v>
      </c>
      <c r="Q2557">
        <v>8.1320334999999994E-2</v>
      </c>
      <c r="R2557" t="s">
        <v>1041</v>
      </c>
      <c r="S2557">
        <v>0.21765135000000002</v>
      </c>
    </row>
    <row r="2558" spans="1:19" x14ac:dyDescent="0.25">
      <c r="A2558" t="s">
        <v>84</v>
      </c>
      <c r="B2558" t="s">
        <v>997</v>
      </c>
      <c r="C2558">
        <v>6</v>
      </c>
      <c r="D2558" t="s">
        <v>23</v>
      </c>
      <c r="E2558" t="s">
        <v>95</v>
      </c>
      <c r="F2558" t="s">
        <v>111</v>
      </c>
      <c r="G2558" t="s">
        <v>103</v>
      </c>
      <c r="H2558" t="s">
        <v>233</v>
      </c>
      <c r="J2558">
        <v>0</v>
      </c>
      <c r="K2558">
        <v>1</v>
      </c>
      <c r="L2558">
        <v>94.97142857</v>
      </c>
      <c r="M2558">
        <v>24.31591813</v>
      </c>
      <c r="N2558">
        <v>0.122951111</v>
      </c>
      <c r="O2558">
        <v>106.0540541</v>
      </c>
      <c r="P2558">
        <v>52.690533369999997</v>
      </c>
      <c r="Q2558">
        <v>7.6058968000000005E-2</v>
      </c>
      <c r="R2558" t="s">
        <v>1041</v>
      </c>
      <c r="S2558">
        <v>5.8380989999999966E-2</v>
      </c>
    </row>
    <row r="2559" spans="1:19" x14ac:dyDescent="0.25">
      <c r="A2559" t="s">
        <v>84</v>
      </c>
      <c r="B2559" t="s">
        <v>997</v>
      </c>
      <c r="C2559">
        <v>6</v>
      </c>
      <c r="D2559" t="s">
        <v>23</v>
      </c>
      <c r="E2559" t="s">
        <v>95</v>
      </c>
      <c r="F2559" t="s">
        <v>111</v>
      </c>
      <c r="G2559" t="s">
        <v>103</v>
      </c>
      <c r="H2559" t="s">
        <v>808</v>
      </c>
      <c r="J2559">
        <v>0</v>
      </c>
      <c r="K2559">
        <v>1</v>
      </c>
      <c r="L2559">
        <v>94.97142857</v>
      </c>
      <c r="M2559">
        <v>24.31591813</v>
      </c>
      <c r="N2559">
        <v>0.122951111</v>
      </c>
      <c r="O2559">
        <v>102.79166669999999</v>
      </c>
      <c r="P2559">
        <v>27.057373470000002</v>
      </c>
      <c r="Q2559">
        <v>6.3567849939999999</v>
      </c>
      <c r="R2559" t="s">
        <v>1041</v>
      </c>
      <c r="S2559" t="s">
        <v>114</v>
      </c>
    </row>
    <row r="2560" spans="1:19" x14ac:dyDescent="0.25">
      <c r="A2560" t="s">
        <v>84</v>
      </c>
      <c r="B2560" t="s">
        <v>998</v>
      </c>
      <c r="C2560">
        <v>6</v>
      </c>
      <c r="D2560" t="s">
        <v>23</v>
      </c>
      <c r="E2560" t="s">
        <v>95</v>
      </c>
      <c r="F2560" t="s">
        <v>112</v>
      </c>
      <c r="G2560" t="s">
        <v>103</v>
      </c>
      <c r="H2560" t="s">
        <v>236</v>
      </c>
      <c r="J2560">
        <v>0</v>
      </c>
      <c r="K2560">
        <v>1</v>
      </c>
      <c r="L2560">
        <v>65.09375</v>
      </c>
      <c r="M2560">
        <v>37.895352600000002</v>
      </c>
      <c r="N2560">
        <v>2.2882677779999998</v>
      </c>
      <c r="O2560">
        <v>113.33333330000001</v>
      </c>
      <c r="P2560">
        <v>26.41632581</v>
      </c>
      <c r="Q2560">
        <v>1.6844570160000001</v>
      </c>
      <c r="R2560" t="s">
        <v>1041</v>
      </c>
      <c r="S2560">
        <v>2.12189169</v>
      </c>
    </row>
    <row r="2561" spans="1:19" x14ac:dyDescent="0.25">
      <c r="A2561" t="s">
        <v>84</v>
      </c>
      <c r="B2561" t="s">
        <v>998</v>
      </c>
      <c r="C2561">
        <v>6</v>
      </c>
      <c r="D2561" t="s">
        <v>23</v>
      </c>
      <c r="E2561" t="s">
        <v>95</v>
      </c>
      <c r="F2561" t="s">
        <v>112</v>
      </c>
      <c r="G2561" t="s">
        <v>103</v>
      </c>
      <c r="H2561" t="s">
        <v>103</v>
      </c>
      <c r="J2561">
        <v>0</v>
      </c>
      <c r="K2561">
        <v>2</v>
      </c>
      <c r="L2561">
        <v>65.09375</v>
      </c>
      <c r="M2561">
        <v>37.895352600000002</v>
      </c>
      <c r="N2561">
        <v>2.2882677779999998</v>
      </c>
      <c r="O2561">
        <v>98.291666669999998</v>
      </c>
      <c r="P2561">
        <v>30.315130790000001</v>
      </c>
      <c r="Q2561">
        <v>5.0803484000000003E-2</v>
      </c>
      <c r="R2561" t="s">
        <v>1041</v>
      </c>
      <c r="S2561">
        <v>1.7825167</v>
      </c>
    </row>
    <row r="2562" spans="1:19" x14ac:dyDescent="0.25">
      <c r="A2562" t="s">
        <v>84</v>
      </c>
      <c r="B2562" t="s">
        <v>998</v>
      </c>
      <c r="C2562">
        <v>6</v>
      </c>
      <c r="D2562" t="s">
        <v>23</v>
      </c>
      <c r="E2562" t="s">
        <v>95</v>
      </c>
      <c r="F2562" t="s">
        <v>112</v>
      </c>
      <c r="G2562" t="s">
        <v>103</v>
      </c>
      <c r="H2562" t="s">
        <v>808</v>
      </c>
      <c r="J2562">
        <v>0</v>
      </c>
      <c r="K2562">
        <v>1</v>
      </c>
      <c r="L2562">
        <v>65.09375</v>
      </c>
      <c r="M2562">
        <v>37.895352600000002</v>
      </c>
      <c r="N2562">
        <v>2.2882677779999998</v>
      </c>
      <c r="O2562">
        <v>102.79166669999999</v>
      </c>
      <c r="P2562">
        <v>27.057373470000002</v>
      </c>
      <c r="Q2562">
        <v>6.3567849939999999</v>
      </c>
      <c r="R2562" t="s">
        <v>1041</v>
      </c>
      <c r="S2562" t="s">
        <v>114</v>
      </c>
    </row>
    <row r="2563" spans="1:19" x14ac:dyDescent="0.25">
      <c r="A2563" t="s">
        <v>84</v>
      </c>
      <c r="B2563" t="s">
        <v>998</v>
      </c>
      <c r="C2563">
        <v>6</v>
      </c>
      <c r="D2563" t="s">
        <v>23</v>
      </c>
      <c r="E2563" t="s">
        <v>95</v>
      </c>
      <c r="F2563" t="s">
        <v>112</v>
      </c>
      <c r="G2563" t="s">
        <v>103</v>
      </c>
      <c r="H2563" t="s">
        <v>239</v>
      </c>
      <c r="J2563">
        <v>0</v>
      </c>
      <c r="K2563">
        <v>2</v>
      </c>
      <c r="L2563">
        <v>65.09375</v>
      </c>
      <c r="M2563">
        <v>37.895352600000002</v>
      </c>
      <c r="N2563">
        <v>2.2882677779999998</v>
      </c>
      <c r="O2563">
        <v>100.45454549999999</v>
      </c>
      <c r="P2563">
        <v>26.754810689999999</v>
      </c>
      <c r="Q2563">
        <v>0.75829999999999997</v>
      </c>
      <c r="R2563" t="s">
        <v>1041</v>
      </c>
      <c r="S2563">
        <v>1.8020987900000001</v>
      </c>
    </row>
    <row r="2564" spans="1:19" x14ac:dyDescent="0.25">
      <c r="A2564" t="s">
        <v>85</v>
      </c>
      <c r="B2564" t="s">
        <v>999</v>
      </c>
      <c r="C2564">
        <v>6</v>
      </c>
      <c r="D2564" t="s">
        <v>25</v>
      </c>
      <c r="E2564" t="s">
        <v>94</v>
      </c>
      <c r="F2564" t="s">
        <v>105</v>
      </c>
      <c r="G2564" t="s">
        <v>103</v>
      </c>
      <c r="H2564" t="s">
        <v>810</v>
      </c>
      <c r="J2564">
        <v>0</v>
      </c>
      <c r="K2564">
        <v>1</v>
      </c>
      <c r="L2564">
        <v>67.5</v>
      </c>
      <c r="M2564">
        <v>47.937235809999997</v>
      </c>
      <c r="N2564">
        <v>0.41599678000000001</v>
      </c>
      <c r="O2564">
        <v>77.055555560000002</v>
      </c>
      <c r="P2564">
        <v>18.389110710000001</v>
      </c>
      <c r="Q2564">
        <v>1.5559800079999999</v>
      </c>
      <c r="R2564" t="s">
        <v>1041</v>
      </c>
      <c r="S2564" t="s">
        <v>114</v>
      </c>
    </row>
    <row r="2565" spans="1:19" x14ac:dyDescent="0.25">
      <c r="A2565" t="s">
        <v>85</v>
      </c>
      <c r="B2565" t="s">
        <v>999</v>
      </c>
      <c r="C2565">
        <v>6</v>
      </c>
      <c r="D2565" t="s">
        <v>25</v>
      </c>
      <c r="E2565" t="s">
        <v>94</v>
      </c>
      <c r="F2565" t="s">
        <v>105</v>
      </c>
      <c r="G2565" t="s">
        <v>103</v>
      </c>
      <c r="H2565" t="s">
        <v>104</v>
      </c>
      <c r="J2565">
        <v>0</v>
      </c>
      <c r="K2565">
        <v>1</v>
      </c>
      <c r="L2565">
        <v>67.5</v>
      </c>
      <c r="M2565">
        <v>47.937235809999997</v>
      </c>
      <c r="N2565">
        <v>0.41599678000000001</v>
      </c>
      <c r="O2565">
        <v>113.9375</v>
      </c>
      <c r="P2565">
        <v>33.375507550000002</v>
      </c>
      <c r="Q2565">
        <v>2.4262999999999999</v>
      </c>
      <c r="R2565" t="s">
        <v>1041</v>
      </c>
      <c r="S2565">
        <v>1.6881130999999998</v>
      </c>
    </row>
    <row r="2566" spans="1:19" x14ac:dyDescent="0.25">
      <c r="A2566" t="s">
        <v>85</v>
      </c>
      <c r="B2566" t="s">
        <v>999</v>
      </c>
      <c r="C2566">
        <v>6</v>
      </c>
      <c r="D2566" t="s">
        <v>25</v>
      </c>
      <c r="E2566" t="s">
        <v>94</v>
      </c>
      <c r="F2566" t="s">
        <v>105</v>
      </c>
      <c r="G2566" t="s">
        <v>103</v>
      </c>
      <c r="H2566" t="s">
        <v>110</v>
      </c>
      <c r="J2566">
        <v>0</v>
      </c>
      <c r="K2566">
        <v>1</v>
      </c>
      <c r="L2566">
        <v>67.5</v>
      </c>
      <c r="M2566">
        <v>47.937235809999997</v>
      </c>
      <c r="N2566">
        <v>0.41599678000000001</v>
      </c>
      <c r="O2566">
        <v>73.260869569999997</v>
      </c>
      <c r="P2566">
        <v>34.453830549999999</v>
      </c>
      <c r="Q2566">
        <v>1.058333333</v>
      </c>
      <c r="R2566" t="s">
        <v>1041</v>
      </c>
      <c r="S2566">
        <v>1.1860639999999998</v>
      </c>
    </row>
    <row r="2567" spans="1:19" x14ac:dyDescent="0.25">
      <c r="A2567" t="s">
        <v>85</v>
      </c>
      <c r="B2567" t="s">
        <v>999</v>
      </c>
      <c r="C2567">
        <v>6</v>
      </c>
      <c r="D2567" t="s">
        <v>25</v>
      </c>
      <c r="E2567" t="s">
        <v>94</v>
      </c>
      <c r="F2567" t="s">
        <v>105</v>
      </c>
      <c r="G2567" t="s">
        <v>103</v>
      </c>
      <c r="H2567" t="s">
        <v>103</v>
      </c>
      <c r="J2567">
        <v>0</v>
      </c>
      <c r="K2567">
        <v>4</v>
      </c>
      <c r="L2567">
        <v>67.5</v>
      </c>
      <c r="M2567">
        <v>47.937235809999997</v>
      </c>
      <c r="N2567">
        <v>0.41599678000000001</v>
      </c>
      <c r="O2567">
        <v>98.291666669999998</v>
      </c>
      <c r="P2567">
        <v>30.315130790000001</v>
      </c>
      <c r="Q2567">
        <v>5.0803484000000003E-2</v>
      </c>
      <c r="R2567" t="s">
        <v>1041</v>
      </c>
      <c r="S2567">
        <v>1.6663739999999998</v>
      </c>
    </row>
    <row r="2568" spans="1:19" x14ac:dyDescent="0.25">
      <c r="A2568" t="s">
        <v>85</v>
      </c>
      <c r="B2568" t="s">
        <v>1000</v>
      </c>
      <c r="C2568">
        <v>6</v>
      </c>
      <c r="D2568" t="s">
        <v>25</v>
      </c>
      <c r="E2568" t="s">
        <v>94</v>
      </c>
      <c r="F2568" t="s">
        <v>110</v>
      </c>
      <c r="G2568" t="s">
        <v>103</v>
      </c>
      <c r="H2568" t="s">
        <v>103</v>
      </c>
      <c r="J2568">
        <v>0</v>
      </c>
      <c r="K2568">
        <v>9</v>
      </c>
      <c r="L2568">
        <v>73.260869569999997</v>
      </c>
      <c r="M2568">
        <v>34.453830549999999</v>
      </c>
      <c r="N2568">
        <v>1.058333333</v>
      </c>
      <c r="O2568">
        <v>98.291666669999998</v>
      </c>
      <c r="P2568">
        <v>30.315130790000001</v>
      </c>
      <c r="Q2568">
        <v>5.0803484000000003E-2</v>
      </c>
      <c r="R2568" t="s">
        <v>1041</v>
      </c>
      <c r="S2568">
        <v>0.48031000000000001</v>
      </c>
    </row>
    <row r="2569" spans="1:19" x14ac:dyDescent="0.25">
      <c r="A2569" t="s">
        <v>85</v>
      </c>
      <c r="B2569" t="s">
        <v>1000</v>
      </c>
      <c r="C2569">
        <v>6</v>
      </c>
      <c r="D2569" t="s">
        <v>25</v>
      </c>
      <c r="E2569" t="s">
        <v>94</v>
      </c>
      <c r="F2569" t="s">
        <v>110</v>
      </c>
      <c r="G2569" t="s">
        <v>103</v>
      </c>
      <c r="H2569" t="s">
        <v>248</v>
      </c>
      <c r="J2569">
        <v>0</v>
      </c>
      <c r="K2569">
        <v>4</v>
      </c>
      <c r="L2569">
        <v>73.260869569999997</v>
      </c>
      <c r="M2569">
        <v>34.453830549999999</v>
      </c>
      <c r="N2569">
        <v>1.058333333</v>
      </c>
      <c r="O2569">
        <v>83.92307692</v>
      </c>
      <c r="P2569">
        <v>44.319135699999997</v>
      </c>
      <c r="Q2569">
        <v>5.9548609999999997E-3</v>
      </c>
      <c r="R2569" t="s">
        <v>1041</v>
      </c>
      <c r="S2569">
        <v>0.72879142000000008</v>
      </c>
    </row>
    <row r="2570" spans="1:19" x14ac:dyDescent="0.25">
      <c r="A2570" t="s">
        <v>85</v>
      </c>
      <c r="B2570" t="s">
        <v>1000</v>
      </c>
      <c r="C2570">
        <v>6</v>
      </c>
      <c r="D2570" t="s">
        <v>25</v>
      </c>
      <c r="E2570" t="s">
        <v>94</v>
      </c>
      <c r="F2570" t="s">
        <v>110</v>
      </c>
      <c r="G2570" t="s">
        <v>103</v>
      </c>
      <c r="H2570" t="s">
        <v>233</v>
      </c>
      <c r="J2570">
        <v>0</v>
      </c>
      <c r="K2570">
        <v>3</v>
      </c>
      <c r="L2570">
        <v>73.260869569999997</v>
      </c>
      <c r="M2570">
        <v>34.453830549999999</v>
      </c>
      <c r="N2570">
        <v>1.058333333</v>
      </c>
      <c r="O2570">
        <v>106.0540541</v>
      </c>
      <c r="P2570">
        <v>52.690533369999997</v>
      </c>
      <c r="Q2570">
        <v>7.6058968000000005E-2</v>
      </c>
      <c r="R2570" t="s">
        <v>1041</v>
      </c>
      <c r="S2570">
        <v>0.46008181000000004</v>
      </c>
    </row>
    <row r="2571" spans="1:19" x14ac:dyDescent="0.25">
      <c r="A2571" t="s">
        <v>85</v>
      </c>
      <c r="B2571" t="s">
        <v>1000</v>
      </c>
      <c r="C2571">
        <v>6</v>
      </c>
      <c r="D2571" t="s">
        <v>25</v>
      </c>
      <c r="E2571" t="s">
        <v>94</v>
      </c>
      <c r="F2571" t="s">
        <v>110</v>
      </c>
      <c r="G2571" t="s">
        <v>103</v>
      </c>
      <c r="H2571" t="s">
        <v>110</v>
      </c>
      <c r="J2571">
        <v>0</v>
      </c>
      <c r="K2571">
        <v>1</v>
      </c>
      <c r="L2571">
        <v>73.260869569999997</v>
      </c>
      <c r="M2571">
        <v>34.453830549999999</v>
      </c>
      <c r="N2571">
        <v>1.058333333</v>
      </c>
      <c r="O2571">
        <v>73.260869569999997</v>
      </c>
      <c r="P2571">
        <v>34.453830549999999</v>
      </c>
      <c r="Q2571">
        <v>1.058333333</v>
      </c>
      <c r="R2571" t="s">
        <v>1041</v>
      </c>
      <c r="S2571">
        <v>0</v>
      </c>
    </row>
    <row r="2572" spans="1:19" x14ac:dyDescent="0.25">
      <c r="A2572" t="s">
        <v>86</v>
      </c>
      <c r="B2572" t="s">
        <v>1001</v>
      </c>
      <c r="C2572">
        <v>6</v>
      </c>
      <c r="D2572" t="s">
        <v>27</v>
      </c>
      <c r="E2572" t="s">
        <v>94</v>
      </c>
      <c r="F2572" t="s">
        <v>110</v>
      </c>
      <c r="G2572" t="s">
        <v>121</v>
      </c>
      <c r="H2572" t="s">
        <v>246</v>
      </c>
      <c r="J2572">
        <v>0</v>
      </c>
      <c r="K2572">
        <v>1</v>
      </c>
      <c r="L2572">
        <v>73.260869569999997</v>
      </c>
      <c r="M2572">
        <v>34.453830549999999</v>
      </c>
      <c r="N2572">
        <v>1.058333333</v>
      </c>
      <c r="O2572">
        <v>120.25</v>
      </c>
      <c r="P2572">
        <v>30.670450110000001</v>
      </c>
      <c r="Q2572">
        <v>0.91037498500000003</v>
      </c>
      <c r="R2572" t="s">
        <v>1041</v>
      </c>
      <c r="S2572" t="s">
        <v>114</v>
      </c>
    </row>
    <row r="2573" spans="1:19" x14ac:dyDescent="0.25">
      <c r="A2573" t="s">
        <v>86</v>
      </c>
      <c r="B2573" t="s">
        <v>1001</v>
      </c>
      <c r="C2573">
        <v>6</v>
      </c>
      <c r="D2573" t="s">
        <v>27</v>
      </c>
      <c r="E2573" t="s">
        <v>94</v>
      </c>
      <c r="F2573" t="s">
        <v>110</v>
      </c>
      <c r="G2573" t="s">
        <v>121</v>
      </c>
      <c r="H2573" t="s">
        <v>242</v>
      </c>
      <c r="J2573">
        <v>0</v>
      </c>
      <c r="K2573">
        <v>2</v>
      </c>
      <c r="L2573">
        <v>73.260869569999997</v>
      </c>
      <c r="M2573">
        <v>34.453830549999999</v>
      </c>
      <c r="N2573">
        <v>1.058333333</v>
      </c>
      <c r="O2573">
        <v>139.375</v>
      </c>
      <c r="P2573">
        <v>23.713465920000001</v>
      </c>
      <c r="Q2573" t="s">
        <v>114</v>
      </c>
      <c r="R2573" t="s">
        <v>1041</v>
      </c>
      <c r="S2573" t="s">
        <v>114</v>
      </c>
    </row>
    <row r="2574" spans="1:19" x14ac:dyDescent="0.25">
      <c r="A2574" t="s">
        <v>86</v>
      </c>
      <c r="B2574" t="s">
        <v>1002</v>
      </c>
      <c r="C2574">
        <v>6</v>
      </c>
      <c r="D2574" t="s">
        <v>27</v>
      </c>
      <c r="E2574" t="s">
        <v>94</v>
      </c>
      <c r="F2574" t="s">
        <v>112</v>
      </c>
      <c r="G2574" t="s">
        <v>110</v>
      </c>
      <c r="H2574" t="s">
        <v>110</v>
      </c>
      <c r="J2574">
        <v>0</v>
      </c>
      <c r="K2574">
        <v>1</v>
      </c>
      <c r="L2574">
        <v>65.09375</v>
      </c>
      <c r="M2574">
        <v>37.895352600000002</v>
      </c>
      <c r="N2574">
        <v>2.2882677779999998</v>
      </c>
      <c r="O2574">
        <v>73.260869569999997</v>
      </c>
      <c r="P2574">
        <v>34.453830549999999</v>
      </c>
      <c r="Q2574">
        <v>1.058333333</v>
      </c>
      <c r="R2574" t="s">
        <v>1041</v>
      </c>
      <c r="S2574">
        <v>1.3022066999999999</v>
      </c>
    </row>
    <row r="2575" spans="1:19" x14ac:dyDescent="0.25">
      <c r="A2575" t="s">
        <v>86</v>
      </c>
      <c r="B2575" t="s">
        <v>1002</v>
      </c>
      <c r="C2575">
        <v>6</v>
      </c>
      <c r="D2575" t="s">
        <v>27</v>
      </c>
      <c r="E2575" t="s">
        <v>94</v>
      </c>
      <c r="F2575" t="s">
        <v>112</v>
      </c>
      <c r="G2575" t="s">
        <v>110</v>
      </c>
      <c r="H2575" t="s">
        <v>246</v>
      </c>
      <c r="J2575">
        <v>0</v>
      </c>
      <c r="K2575">
        <v>1</v>
      </c>
      <c r="L2575">
        <v>65.09375</v>
      </c>
      <c r="M2575">
        <v>37.895352600000002</v>
      </c>
      <c r="N2575">
        <v>2.2882677779999998</v>
      </c>
      <c r="O2575">
        <v>120.25</v>
      </c>
      <c r="P2575">
        <v>30.670450110000001</v>
      </c>
      <c r="Q2575">
        <v>0.91037498500000003</v>
      </c>
      <c r="R2575" t="s">
        <v>1041</v>
      </c>
      <c r="S2575" t="s">
        <v>114</v>
      </c>
    </row>
    <row r="2576" spans="1:19" x14ac:dyDescent="0.25">
      <c r="A2576" t="s">
        <v>87</v>
      </c>
      <c r="B2576" t="s">
        <v>1003</v>
      </c>
      <c r="C2576">
        <v>6</v>
      </c>
      <c r="D2576" t="s">
        <v>29</v>
      </c>
      <c r="E2576" t="s">
        <v>95</v>
      </c>
      <c r="F2576" t="s">
        <v>102</v>
      </c>
      <c r="G2576" t="s">
        <v>110</v>
      </c>
      <c r="H2576" t="s">
        <v>110</v>
      </c>
      <c r="J2576">
        <v>0</v>
      </c>
      <c r="K2576">
        <v>3</v>
      </c>
      <c r="L2576">
        <v>84.740740740000007</v>
      </c>
      <c r="M2576">
        <v>29.167014049999999</v>
      </c>
      <c r="N2576">
        <v>1.1169849999999999</v>
      </c>
      <c r="O2576">
        <v>73.260869569999997</v>
      </c>
      <c r="P2576">
        <v>34.453830549999999</v>
      </c>
      <c r="Q2576">
        <v>1.058333333</v>
      </c>
      <c r="R2576" t="s">
        <v>1041</v>
      </c>
      <c r="S2576">
        <v>0.24817920000000004</v>
      </c>
    </row>
    <row r="2577" spans="1:19" x14ac:dyDescent="0.25">
      <c r="A2577" t="s">
        <v>87</v>
      </c>
      <c r="B2577" t="s">
        <v>1003</v>
      </c>
      <c r="C2577">
        <v>6</v>
      </c>
      <c r="D2577" t="s">
        <v>29</v>
      </c>
      <c r="E2577" t="s">
        <v>95</v>
      </c>
      <c r="F2577" t="s">
        <v>102</v>
      </c>
      <c r="G2577" t="s">
        <v>110</v>
      </c>
      <c r="H2577" t="s">
        <v>246</v>
      </c>
      <c r="J2577">
        <v>0</v>
      </c>
      <c r="K2577">
        <v>1</v>
      </c>
      <c r="L2577">
        <v>84.740740740000007</v>
      </c>
      <c r="M2577">
        <v>29.167014049999999</v>
      </c>
      <c r="N2577">
        <v>1.1169849999999999</v>
      </c>
      <c r="O2577">
        <v>120.25</v>
      </c>
      <c r="P2577">
        <v>30.670450110000001</v>
      </c>
      <c r="Q2577">
        <v>0.91037498500000003</v>
      </c>
      <c r="R2577" t="s">
        <v>1041</v>
      </c>
      <c r="S2577" t="s">
        <v>114</v>
      </c>
    </row>
    <row r="2578" spans="1:19" x14ac:dyDescent="0.25">
      <c r="A2578" t="s">
        <v>87</v>
      </c>
      <c r="B2578" t="s">
        <v>1003</v>
      </c>
      <c r="C2578">
        <v>6</v>
      </c>
      <c r="D2578" t="s">
        <v>29</v>
      </c>
      <c r="E2578" t="s">
        <v>95</v>
      </c>
      <c r="F2578" t="s">
        <v>102</v>
      </c>
      <c r="G2578" t="s">
        <v>110</v>
      </c>
      <c r="H2578" t="s">
        <v>242</v>
      </c>
      <c r="J2578">
        <v>0</v>
      </c>
      <c r="K2578">
        <v>2</v>
      </c>
      <c r="L2578">
        <v>84.740740740000007</v>
      </c>
      <c r="M2578">
        <v>29.167014049999999</v>
      </c>
      <c r="N2578">
        <v>1.1169849999999999</v>
      </c>
      <c r="O2578">
        <v>139.375</v>
      </c>
      <c r="P2578">
        <v>23.713465920000001</v>
      </c>
      <c r="Q2578" t="s">
        <v>114</v>
      </c>
      <c r="R2578" t="s">
        <v>1041</v>
      </c>
      <c r="S2578" t="s">
        <v>114</v>
      </c>
    </row>
    <row r="2579" spans="1:19" x14ac:dyDescent="0.25">
      <c r="A2579" t="s">
        <v>87</v>
      </c>
      <c r="B2579" t="s">
        <v>1004</v>
      </c>
      <c r="C2579">
        <v>6</v>
      </c>
      <c r="D2579" t="s">
        <v>29</v>
      </c>
      <c r="E2579" t="s">
        <v>95</v>
      </c>
      <c r="F2579" t="s">
        <v>110</v>
      </c>
      <c r="G2579" t="s">
        <v>110</v>
      </c>
      <c r="H2579" t="s">
        <v>110</v>
      </c>
      <c r="J2579">
        <v>0</v>
      </c>
      <c r="K2579">
        <v>1</v>
      </c>
      <c r="L2579">
        <v>73.260869569999997</v>
      </c>
      <c r="M2579">
        <v>34.453830549999999</v>
      </c>
      <c r="N2579">
        <v>1.058333333</v>
      </c>
      <c r="O2579">
        <v>73.260869569999997</v>
      </c>
      <c r="P2579">
        <v>34.453830549999999</v>
      </c>
      <c r="Q2579">
        <v>1.058333333</v>
      </c>
      <c r="R2579" t="s">
        <v>1041</v>
      </c>
      <c r="S2579">
        <v>0</v>
      </c>
    </row>
    <row r="2580" spans="1:19" x14ac:dyDescent="0.25">
      <c r="A2580" t="s">
        <v>88</v>
      </c>
      <c r="B2580" t="s">
        <v>1005</v>
      </c>
      <c r="C2580">
        <v>6</v>
      </c>
      <c r="D2580" t="s">
        <v>31</v>
      </c>
      <c r="E2580" t="s">
        <v>95</v>
      </c>
      <c r="F2580" t="s">
        <v>110</v>
      </c>
      <c r="G2580" t="s">
        <v>113</v>
      </c>
      <c r="H2580" t="s">
        <v>113</v>
      </c>
      <c r="J2580">
        <v>0</v>
      </c>
      <c r="K2580">
        <v>3</v>
      </c>
      <c r="L2580">
        <v>73.260869569999997</v>
      </c>
      <c r="M2580">
        <v>34.453830549999999</v>
      </c>
      <c r="N2580">
        <v>1.058333333</v>
      </c>
      <c r="O2580">
        <v>83.757575759999995</v>
      </c>
      <c r="P2580">
        <v>22.60997987</v>
      </c>
      <c r="Q2580">
        <v>0.72884000000000004</v>
      </c>
      <c r="R2580" t="s">
        <v>1041</v>
      </c>
      <c r="S2580">
        <v>0.6959573</v>
      </c>
    </row>
    <row r="2581" spans="1:19" x14ac:dyDescent="0.25">
      <c r="A2581" t="s">
        <v>88</v>
      </c>
      <c r="B2581" t="s">
        <v>1005</v>
      </c>
      <c r="C2581">
        <v>6</v>
      </c>
      <c r="D2581" t="s">
        <v>31</v>
      </c>
      <c r="E2581" t="s">
        <v>95</v>
      </c>
      <c r="F2581" t="s">
        <v>110</v>
      </c>
      <c r="G2581" t="s">
        <v>113</v>
      </c>
      <c r="H2581" t="s">
        <v>103</v>
      </c>
      <c r="J2581">
        <v>0</v>
      </c>
      <c r="K2581">
        <v>1</v>
      </c>
      <c r="L2581">
        <v>73.260869569999997</v>
      </c>
      <c r="M2581">
        <v>34.453830549999999</v>
      </c>
      <c r="N2581">
        <v>1.058333333</v>
      </c>
      <c r="O2581">
        <v>98.291666669999998</v>
      </c>
      <c r="P2581">
        <v>30.315130790000001</v>
      </c>
      <c r="Q2581">
        <v>5.0803484000000003E-2</v>
      </c>
      <c r="R2581" t="s">
        <v>1041</v>
      </c>
      <c r="S2581">
        <v>0.48031000000000001</v>
      </c>
    </row>
    <row r="2582" spans="1:19" x14ac:dyDescent="0.25">
      <c r="A2582" t="s">
        <v>88</v>
      </c>
      <c r="B2582" t="s">
        <v>1006</v>
      </c>
      <c r="C2582">
        <v>6</v>
      </c>
      <c r="D2582" t="s">
        <v>31</v>
      </c>
      <c r="E2582" t="s">
        <v>95</v>
      </c>
      <c r="F2582" t="s">
        <v>112</v>
      </c>
      <c r="G2582" t="s">
        <v>113</v>
      </c>
      <c r="H2582" t="s">
        <v>113</v>
      </c>
      <c r="J2582">
        <v>0</v>
      </c>
      <c r="K2582">
        <v>2</v>
      </c>
      <c r="L2582">
        <v>65.09375</v>
      </c>
      <c r="M2582">
        <v>37.895352600000002</v>
      </c>
      <c r="N2582">
        <v>2.2882677779999998</v>
      </c>
      <c r="O2582">
        <v>83.757575759999995</v>
      </c>
      <c r="P2582">
        <v>22.60997987</v>
      </c>
      <c r="Q2582">
        <v>0.72884000000000004</v>
      </c>
      <c r="R2582" t="s">
        <v>1041</v>
      </c>
      <c r="S2582">
        <v>1.9981640000000001</v>
      </c>
    </row>
    <row r="2583" spans="1:19" x14ac:dyDescent="0.25">
      <c r="A2583" t="s">
        <v>89</v>
      </c>
      <c r="B2583" t="s">
        <v>1007</v>
      </c>
      <c r="C2583">
        <v>6</v>
      </c>
      <c r="D2583" t="s">
        <v>33</v>
      </c>
      <c r="E2583" t="s">
        <v>95</v>
      </c>
      <c r="F2583" t="s">
        <v>104</v>
      </c>
      <c r="G2583" t="s">
        <v>104</v>
      </c>
      <c r="H2583" t="s">
        <v>104</v>
      </c>
      <c r="J2583">
        <v>1</v>
      </c>
      <c r="K2583">
        <v>1</v>
      </c>
      <c r="L2583">
        <v>113.9375</v>
      </c>
      <c r="M2583">
        <v>33.375507550000002</v>
      </c>
      <c r="N2583">
        <v>2.4262999999999999</v>
      </c>
      <c r="O2583">
        <v>113.9375</v>
      </c>
      <c r="P2583">
        <v>33.375507550000002</v>
      </c>
      <c r="Q2583">
        <v>2.4262999999999999</v>
      </c>
      <c r="R2583" t="s">
        <v>1041</v>
      </c>
      <c r="S2583">
        <v>0</v>
      </c>
    </row>
    <row r="2584" spans="1:19" x14ac:dyDescent="0.25">
      <c r="A2584" t="s">
        <v>89</v>
      </c>
      <c r="B2584" t="s">
        <v>1007</v>
      </c>
      <c r="C2584">
        <v>6</v>
      </c>
      <c r="D2584" t="s">
        <v>33</v>
      </c>
      <c r="E2584" t="s">
        <v>95</v>
      </c>
      <c r="F2584" t="s">
        <v>104</v>
      </c>
      <c r="G2584" t="s">
        <v>104</v>
      </c>
      <c r="H2584" t="s">
        <v>103</v>
      </c>
      <c r="J2584">
        <v>1</v>
      </c>
      <c r="K2584">
        <v>1</v>
      </c>
      <c r="L2584">
        <v>113.9375</v>
      </c>
      <c r="M2584">
        <v>33.375507550000002</v>
      </c>
      <c r="N2584">
        <v>2.4262999999999999</v>
      </c>
      <c r="O2584">
        <v>98.291666669999998</v>
      </c>
      <c r="P2584">
        <v>30.315130790000001</v>
      </c>
      <c r="Q2584">
        <v>5.0803484000000003E-2</v>
      </c>
      <c r="R2584" t="s">
        <v>1041</v>
      </c>
      <c r="S2584">
        <v>2.1739100000000011E-2</v>
      </c>
    </row>
    <row r="2585" spans="1:19" x14ac:dyDescent="0.25">
      <c r="A2585" t="s">
        <v>89</v>
      </c>
      <c r="B2585" t="s">
        <v>1007</v>
      </c>
      <c r="C2585">
        <v>6</v>
      </c>
      <c r="D2585" t="s">
        <v>33</v>
      </c>
      <c r="E2585" t="s">
        <v>95</v>
      </c>
      <c r="F2585" t="s">
        <v>104</v>
      </c>
      <c r="G2585" t="s">
        <v>104</v>
      </c>
      <c r="H2585" t="s">
        <v>246</v>
      </c>
      <c r="J2585">
        <v>1</v>
      </c>
      <c r="K2585">
        <v>1</v>
      </c>
      <c r="L2585">
        <v>113.9375</v>
      </c>
      <c r="M2585">
        <v>33.375507550000002</v>
      </c>
      <c r="N2585">
        <v>2.4262999999999999</v>
      </c>
      <c r="O2585">
        <v>120.25</v>
      </c>
      <c r="P2585">
        <v>30.670450110000001</v>
      </c>
      <c r="Q2585">
        <v>0.91037498500000003</v>
      </c>
      <c r="R2585" t="s">
        <v>1041</v>
      </c>
      <c r="S2585" t="s">
        <v>114</v>
      </c>
    </row>
    <row r="2586" spans="1:19" x14ac:dyDescent="0.25">
      <c r="A2586" t="s">
        <v>89</v>
      </c>
      <c r="B2586" t="s">
        <v>1008</v>
      </c>
      <c r="C2586">
        <v>6</v>
      </c>
      <c r="D2586" t="s">
        <v>33</v>
      </c>
      <c r="E2586" t="s">
        <v>95</v>
      </c>
      <c r="F2586" t="s">
        <v>112</v>
      </c>
      <c r="G2586" t="s">
        <v>113</v>
      </c>
      <c r="H2586" t="s">
        <v>113</v>
      </c>
      <c r="I2586" t="s">
        <v>255</v>
      </c>
      <c r="J2586">
        <v>0</v>
      </c>
      <c r="K2586">
        <v>4</v>
      </c>
      <c r="L2586">
        <v>65.09375</v>
      </c>
      <c r="M2586">
        <v>37.895352600000002</v>
      </c>
      <c r="N2586">
        <v>2.2882677779999998</v>
      </c>
      <c r="O2586">
        <v>83.757575759999995</v>
      </c>
      <c r="P2586">
        <v>22.60997987</v>
      </c>
      <c r="Q2586">
        <v>0.72884000000000004</v>
      </c>
      <c r="R2586" t="s">
        <v>1041</v>
      </c>
      <c r="S2586">
        <v>1.9981640000000001</v>
      </c>
    </row>
    <row r="2587" spans="1:19" x14ac:dyDescent="0.25">
      <c r="A2587" t="s">
        <v>90</v>
      </c>
      <c r="B2587" t="s">
        <v>1009</v>
      </c>
      <c r="C2587">
        <v>6</v>
      </c>
      <c r="D2587" t="s">
        <v>35</v>
      </c>
      <c r="E2587" t="s">
        <v>94</v>
      </c>
      <c r="F2587" t="s">
        <v>111</v>
      </c>
      <c r="G2587" t="s">
        <v>121</v>
      </c>
      <c r="H2587" t="s">
        <v>253</v>
      </c>
      <c r="J2587">
        <v>0</v>
      </c>
      <c r="K2587">
        <v>3</v>
      </c>
      <c r="L2587">
        <v>94.97142857</v>
      </c>
      <c r="M2587">
        <v>24.31591813</v>
      </c>
      <c r="N2587">
        <v>0.122951111</v>
      </c>
      <c r="O2587">
        <v>172.08823530000001</v>
      </c>
      <c r="P2587">
        <v>29.581605960000001</v>
      </c>
      <c r="Q2587">
        <v>0.24280444400000001</v>
      </c>
      <c r="R2587" t="s">
        <v>1041</v>
      </c>
      <c r="S2587" t="s">
        <v>114</v>
      </c>
    </row>
    <row r="2588" spans="1:19" x14ac:dyDescent="0.25">
      <c r="A2588" t="s">
        <v>90</v>
      </c>
      <c r="B2588" t="s">
        <v>1009</v>
      </c>
      <c r="C2588">
        <v>6</v>
      </c>
      <c r="D2588" t="s">
        <v>35</v>
      </c>
      <c r="E2588" t="s">
        <v>94</v>
      </c>
      <c r="F2588" t="s">
        <v>111</v>
      </c>
      <c r="G2588" t="s">
        <v>121</v>
      </c>
      <c r="H2588" t="s">
        <v>162</v>
      </c>
      <c r="J2588">
        <v>0</v>
      </c>
      <c r="K2588">
        <v>1</v>
      </c>
      <c r="L2588">
        <v>94.97142857</v>
      </c>
      <c r="M2588">
        <v>24.31591813</v>
      </c>
      <c r="N2588">
        <v>0.122951111</v>
      </c>
      <c r="O2588">
        <v>82.53846154</v>
      </c>
      <c r="P2588">
        <v>35.660530039999998</v>
      </c>
      <c r="Q2588">
        <v>3.3754499999999998</v>
      </c>
      <c r="R2588" t="s">
        <v>1041</v>
      </c>
      <c r="S2588" t="s">
        <v>114</v>
      </c>
    </row>
    <row r="2589" spans="1:19" x14ac:dyDescent="0.25">
      <c r="A2589" t="s">
        <v>90</v>
      </c>
      <c r="B2589" t="s">
        <v>1010</v>
      </c>
      <c r="C2589">
        <v>6</v>
      </c>
      <c r="D2589" t="s">
        <v>35</v>
      </c>
      <c r="E2589" t="s">
        <v>94</v>
      </c>
      <c r="F2589" t="s">
        <v>104</v>
      </c>
      <c r="G2589" t="s">
        <v>111</v>
      </c>
      <c r="H2589" t="s">
        <v>111</v>
      </c>
      <c r="J2589">
        <v>1</v>
      </c>
      <c r="K2589">
        <v>1</v>
      </c>
      <c r="L2589">
        <v>113.9375</v>
      </c>
      <c r="M2589">
        <v>33.375507550000002</v>
      </c>
      <c r="N2589">
        <v>2.4262999999999999</v>
      </c>
      <c r="O2589">
        <v>94.97142857</v>
      </c>
      <c r="P2589">
        <v>24.31591813</v>
      </c>
      <c r="Q2589">
        <v>0.122951111</v>
      </c>
      <c r="R2589" t="s">
        <v>1041</v>
      </c>
      <c r="S2589">
        <v>1.6413699999999976E-2</v>
      </c>
    </row>
    <row r="2590" spans="1:19" x14ac:dyDescent="0.25">
      <c r="A2590" t="s">
        <v>90</v>
      </c>
      <c r="B2590" t="s">
        <v>1010</v>
      </c>
      <c r="C2590">
        <v>6</v>
      </c>
      <c r="D2590" t="s">
        <v>35</v>
      </c>
      <c r="E2590" t="s">
        <v>94</v>
      </c>
      <c r="F2590" t="s">
        <v>104</v>
      </c>
      <c r="G2590" t="s">
        <v>111</v>
      </c>
      <c r="H2590" t="s">
        <v>253</v>
      </c>
      <c r="J2590">
        <v>1</v>
      </c>
      <c r="K2590">
        <v>2</v>
      </c>
      <c r="L2590">
        <v>113.9375</v>
      </c>
      <c r="M2590">
        <v>33.375507550000002</v>
      </c>
      <c r="N2590">
        <v>2.4262999999999999</v>
      </c>
      <c r="O2590">
        <v>172.08823530000001</v>
      </c>
      <c r="P2590">
        <v>29.581605960000001</v>
      </c>
      <c r="Q2590">
        <v>0.24280444400000001</v>
      </c>
      <c r="R2590" t="s">
        <v>1041</v>
      </c>
      <c r="S2590" t="s">
        <v>114</v>
      </c>
    </row>
    <row r="2591" spans="1:19" x14ac:dyDescent="0.25">
      <c r="A2591" t="s">
        <v>91</v>
      </c>
      <c r="B2591" t="s">
        <v>1011</v>
      </c>
      <c r="C2591">
        <v>6</v>
      </c>
      <c r="D2591" t="s">
        <v>37</v>
      </c>
      <c r="E2591" t="s">
        <v>94</v>
      </c>
      <c r="F2591" t="s">
        <v>112</v>
      </c>
      <c r="G2591" t="s">
        <v>112</v>
      </c>
      <c r="H2591" t="s">
        <v>112</v>
      </c>
      <c r="J2591">
        <v>0</v>
      </c>
      <c r="K2591">
        <v>1</v>
      </c>
      <c r="L2591">
        <v>65.09375</v>
      </c>
      <c r="M2591">
        <v>37.895352600000002</v>
      </c>
      <c r="N2591">
        <v>2.2882677779999998</v>
      </c>
      <c r="O2591">
        <v>65.09375</v>
      </c>
      <c r="P2591">
        <v>37.895352600000002</v>
      </c>
      <c r="Q2591">
        <v>2.2882677779999998</v>
      </c>
      <c r="R2591" t="s">
        <v>1041</v>
      </c>
      <c r="S2591">
        <v>0</v>
      </c>
    </row>
    <row r="2592" spans="1:19" x14ac:dyDescent="0.25">
      <c r="A2592" t="s">
        <v>92</v>
      </c>
      <c r="B2592" t="s">
        <v>1012</v>
      </c>
      <c r="C2592">
        <v>6</v>
      </c>
      <c r="D2592" t="s">
        <v>64</v>
      </c>
      <c r="E2592" t="s">
        <v>94</v>
      </c>
      <c r="F2592" t="s">
        <v>112</v>
      </c>
      <c r="G2592" t="s">
        <v>102</v>
      </c>
      <c r="H2592" t="s">
        <v>102</v>
      </c>
      <c r="J2592">
        <v>0</v>
      </c>
      <c r="K2592">
        <v>2</v>
      </c>
      <c r="L2592">
        <v>65.09375</v>
      </c>
      <c r="M2592">
        <v>37.895352600000002</v>
      </c>
      <c r="N2592">
        <v>2.2882677779999998</v>
      </c>
      <c r="O2592">
        <v>84.740740740000007</v>
      </c>
      <c r="P2592">
        <v>29.167014049999999</v>
      </c>
      <c r="Q2592">
        <v>1.1169849999999999</v>
      </c>
      <c r="R2592" t="s">
        <v>1041</v>
      </c>
      <c r="S2592">
        <v>1.0540274999999999</v>
      </c>
    </row>
    <row r="2593" spans="1:19" x14ac:dyDescent="0.25">
      <c r="A2593" t="s">
        <v>92</v>
      </c>
      <c r="B2593" t="s">
        <v>1012</v>
      </c>
      <c r="C2593">
        <v>6</v>
      </c>
      <c r="D2593" t="s">
        <v>64</v>
      </c>
      <c r="E2593" t="s">
        <v>94</v>
      </c>
      <c r="F2593" t="s">
        <v>112</v>
      </c>
      <c r="G2593" t="s">
        <v>102</v>
      </c>
      <c r="H2593" t="s">
        <v>241</v>
      </c>
      <c r="J2593">
        <v>0</v>
      </c>
      <c r="K2593">
        <v>1</v>
      </c>
      <c r="L2593">
        <v>65.09375</v>
      </c>
      <c r="M2593">
        <v>37.895352600000002</v>
      </c>
      <c r="N2593">
        <v>2.2882677779999998</v>
      </c>
      <c r="O2593">
        <v>114</v>
      </c>
      <c r="P2593">
        <v>30.43077242</v>
      </c>
      <c r="Q2593">
        <v>0.53383111100000002</v>
      </c>
      <c r="R2593" t="s">
        <v>1041</v>
      </c>
      <c r="S2593">
        <v>1.9278440699999999</v>
      </c>
    </row>
    <row r="2594" spans="1:19" x14ac:dyDescent="0.25">
      <c r="A2594" t="s">
        <v>93</v>
      </c>
      <c r="B2594" t="s">
        <v>1013</v>
      </c>
      <c r="C2594">
        <v>6</v>
      </c>
      <c r="D2594" t="s">
        <v>66</v>
      </c>
      <c r="E2594" t="s">
        <v>95</v>
      </c>
      <c r="F2594" t="s">
        <v>104</v>
      </c>
      <c r="G2594" t="s">
        <v>103</v>
      </c>
      <c r="H2594" t="s">
        <v>104</v>
      </c>
      <c r="J2594">
        <v>0</v>
      </c>
      <c r="K2594">
        <v>1</v>
      </c>
      <c r="L2594">
        <v>113.9375</v>
      </c>
      <c r="M2594">
        <v>33.375507550000002</v>
      </c>
      <c r="N2594">
        <v>2.4262999999999999</v>
      </c>
      <c r="O2594">
        <v>113.9375</v>
      </c>
      <c r="P2594">
        <v>33.375507550000002</v>
      </c>
      <c r="Q2594">
        <v>2.4262999999999999</v>
      </c>
      <c r="R2594" t="s">
        <v>1041</v>
      </c>
      <c r="S2594">
        <v>0</v>
      </c>
    </row>
    <row r="2595" spans="1:19" x14ac:dyDescent="0.25">
      <c r="A2595" t="s">
        <v>93</v>
      </c>
      <c r="B2595" t="s">
        <v>1013</v>
      </c>
      <c r="C2595">
        <v>6</v>
      </c>
      <c r="D2595" t="s">
        <v>66</v>
      </c>
      <c r="E2595" t="s">
        <v>95</v>
      </c>
      <c r="F2595" t="s">
        <v>104</v>
      </c>
      <c r="G2595" t="s">
        <v>103</v>
      </c>
      <c r="H2595" t="s">
        <v>111</v>
      </c>
      <c r="J2595">
        <v>0</v>
      </c>
      <c r="K2595">
        <v>1</v>
      </c>
      <c r="L2595">
        <v>113.9375</v>
      </c>
      <c r="M2595">
        <v>33.375507550000002</v>
      </c>
      <c r="N2595">
        <v>2.4262999999999999</v>
      </c>
      <c r="O2595">
        <v>94.97142857</v>
      </c>
      <c r="P2595">
        <v>24.31591813</v>
      </c>
      <c r="Q2595">
        <v>0.122951111</v>
      </c>
      <c r="R2595" t="s">
        <v>1041</v>
      </c>
      <c r="S2595">
        <v>1.6413699999999976E-2</v>
      </c>
    </row>
    <row r="2596" spans="1:19" x14ac:dyDescent="0.25">
      <c r="A2596" t="s">
        <v>93</v>
      </c>
      <c r="B2596" t="s">
        <v>1013</v>
      </c>
      <c r="C2596">
        <v>6</v>
      </c>
      <c r="D2596" t="s">
        <v>66</v>
      </c>
      <c r="E2596" t="s">
        <v>95</v>
      </c>
      <c r="F2596" t="s">
        <v>104</v>
      </c>
      <c r="G2596" t="s">
        <v>103</v>
      </c>
      <c r="H2596" t="s">
        <v>103</v>
      </c>
      <c r="J2596">
        <v>0</v>
      </c>
      <c r="K2596">
        <v>4</v>
      </c>
      <c r="L2596">
        <v>113.9375</v>
      </c>
      <c r="M2596">
        <v>33.375507550000002</v>
      </c>
      <c r="N2596">
        <v>2.4262999999999999</v>
      </c>
      <c r="O2596">
        <v>98.291666669999998</v>
      </c>
      <c r="P2596">
        <v>30.315130790000001</v>
      </c>
      <c r="Q2596">
        <v>5.0803484000000003E-2</v>
      </c>
      <c r="R2596" t="s">
        <v>1041</v>
      </c>
      <c r="S2596">
        <v>2.1739100000000011E-2</v>
      </c>
    </row>
    <row r="2597" spans="1:19" x14ac:dyDescent="0.25">
      <c r="A2597" t="s">
        <v>93</v>
      </c>
      <c r="B2597" t="s">
        <v>1013</v>
      </c>
      <c r="C2597">
        <v>6</v>
      </c>
      <c r="D2597" t="s">
        <v>66</v>
      </c>
      <c r="E2597" t="s">
        <v>95</v>
      </c>
      <c r="F2597" t="s">
        <v>104</v>
      </c>
      <c r="G2597" t="s">
        <v>103</v>
      </c>
      <c r="H2597" t="s">
        <v>238</v>
      </c>
      <c r="J2597">
        <v>0</v>
      </c>
      <c r="K2597">
        <v>2</v>
      </c>
      <c r="L2597">
        <v>113.9375</v>
      </c>
      <c r="M2597">
        <v>33.375507550000002</v>
      </c>
      <c r="N2597">
        <v>2.4262999999999999</v>
      </c>
      <c r="O2597">
        <v>87.5</v>
      </c>
      <c r="P2597">
        <v>29.478311600000001</v>
      </c>
      <c r="Q2597">
        <v>3.0797751000000002E-2</v>
      </c>
      <c r="R2597" t="s">
        <v>1041</v>
      </c>
      <c r="S2597">
        <v>0.27760324999999997</v>
      </c>
    </row>
    <row r="2598" spans="1:19" x14ac:dyDescent="0.25">
      <c r="A2598" t="s">
        <v>93</v>
      </c>
      <c r="B2598" t="s">
        <v>1013</v>
      </c>
      <c r="C2598">
        <v>6</v>
      </c>
      <c r="D2598" t="s">
        <v>66</v>
      </c>
      <c r="E2598" t="s">
        <v>95</v>
      </c>
      <c r="F2598" t="s">
        <v>104</v>
      </c>
      <c r="G2598" t="s">
        <v>103</v>
      </c>
      <c r="H2598" t="s">
        <v>246</v>
      </c>
      <c r="J2598">
        <v>0</v>
      </c>
      <c r="K2598">
        <v>1</v>
      </c>
      <c r="L2598">
        <v>113.9375</v>
      </c>
      <c r="M2598">
        <v>33.375507550000002</v>
      </c>
      <c r="N2598">
        <v>2.4262999999999999</v>
      </c>
      <c r="O2598">
        <v>120.25</v>
      </c>
      <c r="P2598">
        <v>30.670450110000001</v>
      </c>
      <c r="Q2598">
        <v>0.91037498500000003</v>
      </c>
      <c r="R2598" t="s">
        <v>1041</v>
      </c>
      <c r="S2598" t="s">
        <v>114</v>
      </c>
    </row>
    <row r="2599" spans="1:19" x14ac:dyDescent="0.25">
      <c r="A2599" t="s">
        <v>67</v>
      </c>
      <c r="B2599" t="s">
        <v>820</v>
      </c>
      <c r="C2599">
        <v>10</v>
      </c>
      <c r="D2599" t="s">
        <v>11</v>
      </c>
      <c r="E2599" t="s">
        <v>94</v>
      </c>
      <c r="F2599" t="s">
        <v>113</v>
      </c>
      <c r="G2599" t="s">
        <v>121</v>
      </c>
      <c r="H2599" t="s">
        <v>113</v>
      </c>
      <c r="J2599">
        <v>0</v>
      </c>
      <c r="K2599">
        <v>2</v>
      </c>
      <c r="L2599">
        <v>83.757575759999995</v>
      </c>
      <c r="M2599">
        <v>22.60997987</v>
      </c>
      <c r="N2599">
        <v>0.72884000000000004</v>
      </c>
      <c r="O2599">
        <v>83.757575759999995</v>
      </c>
      <c r="P2599">
        <v>22.60997987</v>
      </c>
      <c r="Q2599">
        <v>0.72884000000000004</v>
      </c>
      <c r="R2599" t="s">
        <v>1040</v>
      </c>
      <c r="S2599">
        <v>0</v>
      </c>
    </row>
    <row r="2600" spans="1:19" x14ac:dyDescent="0.25">
      <c r="A2600" t="s">
        <v>67</v>
      </c>
      <c r="B2600" t="s">
        <v>820</v>
      </c>
      <c r="C2600">
        <v>10</v>
      </c>
      <c r="D2600" t="s">
        <v>11</v>
      </c>
      <c r="E2600" t="s">
        <v>94</v>
      </c>
      <c r="F2600" t="s">
        <v>113</v>
      </c>
      <c r="G2600" t="s">
        <v>121</v>
      </c>
      <c r="H2600" t="s">
        <v>248</v>
      </c>
      <c r="J2600">
        <v>0</v>
      </c>
      <c r="K2600">
        <v>1</v>
      </c>
      <c r="L2600">
        <v>83.757575759999995</v>
      </c>
      <c r="M2600">
        <v>22.60997987</v>
      </c>
      <c r="N2600">
        <v>0.72884000000000004</v>
      </c>
      <c r="O2600">
        <v>83.92307692</v>
      </c>
      <c r="P2600">
        <v>44.319135699999997</v>
      </c>
      <c r="Q2600">
        <v>5.9548609999999997E-3</v>
      </c>
      <c r="R2600" t="s">
        <v>1040</v>
      </c>
      <c r="S2600">
        <v>3.2834119999999994E-2</v>
      </c>
    </row>
    <row r="2601" spans="1:19" x14ac:dyDescent="0.25">
      <c r="A2601" t="s">
        <v>67</v>
      </c>
      <c r="B2601" t="s">
        <v>821</v>
      </c>
      <c r="C2601">
        <v>10</v>
      </c>
      <c r="D2601" t="s">
        <v>11</v>
      </c>
      <c r="E2601" t="s">
        <v>94</v>
      </c>
      <c r="F2601" t="s">
        <v>103</v>
      </c>
      <c r="G2601" t="s">
        <v>121</v>
      </c>
      <c r="H2601" t="s">
        <v>103</v>
      </c>
      <c r="J2601">
        <v>0</v>
      </c>
      <c r="K2601">
        <v>1</v>
      </c>
      <c r="L2601">
        <v>98.291666669999998</v>
      </c>
      <c r="M2601">
        <v>30.315130790000001</v>
      </c>
      <c r="N2601">
        <v>5.0803484000000003E-2</v>
      </c>
      <c r="O2601">
        <v>98.291666669999998</v>
      </c>
      <c r="P2601">
        <v>30.315130790000001</v>
      </c>
      <c r="Q2601">
        <v>5.0803484000000003E-2</v>
      </c>
      <c r="R2601" t="s">
        <v>1040</v>
      </c>
      <c r="S2601">
        <v>0</v>
      </c>
    </row>
    <row r="2602" spans="1:19" x14ac:dyDescent="0.25">
      <c r="A2602" t="s">
        <v>67</v>
      </c>
      <c r="B2602" t="s">
        <v>822</v>
      </c>
      <c r="C2602">
        <v>10</v>
      </c>
      <c r="D2602" t="s">
        <v>11</v>
      </c>
      <c r="E2602" t="s">
        <v>94</v>
      </c>
      <c r="F2602" t="s">
        <v>112</v>
      </c>
      <c r="G2602" t="s">
        <v>121</v>
      </c>
      <c r="H2602" t="s">
        <v>235</v>
      </c>
      <c r="J2602">
        <v>0</v>
      </c>
      <c r="K2602">
        <v>1</v>
      </c>
      <c r="L2602">
        <v>65.09375</v>
      </c>
      <c r="M2602">
        <v>37.895352600000002</v>
      </c>
      <c r="N2602">
        <v>2.2882677779999998</v>
      </c>
      <c r="O2602">
        <v>132.27272730000001</v>
      </c>
      <c r="P2602">
        <v>20.180448590000001</v>
      </c>
      <c r="Q2602">
        <v>3.7813451999999997E-2</v>
      </c>
      <c r="R2602" t="s">
        <v>1040</v>
      </c>
      <c r="S2602">
        <v>1.7971333899999999</v>
      </c>
    </row>
    <row r="2603" spans="1:19" x14ac:dyDescent="0.25">
      <c r="A2603" t="s">
        <v>67</v>
      </c>
      <c r="B2603" t="s">
        <v>822</v>
      </c>
      <c r="C2603">
        <v>10</v>
      </c>
      <c r="D2603" t="s">
        <v>11</v>
      </c>
      <c r="E2603" t="s">
        <v>94</v>
      </c>
      <c r="F2603" t="s">
        <v>112</v>
      </c>
      <c r="G2603" t="s">
        <v>121</v>
      </c>
      <c r="H2603" t="s">
        <v>248</v>
      </c>
      <c r="J2603">
        <v>0</v>
      </c>
      <c r="K2603">
        <v>2</v>
      </c>
      <c r="L2603">
        <v>65.09375</v>
      </c>
      <c r="M2603">
        <v>37.895352600000002</v>
      </c>
      <c r="N2603">
        <v>2.2882677779999998</v>
      </c>
      <c r="O2603">
        <v>83.92307692</v>
      </c>
      <c r="P2603">
        <v>44.319135699999997</v>
      </c>
      <c r="Q2603">
        <v>5.9548609999999997E-3</v>
      </c>
      <c r="R2603" t="s">
        <v>1040</v>
      </c>
      <c r="S2603">
        <v>2.03099812</v>
      </c>
    </row>
    <row r="2604" spans="1:19" x14ac:dyDescent="0.25">
      <c r="A2604" t="s">
        <v>68</v>
      </c>
      <c r="B2604" t="s">
        <v>823</v>
      </c>
      <c r="C2604">
        <v>10</v>
      </c>
      <c r="D2604" t="s">
        <v>15</v>
      </c>
      <c r="E2604" t="s">
        <v>95</v>
      </c>
      <c r="F2604" t="s">
        <v>113</v>
      </c>
      <c r="G2604" t="s">
        <v>121</v>
      </c>
      <c r="H2604" t="s">
        <v>113</v>
      </c>
      <c r="J2604">
        <v>0</v>
      </c>
      <c r="K2604">
        <v>1</v>
      </c>
      <c r="L2604">
        <v>83.757575759999995</v>
      </c>
      <c r="M2604">
        <v>22.60997987</v>
      </c>
      <c r="N2604">
        <v>0.72884000000000004</v>
      </c>
      <c r="O2604">
        <v>83.757575759999995</v>
      </c>
      <c r="P2604">
        <v>22.60997987</v>
      </c>
      <c r="Q2604">
        <v>0.72884000000000004</v>
      </c>
      <c r="R2604" t="s">
        <v>1040</v>
      </c>
      <c r="S2604">
        <v>0</v>
      </c>
    </row>
    <row r="2605" spans="1:19" x14ac:dyDescent="0.25">
      <c r="A2605" t="s">
        <v>68</v>
      </c>
      <c r="B2605" t="s">
        <v>824</v>
      </c>
      <c r="C2605">
        <v>10</v>
      </c>
      <c r="D2605" t="s">
        <v>15</v>
      </c>
      <c r="E2605" t="s">
        <v>95</v>
      </c>
      <c r="F2605" t="s">
        <v>110</v>
      </c>
      <c r="G2605" t="s">
        <v>113</v>
      </c>
      <c r="H2605" t="s">
        <v>113</v>
      </c>
      <c r="J2605">
        <v>0</v>
      </c>
      <c r="K2605">
        <v>2</v>
      </c>
      <c r="L2605">
        <v>73.260869569999997</v>
      </c>
      <c r="M2605">
        <v>34.453830549999999</v>
      </c>
      <c r="N2605">
        <v>1.058333333</v>
      </c>
      <c r="O2605">
        <v>83.757575759999995</v>
      </c>
      <c r="P2605">
        <v>22.60997987</v>
      </c>
      <c r="Q2605">
        <v>0.72884000000000004</v>
      </c>
      <c r="R2605" t="s">
        <v>1040</v>
      </c>
      <c r="S2605">
        <v>0.6959573</v>
      </c>
    </row>
    <row r="2606" spans="1:19" x14ac:dyDescent="0.25">
      <c r="A2606" t="s">
        <v>68</v>
      </c>
      <c r="B2606" t="s">
        <v>825</v>
      </c>
      <c r="C2606">
        <v>10</v>
      </c>
      <c r="D2606" t="s">
        <v>15</v>
      </c>
      <c r="E2606" t="s">
        <v>95</v>
      </c>
      <c r="F2606" t="s">
        <v>111</v>
      </c>
      <c r="G2606" t="s">
        <v>121</v>
      </c>
      <c r="H2606" t="s">
        <v>239</v>
      </c>
      <c r="J2606">
        <v>0</v>
      </c>
      <c r="K2606">
        <v>1</v>
      </c>
      <c r="L2606">
        <v>94.97142857</v>
      </c>
      <c r="M2606">
        <v>24.31591813</v>
      </c>
      <c r="N2606">
        <v>0.122951111</v>
      </c>
      <c r="O2606">
        <v>100.45454549999999</v>
      </c>
      <c r="P2606">
        <v>26.754810689999999</v>
      </c>
      <c r="Q2606">
        <v>0.75829999999999997</v>
      </c>
      <c r="R2606" t="s">
        <v>1040</v>
      </c>
      <c r="S2606">
        <v>-1.857070999999999E-2</v>
      </c>
    </row>
    <row r="2607" spans="1:19" x14ac:dyDescent="0.25">
      <c r="A2607" t="s">
        <v>68</v>
      </c>
      <c r="B2607" t="s">
        <v>826</v>
      </c>
      <c r="C2607">
        <v>10</v>
      </c>
      <c r="D2607" t="s">
        <v>15</v>
      </c>
      <c r="E2607" t="s">
        <v>95</v>
      </c>
      <c r="F2607" t="s">
        <v>104</v>
      </c>
      <c r="G2607" t="s">
        <v>121</v>
      </c>
      <c r="H2607" t="s">
        <v>114</v>
      </c>
      <c r="I2607" t="s">
        <v>161</v>
      </c>
      <c r="J2607">
        <v>1</v>
      </c>
      <c r="K2607">
        <v>0</v>
      </c>
      <c r="L2607">
        <v>113.9375</v>
      </c>
      <c r="M2607">
        <v>33.375507550000002</v>
      </c>
      <c r="N2607">
        <v>2.4262999999999999</v>
      </c>
      <c r="O2607" t="s">
        <v>114</v>
      </c>
      <c r="P2607" t="s">
        <v>114</v>
      </c>
      <c r="Q2607" t="s">
        <v>114</v>
      </c>
      <c r="R2607" t="s">
        <v>1040</v>
      </c>
      <c r="S2607" t="s">
        <v>114</v>
      </c>
    </row>
    <row r="2608" spans="1:19" x14ac:dyDescent="0.25">
      <c r="A2608" t="s">
        <v>69</v>
      </c>
      <c r="B2608" t="s">
        <v>827</v>
      </c>
      <c r="C2608">
        <v>10</v>
      </c>
      <c r="D2608" t="s">
        <v>17</v>
      </c>
      <c r="E2608" t="s">
        <v>95</v>
      </c>
      <c r="F2608" t="s">
        <v>102</v>
      </c>
      <c r="G2608" t="s">
        <v>102</v>
      </c>
      <c r="H2608" t="s">
        <v>102</v>
      </c>
      <c r="J2608">
        <v>0</v>
      </c>
      <c r="K2608">
        <v>1</v>
      </c>
      <c r="L2608">
        <v>84.740740740000007</v>
      </c>
      <c r="M2608">
        <v>29.167014049999999</v>
      </c>
      <c r="N2608">
        <v>1.1169849999999999</v>
      </c>
      <c r="O2608">
        <v>84.740740740000007</v>
      </c>
      <c r="P2608">
        <v>29.167014049999999</v>
      </c>
      <c r="Q2608">
        <v>1.1169849999999999</v>
      </c>
      <c r="R2608" t="s">
        <v>1040</v>
      </c>
      <c r="S2608">
        <v>0</v>
      </c>
    </row>
    <row r="2609" spans="1:19" x14ac:dyDescent="0.25">
      <c r="A2609" t="s">
        <v>69</v>
      </c>
      <c r="B2609" t="s">
        <v>827</v>
      </c>
      <c r="C2609">
        <v>10</v>
      </c>
      <c r="D2609" t="s">
        <v>17</v>
      </c>
      <c r="E2609" t="s">
        <v>95</v>
      </c>
      <c r="F2609" t="s">
        <v>102</v>
      </c>
      <c r="G2609" t="s">
        <v>102</v>
      </c>
      <c r="H2609" t="s">
        <v>235</v>
      </c>
      <c r="J2609">
        <v>0</v>
      </c>
      <c r="K2609">
        <v>2</v>
      </c>
      <c r="L2609">
        <v>84.740740740000007</v>
      </c>
      <c r="M2609">
        <v>29.167014049999999</v>
      </c>
      <c r="N2609">
        <v>1.1169849999999999</v>
      </c>
      <c r="O2609">
        <v>132.27272730000001</v>
      </c>
      <c r="P2609">
        <v>20.180448590000001</v>
      </c>
      <c r="Q2609">
        <v>3.7813451999999997E-2</v>
      </c>
      <c r="R2609" t="s">
        <v>1040</v>
      </c>
      <c r="S2609">
        <v>0.74310589000000005</v>
      </c>
    </row>
    <row r="2610" spans="1:19" x14ac:dyDescent="0.25">
      <c r="A2610" t="s">
        <v>69</v>
      </c>
      <c r="B2610" t="s">
        <v>828</v>
      </c>
      <c r="C2610">
        <v>10</v>
      </c>
      <c r="D2610" t="s">
        <v>17</v>
      </c>
      <c r="E2610" t="s">
        <v>95</v>
      </c>
      <c r="F2610" t="s">
        <v>113</v>
      </c>
      <c r="G2610" t="s">
        <v>113</v>
      </c>
      <c r="H2610" t="s">
        <v>113</v>
      </c>
      <c r="J2610">
        <v>0</v>
      </c>
      <c r="K2610">
        <v>1</v>
      </c>
      <c r="L2610">
        <v>83.757575759999995</v>
      </c>
      <c r="M2610">
        <v>22.60997987</v>
      </c>
      <c r="N2610">
        <v>0.72884000000000004</v>
      </c>
      <c r="O2610">
        <v>83.757575759999995</v>
      </c>
      <c r="P2610">
        <v>22.60997987</v>
      </c>
      <c r="Q2610">
        <v>0.72884000000000004</v>
      </c>
      <c r="R2610" t="s">
        <v>1040</v>
      </c>
      <c r="S2610">
        <v>0</v>
      </c>
    </row>
    <row r="2611" spans="1:19" x14ac:dyDescent="0.25">
      <c r="A2611" t="s">
        <v>69</v>
      </c>
      <c r="B2611" t="s">
        <v>828</v>
      </c>
      <c r="C2611">
        <v>10</v>
      </c>
      <c r="D2611" t="s">
        <v>17</v>
      </c>
      <c r="E2611" t="s">
        <v>95</v>
      </c>
      <c r="F2611" t="s">
        <v>113</v>
      </c>
      <c r="G2611" t="s">
        <v>113</v>
      </c>
      <c r="H2611" t="s">
        <v>235</v>
      </c>
      <c r="J2611">
        <v>0</v>
      </c>
      <c r="K2611">
        <v>2</v>
      </c>
      <c r="L2611">
        <v>83.757575759999995</v>
      </c>
      <c r="M2611">
        <v>22.60997987</v>
      </c>
      <c r="N2611">
        <v>0.72884000000000004</v>
      </c>
      <c r="O2611">
        <v>132.27272730000001</v>
      </c>
      <c r="P2611">
        <v>20.180448590000001</v>
      </c>
      <c r="Q2611">
        <v>3.7813451999999997E-2</v>
      </c>
      <c r="R2611" t="s">
        <v>1040</v>
      </c>
      <c r="S2611">
        <v>-0.20103061000000003</v>
      </c>
    </row>
    <row r="2612" spans="1:19" x14ac:dyDescent="0.25">
      <c r="A2612" t="s">
        <v>69</v>
      </c>
      <c r="B2612" t="s">
        <v>829</v>
      </c>
      <c r="C2612">
        <v>10</v>
      </c>
      <c r="D2612" t="s">
        <v>17</v>
      </c>
      <c r="E2612" t="s">
        <v>95</v>
      </c>
      <c r="F2612" t="s">
        <v>103</v>
      </c>
      <c r="G2612" t="s">
        <v>103</v>
      </c>
      <c r="H2612" t="s">
        <v>103</v>
      </c>
      <c r="J2612">
        <v>0</v>
      </c>
      <c r="K2612">
        <v>1</v>
      </c>
      <c r="L2612">
        <v>98.291666669999998</v>
      </c>
      <c r="M2612">
        <v>30.315130790000001</v>
      </c>
      <c r="N2612">
        <v>5.0803484000000003E-2</v>
      </c>
      <c r="O2612">
        <v>98.291666669999998</v>
      </c>
      <c r="P2612">
        <v>30.315130790000001</v>
      </c>
      <c r="Q2612">
        <v>5.0803484000000003E-2</v>
      </c>
      <c r="R2612" t="s">
        <v>1040</v>
      </c>
      <c r="S2612">
        <v>0</v>
      </c>
    </row>
    <row r="2613" spans="1:19" x14ac:dyDescent="0.25">
      <c r="A2613" t="s">
        <v>69</v>
      </c>
      <c r="B2613" t="s">
        <v>829</v>
      </c>
      <c r="C2613">
        <v>10</v>
      </c>
      <c r="D2613" t="s">
        <v>17</v>
      </c>
      <c r="E2613" t="s">
        <v>95</v>
      </c>
      <c r="F2613" t="s">
        <v>103</v>
      </c>
      <c r="G2613" t="s">
        <v>103</v>
      </c>
      <c r="H2613" t="s">
        <v>241</v>
      </c>
      <c r="J2613">
        <v>0</v>
      </c>
      <c r="K2613">
        <v>1</v>
      </c>
      <c r="L2613">
        <v>98.291666669999998</v>
      </c>
      <c r="M2613">
        <v>30.315130790000001</v>
      </c>
      <c r="N2613">
        <v>5.0803484000000003E-2</v>
      </c>
      <c r="O2613">
        <v>114</v>
      </c>
      <c r="P2613">
        <v>30.43077242</v>
      </c>
      <c r="Q2613">
        <v>0.53383111100000002</v>
      </c>
      <c r="R2613" t="s">
        <v>1040</v>
      </c>
      <c r="S2613">
        <v>0.14532737000000001</v>
      </c>
    </row>
    <row r="2614" spans="1:19" x14ac:dyDescent="0.25">
      <c r="A2614" t="s">
        <v>69</v>
      </c>
      <c r="B2614" t="s">
        <v>829</v>
      </c>
      <c r="C2614">
        <v>10</v>
      </c>
      <c r="D2614" t="s">
        <v>17</v>
      </c>
      <c r="E2614" t="s">
        <v>95</v>
      </c>
      <c r="F2614" t="s">
        <v>103</v>
      </c>
      <c r="G2614" t="s">
        <v>103</v>
      </c>
      <c r="H2614" t="s">
        <v>235</v>
      </c>
      <c r="J2614">
        <v>0</v>
      </c>
      <c r="K2614">
        <v>1</v>
      </c>
      <c r="L2614">
        <v>98.291666669999998</v>
      </c>
      <c r="M2614">
        <v>30.315130790000001</v>
      </c>
      <c r="N2614">
        <v>5.0803484000000003E-2</v>
      </c>
      <c r="O2614">
        <v>132.27272730000001</v>
      </c>
      <c r="P2614">
        <v>20.180448590000001</v>
      </c>
      <c r="Q2614">
        <v>3.7813451999999997E-2</v>
      </c>
      <c r="R2614" t="s">
        <v>1040</v>
      </c>
      <c r="S2614">
        <v>1.4616689999999988E-2</v>
      </c>
    </row>
    <row r="2615" spans="1:19" x14ac:dyDescent="0.25">
      <c r="A2615" t="s">
        <v>69</v>
      </c>
      <c r="B2615" t="s">
        <v>830</v>
      </c>
      <c r="C2615">
        <v>10</v>
      </c>
      <c r="D2615" t="s">
        <v>17</v>
      </c>
      <c r="E2615" t="s">
        <v>95</v>
      </c>
      <c r="F2615" t="s">
        <v>111</v>
      </c>
      <c r="G2615" t="s">
        <v>121</v>
      </c>
      <c r="H2615" t="s">
        <v>235</v>
      </c>
      <c r="J2615">
        <v>0</v>
      </c>
      <c r="K2615">
        <v>3</v>
      </c>
      <c r="L2615">
        <v>94.97142857</v>
      </c>
      <c r="M2615">
        <v>24.31591813</v>
      </c>
      <c r="N2615">
        <v>0.122951111</v>
      </c>
      <c r="O2615">
        <v>132.27272730000001</v>
      </c>
      <c r="P2615">
        <v>20.180448590000001</v>
      </c>
      <c r="Q2615">
        <v>3.7813451999999997E-2</v>
      </c>
      <c r="R2615" t="s">
        <v>1040</v>
      </c>
      <c r="S2615">
        <v>-2.3536109999999999E-2</v>
      </c>
    </row>
    <row r="2616" spans="1:19" x14ac:dyDescent="0.25">
      <c r="A2616" t="s">
        <v>69</v>
      </c>
      <c r="B2616" t="s">
        <v>831</v>
      </c>
      <c r="C2616">
        <v>10</v>
      </c>
      <c r="D2616" t="s">
        <v>17</v>
      </c>
      <c r="E2616" t="s">
        <v>95</v>
      </c>
      <c r="F2616" t="s">
        <v>112</v>
      </c>
      <c r="G2616" t="s">
        <v>121</v>
      </c>
      <c r="H2616" t="s">
        <v>235</v>
      </c>
      <c r="I2616" t="s">
        <v>252</v>
      </c>
      <c r="J2616">
        <v>1</v>
      </c>
      <c r="K2616">
        <v>2</v>
      </c>
      <c r="L2616">
        <v>65.09375</v>
      </c>
      <c r="M2616">
        <v>37.895352600000002</v>
      </c>
      <c r="N2616">
        <v>2.2882677779999998</v>
      </c>
      <c r="O2616">
        <v>132.27272730000001</v>
      </c>
      <c r="P2616">
        <v>20.180448590000001</v>
      </c>
      <c r="Q2616">
        <v>3.7813451999999997E-2</v>
      </c>
      <c r="R2616" t="s">
        <v>1040</v>
      </c>
      <c r="S2616">
        <v>1.7971333899999999</v>
      </c>
    </row>
    <row r="2617" spans="1:19" x14ac:dyDescent="0.25">
      <c r="A2617" t="s">
        <v>70</v>
      </c>
      <c r="B2617" t="s">
        <v>832</v>
      </c>
      <c r="C2617">
        <v>10</v>
      </c>
      <c r="D2617" t="s">
        <v>19</v>
      </c>
      <c r="E2617" t="s">
        <v>95</v>
      </c>
      <c r="F2617" t="s">
        <v>102</v>
      </c>
      <c r="G2617" t="s">
        <v>121</v>
      </c>
      <c r="H2617" t="s">
        <v>102</v>
      </c>
      <c r="J2617">
        <v>0</v>
      </c>
      <c r="K2617">
        <v>1</v>
      </c>
      <c r="L2617">
        <v>84.740740740000007</v>
      </c>
      <c r="M2617">
        <v>29.167014049999999</v>
      </c>
      <c r="N2617">
        <v>1.1169849999999999</v>
      </c>
      <c r="O2617">
        <v>84.740740740000007</v>
      </c>
      <c r="P2617">
        <v>29.167014049999999</v>
      </c>
      <c r="Q2617">
        <v>1.1169849999999999</v>
      </c>
      <c r="R2617" t="s">
        <v>1040</v>
      </c>
      <c r="S2617">
        <v>0</v>
      </c>
    </row>
    <row r="2618" spans="1:19" x14ac:dyDescent="0.25">
      <c r="A2618" t="s">
        <v>70</v>
      </c>
      <c r="B2618" t="s">
        <v>832</v>
      </c>
      <c r="C2618">
        <v>10</v>
      </c>
      <c r="D2618" t="s">
        <v>19</v>
      </c>
      <c r="E2618" t="s">
        <v>95</v>
      </c>
      <c r="F2618" t="s">
        <v>102</v>
      </c>
      <c r="G2618" t="s">
        <v>121</v>
      </c>
      <c r="H2618" t="s">
        <v>236</v>
      </c>
      <c r="J2618">
        <v>0</v>
      </c>
      <c r="K2618">
        <v>1</v>
      </c>
      <c r="L2618">
        <v>84.740740740000007</v>
      </c>
      <c r="M2618">
        <v>29.167014049999999</v>
      </c>
      <c r="N2618">
        <v>1.1169849999999999</v>
      </c>
      <c r="O2618">
        <v>113.33333330000001</v>
      </c>
      <c r="P2618">
        <v>26.41632581</v>
      </c>
      <c r="Q2618">
        <v>1.6844570160000001</v>
      </c>
      <c r="R2618" t="s">
        <v>1040</v>
      </c>
      <c r="S2618">
        <v>1.0678641900000001</v>
      </c>
    </row>
    <row r="2619" spans="1:19" x14ac:dyDescent="0.25">
      <c r="A2619" t="s">
        <v>70</v>
      </c>
      <c r="B2619" t="s">
        <v>833</v>
      </c>
      <c r="C2619">
        <v>10</v>
      </c>
      <c r="D2619" t="s">
        <v>19</v>
      </c>
      <c r="E2619" t="s">
        <v>95</v>
      </c>
      <c r="F2619" t="s">
        <v>105</v>
      </c>
      <c r="G2619" t="s">
        <v>121</v>
      </c>
      <c r="H2619" t="s">
        <v>235</v>
      </c>
      <c r="J2619">
        <v>0</v>
      </c>
      <c r="K2619">
        <v>1</v>
      </c>
      <c r="L2619">
        <v>67.5</v>
      </c>
      <c r="M2619">
        <v>47.937235809999997</v>
      </c>
      <c r="N2619">
        <v>0.41599678000000001</v>
      </c>
      <c r="O2619">
        <v>132.27272730000001</v>
      </c>
      <c r="P2619">
        <v>20.180448590000001</v>
      </c>
      <c r="Q2619">
        <v>3.7813451999999997E-2</v>
      </c>
      <c r="R2619" t="s">
        <v>1040</v>
      </c>
      <c r="S2619">
        <v>1.6809906899999998</v>
      </c>
    </row>
    <row r="2620" spans="1:19" x14ac:dyDescent="0.25">
      <c r="A2620" t="s">
        <v>70</v>
      </c>
      <c r="B2620" t="s">
        <v>833</v>
      </c>
      <c r="C2620">
        <v>10</v>
      </c>
      <c r="D2620" t="s">
        <v>19</v>
      </c>
      <c r="E2620" t="s">
        <v>95</v>
      </c>
      <c r="F2620" t="s">
        <v>105</v>
      </c>
      <c r="G2620" t="s">
        <v>121</v>
      </c>
      <c r="H2620" t="s">
        <v>236</v>
      </c>
      <c r="J2620">
        <v>0</v>
      </c>
      <c r="K2620">
        <v>2</v>
      </c>
      <c r="L2620">
        <v>67.5</v>
      </c>
      <c r="M2620">
        <v>47.937235809999997</v>
      </c>
      <c r="N2620">
        <v>0.41599678000000001</v>
      </c>
      <c r="O2620">
        <v>113.33333330000001</v>
      </c>
      <c r="P2620">
        <v>26.41632581</v>
      </c>
      <c r="Q2620">
        <v>1.6844570160000001</v>
      </c>
      <c r="R2620" t="s">
        <v>1040</v>
      </c>
      <c r="S2620">
        <v>2.0057489899999998</v>
      </c>
    </row>
    <row r="2621" spans="1:19" x14ac:dyDescent="0.25">
      <c r="A2621" t="s">
        <v>70</v>
      </c>
      <c r="B2621" t="s">
        <v>833</v>
      </c>
      <c r="C2621">
        <v>10</v>
      </c>
      <c r="D2621" t="s">
        <v>19</v>
      </c>
      <c r="E2621" t="s">
        <v>95</v>
      </c>
      <c r="F2621" t="s">
        <v>105</v>
      </c>
      <c r="G2621" t="s">
        <v>121</v>
      </c>
      <c r="H2621" t="s">
        <v>162</v>
      </c>
      <c r="J2621">
        <v>0</v>
      </c>
      <c r="K2621">
        <v>1</v>
      </c>
      <c r="L2621">
        <v>67.5</v>
      </c>
      <c r="M2621">
        <v>47.937235809999997</v>
      </c>
      <c r="N2621">
        <v>0.41599678000000001</v>
      </c>
      <c r="O2621">
        <v>82.53846154</v>
      </c>
      <c r="P2621">
        <v>35.660530039999998</v>
      </c>
      <c r="Q2621">
        <v>3.3754499999999998</v>
      </c>
      <c r="R2621" t="s">
        <v>1040</v>
      </c>
      <c r="S2621" t="s">
        <v>114</v>
      </c>
    </row>
    <row r="2622" spans="1:19" x14ac:dyDescent="0.25">
      <c r="A2622" t="s">
        <v>70</v>
      </c>
      <c r="B2622" t="s">
        <v>834</v>
      </c>
      <c r="C2622">
        <v>10</v>
      </c>
      <c r="D2622" t="s">
        <v>19</v>
      </c>
      <c r="E2622" t="s">
        <v>95</v>
      </c>
      <c r="F2622" t="s">
        <v>111</v>
      </c>
      <c r="G2622" t="s">
        <v>121</v>
      </c>
      <c r="H2622" t="s">
        <v>235</v>
      </c>
      <c r="J2622">
        <v>0</v>
      </c>
      <c r="K2622">
        <v>1</v>
      </c>
      <c r="L2622">
        <v>94.97142857</v>
      </c>
      <c r="M2622">
        <v>24.31591813</v>
      </c>
      <c r="N2622">
        <v>0.122951111</v>
      </c>
      <c r="O2622">
        <v>132.27272730000001</v>
      </c>
      <c r="P2622">
        <v>20.180448590000001</v>
      </c>
      <c r="Q2622">
        <v>3.7813451999999997E-2</v>
      </c>
      <c r="R2622" t="s">
        <v>1040</v>
      </c>
      <c r="S2622">
        <v>-2.3536109999999999E-2</v>
      </c>
    </row>
    <row r="2623" spans="1:19" x14ac:dyDescent="0.25">
      <c r="A2623" t="s">
        <v>71</v>
      </c>
      <c r="B2623" t="s">
        <v>835</v>
      </c>
      <c r="C2623">
        <v>10</v>
      </c>
      <c r="D2623" t="s">
        <v>21</v>
      </c>
      <c r="E2623" t="s">
        <v>94</v>
      </c>
      <c r="F2623" t="s">
        <v>102</v>
      </c>
      <c r="G2623" t="s">
        <v>121</v>
      </c>
      <c r="H2623" t="s">
        <v>114</v>
      </c>
      <c r="J2623">
        <v>0</v>
      </c>
      <c r="K2623" t="s">
        <v>114</v>
      </c>
      <c r="L2623">
        <v>84.740740740000007</v>
      </c>
      <c r="M2623">
        <v>29.167014049999999</v>
      </c>
      <c r="N2623">
        <v>1.1169849999999999</v>
      </c>
      <c r="O2623" t="s">
        <v>114</v>
      </c>
      <c r="P2623" t="s">
        <v>114</v>
      </c>
      <c r="Q2623" t="s">
        <v>114</v>
      </c>
      <c r="R2623" t="s">
        <v>1040</v>
      </c>
      <c r="S2623" t="s">
        <v>114</v>
      </c>
    </row>
    <row r="2624" spans="1:19" x14ac:dyDescent="0.25">
      <c r="A2624" t="s">
        <v>71</v>
      </c>
      <c r="B2624" t="s">
        <v>836</v>
      </c>
      <c r="C2624">
        <v>10</v>
      </c>
      <c r="D2624" t="s">
        <v>21</v>
      </c>
      <c r="E2624" t="s">
        <v>94</v>
      </c>
      <c r="F2624" t="s">
        <v>111</v>
      </c>
      <c r="G2624" t="s">
        <v>111</v>
      </c>
      <c r="H2624" t="s">
        <v>111</v>
      </c>
      <c r="J2624">
        <v>0</v>
      </c>
      <c r="K2624">
        <v>1</v>
      </c>
      <c r="L2624">
        <v>94.97142857</v>
      </c>
      <c r="M2624">
        <v>24.31591813</v>
      </c>
      <c r="N2624">
        <v>0.122951111</v>
      </c>
      <c r="O2624">
        <v>94.97142857</v>
      </c>
      <c r="P2624">
        <v>24.31591813</v>
      </c>
      <c r="Q2624">
        <v>0.122951111</v>
      </c>
      <c r="R2624" t="s">
        <v>1040</v>
      </c>
      <c r="S2624">
        <v>0</v>
      </c>
    </row>
    <row r="2625" spans="1:19" x14ac:dyDescent="0.25">
      <c r="A2625" t="s">
        <v>71</v>
      </c>
      <c r="B2625" t="s">
        <v>836</v>
      </c>
      <c r="C2625">
        <v>10</v>
      </c>
      <c r="D2625" t="s">
        <v>21</v>
      </c>
      <c r="E2625" t="s">
        <v>94</v>
      </c>
      <c r="F2625" t="s">
        <v>111</v>
      </c>
      <c r="G2625" t="s">
        <v>111</v>
      </c>
      <c r="H2625" t="s">
        <v>250</v>
      </c>
      <c r="J2625">
        <v>0</v>
      </c>
      <c r="K2625">
        <v>1</v>
      </c>
      <c r="L2625">
        <v>94.97142857</v>
      </c>
      <c r="M2625">
        <v>24.31591813</v>
      </c>
      <c r="N2625">
        <v>0.122951111</v>
      </c>
      <c r="O2625">
        <v>157.14285709999999</v>
      </c>
      <c r="P2625">
        <v>28.969081320000001</v>
      </c>
      <c r="Q2625">
        <v>0.55164111100000002</v>
      </c>
      <c r="R2625" t="s">
        <v>1040</v>
      </c>
      <c r="S2625" t="s">
        <v>114</v>
      </c>
    </row>
    <row r="2626" spans="1:19" x14ac:dyDescent="0.25">
      <c r="A2626" t="s">
        <v>71</v>
      </c>
      <c r="B2626" t="s">
        <v>837</v>
      </c>
      <c r="C2626">
        <v>10</v>
      </c>
      <c r="D2626" t="s">
        <v>21</v>
      </c>
      <c r="E2626" t="s">
        <v>94</v>
      </c>
      <c r="F2626" t="s">
        <v>104</v>
      </c>
      <c r="G2626" t="s">
        <v>104</v>
      </c>
      <c r="H2626" t="s">
        <v>104</v>
      </c>
      <c r="J2626">
        <v>0</v>
      </c>
      <c r="K2626">
        <v>1</v>
      </c>
      <c r="L2626">
        <v>113.9375</v>
      </c>
      <c r="M2626">
        <v>33.375507550000002</v>
      </c>
      <c r="N2626">
        <v>2.4262999999999999</v>
      </c>
      <c r="O2626">
        <v>113.9375</v>
      </c>
      <c r="P2626">
        <v>33.375507550000002</v>
      </c>
      <c r="Q2626">
        <v>2.4262999999999999</v>
      </c>
      <c r="R2626" t="s">
        <v>1040</v>
      </c>
      <c r="S2626">
        <v>0</v>
      </c>
    </row>
    <row r="2627" spans="1:19" x14ac:dyDescent="0.25">
      <c r="A2627" t="s">
        <v>72</v>
      </c>
      <c r="B2627" t="s">
        <v>838</v>
      </c>
      <c r="C2627">
        <v>10</v>
      </c>
      <c r="D2627" t="s">
        <v>23</v>
      </c>
      <c r="E2627" t="s">
        <v>95</v>
      </c>
      <c r="F2627" t="s">
        <v>105</v>
      </c>
      <c r="G2627" t="s">
        <v>121</v>
      </c>
      <c r="H2627" t="s">
        <v>238</v>
      </c>
      <c r="J2627">
        <v>0</v>
      </c>
      <c r="K2627">
        <v>1</v>
      </c>
      <c r="L2627">
        <v>67.5</v>
      </c>
      <c r="M2627">
        <v>47.937235809999997</v>
      </c>
      <c r="N2627">
        <v>0.41599678000000001</v>
      </c>
      <c r="O2627">
        <v>87.5</v>
      </c>
      <c r="P2627">
        <v>29.478311600000001</v>
      </c>
      <c r="Q2627">
        <v>3.0797751000000002E-2</v>
      </c>
      <c r="R2627" t="s">
        <v>1040</v>
      </c>
      <c r="S2627">
        <v>1.9657163499999999</v>
      </c>
    </row>
    <row r="2628" spans="1:19" x14ac:dyDescent="0.25">
      <c r="A2628" t="s">
        <v>72</v>
      </c>
      <c r="B2628" t="s">
        <v>839</v>
      </c>
      <c r="C2628">
        <v>10</v>
      </c>
      <c r="D2628" t="s">
        <v>23</v>
      </c>
      <c r="E2628" t="s">
        <v>95</v>
      </c>
      <c r="F2628" t="s">
        <v>111</v>
      </c>
      <c r="G2628" t="s">
        <v>121</v>
      </c>
      <c r="H2628" t="s">
        <v>114</v>
      </c>
      <c r="J2628">
        <v>0</v>
      </c>
      <c r="K2628">
        <v>0</v>
      </c>
      <c r="L2628">
        <v>94.97142857</v>
      </c>
      <c r="M2628">
        <v>24.31591813</v>
      </c>
      <c r="N2628">
        <v>0.122951111</v>
      </c>
      <c r="O2628" t="s">
        <v>114</v>
      </c>
      <c r="P2628" t="s">
        <v>114</v>
      </c>
      <c r="Q2628" t="s">
        <v>114</v>
      </c>
      <c r="R2628" t="s">
        <v>1040</v>
      </c>
      <c r="S2628" t="s">
        <v>114</v>
      </c>
    </row>
    <row r="2629" spans="1:19" x14ac:dyDescent="0.25">
      <c r="A2629" t="s">
        <v>72</v>
      </c>
      <c r="B2629" t="s">
        <v>840</v>
      </c>
      <c r="C2629">
        <v>10</v>
      </c>
      <c r="D2629" t="s">
        <v>23</v>
      </c>
      <c r="E2629" t="s">
        <v>95</v>
      </c>
      <c r="F2629" t="s">
        <v>104</v>
      </c>
      <c r="G2629" t="s">
        <v>104</v>
      </c>
      <c r="H2629" t="s">
        <v>104</v>
      </c>
      <c r="J2629">
        <v>0</v>
      </c>
      <c r="K2629">
        <v>1</v>
      </c>
      <c r="L2629">
        <v>113.9375</v>
      </c>
      <c r="M2629">
        <v>33.375507550000002</v>
      </c>
      <c r="N2629">
        <v>2.4262999999999999</v>
      </c>
      <c r="O2629">
        <v>113.9375</v>
      </c>
      <c r="P2629">
        <v>33.375507550000002</v>
      </c>
      <c r="Q2629">
        <v>2.4262999999999999</v>
      </c>
      <c r="R2629" t="s">
        <v>1040</v>
      </c>
      <c r="S2629">
        <v>0</v>
      </c>
    </row>
    <row r="2630" spans="1:19" x14ac:dyDescent="0.25">
      <c r="A2630" t="s">
        <v>72</v>
      </c>
      <c r="B2630" t="s">
        <v>840</v>
      </c>
      <c r="C2630">
        <v>10</v>
      </c>
      <c r="D2630" t="s">
        <v>23</v>
      </c>
      <c r="E2630" t="s">
        <v>95</v>
      </c>
      <c r="F2630" t="s">
        <v>104</v>
      </c>
      <c r="G2630" t="s">
        <v>104</v>
      </c>
      <c r="H2630" t="s">
        <v>244</v>
      </c>
      <c r="J2630">
        <v>0</v>
      </c>
      <c r="K2630">
        <v>1</v>
      </c>
      <c r="L2630">
        <v>113.9375</v>
      </c>
      <c r="M2630">
        <v>33.375507550000002</v>
      </c>
      <c r="N2630">
        <v>2.4262999999999999</v>
      </c>
      <c r="O2630">
        <v>75</v>
      </c>
      <c r="P2630">
        <v>28.80614499</v>
      </c>
      <c r="Q2630">
        <v>2.3860428570000001</v>
      </c>
      <c r="R2630" t="s">
        <v>1040</v>
      </c>
      <c r="S2630">
        <v>0.14291327999999998</v>
      </c>
    </row>
    <row r="2631" spans="1:19" x14ac:dyDescent="0.25">
      <c r="A2631" t="s">
        <v>72</v>
      </c>
      <c r="B2631" t="s">
        <v>841</v>
      </c>
      <c r="C2631">
        <v>10</v>
      </c>
      <c r="D2631" t="s">
        <v>23</v>
      </c>
      <c r="E2631" t="s">
        <v>95</v>
      </c>
      <c r="F2631" t="s">
        <v>112</v>
      </c>
      <c r="G2631" t="s">
        <v>121</v>
      </c>
      <c r="H2631" t="s">
        <v>238</v>
      </c>
      <c r="J2631">
        <v>0</v>
      </c>
      <c r="K2631">
        <v>1</v>
      </c>
      <c r="L2631">
        <v>65.09375</v>
      </c>
      <c r="M2631">
        <v>37.895352600000002</v>
      </c>
      <c r="N2631">
        <v>2.2882677779999998</v>
      </c>
      <c r="O2631">
        <v>87.5</v>
      </c>
      <c r="P2631">
        <v>29.478311600000001</v>
      </c>
      <c r="Q2631">
        <v>3.0797751000000002E-2</v>
      </c>
      <c r="R2631" t="s">
        <v>1040</v>
      </c>
      <c r="S2631">
        <v>2.0818590499999998</v>
      </c>
    </row>
    <row r="2632" spans="1:19" x14ac:dyDescent="0.25">
      <c r="A2632" t="s">
        <v>73</v>
      </c>
      <c r="B2632" t="s">
        <v>842</v>
      </c>
      <c r="C2632">
        <v>10</v>
      </c>
      <c r="D2632" t="s">
        <v>25</v>
      </c>
      <c r="E2632" t="s">
        <v>94</v>
      </c>
      <c r="F2632" t="s">
        <v>105</v>
      </c>
      <c r="G2632" t="s">
        <v>112</v>
      </c>
      <c r="H2632" t="s">
        <v>112</v>
      </c>
      <c r="J2632">
        <v>0</v>
      </c>
      <c r="K2632">
        <v>1</v>
      </c>
      <c r="L2632">
        <v>67.5</v>
      </c>
      <c r="M2632">
        <v>47.937235809999997</v>
      </c>
      <c r="N2632">
        <v>0.41599678000000001</v>
      </c>
      <c r="O2632">
        <v>65.09375</v>
      </c>
      <c r="P2632">
        <v>37.895352600000002</v>
      </c>
      <c r="Q2632">
        <v>2.2882677779999998</v>
      </c>
      <c r="R2632" t="s">
        <v>1040</v>
      </c>
      <c r="S2632">
        <v>-0.11614270000000015</v>
      </c>
    </row>
    <row r="2633" spans="1:19" x14ac:dyDescent="0.25">
      <c r="A2633" t="s">
        <v>73</v>
      </c>
      <c r="B2633" t="s">
        <v>843</v>
      </c>
      <c r="C2633">
        <v>10</v>
      </c>
      <c r="D2633" t="s">
        <v>25</v>
      </c>
      <c r="E2633" t="s">
        <v>94</v>
      </c>
      <c r="F2633" t="s">
        <v>110</v>
      </c>
      <c r="G2633" t="s">
        <v>110</v>
      </c>
      <c r="H2633" t="s">
        <v>110</v>
      </c>
      <c r="J2633">
        <v>0</v>
      </c>
      <c r="K2633">
        <v>3</v>
      </c>
      <c r="L2633">
        <v>73.260869569999997</v>
      </c>
      <c r="M2633">
        <v>34.453830549999999</v>
      </c>
      <c r="N2633">
        <v>1.058333333</v>
      </c>
      <c r="O2633">
        <v>73.260869569999997</v>
      </c>
      <c r="P2633">
        <v>34.453830549999999</v>
      </c>
      <c r="Q2633">
        <v>1.058333333</v>
      </c>
      <c r="R2633" t="s">
        <v>1040</v>
      </c>
      <c r="S2633">
        <v>0</v>
      </c>
    </row>
    <row r="2634" spans="1:19" x14ac:dyDescent="0.25">
      <c r="A2634" t="s">
        <v>73</v>
      </c>
      <c r="B2634" t="s">
        <v>843</v>
      </c>
      <c r="C2634">
        <v>10</v>
      </c>
      <c r="D2634" t="s">
        <v>25</v>
      </c>
      <c r="E2634" t="s">
        <v>94</v>
      </c>
      <c r="F2634" t="s">
        <v>110</v>
      </c>
      <c r="G2634" t="s">
        <v>110</v>
      </c>
      <c r="H2634" t="s">
        <v>251</v>
      </c>
      <c r="J2634">
        <v>0</v>
      </c>
      <c r="K2634">
        <v>1</v>
      </c>
      <c r="L2634">
        <v>73.260869569999997</v>
      </c>
      <c r="M2634">
        <v>34.453830549999999</v>
      </c>
      <c r="N2634">
        <v>1.058333333</v>
      </c>
      <c r="O2634">
        <v>85</v>
      </c>
      <c r="P2634">
        <v>37.099157669999997</v>
      </c>
      <c r="Q2634">
        <v>0.65291888899999995</v>
      </c>
      <c r="R2634" t="s">
        <v>1040</v>
      </c>
      <c r="S2634" t="s">
        <v>114</v>
      </c>
    </row>
    <row r="2635" spans="1:19" x14ac:dyDescent="0.25">
      <c r="A2635" t="s">
        <v>73</v>
      </c>
      <c r="B2635" t="s">
        <v>843</v>
      </c>
      <c r="C2635">
        <v>10</v>
      </c>
      <c r="D2635" t="s">
        <v>25</v>
      </c>
      <c r="E2635" t="s">
        <v>94</v>
      </c>
      <c r="F2635" t="s">
        <v>110</v>
      </c>
      <c r="G2635" t="s">
        <v>110</v>
      </c>
      <c r="H2635" t="s">
        <v>246</v>
      </c>
      <c r="J2635">
        <v>0</v>
      </c>
      <c r="K2635">
        <v>1</v>
      </c>
      <c r="L2635">
        <v>73.260869569999997</v>
      </c>
      <c r="M2635">
        <v>34.453830549999999</v>
      </c>
      <c r="N2635">
        <v>1.058333333</v>
      </c>
      <c r="O2635">
        <v>120.25</v>
      </c>
      <c r="P2635">
        <v>30.670450110000001</v>
      </c>
      <c r="Q2635">
        <v>0.91037498500000003</v>
      </c>
      <c r="R2635" t="s">
        <v>1040</v>
      </c>
      <c r="S2635" t="s">
        <v>114</v>
      </c>
    </row>
    <row r="2636" spans="1:19" x14ac:dyDescent="0.25">
      <c r="A2636" t="s">
        <v>73</v>
      </c>
      <c r="B2636" t="s">
        <v>844</v>
      </c>
      <c r="C2636">
        <v>10</v>
      </c>
      <c r="D2636" t="s">
        <v>25</v>
      </c>
      <c r="E2636" t="s">
        <v>94</v>
      </c>
      <c r="F2636" t="s">
        <v>104</v>
      </c>
      <c r="G2636" t="s">
        <v>104</v>
      </c>
      <c r="H2636" t="s">
        <v>104</v>
      </c>
      <c r="J2636">
        <v>0</v>
      </c>
      <c r="K2636">
        <v>1</v>
      </c>
      <c r="L2636">
        <v>113.9375</v>
      </c>
      <c r="M2636">
        <v>33.375507550000002</v>
      </c>
      <c r="N2636">
        <v>2.4262999999999999</v>
      </c>
      <c r="O2636">
        <v>113.9375</v>
      </c>
      <c r="P2636">
        <v>33.375507550000002</v>
      </c>
      <c r="Q2636">
        <v>2.4262999999999999</v>
      </c>
      <c r="R2636" t="s">
        <v>1040</v>
      </c>
      <c r="S2636">
        <v>0</v>
      </c>
    </row>
    <row r="2637" spans="1:19" x14ac:dyDescent="0.25">
      <c r="A2637" t="s">
        <v>73</v>
      </c>
      <c r="B2637" t="s">
        <v>845</v>
      </c>
      <c r="C2637">
        <v>10</v>
      </c>
      <c r="D2637" t="s">
        <v>25</v>
      </c>
      <c r="E2637" t="s">
        <v>94</v>
      </c>
      <c r="F2637" t="s">
        <v>112</v>
      </c>
      <c r="G2637" t="s">
        <v>121</v>
      </c>
      <c r="H2637" t="s">
        <v>114</v>
      </c>
      <c r="J2637">
        <v>0</v>
      </c>
      <c r="K2637" t="s">
        <v>114</v>
      </c>
      <c r="L2637">
        <v>65.09375</v>
      </c>
      <c r="M2637">
        <v>37.895352600000002</v>
      </c>
      <c r="N2637">
        <v>2.2882677779999998</v>
      </c>
      <c r="O2637" t="s">
        <v>114</v>
      </c>
      <c r="P2637" t="s">
        <v>114</v>
      </c>
      <c r="Q2637" t="s">
        <v>114</v>
      </c>
      <c r="R2637" t="s">
        <v>1040</v>
      </c>
      <c r="S2637" t="s">
        <v>114</v>
      </c>
    </row>
    <row r="2638" spans="1:19" x14ac:dyDescent="0.25">
      <c r="A2638" t="s">
        <v>74</v>
      </c>
      <c r="B2638" t="s">
        <v>846</v>
      </c>
      <c r="C2638">
        <v>10</v>
      </c>
      <c r="D2638" t="s">
        <v>27</v>
      </c>
      <c r="E2638" t="s">
        <v>95</v>
      </c>
      <c r="F2638" t="s">
        <v>102</v>
      </c>
      <c r="G2638" t="s">
        <v>113</v>
      </c>
      <c r="H2638" t="s">
        <v>113</v>
      </c>
      <c r="J2638">
        <v>0</v>
      </c>
      <c r="K2638">
        <v>3</v>
      </c>
      <c r="L2638">
        <v>84.740740740000007</v>
      </c>
      <c r="M2638">
        <v>29.167014049999999</v>
      </c>
      <c r="N2638">
        <v>1.1169849999999999</v>
      </c>
      <c r="O2638">
        <v>83.757575759999995</v>
      </c>
      <c r="P2638">
        <v>22.60997987</v>
      </c>
      <c r="Q2638">
        <v>0.72884000000000004</v>
      </c>
      <c r="R2638" t="s">
        <v>1040</v>
      </c>
      <c r="S2638">
        <v>0.94413650000000005</v>
      </c>
    </row>
    <row r="2639" spans="1:19" x14ac:dyDescent="0.25">
      <c r="A2639" t="s">
        <v>74</v>
      </c>
      <c r="B2639" t="s">
        <v>846</v>
      </c>
      <c r="C2639">
        <v>10</v>
      </c>
      <c r="D2639" t="s">
        <v>27</v>
      </c>
      <c r="E2639" t="s">
        <v>95</v>
      </c>
      <c r="F2639" t="s">
        <v>102</v>
      </c>
      <c r="G2639" t="s">
        <v>113</v>
      </c>
      <c r="H2639" t="s">
        <v>103</v>
      </c>
      <c r="J2639">
        <v>0</v>
      </c>
      <c r="K2639">
        <v>1</v>
      </c>
      <c r="L2639">
        <v>84.740740740000007</v>
      </c>
      <c r="M2639">
        <v>29.167014049999999</v>
      </c>
      <c r="N2639">
        <v>1.1169849999999999</v>
      </c>
      <c r="O2639">
        <v>98.291666669999998</v>
      </c>
      <c r="P2639">
        <v>30.315130790000001</v>
      </c>
      <c r="Q2639">
        <v>5.0803484000000003E-2</v>
      </c>
      <c r="R2639" t="s">
        <v>1040</v>
      </c>
      <c r="S2639">
        <v>0.72848920000000006</v>
      </c>
    </row>
    <row r="2640" spans="1:19" x14ac:dyDescent="0.25">
      <c r="A2640" t="s">
        <v>74</v>
      </c>
      <c r="B2640" t="s">
        <v>847</v>
      </c>
      <c r="C2640">
        <v>10</v>
      </c>
      <c r="D2640" t="s">
        <v>27</v>
      </c>
      <c r="E2640" t="s">
        <v>95</v>
      </c>
      <c r="F2640" t="s">
        <v>113</v>
      </c>
      <c r="G2640" t="s">
        <v>113</v>
      </c>
      <c r="H2640" t="s">
        <v>113</v>
      </c>
      <c r="J2640">
        <v>0</v>
      </c>
      <c r="K2640">
        <v>1</v>
      </c>
      <c r="L2640">
        <v>83.757575759999995</v>
      </c>
      <c r="M2640">
        <v>22.60997987</v>
      </c>
      <c r="N2640">
        <v>0.72884000000000004</v>
      </c>
      <c r="O2640">
        <v>83.757575759999995</v>
      </c>
      <c r="P2640">
        <v>22.60997987</v>
      </c>
      <c r="Q2640">
        <v>0.72884000000000004</v>
      </c>
      <c r="R2640" t="s">
        <v>1040</v>
      </c>
      <c r="S2640">
        <v>0</v>
      </c>
    </row>
    <row r="2641" spans="1:19" x14ac:dyDescent="0.25">
      <c r="A2641" t="s">
        <v>74</v>
      </c>
      <c r="B2641" t="s">
        <v>847</v>
      </c>
      <c r="C2641">
        <v>10</v>
      </c>
      <c r="D2641" t="s">
        <v>27</v>
      </c>
      <c r="E2641" t="s">
        <v>95</v>
      </c>
      <c r="F2641" t="s">
        <v>113</v>
      </c>
      <c r="G2641" t="s">
        <v>113</v>
      </c>
      <c r="H2641" t="s">
        <v>248</v>
      </c>
      <c r="J2641">
        <v>0</v>
      </c>
      <c r="K2641">
        <v>2</v>
      </c>
      <c r="L2641">
        <v>83.757575759999995</v>
      </c>
      <c r="M2641">
        <v>22.60997987</v>
      </c>
      <c r="N2641">
        <v>0.72884000000000004</v>
      </c>
      <c r="O2641">
        <v>83.92307692</v>
      </c>
      <c r="P2641">
        <v>44.319135699999997</v>
      </c>
      <c r="Q2641">
        <v>5.9548609999999997E-3</v>
      </c>
      <c r="R2641" t="s">
        <v>1040</v>
      </c>
      <c r="S2641">
        <v>3.2834119999999994E-2</v>
      </c>
    </row>
    <row r="2642" spans="1:19" x14ac:dyDescent="0.25">
      <c r="A2642" t="s">
        <v>74</v>
      </c>
      <c r="B2642" t="s">
        <v>848</v>
      </c>
      <c r="C2642">
        <v>10</v>
      </c>
      <c r="D2642" t="s">
        <v>27</v>
      </c>
      <c r="E2642" t="s">
        <v>95</v>
      </c>
      <c r="F2642" t="s">
        <v>103</v>
      </c>
      <c r="G2642" t="s">
        <v>113</v>
      </c>
      <c r="H2642" t="s">
        <v>113</v>
      </c>
      <c r="J2642">
        <v>0</v>
      </c>
      <c r="K2642">
        <v>1</v>
      </c>
      <c r="L2642">
        <v>98.291666669999998</v>
      </c>
      <c r="M2642">
        <v>30.315130790000001</v>
      </c>
      <c r="N2642">
        <v>5.0803484000000003E-2</v>
      </c>
      <c r="O2642">
        <v>83.757575759999995</v>
      </c>
      <c r="P2642">
        <v>22.60997987</v>
      </c>
      <c r="Q2642">
        <v>0.72884000000000004</v>
      </c>
      <c r="R2642" t="s">
        <v>1040</v>
      </c>
      <c r="S2642">
        <v>0.21564730000000001</v>
      </c>
    </row>
    <row r="2643" spans="1:19" x14ac:dyDescent="0.25">
      <c r="A2643" t="s">
        <v>75</v>
      </c>
      <c r="B2643" t="s">
        <v>849</v>
      </c>
      <c r="C2643">
        <v>10</v>
      </c>
      <c r="D2643" t="s">
        <v>29</v>
      </c>
      <c r="E2643" t="s">
        <v>94</v>
      </c>
      <c r="F2643" t="s">
        <v>105</v>
      </c>
      <c r="G2643" t="s">
        <v>121</v>
      </c>
      <c r="H2643" t="s">
        <v>251</v>
      </c>
      <c r="J2643">
        <v>0</v>
      </c>
      <c r="K2643">
        <v>1</v>
      </c>
      <c r="L2643">
        <v>67.5</v>
      </c>
      <c r="M2643">
        <v>47.937235809999997</v>
      </c>
      <c r="N2643">
        <v>0.41599678000000001</v>
      </c>
      <c r="O2643">
        <v>85</v>
      </c>
      <c r="P2643">
        <v>37.099157669999997</v>
      </c>
      <c r="Q2643">
        <v>0.65291888899999995</v>
      </c>
      <c r="R2643" t="s">
        <v>1040</v>
      </c>
      <c r="S2643" t="s">
        <v>114</v>
      </c>
    </row>
    <row r="2644" spans="1:19" x14ac:dyDescent="0.25">
      <c r="A2644" t="s">
        <v>75</v>
      </c>
      <c r="B2644" t="s">
        <v>849</v>
      </c>
      <c r="C2644">
        <v>10</v>
      </c>
      <c r="D2644" t="s">
        <v>29</v>
      </c>
      <c r="E2644" t="s">
        <v>94</v>
      </c>
      <c r="F2644" t="s">
        <v>105</v>
      </c>
      <c r="G2644" t="s">
        <v>121</v>
      </c>
      <c r="H2644" t="s">
        <v>244</v>
      </c>
      <c r="J2644">
        <v>0</v>
      </c>
      <c r="K2644">
        <v>1</v>
      </c>
      <c r="L2644">
        <v>67.5</v>
      </c>
      <c r="M2644">
        <v>47.937235809999997</v>
      </c>
      <c r="N2644">
        <v>0.41599678000000001</v>
      </c>
      <c r="O2644">
        <v>75</v>
      </c>
      <c r="P2644">
        <v>28.80614499</v>
      </c>
      <c r="Q2644">
        <v>2.3860428570000001</v>
      </c>
      <c r="R2644" t="s">
        <v>1040</v>
      </c>
      <c r="S2644">
        <v>1.8310263799999997</v>
      </c>
    </row>
    <row r="2645" spans="1:19" x14ac:dyDescent="0.25">
      <c r="A2645" t="s">
        <v>75</v>
      </c>
      <c r="B2645" t="s">
        <v>850</v>
      </c>
      <c r="C2645">
        <v>10</v>
      </c>
      <c r="D2645" t="s">
        <v>29</v>
      </c>
      <c r="E2645" t="s">
        <v>94</v>
      </c>
      <c r="F2645" t="s">
        <v>110</v>
      </c>
      <c r="G2645" t="s">
        <v>104</v>
      </c>
      <c r="H2645" t="s">
        <v>104</v>
      </c>
      <c r="J2645">
        <v>0</v>
      </c>
      <c r="K2645">
        <v>2</v>
      </c>
      <c r="L2645">
        <v>73.260869569999997</v>
      </c>
      <c r="M2645">
        <v>34.453830549999999</v>
      </c>
      <c r="N2645">
        <v>1.058333333</v>
      </c>
      <c r="O2645">
        <v>113.9375</v>
      </c>
      <c r="P2645">
        <v>33.375507550000002</v>
      </c>
      <c r="Q2645">
        <v>2.4262999999999999</v>
      </c>
      <c r="R2645" t="s">
        <v>1040</v>
      </c>
      <c r="S2645">
        <v>0.50204910000000003</v>
      </c>
    </row>
    <row r="2646" spans="1:19" x14ac:dyDescent="0.25">
      <c r="A2646" t="s">
        <v>75</v>
      </c>
      <c r="B2646" t="s">
        <v>851</v>
      </c>
      <c r="C2646">
        <v>10</v>
      </c>
      <c r="D2646" t="s">
        <v>29</v>
      </c>
      <c r="E2646" t="s">
        <v>94</v>
      </c>
      <c r="F2646" t="s">
        <v>103</v>
      </c>
      <c r="G2646" t="s">
        <v>121</v>
      </c>
      <c r="H2646" t="s">
        <v>251</v>
      </c>
      <c r="J2646">
        <v>0</v>
      </c>
      <c r="K2646">
        <v>1</v>
      </c>
      <c r="L2646">
        <v>98.291666669999998</v>
      </c>
      <c r="M2646">
        <v>30.315130790000001</v>
      </c>
      <c r="N2646">
        <v>5.0803484000000003E-2</v>
      </c>
      <c r="O2646">
        <v>85</v>
      </c>
      <c r="P2646">
        <v>37.099157669999997</v>
      </c>
      <c r="Q2646">
        <v>0.65291888899999995</v>
      </c>
      <c r="R2646" t="s">
        <v>1040</v>
      </c>
      <c r="S2646" t="s">
        <v>114</v>
      </c>
    </row>
    <row r="2647" spans="1:19" x14ac:dyDescent="0.25">
      <c r="A2647" t="s">
        <v>75</v>
      </c>
      <c r="B2647" t="s">
        <v>851</v>
      </c>
      <c r="C2647">
        <v>10</v>
      </c>
      <c r="D2647" t="s">
        <v>29</v>
      </c>
      <c r="E2647" t="s">
        <v>94</v>
      </c>
      <c r="F2647" t="s">
        <v>103</v>
      </c>
      <c r="G2647" t="s">
        <v>121</v>
      </c>
      <c r="H2647" t="s">
        <v>233</v>
      </c>
      <c r="J2647">
        <v>0</v>
      </c>
      <c r="K2647">
        <v>1</v>
      </c>
      <c r="L2647">
        <v>98.291666669999998</v>
      </c>
      <c r="M2647">
        <v>30.315130790000001</v>
      </c>
      <c r="N2647">
        <v>5.0803484000000003E-2</v>
      </c>
      <c r="O2647">
        <v>106.0540541</v>
      </c>
      <c r="P2647">
        <v>52.690533369999997</v>
      </c>
      <c r="Q2647">
        <v>7.6058968000000005E-2</v>
      </c>
      <c r="R2647" t="s">
        <v>1040</v>
      </c>
      <c r="S2647">
        <v>-2.0228189999999979E-2</v>
      </c>
    </row>
    <row r="2648" spans="1:19" x14ac:dyDescent="0.25">
      <c r="A2648" t="s">
        <v>75</v>
      </c>
      <c r="B2648" t="s">
        <v>851</v>
      </c>
      <c r="C2648">
        <v>10</v>
      </c>
      <c r="D2648" t="s">
        <v>29</v>
      </c>
      <c r="E2648" t="s">
        <v>94</v>
      </c>
      <c r="F2648" t="s">
        <v>103</v>
      </c>
      <c r="G2648" t="s">
        <v>121</v>
      </c>
      <c r="H2648" t="s">
        <v>105</v>
      </c>
      <c r="J2648">
        <v>0</v>
      </c>
      <c r="K2648">
        <v>1</v>
      </c>
      <c r="L2648">
        <v>98.291666669999998</v>
      </c>
      <c r="M2648">
        <v>30.315130790000001</v>
      </c>
      <c r="N2648">
        <v>5.0803484000000003E-2</v>
      </c>
      <c r="O2648">
        <v>67.5</v>
      </c>
      <c r="P2648">
        <v>47.937235809999997</v>
      </c>
      <c r="Q2648">
        <v>0.41599678000000001</v>
      </c>
      <c r="R2648" t="s">
        <v>1040</v>
      </c>
      <c r="S2648">
        <v>-1.6663739999999998</v>
      </c>
    </row>
    <row r="2649" spans="1:19" x14ac:dyDescent="0.25">
      <c r="A2649" t="s">
        <v>76</v>
      </c>
      <c r="B2649" t="s">
        <v>852</v>
      </c>
      <c r="C2649">
        <v>10</v>
      </c>
      <c r="D2649" t="s">
        <v>31</v>
      </c>
      <c r="E2649" t="s">
        <v>94</v>
      </c>
      <c r="F2649" t="s">
        <v>113</v>
      </c>
      <c r="G2649" t="s">
        <v>113</v>
      </c>
      <c r="H2649" t="s">
        <v>113</v>
      </c>
      <c r="J2649">
        <v>0</v>
      </c>
      <c r="K2649">
        <v>2</v>
      </c>
      <c r="L2649">
        <v>83.757575759999995</v>
      </c>
      <c r="M2649">
        <v>22.60997987</v>
      </c>
      <c r="N2649">
        <v>0.72884000000000004</v>
      </c>
      <c r="O2649">
        <v>83.757575759999995</v>
      </c>
      <c r="P2649">
        <v>22.60997987</v>
      </c>
      <c r="Q2649">
        <v>0.72884000000000004</v>
      </c>
      <c r="R2649" t="s">
        <v>1040</v>
      </c>
      <c r="S2649">
        <v>0</v>
      </c>
    </row>
    <row r="2650" spans="1:19" x14ac:dyDescent="0.25">
      <c r="A2650" t="s">
        <v>76</v>
      </c>
      <c r="B2650" t="s">
        <v>852</v>
      </c>
      <c r="C2650">
        <v>10</v>
      </c>
      <c r="D2650" t="s">
        <v>31</v>
      </c>
      <c r="E2650" t="s">
        <v>94</v>
      </c>
      <c r="F2650" t="s">
        <v>113</v>
      </c>
      <c r="G2650" t="s">
        <v>113</v>
      </c>
      <c r="H2650" t="s">
        <v>238</v>
      </c>
      <c r="J2650">
        <v>0</v>
      </c>
      <c r="K2650">
        <v>1</v>
      </c>
      <c r="L2650">
        <v>83.757575759999995</v>
      </c>
      <c r="M2650">
        <v>22.60997987</v>
      </c>
      <c r="N2650">
        <v>0.72884000000000004</v>
      </c>
      <c r="O2650">
        <v>87.5</v>
      </c>
      <c r="P2650">
        <v>29.478311600000001</v>
      </c>
      <c r="Q2650">
        <v>3.0797751000000002E-2</v>
      </c>
      <c r="R2650" t="s">
        <v>1040</v>
      </c>
      <c r="S2650">
        <v>8.3695049999999993E-2</v>
      </c>
    </row>
    <row r="2651" spans="1:19" x14ac:dyDescent="0.25">
      <c r="A2651" t="s">
        <v>76</v>
      </c>
      <c r="B2651" t="s">
        <v>852</v>
      </c>
      <c r="C2651">
        <v>10</v>
      </c>
      <c r="D2651" t="s">
        <v>31</v>
      </c>
      <c r="E2651" t="s">
        <v>94</v>
      </c>
      <c r="F2651" t="s">
        <v>113</v>
      </c>
      <c r="G2651" t="s">
        <v>113</v>
      </c>
      <c r="H2651" t="s">
        <v>235</v>
      </c>
      <c r="J2651">
        <v>0</v>
      </c>
      <c r="K2651">
        <v>5</v>
      </c>
      <c r="L2651">
        <v>83.757575759999995</v>
      </c>
      <c r="M2651">
        <v>22.60997987</v>
      </c>
      <c r="N2651">
        <v>0.72884000000000004</v>
      </c>
      <c r="O2651">
        <v>132.27272730000001</v>
      </c>
      <c r="P2651">
        <v>20.180448590000001</v>
      </c>
      <c r="Q2651">
        <v>3.7813451999999997E-2</v>
      </c>
      <c r="R2651" t="s">
        <v>1040</v>
      </c>
      <c r="S2651">
        <v>-0.20103061000000003</v>
      </c>
    </row>
    <row r="2652" spans="1:19" x14ac:dyDescent="0.25">
      <c r="A2652" t="s">
        <v>77</v>
      </c>
      <c r="B2652" t="s">
        <v>853</v>
      </c>
      <c r="C2652">
        <v>10</v>
      </c>
      <c r="D2652" t="s">
        <v>33</v>
      </c>
      <c r="E2652" t="s">
        <v>94</v>
      </c>
      <c r="F2652" t="s">
        <v>102</v>
      </c>
      <c r="G2652" t="s">
        <v>110</v>
      </c>
      <c r="H2652" t="s">
        <v>110</v>
      </c>
      <c r="J2652">
        <v>0</v>
      </c>
      <c r="K2652">
        <v>1</v>
      </c>
      <c r="L2652">
        <v>84.740740740000007</v>
      </c>
      <c r="M2652">
        <v>29.167014049999999</v>
      </c>
      <c r="N2652">
        <v>1.1169849999999999</v>
      </c>
      <c r="O2652">
        <v>73.260869569999997</v>
      </c>
      <c r="P2652">
        <v>34.453830549999999</v>
      </c>
      <c r="Q2652">
        <v>1.058333333</v>
      </c>
      <c r="R2652" t="s">
        <v>1040</v>
      </c>
      <c r="S2652">
        <v>0.24817920000000004</v>
      </c>
    </row>
    <row r="2653" spans="1:19" x14ac:dyDescent="0.25">
      <c r="A2653" t="s">
        <v>77</v>
      </c>
      <c r="B2653" t="s">
        <v>853</v>
      </c>
      <c r="C2653">
        <v>10</v>
      </c>
      <c r="D2653" t="s">
        <v>33</v>
      </c>
      <c r="E2653" t="s">
        <v>94</v>
      </c>
      <c r="F2653" t="s">
        <v>102</v>
      </c>
      <c r="G2653" t="s">
        <v>110</v>
      </c>
      <c r="H2653" t="s">
        <v>162</v>
      </c>
      <c r="J2653">
        <v>0</v>
      </c>
      <c r="K2653">
        <v>1</v>
      </c>
      <c r="L2653">
        <v>84.740740740000007</v>
      </c>
      <c r="M2653">
        <v>29.167014049999999</v>
      </c>
      <c r="N2653">
        <v>1.1169849999999999</v>
      </c>
      <c r="O2653">
        <v>82.53846154</v>
      </c>
      <c r="P2653">
        <v>35.660530039999998</v>
      </c>
      <c r="Q2653">
        <v>3.3754499999999998</v>
      </c>
      <c r="R2653" t="s">
        <v>1040</v>
      </c>
      <c r="S2653" t="s">
        <v>114</v>
      </c>
    </row>
    <row r="2654" spans="1:19" x14ac:dyDescent="0.25">
      <c r="A2654" t="s">
        <v>77</v>
      </c>
      <c r="B2654" t="s">
        <v>854</v>
      </c>
      <c r="C2654">
        <v>10</v>
      </c>
      <c r="D2654" t="s">
        <v>33</v>
      </c>
      <c r="E2654" t="s">
        <v>94</v>
      </c>
      <c r="F2654" t="s">
        <v>110</v>
      </c>
      <c r="G2654" t="s">
        <v>110</v>
      </c>
      <c r="H2654" t="s">
        <v>110</v>
      </c>
      <c r="J2654">
        <v>0</v>
      </c>
      <c r="K2654">
        <v>3</v>
      </c>
      <c r="L2654">
        <v>73.260869569999997</v>
      </c>
      <c r="M2654">
        <v>34.453830549999999</v>
      </c>
      <c r="N2654">
        <v>1.058333333</v>
      </c>
      <c r="O2654">
        <v>73.260869569999997</v>
      </c>
      <c r="P2654">
        <v>34.453830549999999</v>
      </c>
      <c r="Q2654">
        <v>1.058333333</v>
      </c>
      <c r="R2654" t="s">
        <v>1040</v>
      </c>
      <c r="S2654">
        <v>0</v>
      </c>
    </row>
    <row r="2655" spans="1:19" x14ac:dyDescent="0.25">
      <c r="A2655" t="s">
        <v>78</v>
      </c>
      <c r="B2655" t="s">
        <v>855</v>
      </c>
      <c r="C2655">
        <v>10</v>
      </c>
      <c r="D2655" t="s">
        <v>35</v>
      </c>
      <c r="E2655" t="s">
        <v>94</v>
      </c>
      <c r="F2655" t="s">
        <v>111</v>
      </c>
      <c r="G2655" t="s">
        <v>121</v>
      </c>
      <c r="H2655" t="s">
        <v>114</v>
      </c>
      <c r="J2655">
        <v>0</v>
      </c>
      <c r="K2655">
        <v>0</v>
      </c>
      <c r="L2655">
        <v>94.97142857</v>
      </c>
      <c r="M2655">
        <v>24.31591813</v>
      </c>
      <c r="N2655">
        <v>0.122951111</v>
      </c>
      <c r="O2655" t="s">
        <v>114</v>
      </c>
      <c r="P2655" t="s">
        <v>114</v>
      </c>
      <c r="Q2655" t="s">
        <v>114</v>
      </c>
      <c r="R2655" t="s">
        <v>1040</v>
      </c>
      <c r="S2655" t="s">
        <v>114</v>
      </c>
    </row>
    <row r="2656" spans="1:19" x14ac:dyDescent="0.25">
      <c r="A2656" t="s">
        <v>50</v>
      </c>
      <c r="B2656" t="s">
        <v>856</v>
      </c>
      <c r="C2656">
        <v>12</v>
      </c>
      <c r="D2656" t="s">
        <v>11</v>
      </c>
      <c r="E2656" t="s">
        <v>95</v>
      </c>
      <c r="F2656" t="s">
        <v>113</v>
      </c>
      <c r="G2656" t="s">
        <v>113</v>
      </c>
      <c r="H2656" t="s">
        <v>113</v>
      </c>
      <c r="J2656">
        <v>0</v>
      </c>
      <c r="K2656">
        <v>6</v>
      </c>
      <c r="L2656">
        <v>83.757575759999995</v>
      </c>
      <c r="M2656">
        <v>22.60997987</v>
      </c>
      <c r="N2656">
        <v>0.72884000000000004</v>
      </c>
      <c r="O2656">
        <v>83.757575759999995</v>
      </c>
      <c r="P2656">
        <v>22.60997987</v>
      </c>
      <c r="Q2656">
        <v>0.72884000000000004</v>
      </c>
      <c r="R2656" t="s">
        <v>1040</v>
      </c>
      <c r="S2656">
        <v>0</v>
      </c>
    </row>
    <row r="2657" spans="1:19" x14ac:dyDescent="0.25">
      <c r="A2657" t="s">
        <v>50</v>
      </c>
      <c r="B2657" t="s">
        <v>856</v>
      </c>
      <c r="C2657">
        <v>12</v>
      </c>
      <c r="D2657" t="s">
        <v>11</v>
      </c>
      <c r="E2657" t="s">
        <v>95</v>
      </c>
      <c r="F2657" t="s">
        <v>113</v>
      </c>
      <c r="G2657" t="s">
        <v>113</v>
      </c>
      <c r="H2657" t="s">
        <v>238</v>
      </c>
      <c r="J2657">
        <v>0</v>
      </c>
      <c r="K2657">
        <v>1</v>
      </c>
      <c r="L2657">
        <v>83.757575759999995</v>
      </c>
      <c r="M2657">
        <v>22.60997987</v>
      </c>
      <c r="N2657">
        <v>0.72884000000000004</v>
      </c>
      <c r="O2657">
        <v>87.5</v>
      </c>
      <c r="P2657">
        <v>29.478311600000001</v>
      </c>
      <c r="Q2657">
        <v>3.0797751000000002E-2</v>
      </c>
      <c r="R2657" t="s">
        <v>1040</v>
      </c>
      <c r="S2657">
        <v>8.3695049999999993E-2</v>
      </c>
    </row>
    <row r="2658" spans="1:19" x14ac:dyDescent="0.25">
      <c r="A2658" t="s">
        <v>50</v>
      </c>
      <c r="B2658" t="s">
        <v>857</v>
      </c>
      <c r="C2658">
        <v>12</v>
      </c>
      <c r="D2658" t="s">
        <v>11</v>
      </c>
      <c r="E2658" t="s">
        <v>95</v>
      </c>
      <c r="F2658" t="s">
        <v>103</v>
      </c>
      <c r="G2658" t="s">
        <v>113</v>
      </c>
      <c r="H2658" t="s">
        <v>113</v>
      </c>
      <c r="J2658">
        <v>0</v>
      </c>
      <c r="K2658">
        <v>4</v>
      </c>
      <c r="L2658">
        <v>98.291666669999998</v>
      </c>
      <c r="M2658">
        <v>30.315130790000001</v>
      </c>
      <c r="N2658">
        <v>5.0803484000000003E-2</v>
      </c>
      <c r="O2658">
        <v>83.757575759999995</v>
      </c>
      <c r="P2658">
        <v>22.60997987</v>
      </c>
      <c r="Q2658">
        <v>0.72884000000000004</v>
      </c>
      <c r="R2658" t="s">
        <v>1040</v>
      </c>
      <c r="S2658">
        <v>0.21564730000000001</v>
      </c>
    </row>
    <row r="2659" spans="1:19" x14ac:dyDescent="0.25">
      <c r="A2659" t="s">
        <v>50</v>
      </c>
      <c r="B2659" t="s">
        <v>857</v>
      </c>
      <c r="C2659">
        <v>12</v>
      </c>
      <c r="D2659" t="s">
        <v>11</v>
      </c>
      <c r="E2659" t="s">
        <v>95</v>
      </c>
      <c r="F2659" t="s">
        <v>103</v>
      </c>
      <c r="G2659" t="s">
        <v>113</v>
      </c>
      <c r="H2659" t="s">
        <v>242</v>
      </c>
      <c r="J2659">
        <v>0</v>
      </c>
      <c r="K2659">
        <v>3</v>
      </c>
      <c r="L2659">
        <v>98.291666669999998</v>
      </c>
      <c r="M2659">
        <v>30.315130790000001</v>
      </c>
      <c r="N2659">
        <v>5.0803484000000003E-2</v>
      </c>
      <c r="O2659">
        <v>139.375</v>
      </c>
      <c r="P2659">
        <v>23.713465920000001</v>
      </c>
      <c r="Q2659" t="s">
        <v>114</v>
      </c>
      <c r="R2659" t="s">
        <v>1040</v>
      </c>
      <c r="S2659" t="s">
        <v>114</v>
      </c>
    </row>
    <row r="2660" spans="1:19" x14ac:dyDescent="0.25">
      <c r="A2660" t="s">
        <v>50</v>
      </c>
      <c r="B2660" t="s">
        <v>858</v>
      </c>
      <c r="C2660">
        <v>12</v>
      </c>
      <c r="D2660" t="s">
        <v>11</v>
      </c>
      <c r="E2660" t="s">
        <v>95</v>
      </c>
      <c r="F2660" t="s">
        <v>111</v>
      </c>
      <c r="G2660" t="s">
        <v>113</v>
      </c>
      <c r="H2660" t="s">
        <v>113</v>
      </c>
      <c r="J2660">
        <v>0</v>
      </c>
      <c r="K2660">
        <v>3</v>
      </c>
      <c r="L2660">
        <v>94.97142857</v>
      </c>
      <c r="M2660">
        <v>24.31591813</v>
      </c>
      <c r="N2660">
        <v>0.122951111</v>
      </c>
      <c r="O2660">
        <v>83.757575759999995</v>
      </c>
      <c r="P2660">
        <v>22.60997987</v>
      </c>
      <c r="Q2660">
        <v>0.72884000000000004</v>
      </c>
      <c r="R2660" t="s">
        <v>1040</v>
      </c>
      <c r="S2660">
        <v>0.17749450000000003</v>
      </c>
    </row>
    <row r="2661" spans="1:19" x14ac:dyDescent="0.25">
      <c r="A2661" t="s">
        <v>50</v>
      </c>
      <c r="B2661" t="s">
        <v>858</v>
      </c>
      <c r="C2661">
        <v>12</v>
      </c>
      <c r="D2661" t="s">
        <v>11</v>
      </c>
      <c r="E2661" t="s">
        <v>95</v>
      </c>
      <c r="F2661" t="s">
        <v>111</v>
      </c>
      <c r="G2661" t="s">
        <v>113</v>
      </c>
      <c r="H2661" t="s">
        <v>242</v>
      </c>
      <c r="J2661">
        <v>0</v>
      </c>
      <c r="K2661">
        <v>2</v>
      </c>
      <c r="L2661">
        <v>94.97142857</v>
      </c>
      <c r="M2661">
        <v>24.31591813</v>
      </c>
      <c r="N2661">
        <v>0.122951111</v>
      </c>
      <c r="O2661">
        <v>139.375</v>
      </c>
      <c r="P2661">
        <v>23.713465920000001</v>
      </c>
      <c r="Q2661" t="s">
        <v>114</v>
      </c>
      <c r="R2661" t="s">
        <v>1040</v>
      </c>
      <c r="S2661" t="s">
        <v>114</v>
      </c>
    </row>
    <row r="2662" spans="1:19" x14ac:dyDescent="0.25">
      <c r="A2662" t="s">
        <v>50</v>
      </c>
      <c r="B2662" t="s">
        <v>859</v>
      </c>
      <c r="C2662">
        <v>12</v>
      </c>
      <c r="D2662" t="s">
        <v>11</v>
      </c>
      <c r="E2662" t="s">
        <v>95</v>
      </c>
      <c r="F2662" t="s">
        <v>104</v>
      </c>
      <c r="G2662" t="s">
        <v>121</v>
      </c>
      <c r="H2662" t="s">
        <v>103</v>
      </c>
      <c r="J2662">
        <v>0</v>
      </c>
      <c r="K2662">
        <v>1</v>
      </c>
      <c r="L2662">
        <v>113.9375</v>
      </c>
      <c r="M2662">
        <v>33.375507550000002</v>
      </c>
      <c r="N2662">
        <v>2.4262999999999999</v>
      </c>
      <c r="O2662">
        <v>98.291666669999998</v>
      </c>
      <c r="P2662">
        <v>30.315130790000001</v>
      </c>
      <c r="Q2662">
        <v>5.0803484000000003E-2</v>
      </c>
      <c r="R2662" t="s">
        <v>1040</v>
      </c>
      <c r="S2662">
        <v>-2.1739100000000011E-2</v>
      </c>
    </row>
    <row r="2663" spans="1:19" x14ac:dyDescent="0.25">
      <c r="A2663" t="s">
        <v>50</v>
      </c>
      <c r="B2663" t="s">
        <v>859</v>
      </c>
      <c r="C2663">
        <v>12</v>
      </c>
      <c r="D2663" t="s">
        <v>11</v>
      </c>
      <c r="E2663" t="s">
        <v>95</v>
      </c>
      <c r="F2663" t="s">
        <v>104</v>
      </c>
      <c r="G2663" t="s">
        <v>121</v>
      </c>
      <c r="H2663" t="s">
        <v>238</v>
      </c>
      <c r="J2663">
        <v>0</v>
      </c>
      <c r="K2663">
        <v>1</v>
      </c>
      <c r="L2663">
        <v>113.9375</v>
      </c>
      <c r="M2663">
        <v>33.375507550000002</v>
      </c>
      <c r="N2663">
        <v>2.4262999999999999</v>
      </c>
      <c r="O2663">
        <v>87.5</v>
      </c>
      <c r="P2663">
        <v>29.478311600000001</v>
      </c>
      <c r="Q2663">
        <v>3.0797751000000002E-2</v>
      </c>
      <c r="R2663" t="s">
        <v>1040</v>
      </c>
      <c r="S2663">
        <v>0.27760324999999997</v>
      </c>
    </row>
    <row r="2664" spans="1:19" x14ac:dyDescent="0.25">
      <c r="A2664" t="s">
        <v>51</v>
      </c>
      <c r="B2664" t="s">
        <v>860</v>
      </c>
      <c r="C2664">
        <v>12</v>
      </c>
      <c r="D2664" t="s">
        <v>15</v>
      </c>
      <c r="E2664" t="s">
        <v>94</v>
      </c>
      <c r="F2664" t="s">
        <v>105</v>
      </c>
      <c r="G2664" t="s">
        <v>104</v>
      </c>
      <c r="H2664" t="s">
        <v>104</v>
      </c>
      <c r="J2664">
        <v>0</v>
      </c>
      <c r="K2664">
        <v>2</v>
      </c>
      <c r="L2664">
        <v>67.5</v>
      </c>
      <c r="M2664">
        <v>47.937235809999997</v>
      </c>
      <c r="N2664">
        <v>0.41599678000000001</v>
      </c>
      <c r="O2664">
        <v>113.9375</v>
      </c>
      <c r="P2664">
        <v>33.375507550000002</v>
      </c>
      <c r="Q2664">
        <v>2.4262999999999999</v>
      </c>
      <c r="R2664" t="s">
        <v>1040</v>
      </c>
      <c r="S2664">
        <v>1.6881130999999998</v>
      </c>
    </row>
    <row r="2665" spans="1:19" x14ac:dyDescent="0.25">
      <c r="A2665" t="s">
        <v>51</v>
      </c>
      <c r="B2665" t="s">
        <v>861</v>
      </c>
      <c r="C2665">
        <v>12</v>
      </c>
      <c r="D2665" t="s">
        <v>15</v>
      </c>
      <c r="E2665" t="s">
        <v>94</v>
      </c>
      <c r="F2665" t="s">
        <v>111</v>
      </c>
      <c r="G2665" t="s">
        <v>121</v>
      </c>
      <c r="H2665" t="s">
        <v>241</v>
      </c>
      <c r="J2665">
        <v>0</v>
      </c>
      <c r="K2665">
        <v>1</v>
      </c>
      <c r="L2665">
        <v>94.97142857</v>
      </c>
      <c r="M2665">
        <v>24.31591813</v>
      </c>
      <c r="N2665">
        <v>0.122951111</v>
      </c>
      <c r="O2665">
        <v>114</v>
      </c>
      <c r="P2665">
        <v>30.43077242</v>
      </c>
      <c r="Q2665">
        <v>0.53383111100000002</v>
      </c>
      <c r="R2665" t="s">
        <v>1040</v>
      </c>
      <c r="S2665">
        <v>0.10717457000000002</v>
      </c>
    </row>
    <row r="2666" spans="1:19" x14ac:dyDescent="0.25">
      <c r="A2666" t="s">
        <v>51</v>
      </c>
      <c r="B2666" t="s">
        <v>862</v>
      </c>
      <c r="C2666">
        <v>12</v>
      </c>
      <c r="D2666" t="s">
        <v>15</v>
      </c>
      <c r="E2666" t="s">
        <v>94</v>
      </c>
      <c r="F2666" t="s">
        <v>112</v>
      </c>
      <c r="G2666" t="s">
        <v>112</v>
      </c>
      <c r="H2666" t="s">
        <v>112</v>
      </c>
      <c r="J2666">
        <v>0</v>
      </c>
      <c r="K2666">
        <v>2</v>
      </c>
      <c r="L2666">
        <v>65.09375</v>
      </c>
      <c r="M2666">
        <v>37.895352600000002</v>
      </c>
      <c r="N2666">
        <v>2.2882677779999998</v>
      </c>
      <c r="O2666">
        <v>65.09375</v>
      </c>
      <c r="P2666">
        <v>37.895352600000002</v>
      </c>
      <c r="Q2666">
        <v>2.2882677779999998</v>
      </c>
      <c r="R2666" t="s">
        <v>1040</v>
      </c>
      <c r="S2666">
        <v>0</v>
      </c>
    </row>
    <row r="2667" spans="1:19" x14ac:dyDescent="0.25">
      <c r="A2667" t="s">
        <v>52</v>
      </c>
      <c r="B2667" t="s">
        <v>863</v>
      </c>
      <c r="C2667">
        <v>12</v>
      </c>
      <c r="D2667" t="s">
        <v>17</v>
      </c>
      <c r="E2667" t="s">
        <v>95</v>
      </c>
      <c r="F2667" t="s">
        <v>102</v>
      </c>
      <c r="G2667" t="s">
        <v>121</v>
      </c>
      <c r="H2667" t="s">
        <v>238</v>
      </c>
      <c r="J2667">
        <v>0</v>
      </c>
      <c r="K2667">
        <v>1</v>
      </c>
      <c r="L2667">
        <v>84.740740740000007</v>
      </c>
      <c r="M2667">
        <v>29.167014049999999</v>
      </c>
      <c r="N2667">
        <v>1.1169849999999999</v>
      </c>
      <c r="O2667">
        <v>87.5</v>
      </c>
      <c r="P2667">
        <v>29.478311600000001</v>
      </c>
      <c r="Q2667">
        <v>3.0797751000000002E-2</v>
      </c>
      <c r="R2667" t="s">
        <v>1040</v>
      </c>
      <c r="S2667">
        <v>1.0278315500000001</v>
      </c>
    </row>
    <row r="2668" spans="1:19" x14ac:dyDescent="0.25">
      <c r="A2668" t="s">
        <v>52</v>
      </c>
      <c r="B2668" t="s">
        <v>863</v>
      </c>
      <c r="C2668">
        <v>12</v>
      </c>
      <c r="D2668" t="s">
        <v>17</v>
      </c>
      <c r="E2668" t="s">
        <v>95</v>
      </c>
      <c r="F2668" t="s">
        <v>102</v>
      </c>
      <c r="G2668" t="s">
        <v>121</v>
      </c>
      <c r="H2668" t="s">
        <v>113</v>
      </c>
      <c r="J2668">
        <v>0</v>
      </c>
      <c r="K2668">
        <v>1</v>
      </c>
      <c r="L2668">
        <v>84.740740740000007</v>
      </c>
      <c r="M2668">
        <v>29.167014049999999</v>
      </c>
      <c r="N2668">
        <v>1.1169849999999999</v>
      </c>
      <c r="O2668">
        <v>83.757575759999995</v>
      </c>
      <c r="P2668">
        <v>22.60997987</v>
      </c>
      <c r="Q2668">
        <v>0.72884000000000004</v>
      </c>
      <c r="R2668" t="s">
        <v>1040</v>
      </c>
      <c r="S2668">
        <v>0.94413650000000005</v>
      </c>
    </row>
    <row r="2669" spans="1:19" x14ac:dyDescent="0.25">
      <c r="A2669" t="s">
        <v>52</v>
      </c>
      <c r="B2669" t="s">
        <v>864</v>
      </c>
      <c r="C2669">
        <v>12</v>
      </c>
      <c r="D2669" t="s">
        <v>17</v>
      </c>
      <c r="E2669" t="s">
        <v>95</v>
      </c>
      <c r="F2669" t="s">
        <v>103</v>
      </c>
      <c r="G2669" t="s">
        <v>121</v>
      </c>
      <c r="H2669" t="s">
        <v>234</v>
      </c>
      <c r="J2669">
        <v>0</v>
      </c>
      <c r="K2669">
        <v>5</v>
      </c>
      <c r="L2669">
        <v>98.291666669999998</v>
      </c>
      <c r="M2669">
        <v>30.315130790000001</v>
      </c>
      <c r="N2669">
        <v>5.0803484000000003E-2</v>
      </c>
      <c r="O2669">
        <v>89.8125</v>
      </c>
      <c r="P2669">
        <v>34.754706650000003</v>
      </c>
      <c r="Q2669">
        <v>2.3065078999999999E-2</v>
      </c>
      <c r="R2669" t="s">
        <v>1040</v>
      </c>
      <c r="S2669">
        <v>-2.0505059700000001</v>
      </c>
    </row>
    <row r="2670" spans="1:19" x14ac:dyDescent="0.25">
      <c r="A2670" t="s">
        <v>52</v>
      </c>
      <c r="B2670" t="s">
        <v>865</v>
      </c>
      <c r="C2670">
        <v>12</v>
      </c>
      <c r="D2670" t="s">
        <v>17</v>
      </c>
      <c r="E2670" t="s">
        <v>95</v>
      </c>
      <c r="F2670" t="s">
        <v>111</v>
      </c>
      <c r="G2670" t="s">
        <v>103</v>
      </c>
      <c r="H2670" t="s">
        <v>103</v>
      </c>
      <c r="J2670">
        <v>0</v>
      </c>
      <c r="K2670">
        <v>1</v>
      </c>
      <c r="L2670">
        <v>94.97142857</v>
      </c>
      <c r="M2670">
        <v>24.31591813</v>
      </c>
      <c r="N2670">
        <v>0.122951111</v>
      </c>
      <c r="O2670">
        <v>98.291666669999998</v>
      </c>
      <c r="P2670">
        <v>30.315130790000001</v>
      </c>
      <c r="Q2670">
        <v>5.0803484000000003E-2</v>
      </c>
      <c r="R2670" t="s">
        <v>1040</v>
      </c>
      <c r="S2670">
        <v>-3.8152799999999987E-2</v>
      </c>
    </row>
    <row r="2671" spans="1:19" x14ac:dyDescent="0.25">
      <c r="A2671" t="s">
        <v>52</v>
      </c>
      <c r="B2671" t="s">
        <v>866</v>
      </c>
      <c r="C2671">
        <v>12</v>
      </c>
      <c r="D2671" t="s">
        <v>17</v>
      </c>
      <c r="E2671" t="s">
        <v>95</v>
      </c>
      <c r="F2671" t="s">
        <v>112</v>
      </c>
      <c r="G2671" t="s">
        <v>121</v>
      </c>
      <c r="H2671" t="s">
        <v>235</v>
      </c>
      <c r="J2671">
        <v>0</v>
      </c>
      <c r="K2671">
        <v>1</v>
      </c>
      <c r="L2671">
        <v>65.09375</v>
      </c>
      <c r="M2671">
        <v>37.895352600000002</v>
      </c>
      <c r="N2671">
        <v>2.2882677779999998</v>
      </c>
      <c r="O2671">
        <v>132.27272730000001</v>
      </c>
      <c r="P2671">
        <v>20.180448590000001</v>
      </c>
      <c r="Q2671">
        <v>3.7813451999999997E-2</v>
      </c>
      <c r="R2671" t="s">
        <v>1040</v>
      </c>
      <c r="S2671">
        <v>1.7971333899999999</v>
      </c>
    </row>
    <row r="2672" spans="1:19" x14ac:dyDescent="0.25">
      <c r="A2672" t="s">
        <v>53</v>
      </c>
      <c r="B2672" t="s">
        <v>867</v>
      </c>
      <c r="C2672">
        <v>12</v>
      </c>
      <c r="D2672" t="s">
        <v>19</v>
      </c>
      <c r="E2672" t="s">
        <v>94</v>
      </c>
      <c r="F2672" t="s">
        <v>102</v>
      </c>
      <c r="G2672" t="s">
        <v>121</v>
      </c>
      <c r="H2672" t="s">
        <v>808</v>
      </c>
      <c r="J2672">
        <v>0</v>
      </c>
      <c r="K2672">
        <v>1</v>
      </c>
      <c r="L2672">
        <v>84.740740740000007</v>
      </c>
      <c r="M2672">
        <v>29.167014049999999</v>
      </c>
      <c r="N2672">
        <v>1.1169849999999999</v>
      </c>
      <c r="O2672">
        <v>102.79166669999999</v>
      </c>
      <c r="P2672">
        <v>27.057373470000002</v>
      </c>
      <c r="Q2672">
        <v>6.3567849939999999</v>
      </c>
      <c r="R2672" t="s">
        <v>1040</v>
      </c>
      <c r="S2672" t="s">
        <v>114</v>
      </c>
    </row>
    <row r="2673" spans="1:19" x14ac:dyDescent="0.25">
      <c r="A2673" t="s">
        <v>53</v>
      </c>
      <c r="B2673" t="s">
        <v>867</v>
      </c>
      <c r="C2673">
        <v>12</v>
      </c>
      <c r="D2673" t="s">
        <v>19</v>
      </c>
      <c r="E2673" t="s">
        <v>94</v>
      </c>
      <c r="F2673" t="s">
        <v>102</v>
      </c>
      <c r="G2673" t="s">
        <v>121</v>
      </c>
      <c r="H2673" t="s">
        <v>241</v>
      </c>
      <c r="J2673">
        <v>0</v>
      </c>
      <c r="K2673">
        <v>1</v>
      </c>
      <c r="L2673">
        <v>84.740740740000007</v>
      </c>
      <c r="M2673">
        <v>29.167014049999999</v>
      </c>
      <c r="N2673">
        <v>1.1169849999999999</v>
      </c>
      <c r="O2673">
        <v>114</v>
      </c>
      <c r="P2673">
        <v>30.43077242</v>
      </c>
      <c r="Q2673">
        <v>0.53383111100000002</v>
      </c>
      <c r="R2673" t="s">
        <v>1040</v>
      </c>
      <c r="S2673">
        <v>0.87381657000000001</v>
      </c>
    </row>
    <row r="2674" spans="1:19" x14ac:dyDescent="0.25">
      <c r="A2674" t="s">
        <v>53</v>
      </c>
      <c r="B2674" t="s">
        <v>868</v>
      </c>
      <c r="C2674">
        <v>12</v>
      </c>
      <c r="D2674" t="s">
        <v>19</v>
      </c>
      <c r="E2674" t="s">
        <v>94</v>
      </c>
      <c r="F2674" t="s">
        <v>113</v>
      </c>
      <c r="G2674" t="s">
        <v>121</v>
      </c>
      <c r="H2674" t="s">
        <v>103</v>
      </c>
      <c r="J2674">
        <v>0</v>
      </c>
      <c r="K2674">
        <v>1</v>
      </c>
      <c r="L2674">
        <v>83.757575759999995</v>
      </c>
      <c r="M2674">
        <v>22.60997987</v>
      </c>
      <c r="N2674">
        <v>0.72884000000000004</v>
      </c>
      <c r="O2674">
        <v>98.291666669999998</v>
      </c>
      <c r="P2674">
        <v>30.315130790000001</v>
      </c>
      <c r="Q2674">
        <v>5.0803484000000003E-2</v>
      </c>
      <c r="R2674" t="s">
        <v>1040</v>
      </c>
      <c r="S2674">
        <v>-0.21564730000000001</v>
      </c>
    </row>
    <row r="2675" spans="1:19" x14ac:dyDescent="0.25">
      <c r="A2675" t="s">
        <v>53</v>
      </c>
      <c r="B2675" t="s">
        <v>868</v>
      </c>
      <c r="C2675">
        <v>12</v>
      </c>
      <c r="D2675" t="s">
        <v>19</v>
      </c>
      <c r="E2675" t="s">
        <v>94</v>
      </c>
      <c r="F2675" t="s">
        <v>113</v>
      </c>
      <c r="G2675" t="s">
        <v>121</v>
      </c>
      <c r="H2675" t="s">
        <v>238</v>
      </c>
      <c r="J2675">
        <v>0</v>
      </c>
      <c r="K2675">
        <v>1</v>
      </c>
      <c r="L2675">
        <v>83.757575759999995</v>
      </c>
      <c r="M2675">
        <v>22.60997987</v>
      </c>
      <c r="N2675">
        <v>0.72884000000000004</v>
      </c>
      <c r="O2675">
        <v>87.5</v>
      </c>
      <c r="P2675">
        <v>29.478311600000001</v>
      </c>
      <c r="Q2675">
        <v>3.0797751000000002E-2</v>
      </c>
      <c r="R2675" t="s">
        <v>1040</v>
      </c>
      <c r="S2675">
        <v>8.3695049999999993E-2</v>
      </c>
    </row>
    <row r="2676" spans="1:19" x14ac:dyDescent="0.25">
      <c r="A2676" t="s">
        <v>53</v>
      </c>
      <c r="B2676" t="s">
        <v>868</v>
      </c>
      <c r="C2676">
        <v>12</v>
      </c>
      <c r="D2676" t="s">
        <v>19</v>
      </c>
      <c r="E2676" t="s">
        <v>94</v>
      </c>
      <c r="F2676" t="s">
        <v>113</v>
      </c>
      <c r="G2676" t="s">
        <v>121</v>
      </c>
      <c r="H2676" t="s">
        <v>235</v>
      </c>
      <c r="J2676">
        <v>0</v>
      </c>
      <c r="K2676">
        <v>1</v>
      </c>
      <c r="L2676">
        <v>83.757575759999995</v>
      </c>
      <c r="M2676">
        <v>22.60997987</v>
      </c>
      <c r="N2676">
        <v>0.72884000000000004</v>
      </c>
      <c r="O2676">
        <v>132.27272730000001</v>
      </c>
      <c r="P2676">
        <v>20.180448590000001</v>
      </c>
      <c r="Q2676">
        <v>3.7813451999999997E-2</v>
      </c>
      <c r="R2676" t="s">
        <v>1040</v>
      </c>
      <c r="S2676">
        <v>-0.20103061000000003</v>
      </c>
    </row>
    <row r="2677" spans="1:19" x14ac:dyDescent="0.25">
      <c r="A2677" t="s">
        <v>53</v>
      </c>
      <c r="B2677" t="s">
        <v>868</v>
      </c>
      <c r="C2677">
        <v>12</v>
      </c>
      <c r="D2677" t="s">
        <v>19</v>
      </c>
      <c r="E2677" t="s">
        <v>94</v>
      </c>
      <c r="F2677" t="s">
        <v>113</v>
      </c>
      <c r="G2677" t="s">
        <v>121</v>
      </c>
      <c r="H2677" t="s">
        <v>241</v>
      </c>
      <c r="J2677">
        <v>0</v>
      </c>
      <c r="K2677">
        <v>2</v>
      </c>
      <c r="L2677">
        <v>83.757575759999995</v>
      </c>
      <c r="M2677">
        <v>22.60997987</v>
      </c>
      <c r="N2677">
        <v>0.72884000000000004</v>
      </c>
      <c r="O2677">
        <v>114</v>
      </c>
      <c r="P2677">
        <v>30.43077242</v>
      </c>
      <c r="Q2677">
        <v>0.53383111100000002</v>
      </c>
      <c r="R2677" t="s">
        <v>1040</v>
      </c>
      <c r="S2677">
        <v>-7.0319930000000003E-2</v>
      </c>
    </row>
    <row r="2678" spans="1:19" x14ac:dyDescent="0.25">
      <c r="A2678" t="s">
        <v>53</v>
      </c>
      <c r="B2678" t="s">
        <v>868</v>
      </c>
      <c r="C2678">
        <v>12</v>
      </c>
      <c r="D2678" t="s">
        <v>19</v>
      </c>
      <c r="E2678" t="s">
        <v>94</v>
      </c>
      <c r="F2678" t="s">
        <v>113</v>
      </c>
      <c r="G2678" t="s">
        <v>121</v>
      </c>
      <c r="H2678" t="s">
        <v>242</v>
      </c>
      <c r="J2678">
        <v>0</v>
      </c>
      <c r="K2678">
        <v>1</v>
      </c>
      <c r="L2678">
        <v>83.757575759999995</v>
      </c>
      <c r="M2678">
        <v>22.60997987</v>
      </c>
      <c r="N2678">
        <v>0.72884000000000004</v>
      </c>
      <c r="O2678">
        <v>139.375</v>
      </c>
      <c r="P2678">
        <v>23.713465920000001</v>
      </c>
      <c r="Q2678" t="s">
        <v>114</v>
      </c>
      <c r="R2678" t="s">
        <v>1040</v>
      </c>
      <c r="S2678" t="s">
        <v>114</v>
      </c>
    </row>
    <row r="2679" spans="1:19" x14ac:dyDescent="0.25">
      <c r="A2679" t="s">
        <v>53</v>
      </c>
      <c r="B2679" t="s">
        <v>868</v>
      </c>
      <c r="C2679">
        <v>12</v>
      </c>
      <c r="D2679" t="s">
        <v>19</v>
      </c>
      <c r="E2679" t="s">
        <v>94</v>
      </c>
      <c r="F2679" t="s">
        <v>113</v>
      </c>
      <c r="G2679" t="s">
        <v>121</v>
      </c>
      <c r="H2679" t="s">
        <v>112</v>
      </c>
      <c r="J2679">
        <v>0</v>
      </c>
      <c r="K2679">
        <v>1</v>
      </c>
      <c r="L2679">
        <v>83.757575759999995</v>
      </c>
      <c r="M2679">
        <v>22.60997987</v>
      </c>
      <c r="N2679">
        <v>0.72884000000000004</v>
      </c>
      <c r="O2679">
        <v>65.09375</v>
      </c>
      <c r="P2679">
        <v>37.895352600000002</v>
      </c>
      <c r="Q2679">
        <v>2.2882677779999998</v>
      </c>
      <c r="R2679" t="s">
        <v>1040</v>
      </c>
      <c r="S2679">
        <v>-1.9981640000000001</v>
      </c>
    </row>
    <row r="2680" spans="1:19" x14ac:dyDescent="0.25">
      <c r="A2680" t="s">
        <v>53</v>
      </c>
      <c r="B2680" t="s">
        <v>869</v>
      </c>
      <c r="C2680">
        <v>12</v>
      </c>
      <c r="D2680" t="s">
        <v>19</v>
      </c>
      <c r="E2680" t="s">
        <v>94</v>
      </c>
      <c r="F2680" t="s">
        <v>103</v>
      </c>
      <c r="G2680" t="s">
        <v>121</v>
      </c>
      <c r="H2680" t="s">
        <v>103</v>
      </c>
      <c r="J2680">
        <v>0</v>
      </c>
      <c r="K2680">
        <v>1</v>
      </c>
      <c r="L2680">
        <v>98.291666669999998</v>
      </c>
      <c r="M2680">
        <v>30.315130790000001</v>
      </c>
      <c r="N2680">
        <v>5.0803484000000003E-2</v>
      </c>
      <c r="O2680">
        <v>98.291666669999998</v>
      </c>
      <c r="P2680">
        <v>30.315130790000001</v>
      </c>
      <c r="Q2680">
        <v>5.0803484000000003E-2</v>
      </c>
      <c r="R2680" t="s">
        <v>1040</v>
      </c>
      <c r="S2680">
        <v>0</v>
      </c>
    </row>
    <row r="2681" spans="1:19" x14ac:dyDescent="0.25">
      <c r="A2681" t="s">
        <v>53</v>
      </c>
      <c r="B2681" t="s">
        <v>869</v>
      </c>
      <c r="C2681">
        <v>12</v>
      </c>
      <c r="D2681" t="s">
        <v>19</v>
      </c>
      <c r="E2681" t="s">
        <v>94</v>
      </c>
      <c r="F2681" t="s">
        <v>103</v>
      </c>
      <c r="G2681" t="s">
        <v>121</v>
      </c>
      <c r="H2681" t="s">
        <v>241</v>
      </c>
      <c r="J2681">
        <v>0</v>
      </c>
      <c r="K2681">
        <v>1</v>
      </c>
      <c r="L2681">
        <v>98.291666669999998</v>
      </c>
      <c r="M2681">
        <v>30.315130790000001</v>
      </c>
      <c r="N2681">
        <v>5.0803484000000003E-2</v>
      </c>
      <c r="O2681">
        <v>114</v>
      </c>
      <c r="P2681">
        <v>30.43077242</v>
      </c>
      <c r="Q2681">
        <v>0.53383111100000002</v>
      </c>
      <c r="R2681" t="s">
        <v>1040</v>
      </c>
      <c r="S2681">
        <v>0.14532737000000001</v>
      </c>
    </row>
    <row r="2682" spans="1:19" x14ac:dyDescent="0.25">
      <c r="A2682" t="s">
        <v>53</v>
      </c>
      <c r="B2682" t="s">
        <v>870</v>
      </c>
      <c r="C2682">
        <v>12</v>
      </c>
      <c r="D2682" t="s">
        <v>19</v>
      </c>
      <c r="E2682" t="s">
        <v>94</v>
      </c>
      <c r="F2682" t="s">
        <v>112</v>
      </c>
      <c r="G2682" t="s">
        <v>121</v>
      </c>
      <c r="H2682" t="s">
        <v>114</v>
      </c>
      <c r="J2682">
        <v>0</v>
      </c>
      <c r="K2682">
        <v>0</v>
      </c>
      <c r="L2682">
        <v>65.09375</v>
      </c>
      <c r="M2682">
        <v>37.895352600000002</v>
      </c>
      <c r="N2682">
        <v>2.2882677779999998</v>
      </c>
      <c r="O2682" t="s">
        <v>114</v>
      </c>
      <c r="P2682" t="s">
        <v>114</v>
      </c>
      <c r="Q2682" t="s">
        <v>114</v>
      </c>
      <c r="R2682" t="s">
        <v>1040</v>
      </c>
      <c r="S2682" t="s">
        <v>114</v>
      </c>
    </row>
    <row r="2683" spans="1:19" x14ac:dyDescent="0.25">
      <c r="A2683" t="s">
        <v>54</v>
      </c>
      <c r="B2683" t="s">
        <v>871</v>
      </c>
      <c r="C2683">
        <v>12</v>
      </c>
      <c r="D2683" t="s">
        <v>21</v>
      </c>
      <c r="E2683" t="s">
        <v>95</v>
      </c>
      <c r="F2683" t="s">
        <v>113</v>
      </c>
      <c r="G2683" t="s">
        <v>121</v>
      </c>
      <c r="H2683" t="s">
        <v>241</v>
      </c>
      <c r="J2683">
        <v>0</v>
      </c>
      <c r="K2683">
        <v>2</v>
      </c>
      <c r="L2683">
        <v>83.757575759999995</v>
      </c>
      <c r="M2683">
        <v>22.60997987</v>
      </c>
      <c r="N2683">
        <v>0.72884000000000004</v>
      </c>
      <c r="O2683">
        <v>114</v>
      </c>
      <c r="P2683">
        <v>30.43077242</v>
      </c>
      <c r="Q2683">
        <v>0.53383111100000002</v>
      </c>
      <c r="R2683" t="s">
        <v>1040</v>
      </c>
      <c r="S2683">
        <v>-7.0319930000000003E-2</v>
      </c>
    </row>
    <row r="2684" spans="1:19" x14ac:dyDescent="0.25">
      <c r="A2684" t="s">
        <v>54</v>
      </c>
      <c r="B2684" t="s">
        <v>872</v>
      </c>
      <c r="C2684">
        <v>12</v>
      </c>
      <c r="D2684" t="s">
        <v>21</v>
      </c>
      <c r="E2684" t="s">
        <v>95</v>
      </c>
      <c r="F2684" t="s">
        <v>110</v>
      </c>
      <c r="G2684" t="s">
        <v>121</v>
      </c>
      <c r="H2684" t="s">
        <v>241</v>
      </c>
      <c r="I2684" t="s">
        <v>162</v>
      </c>
      <c r="J2684">
        <v>1</v>
      </c>
      <c r="K2684">
        <v>2</v>
      </c>
      <c r="L2684">
        <v>73.260869569999997</v>
      </c>
      <c r="M2684">
        <v>34.453830549999999</v>
      </c>
      <c r="N2684">
        <v>1.058333333</v>
      </c>
      <c r="O2684">
        <v>114</v>
      </c>
      <c r="P2684">
        <v>30.43077242</v>
      </c>
      <c r="Q2684">
        <v>0.53383111100000002</v>
      </c>
      <c r="R2684" t="s">
        <v>1040</v>
      </c>
      <c r="S2684">
        <v>0.62563736999999997</v>
      </c>
    </row>
    <row r="2685" spans="1:19" x14ac:dyDescent="0.25">
      <c r="A2685" t="s">
        <v>54</v>
      </c>
      <c r="B2685" t="s">
        <v>873</v>
      </c>
      <c r="C2685">
        <v>12</v>
      </c>
      <c r="D2685" t="s">
        <v>21</v>
      </c>
      <c r="E2685" t="s">
        <v>95</v>
      </c>
      <c r="F2685" t="s">
        <v>111</v>
      </c>
      <c r="G2685" t="s">
        <v>121</v>
      </c>
      <c r="H2685" t="s">
        <v>162</v>
      </c>
      <c r="J2685">
        <v>0</v>
      </c>
      <c r="K2685">
        <v>1</v>
      </c>
      <c r="L2685">
        <v>94.97142857</v>
      </c>
      <c r="M2685">
        <v>24.31591813</v>
      </c>
      <c r="N2685">
        <v>0.122951111</v>
      </c>
      <c r="O2685">
        <v>82.53846154</v>
      </c>
      <c r="P2685">
        <v>35.660530039999998</v>
      </c>
      <c r="Q2685">
        <v>3.3754499999999998</v>
      </c>
      <c r="R2685" t="s">
        <v>1040</v>
      </c>
      <c r="S2685" t="s">
        <v>114</v>
      </c>
    </row>
    <row r="2686" spans="1:19" x14ac:dyDescent="0.25">
      <c r="A2686" t="s">
        <v>55</v>
      </c>
      <c r="B2686" t="s">
        <v>874</v>
      </c>
      <c r="C2686">
        <v>12</v>
      </c>
      <c r="D2686" t="s">
        <v>23</v>
      </c>
      <c r="E2686" t="s">
        <v>94</v>
      </c>
      <c r="F2686" t="s">
        <v>113</v>
      </c>
      <c r="G2686" t="s">
        <v>110</v>
      </c>
      <c r="H2686" t="s">
        <v>238</v>
      </c>
      <c r="J2686">
        <v>0</v>
      </c>
      <c r="K2686">
        <v>1</v>
      </c>
      <c r="L2686">
        <v>83.757575759999995</v>
      </c>
      <c r="M2686">
        <v>22.60997987</v>
      </c>
      <c r="N2686">
        <v>0.72884000000000004</v>
      </c>
      <c r="O2686">
        <v>87.5</v>
      </c>
      <c r="P2686">
        <v>29.478311600000001</v>
      </c>
      <c r="Q2686">
        <v>3.0797751000000002E-2</v>
      </c>
      <c r="R2686" t="s">
        <v>1040</v>
      </c>
      <c r="S2686">
        <v>8.3695049999999993E-2</v>
      </c>
    </row>
    <row r="2687" spans="1:19" x14ac:dyDescent="0.25">
      <c r="A2687" t="s">
        <v>55</v>
      </c>
      <c r="B2687" t="s">
        <v>874</v>
      </c>
      <c r="C2687">
        <v>12</v>
      </c>
      <c r="D2687" t="s">
        <v>23</v>
      </c>
      <c r="E2687" t="s">
        <v>94</v>
      </c>
      <c r="F2687" t="s">
        <v>113</v>
      </c>
      <c r="G2687" t="s">
        <v>110</v>
      </c>
      <c r="H2687" t="s">
        <v>103</v>
      </c>
      <c r="J2687">
        <v>0</v>
      </c>
      <c r="K2687">
        <v>1</v>
      </c>
      <c r="L2687">
        <v>83.757575759999995</v>
      </c>
      <c r="M2687">
        <v>22.60997987</v>
      </c>
      <c r="N2687">
        <v>0.72884000000000004</v>
      </c>
      <c r="O2687">
        <v>98.291666669999998</v>
      </c>
      <c r="P2687">
        <v>30.315130790000001</v>
      </c>
      <c r="Q2687">
        <v>5.0803484000000003E-2</v>
      </c>
      <c r="R2687" t="s">
        <v>1040</v>
      </c>
      <c r="S2687">
        <v>-0.21564730000000001</v>
      </c>
    </row>
    <row r="2688" spans="1:19" x14ac:dyDescent="0.25">
      <c r="A2688" t="s">
        <v>55</v>
      </c>
      <c r="B2688" t="s">
        <v>874</v>
      </c>
      <c r="C2688">
        <v>12</v>
      </c>
      <c r="D2688" t="s">
        <v>23</v>
      </c>
      <c r="E2688" t="s">
        <v>94</v>
      </c>
      <c r="F2688" t="s">
        <v>113</v>
      </c>
      <c r="G2688" t="s">
        <v>110</v>
      </c>
      <c r="H2688" t="s">
        <v>808</v>
      </c>
      <c r="J2688">
        <v>0</v>
      </c>
      <c r="K2688">
        <v>1</v>
      </c>
      <c r="L2688">
        <v>83.757575759999995</v>
      </c>
      <c r="M2688">
        <v>22.60997987</v>
      </c>
      <c r="N2688">
        <v>0.72884000000000004</v>
      </c>
      <c r="O2688">
        <v>102.79166669999999</v>
      </c>
      <c r="P2688">
        <v>27.057373470000002</v>
      </c>
      <c r="Q2688">
        <v>6.3567849939999999</v>
      </c>
      <c r="R2688" t="s">
        <v>1040</v>
      </c>
      <c r="S2688" t="s">
        <v>114</v>
      </c>
    </row>
    <row r="2689" spans="1:19" x14ac:dyDescent="0.25">
      <c r="A2689" t="s">
        <v>55</v>
      </c>
      <c r="B2689" t="s">
        <v>874</v>
      </c>
      <c r="C2689">
        <v>12</v>
      </c>
      <c r="D2689" t="s">
        <v>23</v>
      </c>
      <c r="E2689" t="s">
        <v>94</v>
      </c>
      <c r="F2689" t="s">
        <v>113</v>
      </c>
      <c r="G2689" t="s">
        <v>110</v>
      </c>
      <c r="H2689" t="s">
        <v>113</v>
      </c>
      <c r="J2689">
        <v>0</v>
      </c>
      <c r="K2689">
        <v>1</v>
      </c>
      <c r="L2689">
        <v>83.757575759999995</v>
      </c>
      <c r="M2689">
        <v>22.60997987</v>
      </c>
      <c r="N2689">
        <v>0.72884000000000004</v>
      </c>
      <c r="O2689">
        <v>83.757575759999995</v>
      </c>
      <c r="P2689">
        <v>22.60997987</v>
      </c>
      <c r="Q2689">
        <v>0.72884000000000004</v>
      </c>
      <c r="R2689" t="s">
        <v>1040</v>
      </c>
      <c r="S2689">
        <v>0</v>
      </c>
    </row>
    <row r="2690" spans="1:19" x14ac:dyDescent="0.25">
      <c r="A2690" t="s">
        <v>55</v>
      </c>
      <c r="B2690" t="s">
        <v>875</v>
      </c>
      <c r="C2690">
        <v>12</v>
      </c>
      <c r="D2690" t="s">
        <v>23</v>
      </c>
      <c r="E2690" t="s">
        <v>94</v>
      </c>
      <c r="F2690" t="s">
        <v>110</v>
      </c>
      <c r="G2690" t="s">
        <v>103</v>
      </c>
      <c r="H2690" t="s">
        <v>114</v>
      </c>
      <c r="J2690">
        <v>0</v>
      </c>
      <c r="K2690" t="s">
        <v>114</v>
      </c>
      <c r="L2690">
        <v>73.260869569999997</v>
      </c>
      <c r="M2690">
        <v>34.453830549999999</v>
      </c>
      <c r="N2690">
        <v>1.058333333</v>
      </c>
      <c r="O2690" t="s">
        <v>114</v>
      </c>
      <c r="P2690" t="s">
        <v>114</v>
      </c>
      <c r="Q2690" t="s">
        <v>114</v>
      </c>
      <c r="R2690" t="s">
        <v>1040</v>
      </c>
      <c r="S2690" t="s">
        <v>114</v>
      </c>
    </row>
    <row r="2691" spans="1:19" x14ac:dyDescent="0.25">
      <c r="A2691" t="s">
        <v>55</v>
      </c>
      <c r="B2691" t="s">
        <v>876</v>
      </c>
      <c r="C2691">
        <v>12</v>
      </c>
      <c r="D2691" t="s">
        <v>23</v>
      </c>
      <c r="E2691" t="s">
        <v>94</v>
      </c>
      <c r="F2691" t="s">
        <v>103</v>
      </c>
      <c r="G2691" t="s">
        <v>103</v>
      </c>
      <c r="H2691" t="s">
        <v>114</v>
      </c>
      <c r="J2691">
        <v>0</v>
      </c>
      <c r="K2691" t="s">
        <v>114</v>
      </c>
      <c r="L2691">
        <v>98.291666669999998</v>
      </c>
      <c r="M2691">
        <v>30.315130790000001</v>
      </c>
      <c r="N2691">
        <v>5.0803484000000003E-2</v>
      </c>
      <c r="O2691" t="s">
        <v>114</v>
      </c>
      <c r="P2691" t="s">
        <v>114</v>
      </c>
      <c r="Q2691" t="s">
        <v>114</v>
      </c>
      <c r="R2691" t="s">
        <v>1040</v>
      </c>
      <c r="S2691" t="s">
        <v>114</v>
      </c>
    </row>
    <row r="2692" spans="1:19" x14ac:dyDescent="0.25">
      <c r="A2692" t="s">
        <v>55</v>
      </c>
      <c r="B2692" t="s">
        <v>877</v>
      </c>
      <c r="C2692">
        <v>12</v>
      </c>
      <c r="D2692" t="s">
        <v>23</v>
      </c>
      <c r="E2692" t="s">
        <v>94</v>
      </c>
      <c r="F2692" t="s">
        <v>111</v>
      </c>
      <c r="G2692" t="s">
        <v>113</v>
      </c>
      <c r="H2692" t="s">
        <v>113</v>
      </c>
      <c r="J2692">
        <v>0</v>
      </c>
      <c r="K2692">
        <v>2</v>
      </c>
      <c r="L2692">
        <v>94.97142857</v>
      </c>
      <c r="M2692">
        <v>24.31591813</v>
      </c>
      <c r="N2692">
        <v>0.122951111</v>
      </c>
      <c r="O2692">
        <v>83.757575759999995</v>
      </c>
      <c r="P2692">
        <v>22.60997987</v>
      </c>
      <c r="Q2692">
        <v>0.72884000000000004</v>
      </c>
      <c r="R2692" t="s">
        <v>1040</v>
      </c>
      <c r="S2692">
        <v>0.17749450000000003</v>
      </c>
    </row>
    <row r="2693" spans="1:19" x14ac:dyDescent="0.25">
      <c r="A2693" t="s">
        <v>55</v>
      </c>
      <c r="B2693" t="s">
        <v>877</v>
      </c>
      <c r="C2693">
        <v>12</v>
      </c>
      <c r="D2693" t="s">
        <v>23</v>
      </c>
      <c r="E2693" t="s">
        <v>94</v>
      </c>
      <c r="F2693" t="s">
        <v>111</v>
      </c>
      <c r="G2693" t="s">
        <v>113</v>
      </c>
      <c r="H2693" t="s">
        <v>797</v>
      </c>
      <c r="J2693">
        <v>0</v>
      </c>
      <c r="K2693">
        <v>1</v>
      </c>
      <c r="L2693">
        <v>94.97142857</v>
      </c>
      <c r="M2693">
        <v>24.31591813</v>
      </c>
      <c r="N2693">
        <v>0.122951111</v>
      </c>
      <c r="O2693">
        <v>179.45454549999999</v>
      </c>
      <c r="P2693">
        <v>26.326869609999999</v>
      </c>
      <c r="Q2693">
        <v>2.3456094639999998</v>
      </c>
      <c r="R2693" t="s">
        <v>1040</v>
      </c>
      <c r="S2693">
        <v>0.20217674000000002</v>
      </c>
    </row>
    <row r="2694" spans="1:19" x14ac:dyDescent="0.25">
      <c r="A2694" t="s">
        <v>56</v>
      </c>
      <c r="B2694" t="s">
        <v>878</v>
      </c>
      <c r="C2694">
        <v>12</v>
      </c>
      <c r="D2694" t="s">
        <v>25</v>
      </c>
      <c r="E2694" t="s">
        <v>94</v>
      </c>
      <c r="F2694" t="s">
        <v>113</v>
      </c>
      <c r="G2694" t="s">
        <v>113</v>
      </c>
      <c r="H2694" t="s">
        <v>113</v>
      </c>
      <c r="J2694">
        <v>0</v>
      </c>
      <c r="K2694">
        <v>3</v>
      </c>
      <c r="L2694">
        <v>83.757575759999995</v>
      </c>
      <c r="M2694">
        <v>22.60997987</v>
      </c>
      <c r="N2694">
        <v>0.72884000000000004</v>
      </c>
      <c r="O2694">
        <v>83.757575759999995</v>
      </c>
      <c r="P2694">
        <v>22.60997987</v>
      </c>
      <c r="Q2694">
        <v>0.72884000000000004</v>
      </c>
      <c r="R2694" t="s">
        <v>1040</v>
      </c>
      <c r="S2694">
        <v>0</v>
      </c>
    </row>
    <row r="2695" spans="1:19" x14ac:dyDescent="0.25">
      <c r="A2695" t="s">
        <v>56</v>
      </c>
      <c r="B2695" t="s">
        <v>879</v>
      </c>
      <c r="C2695">
        <v>12</v>
      </c>
      <c r="D2695" t="s">
        <v>25</v>
      </c>
      <c r="E2695" t="s">
        <v>94</v>
      </c>
      <c r="F2695" t="s">
        <v>111</v>
      </c>
      <c r="G2695" t="s">
        <v>121</v>
      </c>
      <c r="H2695" t="s">
        <v>112</v>
      </c>
      <c r="J2695">
        <v>0</v>
      </c>
      <c r="K2695">
        <v>1</v>
      </c>
      <c r="L2695">
        <v>94.97142857</v>
      </c>
      <c r="M2695">
        <v>24.31591813</v>
      </c>
      <c r="N2695">
        <v>0.122951111</v>
      </c>
      <c r="O2695">
        <v>65.09375</v>
      </c>
      <c r="P2695">
        <v>37.895352600000002</v>
      </c>
      <c r="Q2695">
        <v>2.2882677779999998</v>
      </c>
      <c r="R2695" t="s">
        <v>1040</v>
      </c>
      <c r="S2695">
        <v>-1.8206694999999999</v>
      </c>
    </row>
    <row r="2696" spans="1:19" x14ac:dyDescent="0.25">
      <c r="A2696" t="s">
        <v>56</v>
      </c>
      <c r="B2696" t="s">
        <v>880</v>
      </c>
      <c r="C2696">
        <v>12</v>
      </c>
      <c r="D2696" t="s">
        <v>25</v>
      </c>
      <c r="E2696" t="s">
        <v>94</v>
      </c>
      <c r="F2696" t="s">
        <v>104</v>
      </c>
      <c r="G2696" t="s">
        <v>121</v>
      </c>
      <c r="H2696" t="s">
        <v>104</v>
      </c>
      <c r="J2696">
        <v>0</v>
      </c>
      <c r="K2696">
        <v>1</v>
      </c>
      <c r="L2696">
        <v>113.9375</v>
      </c>
      <c r="M2696">
        <v>33.375507550000002</v>
      </c>
      <c r="N2696">
        <v>2.4262999999999999</v>
      </c>
      <c r="O2696">
        <v>113.9375</v>
      </c>
      <c r="P2696">
        <v>33.375507550000002</v>
      </c>
      <c r="Q2696">
        <v>2.4262999999999999</v>
      </c>
      <c r="R2696" t="s">
        <v>1040</v>
      </c>
      <c r="S2696">
        <v>0</v>
      </c>
    </row>
    <row r="2697" spans="1:19" x14ac:dyDescent="0.25">
      <c r="A2697" t="s">
        <v>56</v>
      </c>
      <c r="B2697" t="s">
        <v>881</v>
      </c>
      <c r="C2697">
        <v>12</v>
      </c>
      <c r="D2697" t="s">
        <v>25</v>
      </c>
      <c r="E2697" t="s">
        <v>94</v>
      </c>
      <c r="F2697" t="s">
        <v>112</v>
      </c>
      <c r="G2697" t="s">
        <v>121</v>
      </c>
      <c r="H2697" t="s">
        <v>241</v>
      </c>
      <c r="J2697">
        <v>0</v>
      </c>
      <c r="K2697">
        <v>4</v>
      </c>
      <c r="L2697">
        <v>65.09375</v>
      </c>
      <c r="M2697">
        <v>37.895352600000002</v>
      </c>
      <c r="N2697">
        <v>2.2882677779999998</v>
      </c>
      <c r="O2697">
        <v>114</v>
      </c>
      <c r="P2697">
        <v>30.43077242</v>
      </c>
      <c r="Q2697">
        <v>0.53383111100000002</v>
      </c>
      <c r="R2697" t="s">
        <v>1040</v>
      </c>
      <c r="S2697">
        <v>1.9278440699999999</v>
      </c>
    </row>
    <row r="2698" spans="1:19" x14ac:dyDescent="0.25">
      <c r="A2698" t="s">
        <v>57</v>
      </c>
      <c r="B2698" t="s">
        <v>882</v>
      </c>
      <c r="C2698">
        <v>12</v>
      </c>
      <c r="D2698" t="s">
        <v>27</v>
      </c>
      <c r="E2698" t="s">
        <v>94</v>
      </c>
      <c r="F2698" t="s">
        <v>105</v>
      </c>
      <c r="G2698" t="s">
        <v>121</v>
      </c>
      <c r="H2698" t="s">
        <v>247</v>
      </c>
      <c r="J2698">
        <v>0</v>
      </c>
      <c r="K2698">
        <v>1</v>
      </c>
      <c r="L2698">
        <v>67.5</v>
      </c>
      <c r="M2698">
        <v>47.937235809999997</v>
      </c>
      <c r="N2698">
        <v>0.41599678000000001</v>
      </c>
      <c r="O2698">
        <v>65.791044779999993</v>
      </c>
      <c r="P2698">
        <v>22.94519201</v>
      </c>
      <c r="Q2698">
        <v>8.1320334999999994E-2</v>
      </c>
      <c r="R2698" t="s">
        <v>1040</v>
      </c>
      <c r="S2698">
        <v>1.9221781499999997</v>
      </c>
    </row>
    <row r="2699" spans="1:19" x14ac:dyDescent="0.25">
      <c r="A2699" t="s">
        <v>57</v>
      </c>
      <c r="B2699" t="s">
        <v>882</v>
      </c>
      <c r="C2699">
        <v>12</v>
      </c>
      <c r="D2699" t="s">
        <v>27</v>
      </c>
      <c r="E2699" t="s">
        <v>94</v>
      </c>
      <c r="F2699" t="s">
        <v>105</v>
      </c>
      <c r="G2699" t="s">
        <v>121</v>
      </c>
      <c r="H2699" t="s">
        <v>103</v>
      </c>
      <c r="J2699">
        <v>0</v>
      </c>
      <c r="K2699">
        <v>1</v>
      </c>
      <c r="L2699">
        <v>67.5</v>
      </c>
      <c r="M2699">
        <v>47.937235809999997</v>
      </c>
      <c r="N2699">
        <v>0.41599678000000001</v>
      </c>
      <c r="O2699">
        <v>98.291666669999998</v>
      </c>
      <c r="P2699">
        <v>30.315130790000001</v>
      </c>
      <c r="Q2699">
        <v>5.0803484000000003E-2</v>
      </c>
      <c r="R2699" t="s">
        <v>1040</v>
      </c>
      <c r="S2699">
        <v>1.6663739999999998</v>
      </c>
    </row>
    <row r="2700" spans="1:19" x14ac:dyDescent="0.25">
      <c r="A2700" t="s">
        <v>57</v>
      </c>
      <c r="B2700" t="s">
        <v>882</v>
      </c>
      <c r="C2700">
        <v>12</v>
      </c>
      <c r="D2700" t="s">
        <v>27</v>
      </c>
      <c r="E2700" t="s">
        <v>94</v>
      </c>
      <c r="F2700" t="s">
        <v>105</v>
      </c>
      <c r="G2700" t="s">
        <v>121</v>
      </c>
      <c r="H2700" t="s">
        <v>233</v>
      </c>
      <c r="J2700">
        <v>0</v>
      </c>
      <c r="K2700">
        <v>6</v>
      </c>
      <c r="L2700">
        <v>67.5</v>
      </c>
      <c r="M2700">
        <v>47.937235809999997</v>
      </c>
      <c r="N2700">
        <v>0.41599678000000001</v>
      </c>
      <c r="O2700">
        <v>106.0540541</v>
      </c>
      <c r="P2700">
        <v>52.690533369999997</v>
      </c>
      <c r="Q2700">
        <v>7.6058968000000005E-2</v>
      </c>
      <c r="R2700" t="s">
        <v>1040</v>
      </c>
      <c r="S2700">
        <v>1.6461458099999997</v>
      </c>
    </row>
    <row r="2701" spans="1:19" x14ac:dyDescent="0.25">
      <c r="A2701" t="s">
        <v>57</v>
      </c>
      <c r="B2701" t="s">
        <v>883</v>
      </c>
      <c r="C2701">
        <v>12</v>
      </c>
      <c r="D2701" t="s">
        <v>27</v>
      </c>
      <c r="E2701" t="s">
        <v>94</v>
      </c>
      <c r="F2701" t="s">
        <v>113</v>
      </c>
      <c r="G2701" t="s">
        <v>121</v>
      </c>
      <c r="H2701" t="s">
        <v>114</v>
      </c>
      <c r="J2701">
        <v>0</v>
      </c>
      <c r="K2701" t="s">
        <v>114</v>
      </c>
      <c r="L2701">
        <v>83.757575759999995</v>
      </c>
      <c r="M2701">
        <v>22.60997987</v>
      </c>
      <c r="N2701">
        <v>0.72884000000000004</v>
      </c>
      <c r="O2701" t="s">
        <v>114</v>
      </c>
      <c r="P2701" t="s">
        <v>114</v>
      </c>
      <c r="Q2701" t="s">
        <v>114</v>
      </c>
      <c r="R2701" t="s">
        <v>1040</v>
      </c>
      <c r="S2701" t="s">
        <v>114</v>
      </c>
    </row>
    <row r="2702" spans="1:19" x14ac:dyDescent="0.25">
      <c r="A2702" t="s">
        <v>57</v>
      </c>
      <c r="B2702" t="s">
        <v>884</v>
      </c>
      <c r="C2702">
        <v>12</v>
      </c>
      <c r="D2702" t="s">
        <v>27</v>
      </c>
      <c r="E2702" t="s">
        <v>94</v>
      </c>
      <c r="F2702" t="s">
        <v>112</v>
      </c>
      <c r="G2702" t="s">
        <v>112</v>
      </c>
      <c r="H2702" t="s">
        <v>112</v>
      </c>
      <c r="J2702">
        <v>0</v>
      </c>
      <c r="K2702">
        <v>2</v>
      </c>
      <c r="L2702">
        <v>65.09375</v>
      </c>
      <c r="M2702">
        <v>37.895352600000002</v>
      </c>
      <c r="N2702">
        <v>2.2882677779999998</v>
      </c>
      <c r="O2702">
        <v>65.09375</v>
      </c>
      <c r="P2702">
        <v>37.895352600000002</v>
      </c>
      <c r="Q2702">
        <v>2.2882677779999998</v>
      </c>
      <c r="R2702" t="s">
        <v>1040</v>
      </c>
      <c r="S2702">
        <v>0</v>
      </c>
    </row>
    <row r="2703" spans="1:19" x14ac:dyDescent="0.25">
      <c r="A2703" t="s">
        <v>57</v>
      </c>
      <c r="B2703" t="s">
        <v>884</v>
      </c>
      <c r="C2703">
        <v>12</v>
      </c>
      <c r="D2703" t="s">
        <v>27</v>
      </c>
      <c r="E2703" t="s">
        <v>94</v>
      </c>
      <c r="F2703" t="s">
        <v>112</v>
      </c>
      <c r="G2703" t="s">
        <v>112</v>
      </c>
      <c r="H2703" t="s">
        <v>247</v>
      </c>
      <c r="J2703">
        <v>0</v>
      </c>
      <c r="K2703">
        <v>1</v>
      </c>
      <c r="L2703">
        <v>65.09375</v>
      </c>
      <c r="M2703">
        <v>37.895352600000002</v>
      </c>
      <c r="N2703">
        <v>2.2882677779999998</v>
      </c>
      <c r="O2703">
        <v>65.791044779999993</v>
      </c>
      <c r="P2703">
        <v>22.94519201</v>
      </c>
      <c r="Q2703">
        <v>8.1320334999999994E-2</v>
      </c>
      <c r="R2703" t="s">
        <v>1040</v>
      </c>
      <c r="S2703">
        <v>2.0383208499999999</v>
      </c>
    </row>
    <row r="2704" spans="1:19" x14ac:dyDescent="0.25">
      <c r="A2704" t="s">
        <v>58</v>
      </c>
      <c r="B2704" t="s">
        <v>885</v>
      </c>
      <c r="C2704">
        <v>12</v>
      </c>
      <c r="D2704" t="s">
        <v>29</v>
      </c>
      <c r="E2704" t="s">
        <v>95</v>
      </c>
      <c r="F2704" t="s">
        <v>102</v>
      </c>
      <c r="G2704" t="s">
        <v>104</v>
      </c>
      <c r="H2704" t="s">
        <v>104</v>
      </c>
      <c r="J2704">
        <v>0</v>
      </c>
      <c r="K2704">
        <v>1</v>
      </c>
      <c r="L2704">
        <v>84.740740740000007</v>
      </c>
      <c r="M2704">
        <v>29.167014049999999</v>
      </c>
      <c r="N2704">
        <v>1.1169849999999999</v>
      </c>
      <c r="O2704">
        <v>113.9375</v>
      </c>
      <c r="P2704">
        <v>33.375507550000002</v>
      </c>
      <c r="Q2704">
        <v>2.4262999999999999</v>
      </c>
      <c r="R2704" t="s">
        <v>1040</v>
      </c>
      <c r="S2704">
        <v>0.75022830000000007</v>
      </c>
    </row>
    <row r="2705" spans="1:19" x14ac:dyDescent="0.25">
      <c r="A2705" t="s">
        <v>58</v>
      </c>
      <c r="B2705" t="s">
        <v>885</v>
      </c>
      <c r="C2705">
        <v>12</v>
      </c>
      <c r="D2705" t="s">
        <v>29</v>
      </c>
      <c r="E2705" t="s">
        <v>95</v>
      </c>
      <c r="F2705" t="s">
        <v>102</v>
      </c>
      <c r="G2705" t="s">
        <v>104</v>
      </c>
      <c r="H2705" t="s">
        <v>246</v>
      </c>
      <c r="J2705">
        <v>0</v>
      </c>
      <c r="K2705">
        <v>1</v>
      </c>
      <c r="L2705">
        <v>84.740740740000007</v>
      </c>
      <c r="M2705">
        <v>29.167014049999999</v>
      </c>
      <c r="N2705">
        <v>1.1169849999999999</v>
      </c>
      <c r="O2705">
        <v>120.25</v>
      </c>
      <c r="P2705">
        <v>30.670450110000001</v>
      </c>
      <c r="Q2705">
        <v>0.91037498500000003</v>
      </c>
      <c r="R2705" t="s">
        <v>1040</v>
      </c>
      <c r="S2705" t="s">
        <v>114</v>
      </c>
    </row>
    <row r="2706" spans="1:19" x14ac:dyDescent="0.25">
      <c r="A2706" t="s">
        <v>58</v>
      </c>
      <c r="B2706" t="s">
        <v>886</v>
      </c>
      <c r="C2706">
        <v>12</v>
      </c>
      <c r="D2706" t="s">
        <v>29</v>
      </c>
      <c r="E2706" t="s">
        <v>95</v>
      </c>
      <c r="F2706" t="s">
        <v>110</v>
      </c>
      <c r="G2706" t="s">
        <v>121</v>
      </c>
      <c r="H2706" t="s">
        <v>246</v>
      </c>
      <c r="I2706" t="s">
        <v>162</v>
      </c>
      <c r="J2706">
        <v>1</v>
      </c>
      <c r="K2706">
        <v>1</v>
      </c>
      <c r="L2706">
        <v>73.260869569999997</v>
      </c>
      <c r="M2706">
        <v>34.453830549999999</v>
      </c>
      <c r="N2706">
        <v>1.058333333</v>
      </c>
      <c r="O2706">
        <v>120.25</v>
      </c>
      <c r="P2706">
        <v>30.670450110000001</v>
      </c>
      <c r="Q2706">
        <v>0.91037498500000003</v>
      </c>
      <c r="R2706" t="s">
        <v>1040</v>
      </c>
      <c r="S2706" t="s">
        <v>114</v>
      </c>
    </row>
    <row r="2707" spans="1:19" x14ac:dyDescent="0.25">
      <c r="A2707" t="s">
        <v>58</v>
      </c>
      <c r="B2707" t="s">
        <v>886</v>
      </c>
      <c r="C2707">
        <v>12</v>
      </c>
      <c r="D2707" t="s">
        <v>29</v>
      </c>
      <c r="E2707" t="s">
        <v>95</v>
      </c>
      <c r="F2707" t="s">
        <v>110</v>
      </c>
      <c r="G2707" t="s">
        <v>121</v>
      </c>
      <c r="H2707" t="s">
        <v>239</v>
      </c>
      <c r="J2707">
        <v>1</v>
      </c>
      <c r="K2707">
        <v>1</v>
      </c>
      <c r="L2707">
        <v>73.260869569999997</v>
      </c>
      <c r="M2707">
        <v>34.453830549999999</v>
      </c>
      <c r="N2707">
        <v>1.058333333</v>
      </c>
      <c r="O2707">
        <v>100.45454549999999</v>
      </c>
      <c r="P2707">
        <v>26.754810689999999</v>
      </c>
      <c r="Q2707">
        <v>0.75829999999999997</v>
      </c>
      <c r="R2707" t="s">
        <v>1040</v>
      </c>
      <c r="S2707">
        <v>0.49989209000000001</v>
      </c>
    </row>
    <row r="2708" spans="1:19" x14ac:dyDescent="0.25">
      <c r="A2708" t="s">
        <v>58</v>
      </c>
      <c r="B2708" t="s">
        <v>887</v>
      </c>
      <c r="C2708">
        <v>12</v>
      </c>
      <c r="D2708" t="s">
        <v>29</v>
      </c>
      <c r="E2708" t="s">
        <v>95</v>
      </c>
      <c r="F2708" t="s">
        <v>103</v>
      </c>
      <c r="G2708" t="s">
        <v>121</v>
      </c>
      <c r="H2708" t="s">
        <v>249</v>
      </c>
      <c r="J2708">
        <v>0</v>
      </c>
      <c r="K2708">
        <v>1</v>
      </c>
      <c r="L2708">
        <v>98.291666669999998</v>
      </c>
      <c r="M2708">
        <v>30.315130790000001</v>
      </c>
      <c r="N2708">
        <v>5.0803484000000003E-2</v>
      </c>
      <c r="O2708">
        <v>81.666666669999998</v>
      </c>
      <c r="P2708">
        <v>48.056268459999998</v>
      </c>
      <c r="Q2708">
        <v>0.120291364</v>
      </c>
      <c r="R2708" t="s">
        <v>1040</v>
      </c>
      <c r="S2708" t="s">
        <v>114</v>
      </c>
    </row>
    <row r="2709" spans="1:19" x14ac:dyDescent="0.25">
      <c r="A2709" t="s">
        <v>58</v>
      </c>
      <c r="B2709" t="s">
        <v>887</v>
      </c>
      <c r="C2709">
        <v>12</v>
      </c>
      <c r="D2709" t="s">
        <v>29</v>
      </c>
      <c r="E2709" t="s">
        <v>95</v>
      </c>
      <c r="F2709" t="s">
        <v>103</v>
      </c>
      <c r="G2709" t="s">
        <v>121</v>
      </c>
      <c r="H2709" t="s">
        <v>238</v>
      </c>
      <c r="J2709">
        <v>0</v>
      </c>
      <c r="K2709">
        <v>1</v>
      </c>
      <c r="L2709">
        <v>98.291666669999998</v>
      </c>
      <c r="M2709">
        <v>30.315130790000001</v>
      </c>
      <c r="N2709">
        <v>5.0803484000000003E-2</v>
      </c>
      <c r="O2709">
        <v>87.5</v>
      </c>
      <c r="P2709">
        <v>29.478311600000001</v>
      </c>
      <c r="Q2709">
        <v>3.0797751000000002E-2</v>
      </c>
      <c r="R2709" t="s">
        <v>1040</v>
      </c>
      <c r="S2709">
        <v>0.29934234999999998</v>
      </c>
    </row>
    <row r="2710" spans="1:19" x14ac:dyDescent="0.25">
      <c r="A2710" t="s">
        <v>59</v>
      </c>
      <c r="B2710" t="s">
        <v>888</v>
      </c>
      <c r="C2710">
        <v>12</v>
      </c>
      <c r="D2710" t="s">
        <v>31</v>
      </c>
      <c r="E2710" t="s">
        <v>94</v>
      </c>
      <c r="F2710" t="s">
        <v>105</v>
      </c>
      <c r="G2710" t="s">
        <v>121</v>
      </c>
      <c r="H2710" t="s">
        <v>241</v>
      </c>
      <c r="J2710">
        <v>0</v>
      </c>
      <c r="K2710">
        <v>1</v>
      </c>
      <c r="L2710">
        <v>67.5</v>
      </c>
      <c r="M2710">
        <v>47.937235809999997</v>
      </c>
      <c r="N2710">
        <v>0.41599678000000001</v>
      </c>
      <c r="O2710">
        <v>114</v>
      </c>
      <c r="P2710">
        <v>30.43077242</v>
      </c>
      <c r="Q2710">
        <v>0.53383111100000002</v>
      </c>
      <c r="R2710" t="s">
        <v>1040</v>
      </c>
      <c r="S2710">
        <v>1.8117013699999998</v>
      </c>
    </row>
    <row r="2711" spans="1:19" x14ac:dyDescent="0.25">
      <c r="A2711" t="s">
        <v>59</v>
      </c>
      <c r="B2711" t="s">
        <v>889</v>
      </c>
      <c r="C2711">
        <v>12</v>
      </c>
      <c r="D2711" t="s">
        <v>31</v>
      </c>
      <c r="E2711" t="s">
        <v>94</v>
      </c>
      <c r="F2711" t="s">
        <v>110</v>
      </c>
      <c r="G2711" t="s">
        <v>121</v>
      </c>
      <c r="H2711" t="s">
        <v>241</v>
      </c>
      <c r="J2711">
        <v>0</v>
      </c>
      <c r="K2711">
        <v>2</v>
      </c>
      <c r="L2711">
        <v>73.260869569999997</v>
      </c>
      <c r="M2711">
        <v>34.453830549999999</v>
      </c>
      <c r="N2711">
        <v>1.058333333</v>
      </c>
      <c r="O2711">
        <v>114</v>
      </c>
      <c r="P2711">
        <v>30.43077242</v>
      </c>
      <c r="Q2711">
        <v>0.53383111100000002</v>
      </c>
      <c r="R2711" t="s">
        <v>1040</v>
      </c>
      <c r="S2711">
        <v>0.62563736999999997</v>
      </c>
    </row>
    <row r="2712" spans="1:19" x14ac:dyDescent="0.25">
      <c r="A2712" t="s">
        <v>60</v>
      </c>
      <c r="B2712" t="s">
        <v>890</v>
      </c>
      <c r="C2712">
        <v>12</v>
      </c>
      <c r="D2712" t="s">
        <v>33</v>
      </c>
      <c r="E2712" t="s">
        <v>95</v>
      </c>
      <c r="F2712" t="s">
        <v>102</v>
      </c>
      <c r="G2712" t="s">
        <v>104</v>
      </c>
      <c r="H2712" t="s">
        <v>104</v>
      </c>
      <c r="J2712">
        <v>0</v>
      </c>
      <c r="K2712">
        <v>1</v>
      </c>
      <c r="L2712">
        <v>84.740740740000007</v>
      </c>
      <c r="M2712">
        <v>29.167014049999999</v>
      </c>
      <c r="N2712">
        <v>1.1169849999999999</v>
      </c>
      <c r="O2712">
        <v>113.9375</v>
      </c>
      <c r="P2712">
        <v>33.375507550000002</v>
      </c>
      <c r="Q2712">
        <v>2.4262999999999999</v>
      </c>
      <c r="R2712" t="s">
        <v>1040</v>
      </c>
      <c r="S2712">
        <v>0.75022830000000007</v>
      </c>
    </row>
    <row r="2713" spans="1:19" x14ac:dyDescent="0.25">
      <c r="A2713" t="s">
        <v>60</v>
      </c>
      <c r="B2713" t="s">
        <v>891</v>
      </c>
      <c r="C2713">
        <v>12</v>
      </c>
      <c r="D2713" t="s">
        <v>33</v>
      </c>
      <c r="E2713" t="s">
        <v>95</v>
      </c>
      <c r="F2713" t="s">
        <v>110</v>
      </c>
      <c r="G2713" t="s">
        <v>121</v>
      </c>
      <c r="H2713" t="s">
        <v>241</v>
      </c>
      <c r="J2713">
        <v>0</v>
      </c>
      <c r="K2713">
        <v>2</v>
      </c>
      <c r="L2713">
        <v>73.260869569999997</v>
      </c>
      <c r="M2713">
        <v>34.453830549999999</v>
      </c>
      <c r="N2713">
        <v>1.058333333</v>
      </c>
      <c r="O2713">
        <v>114</v>
      </c>
      <c r="P2713">
        <v>30.43077242</v>
      </c>
      <c r="Q2713">
        <v>0.53383111100000002</v>
      </c>
      <c r="R2713" t="s">
        <v>1040</v>
      </c>
      <c r="S2713">
        <v>0.62563736999999997</v>
      </c>
    </row>
    <row r="2714" spans="1:19" x14ac:dyDescent="0.25">
      <c r="A2714" t="s">
        <v>60</v>
      </c>
      <c r="B2714" t="s">
        <v>891</v>
      </c>
      <c r="C2714">
        <v>12</v>
      </c>
      <c r="D2714" t="s">
        <v>33</v>
      </c>
      <c r="E2714" t="s">
        <v>95</v>
      </c>
      <c r="F2714" t="s">
        <v>110</v>
      </c>
      <c r="G2714" t="s">
        <v>121</v>
      </c>
      <c r="H2714" t="s">
        <v>246</v>
      </c>
      <c r="J2714">
        <v>0</v>
      </c>
      <c r="K2714">
        <v>2</v>
      </c>
      <c r="L2714">
        <v>73.260869569999997</v>
      </c>
      <c r="M2714">
        <v>34.453830549999999</v>
      </c>
      <c r="N2714">
        <v>1.058333333</v>
      </c>
      <c r="O2714">
        <v>120.25</v>
      </c>
      <c r="P2714">
        <v>30.670450110000001</v>
      </c>
      <c r="Q2714">
        <v>0.91037498500000003</v>
      </c>
      <c r="R2714" t="s">
        <v>1040</v>
      </c>
      <c r="S2714" t="s">
        <v>114</v>
      </c>
    </row>
    <row r="2715" spans="1:19" x14ac:dyDescent="0.25">
      <c r="A2715" t="s">
        <v>60</v>
      </c>
      <c r="B2715" t="s">
        <v>892</v>
      </c>
      <c r="C2715">
        <v>12</v>
      </c>
      <c r="D2715" t="s">
        <v>33</v>
      </c>
      <c r="E2715" t="s">
        <v>95</v>
      </c>
      <c r="F2715" t="s">
        <v>104</v>
      </c>
      <c r="G2715" t="s">
        <v>104</v>
      </c>
      <c r="H2715" t="s">
        <v>104</v>
      </c>
      <c r="J2715">
        <v>0</v>
      </c>
      <c r="K2715">
        <v>1</v>
      </c>
      <c r="L2715">
        <v>113.9375</v>
      </c>
      <c r="M2715">
        <v>33.375507550000002</v>
      </c>
      <c r="N2715">
        <v>2.4262999999999999</v>
      </c>
      <c r="O2715">
        <v>113.9375</v>
      </c>
      <c r="P2715">
        <v>33.375507550000002</v>
      </c>
      <c r="Q2715">
        <v>2.4262999999999999</v>
      </c>
      <c r="R2715" t="s">
        <v>1040</v>
      </c>
      <c r="S2715">
        <v>0</v>
      </c>
    </row>
    <row r="2716" spans="1:19" x14ac:dyDescent="0.25">
      <c r="A2716" t="s">
        <v>60</v>
      </c>
      <c r="B2716" t="s">
        <v>892</v>
      </c>
      <c r="C2716">
        <v>12</v>
      </c>
      <c r="D2716" t="s">
        <v>33</v>
      </c>
      <c r="E2716" t="s">
        <v>95</v>
      </c>
      <c r="F2716" t="s">
        <v>104</v>
      </c>
      <c r="G2716" t="s">
        <v>104</v>
      </c>
      <c r="H2716" t="s">
        <v>246</v>
      </c>
      <c r="J2716">
        <v>0</v>
      </c>
      <c r="K2716">
        <v>2</v>
      </c>
      <c r="L2716">
        <v>113.9375</v>
      </c>
      <c r="M2716">
        <v>33.375507550000002</v>
      </c>
      <c r="N2716">
        <v>2.4262999999999999</v>
      </c>
      <c r="O2716">
        <v>120.25</v>
      </c>
      <c r="P2716">
        <v>30.670450110000001</v>
      </c>
      <c r="Q2716">
        <v>0.91037498500000003</v>
      </c>
      <c r="R2716" t="s">
        <v>1040</v>
      </c>
      <c r="S2716" t="s">
        <v>114</v>
      </c>
    </row>
    <row r="2717" spans="1:19" x14ac:dyDescent="0.25">
      <c r="A2717" t="s">
        <v>60</v>
      </c>
      <c r="B2717" t="s">
        <v>892</v>
      </c>
      <c r="C2717">
        <v>12</v>
      </c>
      <c r="D2717" t="s">
        <v>33</v>
      </c>
      <c r="E2717" t="s">
        <v>95</v>
      </c>
      <c r="F2717" t="s">
        <v>104</v>
      </c>
      <c r="G2717" t="s">
        <v>104</v>
      </c>
      <c r="H2717" t="s">
        <v>797</v>
      </c>
      <c r="J2717">
        <v>0</v>
      </c>
      <c r="K2717">
        <v>1</v>
      </c>
      <c r="L2717">
        <v>113.9375</v>
      </c>
      <c r="M2717">
        <v>33.375507550000002</v>
      </c>
      <c r="N2717">
        <v>2.4262999999999999</v>
      </c>
      <c r="O2717">
        <v>179.45454549999999</v>
      </c>
      <c r="P2717">
        <v>26.326869609999999</v>
      </c>
      <c r="Q2717">
        <v>2.3456094639999998</v>
      </c>
      <c r="R2717" t="s">
        <v>1040</v>
      </c>
      <c r="S2717">
        <v>0.21859044</v>
      </c>
    </row>
    <row r="2718" spans="1:19" x14ac:dyDescent="0.25">
      <c r="A2718" t="s">
        <v>60</v>
      </c>
      <c r="B2718" t="s">
        <v>892</v>
      </c>
      <c r="C2718">
        <v>12</v>
      </c>
      <c r="D2718" t="s">
        <v>33</v>
      </c>
      <c r="E2718" t="s">
        <v>95</v>
      </c>
      <c r="F2718" t="s">
        <v>104</v>
      </c>
      <c r="G2718" t="s">
        <v>104</v>
      </c>
      <c r="H2718" t="s">
        <v>247</v>
      </c>
      <c r="J2718">
        <v>0</v>
      </c>
      <c r="K2718">
        <v>1</v>
      </c>
      <c r="L2718">
        <v>113.9375</v>
      </c>
      <c r="M2718">
        <v>33.375507550000002</v>
      </c>
      <c r="N2718">
        <v>2.4262999999999999</v>
      </c>
      <c r="O2718">
        <v>65.791044779999993</v>
      </c>
      <c r="P2718">
        <v>22.94519201</v>
      </c>
      <c r="Q2718">
        <v>8.1320334999999994E-2</v>
      </c>
      <c r="R2718" t="s">
        <v>1040</v>
      </c>
      <c r="S2718">
        <v>0.23406505</v>
      </c>
    </row>
    <row r="2719" spans="1:19" x14ac:dyDescent="0.25">
      <c r="A2719" t="s">
        <v>60</v>
      </c>
      <c r="B2719" t="s">
        <v>893</v>
      </c>
      <c r="C2719">
        <v>12</v>
      </c>
      <c r="D2719" t="s">
        <v>33</v>
      </c>
      <c r="E2719" t="s">
        <v>95</v>
      </c>
      <c r="F2719" t="s">
        <v>112</v>
      </c>
      <c r="G2719" t="s">
        <v>121</v>
      </c>
      <c r="H2719" t="s">
        <v>114</v>
      </c>
      <c r="J2719">
        <v>0</v>
      </c>
      <c r="K2719">
        <v>0</v>
      </c>
      <c r="L2719">
        <v>65.09375</v>
      </c>
      <c r="M2719">
        <v>37.895352600000002</v>
      </c>
      <c r="N2719">
        <v>2.2882677779999998</v>
      </c>
      <c r="O2719" t="s">
        <v>114</v>
      </c>
      <c r="P2719" t="s">
        <v>114</v>
      </c>
      <c r="Q2719" t="s">
        <v>114</v>
      </c>
      <c r="R2719" t="s">
        <v>1040</v>
      </c>
      <c r="S2719" t="s">
        <v>114</v>
      </c>
    </row>
    <row r="2720" spans="1:19" x14ac:dyDescent="0.25">
      <c r="A2720" t="s">
        <v>61</v>
      </c>
      <c r="B2720" t="s">
        <v>894</v>
      </c>
      <c r="C2720">
        <v>12</v>
      </c>
      <c r="D2720" t="s">
        <v>35</v>
      </c>
      <c r="E2720" t="s">
        <v>94</v>
      </c>
      <c r="F2720" t="s">
        <v>102</v>
      </c>
      <c r="G2720" t="s">
        <v>121</v>
      </c>
      <c r="H2720" t="s">
        <v>162</v>
      </c>
      <c r="J2720">
        <v>1</v>
      </c>
      <c r="K2720">
        <v>1</v>
      </c>
      <c r="L2720">
        <v>84.740740740000007</v>
      </c>
      <c r="M2720">
        <v>29.167014049999999</v>
      </c>
      <c r="N2720">
        <v>1.1169849999999999</v>
      </c>
      <c r="O2720">
        <v>82.53846154</v>
      </c>
      <c r="P2720">
        <v>35.660530039999998</v>
      </c>
      <c r="Q2720">
        <v>3.3754499999999998</v>
      </c>
      <c r="R2720" t="s">
        <v>1040</v>
      </c>
      <c r="S2720" t="s">
        <v>114</v>
      </c>
    </row>
    <row r="2721" spans="1:19" x14ac:dyDescent="0.25">
      <c r="A2721" t="s">
        <v>61</v>
      </c>
      <c r="B2721" t="s">
        <v>895</v>
      </c>
      <c r="C2721">
        <v>12</v>
      </c>
      <c r="D2721" t="s">
        <v>35</v>
      </c>
      <c r="E2721" t="s">
        <v>94</v>
      </c>
      <c r="F2721" t="s">
        <v>110</v>
      </c>
      <c r="G2721" t="s">
        <v>121</v>
      </c>
      <c r="H2721" t="s">
        <v>162</v>
      </c>
      <c r="J2721">
        <v>0</v>
      </c>
      <c r="K2721">
        <v>1</v>
      </c>
      <c r="L2721">
        <v>73.260869569999997</v>
      </c>
      <c r="M2721">
        <v>34.453830549999999</v>
      </c>
      <c r="N2721">
        <v>1.058333333</v>
      </c>
      <c r="O2721">
        <v>82.53846154</v>
      </c>
      <c r="P2721">
        <v>35.660530039999998</v>
      </c>
      <c r="Q2721">
        <v>3.3754499999999998</v>
      </c>
      <c r="R2721" t="s">
        <v>1040</v>
      </c>
      <c r="S2721" t="s">
        <v>114</v>
      </c>
    </row>
    <row r="2722" spans="1:19" x14ac:dyDescent="0.25">
      <c r="A2722" t="s">
        <v>61</v>
      </c>
      <c r="B2722" t="s">
        <v>895</v>
      </c>
      <c r="C2722">
        <v>12</v>
      </c>
      <c r="D2722" t="s">
        <v>35</v>
      </c>
      <c r="E2722" t="s">
        <v>94</v>
      </c>
      <c r="F2722" t="s">
        <v>110</v>
      </c>
      <c r="G2722" t="s">
        <v>121</v>
      </c>
      <c r="H2722" t="s">
        <v>102</v>
      </c>
      <c r="J2722">
        <v>0</v>
      </c>
      <c r="K2722">
        <v>1</v>
      </c>
      <c r="L2722">
        <v>73.260869569999997</v>
      </c>
      <c r="M2722">
        <v>34.453830549999999</v>
      </c>
      <c r="N2722">
        <v>1.058333333</v>
      </c>
      <c r="O2722">
        <v>84.740740740000007</v>
      </c>
      <c r="P2722">
        <v>29.167014049999999</v>
      </c>
      <c r="Q2722">
        <v>1.1169849999999999</v>
      </c>
      <c r="R2722" t="s">
        <v>1040</v>
      </c>
      <c r="S2722">
        <v>-0.24817920000000004</v>
      </c>
    </row>
    <row r="2723" spans="1:19" x14ac:dyDescent="0.25">
      <c r="A2723" t="s">
        <v>61</v>
      </c>
      <c r="B2723" t="s">
        <v>896</v>
      </c>
      <c r="C2723">
        <v>12</v>
      </c>
      <c r="D2723" t="s">
        <v>35</v>
      </c>
      <c r="E2723" t="s">
        <v>94</v>
      </c>
      <c r="F2723" t="s">
        <v>112</v>
      </c>
      <c r="G2723" t="s">
        <v>121</v>
      </c>
      <c r="H2723" t="s">
        <v>162</v>
      </c>
      <c r="J2723">
        <v>0</v>
      </c>
      <c r="K2723">
        <v>1</v>
      </c>
      <c r="L2723">
        <v>65.09375</v>
      </c>
      <c r="M2723">
        <v>37.895352600000002</v>
      </c>
      <c r="N2723">
        <v>2.2882677779999998</v>
      </c>
      <c r="O2723">
        <v>82.53846154</v>
      </c>
      <c r="P2723">
        <v>35.660530039999998</v>
      </c>
      <c r="Q2723">
        <v>3.3754499999999998</v>
      </c>
      <c r="R2723" t="s">
        <v>1040</v>
      </c>
      <c r="S2723" t="s">
        <v>114</v>
      </c>
    </row>
    <row r="2724" spans="1:19" x14ac:dyDescent="0.25">
      <c r="A2724" t="s">
        <v>62</v>
      </c>
      <c r="B2724" t="s">
        <v>897</v>
      </c>
      <c r="C2724">
        <v>12</v>
      </c>
      <c r="D2724" t="s">
        <v>37</v>
      </c>
      <c r="E2724" t="s">
        <v>95</v>
      </c>
      <c r="F2724" t="s">
        <v>102</v>
      </c>
      <c r="G2724" t="s">
        <v>121</v>
      </c>
      <c r="H2724" t="s">
        <v>114</v>
      </c>
      <c r="J2724">
        <v>0</v>
      </c>
      <c r="K2724">
        <v>0</v>
      </c>
      <c r="L2724">
        <v>84.740740740000007</v>
      </c>
      <c r="M2724">
        <v>29.167014049999999</v>
      </c>
      <c r="N2724">
        <v>1.1169849999999999</v>
      </c>
      <c r="O2724" t="s">
        <v>114</v>
      </c>
      <c r="P2724" t="s">
        <v>114</v>
      </c>
      <c r="Q2724" t="s">
        <v>114</v>
      </c>
      <c r="R2724" t="s">
        <v>1040</v>
      </c>
      <c r="S2724" t="s">
        <v>114</v>
      </c>
    </row>
    <row r="2725" spans="1:19" x14ac:dyDescent="0.25">
      <c r="A2725" t="s">
        <v>62</v>
      </c>
      <c r="B2725" t="s">
        <v>898</v>
      </c>
      <c r="C2725">
        <v>12</v>
      </c>
      <c r="D2725" t="s">
        <v>37</v>
      </c>
      <c r="E2725" t="s">
        <v>95</v>
      </c>
      <c r="F2725" t="s">
        <v>103</v>
      </c>
      <c r="G2725" t="s">
        <v>121</v>
      </c>
      <c r="H2725" t="s">
        <v>233</v>
      </c>
      <c r="J2725">
        <v>0</v>
      </c>
      <c r="K2725">
        <v>1</v>
      </c>
      <c r="L2725">
        <v>98.291666669999998</v>
      </c>
      <c r="M2725">
        <v>30.315130790000001</v>
      </c>
      <c r="N2725">
        <v>5.0803484000000003E-2</v>
      </c>
      <c r="O2725">
        <v>106.0540541</v>
      </c>
      <c r="P2725">
        <v>52.690533369999997</v>
      </c>
      <c r="Q2725">
        <v>7.6058968000000005E-2</v>
      </c>
      <c r="R2725" t="s">
        <v>1040</v>
      </c>
      <c r="S2725">
        <v>-2.0228189999999979E-2</v>
      </c>
    </row>
    <row r="2726" spans="1:19" x14ac:dyDescent="0.25">
      <c r="A2726" t="s">
        <v>62</v>
      </c>
      <c r="B2726" t="s">
        <v>898</v>
      </c>
      <c r="C2726">
        <v>12</v>
      </c>
      <c r="D2726" t="s">
        <v>37</v>
      </c>
      <c r="E2726" t="s">
        <v>95</v>
      </c>
      <c r="F2726" t="s">
        <v>103</v>
      </c>
      <c r="G2726" t="s">
        <v>121</v>
      </c>
      <c r="H2726" t="s">
        <v>234</v>
      </c>
      <c r="J2726">
        <v>0</v>
      </c>
      <c r="K2726">
        <v>1</v>
      </c>
      <c r="L2726">
        <v>98.291666669999998</v>
      </c>
      <c r="M2726">
        <v>30.315130790000001</v>
      </c>
      <c r="N2726">
        <v>5.0803484000000003E-2</v>
      </c>
      <c r="O2726">
        <v>89.8125</v>
      </c>
      <c r="P2726">
        <v>34.754706650000003</v>
      </c>
      <c r="Q2726">
        <v>2.3065078999999999E-2</v>
      </c>
      <c r="R2726" t="s">
        <v>1040</v>
      </c>
      <c r="S2726">
        <v>-2.0505059700000001</v>
      </c>
    </row>
    <row r="2727" spans="1:19" x14ac:dyDescent="0.25">
      <c r="A2727" t="s">
        <v>62</v>
      </c>
      <c r="B2727" t="s">
        <v>898</v>
      </c>
      <c r="C2727">
        <v>12</v>
      </c>
      <c r="D2727" t="s">
        <v>37</v>
      </c>
      <c r="E2727" t="s">
        <v>95</v>
      </c>
      <c r="F2727" t="s">
        <v>103</v>
      </c>
      <c r="G2727" t="s">
        <v>121</v>
      </c>
      <c r="H2727" t="s">
        <v>241</v>
      </c>
      <c r="J2727">
        <v>0</v>
      </c>
      <c r="K2727">
        <v>1</v>
      </c>
      <c r="L2727">
        <v>98.291666669999998</v>
      </c>
      <c r="M2727">
        <v>30.315130790000001</v>
      </c>
      <c r="N2727">
        <v>5.0803484000000003E-2</v>
      </c>
      <c r="O2727">
        <v>114</v>
      </c>
      <c r="P2727">
        <v>30.43077242</v>
      </c>
      <c r="Q2727">
        <v>0.53383111100000002</v>
      </c>
      <c r="R2727" t="s">
        <v>1040</v>
      </c>
      <c r="S2727">
        <v>0.14532737000000001</v>
      </c>
    </row>
    <row r="2728" spans="1:19" x14ac:dyDescent="0.25">
      <c r="A2728" t="s">
        <v>63</v>
      </c>
      <c r="B2728" t="s">
        <v>899</v>
      </c>
      <c r="C2728">
        <v>12</v>
      </c>
      <c r="D2728" t="s">
        <v>64</v>
      </c>
      <c r="E2728" t="s">
        <v>94</v>
      </c>
      <c r="F2728" t="s">
        <v>104</v>
      </c>
      <c r="G2728" t="s">
        <v>121</v>
      </c>
      <c r="H2728" t="s">
        <v>238</v>
      </c>
      <c r="J2728">
        <v>0</v>
      </c>
      <c r="K2728">
        <v>2</v>
      </c>
      <c r="L2728">
        <v>113.9375</v>
      </c>
      <c r="M2728">
        <v>33.375507550000002</v>
      </c>
      <c r="N2728">
        <v>2.4262999999999999</v>
      </c>
      <c r="O2728">
        <v>87.5</v>
      </c>
      <c r="P2728">
        <v>29.478311600000001</v>
      </c>
      <c r="Q2728">
        <v>3.0797751000000002E-2</v>
      </c>
      <c r="R2728" t="s">
        <v>1040</v>
      </c>
      <c r="S2728">
        <v>0.27760324999999997</v>
      </c>
    </row>
    <row r="2729" spans="1:19" x14ac:dyDescent="0.25">
      <c r="A2729" t="s">
        <v>63</v>
      </c>
      <c r="B2729" t="s">
        <v>899</v>
      </c>
      <c r="C2729">
        <v>12</v>
      </c>
      <c r="D2729" t="s">
        <v>64</v>
      </c>
      <c r="E2729" t="s">
        <v>94</v>
      </c>
      <c r="F2729" t="s">
        <v>104</v>
      </c>
      <c r="G2729" t="s">
        <v>121</v>
      </c>
      <c r="H2729" t="s">
        <v>103</v>
      </c>
      <c r="J2729">
        <v>0</v>
      </c>
      <c r="K2729">
        <v>1</v>
      </c>
      <c r="L2729">
        <v>113.9375</v>
      </c>
      <c r="M2729">
        <v>33.375507550000002</v>
      </c>
      <c r="N2729">
        <v>2.4262999999999999</v>
      </c>
      <c r="O2729">
        <v>98.291666669999998</v>
      </c>
      <c r="P2729">
        <v>30.315130790000001</v>
      </c>
      <c r="Q2729">
        <v>5.0803484000000003E-2</v>
      </c>
      <c r="R2729" t="s">
        <v>1040</v>
      </c>
      <c r="S2729">
        <v>-2.1739100000000011E-2</v>
      </c>
    </row>
    <row r="2730" spans="1:19" x14ac:dyDescent="0.25">
      <c r="A2730" t="s">
        <v>63</v>
      </c>
      <c r="B2730" t="s">
        <v>899</v>
      </c>
      <c r="C2730">
        <v>12</v>
      </c>
      <c r="D2730" t="s">
        <v>64</v>
      </c>
      <c r="E2730" t="s">
        <v>94</v>
      </c>
      <c r="F2730" t="s">
        <v>104</v>
      </c>
      <c r="G2730" t="s">
        <v>121</v>
      </c>
      <c r="H2730" t="s">
        <v>248</v>
      </c>
      <c r="J2730">
        <v>0</v>
      </c>
      <c r="K2730">
        <v>2</v>
      </c>
      <c r="L2730">
        <v>113.9375</v>
      </c>
      <c r="M2730">
        <v>33.375507550000002</v>
      </c>
      <c r="N2730">
        <v>2.4262999999999999</v>
      </c>
      <c r="O2730">
        <v>83.92307692</v>
      </c>
      <c r="P2730">
        <v>44.319135699999997</v>
      </c>
      <c r="Q2730">
        <v>5.9548609999999997E-3</v>
      </c>
      <c r="R2730" t="s">
        <v>1040</v>
      </c>
      <c r="S2730">
        <v>0.22674232</v>
      </c>
    </row>
    <row r="2731" spans="1:19" x14ac:dyDescent="0.25">
      <c r="A2731" t="s">
        <v>65</v>
      </c>
      <c r="B2731" t="s">
        <v>900</v>
      </c>
      <c r="C2731">
        <v>12</v>
      </c>
      <c r="D2731" t="s">
        <v>66</v>
      </c>
      <c r="E2731" t="s">
        <v>95</v>
      </c>
      <c r="F2731" t="s">
        <v>105</v>
      </c>
      <c r="G2731" t="s">
        <v>121</v>
      </c>
      <c r="H2731" t="s">
        <v>111</v>
      </c>
      <c r="J2731">
        <v>0</v>
      </c>
      <c r="K2731">
        <v>1</v>
      </c>
      <c r="L2731">
        <v>67.5</v>
      </c>
      <c r="M2731">
        <v>47.937235809999997</v>
      </c>
      <c r="N2731">
        <v>0.41599678000000001</v>
      </c>
      <c r="O2731">
        <v>94.97142857</v>
      </c>
      <c r="P2731">
        <v>24.31591813</v>
      </c>
      <c r="Q2731">
        <v>0.122951111</v>
      </c>
      <c r="R2731" t="s">
        <v>1040</v>
      </c>
      <c r="S2731">
        <v>1.7045267999999998</v>
      </c>
    </row>
    <row r="2732" spans="1:19" x14ac:dyDescent="0.25">
      <c r="A2732" t="s">
        <v>65</v>
      </c>
      <c r="B2732" t="s">
        <v>900</v>
      </c>
      <c r="C2732">
        <v>12</v>
      </c>
      <c r="D2732" t="s">
        <v>66</v>
      </c>
      <c r="E2732" t="s">
        <v>95</v>
      </c>
      <c r="F2732" t="s">
        <v>105</v>
      </c>
      <c r="G2732" t="s">
        <v>121</v>
      </c>
      <c r="H2732" t="s">
        <v>808</v>
      </c>
      <c r="J2732">
        <v>0</v>
      </c>
      <c r="K2732">
        <v>1</v>
      </c>
      <c r="L2732">
        <v>67.5</v>
      </c>
      <c r="M2732">
        <v>47.937235809999997</v>
      </c>
      <c r="N2732">
        <v>0.41599678000000001</v>
      </c>
      <c r="O2732">
        <v>102.79166669999999</v>
      </c>
      <c r="P2732">
        <v>27.057373470000002</v>
      </c>
      <c r="Q2732">
        <v>6.3567849939999999</v>
      </c>
      <c r="R2732" t="s">
        <v>1040</v>
      </c>
      <c r="S2732" t="s">
        <v>114</v>
      </c>
    </row>
    <row r="2733" spans="1:19" x14ac:dyDescent="0.25">
      <c r="A2733" t="s">
        <v>65</v>
      </c>
      <c r="B2733" t="s">
        <v>900</v>
      </c>
      <c r="C2733">
        <v>12</v>
      </c>
      <c r="D2733" t="s">
        <v>66</v>
      </c>
      <c r="E2733" t="s">
        <v>95</v>
      </c>
      <c r="F2733" t="s">
        <v>105</v>
      </c>
      <c r="G2733" t="s">
        <v>121</v>
      </c>
      <c r="H2733" t="s">
        <v>247</v>
      </c>
      <c r="J2733">
        <v>0</v>
      </c>
      <c r="K2733">
        <v>1</v>
      </c>
      <c r="L2733">
        <v>67.5</v>
      </c>
      <c r="M2733">
        <v>47.937235809999997</v>
      </c>
      <c r="N2733">
        <v>0.41599678000000001</v>
      </c>
      <c r="O2733">
        <v>65.791044779999993</v>
      </c>
      <c r="P2733">
        <v>22.94519201</v>
      </c>
      <c r="Q2733">
        <v>8.1320334999999994E-2</v>
      </c>
      <c r="R2733" t="s">
        <v>1040</v>
      </c>
      <c r="S2733">
        <v>1.9221781499999997</v>
      </c>
    </row>
    <row r="2734" spans="1:19" x14ac:dyDescent="0.25">
      <c r="A2734" t="s">
        <v>65</v>
      </c>
      <c r="B2734" t="s">
        <v>900</v>
      </c>
      <c r="C2734">
        <v>12</v>
      </c>
      <c r="D2734" t="s">
        <v>66</v>
      </c>
      <c r="E2734" t="s">
        <v>95</v>
      </c>
      <c r="F2734" t="s">
        <v>105</v>
      </c>
      <c r="G2734" t="s">
        <v>121</v>
      </c>
      <c r="H2734" t="s">
        <v>248</v>
      </c>
      <c r="J2734">
        <v>0</v>
      </c>
      <c r="K2734">
        <v>2</v>
      </c>
      <c r="L2734">
        <v>67.5</v>
      </c>
      <c r="M2734">
        <v>47.937235809999997</v>
      </c>
      <c r="N2734">
        <v>0.41599678000000001</v>
      </c>
      <c r="O2734">
        <v>83.92307692</v>
      </c>
      <c r="P2734">
        <v>44.319135699999997</v>
      </c>
      <c r="Q2734">
        <v>5.9548609999999997E-3</v>
      </c>
      <c r="R2734" t="s">
        <v>1040</v>
      </c>
      <c r="S2734">
        <v>1.9148554199999999</v>
      </c>
    </row>
    <row r="2735" spans="1:19" x14ac:dyDescent="0.25">
      <c r="A2735" t="s">
        <v>10</v>
      </c>
      <c r="B2735" t="s">
        <v>901</v>
      </c>
      <c r="C2735">
        <v>15</v>
      </c>
      <c r="D2735" t="s">
        <v>11</v>
      </c>
      <c r="E2735" t="s">
        <v>94</v>
      </c>
      <c r="F2735" t="s">
        <v>102</v>
      </c>
      <c r="G2735" t="s">
        <v>102</v>
      </c>
      <c r="H2735" t="s">
        <v>102</v>
      </c>
      <c r="J2735">
        <v>0</v>
      </c>
      <c r="K2735">
        <v>1</v>
      </c>
      <c r="L2735">
        <v>84.740740740000007</v>
      </c>
      <c r="M2735">
        <v>29.167014049999999</v>
      </c>
      <c r="N2735">
        <v>1.1169849999999999</v>
      </c>
      <c r="O2735">
        <v>84.740740740000007</v>
      </c>
      <c r="P2735">
        <v>29.167014049999999</v>
      </c>
      <c r="Q2735">
        <v>1.1169849999999999</v>
      </c>
      <c r="R2735" t="s">
        <v>1040</v>
      </c>
      <c r="S2735">
        <v>0</v>
      </c>
    </row>
    <row r="2736" spans="1:19" x14ac:dyDescent="0.25">
      <c r="A2736" t="s">
        <v>10</v>
      </c>
      <c r="B2736" t="s">
        <v>901</v>
      </c>
      <c r="C2736">
        <v>16</v>
      </c>
      <c r="D2736" t="s">
        <v>11</v>
      </c>
      <c r="E2736" t="s">
        <v>94</v>
      </c>
      <c r="F2736" t="s">
        <v>102</v>
      </c>
      <c r="G2736" t="s">
        <v>102</v>
      </c>
      <c r="H2736" t="s">
        <v>111</v>
      </c>
      <c r="J2736">
        <v>0</v>
      </c>
      <c r="K2736">
        <v>1</v>
      </c>
      <c r="L2736">
        <v>84.740740740000007</v>
      </c>
      <c r="M2736">
        <v>29.167014049999999</v>
      </c>
      <c r="N2736">
        <v>1.1169849999999999</v>
      </c>
      <c r="O2736">
        <v>94.97142857</v>
      </c>
      <c r="P2736">
        <v>24.31591813</v>
      </c>
      <c r="Q2736">
        <v>0.122951111</v>
      </c>
      <c r="R2736" t="s">
        <v>1040</v>
      </c>
      <c r="S2736">
        <v>0.76664200000000005</v>
      </c>
    </row>
    <row r="2737" spans="1:19" x14ac:dyDescent="0.25">
      <c r="A2737" t="s">
        <v>10</v>
      </c>
      <c r="B2737" t="s">
        <v>902</v>
      </c>
      <c r="C2737">
        <v>15</v>
      </c>
      <c r="D2737" t="s">
        <v>11</v>
      </c>
      <c r="E2737" t="s">
        <v>94</v>
      </c>
      <c r="F2737" t="s">
        <v>105</v>
      </c>
      <c r="G2737" t="s">
        <v>121</v>
      </c>
      <c r="H2737" t="s">
        <v>244</v>
      </c>
      <c r="J2737">
        <v>0</v>
      </c>
      <c r="K2737">
        <v>2</v>
      </c>
      <c r="L2737">
        <v>67.5</v>
      </c>
      <c r="M2737">
        <v>47.937235809999997</v>
      </c>
      <c r="N2737">
        <v>0.41599678000000001</v>
      </c>
      <c r="O2737">
        <v>75</v>
      </c>
      <c r="P2737">
        <v>28.80614499</v>
      </c>
      <c r="Q2737">
        <v>2.3860428570000001</v>
      </c>
      <c r="R2737" t="s">
        <v>1040</v>
      </c>
      <c r="S2737">
        <v>1.8310263799999997</v>
      </c>
    </row>
    <row r="2738" spans="1:19" x14ac:dyDescent="0.25">
      <c r="A2738" t="s">
        <v>10</v>
      </c>
      <c r="B2738" t="s">
        <v>902</v>
      </c>
      <c r="C2738">
        <v>16</v>
      </c>
      <c r="D2738" t="s">
        <v>11</v>
      </c>
      <c r="E2738" t="s">
        <v>94</v>
      </c>
      <c r="F2738" t="s">
        <v>105</v>
      </c>
      <c r="G2738" t="s">
        <v>121</v>
      </c>
      <c r="H2738" t="s">
        <v>104</v>
      </c>
      <c r="J2738">
        <v>0</v>
      </c>
      <c r="K2738">
        <v>1</v>
      </c>
      <c r="L2738">
        <v>67.5</v>
      </c>
      <c r="M2738">
        <v>47.937235809999997</v>
      </c>
      <c r="N2738">
        <v>0.41599678000000001</v>
      </c>
      <c r="O2738">
        <v>113.9375</v>
      </c>
      <c r="P2738">
        <v>33.375507550000002</v>
      </c>
      <c r="Q2738">
        <v>2.4262999999999999</v>
      </c>
      <c r="R2738" t="s">
        <v>1040</v>
      </c>
      <c r="S2738">
        <v>1.6881130999999998</v>
      </c>
    </row>
    <row r="2739" spans="1:19" x14ac:dyDescent="0.25">
      <c r="A2739" t="s">
        <v>10</v>
      </c>
      <c r="B2739" t="s">
        <v>903</v>
      </c>
      <c r="C2739">
        <v>15</v>
      </c>
      <c r="D2739" t="s">
        <v>11</v>
      </c>
      <c r="E2739" t="s">
        <v>94</v>
      </c>
      <c r="F2739" t="s">
        <v>103</v>
      </c>
      <c r="G2739" t="s">
        <v>121</v>
      </c>
      <c r="H2739" t="s">
        <v>245</v>
      </c>
      <c r="J2739">
        <v>0</v>
      </c>
      <c r="K2739">
        <v>1</v>
      </c>
      <c r="L2739">
        <v>98.291666669999998</v>
      </c>
      <c r="M2739">
        <v>30.315130790000001</v>
      </c>
      <c r="N2739">
        <v>5.0803484000000003E-2</v>
      </c>
      <c r="O2739" t="s">
        <v>114</v>
      </c>
      <c r="P2739" t="s">
        <v>114</v>
      </c>
      <c r="Q2739" t="s">
        <v>114</v>
      </c>
      <c r="R2739" t="s">
        <v>1040</v>
      </c>
      <c r="S2739" t="s">
        <v>114</v>
      </c>
    </row>
    <row r="2740" spans="1:19" x14ac:dyDescent="0.25">
      <c r="A2740" t="s">
        <v>10</v>
      </c>
      <c r="B2740" t="s">
        <v>904</v>
      </c>
      <c r="C2740">
        <v>15</v>
      </c>
      <c r="D2740" t="s">
        <v>11</v>
      </c>
      <c r="E2740" t="s">
        <v>94</v>
      </c>
      <c r="F2740" t="s">
        <v>104</v>
      </c>
      <c r="G2740" t="s">
        <v>121</v>
      </c>
      <c r="H2740" t="s">
        <v>242</v>
      </c>
      <c r="J2740">
        <v>0</v>
      </c>
      <c r="K2740">
        <v>6</v>
      </c>
      <c r="L2740">
        <v>113.9375</v>
      </c>
      <c r="M2740">
        <v>33.375507550000002</v>
      </c>
      <c r="N2740">
        <v>2.4262999999999999</v>
      </c>
      <c r="O2740">
        <v>139.375</v>
      </c>
      <c r="P2740">
        <v>23.713465920000001</v>
      </c>
      <c r="Q2740" t="s">
        <v>114</v>
      </c>
      <c r="R2740" t="s">
        <v>1040</v>
      </c>
      <c r="S2740" t="s">
        <v>114</v>
      </c>
    </row>
    <row r="2741" spans="1:19" x14ac:dyDescent="0.25">
      <c r="A2741" t="s">
        <v>14</v>
      </c>
      <c r="B2741" t="s">
        <v>905</v>
      </c>
      <c r="C2741">
        <v>15</v>
      </c>
      <c r="D2741" t="s">
        <v>15</v>
      </c>
      <c r="E2741" t="s">
        <v>94</v>
      </c>
      <c r="F2741" t="s">
        <v>102</v>
      </c>
      <c r="G2741" t="s">
        <v>121</v>
      </c>
      <c r="H2741" t="s">
        <v>114</v>
      </c>
      <c r="J2741">
        <v>0</v>
      </c>
      <c r="K2741" t="s">
        <v>114</v>
      </c>
      <c r="L2741">
        <v>84.740740740000007</v>
      </c>
      <c r="M2741">
        <v>29.167014049999999</v>
      </c>
      <c r="N2741">
        <v>1.1169849999999999</v>
      </c>
      <c r="O2741" t="s">
        <v>114</v>
      </c>
      <c r="P2741" t="s">
        <v>114</v>
      </c>
      <c r="Q2741" t="s">
        <v>114</v>
      </c>
      <c r="R2741" t="s">
        <v>1040</v>
      </c>
      <c r="S2741" t="s">
        <v>114</v>
      </c>
    </row>
    <row r="2742" spans="1:19" x14ac:dyDescent="0.25">
      <c r="A2742" t="s">
        <v>14</v>
      </c>
      <c r="B2742" t="s">
        <v>906</v>
      </c>
      <c r="C2742">
        <v>15</v>
      </c>
      <c r="D2742" t="s">
        <v>15</v>
      </c>
      <c r="E2742" t="s">
        <v>94</v>
      </c>
      <c r="F2742" t="s">
        <v>110</v>
      </c>
      <c r="G2742" t="s">
        <v>121</v>
      </c>
      <c r="H2742" t="s">
        <v>114</v>
      </c>
      <c r="J2742">
        <v>0</v>
      </c>
      <c r="K2742" t="s">
        <v>114</v>
      </c>
      <c r="L2742">
        <v>73.260869569999997</v>
      </c>
      <c r="M2742">
        <v>34.453830549999999</v>
      </c>
      <c r="N2742">
        <v>1.058333333</v>
      </c>
      <c r="O2742" t="s">
        <v>114</v>
      </c>
      <c r="P2742" t="s">
        <v>114</v>
      </c>
      <c r="Q2742" t="s">
        <v>114</v>
      </c>
      <c r="R2742" t="s">
        <v>1040</v>
      </c>
      <c r="S2742" t="s">
        <v>114</v>
      </c>
    </row>
    <row r="2743" spans="1:19" x14ac:dyDescent="0.25">
      <c r="A2743" t="s">
        <v>14</v>
      </c>
      <c r="B2743" t="s">
        <v>907</v>
      </c>
      <c r="C2743">
        <v>15</v>
      </c>
      <c r="D2743" t="s">
        <v>15</v>
      </c>
      <c r="E2743" t="s">
        <v>94</v>
      </c>
      <c r="F2743" t="s">
        <v>111</v>
      </c>
      <c r="G2743" t="s">
        <v>110</v>
      </c>
      <c r="H2743" t="s">
        <v>110</v>
      </c>
      <c r="J2743">
        <v>0</v>
      </c>
      <c r="K2743">
        <v>1</v>
      </c>
      <c r="L2743">
        <v>94.97142857</v>
      </c>
      <c r="M2743">
        <v>24.31591813</v>
      </c>
      <c r="N2743">
        <v>0.122951111</v>
      </c>
      <c r="O2743">
        <v>73.260869569999997</v>
      </c>
      <c r="P2743">
        <v>34.453830549999999</v>
      </c>
      <c r="Q2743">
        <v>1.058333333</v>
      </c>
      <c r="R2743" t="s">
        <v>1040</v>
      </c>
      <c r="S2743">
        <v>-0.5184628</v>
      </c>
    </row>
    <row r="2744" spans="1:19" x14ac:dyDescent="0.25">
      <c r="A2744" t="s">
        <v>14</v>
      </c>
      <c r="B2744" t="s">
        <v>908</v>
      </c>
      <c r="C2744">
        <v>15</v>
      </c>
      <c r="D2744" t="s">
        <v>15</v>
      </c>
      <c r="E2744" t="s">
        <v>94</v>
      </c>
      <c r="F2744" t="s">
        <v>104</v>
      </c>
      <c r="G2744" t="s">
        <v>110</v>
      </c>
      <c r="H2744" t="s">
        <v>110</v>
      </c>
      <c r="J2744">
        <v>0</v>
      </c>
      <c r="K2744">
        <v>1</v>
      </c>
      <c r="L2744">
        <v>113.9375</v>
      </c>
      <c r="M2744">
        <v>33.375507550000002</v>
      </c>
      <c r="N2744">
        <v>2.4262999999999999</v>
      </c>
      <c r="O2744">
        <v>73.260869569999997</v>
      </c>
      <c r="P2744">
        <v>34.453830549999999</v>
      </c>
      <c r="Q2744">
        <v>1.058333333</v>
      </c>
      <c r="R2744" t="s">
        <v>1040</v>
      </c>
      <c r="S2744">
        <v>-0.50204910000000003</v>
      </c>
    </row>
    <row r="2745" spans="1:19" x14ac:dyDescent="0.25">
      <c r="A2745" t="s">
        <v>14</v>
      </c>
      <c r="B2745" t="s">
        <v>908</v>
      </c>
      <c r="C2745">
        <v>16</v>
      </c>
      <c r="D2745" t="s">
        <v>15</v>
      </c>
      <c r="E2745" t="s">
        <v>94</v>
      </c>
      <c r="F2745" t="s">
        <v>104</v>
      </c>
      <c r="G2745" t="s">
        <v>110</v>
      </c>
      <c r="H2745" t="s">
        <v>104</v>
      </c>
      <c r="J2745">
        <v>0</v>
      </c>
      <c r="K2745">
        <v>2</v>
      </c>
      <c r="L2745">
        <v>113.9375</v>
      </c>
      <c r="M2745">
        <v>33.375507550000002</v>
      </c>
      <c r="N2745">
        <v>2.4262999999999999</v>
      </c>
      <c r="O2745">
        <v>113.9375</v>
      </c>
      <c r="P2745">
        <v>33.375507550000002</v>
      </c>
      <c r="Q2745">
        <v>2.4262999999999999</v>
      </c>
      <c r="R2745" t="s">
        <v>1040</v>
      </c>
      <c r="S2745">
        <v>0</v>
      </c>
    </row>
    <row r="2746" spans="1:19" x14ac:dyDescent="0.25">
      <c r="A2746" t="s">
        <v>16</v>
      </c>
      <c r="B2746" t="s">
        <v>909</v>
      </c>
      <c r="C2746">
        <v>15</v>
      </c>
      <c r="D2746" t="s">
        <v>17</v>
      </c>
      <c r="E2746" t="s">
        <v>95</v>
      </c>
      <c r="F2746" t="s">
        <v>113</v>
      </c>
      <c r="G2746" t="s">
        <v>104</v>
      </c>
      <c r="H2746" t="s">
        <v>104</v>
      </c>
      <c r="J2746">
        <v>0</v>
      </c>
      <c r="K2746">
        <v>1</v>
      </c>
      <c r="L2746">
        <v>83.757575759999995</v>
      </c>
      <c r="M2746">
        <v>22.60997987</v>
      </c>
      <c r="N2746">
        <v>0.72884000000000004</v>
      </c>
      <c r="O2746">
        <v>113.9375</v>
      </c>
      <c r="P2746">
        <v>33.375507550000002</v>
      </c>
      <c r="Q2746">
        <v>2.4262999999999999</v>
      </c>
      <c r="R2746" t="s">
        <v>1040</v>
      </c>
      <c r="S2746">
        <v>-0.1939082</v>
      </c>
    </row>
    <row r="2747" spans="1:19" x14ac:dyDescent="0.25">
      <c r="A2747" t="s">
        <v>16</v>
      </c>
      <c r="B2747" t="s">
        <v>909</v>
      </c>
      <c r="C2747">
        <v>16</v>
      </c>
      <c r="D2747" t="s">
        <v>17</v>
      </c>
      <c r="E2747" t="s">
        <v>95</v>
      </c>
      <c r="F2747" t="s">
        <v>113</v>
      </c>
      <c r="G2747" t="s">
        <v>104</v>
      </c>
      <c r="H2747" t="s">
        <v>113</v>
      </c>
      <c r="J2747">
        <v>0</v>
      </c>
      <c r="K2747">
        <v>3</v>
      </c>
      <c r="L2747">
        <v>83.757575759999995</v>
      </c>
      <c r="M2747">
        <v>22.60997987</v>
      </c>
      <c r="N2747">
        <v>0.72884000000000004</v>
      </c>
      <c r="O2747">
        <v>83.757575759999995</v>
      </c>
      <c r="P2747">
        <v>22.60997987</v>
      </c>
      <c r="Q2747">
        <v>0.72884000000000004</v>
      </c>
      <c r="R2747" t="s">
        <v>1040</v>
      </c>
      <c r="S2747">
        <v>0</v>
      </c>
    </row>
    <row r="2748" spans="1:19" x14ac:dyDescent="0.25">
      <c r="A2748" t="s">
        <v>16</v>
      </c>
      <c r="B2748" t="s">
        <v>910</v>
      </c>
      <c r="C2748">
        <v>15</v>
      </c>
      <c r="D2748" t="s">
        <v>17</v>
      </c>
      <c r="E2748" t="s">
        <v>95</v>
      </c>
      <c r="F2748" t="s">
        <v>110</v>
      </c>
      <c r="G2748" t="s">
        <v>121</v>
      </c>
      <c r="H2748" t="s">
        <v>104</v>
      </c>
      <c r="J2748">
        <v>0</v>
      </c>
      <c r="K2748">
        <v>1</v>
      </c>
      <c r="L2748">
        <v>73.260869569999997</v>
      </c>
      <c r="M2748">
        <v>34.453830549999999</v>
      </c>
      <c r="N2748">
        <v>1.058333333</v>
      </c>
      <c r="O2748">
        <v>113.9375</v>
      </c>
      <c r="P2748">
        <v>33.375507550000002</v>
      </c>
      <c r="Q2748">
        <v>2.4262999999999999</v>
      </c>
      <c r="R2748" t="s">
        <v>1040</v>
      </c>
      <c r="S2748">
        <v>0.50204910000000003</v>
      </c>
    </row>
    <row r="2749" spans="1:19" x14ac:dyDescent="0.25">
      <c r="A2749" t="s">
        <v>16</v>
      </c>
      <c r="B2749" t="s">
        <v>910</v>
      </c>
      <c r="C2749">
        <v>16</v>
      </c>
      <c r="D2749" t="s">
        <v>17</v>
      </c>
      <c r="E2749" t="s">
        <v>95</v>
      </c>
      <c r="F2749" t="s">
        <v>110</v>
      </c>
      <c r="G2749" t="s">
        <v>121</v>
      </c>
      <c r="H2749" t="s">
        <v>241</v>
      </c>
      <c r="J2749">
        <v>0</v>
      </c>
      <c r="K2749">
        <v>1</v>
      </c>
      <c r="L2749">
        <v>73.260869569999997</v>
      </c>
      <c r="M2749">
        <v>34.453830549999999</v>
      </c>
      <c r="N2749">
        <v>1.058333333</v>
      </c>
      <c r="O2749">
        <v>114</v>
      </c>
      <c r="P2749">
        <v>30.43077242</v>
      </c>
      <c r="Q2749">
        <v>0.53383111100000002</v>
      </c>
      <c r="R2749" t="s">
        <v>1040</v>
      </c>
      <c r="S2749">
        <v>0.62563736999999997</v>
      </c>
    </row>
    <row r="2750" spans="1:19" x14ac:dyDescent="0.25">
      <c r="A2750" t="s">
        <v>16</v>
      </c>
      <c r="B2750" t="s">
        <v>911</v>
      </c>
      <c r="C2750">
        <v>15</v>
      </c>
      <c r="D2750" t="s">
        <v>17</v>
      </c>
      <c r="E2750" t="s">
        <v>95</v>
      </c>
      <c r="F2750" t="s">
        <v>111</v>
      </c>
      <c r="G2750" t="s">
        <v>113</v>
      </c>
      <c r="H2750" t="s">
        <v>113</v>
      </c>
      <c r="J2750">
        <v>0</v>
      </c>
      <c r="K2750">
        <v>2</v>
      </c>
      <c r="L2750">
        <v>94.97142857</v>
      </c>
      <c r="M2750">
        <v>24.31591813</v>
      </c>
      <c r="N2750">
        <v>0.122951111</v>
      </c>
      <c r="O2750">
        <v>83.757575759999995</v>
      </c>
      <c r="P2750">
        <v>22.60997987</v>
      </c>
      <c r="Q2750">
        <v>0.72884000000000004</v>
      </c>
      <c r="R2750" t="s">
        <v>1040</v>
      </c>
      <c r="S2750">
        <v>0.17749450000000003</v>
      </c>
    </row>
    <row r="2751" spans="1:19" x14ac:dyDescent="0.25">
      <c r="A2751" t="s">
        <v>16</v>
      </c>
      <c r="B2751" t="s">
        <v>911</v>
      </c>
      <c r="C2751">
        <v>16</v>
      </c>
      <c r="D2751" t="s">
        <v>17</v>
      </c>
      <c r="E2751" t="s">
        <v>95</v>
      </c>
      <c r="F2751" t="s">
        <v>111</v>
      </c>
      <c r="G2751" t="s">
        <v>113</v>
      </c>
      <c r="H2751" t="s">
        <v>247</v>
      </c>
      <c r="J2751">
        <v>0</v>
      </c>
      <c r="K2751">
        <v>3</v>
      </c>
      <c r="L2751">
        <v>94.97142857</v>
      </c>
      <c r="M2751">
        <v>24.31591813</v>
      </c>
      <c r="N2751">
        <v>0.122951111</v>
      </c>
      <c r="O2751">
        <v>65.791044779999993</v>
      </c>
      <c r="P2751">
        <v>22.94519201</v>
      </c>
      <c r="Q2751">
        <v>8.1320334999999994E-2</v>
      </c>
      <c r="R2751" t="s">
        <v>1040</v>
      </c>
      <c r="S2751">
        <v>0.21765135000000002</v>
      </c>
    </row>
    <row r="2752" spans="1:19" x14ac:dyDescent="0.25">
      <c r="A2752" t="s">
        <v>16</v>
      </c>
      <c r="B2752" t="s">
        <v>912</v>
      </c>
      <c r="C2752">
        <v>15</v>
      </c>
      <c r="D2752" t="s">
        <v>17</v>
      </c>
      <c r="E2752" t="s">
        <v>95</v>
      </c>
      <c r="F2752" t="s">
        <v>104</v>
      </c>
      <c r="G2752" t="s">
        <v>121</v>
      </c>
      <c r="H2752" t="s">
        <v>247</v>
      </c>
      <c r="J2752">
        <v>0</v>
      </c>
      <c r="K2752">
        <v>1</v>
      </c>
      <c r="L2752">
        <v>113.9375</v>
      </c>
      <c r="M2752">
        <v>33.375507550000002</v>
      </c>
      <c r="N2752">
        <v>2.4262999999999999</v>
      </c>
      <c r="O2752">
        <v>65.791044779999993</v>
      </c>
      <c r="P2752">
        <v>22.94519201</v>
      </c>
      <c r="Q2752">
        <v>8.1320334999999994E-2</v>
      </c>
      <c r="R2752" t="s">
        <v>1040</v>
      </c>
      <c r="S2752">
        <v>0.23406505</v>
      </c>
    </row>
    <row r="2753" spans="1:19" x14ac:dyDescent="0.25">
      <c r="A2753" t="s">
        <v>16</v>
      </c>
      <c r="B2753" t="s">
        <v>912</v>
      </c>
      <c r="C2753">
        <v>16</v>
      </c>
      <c r="D2753" t="s">
        <v>17</v>
      </c>
      <c r="E2753" t="s">
        <v>95</v>
      </c>
      <c r="F2753" t="s">
        <v>104</v>
      </c>
      <c r="G2753" t="s">
        <v>121</v>
      </c>
      <c r="H2753" t="s">
        <v>111</v>
      </c>
      <c r="J2753">
        <v>0</v>
      </c>
      <c r="K2753">
        <v>1</v>
      </c>
      <c r="L2753">
        <v>113.9375</v>
      </c>
      <c r="M2753">
        <v>33.375507550000002</v>
      </c>
      <c r="N2753">
        <v>2.4262999999999999</v>
      </c>
      <c r="O2753">
        <v>94.97142857</v>
      </c>
      <c r="P2753">
        <v>24.31591813</v>
      </c>
      <c r="Q2753">
        <v>0.122951111</v>
      </c>
      <c r="R2753" t="s">
        <v>1040</v>
      </c>
      <c r="S2753">
        <v>1.6413699999999976E-2</v>
      </c>
    </row>
    <row r="2754" spans="1:19" x14ac:dyDescent="0.25">
      <c r="A2754" t="s">
        <v>18</v>
      </c>
      <c r="B2754" t="s">
        <v>913</v>
      </c>
      <c r="C2754">
        <v>15</v>
      </c>
      <c r="D2754" t="s">
        <v>19</v>
      </c>
      <c r="E2754" t="s">
        <v>95</v>
      </c>
      <c r="F2754" t="s">
        <v>113</v>
      </c>
      <c r="G2754" t="s">
        <v>121</v>
      </c>
      <c r="H2754" t="s">
        <v>113</v>
      </c>
      <c r="J2754">
        <v>0</v>
      </c>
      <c r="K2754">
        <v>3</v>
      </c>
      <c r="L2754">
        <v>83.757575759999995</v>
      </c>
      <c r="M2754">
        <v>22.60997987</v>
      </c>
      <c r="N2754">
        <v>0.72884000000000004</v>
      </c>
      <c r="O2754">
        <v>83.757575759999995</v>
      </c>
      <c r="P2754">
        <v>22.60997987</v>
      </c>
      <c r="Q2754">
        <v>0.72884000000000004</v>
      </c>
      <c r="R2754" t="s">
        <v>1040</v>
      </c>
      <c r="S2754">
        <v>0</v>
      </c>
    </row>
    <row r="2755" spans="1:19" x14ac:dyDescent="0.25">
      <c r="A2755" t="s">
        <v>18</v>
      </c>
      <c r="B2755" t="s">
        <v>913</v>
      </c>
      <c r="C2755">
        <v>16</v>
      </c>
      <c r="D2755" t="s">
        <v>19</v>
      </c>
      <c r="E2755" t="s">
        <v>95</v>
      </c>
      <c r="F2755" t="s">
        <v>113</v>
      </c>
      <c r="G2755" t="s">
        <v>121</v>
      </c>
      <c r="H2755" t="s">
        <v>808</v>
      </c>
      <c r="J2755">
        <v>0</v>
      </c>
      <c r="K2755">
        <v>1</v>
      </c>
      <c r="L2755">
        <v>83.757575759999995</v>
      </c>
      <c r="M2755">
        <v>22.60997987</v>
      </c>
      <c r="N2755">
        <v>0.72884000000000004</v>
      </c>
      <c r="O2755">
        <v>102.79166669999999</v>
      </c>
      <c r="P2755">
        <v>27.057373470000002</v>
      </c>
      <c r="Q2755">
        <v>6.3567849939999999</v>
      </c>
      <c r="R2755" t="s">
        <v>1040</v>
      </c>
      <c r="S2755" t="s">
        <v>114</v>
      </c>
    </row>
    <row r="2756" spans="1:19" x14ac:dyDescent="0.25">
      <c r="A2756" t="s">
        <v>18</v>
      </c>
      <c r="B2756" t="s">
        <v>913</v>
      </c>
      <c r="C2756">
        <v>17</v>
      </c>
      <c r="D2756" t="s">
        <v>19</v>
      </c>
      <c r="E2756" t="s">
        <v>95</v>
      </c>
      <c r="F2756" t="s">
        <v>113</v>
      </c>
      <c r="G2756" t="s">
        <v>121</v>
      </c>
      <c r="H2756" t="s">
        <v>242</v>
      </c>
      <c r="J2756">
        <v>0</v>
      </c>
      <c r="K2756">
        <v>15</v>
      </c>
      <c r="L2756">
        <v>83.757575759999995</v>
      </c>
      <c r="M2756">
        <v>22.60997987</v>
      </c>
      <c r="N2756">
        <v>0.72884000000000004</v>
      </c>
      <c r="O2756">
        <v>139.375</v>
      </c>
      <c r="P2756">
        <v>23.713465920000001</v>
      </c>
      <c r="Q2756" t="s">
        <v>114</v>
      </c>
      <c r="R2756" t="s">
        <v>1040</v>
      </c>
      <c r="S2756" t="s">
        <v>114</v>
      </c>
    </row>
    <row r="2757" spans="1:19" x14ac:dyDescent="0.25">
      <c r="A2757" t="s">
        <v>18</v>
      </c>
      <c r="B2757" t="s">
        <v>914</v>
      </c>
      <c r="C2757">
        <v>15</v>
      </c>
      <c r="D2757" t="s">
        <v>19</v>
      </c>
      <c r="E2757" t="s">
        <v>95</v>
      </c>
      <c r="F2757" t="s">
        <v>111</v>
      </c>
      <c r="G2757" t="s">
        <v>121</v>
      </c>
      <c r="H2757" t="s">
        <v>113</v>
      </c>
      <c r="J2757">
        <v>0</v>
      </c>
      <c r="K2757">
        <v>2</v>
      </c>
      <c r="L2757">
        <v>94.97142857</v>
      </c>
      <c r="M2757">
        <v>24.31591813</v>
      </c>
      <c r="N2757">
        <v>0.122951111</v>
      </c>
      <c r="O2757">
        <v>83.757575759999995</v>
      </c>
      <c r="P2757">
        <v>22.60997987</v>
      </c>
      <c r="Q2757">
        <v>0.72884000000000004</v>
      </c>
      <c r="R2757" t="s">
        <v>1040</v>
      </c>
      <c r="S2757">
        <v>0.17749450000000003</v>
      </c>
    </row>
    <row r="2758" spans="1:19" x14ac:dyDescent="0.25">
      <c r="A2758" t="s">
        <v>18</v>
      </c>
      <c r="B2758" t="s">
        <v>914</v>
      </c>
      <c r="C2758">
        <v>16</v>
      </c>
      <c r="D2758" t="s">
        <v>19</v>
      </c>
      <c r="E2758" t="s">
        <v>95</v>
      </c>
      <c r="F2758" t="s">
        <v>111</v>
      </c>
      <c r="G2758" t="s">
        <v>121</v>
      </c>
      <c r="H2758" t="s">
        <v>242</v>
      </c>
      <c r="J2758">
        <v>0</v>
      </c>
      <c r="K2758">
        <v>2</v>
      </c>
      <c r="L2758">
        <v>94.97142857</v>
      </c>
      <c r="M2758">
        <v>24.31591813</v>
      </c>
      <c r="N2758">
        <v>0.122951111</v>
      </c>
      <c r="O2758">
        <v>139.375</v>
      </c>
      <c r="P2758">
        <v>23.713465920000001</v>
      </c>
      <c r="Q2758" t="s">
        <v>114</v>
      </c>
      <c r="R2758" t="s">
        <v>1040</v>
      </c>
      <c r="S2758" t="s">
        <v>114</v>
      </c>
    </row>
    <row r="2759" spans="1:19" x14ac:dyDescent="0.25">
      <c r="A2759" t="s">
        <v>18</v>
      </c>
      <c r="B2759" t="s">
        <v>915</v>
      </c>
      <c r="C2759">
        <v>15</v>
      </c>
      <c r="D2759" t="s">
        <v>19</v>
      </c>
      <c r="E2759" t="s">
        <v>95</v>
      </c>
      <c r="F2759" t="s">
        <v>104</v>
      </c>
      <c r="G2759" t="s">
        <v>121</v>
      </c>
      <c r="H2759" t="s">
        <v>247</v>
      </c>
      <c r="J2759">
        <v>0</v>
      </c>
      <c r="K2759">
        <v>1</v>
      </c>
      <c r="L2759">
        <v>113.9375</v>
      </c>
      <c r="M2759">
        <v>33.375507550000002</v>
      </c>
      <c r="N2759">
        <v>2.4262999999999999</v>
      </c>
      <c r="O2759">
        <v>65.791044779999993</v>
      </c>
      <c r="P2759">
        <v>22.94519201</v>
      </c>
      <c r="Q2759">
        <v>8.1320334999999994E-2</v>
      </c>
      <c r="R2759" t="s">
        <v>1040</v>
      </c>
      <c r="S2759">
        <v>0.23406505</v>
      </c>
    </row>
    <row r="2760" spans="1:19" x14ac:dyDescent="0.25">
      <c r="A2760" t="s">
        <v>18</v>
      </c>
      <c r="B2760" t="s">
        <v>915</v>
      </c>
      <c r="C2760">
        <v>16</v>
      </c>
      <c r="D2760" t="s">
        <v>19</v>
      </c>
      <c r="E2760" t="s">
        <v>95</v>
      </c>
      <c r="F2760" t="s">
        <v>104</v>
      </c>
      <c r="G2760" t="s">
        <v>121</v>
      </c>
      <c r="H2760" t="s">
        <v>113</v>
      </c>
      <c r="J2760">
        <v>0</v>
      </c>
      <c r="K2760">
        <v>3</v>
      </c>
      <c r="L2760">
        <v>113.9375</v>
      </c>
      <c r="M2760">
        <v>33.375507550000002</v>
      </c>
      <c r="N2760">
        <v>2.4262999999999999</v>
      </c>
      <c r="O2760">
        <v>83.757575759999995</v>
      </c>
      <c r="P2760">
        <v>22.60997987</v>
      </c>
      <c r="Q2760">
        <v>0.72884000000000004</v>
      </c>
      <c r="R2760" t="s">
        <v>1040</v>
      </c>
      <c r="S2760">
        <v>0.1939082</v>
      </c>
    </row>
    <row r="2761" spans="1:19" x14ac:dyDescent="0.25">
      <c r="A2761" t="s">
        <v>18</v>
      </c>
      <c r="B2761" t="s">
        <v>916</v>
      </c>
      <c r="C2761">
        <v>15</v>
      </c>
      <c r="D2761" t="s">
        <v>19</v>
      </c>
      <c r="E2761" t="s">
        <v>95</v>
      </c>
      <c r="F2761" t="s">
        <v>112</v>
      </c>
      <c r="G2761" t="s">
        <v>113</v>
      </c>
      <c r="H2761" t="s">
        <v>113</v>
      </c>
      <c r="J2761">
        <v>0</v>
      </c>
      <c r="K2761">
        <v>1</v>
      </c>
      <c r="L2761">
        <v>65.09375</v>
      </c>
      <c r="M2761">
        <v>37.895352600000002</v>
      </c>
      <c r="N2761">
        <v>2.2882677779999998</v>
      </c>
      <c r="O2761">
        <v>83.757575759999995</v>
      </c>
      <c r="P2761">
        <v>22.60997987</v>
      </c>
      <c r="Q2761">
        <v>0.72884000000000004</v>
      </c>
      <c r="R2761" t="s">
        <v>1040</v>
      </c>
      <c r="S2761">
        <v>1.9981640000000001</v>
      </c>
    </row>
    <row r="2762" spans="1:19" x14ac:dyDescent="0.25">
      <c r="A2762" t="s">
        <v>20</v>
      </c>
      <c r="B2762" t="s">
        <v>917</v>
      </c>
      <c r="C2762">
        <v>15</v>
      </c>
      <c r="D2762" t="s">
        <v>21</v>
      </c>
      <c r="E2762" t="s">
        <v>94</v>
      </c>
      <c r="F2762" t="s">
        <v>102</v>
      </c>
      <c r="G2762" t="s">
        <v>121</v>
      </c>
      <c r="H2762" t="s">
        <v>246</v>
      </c>
      <c r="J2762">
        <v>0</v>
      </c>
      <c r="K2762">
        <v>1</v>
      </c>
      <c r="L2762">
        <v>84.740740740000007</v>
      </c>
      <c r="M2762">
        <v>29.167014049999999</v>
      </c>
      <c r="N2762">
        <v>1.1169849999999999</v>
      </c>
      <c r="O2762">
        <v>120.25</v>
      </c>
      <c r="P2762">
        <v>30.670450110000001</v>
      </c>
      <c r="Q2762">
        <v>0.91037498500000003</v>
      </c>
      <c r="R2762" t="s">
        <v>1040</v>
      </c>
      <c r="S2762" t="s">
        <v>114</v>
      </c>
    </row>
    <row r="2763" spans="1:19" x14ac:dyDescent="0.25">
      <c r="A2763" t="s">
        <v>20</v>
      </c>
      <c r="B2763" t="s">
        <v>918</v>
      </c>
      <c r="C2763">
        <v>15</v>
      </c>
      <c r="D2763" t="s">
        <v>21</v>
      </c>
      <c r="E2763" t="s">
        <v>94</v>
      </c>
      <c r="F2763" t="s">
        <v>113</v>
      </c>
      <c r="G2763" t="s">
        <v>113</v>
      </c>
      <c r="H2763" t="s">
        <v>113</v>
      </c>
      <c r="J2763">
        <v>0</v>
      </c>
      <c r="K2763">
        <v>1</v>
      </c>
      <c r="L2763">
        <v>83.757575759999995</v>
      </c>
      <c r="M2763">
        <v>22.60997987</v>
      </c>
      <c r="N2763">
        <v>0.72884000000000004</v>
      </c>
      <c r="O2763">
        <v>83.757575759999995</v>
      </c>
      <c r="P2763">
        <v>22.60997987</v>
      </c>
      <c r="Q2763">
        <v>0.72884000000000004</v>
      </c>
      <c r="R2763" t="s">
        <v>1040</v>
      </c>
      <c r="S2763">
        <v>0</v>
      </c>
    </row>
    <row r="2764" spans="1:19" x14ac:dyDescent="0.25">
      <c r="A2764" t="s">
        <v>20</v>
      </c>
      <c r="B2764" t="s">
        <v>919</v>
      </c>
      <c r="C2764">
        <v>15</v>
      </c>
      <c r="D2764" t="s">
        <v>21</v>
      </c>
      <c r="E2764" t="s">
        <v>94</v>
      </c>
      <c r="F2764" t="s">
        <v>110</v>
      </c>
      <c r="G2764" t="s">
        <v>121</v>
      </c>
      <c r="H2764" t="s">
        <v>113</v>
      </c>
      <c r="J2764">
        <v>0</v>
      </c>
      <c r="K2764">
        <v>2</v>
      </c>
      <c r="L2764">
        <v>73.260869569999997</v>
      </c>
      <c r="M2764">
        <v>34.453830549999999</v>
      </c>
      <c r="N2764">
        <v>1.058333333</v>
      </c>
      <c r="O2764">
        <v>83.757575759999995</v>
      </c>
      <c r="P2764">
        <v>22.60997987</v>
      </c>
      <c r="Q2764">
        <v>0.72884000000000004</v>
      </c>
      <c r="R2764" t="s">
        <v>1040</v>
      </c>
      <c r="S2764">
        <v>0.6959573</v>
      </c>
    </row>
    <row r="2765" spans="1:19" x14ac:dyDescent="0.25">
      <c r="A2765" t="s">
        <v>20</v>
      </c>
      <c r="B2765" t="s">
        <v>919</v>
      </c>
      <c r="C2765">
        <v>16</v>
      </c>
      <c r="D2765" t="s">
        <v>21</v>
      </c>
      <c r="E2765" t="s">
        <v>94</v>
      </c>
      <c r="F2765" t="s">
        <v>110</v>
      </c>
      <c r="G2765" t="s">
        <v>121</v>
      </c>
      <c r="H2765" t="s">
        <v>102</v>
      </c>
      <c r="J2765">
        <v>0</v>
      </c>
      <c r="K2765">
        <v>1</v>
      </c>
      <c r="L2765">
        <v>73.260869569999997</v>
      </c>
      <c r="M2765">
        <v>34.453830549999999</v>
      </c>
      <c r="N2765">
        <v>1.058333333</v>
      </c>
      <c r="O2765">
        <v>84.740740740000007</v>
      </c>
      <c r="P2765">
        <v>29.167014049999999</v>
      </c>
      <c r="Q2765">
        <v>1.1169849999999999</v>
      </c>
      <c r="R2765" t="s">
        <v>1040</v>
      </c>
      <c r="S2765">
        <v>-0.24817920000000004</v>
      </c>
    </row>
    <row r="2766" spans="1:19" x14ac:dyDescent="0.25">
      <c r="A2766" t="s">
        <v>20</v>
      </c>
      <c r="B2766" t="s">
        <v>920</v>
      </c>
      <c r="C2766">
        <v>15</v>
      </c>
      <c r="D2766" t="s">
        <v>21</v>
      </c>
      <c r="E2766" t="s">
        <v>94</v>
      </c>
      <c r="F2766" t="s">
        <v>111</v>
      </c>
      <c r="G2766" t="s">
        <v>121</v>
      </c>
      <c r="H2766" t="s">
        <v>110</v>
      </c>
      <c r="J2766">
        <v>0</v>
      </c>
      <c r="K2766">
        <v>1</v>
      </c>
      <c r="L2766">
        <v>94.97142857</v>
      </c>
      <c r="M2766">
        <v>24.31591813</v>
      </c>
      <c r="N2766">
        <v>0.122951111</v>
      </c>
      <c r="O2766">
        <v>73.260869569999997</v>
      </c>
      <c r="P2766">
        <v>34.453830549999999</v>
      </c>
      <c r="Q2766">
        <v>1.058333333</v>
      </c>
      <c r="R2766" t="s">
        <v>1040</v>
      </c>
      <c r="S2766">
        <v>-0.5184628</v>
      </c>
    </row>
    <row r="2767" spans="1:19" x14ac:dyDescent="0.25">
      <c r="A2767" t="s">
        <v>22</v>
      </c>
      <c r="B2767" t="s">
        <v>921</v>
      </c>
      <c r="C2767">
        <v>15</v>
      </c>
      <c r="D2767" t="s">
        <v>23</v>
      </c>
      <c r="E2767" t="s">
        <v>95</v>
      </c>
      <c r="F2767" t="s">
        <v>102</v>
      </c>
      <c r="G2767" t="s">
        <v>121</v>
      </c>
      <c r="H2767" t="s">
        <v>236</v>
      </c>
      <c r="J2767">
        <v>0</v>
      </c>
      <c r="K2767">
        <v>1</v>
      </c>
      <c r="L2767">
        <v>84.740740740000007</v>
      </c>
      <c r="M2767">
        <v>29.167014049999999</v>
      </c>
      <c r="N2767">
        <v>1.1169849999999999</v>
      </c>
      <c r="O2767">
        <v>113.33333330000001</v>
      </c>
      <c r="P2767">
        <v>26.41632581</v>
      </c>
      <c r="Q2767">
        <v>1.6844570160000001</v>
      </c>
      <c r="R2767" t="s">
        <v>1040</v>
      </c>
      <c r="S2767">
        <v>1.0678641900000001</v>
      </c>
    </row>
    <row r="2768" spans="1:19" x14ac:dyDescent="0.25">
      <c r="A2768" t="s">
        <v>22</v>
      </c>
      <c r="B2768" t="s">
        <v>922</v>
      </c>
      <c r="C2768">
        <v>15</v>
      </c>
      <c r="D2768" t="s">
        <v>23</v>
      </c>
      <c r="E2768" t="s">
        <v>95</v>
      </c>
      <c r="F2768" t="s">
        <v>105</v>
      </c>
      <c r="G2768" t="s">
        <v>121</v>
      </c>
      <c r="H2768" t="s">
        <v>113</v>
      </c>
      <c r="J2768">
        <v>0</v>
      </c>
      <c r="K2768">
        <v>4</v>
      </c>
      <c r="L2768">
        <v>67.5</v>
      </c>
      <c r="M2768">
        <v>47.937235809999997</v>
      </c>
      <c r="N2768">
        <v>0.41599678000000001</v>
      </c>
      <c r="O2768">
        <v>83.757575759999995</v>
      </c>
      <c r="P2768">
        <v>22.60997987</v>
      </c>
      <c r="Q2768">
        <v>0.72884000000000004</v>
      </c>
      <c r="R2768" t="s">
        <v>1040</v>
      </c>
      <c r="S2768">
        <v>1.8820212999999999</v>
      </c>
    </row>
    <row r="2769" spans="1:19" x14ac:dyDescent="0.25">
      <c r="A2769" t="s">
        <v>22</v>
      </c>
      <c r="B2769" t="s">
        <v>922</v>
      </c>
      <c r="C2769">
        <v>16</v>
      </c>
      <c r="D2769" t="s">
        <v>23</v>
      </c>
      <c r="E2769" t="s">
        <v>95</v>
      </c>
      <c r="F2769" t="s">
        <v>105</v>
      </c>
      <c r="G2769" t="s">
        <v>121</v>
      </c>
      <c r="H2769" t="s">
        <v>103</v>
      </c>
      <c r="J2769">
        <v>0</v>
      </c>
      <c r="K2769">
        <v>1</v>
      </c>
      <c r="L2769">
        <v>67.5</v>
      </c>
      <c r="M2769">
        <v>47.937235809999997</v>
      </c>
      <c r="N2769">
        <v>0.41599678000000001</v>
      </c>
      <c r="O2769">
        <v>98.291666669999998</v>
      </c>
      <c r="P2769">
        <v>30.315130790000001</v>
      </c>
      <c r="Q2769">
        <v>5.0803484000000003E-2</v>
      </c>
      <c r="R2769" t="s">
        <v>1040</v>
      </c>
      <c r="S2769">
        <v>1.6663739999999998</v>
      </c>
    </row>
    <row r="2770" spans="1:19" x14ac:dyDescent="0.25">
      <c r="A2770" t="s">
        <v>22</v>
      </c>
      <c r="B2770" t="s">
        <v>922</v>
      </c>
      <c r="C2770">
        <v>17</v>
      </c>
      <c r="D2770" t="s">
        <v>23</v>
      </c>
      <c r="E2770" t="s">
        <v>95</v>
      </c>
      <c r="F2770" t="s">
        <v>105</v>
      </c>
      <c r="G2770" t="s">
        <v>121</v>
      </c>
      <c r="H2770" t="s">
        <v>234</v>
      </c>
      <c r="J2770">
        <v>0</v>
      </c>
      <c r="K2770">
        <v>1</v>
      </c>
      <c r="L2770">
        <v>67.5</v>
      </c>
      <c r="M2770">
        <v>47.937235809999997</v>
      </c>
      <c r="N2770">
        <v>0.41599678000000001</v>
      </c>
      <c r="O2770">
        <v>89.8125</v>
      </c>
      <c r="P2770">
        <v>34.754706650000003</v>
      </c>
      <c r="Q2770">
        <v>2.3065078999999999E-2</v>
      </c>
      <c r="R2770" t="s">
        <v>1040</v>
      </c>
      <c r="S2770">
        <v>-0.38413197000000032</v>
      </c>
    </row>
    <row r="2771" spans="1:19" x14ac:dyDescent="0.25">
      <c r="A2771" t="s">
        <v>22</v>
      </c>
      <c r="B2771" t="s">
        <v>923</v>
      </c>
      <c r="C2771">
        <v>15</v>
      </c>
      <c r="D2771" t="s">
        <v>23</v>
      </c>
      <c r="E2771" t="s">
        <v>95</v>
      </c>
      <c r="F2771" t="s">
        <v>103</v>
      </c>
      <c r="G2771" t="s">
        <v>103</v>
      </c>
      <c r="H2771" t="s">
        <v>103</v>
      </c>
      <c r="J2771">
        <v>0</v>
      </c>
      <c r="K2771">
        <v>6</v>
      </c>
      <c r="L2771">
        <v>98.291666669999998</v>
      </c>
      <c r="M2771">
        <v>30.315130790000001</v>
      </c>
      <c r="N2771">
        <v>5.0803484000000003E-2</v>
      </c>
      <c r="O2771">
        <v>98.291666669999998</v>
      </c>
      <c r="P2771">
        <v>30.315130790000001</v>
      </c>
      <c r="Q2771">
        <v>5.0803484000000003E-2</v>
      </c>
      <c r="R2771" t="s">
        <v>1040</v>
      </c>
      <c r="S2771">
        <v>0</v>
      </c>
    </row>
    <row r="2772" spans="1:19" x14ac:dyDescent="0.25">
      <c r="A2772" t="s">
        <v>22</v>
      </c>
      <c r="B2772" t="s">
        <v>923</v>
      </c>
      <c r="C2772">
        <v>16</v>
      </c>
      <c r="D2772" t="s">
        <v>23</v>
      </c>
      <c r="E2772" t="s">
        <v>95</v>
      </c>
      <c r="F2772" t="s">
        <v>103</v>
      </c>
      <c r="G2772" t="s">
        <v>103</v>
      </c>
      <c r="H2772" t="s">
        <v>248</v>
      </c>
      <c r="J2772">
        <v>0</v>
      </c>
      <c r="K2772">
        <v>4</v>
      </c>
      <c r="L2772">
        <v>98.291666669999998</v>
      </c>
      <c r="M2772">
        <v>30.315130790000001</v>
      </c>
      <c r="N2772">
        <v>5.0803484000000003E-2</v>
      </c>
      <c r="O2772">
        <v>83.92307692</v>
      </c>
      <c r="P2772">
        <v>44.319135699999997</v>
      </c>
      <c r="Q2772">
        <v>5.9548609999999997E-3</v>
      </c>
      <c r="R2772" t="s">
        <v>1040</v>
      </c>
      <c r="S2772">
        <v>0.24848142000000001</v>
      </c>
    </row>
    <row r="2773" spans="1:19" x14ac:dyDescent="0.25">
      <c r="A2773" t="s">
        <v>22</v>
      </c>
      <c r="B2773" t="s">
        <v>924</v>
      </c>
      <c r="C2773">
        <v>15</v>
      </c>
      <c r="D2773" t="s">
        <v>23</v>
      </c>
      <c r="E2773" t="s">
        <v>95</v>
      </c>
      <c r="F2773" t="s">
        <v>111</v>
      </c>
      <c r="G2773" t="s">
        <v>121</v>
      </c>
      <c r="H2773" t="s">
        <v>112</v>
      </c>
      <c r="J2773">
        <v>1</v>
      </c>
      <c r="K2773">
        <v>1</v>
      </c>
      <c r="L2773">
        <v>94.97142857</v>
      </c>
      <c r="M2773">
        <v>24.31591813</v>
      </c>
      <c r="N2773">
        <v>0.122951111</v>
      </c>
      <c r="O2773">
        <v>65.09375</v>
      </c>
      <c r="P2773">
        <v>37.895352600000002</v>
      </c>
      <c r="Q2773">
        <v>2.2882677779999998</v>
      </c>
      <c r="R2773" t="s">
        <v>1040</v>
      </c>
      <c r="S2773">
        <v>-1.8206694999999999</v>
      </c>
    </row>
    <row r="2774" spans="1:19" x14ac:dyDescent="0.25">
      <c r="A2774" t="s">
        <v>22</v>
      </c>
      <c r="B2774" t="s">
        <v>924</v>
      </c>
      <c r="C2774">
        <v>16</v>
      </c>
      <c r="D2774" t="s">
        <v>23</v>
      </c>
      <c r="E2774" t="s">
        <v>95</v>
      </c>
      <c r="F2774" t="s">
        <v>111</v>
      </c>
      <c r="G2774" t="s">
        <v>121</v>
      </c>
      <c r="H2774" t="s">
        <v>239</v>
      </c>
      <c r="J2774">
        <v>1</v>
      </c>
      <c r="K2774">
        <v>1</v>
      </c>
      <c r="L2774">
        <v>94.97142857</v>
      </c>
      <c r="M2774">
        <v>24.31591813</v>
      </c>
      <c r="N2774">
        <v>0.122951111</v>
      </c>
      <c r="O2774">
        <v>100.45454549999999</v>
      </c>
      <c r="P2774">
        <v>26.754810689999999</v>
      </c>
      <c r="Q2774">
        <v>0.75829999999999997</v>
      </c>
      <c r="R2774" t="s">
        <v>1040</v>
      </c>
      <c r="S2774">
        <v>-1.857070999999999E-2</v>
      </c>
    </row>
    <row r="2775" spans="1:19" x14ac:dyDescent="0.25">
      <c r="A2775" t="s">
        <v>22</v>
      </c>
      <c r="B2775" t="s">
        <v>924</v>
      </c>
      <c r="C2775">
        <v>17</v>
      </c>
      <c r="D2775" t="s">
        <v>23</v>
      </c>
      <c r="E2775" t="s">
        <v>95</v>
      </c>
      <c r="F2775" t="s">
        <v>111</v>
      </c>
      <c r="G2775" t="s">
        <v>121</v>
      </c>
      <c r="H2775" t="s">
        <v>248</v>
      </c>
      <c r="J2775">
        <v>1</v>
      </c>
      <c r="K2775">
        <v>5</v>
      </c>
      <c r="L2775">
        <v>94.97142857</v>
      </c>
      <c r="M2775">
        <v>24.31591813</v>
      </c>
      <c r="N2775">
        <v>0.122951111</v>
      </c>
      <c r="O2775">
        <v>83.92307692</v>
      </c>
      <c r="P2775">
        <v>44.319135699999997</v>
      </c>
      <c r="Q2775">
        <v>5.9548609999999997E-3</v>
      </c>
      <c r="R2775" t="s">
        <v>1040</v>
      </c>
      <c r="S2775">
        <v>0.21032862000000002</v>
      </c>
    </row>
    <row r="2776" spans="1:19" x14ac:dyDescent="0.25">
      <c r="A2776" t="s">
        <v>22</v>
      </c>
      <c r="B2776" t="s">
        <v>925</v>
      </c>
      <c r="C2776">
        <v>15</v>
      </c>
      <c r="D2776" t="s">
        <v>23</v>
      </c>
      <c r="E2776" t="s">
        <v>95</v>
      </c>
      <c r="F2776" t="s">
        <v>112</v>
      </c>
      <c r="G2776" t="s">
        <v>103</v>
      </c>
      <c r="H2776" t="s">
        <v>103</v>
      </c>
      <c r="J2776">
        <v>0</v>
      </c>
      <c r="K2776">
        <v>3</v>
      </c>
      <c r="L2776">
        <v>65.09375</v>
      </c>
      <c r="M2776">
        <v>37.895352600000002</v>
      </c>
      <c r="N2776">
        <v>2.2882677779999998</v>
      </c>
      <c r="O2776">
        <v>98.291666669999998</v>
      </c>
      <c r="P2776">
        <v>30.315130790000001</v>
      </c>
      <c r="Q2776">
        <v>5.0803484000000003E-2</v>
      </c>
      <c r="R2776" t="s">
        <v>1040</v>
      </c>
      <c r="S2776">
        <v>1.7825167</v>
      </c>
    </row>
    <row r="2777" spans="1:19" x14ac:dyDescent="0.25">
      <c r="A2777" t="s">
        <v>22</v>
      </c>
      <c r="B2777" t="s">
        <v>925</v>
      </c>
      <c r="C2777">
        <v>16</v>
      </c>
      <c r="D2777" t="s">
        <v>23</v>
      </c>
      <c r="E2777" t="s">
        <v>95</v>
      </c>
      <c r="F2777" t="s">
        <v>112</v>
      </c>
      <c r="G2777" t="s">
        <v>103</v>
      </c>
      <c r="H2777" t="s">
        <v>113</v>
      </c>
      <c r="J2777">
        <v>0</v>
      </c>
      <c r="K2777">
        <v>2</v>
      </c>
      <c r="L2777">
        <v>65.09375</v>
      </c>
      <c r="M2777">
        <v>37.895352600000002</v>
      </c>
      <c r="N2777">
        <v>2.2882677779999998</v>
      </c>
      <c r="O2777">
        <v>83.757575759999995</v>
      </c>
      <c r="P2777">
        <v>22.60997987</v>
      </c>
      <c r="Q2777">
        <v>0.72884000000000004</v>
      </c>
      <c r="R2777" t="s">
        <v>1040</v>
      </c>
      <c r="S2777">
        <v>1.9981640000000001</v>
      </c>
    </row>
    <row r="2778" spans="1:19" x14ac:dyDescent="0.25">
      <c r="A2778" t="s">
        <v>22</v>
      </c>
      <c r="B2778" t="s">
        <v>925</v>
      </c>
      <c r="C2778">
        <v>17</v>
      </c>
      <c r="D2778" t="s">
        <v>23</v>
      </c>
      <c r="E2778" t="s">
        <v>95</v>
      </c>
      <c r="F2778" t="s">
        <v>112</v>
      </c>
      <c r="G2778" t="s">
        <v>103</v>
      </c>
      <c r="H2778" t="s">
        <v>247</v>
      </c>
      <c r="J2778">
        <v>0</v>
      </c>
      <c r="K2778">
        <v>1</v>
      </c>
      <c r="L2778">
        <v>65.09375</v>
      </c>
      <c r="M2778">
        <v>37.895352600000002</v>
      </c>
      <c r="N2778">
        <v>2.2882677779999998</v>
      </c>
      <c r="O2778">
        <v>65.791044779999993</v>
      </c>
      <c r="P2778">
        <v>22.94519201</v>
      </c>
      <c r="Q2778">
        <v>8.1320334999999994E-2</v>
      </c>
      <c r="R2778" t="s">
        <v>1040</v>
      </c>
      <c r="S2778">
        <v>2.0383208499999999</v>
      </c>
    </row>
    <row r="2779" spans="1:19" x14ac:dyDescent="0.25">
      <c r="A2779" t="s">
        <v>22</v>
      </c>
      <c r="B2779" t="s">
        <v>925</v>
      </c>
      <c r="C2779">
        <v>18</v>
      </c>
      <c r="D2779" t="s">
        <v>23</v>
      </c>
      <c r="E2779" t="s">
        <v>95</v>
      </c>
      <c r="F2779" t="s">
        <v>112</v>
      </c>
      <c r="G2779" t="s">
        <v>103</v>
      </c>
      <c r="H2779" t="s">
        <v>248</v>
      </c>
      <c r="J2779">
        <v>0</v>
      </c>
      <c r="K2779">
        <v>3</v>
      </c>
      <c r="L2779">
        <v>65.09375</v>
      </c>
      <c r="M2779">
        <v>37.895352600000002</v>
      </c>
      <c r="N2779">
        <v>2.2882677779999998</v>
      </c>
      <c r="O2779">
        <v>83.92307692</v>
      </c>
      <c r="P2779">
        <v>44.319135699999997</v>
      </c>
      <c r="Q2779">
        <v>5.9548609999999997E-3</v>
      </c>
      <c r="R2779" t="s">
        <v>1040</v>
      </c>
      <c r="S2779">
        <v>2.03099812</v>
      </c>
    </row>
    <row r="2780" spans="1:19" x14ac:dyDescent="0.25">
      <c r="A2780" t="s">
        <v>24</v>
      </c>
      <c r="B2780" t="s">
        <v>926</v>
      </c>
      <c r="C2780">
        <v>15</v>
      </c>
      <c r="D2780" t="s">
        <v>25</v>
      </c>
      <c r="E2780" t="s">
        <v>95</v>
      </c>
      <c r="F2780" t="s">
        <v>105</v>
      </c>
      <c r="G2780" t="s">
        <v>121</v>
      </c>
      <c r="H2780" t="s">
        <v>111</v>
      </c>
      <c r="J2780">
        <v>0</v>
      </c>
      <c r="K2780">
        <v>1</v>
      </c>
      <c r="L2780">
        <v>67.5</v>
      </c>
      <c r="M2780">
        <v>47.937235809999997</v>
      </c>
      <c r="N2780">
        <v>0.41599678000000001</v>
      </c>
      <c r="O2780">
        <v>94.97142857</v>
      </c>
      <c r="P2780">
        <v>24.31591813</v>
      </c>
      <c r="Q2780">
        <v>0.122951111</v>
      </c>
      <c r="R2780" t="s">
        <v>1040</v>
      </c>
      <c r="S2780">
        <v>1.7045267999999998</v>
      </c>
    </row>
    <row r="2781" spans="1:19" x14ac:dyDescent="0.25">
      <c r="A2781" t="s">
        <v>24</v>
      </c>
      <c r="B2781" t="s">
        <v>926</v>
      </c>
      <c r="C2781">
        <v>16</v>
      </c>
      <c r="D2781" t="s">
        <v>25</v>
      </c>
      <c r="E2781" t="s">
        <v>95</v>
      </c>
      <c r="F2781" t="s">
        <v>105</v>
      </c>
      <c r="G2781" t="s">
        <v>121</v>
      </c>
      <c r="H2781" t="s">
        <v>104</v>
      </c>
      <c r="J2781">
        <v>0</v>
      </c>
      <c r="K2781">
        <v>1</v>
      </c>
      <c r="L2781">
        <v>67.5</v>
      </c>
      <c r="M2781">
        <v>47.937235809999997</v>
      </c>
      <c r="N2781">
        <v>0.41599678000000001</v>
      </c>
      <c r="O2781">
        <v>113.9375</v>
      </c>
      <c r="P2781">
        <v>33.375507550000002</v>
      </c>
      <c r="Q2781">
        <v>2.4262999999999999</v>
      </c>
      <c r="R2781" t="s">
        <v>1040</v>
      </c>
      <c r="S2781">
        <v>1.6881130999999998</v>
      </c>
    </row>
    <row r="2782" spans="1:19" x14ac:dyDescent="0.25">
      <c r="A2782" t="s">
        <v>24</v>
      </c>
      <c r="B2782" t="s">
        <v>927</v>
      </c>
      <c r="C2782">
        <v>15</v>
      </c>
      <c r="D2782" t="s">
        <v>25</v>
      </c>
      <c r="E2782" t="s">
        <v>95</v>
      </c>
      <c r="F2782" t="s">
        <v>112</v>
      </c>
      <c r="G2782" t="s">
        <v>112</v>
      </c>
      <c r="H2782" t="s">
        <v>112</v>
      </c>
      <c r="J2782">
        <v>0</v>
      </c>
      <c r="K2782">
        <v>1</v>
      </c>
      <c r="L2782">
        <v>65.09375</v>
      </c>
      <c r="M2782">
        <v>37.895352600000002</v>
      </c>
      <c r="N2782">
        <v>2.2882677779999998</v>
      </c>
      <c r="O2782">
        <v>65.09375</v>
      </c>
      <c r="P2782">
        <v>37.895352600000002</v>
      </c>
      <c r="Q2782">
        <v>2.2882677779999998</v>
      </c>
      <c r="R2782" t="s">
        <v>1040</v>
      </c>
      <c r="S2782">
        <v>0</v>
      </c>
    </row>
    <row r="2783" spans="1:19" x14ac:dyDescent="0.25">
      <c r="A2783" t="s">
        <v>26</v>
      </c>
      <c r="B2783" t="s">
        <v>928</v>
      </c>
      <c r="C2783">
        <v>15</v>
      </c>
      <c r="D2783" t="s">
        <v>27</v>
      </c>
      <c r="E2783" t="s">
        <v>95</v>
      </c>
      <c r="F2783" t="s">
        <v>105</v>
      </c>
      <c r="G2783" t="s">
        <v>102</v>
      </c>
      <c r="H2783" t="s">
        <v>102</v>
      </c>
      <c r="J2783">
        <v>0</v>
      </c>
      <c r="K2783">
        <v>1</v>
      </c>
      <c r="L2783">
        <v>67.5</v>
      </c>
      <c r="M2783">
        <v>47.937235809999997</v>
      </c>
      <c r="N2783">
        <v>0.41599678000000001</v>
      </c>
      <c r="O2783">
        <v>84.740740740000007</v>
      </c>
      <c r="P2783">
        <v>29.167014049999999</v>
      </c>
      <c r="Q2783">
        <v>1.1169849999999999</v>
      </c>
      <c r="R2783" t="s">
        <v>1040</v>
      </c>
      <c r="S2783">
        <v>0.93788479999999974</v>
      </c>
    </row>
    <row r="2784" spans="1:19" x14ac:dyDescent="0.25">
      <c r="A2784" t="s">
        <v>26</v>
      </c>
      <c r="B2784" t="s">
        <v>928</v>
      </c>
      <c r="C2784">
        <v>16</v>
      </c>
      <c r="D2784" t="s">
        <v>27</v>
      </c>
      <c r="E2784" t="s">
        <v>95</v>
      </c>
      <c r="F2784" t="s">
        <v>105</v>
      </c>
      <c r="G2784" t="s">
        <v>102</v>
      </c>
      <c r="H2784" t="s">
        <v>111</v>
      </c>
      <c r="J2784">
        <v>0</v>
      </c>
      <c r="K2784">
        <v>1</v>
      </c>
      <c r="L2784">
        <v>67.5</v>
      </c>
      <c r="M2784">
        <v>47.937235809999997</v>
      </c>
      <c r="N2784">
        <v>0.41599678000000001</v>
      </c>
      <c r="O2784">
        <v>94.97142857</v>
      </c>
      <c r="P2784">
        <v>24.31591813</v>
      </c>
      <c r="Q2784">
        <v>0.122951111</v>
      </c>
      <c r="R2784" t="s">
        <v>1040</v>
      </c>
      <c r="S2784">
        <v>1.7045267999999998</v>
      </c>
    </row>
    <row r="2785" spans="1:19" x14ac:dyDescent="0.25">
      <c r="A2785" t="s">
        <v>26</v>
      </c>
      <c r="B2785" t="s">
        <v>928</v>
      </c>
      <c r="C2785">
        <v>17</v>
      </c>
      <c r="D2785" t="s">
        <v>27</v>
      </c>
      <c r="E2785" t="s">
        <v>95</v>
      </c>
      <c r="F2785" t="s">
        <v>105</v>
      </c>
      <c r="G2785" t="s">
        <v>102</v>
      </c>
      <c r="H2785" t="s">
        <v>242</v>
      </c>
      <c r="J2785">
        <v>0</v>
      </c>
      <c r="K2785">
        <v>1</v>
      </c>
      <c r="L2785">
        <v>67.5</v>
      </c>
      <c r="M2785">
        <v>47.937235809999997</v>
      </c>
      <c r="N2785">
        <v>0.41599678000000001</v>
      </c>
      <c r="O2785">
        <v>139.375</v>
      </c>
      <c r="P2785">
        <v>23.713465920000001</v>
      </c>
      <c r="Q2785" t="s">
        <v>114</v>
      </c>
      <c r="R2785" t="s">
        <v>1040</v>
      </c>
      <c r="S2785" t="s">
        <v>114</v>
      </c>
    </row>
    <row r="2786" spans="1:19" x14ac:dyDescent="0.25">
      <c r="A2786" t="s">
        <v>26</v>
      </c>
      <c r="B2786" t="s">
        <v>929</v>
      </c>
      <c r="C2786">
        <v>15</v>
      </c>
      <c r="D2786" t="s">
        <v>27</v>
      </c>
      <c r="E2786" t="s">
        <v>95</v>
      </c>
      <c r="F2786" t="s">
        <v>110</v>
      </c>
      <c r="G2786" t="s">
        <v>111</v>
      </c>
      <c r="H2786" t="s">
        <v>111</v>
      </c>
      <c r="J2786">
        <v>0</v>
      </c>
      <c r="K2786">
        <v>1</v>
      </c>
      <c r="L2786">
        <v>73.260869569999997</v>
      </c>
      <c r="M2786">
        <v>34.453830549999999</v>
      </c>
      <c r="N2786">
        <v>1.058333333</v>
      </c>
      <c r="O2786">
        <v>94.97142857</v>
      </c>
      <c r="P2786">
        <v>24.31591813</v>
      </c>
      <c r="Q2786">
        <v>0.122951111</v>
      </c>
      <c r="R2786" t="s">
        <v>1040</v>
      </c>
      <c r="S2786">
        <v>0.5184628</v>
      </c>
    </row>
    <row r="2787" spans="1:19" x14ac:dyDescent="0.25">
      <c r="A2787" t="s">
        <v>26</v>
      </c>
      <c r="B2787" t="s">
        <v>929</v>
      </c>
      <c r="C2787">
        <v>16</v>
      </c>
      <c r="D2787" t="s">
        <v>27</v>
      </c>
      <c r="E2787" t="s">
        <v>95</v>
      </c>
      <c r="F2787" t="s">
        <v>110</v>
      </c>
      <c r="G2787" t="s">
        <v>111</v>
      </c>
      <c r="H2787" t="s">
        <v>242</v>
      </c>
      <c r="J2787">
        <v>0</v>
      </c>
      <c r="K2787">
        <v>8</v>
      </c>
      <c r="L2787">
        <v>73.260869569999997</v>
      </c>
      <c r="M2787">
        <v>34.453830549999999</v>
      </c>
      <c r="N2787">
        <v>1.058333333</v>
      </c>
      <c r="O2787">
        <v>139.375</v>
      </c>
      <c r="P2787">
        <v>23.713465920000001</v>
      </c>
      <c r="Q2787" t="s">
        <v>114</v>
      </c>
      <c r="R2787" t="s">
        <v>1040</v>
      </c>
      <c r="S2787" t="s">
        <v>114</v>
      </c>
    </row>
    <row r="2788" spans="1:19" x14ac:dyDescent="0.25">
      <c r="A2788" t="s">
        <v>26</v>
      </c>
      <c r="B2788" t="s">
        <v>930</v>
      </c>
      <c r="C2788">
        <v>15</v>
      </c>
      <c r="D2788" t="s">
        <v>27</v>
      </c>
      <c r="E2788" t="s">
        <v>95</v>
      </c>
      <c r="F2788" t="s">
        <v>111</v>
      </c>
      <c r="G2788" t="s">
        <v>102</v>
      </c>
      <c r="H2788" t="s">
        <v>244</v>
      </c>
      <c r="J2788">
        <v>0</v>
      </c>
      <c r="K2788">
        <v>1</v>
      </c>
      <c r="L2788">
        <v>94.97142857</v>
      </c>
      <c r="M2788">
        <v>24.31591813</v>
      </c>
      <c r="N2788">
        <v>0.122951111</v>
      </c>
      <c r="O2788">
        <v>75</v>
      </c>
      <c r="P2788">
        <v>28.80614499</v>
      </c>
      <c r="Q2788">
        <v>2.3860428570000001</v>
      </c>
      <c r="R2788" t="s">
        <v>1040</v>
      </c>
      <c r="S2788">
        <v>0.12649958</v>
      </c>
    </row>
    <row r="2789" spans="1:19" x14ac:dyDescent="0.25">
      <c r="A2789" t="s">
        <v>26</v>
      </c>
      <c r="B2789" t="s">
        <v>930</v>
      </c>
      <c r="C2789">
        <v>16</v>
      </c>
      <c r="D2789" t="s">
        <v>27</v>
      </c>
      <c r="E2789" t="s">
        <v>95</v>
      </c>
      <c r="F2789" t="s">
        <v>111</v>
      </c>
      <c r="G2789" t="s">
        <v>102</v>
      </c>
      <c r="H2789" t="s">
        <v>236</v>
      </c>
      <c r="J2789">
        <v>0</v>
      </c>
      <c r="K2789">
        <v>1</v>
      </c>
      <c r="L2789">
        <v>94.97142857</v>
      </c>
      <c r="M2789">
        <v>24.31591813</v>
      </c>
      <c r="N2789">
        <v>0.122951111</v>
      </c>
      <c r="O2789">
        <v>113.33333330000001</v>
      </c>
      <c r="P2789">
        <v>26.41632581</v>
      </c>
      <c r="Q2789">
        <v>1.6844570160000001</v>
      </c>
      <c r="R2789" t="s">
        <v>1040</v>
      </c>
      <c r="S2789">
        <v>0.30122219</v>
      </c>
    </row>
    <row r="2790" spans="1:19" x14ac:dyDescent="0.25">
      <c r="A2790" t="s">
        <v>26</v>
      </c>
      <c r="B2790" t="s">
        <v>930</v>
      </c>
      <c r="C2790">
        <v>17</v>
      </c>
      <c r="D2790" t="s">
        <v>27</v>
      </c>
      <c r="E2790" t="s">
        <v>95</v>
      </c>
      <c r="F2790" t="s">
        <v>111</v>
      </c>
      <c r="G2790" t="s">
        <v>102</v>
      </c>
      <c r="H2790" t="s">
        <v>102</v>
      </c>
      <c r="J2790">
        <v>0</v>
      </c>
      <c r="K2790">
        <v>1</v>
      </c>
      <c r="L2790">
        <v>94.97142857</v>
      </c>
      <c r="M2790">
        <v>24.31591813</v>
      </c>
      <c r="N2790">
        <v>0.122951111</v>
      </c>
      <c r="O2790">
        <v>84.740740740000007</v>
      </c>
      <c r="P2790">
        <v>29.167014049999999</v>
      </c>
      <c r="Q2790">
        <v>1.1169849999999999</v>
      </c>
      <c r="R2790" t="s">
        <v>1040</v>
      </c>
      <c r="S2790">
        <v>-0.76664200000000005</v>
      </c>
    </row>
    <row r="2791" spans="1:19" x14ac:dyDescent="0.25">
      <c r="A2791" t="s">
        <v>26</v>
      </c>
      <c r="B2791" t="s">
        <v>930</v>
      </c>
      <c r="C2791">
        <v>18</v>
      </c>
      <c r="D2791" t="s">
        <v>27</v>
      </c>
      <c r="E2791" t="s">
        <v>95</v>
      </c>
      <c r="F2791" t="s">
        <v>111</v>
      </c>
      <c r="G2791" t="s">
        <v>102</v>
      </c>
      <c r="H2791" t="s">
        <v>242</v>
      </c>
      <c r="J2791">
        <v>0</v>
      </c>
      <c r="K2791">
        <v>3</v>
      </c>
      <c r="L2791">
        <v>94.97142857</v>
      </c>
      <c r="M2791">
        <v>24.31591813</v>
      </c>
      <c r="N2791">
        <v>0.122951111</v>
      </c>
      <c r="O2791">
        <v>139.375</v>
      </c>
      <c r="P2791">
        <v>23.713465920000001</v>
      </c>
      <c r="Q2791" t="s">
        <v>114</v>
      </c>
      <c r="R2791" t="s">
        <v>1040</v>
      </c>
      <c r="S2791" t="s">
        <v>114</v>
      </c>
    </row>
    <row r="2792" spans="1:19" x14ac:dyDescent="0.25">
      <c r="A2792" t="s">
        <v>28</v>
      </c>
      <c r="B2792" t="s">
        <v>931</v>
      </c>
      <c r="C2792">
        <v>15</v>
      </c>
      <c r="D2792" t="s">
        <v>29</v>
      </c>
      <c r="E2792" t="s">
        <v>94</v>
      </c>
      <c r="F2792" t="s">
        <v>113</v>
      </c>
      <c r="G2792" t="s">
        <v>113</v>
      </c>
      <c r="H2792" t="s">
        <v>113</v>
      </c>
      <c r="J2792">
        <v>0</v>
      </c>
      <c r="K2792">
        <v>2</v>
      </c>
      <c r="L2792">
        <v>83.757575759999995</v>
      </c>
      <c r="M2792">
        <v>22.60997987</v>
      </c>
      <c r="N2792">
        <v>0.72884000000000004</v>
      </c>
      <c r="O2792">
        <v>83.757575759999995</v>
      </c>
      <c r="P2792">
        <v>22.60997987</v>
      </c>
      <c r="Q2792">
        <v>0.72884000000000004</v>
      </c>
      <c r="R2792" t="s">
        <v>1040</v>
      </c>
      <c r="S2792">
        <v>0</v>
      </c>
    </row>
    <row r="2793" spans="1:19" x14ac:dyDescent="0.25">
      <c r="A2793" t="s">
        <v>28</v>
      </c>
      <c r="B2793" t="s">
        <v>931</v>
      </c>
      <c r="C2793">
        <v>16</v>
      </c>
      <c r="D2793" t="s">
        <v>29</v>
      </c>
      <c r="E2793" t="s">
        <v>94</v>
      </c>
      <c r="F2793" t="s">
        <v>113</v>
      </c>
      <c r="G2793" t="s">
        <v>113</v>
      </c>
      <c r="H2793" t="s">
        <v>248</v>
      </c>
      <c r="J2793">
        <v>0</v>
      </c>
      <c r="K2793">
        <v>12</v>
      </c>
      <c r="L2793">
        <v>83.757575759999995</v>
      </c>
      <c r="M2793">
        <v>22.60997987</v>
      </c>
      <c r="N2793">
        <v>0.72884000000000004</v>
      </c>
      <c r="O2793">
        <v>83.92307692</v>
      </c>
      <c r="P2793">
        <v>44.319135699999997</v>
      </c>
      <c r="Q2793">
        <v>5.9548609999999997E-3</v>
      </c>
      <c r="R2793" t="s">
        <v>1040</v>
      </c>
      <c r="S2793">
        <v>3.2834119999999994E-2</v>
      </c>
    </row>
    <row r="2794" spans="1:19" x14ac:dyDescent="0.25">
      <c r="A2794" t="s">
        <v>28</v>
      </c>
      <c r="B2794" t="s">
        <v>931</v>
      </c>
      <c r="C2794">
        <v>17</v>
      </c>
      <c r="D2794" t="s">
        <v>29</v>
      </c>
      <c r="E2794" t="s">
        <v>94</v>
      </c>
      <c r="F2794" t="s">
        <v>113</v>
      </c>
      <c r="G2794" t="s">
        <v>113</v>
      </c>
      <c r="H2794" t="s">
        <v>247</v>
      </c>
      <c r="J2794">
        <v>0</v>
      </c>
      <c r="K2794">
        <v>1</v>
      </c>
      <c r="L2794">
        <v>83.757575759999995</v>
      </c>
      <c r="M2794">
        <v>22.60997987</v>
      </c>
      <c r="N2794">
        <v>0.72884000000000004</v>
      </c>
      <c r="O2794">
        <v>65.791044779999993</v>
      </c>
      <c r="P2794">
        <v>22.94519201</v>
      </c>
      <c r="Q2794">
        <v>8.1320334999999994E-2</v>
      </c>
      <c r="R2794" t="s">
        <v>1040</v>
      </c>
      <c r="S2794">
        <v>4.0156849999999994E-2</v>
      </c>
    </row>
    <row r="2795" spans="1:19" x14ac:dyDescent="0.25">
      <c r="A2795" t="s">
        <v>28</v>
      </c>
      <c r="B2795" t="s">
        <v>931</v>
      </c>
      <c r="C2795">
        <v>18</v>
      </c>
      <c r="D2795" t="s">
        <v>29</v>
      </c>
      <c r="E2795" t="s">
        <v>94</v>
      </c>
      <c r="F2795" t="s">
        <v>113</v>
      </c>
      <c r="G2795" t="s">
        <v>113</v>
      </c>
      <c r="H2795" t="s">
        <v>239</v>
      </c>
      <c r="J2795">
        <v>0</v>
      </c>
      <c r="K2795">
        <v>1</v>
      </c>
      <c r="L2795">
        <v>83.757575759999995</v>
      </c>
      <c r="M2795">
        <v>22.60997987</v>
      </c>
      <c r="N2795">
        <v>0.72884000000000004</v>
      </c>
      <c r="O2795">
        <v>100.45454549999999</v>
      </c>
      <c r="P2795">
        <v>26.754810689999999</v>
      </c>
      <c r="Q2795">
        <v>0.75829999999999997</v>
      </c>
      <c r="R2795" t="s">
        <v>1040</v>
      </c>
      <c r="S2795">
        <v>-0.19606521000000002</v>
      </c>
    </row>
    <row r="2796" spans="1:19" x14ac:dyDescent="0.25">
      <c r="A2796" t="s">
        <v>28</v>
      </c>
      <c r="B2796" t="s">
        <v>932</v>
      </c>
      <c r="C2796">
        <v>15</v>
      </c>
      <c r="D2796" t="s">
        <v>29</v>
      </c>
      <c r="E2796" t="s">
        <v>94</v>
      </c>
      <c r="F2796" t="s">
        <v>103</v>
      </c>
      <c r="G2796" t="s">
        <v>102</v>
      </c>
      <c r="H2796" t="s">
        <v>102</v>
      </c>
      <c r="J2796">
        <v>0</v>
      </c>
      <c r="K2796">
        <v>1</v>
      </c>
      <c r="L2796">
        <v>98.291666669999998</v>
      </c>
      <c r="M2796">
        <v>30.315130790000001</v>
      </c>
      <c r="N2796">
        <v>5.0803484000000003E-2</v>
      </c>
      <c r="O2796">
        <v>84.740740740000007</v>
      </c>
      <c r="P2796">
        <v>29.167014049999999</v>
      </c>
      <c r="Q2796">
        <v>1.1169849999999999</v>
      </c>
      <c r="R2796" t="s">
        <v>1040</v>
      </c>
      <c r="S2796">
        <v>-0.72848920000000006</v>
      </c>
    </row>
    <row r="2797" spans="1:19" x14ac:dyDescent="0.25">
      <c r="A2797" t="s">
        <v>28</v>
      </c>
      <c r="B2797" t="s">
        <v>932</v>
      </c>
      <c r="C2797">
        <v>16</v>
      </c>
      <c r="D2797" t="s">
        <v>29</v>
      </c>
      <c r="E2797" t="s">
        <v>94</v>
      </c>
      <c r="F2797" t="s">
        <v>103</v>
      </c>
      <c r="G2797" t="s">
        <v>102</v>
      </c>
      <c r="H2797" t="s">
        <v>103</v>
      </c>
      <c r="J2797">
        <v>0</v>
      </c>
      <c r="K2797">
        <v>2</v>
      </c>
      <c r="L2797">
        <v>98.291666669999998</v>
      </c>
      <c r="M2797">
        <v>30.315130790000001</v>
      </c>
      <c r="N2797">
        <v>5.0803484000000003E-2</v>
      </c>
      <c r="O2797">
        <v>98.291666669999998</v>
      </c>
      <c r="P2797">
        <v>30.315130790000001</v>
      </c>
      <c r="Q2797">
        <v>5.0803484000000003E-2</v>
      </c>
      <c r="R2797" t="s">
        <v>1040</v>
      </c>
      <c r="S2797">
        <v>0</v>
      </c>
    </row>
    <row r="2798" spans="1:19" x14ac:dyDescent="0.25">
      <c r="A2798" t="s">
        <v>28</v>
      </c>
      <c r="B2798" t="s">
        <v>933</v>
      </c>
      <c r="C2798">
        <v>15</v>
      </c>
      <c r="D2798" t="s">
        <v>29</v>
      </c>
      <c r="E2798" t="s">
        <v>94</v>
      </c>
      <c r="F2798" t="s">
        <v>111</v>
      </c>
      <c r="G2798" t="s">
        <v>121</v>
      </c>
      <c r="H2798" t="s">
        <v>247</v>
      </c>
      <c r="J2798">
        <v>0</v>
      </c>
      <c r="K2798">
        <v>1</v>
      </c>
      <c r="L2798">
        <v>94.97142857</v>
      </c>
      <c r="M2798">
        <v>24.31591813</v>
      </c>
      <c r="N2798">
        <v>0.122951111</v>
      </c>
      <c r="O2798">
        <v>65.791044779999993</v>
      </c>
      <c r="P2798">
        <v>22.94519201</v>
      </c>
      <c r="Q2798">
        <v>8.1320334999999994E-2</v>
      </c>
      <c r="R2798" t="s">
        <v>1040</v>
      </c>
      <c r="S2798">
        <v>0.21765135000000002</v>
      </c>
    </row>
    <row r="2799" spans="1:19" x14ac:dyDescent="0.25">
      <c r="A2799" t="s">
        <v>28</v>
      </c>
      <c r="B2799" t="s">
        <v>933</v>
      </c>
      <c r="C2799">
        <v>16</v>
      </c>
      <c r="D2799" t="s">
        <v>29</v>
      </c>
      <c r="E2799" t="s">
        <v>94</v>
      </c>
      <c r="F2799" t="s">
        <v>111</v>
      </c>
      <c r="G2799" t="s">
        <v>121</v>
      </c>
      <c r="H2799" t="s">
        <v>113</v>
      </c>
      <c r="J2799">
        <v>0</v>
      </c>
      <c r="K2799">
        <v>3</v>
      </c>
      <c r="L2799">
        <v>94.97142857</v>
      </c>
      <c r="M2799">
        <v>24.31591813</v>
      </c>
      <c r="N2799">
        <v>0.122951111</v>
      </c>
      <c r="O2799">
        <v>83.757575759999995</v>
      </c>
      <c r="P2799">
        <v>22.60997987</v>
      </c>
      <c r="Q2799">
        <v>0.72884000000000004</v>
      </c>
      <c r="R2799" t="s">
        <v>1040</v>
      </c>
      <c r="S2799">
        <v>0.17749450000000003</v>
      </c>
    </row>
    <row r="2800" spans="1:19" x14ac:dyDescent="0.25">
      <c r="A2800" t="s">
        <v>28</v>
      </c>
      <c r="B2800" t="s">
        <v>933</v>
      </c>
      <c r="C2800">
        <v>17</v>
      </c>
      <c r="D2800" t="s">
        <v>29</v>
      </c>
      <c r="E2800" t="s">
        <v>94</v>
      </c>
      <c r="F2800" t="s">
        <v>111</v>
      </c>
      <c r="G2800" t="s">
        <v>121</v>
      </c>
      <c r="H2800" t="s">
        <v>248</v>
      </c>
      <c r="J2800">
        <v>0</v>
      </c>
      <c r="K2800">
        <v>1</v>
      </c>
      <c r="L2800">
        <v>94.97142857</v>
      </c>
      <c r="M2800">
        <v>24.31591813</v>
      </c>
      <c r="N2800">
        <v>0.122951111</v>
      </c>
      <c r="O2800">
        <v>83.92307692</v>
      </c>
      <c r="P2800">
        <v>44.319135699999997</v>
      </c>
      <c r="Q2800">
        <v>5.9548609999999997E-3</v>
      </c>
      <c r="R2800" t="s">
        <v>1040</v>
      </c>
      <c r="S2800">
        <v>0.21032862000000002</v>
      </c>
    </row>
    <row r="2801" spans="1:19" x14ac:dyDescent="0.25">
      <c r="A2801" t="s">
        <v>28</v>
      </c>
      <c r="B2801" t="s">
        <v>934</v>
      </c>
      <c r="C2801">
        <v>15</v>
      </c>
      <c r="D2801" t="s">
        <v>29</v>
      </c>
      <c r="E2801" t="s">
        <v>94</v>
      </c>
      <c r="F2801" t="s">
        <v>112</v>
      </c>
      <c r="G2801" t="s">
        <v>121</v>
      </c>
      <c r="H2801" t="s">
        <v>103</v>
      </c>
      <c r="J2801">
        <v>0</v>
      </c>
      <c r="K2801">
        <v>4</v>
      </c>
      <c r="L2801">
        <v>65.09375</v>
      </c>
      <c r="M2801">
        <v>37.895352600000002</v>
      </c>
      <c r="N2801">
        <v>2.2882677779999998</v>
      </c>
      <c r="O2801">
        <v>98.291666669999998</v>
      </c>
      <c r="P2801">
        <v>30.315130790000001</v>
      </c>
      <c r="Q2801">
        <v>5.0803484000000003E-2</v>
      </c>
      <c r="R2801" t="s">
        <v>1040</v>
      </c>
      <c r="S2801">
        <v>1.7825167</v>
      </c>
    </row>
    <row r="2802" spans="1:19" x14ac:dyDescent="0.25">
      <c r="A2802" t="s">
        <v>28</v>
      </c>
      <c r="B2802" t="s">
        <v>934</v>
      </c>
      <c r="C2802">
        <v>16</v>
      </c>
      <c r="D2802" t="s">
        <v>29</v>
      </c>
      <c r="E2802" t="s">
        <v>94</v>
      </c>
      <c r="F2802" t="s">
        <v>112</v>
      </c>
      <c r="G2802" t="s">
        <v>121</v>
      </c>
      <c r="H2802" t="s">
        <v>113</v>
      </c>
      <c r="J2802">
        <v>0</v>
      </c>
      <c r="K2802">
        <v>6</v>
      </c>
      <c r="L2802">
        <v>65.09375</v>
      </c>
      <c r="M2802">
        <v>37.895352600000002</v>
      </c>
      <c r="N2802">
        <v>2.2882677779999998</v>
      </c>
      <c r="O2802">
        <v>83.757575759999995</v>
      </c>
      <c r="P2802">
        <v>22.60997987</v>
      </c>
      <c r="Q2802">
        <v>0.72884000000000004</v>
      </c>
      <c r="R2802" t="s">
        <v>1040</v>
      </c>
      <c r="S2802">
        <v>1.9981640000000001</v>
      </c>
    </row>
    <row r="2803" spans="1:19" x14ac:dyDescent="0.25">
      <c r="A2803" t="s">
        <v>28</v>
      </c>
      <c r="B2803" t="s">
        <v>934</v>
      </c>
      <c r="C2803">
        <v>17</v>
      </c>
      <c r="D2803" t="s">
        <v>29</v>
      </c>
      <c r="E2803" t="s">
        <v>94</v>
      </c>
      <c r="F2803" t="s">
        <v>112</v>
      </c>
      <c r="G2803" t="s">
        <v>121</v>
      </c>
      <c r="H2803" t="s">
        <v>248</v>
      </c>
      <c r="J2803">
        <v>0</v>
      </c>
      <c r="K2803">
        <v>3</v>
      </c>
      <c r="L2803">
        <v>65.09375</v>
      </c>
      <c r="M2803">
        <v>37.895352600000002</v>
      </c>
      <c r="N2803">
        <v>2.2882677779999998</v>
      </c>
      <c r="O2803">
        <v>83.92307692</v>
      </c>
      <c r="P2803">
        <v>44.319135699999997</v>
      </c>
      <c r="Q2803">
        <v>5.9548609999999997E-3</v>
      </c>
      <c r="R2803" t="s">
        <v>1040</v>
      </c>
      <c r="S2803">
        <v>2.03099812</v>
      </c>
    </row>
    <row r="2804" spans="1:19" x14ac:dyDescent="0.25">
      <c r="A2804" t="s">
        <v>30</v>
      </c>
      <c r="B2804" t="s">
        <v>935</v>
      </c>
      <c r="C2804">
        <v>15</v>
      </c>
      <c r="D2804" t="s">
        <v>31</v>
      </c>
      <c r="E2804" t="s">
        <v>95</v>
      </c>
      <c r="F2804" t="s">
        <v>113</v>
      </c>
      <c r="G2804" t="s">
        <v>121</v>
      </c>
      <c r="H2804" t="s">
        <v>113</v>
      </c>
      <c r="J2804">
        <v>0</v>
      </c>
      <c r="K2804">
        <v>1</v>
      </c>
      <c r="L2804">
        <v>83.757575759999995</v>
      </c>
      <c r="M2804">
        <v>22.60997987</v>
      </c>
      <c r="N2804">
        <v>0.72884000000000004</v>
      </c>
      <c r="O2804">
        <v>83.757575759999995</v>
      </c>
      <c r="P2804">
        <v>22.60997987</v>
      </c>
      <c r="Q2804">
        <v>0.72884000000000004</v>
      </c>
      <c r="R2804" t="s">
        <v>1040</v>
      </c>
      <c r="S2804">
        <v>0</v>
      </c>
    </row>
    <row r="2805" spans="1:19" x14ac:dyDescent="0.25">
      <c r="A2805" t="s">
        <v>30</v>
      </c>
      <c r="B2805" t="s">
        <v>935</v>
      </c>
      <c r="C2805">
        <v>16</v>
      </c>
      <c r="D2805" t="s">
        <v>31</v>
      </c>
      <c r="E2805" t="s">
        <v>95</v>
      </c>
      <c r="F2805" t="s">
        <v>113</v>
      </c>
      <c r="G2805" t="s">
        <v>121</v>
      </c>
      <c r="H2805" t="s">
        <v>103</v>
      </c>
      <c r="J2805">
        <v>0</v>
      </c>
      <c r="K2805">
        <v>2</v>
      </c>
      <c r="L2805">
        <v>83.757575759999995</v>
      </c>
      <c r="M2805">
        <v>22.60997987</v>
      </c>
      <c r="N2805">
        <v>0.72884000000000004</v>
      </c>
      <c r="O2805">
        <v>98.291666669999998</v>
      </c>
      <c r="P2805">
        <v>30.315130790000001</v>
      </c>
      <c r="Q2805">
        <v>5.0803484000000003E-2</v>
      </c>
      <c r="R2805" t="s">
        <v>1040</v>
      </c>
      <c r="S2805">
        <v>-0.21564730000000001</v>
      </c>
    </row>
    <row r="2806" spans="1:19" x14ac:dyDescent="0.25">
      <c r="A2806" t="s">
        <v>30</v>
      </c>
      <c r="B2806" t="s">
        <v>935</v>
      </c>
      <c r="C2806">
        <v>17</v>
      </c>
      <c r="D2806" t="s">
        <v>31</v>
      </c>
      <c r="E2806" t="s">
        <v>95</v>
      </c>
      <c r="F2806" t="s">
        <v>113</v>
      </c>
      <c r="G2806" t="s">
        <v>121</v>
      </c>
      <c r="H2806" t="s">
        <v>248</v>
      </c>
      <c r="J2806">
        <v>0</v>
      </c>
      <c r="K2806">
        <v>9</v>
      </c>
      <c r="L2806">
        <v>83.757575759999995</v>
      </c>
      <c r="M2806">
        <v>22.60997987</v>
      </c>
      <c r="N2806">
        <v>0.72884000000000004</v>
      </c>
      <c r="O2806">
        <v>83.92307692</v>
      </c>
      <c r="P2806">
        <v>44.319135699999997</v>
      </c>
      <c r="Q2806">
        <v>5.9548609999999997E-3</v>
      </c>
      <c r="R2806" t="s">
        <v>1040</v>
      </c>
      <c r="S2806">
        <v>3.2834119999999994E-2</v>
      </c>
    </row>
    <row r="2807" spans="1:19" x14ac:dyDescent="0.25">
      <c r="A2807" t="s">
        <v>30</v>
      </c>
      <c r="B2807" t="s">
        <v>935</v>
      </c>
      <c r="C2807">
        <v>18</v>
      </c>
      <c r="D2807" t="s">
        <v>31</v>
      </c>
      <c r="E2807" t="s">
        <v>95</v>
      </c>
      <c r="F2807" t="s">
        <v>113</v>
      </c>
      <c r="G2807" t="s">
        <v>121</v>
      </c>
      <c r="H2807" t="s">
        <v>111</v>
      </c>
      <c r="J2807">
        <v>0</v>
      </c>
      <c r="K2807">
        <v>1</v>
      </c>
      <c r="L2807">
        <v>83.757575759999995</v>
      </c>
      <c r="M2807">
        <v>22.60997987</v>
      </c>
      <c r="N2807">
        <v>0.72884000000000004</v>
      </c>
      <c r="O2807">
        <v>94.97142857</v>
      </c>
      <c r="P2807">
        <v>24.31591813</v>
      </c>
      <c r="Q2807">
        <v>0.122951111</v>
      </c>
      <c r="R2807" t="s">
        <v>1040</v>
      </c>
      <c r="S2807">
        <v>-0.17749450000000003</v>
      </c>
    </row>
    <row r="2808" spans="1:19" x14ac:dyDescent="0.25">
      <c r="A2808" t="s">
        <v>30</v>
      </c>
      <c r="B2808" t="s">
        <v>936</v>
      </c>
      <c r="C2808">
        <v>15</v>
      </c>
      <c r="D2808" t="s">
        <v>31</v>
      </c>
      <c r="E2808" t="s">
        <v>95</v>
      </c>
      <c r="F2808" t="s">
        <v>103</v>
      </c>
      <c r="G2808" t="s">
        <v>113</v>
      </c>
      <c r="H2808" t="s">
        <v>113</v>
      </c>
      <c r="J2808">
        <v>0</v>
      </c>
      <c r="K2808">
        <v>3</v>
      </c>
      <c r="L2808">
        <v>98.291666669999998</v>
      </c>
      <c r="M2808">
        <v>30.315130790000001</v>
      </c>
      <c r="N2808">
        <v>5.0803484000000003E-2</v>
      </c>
      <c r="O2808">
        <v>83.757575759999995</v>
      </c>
      <c r="P2808">
        <v>22.60997987</v>
      </c>
      <c r="Q2808">
        <v>0.72884000000000004</v>
      </c>
      <c r="R2808" t="s">
        <v>1040</v>
      </c>
      <c r="S2808">
        <v>0.21564730000000001</v>
      </c>
    </row>
    <row r="2809" spans="1:19" x14ac:dyDescent="0.25">
      <c r="A2809" t="s">
        <v>30</v>
      </c>
      <c r="B2809" t="s">
        <v>936</v>
      </c>
      <c r="C2809">
        <v>16</v>
      </c>
      <c r="D2809" t="s">
        <v>31</v>
      </c>
      <c r="E2809" t="s">
        <v>95</v>
      </c>
      <c r="F2809" t="s">
        <v>103</v>
      </c>
      <c r="G2809" t="s">
        <v>113</v>
      </c>
      <c r="H2809" t="s">
        <v>247</v>
      </c>
      <c r="J2809">
        <v>0</v>
      </c>
      <c r="K2809">
        <v>1</v>
      </c>
      <c r="L2809">
        <v>98.291666669999998</v>
      </c>
      <c r="M2809">
        <v>30.315130790000001</v>
      </c>
      <c r="N2809">
        <v>5.0803484000000003E-2</v>
      </c>
      <c r="O2809">
        <v>65.791044779999993</v>
      </c>
      <c r="P2809">
        <v>22.94519201</v>
      </c>
      <c r="Q2809">
        <v>8.1320334999999994E-2</v>
      </c>
      <c r="R2809" t="s">
        <v>1040</v>
      </c>
      <c r="S2809">
        <v>0.25580415000000001</v>
      </c>
    </row>
    <row r="2810" spans="1:19" x14ac:dyDescent="0.25">
      <c r="A2810" t="s">
        <v>30</v>
      </c>
      <c r="B2810" t="s">
        <v>936</v>
      </c>
      <c r="C2810">
        <v>17</v>
      </c>
      <c r="D2810" t="s">
        <v>31</v>
      </c>
      <c r="E2810" t="s">
        <v>95</v>
      </c>
      <c r="F2810" t="s">
        <v>103</v>
      </c>
      <c r="G2810" t="s">
        <v>113</v>
      </c>
      <c r="H2810" t="s">
        <v>111</v>
      </c>
      <c r="J2810">
        <v>0</v>
      </c>
      <c r="K2810">
        <v>1</v>
      </c>
      <c r="L2810">
        <v>98.291666669999998</v>
      </c>
      <c r="M2810">
        <v>30.315130790000001</v>
      </c>
      <c r="N2810">
        <v>5.0803484000000003E-2</v>
      </c>
      <c r="O2810">
        <v>94.97142857</v>
      </c>
      <c r="P2810">
        <v>24.31591813</v>
      </c>
      <c r="Q2810">
        <v>0.122951111</v>
      </c>
      <c r="R2810" t="s">
        <v>1040</v>
      </c>
      <c r="S2810">
        <v>3.8152799999999987E-2</v>
      </c>
    </row>
    <row r="2811" spans="1:19" x14ac:dyDescent="0.25">
      <c r="A2811" t="s">
        <v>30</v>
      </c>
      <c r="B2811" t="s">
        <v>936</v>
      </c>
      <c r="C2811">
        <v>18</v>
      </c>
      <c r="D2811" t="s">
        <v>31</v>
      </c>
      <c r="E2811" t="s">
        <v>95</v>
      </c>
      <c r="F2811" t="s">
        <v>103</v>
      </c>
      <c r="G2811" t="s">
        <v>113</v>
      </c>
      <c r="H2811" t="s">
        <v>234</v>
      </c>
      <c r="J2811">
        <v>0</v>
      </c>
      <c r="K2811">
        <v>1</v>
      </c>
      <c r="L2811">
        <v>98.291666669999998</v>
      </c>
      <c r="M2811">
        <v>30.315130790000001</v>
      </c>
      <c r="N2811">
        <v>5.0803484000000003E-2</v>
      </c>
      <c r="O2811">
        <v>89.8125</v>
      </c>
      <c r="P2811">
        <v>34.754706650000003</v>
      </c>
      <c r="Q2811">
        <v>2.3065078999999999E-2</v>
      </c>
      <c r="R2811" t="s">
        <v>1040</v>
      </c>
      <c r="S2811">
        <v>-2.0505059700000001</v>
      </c>
    </row>
    <row r="2812" spans="1:19" x14ac:dyDescent="0.25">
      <c r="A2812" t="s">
        <v>30</v>
      </c>
      <c r="B2812" t="s">
        <v>936</v>
      </c>
      <c r="C2812">
        <v>19</v>
      </c>
      <c r="D2812" t="s">
        <v>31</v>
      </c>
      <c r="E2812" t="s">
        <v>95</v>
      </c>
      <c r="F2812" t="s">
        <v>103</v>
      </c>
      <c r="G2812" t="s">
        <v>113</v>
      </c>
      <c r="H2812" t="s">
        <v>241</v>
      </c>
      <c r="J2812">
        <v>0</v>
      </c>
      <c r="K2812">
        <v>1</v>
      </c>
      <c r="L2812">
        <v>98.291666669999998</v>
      </c>
      <c r="M2812">
        <v>30.315130790000001</v>
      </c>
      <c r="N2812">
        <v>5.0803484000000003E-2</v>
      </c>
      <c r="O2812">
        <v>114</v>
      </c>
      <c r="P2812">
        <v>30.43077242</v>
      </c>
      <c r="Q2812">
        <v>0.53383111100000002</v>
      </c>
      <c r="R2812" t="s">
        <v>1040</v>
      </c>
      <c r="S2812">
        <v>0.14532737000000001</v>
      </c>
    </row>
    <row r="2813" spans="1:19" x14ac:dyDescent="0.25">
      <c r="A2813" t="s">
        <v>30</v>
      </c>
      <c r="B2813" t="s">
        <v>937</v>
      </c>
      <c r="C2813">
        <v>15</v>
      </c>
      <c r="D2813" t="s">
        <v>31</v>
      </c>
      <c r="E2813" t="s">
        <v>95</v>
      </c>
      <c r="F2813" t="s">
        <v>112</v>
      </c>
      <c r="G2813" t="s">
        <v>103</v>
      </c>
      <c r="H2813" t="s">
        <v>114</v>
      </c>
      <c r="J2813">
        <v>0</v>
      </c>
      <c r="K2813" t="s">
        <v>114</v>
      </c>
      <c r="L2813">
        <v>65.09375</v>
      </c>
      <c r="M2813">
        <v>37.895352600000002</v>
      </c>
      <c r="N2813">
        <v>2.2882677779999998</v>
      </c>
      <c r="O2813" t="s">
        <v>114</v>
      </c>
      <c r="P2813" t="s">
        <v>114</v>
      </c>
      <c r="Q2813" t="s">
        <v>114</v>
      </c>
      <c r="R2813" t="s">
        <v>1040</v>
      </c>
      <c r="S2813" t="s">
        <v>114</v>
      </c>
    </row>
    <row r="2814" spans="1:19" x14ac:dyDescent="0.25">
      <c r="A2814" t="s">
        <v>32</v>
      </c>
      <c r="B2814" t="s">
        <v>938</v>
      </c>
      <c r="C2814">
        <v>15</v>
      </c>
      <c r="D2814" t="s">
        <v>33</v>
      </c>
      <c r="E2814" t="s">
        <v>94</v>
      </c>
      <c r="F2814" t="s">
        <v>105</v>
      </c>
      <c r="G2814" t="s">
        <v>121</v>
      </c>
      <c r="H2814" t="s">
        <v>247</v>
      </c>
      <c r="J2814">
        <v>0</v>
      </c>
      <c r="K2814">
        <v>2</v>
      </c>
      <c r="L2814">
        <v>67.5</v>
      </c>
      <c r="M2814">
        <v>47.937235809999997</v>
      </c>
      <c r="N2814">
        <v>0.41599678000000001</v>
      </c>
      <c r="O2814">
        <v>65.791044779999993</v>
      </c>
      <c r="P2814">
        <v>22.94519201</v>
      </c>
      <c r="Q2814">
        <v>8.1320334999999994E-2</v>
      </c>
      <c r="R2814" t="s">
        <v>1040</v>
      </c>
      <c r="S2814">
        <v>1.9221781499999997</v>
      </c>
    </row>
    <row r="2815" spans="1:19" x14ac:dyDescent="0.25">
      <c r="A2815" t="s">
        <v>32</v>
      </c>
      <c r="B2815" t="s">
        <v>938</v>
      </c>
      <c r="C2815">
        <v>16</v>
      </c>
      <c r="D2815" t="s">
        <v>33</v>
      </c>
      <c r="E2815" t="s">
        <v>94</v>
      </c>
      <c r="F2815" t="s">
        <v>105</v>
      </c>
      <c r="G2815" t="s">
        <v>121</v>
      </c>
      <c r="H2815" t="s">
        <v>249</v>
      </c>
      <c r="J2815">
        <v>0</v>
      </c>
      <c r="K2815">
        <v>1</v>
      </c>
      <c r="L2815">
        <v>67.5</v>
      </c>
      <c r="M2815">
        <v>47.937235809999997</v>
      </c>
      <c r="N2815">
        <v>0.41599678000000001</v>
      </c>
      <c r="O2815">
        <v>81.666666669999998</v>
      </c>
      <c r="P2815">
        <v>48.056268459999998</v>
      </c>
      <c r="Q2815">
        <v>0.120291364</v>
      </c>
      <c r="R2815" t="s">
        <v>1040</v>
      </c>
      <c r="S2815" t="s">
        <v>114</v>
      </c>
    </row>
    <row r="2816" spans="1:19" x14ac:dyDescent="0.25">
      <c r="A2816" t="s">
        <v>34</v>
      </c>
      <c r="B2816" t="s">
        <v>939</v>
      </c>
      <c r="C2816">
        <v>15</v>
      </c>
      <c r="D2816" t="s">
        <v>35</v>
      </c>
      <c r="E2816" t="s">
        <v>94</v>
      </c>
      <c r="F2816" t="s">
        <v>112</v>
      </c>
      <c r="G2816" t="s">
        <v>112</v>
      </c>
      <c r="H2816" t="s">
        <v>112</v>
      </c>
      <c r="J2816">
        <v>0</v>
      </c>
      <c r="K2816">
        <v>1</v>
      </c>
      <c r="L2816">
        <v>65.09375</v>
      </c>
      <c r="M2816">
        <v>37.895352600000002</v>
      </c>
      <c r="N2816">
        <v>2.2882677779999998</v>
      </c>
      <c r="O2816">
        <v>65.09375</v>
      </c>
      <c r="P2816">
        <v>37.895352600000002</v>
      </c>
      <c r="Q2816">
        <v>2.2882677779999998</v>
      </c>
      <c r="R2816" t="s">
        <v>1040</v>
      </c>
      <c r="S2816">
        <v>0</v>
      </c>
    </row>
    <row r="2817" spans="1:19" x14ac:dyDescent="0.25">
      <c r="A2817" t="s">
        <v>36</v>
      </c>
      <c r="B2817" t="s">
        <v>940</v>
      </c>
      <c r="C2817">
        <v>15</v>
      </c>
      <c r="D2817" t="s">
        <v>37</v>
      </c>
      <c r="E2817" t="s">
        <v>95</v>
      </c>
      <c r="F2817" t="s">
        <v>110</v>
      </c>
      <c r="G2817" t="s">
        <v>121</v>
      </c>
      <c r="H2817" t="s">
        <v>110</v>
      </c>
      <c r="J2817">
        <v>0</v>
      </c>
      <c r="K2817">
        <v>1</v>
      </c>
      <c r="L2817">
        <v>73.260869569999997</v>
      </c>
      <c r="M2817">
        <v>34.453830549999999</v>
      </c>
      <c r="N2817">
        <v>1.058333333</v>
      </c>
      <c r="O2817">
        <v>73.260869569999997</v>
      </c>
      <c r="P2817">
        <v>34.453830549999999</v>
      </c>
      <c r="Q2817">
        <v>1.058333333</v>
      </c>
      <c r="R2817" t="s">
        <v>1040</v>
      </c>
      <c r="S2817">
        <v>0</v>
      </c>
    </row>
    <row r="2818" spans="1:19" x14ac:dyDescent="0.25">
      <c r="A2818" t="s">
        <v>36</v>
      </c>
      <c r="B2818" t="s">
        <v>941</v>
      </c>
      <c r="C2818">
        <v>15</v>
      </c>
      <c r="D2818" t="s">
        <v>37</v>
      </c>
      <c r="E2818" t="s">
        <v>95</v>
      </c>
      <c r="F2818" t="s">
        <v>104</v>
      </c>
      <c r="G2818" t="s">
        <v>121</v>
      </c>
      <c r="H2818" t="s">
        <v>104</v>
      </c>
      <c r="J2818">
        <v>0</v>
      </c>
      <c r="K2818">
        <v>1</v>
      </c>
      <c r="L2818">
        <v>113.9375</v>
      </c>
      <c r="M2818">
        <v>33.375507550000002</v>
      </c>
      <c r="N2818">
        <v>2.4262999999999999</v>
      </c>
      <c r="O2818">
        <v>113.9375</v>
      </c>
      <c r="P2818">
        <v>33.375507550000002</v>
      </c>
      <c r="Q2818">
        <v>2.4262999999999999</v>
      </c>
      <c r="R2818" t="s">
        <v>1040</v>
      </c>
      <c r="S2818">
        <v>0</v>
      </c>
    </row>
    <row r="2819" spans="1:19" x14ac:dyDescent="0.25">
      <c r="A2819" t="s">
        <v>36</v>
      </c>
      <c r="B2819" t="s">
        <v>941</v>
      </c>
      <c r="C2819">
        <v>16</v>
      </c>
      <c r="D2819" t="s">
        <v>37</v>
      </c>
      <c r="E2819" t="s">
        <v>95</v>
      </c>
      <c r="F2819" t="s">
        <v>104</v>
      </c>
      <c r="G2819" t="s">
        <v>121</v>
      </c>
      <c r="H2819" t="s">
        <v>111</v>
      </c>
      <c r="J2819">
        <v>0</v>
      </c>
      <c r="K2819">
        <v>1</v>
      </c>
      <c r="L2819">
        <v>113.9375</v>
      </c>
      <c r="M2819">
        <v>33.375507550000002</v>
      </c>
      <c r="N2819">
        <v>2.4262999999999999</v>
      </c>
      <c r="O2819">
        <v>94.97142857</v>
      </c>
      <c r="P2819">
        <v>24.31591813</v>
      </c>
      <c r="Q2819">
        <v>0.122951111</v>
      </c>
      <c r="R2819" t="s">
        <v>1040</v>
      </c>
      <c r="S2819">
        <v>1.6413699999999976E-2</v>
      </c>
    </row>
    <row r="2820" spans="1:19" x14ac:dyDescent="0.25">
      <c r="A2820" t="s">
        <v>36</v>
      </c>
      <c r="B2820" t="s">
        <v>941</v>
      </c>
      <c r="C2820">
        <v>17</v>
      </c>
      <c r="D2820" t="s">
        <v>37</v>
      </c>
      <c r="E2820" t="s">
        <v>95</v>
      </c>
      <c r="F2820" t="s">
        <v>104</v>
      </c>
      <c r="G2820" t="s">
        <v>121</v>
      </c>
      <c r="H2820" t="s">
        <v>162</v>
      </c>
      <c r="J2820">
        <v>0</v>
      </c>
      <c r="K2820">
        <v>1</v>
      </c>
      <c r="L2820">
        <v>113.9375</v>
      </c>
      <c r="M2820">
        <v>33.375507550000002</v>
      </c>
      <c r="N2820">
        <v>2.4262999999999999</v>
      </c>
      <c r="O2820">
        <v>82.53846154</v>
      </c>
      <c r="P2820">
        <v>35.660530039999998</v>
      </c>
      <c r="Q2820">
        <v>3.3754499999999998</v>
      </c>
      <c r="R2820" t="s">
        <v>1040</v>
      </c>
      <c r="S2820" t="s">
        <v>114</v>
      </c>
    </row>
    <row r="2821" spans="1:19" x14ac:dyDescent="0.25">
      <c r="A2821" t="s">
        <v>38</v>
      </c>
      <c r="B2821" t="s">
        <v>942</v>
      </c>
      <c r="C2821">
        <v>2</v>
      </c>
      <c r="D2821" t="s">
        <v>11</v>
      </c>
      <c r="E2821" t="s">
        <v>95</v>
      </c>
      <c r="F2821" t="s">
        <v>113</v>
      </c>
      <c r="G2821" t="s">
        <v>103</v>
      </c>
      <c r="H2821" t="s">
        <v>103</v>
      </c>
      <c r="J2821">
        <v>0</v>
      </c>
      <c r="K2821">
        <v>3</v>
      </c>
      <c r="L2821">
        <v>83.757575759999995</v>
      </c>
      <c r="M2821">
        <v>22.60997987</v>
      </c>
      <c r="N2821">
        <v>0.72884000000000004</v>
      </c>
      <c r="O2821">
        <v>98.291666669999998</v>
      </c>
      <c r="P2821">
        <v>30.315130790000001</v>
      </c>
      <c r="Q2821">
        <v>5.0803484000000003E-2</v>
      </c>
      <c r="R2821" t="s">
        <v>1040</v>
      </c>
      <c r="S2821">
        <v>-0.21564730000000001</v>
      </c>
    </row>
    <row r="2822" spans="1:19" x14ac:dyDescent="0.25">
      <c r="A2822" t="s">
        <v>38</v>
      </c>
      <c r="B2822" t="s">
        <v>943</v>
      </c>
      <c r="C2822">
        <v>2</v>
      </c>
      <c r="D2822" t="s">
        <v>11</v>
      </c>
      <c r="E2822" t="s">
        <v>95</v>
      </c>
      <c r="F2822" t="s">
        <v>103</v>
      </c>
      <c r="G2822" t="s">
        <v>103</v>
      </c>
      <c r="H2822" t="s">
        <v>103</v>
      </c>
      <c r="J2822">
        <v>0</v>
      </c>
      <c r="K2822">
        <v>7</v>
      </c>
      <c r="L2822">
        <v>98.291666669999998</v>
      </c>
      <c r="M2822">
        <v>30.315130790000001</v>
      </c>
      <c r="N2822">
        <v>5.0803484000000003E-2</v>
      </c>
      <c r="O2822">
        <v>98.291666669999998</v>
      </c>
      <c r="P2822">
        <v>30.315130790000001</v>
      </c>
      <c r="Q2822">
        <v>5.0803484000000003E-2</v>
      </c>
      <c r="R2822" t="s">
        <v>1040</v>
      </c>
      <c r="S2822">
        <v>0</v>
      </c>
    </row>
    <row r="2823" spans="1:19" x14ac:dyDescent="0.25">
      <c r="A2823" t="s">
        <v>38</v>
      </c>
      <c r="B2823" t="s">
        <v>943</v>
      </c>
      <c r="C2823">
        <v>2</v>
      </c>
      <c r="D2823" t="s">
        <v>11</v>
      </c>
      <c r="E2823" t="s">
        <v>95</v>
      </c>
      <c r="F2823" t="s">
        <v>103</v>
      </c>
      <c r="G2823" t="s">
        <v>103</v>
      </c>
      <c r="H2823" t="s">
        <v>113</v>
      </c>
      <c r="J2823">
        <v>0</v>
      </c>
      <c r="K2823">
        <v>2</v>
      </c>
      <c r="L2823">
        <v>98.291666669999998</v>
      </c>
      <c r="M2823">
        <v>30.315130790000001</v>
      </c>
      <c r="N2823">
        <v>5.0803484000000003E-2</v>
      </c>
      <c r="O2823">
        <v>83.757575759999995</v>
      </c>
      <c r="P2823">
        <v>22.60997987</v>
      </c>
      <c r="Q2823">
        <v>0.72884000000000004</v>
      </c>
      <c r="R2823" t="s">
        <v>1040</v>
      </c>
      <c r="S2823">
        <v>0.21564730000000001</v>
      </c>
    </row>
    <row r="2824" spans="1:19" x14ac:dyDescent="0.25">
      <c r="A2824" t="s">
        <v>38</v>
      </c>
      <c r="B2824" t="s">
        <v>944</v>
      </c>
      <c r="C2824">
        <v>2</v>
      </c>
      <c r="D2824" t="s">
        <v>11</v>
      </c>
      <c r="E2824" t="s">
        <v>95</v>
      </c>
      <c r="F2824" t="s">
        <v>111</v>
      </c>
      <c r="G2824" t="s">
        <v>103</v>
      </c>
      <c r="H2824" t="s">
        <v>103</v>
      </c>
      <c r="J2824">
        <v>0</v>
      </c>
      <c r="K2824">
        <v>2</v>
      </c>
      <c r="L2824">
        <v>94.97142857</v>
      </c>
      <c r="M2824">
        <v>24.31591813</v>
      </c>
      <c r="N2824">
        <v>0.122951111</v>
      </c>
      <c r="O2824">
        <v>98.291666669999998</v>
      </c>
      <c r="P2824">
        <v>30.315130790000001</v>
      </c>
      <c r="Q2824">
        <v>5.0803484000000003E-2</v>
      </c>
      <c r="R2824" t="s">
        <v>1040</v>
      </c>
      <c r="S2824">
        <v>-3.8152799999999987E-2</v>
      </c>
    </row>
    <row r="2825" spans="1:19" x14ac:dyDescent="0.25">
      <c r="A2825" t="s">
        <v>39</v>
      </c>
      <c r="B2825" t="s">
        <v>945</v>
      </c>
      <c r="C2825">
        <v>2</v>
      </c>
      <c r="D2825" t="s">
        <v>15</v>
      </c>
      <c r="E2825" t="s">
        <v>94</v>
      </c>
      <c r="F2825" t="s">
        <v>102</v>
      </c>
      <c r="G2825" t="s">
        <v>102</v>
      </c>
      <c r="H2825" t="s">
        <v>235</v>
      </c>
      <c r="J2825">
        <v>0</v>
      </c>
      <c r="K2825">
        <v>1</v>
      </c>
      <c r="L2825">
        <v>84.740740740000007</v>
      </c>
      <c r="M2825">
        <v>29.167014049999999</v>
      </c>
      <c r="N2825">
        <v>1.1169849999999999</v>
      </c>
      <c r="O2825">
        <v>132.27272730000001</v>
      </c>
      <c r="P2825">
        <v>20.180448590000001</v>
      </c>
      <c r="Q2825">
        <v>3.7813451999999997E-2</v>
      </c>
      <c r="R2825" t="s">
        <v>1040</v>
      </c>
      <c r="S2825">
        <v>0.74310589000000005</v>
      </c>
    </row>
    <row r="2826" spans="1:19" x14ac:dyDescent="0.25">
      <c r="A2826" t="s">
        <v>39</v>
      </c>
      <c r="B2826" t="s">
        <v>945</v>
      </c>
      <c r="C2826">
        <v>2</v>
      </c>
      <c r="D2826" t="s">
        <v>15</v>
      </c>
      <c r="E2826" t="s">
        <v>94</v>
      </c>
      <c r="F2826" t="s">
        <v>102</v>
      </c>
      <c r="G2826" t="s">
        <v>102</v>
      </c>
      <c r="H2826" t="s">
        <v>113</v>
      </c>
      <c r="J2826">
        <v>0</v>
      </c>
      <c r="K2826">
        <v>2</v>
      </c>
      <c r="L2826">
        <v>84.740740740000007</v>
      </c>
      <c r="M2826">
        <v>29.167014049999999</v>
      </c>
      <c r="N2826">
        <v>1.1169849999999999</v>
      </c>
      <c r="O2826">
        <v>83.757575759999995</v>
      </c>
      <c r="P2826">
        <v>22.60997987</v>
      </c>
      <c r="Q2826">
        <v>0.72884000000000004</v>
      </c>
      <c r="R2826" t="s">
        <v>1040</v>
      </c>
      <c r="S2826">
        <v>0.94413650000000005</v>
      </c>
    </row>
    <row r="2827" spans="1:19" x14ac:dyDescent="0.25">
      <c r="A2827" t="s">
        <v>39</v>
      </c>
      <c r="B2827" t="s">
        <v>945</v>
      </c>
      <c r="C2827">
        <v>2</v>
      </c>
      <c r="D2827" t="s">
        <v>15</v>
      </c>
      <c r="E2827" t="s">
        <v>94</v>
      </c>
      <c r="F2827" t="s">
        <v>102</v>
      </c>
      <c r="G2827" t="s">
        <v>102</v>
      </c>
      <c r="H2827" t="s">
        <v>103</v>
      </c>
      <c r="J2827">
        <v>0</v>
      </c>
      <c r="K2827">
        <v>3</v>
      </c>
      <c r="L2827">
        <v>84.740740740000007</v>
      </c>
      <c r="M2827">
        <v>29.167014049999999</v>
      </c>
      <c r="N2827">
        <v>1.1169849999999999</v>
      </c>
      <c r="O2827">
        <v>98.291666669999998</v>
      </c>
      <c r="P2827">
        <v>30.315130790000001</v>
      </c>
      <c r="Q2827">
        <v>5.0803484000000003E-2</v>
      </c>
      <c r="R2827" t="s">
        <v>1040</v>
      </c>
      <c r="S2827">
        <v>0.72848920000000006</v>
      </c>
    </row>
    <row r="2828" spans="1:19" x14ac:dyDescent="0.25">
      <c r="A2828" t="s">
        <v>39</v>
      </c>
      <c r="B2828" t="s">
        <v>945</v>
      </c>
      <c r="C2828">
        <v>2</v>
      </c>
      <c r="D2828" t="s">
        <v>15</v>
      </c>
      <c r="E2828" t="s">
        <v>94</v>
      </c>
      <c r="F2828" t="s">
        <v>102</v>
      </c>
      <c r="G2828" t="s">
        <v>102</v>
      </c>
      <c r="H2828" t="s">
        <v>233</v>
      </c>
      <c r="J2828">
        <v>0</v>
      </c>
      <c r="K2828">
        <v>1</v>
      </c>
      <c r="L2828">
        <v>84.740740740000007</v>
      </c>
      <c r="M2828">
        <v>29.167014049999999</v>
      </c>
      <c r="N2828">
        <v>1.1169849999999999</v>
      </c>
      <c r="O2828">
        <v>106.0540541</v>
      </c>
      <c r="P2828">
        <v>52.690533369999997</v>
      </c>
      <c r="Q2828">
        <v>7.6058968000000005E-2</v>
      </c>
      <c r="R2828" t="s">
        <v>1040</v>
      </c>
      <c r="S2828">
        <v>0.70826101000000008</v>
      </c>
    </row>
    <row r="2829" spans="1:19" x14ac:dyDescent="0.25">
      <c r="A2829" t="s">
        <v>39</v>
      </c>
      <c r="B2829" t="s">
        <v>945</v>
      </c>
      <c r="C2829">
        <v>2</v>
      </c>
      <c r="D2829" t="s">
        <v>15</v>
      </c>
      <c r="E2829" t="s">
        <v>94</v>
      </c>
      <c r="F2829" t="s">
        <v>102</v>
      </c>
      <c r="G2829" t="s">
        <v>102</v>
      </c>
      <c r="H2829" t="s">
        <v>104</v>
      </c>
      <c r="J2829">
        <v>0</v>
      </c>
      <c r="K2829">
        <v>1</v>
      </c>
      <c r="L2829">
        <v>84.740740740000007</v>
      </c>
      <c r="M2829">
        <v>29.167014049999999</v>
      </c>
      <c r="N2829">
        <v>1.1169849999999999</v>
      </c>
      <c r="O2829">
        <v>113.9375</v>
      </c>
      <c r="P2829">
        <v>33.375507550000002</v>
      </c>
      <c r="Q2829">
        <v>2.4262999999999999</v>
      </c>
      <c r="R2829" t="s">
        <v>1040</v>
      </c>
      <c r="S2829">
        <v>0.75022830000000007</v>
      </c>
    </row>
    <row r="2830" spans="1:19" x14ac:dyDescent="0.25">
      <c r="A2830" t="s">
        <v>39</v>
      </c>
      <c r="B2830" t="s">
        <v>946</v>
      </c>
      <c r="C2830">
        <v>2</v>
      </c>
      <c r="D2830" t="s">
        <v>15</v>
      </c>
      <c r="E2830" t="s">
        <v>94</v>
      </c>
      <c r="F2830" t="s">
        <v>113</v>
      </c>
      <c r="G2830" t="s">
        <v>113</v>
      </c>
      <c r="H2830" t="s">
        <v>113</v>
      </c>
      <c r="J2830">
        <v>0</v>
      </c>
      <c r="K2830">
        <v>5</v>
      </c>
      <c r="L2830">
        <v>83.757575759999995</v>
      </c>
      <c r="M2830">
        <v>22.60997987</v>
      </c>
      <c r="N2830">
        <v>0.72884000000000004</v>
      </c>
      <c r="O2830">
        <v>83.757575759999995</v>
      </c>
      <c r="P2830">
        <v>22.60997987</v>
      </c>
      <c r="Q2830">
        <v>0.72884000000000004</v>
      </c>
      <c r="R2830" t="s">
        <v>1040</v>
      </c>
      <c r="S2830">
        <v>0</v>
      </c>
    </row>
    <row r="2831" spans="1:19" x14ac:dyDescent="0.25">
      <c r="A2831" t="s">
        <v>39</v>
      </c>
      <c r="B2831" t="s">
        <v>946</v>
      </c>
      <c r="C2831">
        <v>2</v>
      </c>
      <c r="D2831" t="s">
        <v>15</v>
      </c>
      <c r="E2831" t="s">
        <v>94</v>
      </c>
      <c r="F2831" t="s">
        <v>113</v>
      </c>
      <c r="G2831" t="s">
        <v>113</v>
      </c>
      <c r="H2831" t="s">
        <v>233</v>
      </c>
      <c r="J2831">
        <v>0</v>
      </c>
      <c r="K2831">
        <v>4</v>
      </c>
      <c r="L2831">
        <v>83.757575759999995</v>
      </c>
      <c r="M2831">
        <v>22.60997987</v>
      </c>
      <c r="N2831">
        <v>0.72884000000000004</v>
      </c>
      <c r="O2831">
        <v>106.0540541</v>
      </c>
      <c r="P2831">
        <v>52.690533369999997</v>
      </c>
      <c r="Q2831">
        <v>7.6058968000000005E-2</v>
      </c>
      <c r="R2831" t="s">
        <v>1040</v>
      </c>
      <c r="S2831">
        <v>-0.23587548999999999</v>
      </c>
    </row>
    <row r="2832" spans="1:19" x14ac:dyDescent="0.25">
      <c r="A2832" t="s">
        <v>39</v>
      </c>
      <c r="B2832" t="s">
        <v>946</v>
      </c>
      <c r="C2832">
        <v>2</v>
      </c>
      <c r="D2832" t="s">
        <v>15</v>
      </c>
      <c r="E2832" t="s">
        <v>94</v>
      </c>
      <c r="F2832" t="s">
        <v>113</v>
      </c>
      <c r="G2832" t="s">
        <v>113</v>
      </c>
      <c r="H2832" t="s">
        <v>234</v>
      </c>
      <c r="J2832">
        <v>0</v>
      </c>
      <c r="K2832">
        <v>1</v>
      </c>
      <c r="L2832">
        <v>83.757575759999995</v>
      </c>
      <c r="M2832">
        <v>22.60997987</v>
      </c>
      <c r="N2832">
        <v>0.72884000000000004</v>
      </c>
      <c r="O2832">
        <v>89.8125</v>
      </c>
      <c r="P2832">
        <v>34.754706650000003</v>
      </c>
      <c r="Q2832">
        <v>2.3065078999999999E-2</v>
      </c>
      <c r="R2832" t="s">
        <v>1040</v>
      </c>
      <c r="S2832">
        <v>-2.2661532700000002</v>
      </c>
    </row>
    <row r="2833" spans="1:19" x14ac:dyDescent="0.25">
      <c r="A2833" t="s">
        <v>39</v>
      </c>
      <c r="B2833" t="s">
        <v>947</v>
      </c>
      <c r="C2833">
        <v>2</v>
      </c>
      <c r="D2833" t="s">
        <v>15</v>
      </c>
      <c r="E2833" t="s">
        <v>94</v>
      </c>
      <c r="F2833" t="s">
        <v>103</v>
      </c>
      <c r="G2833" t="s">
        <v>103</v>
      </c>
      <c r="H2833" t="s">
        <v>103</v>
      </c>
      <c r="J2833">
        <v>0</v>
      </c>
      <c r="K2833">
        <v>3</v>
      </c>
      <c r="L2833">
        <v>98.291666669999998</v>
      </c>
      <c r="M2833">
        <v>30.315130790000001</v>
      </c>
      <c r="N2833">
        <v>5.0803484000000003E-2</v>
      </c>
      <c r="O2833">
        <v>98.291666669999998</v>
      </c>
      <c r="P2833">
        <v>30.315130790000001</v>
      </c>
      <c r="Q2833">
        <v>5.0803484000000003E-2</v>
      </c>
      <c r="R2833" t="s">
        <v>1040</v>
      </c>
      <c r="S2833">
        <v>0</v>
      </c>
    </row>
    <row r="2834" spans="1:19" x14ac:dyDescent="0.25">
      <c r="A2834" t="s">
        <v>39</v>
      </c>
      <c r="B2834" t="s">
        <v>947</v>
      </c>
      <c r="C2834">
        <v>2</v>
      </c>
      <c r="D2834" t="s">
        <v>15</v>
      </c>
      <c r="E2834" t="s">
        <v>94</v>
      </c>
      <c r="F2834" t="s">
        <v>103</v>
      </c>
      <c r="G2834" t="s">
        <v>103</v>
      </c>
      <c r="H2834" t="s">
        <v>104</v>
      </c>
      <c r="J2834">
        <v>0</v>
      </c>
      <c r="K2834">
        <v>1</v>
      </c>
      <c r="L2834">
        <v>98.291666669999998</v>
      </c>
      <c r="M2834">
        <v>30.315130790000001</v>
      </c>
      <c r="N2834">
        <v>5.0803484000000003E-2</v>
      </c>
      <c r="O2834">
        <v>113.9375</v>
      </c>
      <c r="P2834">
        <v>33.375507550000002</v>
      </c>
      <c r="Q2834">
        <v>2.4262999999999999</v>
      </c>
      <c r="R2834" t="s">
        <v>1040</v>
      </c>
      <c r="S2834">
        <v>2.1739100000000011E-2</v>
      </c>
    </row>
    <row r="2835" spans="1:19" x14ac:dyDescent="0.25">
      <c r="A2835" t="s">
        <v>39</v>
      </c>
      <c r="B2835" t="s">
        <v>947</v>
      </c>
      <c r="C2835">
        <v>2</v>
      </c>
      <c r="D2835" t="s">
        <v>15</v>
      </c>
      <c r="E2835" t="s">
        <v>94</v>
      </c>
      <c r="F2835" t="s">
        <v>103</v>
      </c>
      <c r="G2835" t="s">
        <v>103</v>
      </c>
      <c r="H2835" t="s">
        <v>113</v>
      </c>
      <c r="J2835">
        <v>0</v>
      </c>
      <c r="K2835">
        <v>4</v>
      </c>
      <c r="L2835">
        <v>98.291666669999998</v>
      </c>
      <c r="M2835">
        <v>30.315130790000001</v>
      </c>
      <c r="N2835">
        <v>5.0803484000000003E-2</v>
      </c>
      <c r="O2835">
        <v>83.757575759999995</v>
      </c>
      <c r="P2835">
        <v>22.60997987</v>
      </c>
      <c r="Q2835">
        <v>0.72884000000000004</v>
      </c>
      <c r="R2835" t="s">
        <v>1040</v>
      </c>
      <c r="S2835">
        <v>0.21564730000000001</v>
      </c>
    </row>
    <row r="2836" spans="1:19" x14ac:dyDescent="0.25">
      <c r="A2836" t="s">
        <v>39</v>
      </c>
      <c r="B2836" t="s">
        <v>948</v>
      </c>
      <c r="C2836">
        <v>2</v>
      </c>
      <c r="D2836" t="s">
        <v>15</v>
      </c>
      <c r="E2836" t="s">
        <v>94</v>
      </c>
      <c r="F2836" t="s">
        <v>111</v>
      </c>
      <c r="G2836" t="s">
        <v>104</v>
      </c>
      <c r="H2836" t="s">
        <v>236</v>
      </c>
      <c r="J2836">
        <v>0</v>
      </c>
      <c r="K2836">
        <v>1</v>
      </c>
      <c r="L2836">
        <v>94.97142857</v>
      </c>
      <c r="M2836">
        <v>24.31591813</v>
      </c>
      <c r="N2836">
        <v>0.122951111</v>
      </c>
      <c r="O2836">
        <v>113.33333330000001</v>
      </c>
      <c r="P2836">
        <v>26.41632581</v>
      </c>
      <c r="Q2836">
        <v>1.6844570160000001</v>
      </c>
      <c r="R2836" t="s">
        <v>1040</v>
      </c>
      <c r="S2836">
        <v>0.30122219</v>
      </c>
    </row>
    <row r="2837" spans="1:19" x14ac:dyDescent="0.25">
      <c r="A2837" t="s">
        <v>39</v>
      </c>
      <c r="B2837" t="s">
        <v>948</v>
      </c>
      <c r="C2837">
        <v>2</v>
      </c>
      <c r="D2837" t="s">
        <v>15</v>
      </c>
      <c r="E2837" t="s">
        <v>94</v>
      </c>
      <c r="F2837" t="s">
        <v>111</v>
      </c>
      <c r="G2837" t="s">
        <v>104</v>
      </c>
      <c r="H2837" t="s">
        <v>103</v>
      </c>
      <c r="J2837">
        <v>0</v>
      </c>
      <c r="K2837">
        <v>1</v>
      </c>
      <c r="L2837">
        <v>94.97142857</v>
      </c>
      <c r="M2837">
        <v>24.31591813</v>
      </c>
      <c r="N2837">
        <v>0.122951111</v>
      </c>
      <c r="O2837">
        <v>98.291666669999998</v>
      </c>
      <c r="P2837">
        <v>30.315130790000001</v>
      </c>
      <c r="Q2837">
        <v>5.0803484000000003E-2</v>
      </c>
      <c r="R2837" t="s">
        <v>1040</v>
      </c>
      <c r="S2837">
        <v>-3.8152799999999987E-2</v>
      </c>
    </row>
    <row r="2838" spans="1:19" x14ac:dyDescent="0.25">
      <c r="A2838" t="s">
        <v>39</v>
      </c>
      <c r="B2838" t="s">
        <v>948</v>
      </c>
      <c r="C2838">
        <v>2</v>
      </c>
      <c r="D2838" t="s">
        <v>15</v>
      </c>
      <c r="E2838" t="s">
        <v>94</v>
      </c>
      <c r="F2838" t="s">
        <v>111</v>
      </c>
      <c r="G2838" t="s">
        <v>104</v>
      </c>
      <c r="H2838" t="s">
        <v>104</v>
      </c>
      <c r="J2838">
        <v>0</v>
      </c>
      <c r="K2838">
        <v>1</v>
      </c>
      <c r="L2838">
        <v>94.97142857</v>
      </c>
      <c r="M2838">
        <v>24.31591813</v>
      </c>
      <c r="N2838">
        <v>0.122951111</v>
      </c>
      <c r="O2838">
        <v>113.9375</v>
      </c>
      <c r="P2838">
        <v>33.375507550000002</v>
      </c>
      <c r="Q2838">
        <v>2.4262999999999999</v>
      </c>
      <c r="R2838" t="s">
        <v>1040</v>
      </c>
      <c r="S2838">
        <v>-1.6413699999999976E-2</v>
      </c>
    </row>
    <row r="2839" spans="1:19" x14ac:dyDescent="0.25">
      <c r="A2839" t="s">
        <v>39</v>
      </c>
      <c r="B2839" t="s">
        <v>949</v>
      </c>
      <c r="C2839">
        <v>2</v>
      </c>
      <c r="D2839" t="s">
        <v>15</v>
      </c>
      <c r="E2839" t="s">
        <v>94</v>
      </c>
      <c r="F2839" t="s">
        <v>104</v>
      </c>
      <c r="G2839" t="s">
        <v>104</v>
      </c>
      <c r="H2839" t="s">
        <v>104</v>
      </c>
      <c r="J2839">
        <v>0</v>
      </c>
      <c r="K2839">
        <v>3</v>
      </c>
      <c r="L2839">
        <v>113.9375</v>
      </c>
      <c r="M2839">
        <v>33.375507550000002</v>
      </c>
      <c r="N2839">
        <v>2.4262999999999999</v>
      </c>
      <c r="O2839">
        <v>113.9375</v>
      </c>
      <c r="P2839">
        <v>33.375507550000002</v>
      </c>
      <c r="Q2839">
        <v>2.4262999999999999</v>
      </c>
      <c r="R2839" t="s">
        <v>1040</v>
      </c>
      <c r="S2839">
        <v>0</v>
      </c>
    </row>
    <row r="2840" spans="1:19" x14ac:dyDescent="0.25">
      <c r="A2840" t="s">
        <v>39</v>
      </c>
      <c r="B2840" t="s">
        <v>949</v>
      </c>
      <c r="C2840">
        <v>2</v>
      </c>
      <c r="D2840" t="s">
        <v>15</v>
      </c>
      <c r="E2840" t="s">
        <v>94</v>
      </c>
      <c r="F2840" t="s">
        <v>104</v>
      </c>
      <c r="G2840" t="s">
        <v>104</v>
      </c>
      <c r="H2840" t="s">
        <v>113</v>
      </c>
      <c r="J2840">
        <v>0</v>
      </c>
      <c r="K2840">
        <v>1</v>
      </c>
      <c r="L2840">
        <v>113.9375</v>
      </c>
      <c r="M2840">
        <v>33.375507550000002</v>
      </c>
      <c r="N2840">
        <v>2.4262999999999999</v>
      </c>
      <c r="O2840">
        <v>83.757575759999995</v>
      </c>
      <c r="P2840">
        <v>22.60997987</v>
      </c>
      <c r="Q2840">
        <v>0.72884000000000004</v>
      </c>
      <c r="R2840" t="s">
        <v>1040</v>
      </c>
      <c r="S2840">
        <v>0.1939082</v>
      </c>
    </row>
    <row r="2841" spans="1:19" x14ac:dyDescent="0.25">
      <c r="A2841" t="s">
        <v>40</v>
      </c>
      <c r="B2841" t="s">
        <v>950</v>
      </c>
      <c r="C2841">
        <v>2</v>
      </c>
      <c r="D2841" t="s">
        <v>17</v>
      </c>
      <c r="E2841" t="s">
        <v>95</v>
      </c>
      <c r="F2841" t="s">
        <v>113</v>
      </c>
      <c r="G2841" t="s">
        <v>113</v>
      </c>
      <c r="H2841" t="s">
        <v>113</v>
      </c>
      <c r="J2841">
        <v>0</v>
      </c>
      <c r="K2841">
        <v>1</v>
      </c>
      <c r="L2841">
        <v>83.757575759999995</v>
      </c>
      <c r="M2841">
        <v>22.60997987</v>
      </c>
      <c r="N2841">
        <v>0.72884000000000004</v>
      </c>
      <c r="O2841">
        <v>83.757575759999995</v>
      </c>
      <c r="P2841">
        <v>22.60997987</v>
      </c>
      <c r="Q2841">
        <v>0.72884000000000004</v>
      </c>
      <c r="R2841" t="s">
        <v>1040</v>
      </c>
      <c r="S2841">
        <v>0</v>
      </c>
    </row>
    <row r="2842" spans="1:19" x14ac:dyDescent="0.25">
      <c r="A2842" t="s">
        <v>40</v>
      </c>
      <c r="B2842" t="s">
        <v>950</v>
      </c>
      <c r="C2842">
        <v>2</v>
      </c>
      <c r="D2842" t="s">
        <v>17</v>
      </c>
      <c r="E2842" t="s">
        <v>95</v>
      </c>
      <c r="F2842" t="s">
        <v>113</v>
      </c>
      <c r="G2842" t="s">
        <v>113</v>
      </c>
      <c r="H2842" t="s">
        <v>103</v>
      </c>
      <c r="J2842">
        <v>0</v>
      </c>
      <c r="K2842">
        <v>2</v>
      </c>
      <c r="L2842">
        <v>83.757575759999995</v>
      </c>
      <c r="M2842">
        <v>22.60997987</v>
      </c>
      <c r="N2842">
        <v>0.72884000000000004</v>
      </c>
      <c r="O2842">
        <v>98.291666669999998</v>
      </c>
      <c r="P2842">
        <v>30.315130790000001</v>
      </c>
      <c r="Q2842">
        <v>5.0803484000000003E-2</v>
      </c>
      <c r="R2842" t="s">
        <v>1040</v>
      </c>
      <c r="S2842">
        <v>-0.21564730000000001</v>
      </c>
    </row>
    <row r="2843" spans="1:19" x14ac:dyDescent="0.25">
      <c r="A2843" t="s">
        <v>40</v>
      </c>
      <c r="B2843" t="s">
        <v>951</v>
      </c>
      <c r="C2843">
        <v>2</v>
      </c>
      <c r="D2843" t="s">
        <v>17</v>
      </c>
      <c r="E2843" t="s">
        <v>95</v>
      </c>
      <c r="F2843" t="s">
        <v>103</v>
      </c>
      <c r="G2843" t="s">
        <v>103</v>
      </c>
      <c r="H2843" t="s">
        <v>103</v>
      </c>
      <c r="J2843">
        <v>0</v>
      </c>
      <c r="K2843">
        <v>6</v>
      </c>
      <c r="L2843">
        <v>98.291666669999998</v>
      </c>
      <c r="M2843">
        <v>30.315130790000001</v>
      </c>
      <c r="N2843">
        <v>5.0803484000000003E-2</v>
      </c>
      <c r="O2843">
        <v>98.291666669999998</v>
      </c>
      <c r="P2843">
        <v>30.315130790000001</v>
      </c>
      <c r="Q2843">
        <v>5.0803484000000003E-2</v>
      </c>
      <c r="R2843" t="s">
        <v>1040</v>
      </c>
      <c r="S2843">
        <v>0</v>
      </c>
    </row>
    <row r="2844" spans="1:19" x14ac:dyDescent="0.25">
      <c r="A2844" t="s">
        <v>40</v>
      </c>
      <c r="B2844" t="s">
        <v>952</v>
      </c>
      <c r="C2844">
        <v>2</v>
      </c>
      <c r="D2844" t="s">
        <v>17</v>
      </c>
      <c r="E2844" t="s">
        <v>95</v>
      </c>
      <c r="F2844" t="s">
        <v>112</v>
      </c>
      <c r="G2844" t="s">
        <v>103</v>
      </c>
      <c r="H2844" t="s">
        <v>103</v>
      </c>
      <c r="I2844" t="s">
        <v>243</v>
      </c>
      <c r="J2844">
        <v>1</v>
      </c>
      <c r="K2844">
        <v>7</v>
      </c>
      <c r="L2844">
        <v>65.09375</v>
      </c>
      <c r="M2844">
        <v>37.895352600000002</v>
      </c>
      <c r="N2844">
        <v>2.2882677779999998</v>
      </c>
      <c r="O2844">
        <v>98.291666669999998</v>
      </c>
      <c r="P2844">
        <v>30.315130790000001</v>
      </c>
      <c r="Q2844">
        <v>5.0803484000000003E-2</v>
      </c>
      <c r="R2844" t="s">
        <v>1040</v>
      </c>
      <c r="S2844">
        <v>1.7825167</v>
      </c>
    </row>
    <row r="2845" spans="1:19" x14ac:dyDescent="0.25">
      <c r="A2845" t="s">
        <v>40</v>
      </c>
      <c r="B2845" t="s">
        <v>952</v>
      </c>
      <c r="C2845">
        <v>2</v>
      </c>
      <c r="D2845" t="s">
        <v>17</v>
      </c>
      <c r="E2845" t="s">
        <v>95</v>
      </c>
      <c r="F2845" t="s">
        <v>112</v>
      </c>
      <c r="G2845" t="s">
        <v>103</v>
      </c>
      <c r="H2845" t="s">
        <v>113</v>
      </c>
      <c r="J2845">
        <v>1</v>
      </c>
      <c r="K2845">
        <v>5</v>
      </c>
      <c r="L2845">
        <v>65.09375</v>
      </c>
      <c r="M2845">
        <v>37.895352600000002</v>
      </c>
      <c r="N2845">
        <v>2.2882677779999998</v>
      </c>
      <c r="O2845">
        <v>83.757575759999995</v>
      </c>
      <c r="P2845">
        <v>22.60997987</v>
      </c>
      <c r="Q2845">
        <v>0.72884000000000004</v>
      </c>
      <c r="R2845" t="s">
        <v>1040</v>
      </c>
      <c r="S2845">
        <v>1.9981640000000001</v>
      </c>
    </row>
    <row r="2846" spans="1:19" x14ac:dyDescent="0.25">
      <c r="A2846" t="s">
        <v>41</v>
      </c>
      <c r="B2846" t="s">
        <v>953</v>
      </c>
      <c r="C2846">
        <v>2</v>
      </c>
      <c r="D2846" t="s">
        <v>19</v>
      </c>
      <c r="E2846" t="s">
        <v>94</v>
      </c>
      <c r="F2846" t="s">
        <v>105</v>
      </c>
      <c r="G2846" t="s">
        <v>104</v>
      </c>
      <c r="H2846" t="s">
        <v>104</v>
      </c>
      <c r="J2846">
        <v>0</v>
      </c>
      <c r="K2846">
        <v>3</v>
      </c>
      <c r="L2846">
        <v>67.5</v>
      </c>
      <c r="M2846">
        <v>47.937235809999997</v>
      </c>
      <c r="N2846">
        <v>0.41599678000000001</v>
      </c>
      <c r="O2846">
        <v>113.9375</v>
      </c>
      <c r="P2846">
        <v>33.375507550000002</v>
      </c>
      <c r="Q2846">
        <v>2.4262999999999999</v>
      </c>
      <c r="R2846" t="s">
        <v>1040</v>
      </c>
      <c r="S2846">
        <v>1.6881130999999998</v>
      </c>
    </row>
    <row r="2847" spans="1:19" x14ac:dyDescent="0.25">
      <c r="A2847" t="s">
        <v>41</v>
      </c>
      <c r="B2847" t="s">
        <v>953</v>
      </c>
      <c r="C2847">
        <v>2</v>
      </c>
      <c r="D2847" t="s">
        <v>19</v>
      </c>
      <c r="E2847" t="s">
        <v>94</v>
      </c>
      <c r="F2847" t="s">
        <v>105</v>
      </c>
      <c r="G2847" t="s">
        <v>104</v>
      </c>
      <c r="H2847" t="s">
        <v>113</v>
      </c>
      <c r="J2847">
        <v>0</v>
      </c>
      <c r="K2847">
        <v>1</v>
      </c>
      <c r="L2847">
        <v>67.5</v>
      </c>
      <c r="M2847">
        <v>47.937235809999997</v>
      </c>
      <c r="N2847">
        <v>0.41599678000000001</v>
      </c>
      <c r="O2847">
        <v>83.757575759999995</v>
      </c>
      <c r="P2847">
        <v>22.60997987</v>
      </c>
      <c r="Q2847">
        <v>0.72884000000000004</v>
      </c>
      <c r="R2847" t="s">
        <v>1040</v>
      </c>
      <c r="S2847">
        <v>1.8820212999999999</v>
      </c>
    </row>
    <row r="2848" spans="1:19" x14ac:dyDescent="0.25">
      <c r="A2848" t="s">
        <v>41</v>
      </c>
      <c r="B2848" t="s">
        <v>953</v>
      </c>
      <c r="C2848">
        <v>2</v>
      </c>
      <c r="D2848" t="s">
        <v>19</v>
      </c>
      <c r="E2848" t="s">
        <v>94</v>
      </c>
      <c r="F2848" t="s">
        <v>105</v>
      </c>
      <c r="G2848" t="s">
        <v>104</v>
      </c>
      <c r="H2848" t="s">
        <v>237</v>
      </c>
      <c r="J2848">
        <v>0</v>
      </c>
      <c r="K2848">
        <v>1</v>
      </c>
      <c r="L2848">
        <v>67.5</v>
      </c>
      <c r="M2848">
        <v>47.937235809999997</v>
      </c>
      <c r="N2848">
        <v>0.41599678000000001</v>
      </c>
      <c r="O2848">
        <v>83.888888890000004</v>
      </c>
      <c r="P2848">
        <v>31.026943280000001</v>
      </c>
      <c r="Q2848">
        <v>0.53083999999999998</v>
      </c>
      <c r="R2848" t="s">
        <v>1040</v>
      </c>
      <c r="S2848">
        <v>1.8465805099999999</v>
      </c>
    </row>
    <row r="2849" spans="1:19" x14ac:dyDescent="0.25">
      <c r="A2849" t="s">
        <v>41</v>
      </c>
      <c r="B2849" t="s">
        <v>953</v>
      </c>
      <c r="C2849">
        <v>2</v>
      </c>
      <c r="D2849" t="s">
        <v>19</v>
      </c>
      <c r="E2849" t="s">
        <v>94</v>
      </c>
      <c r="F2849" t="s">
        <v>105</v>
      </c>
      <c r="G2849" t="s">
        <v>104</v>
      </c>
      <c r="H2849" t="s">
        <v>239</v>
      </c>
      <c r="J2849">
        <v>0</v>
      </c>
      <c r="K2849">
        <v>1</v>
      </c>
      <c r="L2849">
        <v>67.5</v>
      </c>
      <c r="M2849">
        <v>47.937235809999997</v>
      </c>
      <c r="N2849">
        <v>0.41599678000000001</v>
      </c>
      <c r="O2849">
        <v>100.45454549999999</v>
      </c>
      <c r="P2849">
        <v>26.754810689999999</v>
      </c>
      <c r="Q2849">
        <v>0.75829999999999997</v>
      </c>
      <c r="R2849" t="s">
        <v>1040</v>
      </c>
      <c r="S2849">
        <v>1.6859560899999999</v>
      </c>
    </row>
    <row r="2850" spans="1:19" x14ac:dyDescent="0.25">
      <c r="A2850" t="s">
        <v>41</v>
      </c>
      <c r="B2850" t="s">
        <v>954</v>
      </c>
      <c r="C2850">
        <v>2</v>
      </c>
      <c r="D2850" t="s">
        <v>19</v>
      </c>
      <c r="E2850" t="s">
        <v>94</v>
      </c>
      <c r="F2850" t="s">
        <v>113</v>
      </c>
      <c r="G2850" t="s">
        <v>104</v>
      </c>
      <c r="H2850" t="s">
        <v>237</v>
      </c>
      <c r="J2850">
        <v>0</v>
      </c>
      <c r="K2850">
        <v>1</v>
      </c>
      <c r="L2850">
        <v>83.757575759999995</v>
      </c>
      <c r="M2850">
        <v>22.60997987</v>
      </c>
      <c r="N2850">
        <v>0.72884000000000004</v>
      </c>
      <c r="O2850">
        <v>83.888888890000004</v>
      </c>
      <c r="P2850">
        <v>31.026943280000001</v>
      </c>
      <c r="Q2850">
        <v>0.53083999999999998</v>
      </c>
      <c r="R2850" t="s">
        <v>1040</v>
      </c>
      <c r="S2850">
        <v>-3.544079E-2</v>
      </c>
    </row>
    <row r="2851" spans="1:19" x14ac:dyDescent="0.25">
      <c r="A2851" t="s">
        <v>41</v>
      </c>
      <c r="B2851" t="s">
        <v>954</v>
      </c>
      <c r="C2851">
        <v>2</v>
      </c>
      <c r="D2851" t="s">
        <v>19</v>
      </c>
      <c r="E2851" t="s">
        <v>94</v>
      </c>
      <c r="F2851" t="s">
        <v>113</v>
      </c>
      <c r="G2851" t="s">
        <v>104</v>
      </c>
      <c r="H2851" t="s">
        <v>113</v>
      </c>
      <c r="J2851">
        <v>0</v>
      </c>
      <c r="K2851">
        <v>7</v>
      </c>
      <c r="L2851">
        <v>83.757575759999995</v>
      </c>
      <c r="M2851">
        <v>22.60997987</v>
      </c>
      <c r="N2851">
        <v>0.72884000000000004</v>
      </c>
      <c r="O2851">
        <v>83.757575759999995</v>
      </c>
      <c r="P2851">
        <v>22.60997987</v>
      </c>
      <c r="Q2851">
        <v>0.72884000000000004</v>
      </c>
      <c r="R2851" t="s">
        <v>1040</v>
      </c>
      <c r="S2851">
        <v>0</v>
      </c>
    </row>
    <row r="2852" spans="1:19" x14ac:dyDescent="0.25">
      <c r="A2852" t="s">
        <v>41</v>
      </c>
      <c r="B2852" t="s">
        <v>954</v>
      </c>
      <c r="C2852">
        <v>2</v>
      </c>
      <c r="D2852" t="s">
        <v>19</v>
      </c>
      <c r="E2852" t="s">
        <v>94</v>
      </c>
      <c r="F2852" t="s">
        <v>113</v>
      </c>
      <c r="G2852" t="s">
        <v>104</v>
      </c>
      <c r="H2852" t="s">
        <v>104</v>
      </c>
      <c r="J2852">
        <v>0</v>
      </c>
      <c r="K2852">
        <v>1</v>
      </c>
      <c r="L2852">
        <v>83.757575759999995</v>
      </c>
      <c r="M2852">
        <v>22.60997987</v>
      </c>
      <c r="N2852">
        <v>0.72884000000000004</v>
      </c>
      <c r="O2852">
        <v>113.9375</v>
      </c>
      <c r="P2852">
        <v>33.375507550000002</v>
      </c>
      <c r="Q2852">
        <v>2.4262999999999999</v>
      </c>
      <c r="R2852" t="s">
        <v>1040</v>
      </c>
      <c r="S2852">
        <v>-0.1939082</v>
      </c>
    </row>
    <row r="2853" spans="1:19" x14ac:dyDescent="0.25">
      <c r="A2853" t="s">
        <v>41</v>
      </c>
      <c r="B2853" t="s">
        <v>954</v>
      </c>
      <c r="C2853">
        <v>2</v>
      </c>
      <c r="D2853" t="s">
        <v>19</v>
      </c>
      <c r="E2853" t="s">
        <v>94</v>
      </c>
      <c r="F2853" t="s">
        <v>113</v>
      </c>
      <c r="G2853" t="s">
        <v>104</v>
      </c>
      <c r="H2853" t="s">
        <v>238</v>
      </c>
      <c r="J2853">
        <v>0</v>
      </c>
      <c r="K2853">
        <v>1</v>
      </c>
      <c r="L2853">
        <v>83.757575759999995</v>
      </c>
      <c r="M2853">
        <v>22.60997987</v>
      </c>
      <c r="N2853">
        <v>0.72884000000000004</v>
      </c>
      <c r="O2853">
        <v>87.5</v>
      </c>
      <c r="P2853">
        <v>29.478311600000001</v>
      </c>
      <c r="Q2853">
        <v>3.0797751000000002E-2</v>
      </c>
      <c r="R2853" t="s">
        <v>1040</v>
      </c>
      <c r="S2853">
        <v>8.3695049999999993E-2</v>
      </c>
    </row>
    <row r="2854" spans="1:19" x14ac:dyDescent="0.25">
      <c r="A2854" t="s">
        <v>41</v>
      </c>
      <c r="B2854" t="s">
        <v>955</v>
      </c>
      <c r="C2854">
        <v>2</v>
      </c>
      <c r="D2854" t="s">
        <v>19</v>
      </c>
      <c r="E2854" t="s">
        <v>94</v>
      </c>
      <c r="F2854" t="s">
        <v>103</v>
      </c>
      <c r="G2854" t="s">
        <v>113</v>
      </c>
      <c r="H2854" t="s">
        <v>103</v>
      </c>
      <c r="J2854">
        <v>0</v>
      </c>
      <c r="K2854">
        <v>2</v>
      </c>
      <c r="L2854">
        <v>98.291666669999998</v>
      </c>
      <c r="M2854">
        <v>30.315130790000001</v>
      </c>
      <c r="N2854">
        <v>5.0803484000000003E-2</v>
      </c>
      <c r="O2854">
        <v>98.291666669999998</v>
      </c>
      <c r="P2854">
        <v>30.315130790000001</v>
      </c>
      <c r="Q2854">
        <v>5.0803484000000003E-2</v>
      </c>
      <c r="R2854" t="s">
        <v>1040</v>
      </c>
      <c r="S2854">
        <v>0</v>
      </c>
    </row>
    <row r="2855" spans="1:19" x14ac:dyDescent="0.25">
      <c r="A2855" t="s">
        <v>41</v>
      </c>
      <c r="B2855" t="s">
        <v>955</v>
      </c>
      <c r="C2855">
        <v>2</v>
      </c>
      <c r="D2855" t="s">
        <v>19</v>
      </c>
      <c r="E2855" t="s">
        <v>94</v>
      </c>
      <c r="F2855" t="s">
        <v>103</v>
      </c>
      <c r="G2855" t="s">
        <v>113</v>
      </c>
      <c r="H2855" t="s">
        <v>113</v>
      </c>
      <c r="J2855">
        <v>0</v>
      </c>
      <c r="K2855">
        <v>3</v>
      </c>
      <c r="L2855">
        <v>98.291666669999998</v>
      </c>
      <c r="M2855">
        <v>30.315130790000001</v>
      </c>
      <c r="N2855">
        <v>5.0803484000000003E-2</v>
      </c>
      <c r="O2855">
        <v>83.757575759999995</v>
      </c>
      <c r="P2855">
        <v>22.60997987</v>
      </c>
      <c r="Q2855">
        <v>0.72884000000000004</v>
      </c>
      <c r="R2855" t="s">
        <v>1040</v>
      </c>
      <c r="S2855">
        <v>0.21564730000000001</v>
      </c>
    </row>
    <row r="2856" spans="1:19" x14ac:dyDescent="0.25">
      <c r="A2856" t="s">
        <v>42</v>
      </c>
      <c r="B2856" t="s">
        <v>956</v>
      </c>
      <c r="C2856">
        <v>2</v>
      </c>
      <c r="D2856" t="s">
        <v>21</v>
      </c>
      <c r="E2856" t="s">
        <v>94</v>
      </c>
      <c r="F2856" t="s">
        <v>105</v>
      </c>
      <c r="G2856" t="s">
        <v>121</v>
      </c>
      <c r="H2856" t="s">
        <v>242</v>
      </c>
      <c r="J2856">
        <v>0</v>
      </c>
      <c r="K2856">
        <v>6</v>
      </c>
      <c r="L2856">
        <v>67.5</v>
      </c>
      <c r="M2856">
        <v>47.937235809999997</v>
      </c>
      <c r="N2856">
        <v>0.41599678000000001</v>
      </c>
      <c r="O2856">
        <v>139.375</v>
      </c>
      <c r="P2856">
        <v>23.713465920000001</v>
      </c>
      <c r="Q2856" t="s">
        <v>114</v>
      </c>
      <c r="R2856" t="s">
        <v>1040</v>
      </c>
      <c r="S2856" t="s">
        <v>114</v>
      </c>
    </row>
    <row r="2857" spans="1:19" x14ac:dyDescent="0.25">
      <c r="A2857" t="s">
        <v>42</v>
      </c>
      <c r="B2857" t="s">
        <v>957</v>
      </c>
      <c r="C2857">
        <v>2</v>
      </c>
      <c r="D2857" t="s">
        <v>21</v>
      </c>
      <c r="E2857" t="s">
        <v>94</v>
      </c>
      <c r="F2857" t="s">
        <v>110</v>
      </c>
      <c r="G2857" t="s">
        <v>113</v>
      </c>
      <c r="H2857" t="s">
        <v>104</v>
      </c>
      <c r="J2857">
        <v>0</v>
      </c>
      <c r="K2857">
        <v>2</v>
      </c>
      <c r="L2857">
        <v>73.260869569999997</v>
      </c>
      <c r="M2857">
        <v>34.453830549999999</v>
      </c>
      <c r="N2857">
        <v>1.058333333</v>
      </c>
      <c r="O2857">
        <v>113.9375</v>
      </c>
      <c r="P2857">
        <v>33.375507550000002</v>
      </c>
      <c r="Q2857">
        <v>2.4262999999999999</v>
      </c>
      <c r="R2857" t="s">
        <v>1040</v>
      </c>
      <c r="S2857">
        <v>0.50204910000000003</v>
      </c>
    </row>
    <row r="2858" spans="1:19" x14ac:dyDescent="0.25">
      <c r="A2858" t="s">
        <v>42</v>
      </c>
      <c r="B2858" t="s">
        <v>957</v>
      </c>
      <c r="C2858">
        <v>2</v>
      </c>
      <c r="D2858" t="s">
        <v>21</v>
      </c>
      <c r="E2858" t="s">
        <v>94</v>
      </c>
      <c r="F2858" t="s">
        <v>110</v>
      </c>
      <c r="G2858" t="s">
        <v>113</v>
      </c>
      <c r="H2858" t="s">
        <v>242</v>
      </c>
      <c r="J2858">
        <v>0</v>
      </c>
      <c r="K2858">
        <v>5</v>
      </c>
      <c r="L2858">
        <v>73.260869569999997</v>
      </c>
      <c r="M2858">
        <v>34.453830549999999</v>
      </c>
      <c r="N2858">
        <v>1.058333333</v>
      </c>
      <c r="O2858">
        <v>139.375</v>
      </c>
      <c r="P2858">
        <v>23.713465920000001</v>
      </c>
      <c r="Q2858" t="s">
        <v>114</v>
      </c>
      <c r="R2858" t="s">
        <v>1040</v>
      </c>
      <c r="S2858" t="s">
        <v>114</v>
      </c>
    </row>
    <row r="2859" spans="1:19" x14ac:dyDescent="0.25">
      <c r="A2859" t="s">
        <v>42</v>
      </c>
      <c r="B2859" t="s">
        <v>957</v>
      </c>
      <c r="C2859">
        <v>2</v>
      </c>
      <c r="D2859" t="s">
        <v>21</v>
      </c>
      <c r="E2859" t="s">
        <v>94</v>
      </c>
      <c r="F2859" t="s">
        <v>110</v>
      </c>
      <c r="G2859" t="s">
        <v>113</v>
      </c>
      <c r="H2859" t="s">
        <v>113</v>
      </c>
      <c r="J2859">
        <v>0</v>
      </c>
      <c r="K2859">
        <v>2</v>
      </c>
      <c r="L2859">
        <v>73.260869569999997</v>
      </c>
      <c r="M2859">
        <v>34.453830549999999</v>
      </c>
      <c r="N2859">
        <v>1.058333333</v>
      </c>
      <c r="O2859">
        <v>83.757575759999995</v>
      </c>
      <c r="P2859">
        <v>22.60997987</v>
      </c>
      <c r="Q2859">
        <v>0.72884000000000004</v>
      </c>
      <c r="R2859" t="s">
        <v>1040</v>
      </c>
      <c r="S2859">
        <v>0.6959573</v>
      </c>
    </row>
    <row r="2860" spans="1:19" x14ac:dyDescent="0.25">
      <c r="A2860" t="s">
        <v>42</v>
      </c>
      <c r="B2860" t="s">
        <v>958</v>
      </c>
      <c r="C2860">
        <v>2</v>
      </c>
      <c r="D2860" t="s">
        <v>21</v>
      </c>
      <c r="E2860" t="s">
        <v>94</v>
      </c>
      <c r="F2860" t="s">
        <v>111</v>
      </c>
      <c r="G2860" t="s">
        <v>110</v>
      </c>
      <c r="H2860" t="s">
        <v>113</v>
      </c>
      <c r="J2860">
        <v>0</v>
      </c>
      <c r="K2860">
        <v>1</v>
      </c>
      <c r="L2860">
        <v>94.97142857</v>
      </c>
      <c r="M2860">
        <v>24.31591813</v>
      </c>
      <c r="N2860">
        <v>0.122951111</v>
      </c>
      <c r="O2860">
        <v>83.757575759999995</v>
      </c>
      <c r="P2860">
        <v>22.60997987</v>
      </c>
      <c r="Q2860">
        <v>0.72884000000000004</v>
      </c>
      <c r="R2860" t="s">
        <v>1040</v>
      </c>
      <c r="S2860">
        <v>0.17749450000000003</v>
      </c>
    </row>
    <row r="2861" spans="1:19" x14ac:dyDescent="0.25">
      <c r="A2861" t="s">
        <v>42</v>
      </c>
      <c r="B2861" t="s">
        <v>958</v>
      </c>
      <c r="C2861">
        <v>2</v>
      </c>
      <c r="D2861" t="s">
        <v>21</v>
      </c>
      <c r="E2861" t="s">
        <v>94</v>
      </c>
      <c r="F2861" t="s">
        <v>111</v>
      </c>
      <c r="G2861" t="s">
        <v>110</v>
      </c>
      <c r="H2861" t="s">
        <v>110</v>
      </c>
      <c r="J2861">
        <v>0</v>
      </c>
      <c r="K2861">
        <v>1</v>
      </c>
      <c r="L2861">
        <v>94.97142857</v>
      </c>
      <c r="M2861">
        <v>24.31591813</v>
      </c>
      <c r="N2861">
        <v>0.122951111</v>
      </c>
      <c r="O2861">
        <v>73.260869569999997</v>
      </c>
      <c r="P2861">
        <v>34.453830549999999</v>
      </c>
      <c r="Q2861">
        <v>1.058333333</v>
      </c>
      <c r="R2861" t="s">
        <v>1040</v>
      </c>
      <c r="S2861">
        <v>-0.5184628</v>
      </c>
    </row>
    <row r="2862" spans="1:19" x14ac:dyDescent="0.25">
      <c r="A2862" t="s">
        <v>42</v>
      </c>
      <c r="B2862" t="s">
        <v>959</v>
      </c>
      <c r="C2862">
        <v>2</v>
      </c>
      <c r="D2862" t="s">
        <v>21</v>
      </c>
      <c r="E2862" t="s">
        <v>94</v>
      </c>
      <c r="F2862" t="s">
        <v>104</v>
      </c>
      <c r="G2862" t="s">
        <v>121</v>
      </c>
      <c r="H2862" t="s">
        <v>110</v>
      </c>
      <c r="J2862">
        <v>1</v>
      </c>
      <c r="K2862">
        <v>2</v>
      </c>
      <c r="L2862">
        <v>113.9375</v>
      </c>
      <c r="M2862">
        <v>33.375507550000002</v>
      </c>
      <c r="N2862">
        <v>2.4262999999999999</v>
      </c>
      <c r="O2862">
        <v>73.260869569999997</v>
      </c>
      <c r="P2862">
        <v>34.453830549999999</v>
      </c>
      <c r="Q2862">
        <v>1.058333333</v>
      </c>
      <c r="R2862" t="s">
        <v>1040</v>
      </c>
      <c r="S2862">
        <v>-0.50204910000000003</v>
      </c>
    </row>
    <row r="2863" spans="1:19" x14ac:dyDescent="0.25">
      <c r="A2863" t="s">
        <v>42</v>
      </c>
      <c r="B2863" t="s">
        <v>959</v>
      </c>
      <c r="C2863">
        <v>2</v>
      </c>
      <c r="D2863" t="s">
        <v>21</v>
      </c>
      <c r="E2863" t="s">
        <v>94</v>
      </c>
      <c r="F2863" t="s">
        <v>104</v>
      </c>
      <c r="G2863" t="s">
        <v>121</v>
      </c>
      <c r="H2863" t="s">
        <v>240</v>
      </c>
      <c r="J2863">
        <v>1</v>
      </c>
      <c r="K2863">
        <v>2</v>
      </c>
      <c r="L2863">
        <v>113.9375</v>
      </c>
      <c r="M2863">
        <v>33.375507550000002</v>
      </c>
      <c r="N2863">
        <v>2.4262999999999999</v>
      </c>
      <c r="O2863">
        <v>104.83333330000001</v>
      </c>
      <c r="P2863">
        <v>43.798647680000002</v>
      </c>
      <c r="Q2863">
        <v>7.7741939999999999E-3</v>
      </c>
      <c r="R2863" t="s">
        <v>1040</v>
      </c>
      <c r="S2863" t="s">
        <v>114</v>
      </c>
    </row>
    <row r="2864" spans="1:19" x14ac:dyDescent="0.25">
      <c r="A2864" t="s">
        <v>42</v>
      </c>
      <c r="B2864" t="s">
        <v>959</v>
      </c>
      <c r="C2864">
        <v>2</v>
      </c>
      <c r="D2864" t="s">
        <v>21</v>
      </c>
      <c r="E2864" t="s">
        <v>94</v>
      </c>
      <c r="F2864" t="s">
        <v>104</v>
      </c>
      <c r="G2864" t="s">
        <v>121</v>
      </c>
      <c r="H2864" t="s">
        <v>241</v>
      </c>
      <c r="J2864">
        <v>1</v>
      </c>
      <c r="K2864">
        <v>1</v>
      </c>
      <c r="L2864">
        <v>113.9375</v>
      </c>
      <c r="M2864">
        <v>33.375507550000002</v>
      </c>
      <c r="N2864">
        <v>2.4262999999999999</v>
      </c>
      <c r="O2864">
        <v>114</v>
      </c>
      <c r="P2864">
        <v>30.43077242</v>
      </c>
      <c r="Q2864">
        <v>0.53383111100000002</v>
      </c>
      <c r="R2864" t="s">
        <v>1040</v>
      </c>
      <c r="S2864">
        <v>0.12358827</v>
      </c>
    </row>
    <row r="2865" spans="1:19" x14ac:dyDescent="0.25">
      <c r="A2865" t="s">
        <v>43</v>
      </c>
      <c r="B2865" t="s">
        <v>960</v>
      </c>
      <c r="C2865">
        <v>2</v>
      </c>
      <c r="D2865" t="s">
        <v>23</v>
      </c>
      <c r="E2865" t="s">
        <v>94</v>
      </c>
      <c r="F2865" t="s">
        <v>105</v>
      </c>
      <c r="G2865" t="s">
        <v>104</v>
      </c>
      <c r="H2865" t="s">
        <v>104</v>
      </c>
      <c r="J2865">
        <v>0</v>
      </c>
      <c r="K2865">
        <v>1</v>
      </c>
      <c r="L2865">
        <v>67.5</v>
      </c>
      <c r="M2865">
        <v>47.937235809999997</v>
      </c>
      <c r="N2865">
        <v>0.41599678000000001</v>
      </c>
      <c r="O2865">
        <v>113.9375</v>
      </c>
      <c r="P2865">
        <v>33.375507550000002</v>
      </c>
      <c r="Q2865">
        <v>2.4262999999999999</v>
      </c>
      <c r="R2865" t="s">
        <v>1040</v>
      </c>
      <c r="S2865">
        <v>1.6881130999999998</v>
      </c>
    </row>
    <row r="2866" spans="1:19" x14ac:dyDescent="0.25">
      <c r="A2866" t="s">
        <v>43</v>
      </c>
      <c r="B2866" t="s">
        <v>961</v>
      </c>
      <c r="C2866">
        <v>2</v>
      </c>
      <c r="D2866" t="s">
        <v>23</v>
      </c>
      <c r="E2866" t="s">
        <v>94</v>
      </c>
      <c r="F2866" t="s">
        <v>110</v>
      </c>
      <c r="G2866" t="s">
        <v>110</v>
      </c>
      <c r="H2866" t="s">
        <v>110</v>
      </c>
      <c r="J2866">
        <v>0</v>
      </c>
      <c r="K2866">
        <v>1</v>
      </c>
      <c r="L2866">
        <v>73.260869569999997</v>
      </c>
      <c r="M2866">
        <v>34.453830549999999</v>
      </c>
      <c r="N2866">
        <v>1.058333333</v>
      </c>
      <c r="O2866">
        <v>73.260869569999997</v>
      </c>
      <c r="P2866">
        <v>34.453830549999999</v>
      </c>
      <c r="Q2866">
        <v>1.058333333</v>
      </c>
      <c r="R2866" t="s">
        <v>1040</v>
      </c>
      <c r="S2866">
        <v>0</v>
      </c>
    </row>
    <row r="2867" spans="1:19" x14ac:dyDescent="0.25">
      <c r="A2867" t="s">
        <v>43</v>
      </c>
      <c r="B2867" t="s">
        <v>962</v>
      </c>
      <c r="C2867">
        <v>2</v>
      </c>
      <c r="D2867" t="s">
        <v>23</v>
      </c>
      <c r="E2867" t="s">
        <v>94</v>
      </c>
      <c r="F2867" t="s">
        <v>111</v>
      </c>
      <c r="G2867" t="s">
        <v>121</v>
      </c>
      <c r="H2867" t="s">
        <v>114</v>
      </c>
      <c r="J2867">
        <v>0</v>
      </c>
      <c r="K2867" t="s">
        <v>114</v>
      </c>
      <c r="L2867">
        <v>94.97142857</v>
      </c>
      <c r="M2867">
        <v>24.31591813</v>
      </c>
      <c r="N2867">
        <v>0.122951111</v>
      </c>
      <c r="O2867" t="s">
        <v>114</v>
      </c>
      <c r="P2867" t="s">
        <v>114</v>
      </c>
      <c r="Q2867" t="s">
        <v>114</v>
      </c>
      <c r="R2867" t="s">
        <v>1040</v>
      </c>
      <c r="S2867" t="s">
        <v>114</v>
      </c>
    </row>
    <row r="2868" spans="1:19" x14ac:dyDescent="0.25">
      <c r="A2868" t="s">
        <v>43</v>
      </c>
      <c r="B2868" t="s">
        <v>963</v>
      </c>
      <c r="C2868">
        <v>2</v>
      </c>
      <c r="D2868" t="s">
        <v>23</v>
      </c>
      <c r="E2868" t="s">
        <v>94</v>
      </c>
      <c r="F2868" t="s">
        <v>104</v>
      </c>
      <c r="G2868" t="s">
        <v>104</v>
      </c>
      <c r="H2868" t="s">
        <v>104</v>
      </c>
      <c r="J2868">
        <v>0</v>
      </c>
      <c r="K2868">
        <v>1</v>
      </c>
      <c r="L2868">
        <v>113.9375</v>
      </c>
      <c r="M2868">
        <v>33.375507550000002</v>
      </c>
      <c r="N2868">
        <v>2.4262999999999999</v>
      </c>
      <c r="O2868">
        <v>113.9375</v>
      </c>
      <c r="P2868">
        <v>33.375507550000002</v>
      </c>
      <c r="Q2868">
        <v>2.4262999999999999</v>
      </c>
      <c r="R2868" t="s">
        <v>1040</v>
      </c>
      <c r="S2868">
        <v>0</v>
      </c>
    </row>
    <row r="2869" spans="1:19" x14ac:dyDescent="0.25">
      <c r="A2869" t="s">
        <v>43</v>
      </c>
      <c r="B2869" t="s">
        <v>963</v>
      </c>
      <c r="C2869">
        <v>2</v>
      </c>
      <c r="D2869" t="s">
        <v>23</v>
      </c>
      <c r="E2869" t="s">
        <v>94</v>
      </c>
      <c r="F2869" t="s">
        <v>104</v>
      </c>
      <c r="G2869" t="s">
        <v>104</v>
      </c>
      <c r="H2869" t="s">
        <v>808</v>
      </c>
      <c r="J2869">
        <v>0</v>
      </c>
      <c r="K2869">
        <v>1</v>
      </c>
      <c r="L2869">
        <v>113.9375</v>
      </c>
      <c r="M2869">
        <v>33.375507550000002</v>
      </c>
      <c r="N2869">
        <v>2.4262999999999999</v>
      </c>
      <c r="O2869">
        <v>102.79166669999999</v>
      </c>
      <c r="P2869">
        <v>27.057373470000002</v>
      </c>
      <c r="Q2869">
        <v>6.3567849939999999</v>
      </c>
      <c r="R2869" t="s">
        <v>1040</v>
      </c>
      <c r="S2869" t="s">
        <v>114</v>
      </c>
    </row>
    <row r="2870" spans="1:19" x14ac:dyDescent="0.25">
      <c r="A2870" t="s">
        <v>44</v>
      </c>
      <c r="B2870" t="s">
        <v>964</v>
      </c>
      <c r="C2870">
        <v>2</v>
      </c>
      <c r="D2870" t="s">
        <v>25</v>
      </c>
      <c r="E2870" t="s">
        <v>95</v>
      </c>
      <c r="F2870" t="s">
        <v>102</v>
      </c>
      <c r="G2870" t="s">
        <v>102</v>
      </c>
      <c r="H2870" t="s">
        <v>102</v>
      </c>
      <c r="J2870">
        <v>0</v>
      </c>
      <c r="K2870">
        <v>1</v>
      </c>
      <c r="L2870">
        <v>84.740740740000007</v>
      </c>
      <c r="M2870">
        <v>29.167014049999999</v>
      </c>
      <c r="N2870">
        <v>1.1169849999999999</v>
      </c>
      <c r="O2870">
        <v>84.740740740000007</v>
      </c>
      <c r="P2870">
        <v>29.167014049999999</v>
      </c>
      <c r="Q2870">
        <v>1.1169849999999999</v>
      </c>
      <c r="R2870" t="s">
        <v>1040</v>
      </c>
      <c r="S2870">
        <v>0</v>
      </c>
    </row>
    <row r="2871" spans="1:19" x14ac:dyDescent="0.25">
      <c r="A2871" t="s">
        <v>44</v>
      </c>
      <c r="B2871" t="s">
        <v>965</v>
      </c>
      <c r="C2871">
        <v>2</v>
      </c>
      <c r="D2871" t="s">
        <v>25</v>
      </c>
      <c r="E2871" t="s">
        <v>95</v>
      </c>
      <c r="F2871" t="s">
        <v>110</v>
      </c>
      <c r="G2871" t="s">
        <v>121</v>
      </c>
      <c r="H2871" t="s">
        <v>114</v>
      </c>
      <c r="I2871" t="s">
        <v>162</v>
      </c>
      <c r="J2871">
        <v>1</v>
      </c>
      <c r="K2871">
        <v>0</v>
      </c>
      <c r="L2871">
        <v>73.260869569999997</v>
      </c>
      <c r="M2871">
        <v>34.453830549999999</v>
      </c>
      <c r="N2871">
        <v>1.058333333</v>
      </c>
      <c r="O2871" t="s">
        <v>114</v>
      </c>
      <c r="P2871" t="s">
        <v>114</v>
      </c>
      <c r="Q2871" t="s">
        <v>114</v>
      </c>
      <c r="R2871" t="s">
        <v>1040</v>
      </c>
      <c r="S2871" t="s">
        <v>114</v>
      </c>
    </row>
    <row r="2872" spans="1:19" x14ac:dyDescent="0.25">
      <c r="A2872" t="s">
        <v>44</v>
      </c>
      <c r="B2872" t="s">
        <v>966</v>
      </c>
      <c r="C2872">
        <v>2</v>
      </c>
      <c r="D2872" t="s">
        <v>25</v>
      </c>
      <c r="E2872" t="s">
        <v>95</v>
      </c>
      <c r="F2872" t="s">
        <v>104</v>
      </c>
      <c r="G2872" t="s">
        <v>112</v>
      </c>
      <c r="H2872" t="s">
        <v>112</v>
      </c>
      <c r="J2872">
        <v>0</v>
      </c>
      <c r="K2872">
        <v>1</v>
      </c>
      <c r="L2872">
        <v>113.9375</v>
      </c>
      <c r="M2872">
        <v>33.375507550000002</v>
      </c>
      <c r="N2872">
        <v>2.4262999999999999</v>
      </c>
      <c r="O2872">
        <v>65.09375</v>
      </c>
      <c r="P2872">
        <v>37.895352600000002</v>
      </c>
      <c r="Q2872">
        <v>2.2882677779999998</v>
      </c>
      <c r="R2872" t="s">
        <v>1040</v>
      </c>
      <c r="S2872">
        <v>-1.8042558</v>
      </c>
    </row>
    <row r="2873" spans="1:19" x14ac:dyDescent="0.25">
      <c r="A2873" t="s">
        <v>44</v>
      </c>
      <c r="B2873" t="s">
        <v>966</v>
      </c>
      <c r="C2873">
        <v>2</v>
      </c>
      <c r="D2873" t="s">
        <v>25</v>
      </c>
      <c r="E2873" t="s">
        <v>95</v>
      </c>
      <c r="F2873" t="s">
        <v>104</v>
      </c>
      <c r="G2873" t="s">
        <v>112</v>
      </c>
      <c r="H2873" t="s">
        <v>162</v>
      </c>
      <c r="J2873">
        <v>0</v>
      </c>
      <c r="K2873">
        <v>1</v>
      </c>
      <c r="L2873">
        <v>113.9375</v>
      </c>
      <c r="M2873">
        <v>33.375507550000002</v>
      </c>
      <c r="N2873">
        <v>2.4262999999999999</v>
      </c>
      <c r="O2873">
        <v>82.53846154</v>
      </c>
      <c r="P2873">
        <v>35.660530039999998</v>
      </c>
      <c r="Q2873">
        <v>3.3754499999999998</v>
      </c>
      <c r="R2873" t="s">
        <v>1040</v>
      </c>
      <c r="S2873" t="s">
        <v>114</v>
      </c>
    </row>
    <row r="2874" spans="1:19" x14ac:dyDescent="0.25">
      <c r="A2874" t="s">
        <v>44</v>
      </c>
      <c r="B2874" t="s">
        <v>966</v>
      </c>
      <c r="C2874">
        <v>2</v>
      </c>
      <c r="D2874" t="s">
        <v>25</v>
      </c>
      <c r="E2874" t="s">
        <v>95</v>
      </c>
      <c r="F2874" t="s">
        <v>104</v>
      </c>
      <c r="G2874" t="s">
        <v>112</v>
      </c>
      <c r="H2874" t="s">
        <v>113</v>
      </c>
      <c r="J2874">
        <v>0</v>
      </c>
      <c r="K2874">
        <v>1</v>
      </c>
      <c r="L2874">
        <v>113.9375</v>
      </c>
      <c r="M2874">
        <v>33.375507550000002</v>
      </c>
      <c r="N2874">
        <v>2.4262999999999999</v>
      </c>
      <c r="O2874">
        <v>83.757575759999995</v>
      </c>
      <c r="P2874">
        <v>22.60997987</v>
      </c>
      <c r="Q2874">
        <v>0.72884000000000004</v>
      </c>
      <c r="R2874" t="s">
        <v>1040</v>
      </c>
      <c r="S2874">
        <v>0.1939082</v>
      </c>
    </row>
    <row r="2875" spans="1:19" x14ac:dyDescent="0.25">
      <c r="A2875" t="s">
        <v>44</v>
      </c>
      <c r="B2875" t="s">
        <v>967</v>
      </c>
      <c r="C2875">
        <v>2</v>
      </c>
      <c r="D2875" t="s">
        <v>25</v>
      </c>
      <c r="E2875" t="s">
        <v>95</v>
      </c>
      <c r="F2875" t="s">
        <v>112</v>
      </c>
      <c r="G2875" t="s">
        <v>121</v>
      </c>
      <c r="H2875" t="s">
        <v>114</v>
      </c>
      <c r="J2875">
        <v>0</v>
      </c>
      <c r="K2875" t="s">
        <v>114</v>
      </c>
      <c r="L2875">
        <v>65.09375</v>
      </c>
      <c r="M2875">
        <v>37.895352600000002</v>
      </c>
      <c r="N2875">
        <v>2.2882677779999998</v>
      </c>
      <c r="O2875" t="s">
        <v>114</v>
      </c>
      <c r="P2875" t="s">
        <v>114</v>
      </c>
      <c r="Q2875" t="s">
        <v>114</v>
      </c>
      <c r="R2875" t="s">
        <v>1040</v>
      </c>
      <c r="S2875" t="s">
        <v>114</v>
      </c>
    </row>
    <row r="2876" spans="1:19" x14ac:dyDescent="0.25">
      <c r="A2876" t="s">
        <v>45</v>
      </c>
      <c r="B2876" t="s">
        <v>968</v>
      </c>
      <c r="C2876">
        <v>2</v>
      </c>
      <c r="D2876" t="s">
        <v>27</v>
      </c>
      <c r="E2876" t="s">
        <v>95</v>
      </c>
      <c r="F2876" t="s">
        <v>102</v>
      </c>
      <c r="G2876" t="s">
        <v>113</v>
      </c>
      <c r="H2876" t="s">
        <v>113</v>
      </c>
      <c r="J2876">
        <v>0</v>
      </c>
      <c r="K2876">
        <v>2</v>
      </c>
      <c r="L2876">
        <v>84.740740740000007</v>
      </c>
      <c r="M2876">
        <v>29.167014049999999</v>
      </c>
      <c r="N2876">
        <v>1.1169849999999999</v>
      </c>
      <c r="O2876">
        <v>83.757575759999995</v>
      </c>
      <c r="P2876">
        <v>22.60997987</v>
      </c>
      <c r="Q2876">
        <v>0.72884000000000004</v>
      </c>
      <c r="R2876" t="s">
        <v>1040</v>
      </c>
      <c r="S2876">
        <v>0.94413650000000005</v>
      </c>
    </row>
    <row r="2877" spans="1:19" x14ac:dyDescent="0.25">
      <c r="A2877" t="s">
        <v>45</v>
      </c>
      <c r="B2877" t="s">
        <v>969</v>
      </c>
      <c r="C2877">
        <v>2</v>
      </c>
      <c r="D2877" t="s">
        <v>27</v>
      </c>
      <c r="E2877" t="s">
        <v>95</v>
      </c>
      <c r="F2877" t="s">
        <v>105</v>
      </c>
      <c r="G2877" t="s">
        <v>113</v>
      </c>
      <c r="H2877" t="s">
        <v>113</v>
      </c>
      <c r="J2877">
        <v>0</v>
      </c>
      <c r="K2877">
        <v>6</v>
      </c>
      <c r="L2877">
        <v>67.5</v>
      </c>
      <c r="M2877">
        <v>47.937235809999997</v>
      </c>
      <c r="N2877">
        <v>0.41599678000000001</v>
      </c>
      <c r="O2877">
        <v>83.757575759999995</v>
      </c>
      <c r="P2877">
        <v>22.60997987</v>
      </c>
      <c r="Q2877">
        <v>0.72884000000000004</v>
      </c>
      <c r="R2877" t="s">
        <v>1040</v>
      </c>
      <c r="S2877">
        <v>1.8820212999999999</v>
      </c>
    </row>
    <row r="2878" spans="1:19" x14ac:dyDescent="0.25">
      <c r="A2878" t="s">
        <v>45</v>
      </c>
      <c r="B2878" t="s">
        <v>970</v>
      </c>
      <c r="C2878">
        <v>2</v>
      </c>
      <c r="D2878" t="s">
        <v>27</v>
      </c>
      <c r="E2878" t="s">
        <v>95</v>
      </c>
      <c r="F2878" t="s">
        <v>112</v>
      </c>
      <c r="G2878" t="s">
        <v>121</v>
      </c>
      <c r="H2878" t="s">
        <v>113</v>
      </c>
      <c r="J2878">
        <v>0</v>
      </c>
      <c r="K2878">
        <v>8</v>
      </c>
      <c r="L2878">
        <v>65.09375</v>
      </c>
      <c r="M2878">
        <v>37.895352600000002</v>
      </c>
      <c r="N2878">
        <v>2.2882677779999998</v>
      </c>
      <c r="O2878">
        <v>83.757575759999995</v>
      </c>
      <c r="P2878">
        <v>22.60997987</v>
      </c>
      <c r="Q2878">
        <v>0.72884000000000004</v>
      </c>
      <c r="R2878" t="s">
        <v>1040</v>
      </c>
      <c r="S2878">
        <v>1.9981640000000001</v>
      </c>
    </row>
    <row r="2879" spans="1:19" x14ac:dyDescent="0.25">
      <c r="A2879" t="s">
        <v>45</v>
      </c>
      <c r="B2879" t="s">
        <v>970</v>
      </c>
      <c r="C2879">
        <v>2</v>
      </c>
      <c r="D2879" t="s">
        <v>27</v>
      </c>
      <c r="E2879" t="s">
        <v>95</v>
      </c>
      <c r="F2879" t="s">
        <v>112</v>
      </c>
      <c r="G2879" t="s">
        <v>121</v>
      </c>
      <c r="H2879" t="s">
        <v>103</v>
      </c>
      <c r="J2879">
        <v>0</v>
      </c>
      <c r="K2879">
        <v>1</v>
      </c>
      <c r="L2879">
        <v>65.09375</v>
      </c>
      <c r="M2879">
        <v>37.895352600000002</v>
      </c>
      <c r="N2879">
        <v>2.2882677779999998</v>
      </c>
      <c r="O2879">
        <v>98.291666669999998</v>
      </c>
      <c r="P2879">
        <v>30.315130790000001</v>
      </c>
      <c r="Q2879">
        <v>5.0803484000000003E-2</v>
      </c>
      <c r="R2879" t="s">
        <v>1040</v>
      </c>
      <c r="S2879">
        <v>1.7825167</v>
      </c>
    </row>
    <row r="2880" spans="1:19" x14ac:dyDescent="0.25">
      <c r="A2880" t="s">
        <v>46</v>
      </c>
      <c r="B2880" t="s">
        <v>971</v>
      </c>
      <c r="C2880">
        <v>2</v>
      </c>
      <c r="D2880" t="s">
        <v>29</v>
      </c>
      <c r="E2880" t="s">
        <v>95</v>
      </c>
      <c r="F2880" t="s">
        <v>102</v>
      </c>
      <c r="G2880" t="s">
        <v>121</v>
      </c>
      <c r="H2880" t="s">
        <v>114</v>
      </c>
      <c r="J2880">
        <v>0</v>
      </c>
      <c r="K2880" t="s">
        <v>114</v>
      </c>
      <c r="L2880">
        <v>84.740740740000007</v>
      </c>
      <c r="M2880">
        <v>29.167014049999999</v>
      </c>
      <c r="N2880">
        <v>1.1169849999999999</v>
      </c>
      <c r="O2880" t="s">
        <v>114</v>
      </c>
      <c r="P2880" t="s">
        <v>114</v>
      </c>
      <c r="Q2880" t="s">
        <v>114</v>
      </c>
      <c r="R2880" t="s">
        <v>1040</v>
      </c>
      <c r="S2880" t="s">
        <v>114</v>
      </c>
    </row>
    <row r="2881" spans="1:19" x14ac:dyDescent="0.25">
      <c r="A2881" t="s">
        <v>46</v>
      </c>
      <c r="B2881" t="s">
        <v>972</v>
      </c>
      <c r="C2881">
        <v>2</v>
      </c>
      <c r="D2881" t="s">
        <v>29</v>
      </c>
      <c r="E2881" t="s">
        <v>95</v>
      </c>
      <c r="F2881" t="s">
        <v>110</v>
      </c>
      <c r="G2881" t="s">
        <v>113</v>
      </c>
      <c r="H2881" t="s">
        <v>113</v>
      </c>
      <c r="J2881">
        <v>0</v>
      </c>
      <c r="K2881">
        <v>3</v>
      </c>
      <c r="L2881">
        <v>73.260869569999997</v>
      </c>
      <c r="M2881">
        <v>34.453830549999999</v>
      </c>
      <c r="N2881">
        <v>1.058333333</v>
      </c>
      <c r="O2881">
        <v>83.757575759999995</v>
      </c>
      <c r="P2881">
        <v>22.60997987</v>
      </c>
      <c r="Q2881">
        <v>0.72884000000000004</v>
      </c>
      <c r="R2881" t="s">
        <v>1040</v>
      </c>
      <c r="S2881">
        <v>0.6959573</v>
      </c>
    </row>
    <row r="2882" spans="1:19" x14ac:dyDescent="0.25">
      <c r="A2882" t="s">
        <v>46</v>
      </c>
      <c r="B2882" t="s">
        <v>973</v>
      </c>
      <c r="C2882">
        <v>2</v>
      </c>
      <c r="D2882" t="s">
        <v>29</v>
      </c>
      <c r="E2882" t="s">
        <v>95</v>
      </c>
      <c r="F2882" t="s">
        <v>112</v>
      </c>
      <c r="G2882" t="s">
        <v>121</v>
      </c>
      <c r="H2882" t="s">
        <v>114</v>
      </c>
      <c r="J2882">
        <v>0</v>
      </c>
      <c r="K2882" t="s">
        <v>114</v>
      </c>
      <c r="L2882">
        <v>65.09375</v>
      </c>
      <c r="M2882">
        <v>37.895352600000002</v>
      </c>
      <c r="N2882">
        <v>2.2882677779999998</v>
      </c>
      <c r="O2882" t="s">
        <v>114</v>
      </c>
      <c r="P2882" t="s">
        <v>114</v>
      </c>
      <c r="Q2882" t="s">
        <v>114</v>
      </c>
      <c r="R2882" t="s">
        <v>1040</v>
      </c>
      <c r="S2882" t="s">
        <v>114</v>
      </c>
    </row>
    <row r="2883" spans="1:19" x14ac:dyDescent="0.25">
      <c r="A2883" t="s">
        <v>47</v>
      </c>
      <c r="B2883" t="s">
        <v>974</v>
      </c>
      <c r="C2883">
        <v>2</v>
      </c>
      <c r="D2883" t="s">
        <v>31</v>
      </c>
      <c r="E2883" t="s">
        <v>94</v>
      </c>
      <c r="F2883" t="s">
        <v>112</v>
      </c>
      <c r="G2883" t="s">
        <v>112</v>
      </c>
      <c r="H2883" t="s">
        <v>112</v>
      </c>
      <c r="J2883">
        <v>0</v>
      </c>
      <c r="K2883">
        <v>1</v>
      </c>
      <c r="L2883">
        <v>65.09375</v>
      </c>
      <c r="M2883">
        <v>37.895352600000002</v>
      </c>
      <c r="N2883">
        <v>2.2882677779999998</v>
      </c>
      <c r="O2883">
        <v>65.09375</v>
      </c>
      <c r="P2883">
        <v>37.895352600000002</v>
      </c>
      <c r="Q2883">
        <v>2.2882677779999998</v>
      </c>
      <c r="R2883" t="s">
        <v>1040</v>
      </c>
      <c r="S2883">
        <v>0</v>
      </c>
    </row>
    <row r="2884" spans="1:19" x14ac:dyDescent="0.25">
      <c r="A2884" t="s">
        <v>47</v>
      </c>
      <c r="B2884" t="s">
        <v>974</v>
      </c>
      <c r="C2884">
        <v>2</v>
      </c>
      <c r="D2884" t="s">
        <v>31</v>
      </c>
      <c r="E2884" t="s">
        <v>94</v>
      </c>
      <c r="F2884" t="s">
        <v>112</v>
      </c>
      <c r="G2884" t="s">
        <v>112</v>
      </c>
      <c r="H2884" t="s">
        <v>113</v>
      </c>
      <c r="J2884">
        <v>0</v>
      </c>
      <c r="K2884">
        <v>1</v>
      </c>
      <c r="L2884">
        <v>65.09375</v>
      </c>
      <c r="M2884">
        <v>37.895352600000002</v>
      </c>
      <c r="N2884">
        <v>2.2882677779999998</v>
      </c>
      <c r="O2884">
        <v>83.757575759999995</v>
      </c>
      <c r="P2884">
        <v>22.60997987</v>
      </c>
      <c r="Q2884">
        <v>0.72884000000000004</v>
      </c>
      <c r="R2884" t="s">
        <v>1040</v>
      </c>
      <c r="S2884">
        <v>1.9981640000000001</v>
      </c>
    </row>
    <row r="2885" spans="1:19" x14ac:dyDescent="0.25">
      <c r="A2885" t="s">
        <v>48</v>
      </c>
      <c r="B2885" t="s">
        <v>975</v>
      </c>
      <c r="C2885">
        <v>2</v>
      </c>
      <c r="D2885" t="s">
        <v>33</v>
      </c>
      <c r="E2885" t="s">
        <v>95</v>
      </c>
      <c r="F2885" t="s">
        <v>105</v>
      </c>
      <c r="G2885" t="s">
        <v>104</v>
      </c>
      <c r="H2885" t="s">
        <v>103</v>
      </c>
      <c r="J2885">
        <v>0</v>
      </c>
      <c r="K2885">
        <v>1</v>
      </c>
      <c r="L2885">
        <v>67.5</v>
      </c>
      <c r="M2885">
        <v>47.937235809999997</v>
      </c>
      <c r="N2885">
        <v>0.41599678000000001</v>
      </c>
      <c r="O2885">
        <v>98.291666669999998</v>
      </c>
      <c r="P2885">
        <v>30.315130790000001</v>
      </c>
      <c r="Q2885">
        <v>5.0803484000000003E-2</v>
      </c>
      <c r="R2885" t="s">
        <v>1040</v>
      </c>
      <c r="S2885">
        <v>1.6663739999999998</v>
      </c>
    </row>
    <row r="2886" spans="1:19" x14ac:dyDescent="0.25">
      <c r="A2886" t="s">
        <v>48</v>
      </c>
      <c r="B2886" t="s">
        <v>975</v>
      </c>
      <c r="C2886">
        <v>2</v>
      </c>
      <c r="D2886" t="s">
        <v>33</v>
      </c>
      <c r="E2886" t="s">
        <v>95</v>
      </c>
      <c r="F2886" t="s">
        <v>105</v>
      </c>
      <c r="G2886" t="s">
        <v>104</v>
      </c>
      <c r="H2886" t="s">
        <v>104</v>
      </c>
      <c r="J2886">
        <v>0</v>
      </c>
      <c r="K2886">
        <v>2</v>
      </c>
      <c r="L2886">
        <v>67.5</v>
      </c>
      <c r="M2886">
        <v>47.937235809999997</v>
      </c>
      <c r="N2886">
        <v>0.41599678000000001</v>
      </c>
      <c r="O2886">
        <v>113.9375</v>
      </c>
      <c r="P2886">
        <v>33.375507550000002</v>
      </c>
      <c r="Q2886">
        <v>2.4262999999999999</v>
      </c>
      <c r="R2886" t="s">
        <v>1040</v>
      </c>
      <c r="S2886">
        <v>1.6881130999999998</v>
      </c>
    </row>
    <row r="2887" spans="1:19" x14ac:dyDescent="0.25">
      <c r="A2887" t="s">
        <v>48</v>
      </c>
      <c r="B2887" t="s">
        <v>976</v>
      </c>
      <c r="C2887">
        <v>2</v>
      </c>
      <c r="D2887" t="s">
        <v>33</v>
      </c>
      <c r="E2887" t="s">
        <v>95</v>
      </c>
      <c r="F2887" t="s">
        <v>111</v>
      </c>
      <c r="G2887" t="s">
        <v>113</v>
      </c>
      <c r="H2887" t="s">
        <v>113</v>
      </c>
      <c r="J2887">
        <v>0</v>
      </c>
      <c r="K2887">
        <v>1</v>
      </c>
      <c r="L2887">
        <v>94.97142857</v>
      </c>
      <c r="M2887">
        <v>24.31591813</v>
      </c>
      <c r="N2887">
        <v>0.122951111</v>
      </c>
      <c r="O2887">
        <v>83.757575759999995</v>
      </c>
      <c r="P2887">
        <v>22.60997987</v>
      </c>
      <c r="Q2887">
        <v>0.72884000000000004</v>
      </c>
      <c r="R2887" t="s">
        <v>1040</v>
      </c>
      <c r="S2887">
        <v>0.17749450000000003</v>
      </c>
    </row>
    <row r="2888" spans="1:19" x14ac:dyDescent="0.25">
      <c r="A2888" t="s">
        <v>48</v>
      </c>
      <c r="B2888" t="s">
        <v>976</v>
      </c>
      <c r="C2888">
        <v>2</v>
      </c>
      <c r="D2888" t="s">
        <v>33</v>
      </c>
      <c r="E2888" t="s">
        <v>95</v>
      </c>
      <c r="F2888" t="s">
        <v>111</v>
      </c>
      <c r="G2888" t="s">
        <v>113</v>
      </c>
      <c r="H2888" t="s">
        <v>241</v>
      </c>
      <c r="J2888">
        <v>0</v>
      </c>
      <c r="K2888">
        <v>1</v>
      </c>
      <c r="L2888">
        <v>94.97142857</v>
      </c>
      <c r="M2888">
        <v>24.31591813</v>
      </c>
      <c r="N2888">
        <v>0.122951111</v>
      </c>
      <c r="O2888">
        <v>114</v>
      </c>
      <c r="P2888">
        <v>30.43077242</v>
      </c>
      <c r="Q2888">
        <v>0.53383111100000002</v>
      </c>
      <c r="R2888" t="s">
        <v>1040</v>
      </c>
      <c r="S2888">
        <v>0.10717457000000002</v>
      </c>
    </row>
    <row r="2889" spans="1:19" x14ac:dyDescent="0.25">
      <c r="A2889" t="s">
        <v>48</v>
      </c>
      <c r="B2889" t="s">
        <v>977</v>
      </c>
      <c r="C2889">
        <v>2</v>
      </c>
      <c r="D2889" t="s">
        <v>33</v>
      </c>
      <c r="E2889" t="s">
        <v>95</v>
      </c>
      <c r="F2889" t="s">
        <v>104</v>
      </c>
      <c r="G2889" t="s">
        <v>121</v>
      </c>
      <c r="H2889" t="s">
        <v>113</v>
      </c>
      <c r="J2889">
        <v>0</v>
      </c>
      <c r="K2889">
        <v>5</v>
      </c>
      <c r="L2889">
        <v>113.9375</v>
      </c>
      <c r="M2889">
        <v>33.375507550000002</v>
      </c>
      <c r="N2889">
        <v>2.4262999999999999</v>
      </c>
      <c r="O2889">
        <v>83.757575759999995</v>
      </c>
      <c r="P2889">
        <v>22.60997987</v>
      </c>
      <c r="Q2889">
        <v>0.72884000000000004</v>
      </c>
      <c r="R2889" t="s">
        <v>1040</v>
      </c>
      <c r="S2889">
        <v>0.1939082</v>
      </c>
    </row>
    <row r="2890" spans="1:19" x14ac:dyDescent="0.25">
      <c r="A2890" t="s">
        <v>48</v>
      </c>
      <c r="B2890" t="s">
        <v>977</v>
      </c>
      <c r="C2890">
        <v>2</v>
      </c>
      <c r="D2890" t="s">
        <v>33</v>
      </c>
      <c r="E2890" t="s">
        <v>95</v>
      </c>
      <c r="F2890" t="s">
        <v>104</v>
      </c>
      <c r="G2890" t="s">
        <v>121</v>
      </c>
      <c r="H2890" t="s">
        <v>104</v>
      </c>
      <c r="J2890">
        <v>0</v>
      </c>
      <c r="K2890">
        <v>2</v>
      </c>
      <c r="L2890">
        <v>113.9375</v>
      </c>
      <c r="M2890">
        <v>33.375507550000002</v>
      </c>
      <c r="N2890">
        <v>2.4262999999999999</v>
      </c>
      <c r="O2890">
        <v>113.9375</v>
      </c>
      <c r="P2890">
        <v>33.375507550000002</v>
      </c>
      <c r="Q2890">
        <v>2.4262999999999999</v>
      </c>
      <c r="R2890" t="s">
        <v>1040</v>
      </c>
      <c r="S2890">
        <v>0</v>
      </c>
    </row>
    <row r="2891" spans="1:19" x14ac:dyDescent="0.25">
      <c r="A2891" t="s">
        <v>48</v>
      </c>
      <c r="B2891" t="s">
        <v>977</v>
      </c>
      <c r="C2891">
        <v>2</v>
      </c>
      <c r="D2891" t="s">
        <v>33</v>
      </c>
      <c r="E2891" t="s">
        <v>95</v>
      </c>
      <c r="F2891" t="s">
        <v>104</v>
      </c>
      <c r="G2891" t="s">
        <v>121</v>
      </c>
      <c r="H2891" t="s">
        <v>103</v>
      </c>
      <c r="J2891">
        <v>0</v>
      </c>
      <c r="K2891">
        <v>1</v>
      </c>
      <c r="L2891">
        <v>113.9375</v>
      </c>
      <c r="M2891">
        <v>33.375507550000002</v>
      </c>
      <c r="N2891">
        <v>2.4262999999999999</v>
      </c>
      <c r="O2891">
        <v>98.291666669999998</v>
      </c>
      <c r="P2891">
        <v>30.315130790000001</v>
      </c>
      <c r="Q2891">
        <v>5.0803484000000003E-2</v>
      </c>
      <c r="R2891" t="s">
        <v>1040</v>
      </c>
      <c r="S2891">
        <v>-2.1739100000000011E-2</v>
      </c>
    </row>
    <row r="2892" spans="1:19" x14ac:dyDescent="0.25">
      <c r="A2892" t="s">
        <v>49</v>
      </c>
      <c r="B2892" t="s">
        <v>978</v>
      </c>
      <c r="C2892">
        <v>2</v>
      </c>
      <c r="D2892" t="s">
        <v>35</v>
      </c>
      <c r="E2892" t="s">
        <v>94</v>
      </c>
      <c r="F2892" t="s">
        <v>102</v>
      </c>
      <c r="G2892" t="s">
        <v>112</v>
      </c>
      <c r="H2892" t="s">
        <v>112</v>
      </c>
      <c r="J2892">
        <v>0</v>
      </c>
      <c r="K2892">
        <v>1</v>
      </c>
      <c r="L2892">
        <v>84.740740740000007</v>
      </c>
      <c r="M2892">
        <v>29.167014049999999</v>
      </c>
      <c r="N2892">
        <v>1.1169849999999999</v>
      </c>
      <c r="O2892">
        <v>65.09375</v>
      </c>
      <c r="P2892">
        <v>37.895352600000002</v>
      </c>
      <c r="Q2892">
        <v>2.2882677779999998</v>
      </c>
      <c r="R2892" t="s">
        <v>1040</v>
      </c>
      <c r="S2892">
        <v>-1.0540274999999999</v>
      </c>
    </row>
    <row r="2893" spans="1:19" x14ac:dyDescent="0.25">
      <c r="A2893" t="s">
        <v>49</v>
      </c>
      <c r="B2893" t="s">
        <v>978</v>
      </c>
      <c r="C2893">
        <v>2</v>
      </c>
      <c r="D2893" t="s">
        <v>35</v>
      </c>
      <c r="E2893" t="s">
        <v>94</v>
      </c>
      <c r="F2893" t="s">
        <v>102</v>
      </c>
      <c r="G2893" t="s">
        <v>112</v>
      </c>
      <c r="H2893" t="s">
        <v>104</v>
      </c>
      <c r="J2893">
        <v>0</v>
      </c>
      <c r="K2893">
        <v>5</v>
      </c>
      <c r="L2893">
        <v>84.740740740000007</v>
      </c>
      <c r="M2893">
        <v>29.167014049999999</v>
      </c>
      <c r="N2893">
        <v>1.1169849999999999</v>
      </c>
      <c r="O2893">
        <v>113.9375</v>
      </c>
      <c r="P2893">
        <v>33.375507550000002</v>
      </c>
      <c r="Q2893">
        <v>2.4262999999999999</v>
      </c>
      <c r="R2893" t="s">
        <v>1040</v>
      </c>
      <c r="S2893">
        <v>0.75022830000000007</v>
      </c>
    </row>
    <row r="2894" spans="1:19" x14ac:dyDescent="0.25">
      <c r="A2894" t="s">
        <v>49</v>
      </c>
      <c r="B2894" t="s">
        <v>979</v>
      </c>
      <c r="C2894">
        <v>2</v>
      </c>
      <c r="D2894" t="s">
        <v>35</v>
      </c>
      <c r="E2894" t="s">
        <v>94</v>
      </c>
      <c r="F2894" t="s">
        <v>112</v>
      </c>
      <c r="G2894" t="s">
        <v>112</v>
      </c>
      <c r="H2894" t="s">
        <v>112</v>
      </c>
      <c r="J2894">
        <v>0</v>
      </c>
      <c r="K2894">
        <v>1</v>
      </c>
      <c r="L2894">
        <v>65.09375</v>
      </c>
      <c r="M2894">
        <v>37.895352600000002</v>
      </c>
      <c r="N2894">
        <v>2.2882677779999998</v>
      </c>
      <c r="O2894">
        <v>65.09375</v>
      </c>
      <c r="P2894">
        <v>37.895352600000002</v>
      </c>
      <c r="Q2894">
        <v>2.2882677779999998</v>
      </c>
      <c r="R2894" t="s">
        <v>1040</v>
      </c>
      <c r="S2894">
        <v>0</v>
      </c>
    </row>
    <row r="2895" spans="1:19" x14ac:dyDescent="0.25">
      <c r="A2895" t="s">
        <v>49</v>
      </c>
      <c r="B2895" t="s">
        <v>979</v>
      </c>
      <c r="C2895">
        <v>2</v>
      </c>
      <c r="D2895" t="s">
        <v>35</v>
      </c>
      <c r="E2895" t="s">
        <v>94</v>
      </c>
      <c r="F2895" t="s">
        <v>112</v>
      </c>
      <c r="G2895" t="s">
        <v>112</v>
      </c>
      <c r="H2895" t="s">
        <v>103</v>
      </c>
      <c r="J2895">
        <v>0</v>
      </c>
      <c r="K2895">
        <v>1</v>
      </c>
      <c r="L2895">
        <v>65.09375</v>
      </c>
      <c r="M2895">
        <v>37.895352600000002</v>
      </c>
      <c r="N2895">
        <v>2.2882677779999998</v>
      </c>
      <c r="O2895">
        <v>98.291666669999998</v>
      </c>
      <c r="P2895">
        <v>30.315130790000001</v>
      </c>
      <c r="Q2895">
        <v>5.0803484000000003E-2</v>
      </c>
      <c r="R2895" t="s">
        <v>1040</v>
      </c>
      <c r="S2895">
        <v>1.7825167</v>
      </c>
    </row>
    <row r="2896" spans="1:19" x14ac:dyDescent="0.25">
      <c r="A2896" t="s">
        <v>79</v>
      </c>
      <c r="B2896" t="s">
        <v>980</v>
      </c>
      <c r="C2896">
        <v>6</v>
      </c>
      <c r="D2896" t="s">
        <v>11</v>
      </c>
      <c r="E2896" t="s">
        <v>95</v>
      </c>
      <c r="F2896" t="s">
        <v>113</v>
      </c>
      <c r="G2896" t="s">
        <v>113</v>
      </c>
      <c r="H2896" t="s">
        <v>113</v>
      </c>
      <c r="J2896">
        <v>0</v>
      </c>
      <c r="K2896">
        <v>4</v>
      </c>
      <c r="L2896">
        <v>83.757575759999995</v>
      </c>
      <c r="M2896">
        <v>22.60997987</v>
      </c>
      <c r="N2896">
        <v>0.72884000000000004</v>
      </c>
      <c r="O2896">
        <v>83.757575759999995</v>
      </c>
      <c r="P2896">
        <v>22.60997987</v>
      </c>
      <c r="Q2896">
        <v>0.72884000000000004</v>
      </c>
      <c r="R2896" t="s">
        <v>1040</v>
      </c>
      <c r="S2896">
        <v>0</v>
      </c>
    </row>
    <row r="2897" spans="1:19" x14ac:dyDescent="0.25">
      <c r="A2897" t="s">
        <v>79</v>
      </c>
      <c r="B2897" t="s">
        <v>981</v>
      </c>
      <c r="C2897">
        <v>6</v>
      </c>
      <c r="D2897" t="s">
        <v>11</v>
      </c>
      <c r="E2897" t="s">
        <v>95</v>
      </c>
      <c r="F2897" t="s">
        <v>103</v>
      </c>
      <c r="G2897" t="s">
        <v>113</v>
      </c>
      <c r="H2897" t="s">
        <v>113</v>
      </c>
      <c r="J2897">
        <v>0</v>
      </c>
      <c r="K2897">
        <v>7</v>
      </c>
      <c r="L2897">
        <v>98.291666669999998</v>
      </c>
      <c r="M2897">
        <v>30.315130790000001</v>
      </c>
      <c r="N2897">
        <v>5.0803484000000003E-2</v>
      </c>
      <c r="O2897">
        <v>83.757575759999995</v>
      </c>
      <c r="P2897">
        <v>22.60997987</v>
      </c>
      <c r="Q2897">
        <v>0.72884000000000004</v>
      </c>
      <c r="R2897" t="s">
        <v>1040</v>
      </c>
      <c r="S2897">
        <v>0.21564730000000001</v>
      </c>
    </row>
    <row r="2898" spans="1:19" x14ac:dyDescent="0.25">
      <c r="A2898" t="s">
        <v>79</v>
      </c>
      <c r="B2898" t="s">
        <v>981</v>
      </c>
      <c r="C2898">
        <v>6</v>
      </c>
      <c r="D2898" t="s">
        <v>11</v>
      </c>
      <c r="E2898" t="s">
        <v>95</v>
      </c>
      <c r="F2898" t="s">
        <v>103</v>
      </c>
      <c r="G2898" t="s">
        <v>113</v>
      </c>
      <c r="H2898" t="s">
        <v>103</v>
      </c>
      <c r="J2898">
        <v>0</v>
      </c>
      <c r="K2898">
        <v>4</v>
      </c>
      <c r="L2898">
        <v>98.291666669999998</v>
      </c>
      <c r="M2898">
        <v>30.315130790000001</v>
      </c>
      <c r="N2898">
        <v>5.0803484000000003E-2</v>
      </c>
      <c r="O2898">
        <v>98.291666669999998</v>
      </c>
      <c r="P2898">
        <v>30.315130790000001</v>
      </c>
      <c r="Q2898">
        <v>5.0803484000000003E-2</v>
      </c>
      <c r="R2898" t="s">
        <v>1040</v>
      </c>
      <c r="S2898">
        <v>0</v>
      </c>
    </row>
    <row r="2899" spans="1:19" x14ac:dyDescent="0.25">
      <c r="A2899" t="s">
        <v>79</v>
      </c>
      <c r="B2899" t="s">
        <v>982</v>
      </c>
      <c r="C2899">
        <v>6</v>
      </c>
      <c r="D2899" t="s">
        <v>11</v>
      </c>
      <c r="E2899" t="s">
        <v>95</v>
      </c>
      <c r="F2899" t="s">
        <v>111</v>
      </c>
      <c r="G2899" t="s">
        <v>113</v>
      </c>
      <c r="H2899" t="s">
        <v>234</v>
      </c>
      <c r="J2899">
        <v>0</v>
      </c>
      <c r="K2899">
        <v>1</v>
      </c>
      <c r="L2899">
        <v>94.97142857</v>
      </c>
      <c r="M2899">
        <v>24.31591813</v>
      </c>
      <c r="N2899">
        <v>0.122951111</v>
      </c>
      <c r="O2899">
        <v>89.8125</v>
      </c>
      <c r="P2899">
        <v>34.754706650000003</v>
      </c>
      <c r="Q2899">
        <v>2.3065078999999999E-2</v>
      </c>
      <c r="R2899" t="s">
        <v>1040</v>
      </c>
      <c r="S2899">
        <v>-2.0886587700000003</v>
      </c>
    </row>
    <row r="2900" spans="1:19" x14ac:dyDescent="0.25">
      <c r="A2900" t="s">
        <v>79</v>
      </c>
      <c r="B2900" t="s">
        <v>982</v>
      </c>
      <c r="C2900">
        <v>6</v>
      </c>
      <c r="D2900" t="s">
        <v>11</v>
      </c>
      <c r="E2900" t="s">
        <v>95</v>
      </c>
      <c r="F2900" t="s">
        <v>111</v>
      </c>
      <c r="G2900" t="s">
        <v>113</v>
      </c>
      <c r="H2900" t="s">
        <v>113</v>
      </c>
      <c r="J2900">
        <v>0</v>
      </c>
      <c r="K2900">
        <v>5</v>
      </c>
      <c r="L2900">
        <v>94.97142857</v>
      </c>
      <c r="M2900">
        <v>24.31591813</v>
      </c>
      <c r="N2900">
        <v>0.122951111</v>
      </c>
      <c r="O2900">
        <v>83.757575759999995</v>
      </c>
      <c r="P2900">
        <v>22.60997987</v>
      </c>
      <c r="Q2900">
        <v>0.72884000000000004</v>
      </c>
      <c r="R2900" t="s">
        <v>1040</v>
      </c>
      <c r="S2900">
        <v>0.17749450000000003</v>
      </c>
    </row>
    <row r="2901" spans="1:19" x14ac:dyDescent="0.25">
      <c r="A2901" t="s">
        <v>79</v>
      </c>
      <c r="B2901" t="s">
        <v>982</v>
      </c>
      <c r="C2901">
        <v>6</v>
      </c>
      <c r="D2901" t="s">
        <v>11</v>
      </c>
      <c r="E2901" t="s">
        <v>95</v>
      </c>
      <c r="F2901" t="s">
        <v>111</v>
      </c>
      <c r="G2901" t="s">
        <v>113</v>
      </c>
      <c r="H2901" t="s">
        <v>103</v>
      </c>
      <c r="J2901">
        <v>0</v>
      </c>
      <c r="K2901">
        <v>1</v>
      </c>
      <c r="L2901">
        <v>94.97142857</v>
      </c>
      <c r="M2901">
        <v>24.31591813</v>
      </c>
      <c r="N2901">
        <v>0.122951111</v>
      </c>
      <c r="O2901">
        <v>98.291666669999998</v>
      </c>
      <c r="P2901">
        <v>30.315130790000001</v>
      </c>
      <c r="Q2901">
        <v>5.0803484000000003E-2</v>
      </c>
      <c r="R2901" t="s">
        <v>1040</v>
      </c>
      <c r="S2901">
        <v>-3.8152799999999987E-2</v>
      </c>
    </row>
    <row r="2902" spans="1:19" x14ac:dyDescent="0.25">
      <c r="A2902" t="s">
        <v>80</v>
      </c>
      <c r="B2902" t="s">
        <v>983</v>
      </c>
      <c r="C2902">
        <v>6</v>
      </c>
      <c r="D2902" t="s">
        <v>15</v>
      </c>
      <c r="E2902" t="s">
        <v>95</v>
      </c>
      <c r="F2902" t="s">
        <v>105</v>
      </c>
      <c r="G2902" t="s">
        <v>121</v>
      </c>
      <c r="H2902" t="s">
        <v>113</v>
      </c>
      <c r="J2902">
        <v>0</v>
      </c>
      <c r="K2902">
        <v>1</v>
      </c>
      <c r="L2902">
        <v>67.5</v>
      </c>
      <c r="M2902">
        <v>47.937235809999997</v>
      </c>
      <c r="N2902">
        <v>0.41599678000000001</v>
      </c>
      <c r="O2902">
        <v>83.757575759999995</v>
      </c>
      <c r="P2902">
        <v>22.60997987</v>
      </c>
      <c r="Q2902">
        <v>0.72884000000000004</v>
      </c>
      <c r="R2902" t="s">
        <v>1040</v>
      </c>
      <c r="S2902">
        <v>1.8820212999999999</v>
      </c>
    </row>
    <row r="2903" spans="1:19" x14ac:dyDescent="0.25">
      <c r="A2903" t="s">
        <v>80</v>
      </c>
      <c r="B2903" t="s">
        <v>983</v>
      </c>
      <c r="C2903">
        <v>6</v>
      </c>
      <c r="D2903" t="s">
        <v>15</v>
      </c>
      <c r="E2903" t="s">
        <v>95</v>
      </c>
      <c r="F2903" t="s">
        <v>105</v>
      </c>
      <c r="G2903" t="s">
        <v>121</v>
      </c>
      <c r="H2903" t="s">
        <v>103</v>
      </c>
      <c r="J2903">
        <v>0</v>
      </c>
      <c r="K2903">
        <v>9</v>
      </c>
      <c r="L2903">
        <v>67.5</v>
      </c>
      <c r="M2903">
        <v>47.937235809999997</v>
      </c>
      <c r="N2903">
        <v>0.41599678000000001</v>
      </c>
      <c r="O2903">
        <v>98.291666669999998</v>
      </c>
      <c r="P2903">
        <v>30.315130790000001</v>
      </c>
      <c r="Q2903">
        <v>5.0803484000000003E-2</v>
      </c>
      <c r="R2903" t="s">
        <v>1040</v>
      </c>
      <c r="S2903">
        <v>1.6663739999999998</v>
      </c>
    </row>
    <row r="2904" spans="1:19" x14ac:dyDescent="0.25">
      <c r="A2904" t="s">
        <v>80</v>
      </c>
      <c r="B2904" t="s">
        <v>984</v>
      </c>
      <c r="C2904">
        <v>6</v>
      </c>
      <c r="D2904" t="s">
        <v>15</v>
      </c>
      <c r="E2904" t="s">
        <v>95</v>
      </c>
      <c r="F2904" t="s">
        <v>113</v>
      </c>
      <c r="G2904" t="s">
        <v>113</v>
      </c>
      <c r="H2904" t="s">
        <v>113</v>
      </c>
      <c r="J2904">
        <v>0</v>
      </c>
      <c r="K2904">
        <v>6</v>
      </c>
      <c r="L2904">
        <v>83.757575759999995</v>
      </c>
      <c r="M2904">
        <v>22.60997987</v>
      </c>
      <c r="N2904">
        <v>0.72884000000000004</v>
      </c>
      <c r="O2904">
        <v>83.757575759999995</v>
      </c>
      <c r="P2904">
        <v>22.60997987</v>
      </c>
      <c r="Q2904">
        <v>0.72884000000000004</v>
      </c>
      <c r="R2904" t="s">
        <v>1040</v>
      </c>
      <c r="S2904">
        <v>0</v>
      </c>
    </row>
    <row r="2905" spans="1:19" x14ac:dyDescent="0.25">
      <c r="A2905" t="s">
        <v>80</v>
      </c>
      <c r="B2905" t="s">
        <v>985</v>
      </c>
      <c r="C2905">
        <v>6</v>
      </c>
      <c r="D2905" t="s">
        <v>15</v>
      </c>
      <c r="E2905" t="s">
        <v>95</v>
      </c>
      <c r="F2905" t="s">
        <v>103</v>
      </c>
      <c r="G2905" t="s">
        <v>113</v>
      </c>
      <c r="H2905" t="s">
        <v>113</v>
      </c>
      <c r="J2905">
        <v>0</v>
      </c>
      <c r="K2905">
        <v>1</v>
      </c>
      <c r="L2905">
        <v>98.291666669999998</v>
      </c>
      <c r="M2905">
        <v>30.315130790000001</v>
      </c>
      <c r="N2905">
        <v>5.0803484000000003E-2</v>
      </c>
      <c r="O2905">
        <v>83.757575759999995</v>
      </c>
      <c r="P2905">
        <v>22.60997987</v>
      </c>
      <c r="Q2905">
        <v>0.72884000000000004</v>
      </c>
      <c r="R2905" t="s">
        <v>1040</v>
      </c>
      <c r="S2905">
        <v>0.21564730000000001</v>
      </c>
    </row>
    <row r="2906" spans="1:19" x14ac:dyDescent="0.25">
      <c r="A2906" t="s">
        <v>80</v>
      </c>
      <c r="B2906" t="s">
        <v>985</v>
      </c>
      <c r="C2906">
        <v>6</v>
      </c>
      <c r="D2906" t="s">
        <v>15</v>
      </c>
      <c r="E2906" t="s">
        <v>95</v>
      </c>
      <c r="F2906" t="s">
        <v>103</v>
      </c>
      <c r="G2906" t="s">
        <v>113</v>
      </c>
      <c r="H2906" t="s">
        <v>103</v>
      </c>
      <c r="J2906">
        <v>0</v>
      </c>
      <c r="K2906">
        <v>2</v>
      </c>
      <c r="L2906">
        <v>98.291666669999998</v>
      </c>
      <c r="M2906">
        <v>30.315130790000001</v>
      </c>
      <c r="N2906">
        <v>5.0803484000000003E-2</v>
      </c>
      <c r="O2906">
        <v>98.291666669999998</v>
      </c>
      <c r="P2906">
        <v>30.315130790000001</v>
      </c>
      <c r="Q2906">
        <v>5.0803484000000003E-2</v>
      </c>
      <c r="R2906" t="s">
        <v>1040</v>
      </c>
      <c r="S2906">
        <v>0</v>
      </c>
    </row>
    <row r="2907" spans="1:19" x14ac:dyDescent="0.25">
      <c r="A2907" t="s">
        <v>81</v>
      </c>
      <c r="B2907" t="s">
        <v>986</v>
      </c>
      <c r="C2907">
        <v>6</v>
      </c>
      <c r="D2907" t="s">
        <v>17</v>
      </c>
      <c r="E2907" t="s">
        <v>94</v>
      </c>
      <c r="F2907" t="s">
        <v>105</v>
      </c>
      <c r="G2907" t="s">
        <v>113</v>
      </c>
      <c r="H2907" t="s">
        <v>113</v>
      </c>
      <c r="J2907">
        <v>0</v>
      </c>
      <c r="K2907">
        <v>6</v>
      </c>
      <c r="L2907">
        <v>67.5</v>
      </c>
      <c r="M2907">
        <v>47.937235809999997</v>
      </c>
      <c r="N2907">
        <v>0.41599678000000001</v>
      </c>
      <c r="O2907">
        <v>83.757575759999995</v>
      </c>
      <c r="P2907">
        <v>22.60997987</v>
      </c>
      <c r="Q2907">
        <v>0.72884000000000004</v>
      </c>
      <c r="R2907" t="s">
        <v>1040</v>
      </c>
      <c r="S2907">
        <v>1.8820212999999999</v>
      </c>
    </row>
    <row r="2908" spans="1:19" x14ac:dyDescent="0.25">
      <c r="A2908" t="s">
        <v>81</v>
      </c>
      <c r="B2908" t="s">
        <v>987</v>
      </c>
      <c r="C2908">
        <v>6</v>
      </c>
      <c r="D2908" t="s">
        <v>17</v>
      </c>
      <c r="E2908" t="s">
        <v>94</v>
      </c>
      <c r="F2908" t="s">
        <v>113</v>
      </c>
      <c r="G2908" t="s">
        <v>113</v>
      </c>
      <c r="H2908" t="s">
        <v>113</v>
      </c>
      <c r="J2908">
        <v>0</v>
      </c>
      <c r="K2908">
        <v>6</v>
      </c>
      <c r="L2908">
        <v>83.757575759999995</v>
      </c>
      <c r="M2908">
        <v>22.60997987</v>
      </c>
      <c r="N2908">
        <v>0.72884000000000004</v>
      </c>
      <c r="O2908">
        <v>83.757575759999995</v>
      </c>
      <c r="P2908">
        <v>22.60997987</v>
      </c>
      <c r="Q2908">
        <v>0.72884000000000004</v>
      </c>
      <c r="R2908" t="s">
        <v>1040</v>
      </c>
      <c r="S2908">
        <v>0</v>
      </c>
    </row>
    <row r="2909" spans="1:19" x14ac:dyDescent="0.25">
      <c r="A2909" t="s">
        <v>81</v>
      </c>
      <c r="B2909" t="s">
        <v>988</v>
      </c>
      <c r="C2909">
        <v>6</v>
      </c>
      <c r="D2909" t="s">
        <v>17</v>
      </c>
      <c r="E2909" t="s">
        <v>94</v>
      </c>
      <c r="F2909" t="s">
        <v>103</v>
      </c>
      <c r="G2909" t="s">
        <v>113</v>
      </c>
      <c r="H2909" t="s">
        <v>113</v>
      </c>
      <c r="J2909">
        <v>0</v>
      </c>
      <c r="K2909">
        <v>5</v>
      </c>
      <c r="L2909">
        <v>98.291666669999998</v>
      </c>
      <c r="M2909">
        <v>30.315130790000001</v>
      </c>
      <c r="N2909">
        <v>5.0803484000000003E-2</v>
      </c>
      <c r="O2909">
        <v>83.757575759999995</v>
      </c>
      <c r="P2909">
        <v>22.60997987</v>
      </c>
      <c r="Q2909">
        <v>0.72884000000000004</v>
      </c>
      <c r="R2909" t="s">
        <v>1040</v>
      </c>
      <c r="S2909">
        <v>0.21564730000000001</v>
      </c>
    </row>
    <row r="2910" spans="1:19" x14ac:dyDescent="0.25">
      <c r="A2910" t="s">
        <v>81</v>
      </c>
      <c r="B2910" t="s">
        <v>988</v>
      </c>
      <c r="C2910">
        <v>6</v>
      </c>
      <c r="D2910" t="s">
        <v>17</v>
      </c>
      <c r="E2910" t="s">
        <v>94</v>
      </c>
      <c r="F2910" t="s">
        <v>103</v>
      </c>
      <c r="G2910" t="s">
        <v>113</v>
      </c>
      <c r="H2910" t="s">
        <v>103</v>
      </c>
      <c r="J2910">
        <v>0</v>
      </c>
      <c r="K2910">
        <v>1</v>
      </c>
      <c r="L2910">
        <v>98.291666669999998</v>
      </c>
      <c r="M2910">
        <v>30.315130790000001</v>
      </c>
      <c r="N2910">
        <v>5.0803484000000003E-2</v>
      </c>
      <c r="O2910">
        <v>98.291666669999998</v>
      </c>
      <c r="P2910">
        <v>30.315130790000001</v>
      </c>
      <c r="Q2910">
        <v>5.0803484000000003E-2</v>
      </c>
      <c r="R2910" t="s">
        <v>1040</v>
      </c>
      <c r="S2910">
        <v>0</v>
      </c>
    </row>
    <row r="2911" spans="1:19" x14ac:dyDescent="0.25">
      <c r="A2911" t="s">
        <v>82</v>
      </c>
      <c r="B2911" t="s">
        <v>989</v>
      </c>
      <c r="C2911">
        <v>6</v>
      </c>
      <c r="D2911" t="s">
        <v>19</v>
      </c>
      <c r="E2911" t="s">
        <v>94</v>
      </c>
      <c r="F2911" t="s">
        <v>102</v>
      </c>
      <c r="G2911" t="s">
        <v>102</v>
      </c>
      <c r="H2911" t="s">
        <v>102</v>
      </c>
      <c r="J2911">
        <v>0</v>
      </c>
      <c r="K2911">
        <v>1</v>
      </c>
      <c r="L2911">
        <v>84.740740740000007</v>
      </c>
      <c r="M2911">
        <v>29.167014049999999</v>
      </c>
      <c r="N2911">
        <v>1.1169849999999999</v>
      </c>
      <c r="O2911">
        <v>84.740740740000007</v>
      </c>
      <c r="P2911">
        <v>29.167014049999999</v>
      </c>
      <c r="Q2911">
        <v>1.1169849999999999</v>
      </c>
      <c r="R2911" t="s">
        <v>1040</v>
      </c>
      <c r="S2911">
        <v>0</v>
      </c>
    </row>
    <row r="2912" spans="1:19" x14ac:dyDescent="0.25">
      <c r="A2912" t="s">
        <v>82</v>
      </c>
      <c r="B2912" t="s">
        <v>990</v>
      </c>
      <c r="C2912">
        <v>6</v>
      </c>
      <c r="D2912" t="s">
        <v>19</v>
      </c>
      <c r="E2912" t="s">
        <v>94</v>
      </c>
      <c r="F2912" t="s">
        <v>113</v>
      </c>
      <c r="G2912" t="s">
        <v>113</v>
      </c>
      <c r="H2912" t="s">
        <v>113</v>
      </c>
      <c r="J2912">
        <v>0</v>
      </c>
      <c r="K2912">
        <v>4</v>
      </c>
      <c r="L2912">
        <v>83.757575759999995</v>
      </c>
      <c r="M2912">
        <v>22.60997987</v>
      </c>
      <c r="N2912">
        <v>0.72884000000000004</v>
      </c>
      <c r="O2912">
        <v>83.757575759999995</v>
      </c>
      <c r="P2912">
        <v>22.60997987</v>
      </c>
      <c r="Q2912">
        <v>0.72884000000000004</v>
      </c>
      <c r="R2912" t="s">
        <v>1040</v>
      </c>
      <c r="S2912">
        <v>0</v>
      </c>
    </row>
    <row r="2913" spans="1:19" x14ac:dyDescent="0.25">
      <c r="A2913" t="s">
        <v>82</v>
      </c>
      <c r="B2913" t="s">
        <v>990</v>
      </c>
      <c r="C2913">
        <v>6</v>
      </c>
      <c r="D2913" t="s">
        <v>19</v>
      </c>
      <c r="E2913" t="s">
        <v>94</v>
      </c>
      <c r="F2913" t="s">
        <v>113</v>
      </c>
      <c r="G2913" t="s">
        <v>113</v>
      </c>
      <c r="H2913" t="s">
        <v>241</v>
      </c>
      <c r="J2913">
        <v>0</v>
      </c>
      <c r="K2913">
        <v>1</v>
      </c>
      <c r="L2913">
        <v>83.757575759999995</v>
      </c>
      <c r="M2913">
        <v>22.60997987</v>
      </c>
      <c r="N2913">
        <v>0.72884000000000004</v>
      </c>
      <c r="O2913">
        <v>114</v>
      </c>
      <c r="P2913">
        <v>30.43077242</v>
      </c>
      <c r="Q2913">
        <v>0.53383111100000002</v>
      </c>
      <c r="R2913" t="s">
        <v>1040</v>
      </c>
      <c r="S2913">
        <v>-7.0319930000000003E-2</v>
      </c>
    </row>
    <row r="2914" spans="1:19" x14ac:dyDescent="0.25">
      <c r="A2914" t="s">
        <v>82</v>
      </c>
      <c r="B2914" t="s">
        <v>990</v>
      </c>
      <c r="C2914">
        <v>6</v>
      </c>
      <c r="D2914" t="s">
        <v>19</v>
      </c>
      <c r="E2914" t="s">
        <v>94</v>
      </c>
      <c r="F2914" t="s">
        <v>113</v>
      </c>
      <c r="G2914" t="s">
        <v>113</v>
      </c>
      <c r="H2914" t="s">
        <v>808</v>
      </c>
      <c r="J2914">
        <v>0</v>
      </c>
      <c r="K2914">
        <v>1</v>
      </c>
      <c r="L2914">
        <v>83.757575759999995</v>
      </c>
      <c r="M2914">
        <v>22.60997987</v>
      </c>
      <c r="N2914">
        <v>0.72884000000000004</v>
      </c>
      <c r="O2914">
        <v>102.79166669999999</v>
      </c>
      <c r="P2914">
        <v>27.057373470000002</v>
      </c>
      <c r="Q2914">
        <v>6.3567849939999999</v>
      </c>
      <c r="R2914" t="s">
        <v>1040</v>
      </c>
      <c r="S2914" t="s">
        <v>114</v>
      </c>
    </row>
    <row r="2915" spans="1:19" x14ac:dyDescent="0.25">
      <c r="A2915" t="s">
        <v>82</v>
      </c>
      <c r="B2915" t="s">
        <v>990</v>
      </c>
      <c r="C2915">
        <v>6</v>
      </c>
      <c r="D2915" t="s">
        <v>19</v>
      </c>
      <c r="E2915" t="s">
        <v>94</v>
      </c>
      <c r="F2915" t="s">
        <v>113</v>
      </c>
      <c r="G2915" t="s">
        <v>113</v>
      </c>
      <c r="H2915" t="s">
        <v>103</v>
      </c>
      <c r="J2915">
        <v>0</v>
      </c>
      <c r="K2915">
        <v>1</v>
      </c>
      <c r="L2915">
        <v>83.757575759999995</v>
      </c>
      <c r="M2915">
        <v>22.60997987</v>
      </c>
      <c r="N2915">
        <v>0.72884000000000004</v>
      </c>
      <c r="O2915">
        <v>98.291666669999998</v>
      </c>
      <c r="P2915">
        <v>30.315130790000001</v>
      </c>
      <c r="Q2915">
        <v>5.0803484000000003E-2</v>
      </c>
      <c r="R2915" t="s">
        <v>1040</v>
      </c>
      <c r="S2915">
        <v>-0.21564730000000001</v>
      </c>
    </row>
    <row r="2916" spans="1:19" x14ac:dyDescent="0.25">
      <c r="A2916" t="s">
        <v>82</v>
      </c>
      <c r="B2916" t="s">
        <v>991</v>
      </c>
      <c r="C2916">
        <v>6</v>
      </c>
      <c r="D2916" t="s">
        <v>19</v>
      </c>
      <c r="E2916" t="s">
        <v>94</v>
      </c>
      <c r="F2916" t="s">
        <v>104</v>
      </c>
      <c r="G2916" t="s">
        <v>113</v>
      </c>
      <c r="H2916" t="s">
        <v>113</v>
      </c>
      <c r="J2916">
        <v>0</v>
      </c>
      <c r="K2916">
        <v>3</v>
      </c>
      <c r="L2916">
        <v>113.9375</v>
      </c>
      <c r="M2916">
        <v>33.375507550000002</v>
      </c>
      <c r="N2916">
        <v>2.4262999999999999</v>
      </c>
      <c r="O2916">
        <v>83.757575759999995</v>
      </c>
      <c r="P2916">
        <v>22.60997987</v>
      </c>
      <c r="Q2916">
        <v>0.72884000000000004</v>
      </c>
      <c r="R2916" t="s">
        <v>1040</v>
      </c>
      <c r="S2916">
        <v>0.1939082</v>
      </c>
    </row>
    <row r="2917" spans="1:19" x14ac:dyDescent="0.25">
      <c r="A2917" t="s">
        <v>83</v>
      </c>
      <c r="B2917" t="s">
        <v>992</v>
      </c>
      <c r="C2917">
        <v>6</v>
      </c>
      <c r="D2917" t="s">
        <v>21</v>
      </c>
      <c r="E2917" t="s">
        <v>94</v>
      </c>
      <c r="F2917" t="s">
        <v>102</v>
      </c>
      <c r="G2917" t="s">
        <v>121</v>
      </c>
      <c r="H2917" t="s">
        <v>114</v>
      </c>
      <c r="J2917">
        <v>0</v>
      </c>
      <c r="K2917">
        <v>0</v>
      </c>
      <c r="L2917">
        <v>84.740740740000007</v>
      </c>
      <c r="M2917">
        <v>29.167014049999999</v>
      </c>
      <c r="N2917">
        <v>1.1169849999999999</v>
      </c>
      <c r="O2917" t="s">
        <v>114</v>
      </c>
      <c r="P2917" t="s">
        <v>114</v>
      </c>
      <c r="Q2917" t="s">
        <v>114</v>
      </c>
      <c r="R2917" t="s">
        <v>1040</v>
      </c>
      <c r="S2917" t="s">
        <v>114</v>
      </c>
    </row>
    <row r="2918" spans="1:19" x14ac:dyDescent="0.25">
      <c r="A2918" t="s">
        <v>83</v>
      </c>
      <c r="B2918" t="s">
        <v>993</v>
      </c>
      <c r="C2918">
        <v>6</v>
      </c>
      <c r="D2918" t="s">
        <v>21</v>
      </c>
      <c r="E2918" t="s">
        <v>94</v>
      </c>
      <c r="F2918" t="s">
        <v>103</v>
      </c>
      <c r="G2918" t="s">
        <v>103</v>
      </c>
      <c r="H2918" t="s">
        <v>103</v>
      </c>
      <c r="J2918">
        <v>0</v>
      </c>
      <c r="K2918">
        <v>2</v>
      </c>
      <c r="L2918">
        <v>98.291666669999998</v>
      </c>
      <c r="M2918">
        <v>30.315130790000001</v>
      </c>
      <c r="N2918">
        <v>5.0803484000000003E-2</v>
      </c>
      <c r="O2918">
        <v>98.291666669999998</v>
      </c>
      <c r="P2918">
        <v>30.315130790000001</v>
      </c>
      <c r="Q2918">
        <v>5.0803484000000003E-2</v>
      </c>
      <c r="R2918" t="s">
        <v>1040</v>
      </c>
      <c r="S2918">
        <v>0</v>
      </c>
    </row>
    <row r="2919" spans="1:19" x14ac:dyDescent="0.25">
      <c r="A2919" t="s">
        <v>83</v>
      </c>
      <c r="B2919" t="s">
        <v>993</v>
      </c>
      <c r="C2919">
        <v>6</v>
      </c>
      <c r="D2919" t="s">
        <v>21</v>
      </c>
      <c r="E2919" t="s">
        <v>94</v>
      </c>
      <c r="F2919" t="s">
        <v>103</v>
      </c>
      <c r="G2919" t="s">
        <v>103</v>
      </c>
      <c r="H2919" t="s">
        <v>246</v>
      </c>
      <c r="J2919">
        <v>0</v>
      </c>
      <c r="K2919">
        <v>1</v>
      </c>
      <c r="L2919">
        <v>98.291666669999998</v>
      </c>
      <c r="M2919">
        <v>30.315130790000001</v>
      </c>
      <c r="N2919">
        <v>5.0803484000000003E-2</v>
      </c>
      <c r="O2919">
        <v>120.25</v>
      </c>
      <c r="P2919">
        <v>30.670450110000001</v>
      </c>
      <c r="Q2919">
        <v>0.91037498500000003</v>
      </c>
      <c r="R2919" t="s">
        <v>1040</v>
      </c>
      <c r="S2919" t="s">
        <v>114</v>
      </c>
    </row>
    <row r="2920" spans="1:19" x14ac:dyDescent="0.25">
      <c r="A2920" t="s">
        <v>83</v>
      </c>
      <c r="B2920" t="s">
        <v>993</v>
      </c>
      <c r="C2920">
        <v>6</v>
      </c>
      <c r="D2920" t="s">
        <v>21</v>
      </c>
      <c r="E2920" t="s">
        <v>94</v>
      </c>
      <c r="F2920" t="s">
        <v>103</v>
      </c>
      <c r="G2920" t="s">
        <v>103</v>
      </c>
      <c r="H2920" t="s">
        <v>239</v>
      </c>
      <c r="J2920">
        <v>0</v>
      </c>
      <c r="K2920">
        <v>1</v>
      </c>
      <c r="L2920">
        <v>98.291666669999998</v>
      </c>
      <c r="M2920">
        <v>30.315130790000001</v>
      </c>
      <c r="N2920">
        <v>5.0803484000000003E-2</v>
      </c>
      <c r="O2920">
        <v>100.45454549999999</v>
      </c>
      <c r="P2920">
        <v>26.754810689999999</v>
      </c>
      <c r="Q2920">
        <v>0.75829999999999997</v>
      </c>
      <c r="R2920" t="s">
        <v>1040</v>
      </c>
      <c r="S2920">
        <v>1.9582089999999996E-2</v>
      </c>
    </row>
    <row r="2921" spans="1:19" x14ac:dyDescent="0.25">
      <c r="A2921" t="s">
        <v>83</v>
      </c>
      <c r="B2921" t="s">
        <v>994</v>
      </c>
      <c r="C2921">
        <v>6</v>
      </c>
      <c r="D2921" t="s">
        <v>21</v>
      </c>
      <c r="E2921" t="s">
        <v>94</v>
      </c>
      <c r="F2921" t="s">
        <v>111</v>
      </c>
      <c r="G2921" t="s">
        <v>121</v>
      </c>
      <c r="H2921" t="s">
        <v>114</v>
      </c>
      <c r="J2921">
        <v>0</v>
      </c>
      <c r="K2921">
        <v>0</v>
      </c>
      <c r="L2921">
        <v>94.97142857</v>
      </c>
      <c r="M2921">
        <v>24.31591813</v>
      </c>
      <c r="N2921">
        <v>0.122951111</v>
      </c>
      <c r="O2921" t="s">
        <v>114</v>
      </c>
      <c r="P2921" t="s">
        <v>114</v>
      </c>
      <c r="Q2921" t="s">
        <v>114</v>
      </c>
      <c r="R2921" t="s">
        <v>1040</v>
      </c>
      <c r="S2921" t="s">
        <v>114</v>
      </c>
    </row>
    <row r="2922" spans="1:19" x14ac:dyDescent="0.25">
      <c r="A2922" t="s">
        <v>84</v>
      </c>
      <c r="B2922" t="s">
        <v>995</v>
      </c>
      <c r="C2922">
        <v>6</v>
      </c>
      <c r="D2922" t="s">
        <v>23</v>
      </c>
      <c r="E2922" t="s">
        <v>95</v>
      </c>
      <c r="F2922" t="s">
        <v>102</v>
      </c>
      <c r="G2922" t="s">
        <v>121</v>
      </c>
      <c r="H2922" t="s">
        <v>254</v>
      </c>
      <c r="J2922">
        <v>0</v>
      </c>
      <c r="K2922">
        <v>3</v>
      </c>
      <c r="L2922">
        <v>84.740740740000007</v>
      </c>
      <c r="M2922">
        <v>29.167014049999999</v>
      </c>
      <c r="N2922">
        <v>1.1169849999999999</v>
      </c>
      <c r="O2922" t="s">
        <v>114</v>
      </c>
      <c r="P2922" t="s">
        <v>114</v>
      </c>
      <c r="Q2922" t="s">
        <v>114</v>
      </c>
      <c r="R2922" t="s">
        <v>1040</v>
      </c>
      <c r="S2922" t="s">
        <v>114</v>
      </c>
    </row>
    <row r="2923" spans="1:19" x14ac:dyDescent="0.25">
      <c r="A2923" t="s">
        <v>84</v>
      </c>
      <c r="B2923" t="s">
        <v>995</v>
      </c>
      <c r="C2923">
        <v>6</v>
      </c>
      <c r="D2923" t="s">
        <v>23</v>
      </c>
      <c r="E2923" t="s">
        <v>95</v>
      </c>
      <c r="F2923" t="s">
        <v>102</v>
      </c>
      <c r="G2923" t="s">
        <v>121</v>
      </c>
      <c r="H2923" t="s">
        <v>248</v>
      </c>
      <c r="J2923">
        <v>0</v>
      </c>
      <c r="K2923">
        <v>1</v>
      </c>
      <c r="L2923">
        <v>84.740740740000007</v>
      </c>
      <c r="M2923">
        <v>29.167014049999999</v>
      </c>
      <c r="N2923">
        <v>1.1169849999999999</v>
      </c>
      <c r="O2923">
        <v>83.92307692</v>
      </c>
      <c r="P2923">
        <v>44.319135699999997</v>
      </c>
      <c r="Q2923">
        <v>5.9548609999999997E-3</v>
      </c>
      <c r="R2923" t="s">
        <v>1040</v>
      </c>
      <c r="S2923">
        <v>0.97697062000000012</v>
      </c>
    </row>
    <row r="2924" spans="1:19" x14ac:dyDescent="0.25">
      <c r="A2924" t="s">
        <v>84</v>
      </c>
      <c r="B2924" t="s">
        <v>995</v>
      </c>
      <c r="C2924">
        <v>6</v>
      </c>
      <c r="D2924" t="s">
        <v>23</v>
      </c>
      <c r="E2924" t="s">
        <v>95</v>
      </c>
      <c r="F2924" t="s">
        <v>102</v>
      </c>
      <c r="G2924" t="s">
        <v>121</v>
      </c>
      <c r="H2924" t="s">
        <v>233</v>
      </c>
      <c r="J2924">
        <v>0</v>
      </c>
      <c r="K2924">
        <v>1</v>
      </c>
      <c r="L2924">
        <v>84.740740740000007</v>
      </c>
      <c r="M2924">
        <v>29.167014049999999</v>
      </c>
      <c r="N2924">
        <v>1.1169849999999999</v>
      </c>
      <c r="O2924">
        <v>106.0540541</v>
      </c>
      <c r="P2924">
        <v>52.690533369999997</v>
      </c>
      <c r="Q2924">
        <v>7.6058968000000005E-2</v>
      </c>
      <c r="R2924" t="s">
        <v>1040</v>
      </c>
      <c r="S2924">
        <v>0.70826101000000008</v>
      </c>
    </row>
    <row r="2925" spans="1:19" x14ac:dyDescent="0.25">
      <c r="A2925" t="s">
        <v>84</v>
      </c>
      <c r="B2925" t="s">
        <v>995</v>
      </c>
      <c r="C2925">
        <v>6</v>
      </c>
      <c r="D2925" t="s">
        <v>23</v>
      </c>
      <c r="E2925" t="s">
        <v>95</v>
      </c>
      <c r="F2925" t="s">
        <v>102</v>
      </c>
      <c r="G2925" t="s">
        <v>121</v>
      </c>
      <c r="H2925" t="s">
        <v>103</v>
      </c>
      <c r="J2925">
        <v>0</v>
      </c>
      <c r="K2925">
        <v>5</v>
      </c>
      <c r="L2925">
        <v>84.740740740000007</v>
      </c>
      <c r="M2925">
        <v>29.167014049999999</v>
      </c>
      <c r="N2925">
        <v>1.1169849999999999</v>
      </c>
      <c r="O2925">
        <v>98.291666669999998</v>
      </c>
      <c r="P2925">
        <v>30.315130790000001</v>
      </c>
      <c r="Q2925">
        <v>5.0803484000000003E-2</v>
      </c>
      <c r="R2925" t="s">
        <v>1040</v>
      </c>
      <c r="S2925">
        <v>0.72848920000000006</v>
      </c>
    </row>
    <row r="2926" spans="1:19" x14ac:dyDescent="0.25">
      <c r="A2926" t="s">
        <v>84</v>
      </c>
      <c r="B2926" t="s">
        <v>996</v>
      </c>
      <c r="C2926">
        <v>6</v>
      </c>
      <c r="D2926" t="s">
        <v>23</v>
      </c>
      <c r="E2926" t="s">
        <v>95</v>
      </c>
      <c r="F2926" t="s">
        <v>105</v>
      </c>
      <c r="G2926" t="s">
        <v>103</v>
      </c>
      <c r="H2926" t="s">
        <v>114</v>
      </c>
      <c r="J2926">
        <v>0</v>
      </c>
      <c r="K2926" t="s">
        <v>114</v>
      </c>
      <c r="L2926">
        <v>67.5</v>
      </c>
      <c r="M2926">
        <v>47.937235809999997</v>
      </c>
      <c r="N2926">
        <v>0.41599678000000001</v>
      </c>
      <c r="O2926" t="s">
        <v>114</v>
      </c>
      <c r="P2926" t="s">
        <v>114</v>
      </c>
      <c r="Q2926" t="s">
        <v>114</v>
      </c>
      <c r="R2926" t="s">
        <v>1040</v>
      </c>
      <c r="S2926" t="s">
        <v>114</v>
      </c>
    </row>
    <row r="2927" spans="1:19" x14ac:dyDescent="0.25">
      <c r="A2927" t="s">
        <v>84</v>
      </c>
      <c r="B2927" t="s">
        <v>997</v>
      </c>
      <c r="C2927">
        <v>6</v>
      </c>
      <c r="D2927" t="s">
        <v>23</v>
      </c>
      <c r="E2927" t="s">
        <v>95</v>
      </c>
      <c r="F2927" t="s">
        <v>111</v>
      </c>
      <c r="G2927" t="s">
        <v>103</v>
      </c>
      <c r="H2927" t="s">
        <v>103</v>
      </c>
      <c r="J2927">
        <v>0</v>
      </c>
      <c r="K2927">
        <v>2</v>
      </c>
      <c r="L2927">
        <v>94.97142857</v>
      </c>
      <c r="M2927">
        <v>24.31591813</v>
      </c>
      <c r="N2927">
        <v>0.122951111</v>
      </c>
      <c r="O2927">
        <v>98.291666669999998</v>
      </c>
      <c r="P2927">
        <v>30.315130790000001</v>
      </c>
      <c r="Q2927">
        <v>5.0803484000000003E-2</v>
      </c>
      <c r="R2927" t="s">
        <v>1040</v>
      </c>
      <c r="S2927">
        <v>-3.8152799999999987E-2</v>
      </c>
    </row>
    <row r="2928" spans="1:19" x14ac:dyDescent="0.25">
      <c r="A2928" t="s">
        <v>84</v>
      </c>
      <c r="B2928" t="s">
        <v>997</v>
      </c>
      <c r="C2928">
        <v>6</v>
      </c>
      <c r="D2928" t="s">
        <v>23</v>
      </c>
      <c r="E2928" t="s">
        <v>95</v>
      </c>
      <c r="F2928" t="s">
        <v>111</v>
      </c>
      <c r="G2928" t="s">
        <v>103</v>
      </c>
      <c r="H2928" t="s">
        <v>247</v>
      </c>
      <c r="J2928">
        <v>0</v>
      </c>
      <c r="K2928">
        <v>1</v>
      </c>
      <c r="L2928">
        <v>94.97142857</v>
      </c>
      <c r="M2928">
        <v>24.31591813</v>
      </c>
      <c r="N2928">
        <v>0.122951111</v>
      </c>
      <c r="O2928">
        <v>65.791044779999993</v>
      </c>
      <c r="P2928">
        <v>22.94519201</v>
      </c>
      <c r="Q2928">
        <v>8.1320334999999994E-2</v>
      </c>
      <c r="R2928" t="s">
        <v>1040</v>
      </c>
      <c r="S2928">
        <v>0.21765135000000002</v>
      </c>
    </row>
    <row r="2929" spans="1:19" x14ac:dyDescent="0.25">
      <c r="A2929" t="s">
        <v>84</v>
      </c>
      <c r="B2929" t="s">
        <v>997</v>
      </c>
      <c r="C2929">
        <v>6</v>
      </c>
      <c r="D2929" t="s">
        <v>23</v>
      </c>
      <c r="E2929" t="s">
        <v>95</v>
      </c>
      <c r="F2929" t="s">
        <v>111</v>
      </c>
      <c r="G2929" t="s">
        <v>103</v>
      </c>
      <c r="H2929" t="s">
        <v>233</v>
      </c>
      <c r="J2929">
        <v>0</v>
      </c>
      <c r="K2929">
        <v>1</v>
      </c>
      <c r="L2929">
        <v>94.97142857</v>
      </c>
      <c r="M2929">
        <v>24.31591813</v>
      </c>
      <c r="N2929">
        <v>0.122951111</v>
      </c>
      <c r="O2929">
        <v>106.0540541</v>
      </c>
      <c r="P2929">
        <v>52.690533369999997</v>
      </c>
      <c r="Q2929">
        <v>7.6058968000000005E-2</v>
      </c>
      <c r="R2929" t="s">
        <v>1040</v>
      </c>
      <c r="S2929">
        <v>-5.8380989999999966E-2</v>
      </c>
    </row>
    <row r="2930" spans="1:19" x14ac:dyDescent="0.25">
      <c r="A2930" t="s">
        <v>84</v>
      </c>
      <c r="B2930" t="s">
        <v>997</v>
      </c>
      <c r="C2930">
        <v>6</v>
      </c>
      <c r="D2930" t="s">
        <v>23</v>
      </c>
      <c r="E2930" t="s">
        <v>95</v>
      </c>
      <c r="F2930" t="s">
        <v>111</v>
      </c>
      <c r="G2930" t="s">
        <v>103</v>
      </c>
      <c r="H2930" t="s">
        <v>808</v>
      </c>
      <c r="J2930">
        <v>0</v>
      </c>
      <c r="K2930">
        <v>1</v>
      </c>
      <c r="L2930">
        <v>94.97142857</v>
      </c>
      <c r="M2930">
        <v>24.31591813</v>
      </c>
      <c r="N2930">
        <v>0.122951111</v>
      </c>
      <c r="O2930">
        <v>102.79166669999999</v>
      </c>
      <c r="P2930">
        <v>27.057373470000002</v>
      </c>
      <c r="Q2930">
        <v>6.3567849939999999</v>
      </c>
      <c r="R2930" t="s">
        <v>1040</v>
      </c>
      <c r="S2930" t="s">
        <v>114</v>
      </c>
    </row>
    <row r="2931" spans="1:19" x14ac:dyDescent="0.25">
      <c r="A2931" t="s">
        <v>84</v>
      </c>
      <c r="B2931" t="s">
        <v>998</v>
      </c>
      <c r="C2931">
        <v>6</v>
      </c>
      <c r="D2931" t="s">
        <v>23</v>
      </c>
      <c r="E2931" t="s">
        <v>95</v>
      </c>
      <c r="F2931" t="s">
        <v>112</v>
      </c>
      <c r="G2931" t="s">
        <v>103</v>
      </c>
      <c r="H2931" t="s">
        <v>236</v>
      </c>
      <c r="J2931">
        <v>0</v>
      </c>
      <c r="K2931">
        <v>1</v>
      </c>
      <c r="L2931">
        <v>65.09375</v>
      </c>
      <c r="M2931">
        <v>37.895352600000002</v>
      </c>
      <c r="N2931">
        <v>2.2882677779999998</v>
      </c>
      <c r="O2931">
        <v>113.33333330000001</v>
      </c>
      <c r="P2931">
        <v>26.41632581</v>
      </c>
      <c r="Q2931">
        <v>1.6844570160000001</v>
      </c>
      <c r="R2931" t="s">
        <v>1040</v>
      </c>
      <c r="S2931">
        <v>2.12189169</v>
      </c>
    </row>
    <row r="2932" spans="1:19" x14ac:dyDescent="0.25">
      <c r="A2932" t="s">
        <v>84</v>
      </c>
      <c r="B2932" t="s">
        <v>998</v>
      </c>
      <c r="C2932">
        <v>6</v>
      </c>
      <c r="D2932" t="s">
        <v>23</v>
      </c>
      <c r="E2932" t="s">
        <v>95</v>
      </c>
      <c r="F2932" t="s">
        <v>112</v>
      </c>
      <c r="G2932" t="s">
        <v>103</v>
      </c>
      <c r="H2932" t="s">
        <v>103</v>
      </c>
      <c r="J2932">
        <v>0</v>
      </c>
      <c r="K2932">
        <v>2</v>
      </c>
      <c r="L2932">
        <v>65.09375</v>
      </c>
      <c r="M2932">
        <v>37.895352600000002</v>
      </c>
      <c r="N2932">
        <v>2.2882677779999998</v>
      </c>
      <c r="O2932">
        <v>98.291666669999998</v>
      </c>
      <c r="P2932">
        <v>30.315130790000001</v>
      </c>
      <c r="Q2932">
        <v>5.0803484000000003E-2</v>
      </c>
      <c r="R2932" t="s">
        <v>1040</v>
      </c>
      <c r="S2932">
        <v>1.7825167</v>
      </c>
    </row>
    <row r="2933" spans="1:19" x14ac:dyDescent="0.25">
      <c r="A2933" t="s">
        <v>84</v>
      </c>
      <c r="B2933" t="s">
        <v>998</v>
      </c>
      <c r="C2933">
        <v>6</v>
      </c>
      <c r="D2933" t="s">
        <v>23</v>
      </c>
      <c r="E2933" t="s">
        <v>95</v>
      </c>
      <c r="F2933" t="s">
        <v>112</v>
      </c>
      <c r="G2933" t="s">
        <v>103</v>
      </c>
      <c r="H2933" t="s">
        <v>808</v>
      </c>
      <c r="J2933">
        <v>0</v>
      </c>
      <c r="K2933">
        <v>1</v>
      </c>
      <c r="L2933">
        <v>65.09375</v>
      </c>
      <c r="M2933">
        <v>37.895352600000002</v>
      </c>
      <c r="N2933">
        <v>2.2882677779999998</v>
      </c>
      <c r="O2933">
        <v>102.79166669999999</v>
      </c>
      <c r="P2933">
        <v>27.057373470000002</v>
      </c>
      <c r="Q2933">
        <v>6.3567849939999999</v>
      </c>
      <c r="R2933" t="s">
        <v>1040</v>
      </c>
      <c r="S2933" t="s">
        <v>114</v>
      </c>
    </row>
    <row r="2934" spans="1:19" x14ac:dyDescent="0.25">
      <c r="A2934" t="s">
        <v>84</v>
      </c>
      <c r="B2934" t="s">
        <v>998</v>
      </c>
      <c r="C2934">
        <v>6</v>
      </c>
      <c r="D2934" t="s">
        <v>23</v>
      </c>
      <c r="E2934" t="s">
        <v>95</v>
      </c>
      <c r="F2934" t="s">
        <v>112</v>
      </c>
      <c r="G2934" t="s">
        <v>103</v>
      </c>
      <c r="H2934" t="s">
        <v>239</v>
      </c>
      <c r="J2934">
        <v>0</v>
      </c>
      <c r="K2934">
        <v>2</v>
      </c>
      <c r="L2934">
        <v>65.09375</v>
      </c>
      <c r="M2934">
        <v>37.895352600000002</v>
      </c>
      <c r="N2934">
        <v>2.2882677779999998</v>
      </c>
      <c r="O2934">
        <v>100.45454549999999</v>
      </c>
      <c r="P2934">
        <v>26.754810689999999</v>
      </c>
      <c r="Q2934">
        <v>0.75829999999999997</v>
      </c>
      <c r="R2934" t="s">
        <v>1040</v>
      </c>
      <c r="S2934">
        <v>1.8020987900000001</v>
      </c>
    </row>
    <row r="2935" spans="1:19" x14ac:dyDescent="0.25">
      <c r="A2935" t="s">
        <v>85</v>
      </c>
      <c r="B2935" t="s">
        <v>999</v>
      </c>
      <c r="C2935">
        <v>6</v>
      </c>
      <c r="D2935" t="s">
        <v>25</v>
      </c>
      <c r="E2935" t="s">
        <v>94</v>
      </c>
      <c r="F2935" t="s">
        <v>105</v>
      </c>
      <c r="G2935" t="s">
        <v>103</v>
      </c>
      <c r="H2935" t="s">
        <v>810</v>
      </c>
      <c r="J2935">
        <v>0</v>
      </c>
      <c r="K2935">
        <v>1</v>
      </c>
      <c r="L2935">
        <v>67.5</v>
      </c>
      <c r="M2935">
        <v>47.937235809999997</v>
      </c>
      <c r="N2935">
        <v>0.41599678000000001</v>
      </c>
      <c r="O2935">
        <v>77.055555560000002</v>
      </c>
      <c r="P2935">
        <v>18.389110710000001</v>
      </c>
      <c r="Q2935">
        <v>1.5559800079999999</v>
      </c>
      <c r="R2935" t="s">
        <v>1040</v>
      </c>
      <c r="S2935" t="s">
        <v>114</v>
      </c>
    </row>
    <row r="2936" spans="1:19" x14ac:dyDescent="0.25">
      <c r="A2936" t="s">
        <v>85</v>
      </c>
      <c r="B2936" t="s">
        <v>999</v>
      </c>
      <c r="C2936">
        <v>6</v>
      </c>
      <c r="D2936" t="s">
        <v>25</v>
      </c>
      <c r="E2936" t="s">
        <v>94</v>
      </c>
      <c r="F2936" t="s">
        <v>105</v>
      </c>
      <c r="G2936" t="s">
        <v>103</v>
      </c>
      <c r="H2936" t="s">
        <v>104</v>
      </c>
      <c r="J2936">
        <v>0</v>
      </c>
      <c r="K2936">
        <v>1</v>
      </c>
      <c r="L2936">
        <v>67.5</v>
      </c>
      <c r="M2936">
        <v>47.937235809999997</v>
      </c>
      <c r="N2936">
        <v>0.41599678000000001</v>
      </c>
      <c r="O2936">
        <v>113.9375</v>
      </c>
      <c r="P2936">
        <v>33.375507550000002</v>
      </c>
      <c r="Q2936">
        <v>2.4262999999999999</v>
      </c>
      <c r="R2936" t="s">
        <v>1040</v>
      </c>
      <c r="S2936">
        <v>1.6881130999999998</v>
      </c>
    </row>
    <row r="2937" spans="1:19" x14ac:dyDescent="0.25">
      <c r="A2937" t="s">
        <v>85</v>
      </c>
      <c r="B2937" t="s">
        <v>999</v>
      </c>
      <c r="C2937">
        <v>6</v>
      </c>
      <c r="D2937" t="s">
        <v>25</v>
      </c>
      <c r="E2937" t="s">
        <v>94</v>
      </c>
      <c r="F2937" t="s">
        <v>105</v>
      </c>
      <c r="G2937" t="s">
        <v>103</v>
      </c>
      <c r="H2937" t="s">
        <v>110</v>
      </c>
      <c r="J2937">
        <v>0</v>
      </c>
      <c r="K2937">
        <v>1</v>
      </c>
      <c r="L2937">
        <v>67.5</v>
      </c>
      <c r="M2937">
        <v>47.937235809999997</v>
      </c>
      <c r="N2937">
        <v>0.41599678000000001</v>
      </c>
      <c r="O2937">
        <v>73.260869569999997</v>
      </c>
      <c r="P2937">
        <v>34.453830549999999</v>
      </c>
      <c r="Q2937">
        <v>1.058333333</v>
      </c>
      <c r="R2937" t="s">
        <v>1040</v>
      </c>
      <c r="S2937">
        <v>1.1860639999999998</v>
      </c>
    </row>
    <row r="2938" spans="1:19" x14ac:dyDescent="0.25">
      <c r="A2938" t="s">
        <v>85</v>
      </c>
      <c r="B2938" t="s">
        <v>999</v>
      </c>
      <c r="C2938">
        <v>6</v>
      </c>
      <c r="D2938" t="s">
        <v>25</v>
      </c>
      <c r="E2938" t="s">
        <v>94</v>
      </c>
      <c r="F2938" t="s">
        <v>105</v>
      </c>
      <c r="G2938" t="s">
        <v>103</v>
      </c>
      <c r="H2938" t="s">
        <v>103</v>
      </c>
      <c r="J2938">
        <v>0</v>
      </c>
      <c r="K2938">
        <v>4</v>
      </c>
      <c r="L2938">
        <v>67.5</v>
      </c>
      <c r="M2938">
        <v>47.937235809999997</v>
      </c>
      <c r="N2938">
        <v>0.41599678000000001</v>
      </c>
      <c r="O2938">
        <v>98.291666669999998</v>
      </c>
      <c r="P2938">
        <v>30.315130790000001</v>
      </c>
      <c r="Q2938">
        <v>5.0803484000000003E-2</v>
      </c>
      <c r="R2938" t="s">
        <v>1040</v>
      </c>
      <c r="S2938">
        <v>1.6663739999999998</v>
      </c>
    </row>
    <row r="2939" spans="1:19" x14ac:dyDescent="0.25">
      <c r="A2939" t="s">
        <v>85</v>
      </c>
      <c r="B2939" t="s">
        <v>1000</v>
      </c>
      <c r="C2939">
        <v>6</v>
      </c>
      <c r="D2939" t="s">
        <v>25</v>
      </c>
      <c r="E2939" t="s">
        <v>94</v>
      </c>
      <c r="F2939" t="s">
        <v>110</v>
      </c>
      <c r="G2939" t="s">
        <v>103</v>
      </c>
      <c r="H2939" t="s">
        <v>103</v>
      </c>
      <c r="J2939">
        <v>0</v>
      </c>
      <c r="K2939">
        <v>9</v>
      </c>
      <c r="L2939">
        <v>73.260869569999997</v>
      </c>
      <c r="M2939">
        <v>34.453830549999999</v>
      </c>
      <c r="N2939">
        <v>1.058333333</v>
      </c>
      <c r="O2939">
        <v>98.291666669999998</v>
      </c>
      <c r="P2939">
        <v>30.315130790000001</v>
      </c>
      <c r="Q2939">
        <v>5.0803484000000003E-2</v>
      </c>
      <c r="R2939" t="s">
        <v>1040</v>
      </c>
      <c r="S2939">
        <v>0.48031000000000001</v>
      </c>
    </row>
    <row r="2940" spans="1:19" x14ac:dyDescent="0.25">
      <c r="A2940" t="s">
        <v>85</v>
      </c>
      <c r="B2940" t="s">
        <v>1000</v>
      </c>
      <c r="C2940">
        <v>6</v>
      </c>
      <c r="D2940" t="s">
        <v>25</v>
      </c>
      <c r="E2940" t="s">
        <v>94</v>
      </c>
      <c r="F2940" t="s">
        <v>110</v>
      </c>
      <c r="G2940" t="s">
        <v>103</v>
      </c>
      <c r="H2940" t="s">
        <v>248</v>
      </c>
      <c r="J2940">
        <v>0</v>
      </c>
      <c r="K2940">
        <v>4</v>
      </c>
      <c r="L2940">
        <v>73.260869569999997</v>
      </c>
      <c r="M2940">
        <v>34.453830549999999</v>
      </c>
      <c r="N2940">
        <v>1.058333333</v>
      </c>
      <c r="O2940">
        <v>83.92307692</v>
      </c>
      <c r="P2940">
        <v>44.319135699999997</v>
      </c>
      <c r="Q2940">
        <v>5.9548609999999997E-3</v>
      </c>
      <c r="R2940" t="s">
        <v>1040</v>
      </c>
      <c r="S2940">
        <v>0.72879142000000008</v>
      </c>
    </row>
    <row r="2941" spans="1:19" x14ac:dyDescent="0.25">
      <c r="A2941" t="s">
        <v>85</v>
      </c>
      <c r="B2941" t="s">
        <v>1000</v>
      </c>
      <c r="C2941">
        <v>6</v>
      </c>
      <c r="D2941" t="s">
        <v>25</v>
      </c>
      <c r="E2941" t="s">
        <v>94</v>
      </c>
      <c r="F2941" t="s">
        <v>110</v>
      </c>
      <c r="G2941" t="s">
        <v>103</v>
      </c>
      <c r="H2941" t="s">
        <v>233</v>
      </c>
      <c r="J2941">
        <v>0</v>
      </c>
      <c r="K2941">
        <v>3</v>
      </c>
      <c r="L2941">
        <v>73.260869569999997</v>
      </c>
      <c r="M2941">
        <v>34.453830549999999</v>
      </c>
      <c r="N2941">
        <v>1.058333333</v>
      </c>
      <c r="O2941">
        <v>106.0540541</v>
      </c>
      <c r="P2941">
        <v>52.690533369999997</v>
      </c>
      <c r="Q2941">
        <v>7.6058968000000005E-2</v>
      </c>
      <c r="R2941" t="s">
        <v>1040</v>
      </c>
      <c r="S2941">
        <v>0.46008181000000004</v>
      </c>
    </row>
    <row r="2942" spans="1:19" x14ac:dyDescent="0.25">
      <c r="A2942" t="s">
        <v>85</v>
      </c>
      <c r="B2942" t="s">
        <v>1000</v>
      </c>
      <c r="C2942">
        <v>6</v>
      </c>
      <c r="D2942" t="s">
        <v>25</v>
      </c>
      <c r="E2942" t="s">
        <v>94</v>
      </c>
      <c r="F2942" t="s">
        <v>110</v>
      </c>
      <c r="G2942" t="s">
        <v>103</v>
      </c>
      <c r="H2942" t="s">
        <v>110</v>
      </c>
      <c r="J2942">
        <v>0</v>
      </c>
      <c r="K2942">
        <v>1</v>
      </c>
      <c r="L2942">
        <v>73.260869569999997</v>
      </c>
      <c r="M2942">
        <v>34.453830549999999</v>
      </c>
      <c r="N2942">
        <v>1.058333333</v>
      </c>
      <c r="O2942">
        <v>73.260869569999997</v>
      </c>
      <c r="P2942">
        <v>34.453830549999999</v>
      </c>
      <c r="Q2942">
        <v>1.058333333</v>
      </c>
      <c r="R2942" t="s">
        <v>1040</v>
      </c>
      <c r="S2942">
        <v>0</v>
      </c>
    </row>
    <row r="2943" spans="1:19" x14ac:dyDescent="0.25">
      <c r="A2943" t="s">
        <v>86</v>
      </c>
      <c r="B2943" t="s">
        <v>1001</v>
      </c>
      <c r="C2943">
        <v>6</v>
      </c>
      <c r="D2943" t="s">
        <v>27</v>
      </c>
      <c r="E2943" t="s">
        <v>94</v>
      </c>
      <c r="F2943" t="s">
        <v>110</v>
      </c>
      <c r="G2943" t="s">
        <v>121</v>
      </c>
      <c r="H2943" t="s">
        <v>246</v>
      </c>
      <c r="J2943">
        <v>0</v>
      </c>
      <c r="K2943">
        <v>1</v>
      </c>
      <c r="L2943">
        <v>73.260869569999997</v>
      </c>
      <c r="M2943">
        <v>34.453830549999999</v>
      </c>
      <c r="N2943">
        <v>1.058333333</v>
      </c>
      <c r="O2943">
        <v>120.25</v>
      </c>
      <c r="P2943">
        <v>30.670450110000001</v>
      </c>
      <c r="Q2943">
        <v>0.91037498500000003</v>
      </c>
      <c r="R2943" t="s">
        <v>1040</v>
      </c>
      <c r="S2943" t="s">
        <v>114</v>
      </c>
    </row>
    <row r="2944" spans="1:19" x14ac:dyDescent="0.25">
      <c r="A2944" t="s">
        <v>86</v>
      </c>
      <c r="B2944" t="s">
        <v>1001</v>
      </c>
      <c r="C2944">
        <v>6</v>
      </c>
      <c r="D2944" t="s">
        <v>27</v>
      </c>
      <c r="E2944" t="s">
        <v>94</v>
      </c>
      <c r="F2944" t="s">
        <v>110</v>
      </c>
      <c r="G2944" t="s">
        <v>121</v>
      </c>
      <c r="H2944" t="s">
        <v>242</v>
      </c>
      <c r="J2944">
        <v>0</v>
      </c>
      <c r="K2944">
        <v>2</v>
      </c>
      <c r="L2944">
        <v>73.260869569999997</v>
      </c>
      <c r="M2944">
        <v>34.453830549999999</v>
      </c>
      <c r="N2944">
        <v>1.058333333</v>
      </c>
      <c r="O2944">
        <v>139.375</v>
      </c>
      <c r="P2944">
        <v>23.713465920000001</v>
      </c>
      <c r="Q2944" t="s">
        <v>114</v>
      </c>
      <c r="R2944" t="s">
        <v>1040</v>
      </c>
      <c r="S2944" t="s">
        <v>114</v>
      </c>
    </row>
    <row r="2945" spans="1:19" x14ac:dyDescent="0.25">
      <c r="A2945" t="s">
        <v>86</v>
      </c>
      <c r="B2945" t="s">
        <v>1002</v>
      </c>
      <c r="C2945">
        <v>6</v>
      </c>
      <c r="D2945" t="s">
        <v>27</v>
      </c>
      <c r="E2945" t="s">
        <v>94</v>
      </c>
      <c r="F2945" t="s">
        <v>112</v>
      </c>
      <c r="G2945" t="s">
        <v>110</v>
      </c>
      <c r="H2945" t="s">
        <v>110</v>
      </c>
      <c r="J2945">
        <v>0</v>
      </c>
      <c r="K2945">
        <v>1</v>
      </c>
      <c r="L2945">
        <v>65.09375</v>
      </c>
      <c r="M2945">
        <v>37.895352600000002</v>
      </c>
      <c r="N2945">
        <v>2.2882677779999998</v>
      </c>
      <c r="O2945">
        <v>73.260869569999997</v>
      </c>
      <c r="P2945">
        <v>34.453830549999999</v>
      </c>
      <c r="Q2945">
        <v>1.058333333</v>
      </c>
      <c r="R2945" t="s">
        <v>1040</v>
      </c>
      <c r="S2945">
        <v>1.3022066999999999</v>
      </c>
    </row>
    <row r="2946" spans="1:19" x14ac:dyDescent="0.25">
      <c r="A2946" t="s">
        <v>86</v>
      </c>
      <c r="B2946" t="s">
        <v>1002</v>
      </c>
      <c r="C2946">
        <v>6</v>
      </c>
      <c r="D2946" t="s">
        <v>27</v>
      </c>
      <c r="E2946" t="s">
        <v>94</v>
      </c>
      <c r="F2946" t="s">
        <v>112</v>
      </c>
      <c r="G2946" t="s">
        <v>110</v>
      </c>
      <c r="H2946" t="s">
        <v>246</v>
      </c>
      <c r="J2946">
        <v>0</v>
      </c>
      <c r="K2946">
        <v>1</v>
      </c>
      <c r="L2946">
        <v>65.09375</v>
      </c>
      <c r="M2946">
        <v>37.895352600000002</v>
      </c>
      <c r="N2946">
        <v>2.2882677779999998</v>
      </c>
      <c r="O2946">
        <v>120.25</v>
      </c>
      <c r="P2946">
        <v>30.670450110000001</v>
      </c>
      <c r="Q2946">
        <v>0.91037498500000003</v>
      </c>
      <c r="R2946" t="s">
        <v>1040</v>
      </c>
      <c r="S2946" t="s">
        <v>114</v>
      </c>
    </row>
    <row r="2947" spans="1:19" x14ac:dyDescent="0.25">
      <c r="A2947" t="s">
        <v>87</v>
      </c>
      <c r="B2947" t="s">
        <v>1003</v>
      </c>
      <c r="C2947">
        <v>6</v>
      </c>
      <c r="D2947" t="s">
        <v>29</v>
      </c>
      <c r="E2947" t="s">
        <v>95</v>
      </c>
      <c r="F2947" t="s">
        <v>102</v>
      </c>
      <c r="G2947" t="s">
        <v>110</v>
      </c>
      <c r="H2947" t="s">
        <v>110</v>
      </c>
      <c r="J2947">
        <v>0</v>
      </c>
      <c r="K2947">
        <v>3</v>
      </c>
      <c r="L2947">
        <v>84.740740740000007</v>
      </c>
      <c r="M2947">
        <v>29.167014049999999</v>
      </c>
      <c r="N2947">
        <v>1.1169849999999999</v>
      </c>
      <c r="O2947">
        <v>73.260869569999997</v>
      </c>
      <c r="P2947">
        <v>34.453830549999999</v>
      </c>
      <c r="Q2947">
        <v>1.058333333</v>
      </c>
      <c r="R2947" t="s">
        <v>1040</v>
      </c>
      <c r="S2947">
        <v>0.24817920000000004</v>
      </c>
    </row>
    <row r="2948" spans="1:19" x14ac:dyDescent="0.25">
      <c r="A2948" t="s">
        <v>87</v>
      </c>
      <c r="B2948" t="s">
        <v>1003</v>
      </c>
      <c r="C2948">
        <v>6</v>
      </c>
      <c r="D2948" t="s">
        <v>29</v>
      </c>
      <c r="E2948" t="s">
        <v>95</v>
      </c>
      <c r="F2948" t="s">
        <v>102</v>
      </c>
      <c r="G2948" t="s">
        <v>110</v>
      </c>
      <c r="H2948" t="s">
        <v>246</v>
      </c>
      <c r="J2948">
        <v>0</v>
      </c>
      <c r="K2948">
        <v>1</v>
      </c>
      <c r="L2948">
        <v>84.740740740000007</v>
      </c>
      <c r="M2948">
        <v>29.167014049999999</v>
      </c>
      <c r="N2948">
        <v>1.1169849999999999</v>
      </c>
      <c r="O2948">
        <v>120.25</v>
      </c>
      <c r="P2948">
        <v>30.670450110000001</v>
      </c>
      <c r="Q2948">
        <v>0.91037498500000003</v>
      </c>
      <c r="R2948" t="s">
        <v>1040</v>
      </c>
      <c r="S2948" t="s">
        <v>114</v>
      </c>
    </row>
    <row r="2949" spans="1:19" x14ac:dyDescent="0.25">
      <c r="A2949" t="s">
        <v>87</v>
      </c>
      <c r="B2949" t="s">
        <v>1003</v>
      </c>
      <c r="C2949">
        <v>6</v>
      </c>
      <c r="D2949" t="s">
        <v>29</v>
      </c>
      <c r="E2949" t="s">
        <v>95</v>
      </c>
      <c r="F2949" t="s">
        <v>102</v>
      </c>
      <c r="G2949" t="s">
        <v>110</v>
      </c>
      <c r="H2949" t="s">
        <v>242</v>
      </c>
      <c r="J2949">
        <v>0</v>
      </c>
      <c r="K2949">
        <v>2</v>
      </c>
      <c r="L2949">
        <v>84.740740740000007</v>
      </c>
      <c r="M2949">
        <v>29.167014049999999</v>
      </c>
      <c r="N2949">
        <v>1.1169849999999999</v>
      </c>
      <c r="O2949">
        <v>139.375</v>
      </c>
      <c r="P2949">
        <v>23.713465920000001</v>
      </c>
      <c r="Q2949" t="s">
        <v>114</v>
      </c>
      <c r="R2949" t="s">
        <v>1040</v>
      </c>
      <c r="S2949" t="s">
        <v>114</v>
      </c>
    </row>
    <row r="2950" spans="1:19" x14ac:dyDescent="0.25">
      <c r="A2950" t="s">
        <v>87</v>
      </c>
      <c r="B2950" t="s">
        <v>1004</v>
      </c>
      <c r="C2950">
        <v>6</v>
      </c>
      <c r="D2950" t="s">
        <v>29</v>
      </c>
      <c r="E2950" t="s">
        <v>95</v>
      </c>
      <c r="F2950" t="s">
        <v>110</v>
      </c>
      <c r="G2950" t="s">
        <v>110</v>
      </c>
      <c r="H2950" t="s">
        <v>110</v>
      </c>
      <c r="J2950">
        <v>0</v>
      </c>
      <c r="K2950">
        <v>1</v>
      </c>
      <c r="L2950">
        <v>73.260869569999997</v>
      </c>
      <c r="M2950">
        <v>34.453830549999999</v>
      </c>
      <c r="N2950">
        <v>1.058333333</v>
      </c>
      <c r="O2950">
        <v>73.260869569999997</v>
      </c>
      <c r="P2950">
        <v>34.453830549999999</v>
      </c>
      <c r="Q2950">
        <v>1.058333333</v>
      </c>
      <c r="R2950" t="s">
        <v>1040</v>
      </c>
      <c r="S2950">
        <v>0</v>
      </c>
    </row>
    <row r="2951" spans="1:19" x14ac:dyDescent="0.25">
      <c r="A2951" t="s">
        <v>88</v>
      </c>
      <c r="B2951" t="s">
        <v>1005</v>
      </c>
      <c r="C2951">
        <v>6</v>
      </c>
      <c r="D2951" t="s">
        <v>31</v>
      </c>
      <c r="E2951" t="s">
        <v>95</v>
      </c>
      <c r="F2951" t="s">
        <v>110</v>
      </c>
      <c r="G2951" t="s">
        <v>113</v>
      </c>
      <c r="H2951" t="s">
        <v>113</v>
      </c>
      <c r="J2951">
        <v>0</v>
      </c>
      <c r="K2951">
        <v>3</v>
      </c>
      <c r="L2951">
        <v>73.260869569999997</v>
      </c>
      <c r="M2951">
        <v>34.453830549999999</v>
      </c>
      <c r="N2951">
        <v>1.058333333</v>
      </c>
      <c r="O2951">
        <v>83.757575759999995</v>
      </c>
      <c r="P2951">
        <v>22.60997987</v>
      </c>
      <c r="Q2951">
        <v>0.72884000000000004</v>
      </c>
      <c r="R2951" t="s">
        <v>1040</v>
      </c>
      <c r="S2951">
        <v>0.6959573</v>
      </c>
    </row>
    <row r="2952" spans="1:19" x14ac:dyDescent="0.25">
      <c r="A2952" t="s">
        <v>88</v>
      </c>
      <c r="B2952" t="s">
        <v>1005</v>
      </c>
      <c r="C2952">
        <v>6</v>
      </c>
      <c r="D2952" t="s">
        <v>31</v>
      </c>
      <c r="E2952" t="s">
        <v>95</v>
      </c>
      <c r="F2952" t="s">
        <v>110</v>
      </c>
      <c r="G2952" t="s">
        <v>113</v>
      </c>
      <c r="H2952" t="s">
        <v>103</v>
      </c>
      <c r="J2952">
        <v>0</v>
      </c>
      <c r="K2952">
        <v>1</v>
      </c>
      <c r="L2952">
        <v>73.260869569999997</v>
      </c>
      <c r="M2952">
        <v>34.453830549999999</v>
      </c>
      <c r="N2952">
        <v>1.058333333</v>
      </c>
      <c r="O2952">
        <v>98.291666669999998</v>
      </c>
      <c r="P2952">
        <v>30.315130790000001</v>
      </c>
      <c r="Q2952">
        <v>5.0803484000000003E-2</v>
      </c>
      <c r="R2952" t="s">
        <v>1040</v>
      </c>
      <c r="S2952">
        <v>0.48031000000000001</v>
      </c>
    </row>
    <row r="2953" spans="1:19" x14ac:dyDescent="0.25">
      <c r="A2953" t="s">
        <v>88</v>
      </c>
      <c r="B2953" t="s">
        <v>1006</v>
      </c>
      <c r="C2953">
        <v>6</v>
      </c>
      <c r="D2953" t="s">
        <v>31</v>
      </c>
      <c r="E2953" t="s">
        <v>95</v>
      </c>
      <c r="F2953" t="s">
        <v>112</v>
      </c>
      <c r="G2953" t="s">
        <v>113</v>
      </c>
      <c r="H2953" t="s">
        <v>113</v>
      </c>
      <c r="J2953">
        <v>0</v>
      </c>
      <c r="K2953">
        <v>2</v>
      </c>
      <c r="L2953">
        <v>65.09375</v>
      </c>
      <c r="M2953">
        <v>37.895352600000002</v>
      </c>
      <c r="N2953">
        <v>2.2882677779999998</v>
      </c>
      <c r="O2953">
        <v>83.757575759999995</v>
      </c>
      <c r="P2953">
        <v>22.60997987</v>
      </c>
      <c r="Q2953">
        <v>0.72884000000000004</v>
      </c>
      <c r="R2953" t="s">
        <v>1040</v>
      </c>
      <c r="S2953">
        <v>1.9981640000000001</v>
      </c>
    </row>
    <row r="2954" spans="1:19" x14ac:dyDescent="0.25">
      <c r="A2954" t="s">
        <v>89</v>
      </c>
      <c r="B2954" t="s">
        <v>1007</v>
      </c>
      <c r="C2954">
        <v>6</v>
      </c>
      <c r="D2954" t="s">
        <v>33</v>
      </c>
      <c r="E2954" t="s">
        <v>95</v>
      </c>
      <c r="F2954" t="s">
        <v>104</v>
      </c>
      <c r="G2954" t="s">
        <v>104</v>
      </c>
      <c r="H2954" t="s">
        <v>104</v>
      </c>
      <c r="J2954">
        <v>1</v>
      </c>
      <c r="K2954">
        <v>1</v>
      </c>
      <c r="L2954">
        <v>113.9375</v>
      </c>
      <c r="M2954">
        <v>33.375507550000002</v>
      </c>
      <c r="N2954">
        <v>2.4262999999999999</v>
      </c>
      <c r="O2954">
        <v>113.9375</v>
      </c>
      <c r="P2954">
        <v>33.375507550000002</v>
      </c>
      <c r="Q2954">
        <v>2.4262999999999999</v>
      </c>
      <c r="R2954" t="s">
        <v>1040</v>
      </c>
      <c r="S2954">
        <v>0</v>
      </c>
    </row>
    <row r="2955" spans="1:19" x14ac:dyDescent="0.25">
      <c r="A2955" t="s">
        <v>89</v>
      </c>
      <c r="B2955" t="s">
        <v>1007</v>
      </c>
      <c r="C2955">
        <v>6</v>
      </c>
      <c r="D2955" t="s">
        <v>33</v>
      </c>
      <c r="E2955" t="s">
        <v>95</v>
      </c>
      <c r="F2955" t="s">
        <v>104</v>
      </c>
      <c r="G2955" t="s">
        <v>104</v>
      </c>
      <c r="H2955" t="s">
        <v>103</v>
      </c>
      <c r="J2955">
        <v>1</v>
      </c>
      <c r="K2955">
        <v>1</v>
      </c>
      <c r="L2955">
        <v>113.9375</v>
      </c>
      <c r="M2955">
        <v>33.375507550000002</v>
      </c>
      <c r="N2955">
        <v>2.4262999999999999</v>
      </c>
      <c r="O2955">
        <v>98.291666669999998</v>
      </c>
      <c r="P2955">
        <v>30.315130790000001</v>
      </c>
      <c r="Q2955">
        <v>5.0803484000000003E-2</v>
      </c>
      <c r="R2955" t="s">
        <v>1040</v>
      </c>
      <c r="S2955">
        <v>-2.1739100000000011E-2</v>
      </c>
    </row>
    <row r="2956" spans="1:19" x14ac:dyDescent="0.25">
      <c r="A2956" t="s">
        <v>89</v>
      </c>
      <c r="B2956" t="s">
        <v>1007</v>
      </c>
      <c r="C2956">
        <v>6</v>
      </c>
      <c r="D2956" t="s">
        <v>33</v>
      </c>
      <c r="E2956" t="s">
        <v>95</v>
      </c>
      <c r="F2956" t="s">
        <v>104</v>
      </c>
      <c r="G2956" t="s">
        <v>104</v>
      </c>
      <c r="H2956" t="s">
        <v>246</v>
      </c>
      <c r="J2956">
        <v>1</v>
      </c>
      <c r="K2956">
        <v>1</v>
      </c>
      <c r="L2956">
        <v>113.9375</v>
      </c>
      <c r="M2956">
        <v>33.375507550000002</v>
      </c>
      <c r="N2956">
        <v>2.4262999999999999</v>
      </c>
      <c r="O2956">
        <v>120.25</v>
      </c>
      <c r="P2956">
        <v>30.670450110000001</v>
      </c>
      <c r="Q2956">
        <v>0.91037498500000003</v>
      </c>
      <c r="R2956" t="s">
        <v>1040</v>
      </c>
      <c r="S2956" t="s">
        <v>114</v>
      </c>
    </row>
    <row r="2957" spans="1:19" x14ac:dyDescent="0.25">
      <c r="A2957" t="s">
        <v>89</v>
      </c>
      <c r="B2957" t="s">
        <v>1008</v>
      </c>
      <c r="C2957">
        <v>6</v>
      </c>
      <c r="D2957" t="s">
        <v>33</v>
      </c>
      <c r="E2957" t="s">
        <v>95</v>
      </c>
      <c r="F2957" t="s">
        <v>112</v>
      </c>
      <c r="G2957" t="s">
        <v>113</v>
      </c>
      <c r="H2957" t="s">
        <v>113</v>
      </c>
      <c r="I2957" t="s">
        <v>255</v>
      </c>
      <c r="J2957">
        <v>0</v>
      </c>
      <c r="K2957">
        <v>4</v>
      </c>
      <c r="L2957">
        <v>65.09375</v>
      </c>
      <c r="M2957">
        <v>37.895352600000002</v>
      </c>
      <c r="N2957">
        <v>2.2882677779999998</v>
      </c>
      <c r="O2957">
        <v>83.757575759999995</v>
      </c>
      <c r="P2957">
        <v>22.60997987</v>
      </c>
      <c r="Q2957">
        <v>0.72884000000000004</v>
      </c>
      <c r="R2957" t="s">
        <v>1040</v>
      </c>
      <c r="S2957">
        <v>1.9981640000000001</v>
      </c>
    </row>
    <row r="2958" spans="1:19" x14ac:dyDescent="0.25">
      <c r="A2958" t="s">
        <v>90</v>
      </c>
      <c r="B2958" t="s">
        <v>1009</v>
      </c>
      <c r="C2958">
        <v>6</v>
      </c>
      <c r="D2958" t="s">
        <v>35</v>
      </c>
      <c r="E2958" t="s">
        <v>94</v>
      </c>
      <c r="F2958" t="s">
        <v>111</v>
      </c>
      <c r="G2958" t="s">
        <v>121</v>
      </c>
      <c r="H2958" t="s">
        <v>253</v>
      </c>
      <c r="J2958">
        <v>0</v>
      </c>
      <c r="K2958">
        <v>3</v>
      </c>
      <c r="L2958">
        <v>94.97142857</v>
      </c>
      <c r="M2958">
        <v>24.31591813</v>
      </c>
      <c r="N2958">
        <v>0.122951111</v>
      </c>
      <c r="O2958">
        <v>172.08823530000001</v>
      </c>
      <c r="P2958">
        <v>29.581605960000001</v>
      </c>
      <c r="Q2958">
        <v>0.24280444400000001</v>
      </c>
      <c r="R2958" t="s">
        <v>1040</v>
      </c>
      <c r="S2958" t="s">
        <v>114</v>
      </c>
    </row>
    <row r="2959" spans="1:19" x14ac:dyDescent="0.25">
      <c r="A2959" t="s">
        <v>90</v>
      </c>
      <c r="B2959" t="s">
        <v>1009</v>
      </c>
      <c r="C2959">
        <v>6</v>
      </c>
      <c r="D2959" t="s">
        <v>35</v>
      </c>
      <c r="E2959" t="s">
        <v>94</v>
      </c>
      <c r="F2959" t="s">
        <v>111</v>
      </c>
      <c r="G2959" t="s">
        <v>121</v>
      </c>
      <c r="H2959" t="s">
        <v>162</v>
      </c>
      <c r="J2959">
        <v>0</v>
      </c>
      <c r="K2959">
        <v>1</v>
      </c>
      <c r="L2959">
        <v>94.97142857</v>
      </c>
      <c r="M2959">
        <v>24.31591813</v>
      </c>
      <c r="N2959">
        <v>0.122951111</v>
      </c>
      <c r="O2959">
        <v>82.53846154</v>
      </c>
      <c r="P2959">
        <v>35.660530039999998</v>
      </c>
      <c r="Q2959">
        <v>3.3754499999999998</v>
      </c>
      <c r="R2959" t="s">
        <v>1040</v>
      </c>
      <c r="S2959" t="s">
        <v>114</v>
      </c>
    </row>
    <row r="2960" spans="1:19" x14ac:dyDescent="0.25">
      <c r="A2960" t="s">
        <v>90</v>
      </c>
      <c r="B2960" t="s">
        <v>1010</v>
      </c>
      <c r="C2960">
        <v>6</v>
      </c>
      <c r="D2960" t="s">
        <v>35</v>
      </c>
      <c r="E2960" t="s">
        <v>94</v>
      </c>
      <c r="F2960" t="s">
        <v>104</v>
      </c>
      <c r="G2960" t="s">
        <v>111</v>
      </c>
      <c r="H2960" t="s">
        <v>111</v>
      </c>
      <c r="J2960">
        <v>1</v>
      </c>
      <c r="K2960">
        <v>1</v>
      </c>
      <c r="L2960">
        <v>113.9375</v>
      </c>
      <c r="M2960">
        <v>33.375507550000002</v>
      </c>
      <c r="N2960">
        <v>2.4262999999999999</v>
      </c>
      <c r="O2960">
        <v>94.97142857</v>
      </c>
      <c r="P2960">
        <v>24.31591813</v>
      </c>
      <c r="Q2960">
        <v>0.122951111</v>
      </c>
      <c r="R2960" t="s">
        <v>1040</v>
      </c>
      <c r="S2960">
        <v>1.6413699999999976E-2</v>
      </c>
    </row>
    <row r="2961" spans="1:19" x14ac:dyDescent="0.25">
      <c r="A2961" t="s">
        <v>90</v>
      </c>
      <c r="B2961" t="s">
        <v>1010</v>
      </c>
      <c r="C2961">
        <v>6</v>
      </c>
      <c r="D2961" t="s">
        <v>35</v>
      </c>
      <c r="E2961" t="s">
        <v>94</v>
      </c>
      <c r="F2961" t="s">
        <v>104</v>
      </c>
      <c r="G2961" t="s">
        <v>111</v>
      </c>
      <c r="H2961" t="s">
        <v>253</v>
      </c>
      <c r="J2961">
        <v>1</v>
      </c>
      <c r="K2961">
        <v>2</v>
      </c>
      <c r="L2961">
        <v>113.9375</v>
      </c>
      <c r="M2961">
        <v>33.375507550000002</v>
      </c>
      <c r="N2961">
        <v>2.4262999999999999</v>
      </c>
      <c r="O2961">
        <v>172.08823530000001</v>
      </c>
      <c r="P2961">
        <v>29.581605960000001</v>
      </c>
      <c r="Q2961">
        <v>0.24280444400000001</v>
      </c>
      <c r="R2961" t="s">
        <v>1040</v>
      </c>
      <c r="S2961" t="s">
        <v>114</v>
      </c>
    </row>
    <row r="2962" spans="1:19" x14ac:dyDescent="0.25">
      <c r="A2962" t="s">
        <v>91</v>
      </c>
      <c r="B2962" t="s">
        <v>1011</v>
      </c>
      <c r="C2962">
        <v>6</v>
      </c>
      <c r="D2962" t="s">
        <v>37</v>
      </c>
      <c r="E2962" t="s">
        <v>94</v>
      </c>
      <c r="F2962" t="s">
        <v>112</v>
      </c>
      <c r="G2962" t="s">
        <v>112</v>
      </c>
      <c r="H2962" t="s">
        <v>112</v>
      </c>
      <c r="J2962">
        <v>0</v>
      </c>
      <c r="K2962">
        <v>1</v>
      </c>
      <c r="L2962">
        <v>65.09375</v>
      </c>
      <c r="M2962">
        <v>37.895352600000002</v>
      </c>
      <c r="N2962">
        <v>2.2882677779999998</v>
      </c>
      <c r="O2962">
        <v>65.09375</v>
      </c>
      <c r="P2962">
        <v>37.895352600000002</v>
      </c>
      <c r="Q2962">
        <v>2.2882677779999998</v>
      </c>
      <c r="R2962" t="s">
        <v>1040</v>
      </c>
      <c r="S2962">
        <v>0</v>
      </c>
    </row>
    <row r="2963" spans="1:19" x14ac:dyDescent="0.25">
      <c r="A2963" t="s">
        <v>92</v>
      </c>
      <c r="B2963" t="s">
        <v>1012</v>
      </c>
      <c r="C2963">
        <v>6</v>
      </c>
      <c r="D2963" t="s">
        <v>64</v>
      </c>
      <c r="E2963" t="s">
        <v>94</v>
      </c>
      <c r="F2963" t="s">
        <v>112</v>
      </c>
      <c r="G2963" t="s">
        <v>102</v>
      </c>
      <c r="H2963" t="s">
        <v>102</v>
      </c>
      <c r="J2963">
        <v>0</v>
      </c>
      <c r="K2963">
        <v>2</v>
      </c>
      <c r="L2963">
        <v>65.09375</v>
      </c>
      <c r="M2963">
        <v>37.895352600000002</v>
      </c>
      <c r="N2963">
        <v>2.2882677779999998</v>
      </c>
      <c r="O2963">
        <v>84.740740740000007</v>
      </c>
      <c r="P2963">
        <v>29.167014049999999</v>
      </c>
      <c r="Q2963">
        <v>1.1169849999999999</v>
      </c>
      <c r="R2963" t="s">
        <v>1040</v>
      </c>
      <c r="S2963">
        <v>1.0540274999999999</v>
      </c>
    </row>
    <row r="2964" spans="1:19" x14ac:dyDescent="0.25">
      <c r="A2964" t="s">
        <v>92</v>
      </c>
      <c r="B2964" t="s">
        <v>1012</v>
      </c>
      <c r="C2964">
        <v>6</v>
      </c>
      <c r="D2964" t="s">
        <v>64</v>
      </c>
      <c r="E2964" t="s">
        <v>94</v>
      </c>
      <c r="F2964" t="s">
        <v>112</v>
      </c>
      <c r="G2964" t="s">
        <v>102</v>
      </c>
      <c r="H2964" t="s">
        <v>241</v>
      </c>
      <c r="J2964">
        <v>0</v>
      </c>
      <c r="K2964">
        <v>1</v>
      </c>
      <c r="L2964">
        <v>65.09375</v>
      </c>
      <c r="M2964">
        <v>37.895352600000002</v>
      </c>
      <c r="N2964">
        <v>2.2882677779999998</v>
      </c>
      <c r="O2964">
        <v>114</v>
      </c>
      <c r="P2964">
        <v>30.43077242</v>
      </c>
      <c r="Q2964">
        <v>0.53383111100000002</v>
      </c>
      <c r="R2964" t="s">
        <v>1040</v>
      </c>
      <c r="S2964">
        <v>1.9278440699999999</v>
      </c>
    </row>
    <row r="2965" spans="1:19" x14ac:dyDescent="0.25">
      <c r="A2965" t="s">
        <v>93</v>
      </c>
      <c r="B2965" t="s">
        <v>1013</v>
      </c>
      <c r="C2965">
        <v>6</v>
      </c>
      <c r="D2965" t="s">
        <v>66</v>
      </c>
      <c r="E2965" t="s">
        <v>95</v>
      </c>
      <c r="F2965" t="s">
        <v>104</v>
      </c>
      <c r="G2965" t="s">
        <v>103</v>
      </c>
      <c r="H2965" t="s">
        <v>104</v>
      </c>
      <c r="J2965">
        <v>0</v>
      </c>
      <c r="K2965">
        <v>1</v>
      </c>
      <c r="L2965">
        <v>113.9375</v>
      </c>
      <c r="M2965">
        <v>33.375507550000002</v>
      </c>
      <c r="N2965">
        <v>2.4262999999999999</v>
      </c>
      <c r="O2965">
        <v>113.9375</v>
      </c>
      <c r="P2965">
        <v>33.375507550000002</v>
      </c>
      <c r="Q2965">
        <v>2.4262999999999999</v>
      </c>
      <c r="R2965" t="s">
        <v>1040</v>
      </c>
      <c r="S2965">
        <v>0</v>
      </c>
    </row>
    <row r="2966" spans="1:19" x14ac:dyDescent="0.25">
      <c r="A2966" t="s">
        <v>93</v>
      </c>
      <c r="B2966" t="s">
        <v>1013</v>
      </c>
      <c r="C2966">
        <v>6</v>
      </c>
      <c r="D2966" t="s">
        <v>66</v>
      </c>
      <c r="E2966" t="s">
        <v>95</v>
      </c>
      <c r="F2966" t="s">
        <v>104</v>
      </c>
      <c r="G2966" t="s">
        <v>103</v>
      </c>
      <c r="H2966" t="s">
        <v>111</v>
      </c>
      <c r="J2966">
        <v>0</v>
      </c>
      <c r="K2966">
        <v>1</v>
      </c>
      <c r="L2966">
        <v>113.9375</v>
      </c>
      <c r="M2966">
        <v>33.375507550000002</v>
      </c>
      <c r="N2966">
        <v>2.4262999999999999</v>
      </c>
      <c r="O2966">
        <v>94.97142857</v>
      </c>
      <c r="P2966">
        <v>24.31591813</v>
      </c>
      <c r="Q2966">
        <v>0.122951111</v>
      </c>
      <c r="R2966" t="s">
        <v>1040</v>
      </c>
      <c r="S2966">
        <v>1.6413699999999976E-2</v>
      </c>
    </row>
    <row r="2967" spans="1:19" x14ac:dyDescent="0.25">
      <c r="A2967" t="s">
        <v>93</v>
      </c>
      <c r="B2967" t="s">
        <v>1013</v>
      </c>
      <c r="C2967">
        <v>6</v>
      </c>
      <c r="D2967" t="s">
        <v>66</v>
      </c>
      <c r="E2967" t="s">
        <v>95</v>
      </c>
      <c r="F2967" t="s">
        <v>104</v>
      </c>
      <c r="G2967" t="s">
        <v>103</v>
      </c>
      <c r="H2967" t="s">
        <v>103</v>
      </c>
      <c r="J2967">
        <v>0</v>
      </c>
      <c r="K2967">
        <v>4</v>
      </c>
      <c r="L2967">
        <v>113.9375</v>
      </c>
      <c r="M2967">
        <v>33.375507550000002</v>
      </c>
      <c r="N2967">
        <v>2.4262999999999999</v>
      </c>
      <c r="O2967">
        <v>98.291666669999998</v>
      </c>
      <c r="P2967">
        <v>30.315130790000001</v>
      </c>
      <c r="Q2967">
        <v>5.0803484000000003E-2</v>
      </c>
      <c r="R2967" t="s">
        <v>1040</v>
      </c>
      <c r="S2967">
        <v>-2.1739100000000011E-2</v>
      </c>
    </row>
    <row r="2968" spans="1:19" x14ac:dyDescent="0.25">
      <c r="A2968" t="s">
        <v>93</v>
      </c>
      <c r="B2968" t="s">
        <v>1013</v>
      </c>
      <c r="C2968">
        <v>6</v>
      </c>
      <c r="D2968" t="s">
        <v>66</v>
      </c>
      <c r="E2968" t="s">
        <v>95</v>
      </c>
      <c r="F2968" t="s">
        <v>104</v>
      </c>
      <c r="G2968" t="s">
        <v>103</v>
      </c>
      <c r="H2968" t="s">
        <v>238</v>
      </c>
      <c r="J2968">
        <v>0</v>
      </c>
      <c r="K2968">
        <v>2</v>
      </c>
      <c r="L2968">
        <v>113.9375</v>
      </c>
      <c r="M2968">
        <v>33.375507550000002</v>
      </c>
      <c r="N2968">
        <v>2.4262999999999999</v>
      </c>
      <c r="O2968">
        <v>87.5</v>
      </c>
      <c r="P2968">
        <v>29.478311600000001</v>
      </c>
      <c r="Q2968">
        <v>3.0797751000000002E-2</v>
      </c>
      <c r="R2968" t="s">
        <v>1040</v>
      </c>
      <c r="S2968">
        <v>0.27760324999999997</v>
      </c>
    </row>
    <row r="2969" spans="1:19" x14ac:dyDescent="0.25">
      <c r="A2969" t="s">
        <v>93</v>
      </c>
      <c r="B2969" t="s">
        <v>1013</v>
      </c>
      <c r="C2969">
        <v>6</v>
      </c>
      <c r="D2969" t="s">
        <v>66</v>
      </c>
      <c r="E2969" t="s">
        <v>95</v>
      </c>
      <c r="F2969" t="s">
        <v>104</v>
      </c>
      <c r="G2969" t="s">
        <v>103</v>
      </c>
      <c r="H2969" t="s">
        <v>246</v>
      </c>
      <c r="J2969">
        <v>0</v>
      </c>
      <c r="K2969">
        <v>1</v>
      </c>
      <c r="L2969">
        <v>113.9375</v>
      </c>
      <c r="M2969">
        <v>33.375507550000002</v>
      </c>
      <c r="N2969">
        <v>2.4262999999999999</v>
      </c>
      <c r="O2969">
        <v>120.25</v>
      </c>
      <c r="P2969">
        <v>30.670450110000001</v>
      </c>
      <c r="Q2969">
        <v>0.91037498500000003</v>
      </c>
      <c r="R2969" t="s">
        <v>1040</v>
      </c>
      <c r="S2969" t="s">
        <v>114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95"/>
  <sheetViews>
    <sheetView topLeftCell="D151" workbookViewId="0">
      <selection activeCell="O1" sqref="O1:O195"/>
    </sheetView>
  </sheetViews>
  <sheetFormatPr defaultRowHeight="15" x14ac:dyDescent="0.25"/>
  <cols>
    <col min="1" max="1" width="19.28515625" bestFit="1" customWidth="1"/>
    <col min="2" max="2" width="22.42578125" bestFit="1" customWidth="1"/>
    <col min="3" max="3" width="16.5703125" bestFit="1" customWidth="1"/>
    <col min="4" max="4" width="20.140625" bestFit="1" customWidth="1"/>
    <col min="5" max="5" width="23.28515625" bestFit="1" customWidth="1"/>
    <col min="6" max="6" width="17.5703125" bestFit="1" customWidth="1"/>
    <col min="7" max="7" width="12.7109375" bestFit="1" customWidth="1"/>
    <col min="8" max="8" width="22.42578125" bestFit="1" customWidth="1"/>
    <col min="9" max="9" width="16.5703125" bestFit="1" customWidth="1"/>
    <col min="10" max="10" width="20.140625" bestFit="1" customWidth="1"/>
    <col min="11" max="11" width="23.28515625" bestFit="1" customWidth="1"/>
    <col min="12" max="12" width="17.5703125" bestFit="1" customWidth="1"/>
    <col min="13" max="13" width="12" bestFit="1" customWidth="1"/>
    <col min="14" max="14" width="19.28515625" bestFit="1" customWidth="1"/>
    <col min="15" max="15" width="20.140625" bestFit="1" customWidth="1"/>
    <col min="16" max="16" width="19.28515625" bestFit="1" customWidth="1"/>
    <col min="17" max="17" width="20.140625" bestFit="1" customWidth="1"/>
  </cols>
  <sheetData>
    <row r="1" spans="1:17" x14ac:dyDescent="0.25">
      <c r="A1" t="s">
        <v>796</v>
      </c>
      <c r="B1" t="s">
        <v>1028</v>
      </c>
      <c r="C1" t="s">
        <v>1029</v>
      </c>
      <c r="D1" t="s">
        <v>1030</v>
      </c>
      <c r="E1" t="s">
        <v>1031</v>
      </c>
      <c r="F1" t="s">
        <v>1032</v>
      </c>
      <c r="G1" t="s">
        <v>1033</v>
      </c>
      <c r="H1" t="s">
        <v>1022</v>
      </c>
      <c r="I1" t="s">
        <v>1023</v>
      </c>
      <c r="J1" t="s">
        <v>1024</v>
      </c>
      <c r="K1" t="s">
        <v>1025</v>
      </c>
      <c r="L1" t="s">
        <v>1026</v>
      </c>
      <c r="M1" t="s">
        <v>1027</v>
      </c>
      <c r="N1" t="s">
        <v>1042</v>
      </c>
      <c r="O1" t="s">
        <v>1043</v>
      </c>
      <c r="P1" t="s">
        <v>1044</v>
      </c>
      <c r="Q1" t="s">
        <v>1045</v>
      </c>
    </row>
    <row r="2" spans="1:17" x14ac:dyDescent="0.25">
      <c r="A2" t="s">
        <v>820</v>
      </c>
      <c r="B2">
        <v>8.2750580000000004E-2</v>
      </c>
      <c r="C2">
        <v>0.36144256949999998</v>
      </c>
      <c r="D2">
        <v>10.854577915</v>
      </c>
      <c r="E2">
        <v>-8.2750580000000004E-2</v>
      </c>
      <c r="F2">
        <v>0.36144256949999998</v>
      </c>
      <c r="G2">
        <v>-10.854577915</v>
      </c>
      <c r="H2">
        <v>1.3695316980672801E-2</v>
      </c>
      <c r="I2">
        <v>0.26128146209352499</v>
      </c>
      <c r="J2">
        <v>235.643723425612</v>
      </c>
      <c r="K2">
        <v>1.3695316980672801E-2</v>
      </c>
      <c r="L2">
        <v>0.26128146209352499</v>
      </c>
      <c r="M2">
        <v>235.643723425612</v>
      </c>
      <c r="N2">
        <v>1.6417060000000001E-2</v>
      </c>
      <c r="O2">
        <v>1.6417060000000001E-2</v>
      </c>
      <c r="P2">
        <v>5.390397180872E-4</v>
      </c>
      <c r="Q2">
        <v>5.390397180872E-4</v>
      </c>
    </row>
    <row r="3" spans="1:17" x14ac:dyDescent="0.25">
      <c r="A3" t="s">
        <v>821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 t="s">
        <v>114</v>
      </c>
      <c r="I3" t="s">
        <v>114</v>
      </c>
      <c r="J3" t="s">
        <v>114</v>
      </c>
      <c r="K3" t="s">
        <v>114</v>
      </c>
      <c r="L3" t="s">
        <v>114</v>
      </c>
      <c r="M3" t="s">
        <v>114</v>
      </c>
      <c r="N3">
        <v>0</v>
      </c>
      <c r="O3">
        <v>0</v>
      </c>
      <c r="P3" t="s">
        <v>114</v>
      </c>
      <c r="Q3" t="s">
        <v>114</v>
      </c>
    </row>
    <row r="4" spans="1:17" x14ac:dyDescent="0.25">
      <c r="A4" t="s">
        <v>822</v>
      </c>
      <c r="B4">
        <v>43.00415211</v>
      </c>
      <c r="C4">
        <v>2.2663836215000002</v>
      </c>
      <c r="D4">
        <v>12.069343555</v>
      </c>
      <c r="E4">
        <v>-43.00415211</v>
      </c>
      <c r="F4">
        <v>2.2663836215000002</v>
      </c>
      <c r="G4">
        <v>5.645560455</v>
      </c>
      <c r="H4">
        <v>1168.8443459341199</v>
      </c>
      <c r="I4">
        <v>5.0748491025264702E-4</v>
      </c>
      <c r="J4">
        <v>63.744705702119603</v>
      </c>
      <c r="K4">
        <v>1168.8443459341199</v>
      </c>
      <c r="L4">
        <v>5.0748491025264702E-4</v>
      </c>
      <c r="M4">
        <v>291.33810769723999</v>
      </c>
      <c r="N4">
        <v>1.914065755</v>
      </c>
      <c r="O4">
        <v>1.914065755</v>
      </c>
      <c r="P4">
        <v>2.7346355968986501E-2</v>
      </c>
      <c r="Q4">
        <v>2.7346355968986501E-2</v>
      </c>
    </row>
    <row r="5" spans="1:17" x14ac:dyDescent="0.25">
      <c r="A5" t="s">
        <v>823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 t="s">
        <v>114</v>
      </c>
      <c r="I5" t="s">
        <v>114</v>
      </c>
      <c r="J5" t="s">
        <v>114</v>
      </c>
      <c r="K5" t="s">
        <v>114</v>
      </c>
      <c r="L5" t="s">
        <v>114</v>
      </c>
      <c r="M5" t="s">
        <v>114</v>
      </c>
      <c r="N5">
        <v>0</v>
      </c>
      <c r="O5">
        <v>0</v>
      </c>
      <c r="P5" t="s">
        <v>114</v>
      </c>
      <c r="Q5" t="s">
        <v>114</v>
      </c>
    </row>
    <row r="6" spans="1:17" x14ac:dyDescent="0.25">
      <c r="A6" t="s">
        <v>824</v>
      </c>
      <c r="B6">
        <v>10.496706189999999</v>
      </c>
      <c r="C6">
        <v>0.329493333</v>
      </c>
      <c r="D6">
        <v>11.843850679999999</v>
      </c>
      <c r="E6">
        <v>-10.496706189999999</v>
      </c>
      <c r="F6">
        <v>0.329493333</v>
      </c>
      <c r="G6">
        <v>11.843850679999999</v>
      </c>
      <c r="H6" t="s">
        <v>114</v>
      </c>
      <c r="I6" t="s">
        <v>114</v>
      </c>
      <c r="J6" t="s">
        <v>114</v>
      </c>
      <c r="K6" t="s">
        <v>114</v>
      </c>
      <c r="L6" t="s">
        <v>114</v>
      </c>
      <c r="M6" t="s">
        <v>114</v>
      </c>
      <c r="N6">
        <v>0.6959573</v>
      </c>
      <c r="O6">
        <v>0.6959573</v>
      </c>
      <c r="P6" t="s">
        <v>114</v>
      </c>
      <c r="Q6" t="s">
        <v>114</v>
      </c>
    </row>
    <row r="7" spans="1:17" x14ac:dyDescent="0.25">
      <c r="A7" t="s">
        <v>825</v>
      </c>
      <c r="B7">
        <v>5.4831169299999996</v>
      </c>
      <c r="C7">
        <v>0.63534888899999997</v>
      </c>
      <c r="D7">
        <v>2.4388925600000002</v>
      </c>
      <c r="E7">
        <v>-5.4831169299999996</v>
      </c>
      <c r="F7">
        <v>-0.63534888899999997</v>
      </c>
      <c r="G7">
        <v>-2.4388925600000002</v>
      </c>
      <c r="H7" t="s">
        <v>114</v>
      </c>
      <c r="I7" t="s">
        <v>114</v>
      </c>
      <c r="J7" t="s">
        <v>114</v>
      </c>
      <c r="K7" t="s">
        <v>114</v>
      </c>
      <c r="L7" t="s">
        <v>114</v>
      </c>
      <c r="M7" t="s">
        <v>114</v>
      </c>
      <c r="N7">
        <v>1.8570710000000001E-2</v>
      </c>
      <c r="O7">
        <v>-1.8570710000000001E-2</v>
      </c>
      <c r="P7" t="s">
        <v>114</v>
      </c>
      <c r="Q7" t="s">
        <v>114</v>
      </c>
    </row>
    <row r="8" spans="1:17" x14ac:dyDescent="0.25">
      <c r="A8" t="s">
        <v>826</v>
      </c>
      <c r="B8" t="s">
        <v>114</v>
      </c>
      <c r="C8" t="s">
        <v>114</v>
      </c>
      <c r="D8" t="s">
        <v>114</v>
      </c>
      <c r="E8" t="s">
        <v>114</v>
      </c>
      <c r="F8" t="s">
        <v>114</v>
      </c>
      <c r="G8" t="s">
        <v>114</v>
      </c>
      <c r="H8" t="s">
        <v>114</v>
      </c>
      <c r="I8" t="s">
        <v>114</v>
      </c>
      <c r="J8" t="s">
        <v>114</v>
      </c>
      <c r="K8" t="s">
        <v>114</v>
      </c>
      <c r="L8" t="s">
        <v>114</v>
      </c>
      <c r="M8" t="s">
        <v>114</v>
      </c>
      <c r="N8" t="s">
        <v>114</v>
      </c>
      <c r="O8" t="s">
        <v>114</v>
      </c>
      <c r="P8" t="s">
        <v>114</v>
      </c>
      <c r="Q8" t="s">
        <v>114</v>
      </c>
    </row>
    <row r="9" spans="1:17" x14ac:dyDescent="0.25">
      <c r="A9" t="s">
        <v>827</v>
      </c>
      <c r="B9">
        <v>23.76599328</v>
      </c>
      <c r="C9">
        <v>0.53958577399999996</v>
      </c>
      <c r="D9">
        <v>4.4932827299999998</v>
      </c>
      <c r="E9">
        <v>-23.76599328</v>
      </c>
      <c r="F9">
        <v>0.53958577399999996</v>
      </c>
      <c r="G9">
        <v>4.4932827299999998</v>
      </c>
      <c r="H9">
        <v>1129.64487317001</v>
      </c>
      <c r="I9">
        <v>0.58230561500635802</v>
      </c>
      <c r="J9">
        <v>40.379179383432501</v>
      </c>
      <c r="K9">
        <v>1129.64487317001</v>
      </c>
      <c r="L9">
        <v>0.58230561500635802</v>
      </c>
      <c r="M9">
        <v>40.379179383432501</v>
      </c>
      <c r="N9">
        <v>0.37155294500000002</v>
      </c>
      <c r="O9">
        <v>0.37155294500000002</v>
      </c>
      <c r="P9">
        <v>0.27610318187634603</v>
      </c>
      <c r="Q9">
        <v>0.27610318187634603</v>
      </c>
    </row>
    <row r="10" spans="1:17" x14ac:dyDescent="0.25">
      <c r="A10" t="s">
        <v>828</v>
      </c>
      <c r="B10">
        <v>24.257575769999999</v>
      </c>
      <c r="C10">
        <v>0.34551327399999998</v>
      </c>
      <c r="D10">
        <v>1.21476564</v>
      </c>
      <c r="E10">
        <v>-24.257575769999999</v>
      </c>
      <c r="F10">
        <v>0.34551327399999998</v>
      </c>
      <c r="G10">
        <v>1.21476564</v>
      </c>
      <c r="H10">
        <v>1176.85996447458</v>
      </c>
      <c r="I10">
        <v>0.23875884502039799</v>
      </c>
      <c r="J10">
        <v>2.9513111202492199</v>
      </c>
      <c r="K10">
        <v>1176.85996447458</v>
      </c>
      <c r="L10">
        <v>0.23875884502039799</v>
      </c>
      <c r="M10">
        <v>2.9513111202492199</v>
      </c>
      <c r="N10">
        <v>0.100515305</v>
      </c>
      <c r="O10">
        <v>-0.100515305</v>
      </c>
      <c r="P10">
        <v>2.0206653078486E-2</v>
      </c>
      <c r="Q10">
        <v>2.0206653078486E-2</v>
      </c>
    </row>
    <row r="11" spans="1:17" x14ac:dyDescent="0.25">
      <c r="A11" t="s">
        <v>829</v>
      </c>
      <c r="B11">
        <v>16.56313132</v>
      </c>
      <c r="C11">
        <v>0.16533921966666701</v>
      </c>
      <c r="D11">
        <v>3.41677461</v>
      </c>
      <c r="E11">
        <v>-16.56313132</v>
      </c>
      <c r="F11">
        <v>-0.15667919833333299</v>
      </c>
      <c r="G11">
        <v>3.3396801900000002</v>
      </c>
      <c r="H11">
        <v>289.22613008771498</v>
      </c>
      <c r="I11">
        <v>7.5736628348332696E-2</v>
      </c>
      <c r="J11">
        <v>33.851055037481999</v>
      </c>
      <c r="K11">
        <v>289.22613008771498</v>
      </c>
      <c r="L11">
        <v>7.9919657902742094E-2</v>
      </c>
      <c r="M11">
        <v>34.632382483575299</v>
      </c>
      <c r="N11">
        <v>5.3314686666666701E-2</v>
      </c>
      <c r="O11">
        <v>5.3314686666666701E-2</v>
      </c>
      <c r="P11">
        <v>6.40316232728923E-3</v>
      </c>
      <c r="Q11">
        <v>6.40316232728923E-3</v>
      </c>
    </row>
    <row r="12" spans="1:17" x14ac:dyDescent="0.25">
      <c r="A12" t="s">
        <v>830</v>
      </c>
      <c r="B12">
        <v>37.301298729999999</v>
      </c>
      <c r="C12">
        <v>8.5137659000000004E-2</v>
      </c>
      <c r="D12">
        <v>4.1354695399999999</v>
      </c>
      <c r="E12">
        <v>-37.301298729999999</v>
      </c>
      <c r="F12">
        <v>8.5137659000000004E-2</v>
      </c>
      <c r="G12">
        <v>4.1354695399999999</v>
      </c>
      <c r="H12" t="s">
        <v>114</v>
      </c>
      <c r="I12" t="s">
        <v>114</v>
      </c>
      <c r="J12" t="s">
        <v>114</v>
      </c>
      <c r="K12" t="s">
        <v>114</v>
      </c>
      <c r="L12" t="s">
        <v>114</v>
      </c>
      <c r="M12" t="s">
        <v>114</v>
      </c>
      <c r="N12">
        <v>2.3536109999999999E-2</v>
      </c>
      <c r="O12">
        <v>-2.3536109999999999E-2</v>
      </c>
      <c r="P12" t="s">
        <v>114</v>
      </c>
      <c r="Q12" t="s">
        <v>114</v>
      </c>
    </row>
    <row r="13" spans="1:17" x14ac:dyDescent="0.25">
      <c r="A13" t="s">
        <v>831</v>
      </c>
      <c r="B13">
        <v>67.1789773</v>
      </c>
      <c r="C13">
        <v>2.2504543259999998</v>
      </c>
      <c r="D13">
        <v>17.714904010000001</v>
      </c>
      <c r="E13">
        <v>-67.1789773</v>
      </c>
      <c r="F13">
        <v>2.2504543259999998</v>
      </c>
      <c r="G13">
        <v>17.714904010000001</v>
      </c>
      <c r="H13" t="s">
        <v>114</v>
      </c>
      <c r="I13" t="s">
        <v>114</v>
      </c>
      <c r="J13" t="s">
        <v>114</v>
      </c>
      <c r="K13" t="s">
        <v>114</v>
      </c>
      <c r="L13" t="s">
        <v>114</v>
      </c>
      <c r="M13" t="s">
        <v>114</v>
      </c>
      <c r="N13">
        <v>1.7971333899999999</v>
      </c>
      <c r="O13">
        <v>1.7971333899999999</v>
      </c>
      <c r="P13" t="s">
        <v>114</v>
      </c>
      <c r="Q13" t="s">
        <v>114</v>
      </c>
    </row>
    <row r="14" spans="1:17" x14ac:dyDescent="0.25">
      <c r="A14" t="s">
        <v>832</v>
      </c>
      <c r="B14">
        <v>14.29629628</v>
      </c>
      <c r="C14">
        <v>0.28373600799999998</v>
      </c>
      <c r="D14">
        <v>1.3753441200000001</v>
      </c>
      <c r="E14">
        <v>-14.29629628</v>
      </c>
      <c r="F14">
        <v>-0.28373600799999998</v>
      </c>
      <c r="G14">
        <v>1.3753441200000001</v>
      </c>
      <c r="H14">
        <v>408.768174651084</v>
      </c>
      <c r="I14">
        <v>0.16101224447155199</v>
      </c>
      <c r="J14">
        <v>3.7831428968371501</v>
      </c>
      <c r="K14">
        <v>408.768174651084</v>
      </c>
      <c r="L14">
        <v>0.16101224447155199</v>
      </c>
      <c r="M14">
        <v>3.7831428968371501</v>
      </c>
      <c r="N14">
        <v>0.53393209500000005</v>
      </c>
      <c r="O14">
        <v>0.53393209500000005</v>
      </c>
      <c r="P14">
        <v>0.57016696414217805</v>
      </c>
      <c r="Q14">
        <v>0.57016696414217805</v>
      </c>
    </row>
    <row r="15" spans="1:17" x14ac:dyDescent="0.25">
      <c r="A15" t="s">
        <v>833</v>
      </c>
      <c r="B15">
        <v>41.881507380000002</v>
      </c>
      <c r="C15">
        <v>1.53536559466667</v>
      </c>
      <c r="D15">
        <v>20.518134329999999</v>
      </c>
      <c r="E15">
        <v>-41.881507380000002</v>
      </c>
      <c r="F15">
        <v>-1.2832433759999999</v>
      </c>
      <c r="G15">
        <v>20.518134329999999</v>
      </c>
      <c r="H15">
        <v>630.08699374806497</v>
      </c>
      <c r="I15">
        <v>1.71916741670016</v>
      </c>
      <c r="J15">
        <v>60.662399707916499</v>
      </c>
      <c r="K15">
        <v>630.08699374806497</v>
      </c>
      <c r="L15">
        <v>2.7851183375575301</v>
      </c>
      <c r="M15">
        <v>60.662399707916499</v>
      </c>
      <c r="N15" t="s">
        <v>114</v>
      </c>
      <c r="O15" t="s">
        <v>114</v>
      </c>
      <c r="P15" t="s">
        <v>114</v>
      </c>
      <c r="Q15" t="s">
        <v>114</v>
      </c>
    </row>
    <row r="16" spans="1:17" x14ac:dyDescent="0.25">
      <c r="A16" t="s">
        <v>834</v>
      </c>
      <c r="B16">
        <v>37.301298729999999</v>
      </c>
      <c r="C16">
        <v>8.5137659000000004E-2</v>
      </c>
      <c r="D16">
        <v>4.1354695399999999</v>
      </c>
      <c r="E16">
        <v>-37.301298729999999</v>
      </c>
      <c r="F16">
        <v>8.5137659000000004E-2</v>
      </c>
      <c r="G16">
        <v>4.1354695399999999</v>
      </c>
      <c r="H16" t="s">
        <v>114</v>
      </c>
      <c r="I16" t="s">
        <v>114</v>
      </c>
      <c r="J16" t="s">
        <v>114</v>
      </c>
      <c r="K16" t="s">
        <v>114</v>
      </c>
      <c r="L16" t="s">
        <v>114</v>
      </c>
      <c r="M16" t="s">
        <v>114</v>
      </c>
      <c r="N16">
        <v>2.3536109999999999E-2</v>
      </c>
      <c r="O16">
        <v>-2.3536109999999999E-2</v>
      </c>
      <c r="P16" t="s">
        <v>114</v>
      </c>
      <c r="Q16" t="s">
        <v>114</v>
      </c>
    </row>
    <row r="17" spans="1:17" x14ac:dyDescent="0.25">
      <c r="A17" t="s">
        <v>835</v>
      </c>
      <c r="B17" t="s">
        <v>114</v>
      </c>
      <c r="C17" t="s">
        <v>114</v>
      </c>
      <c r="D17" t="s">
        <v>114</v>
      </c>
      <c r="E17" t="s">
        <v>114</v>
      </c>
      <c r="F17" t="s">
        <v>114</v>
      </c>
      <c r="G17" t="s">
        <v>114</v>
      </c>
      <c r="H17" t="s">
        <v>114</v>
      </c>
      <c r="I17" t="s">
        <v>114</v>
      </c>
      <c r="J17" t="s">
        <v>114</v>
      </c>
      <c r="K17" t="s">
        <v>114</v>
      </c>
      <c r="L17" t="s">
        <v>114</v>
      </c>
      <c r="M17" t="s">
        <v>114</v>
      </c>
      <c r="N17" t="s">
        <v>114</v>
      </c>
      <c r="O17" t="s">
        <v>114</v>
      </c>
      <c r="P17" t="s">
        <v>114</v>
      </c>
      <c r="Q17" t="s">
        <v>114</v>
      </c>
    </row>
    <row r="18" spans="1:17" x14ac:dyDescent="0.25">
      <c r="A18" t="s">
        <v>836</v>
      </c>
      <c r="B18">
        <v>31.085714265</v>
      </c>
      <c r="C18">
        <v>0.21434500000000001</v>
      </c>
      <c r="D18">
        <v>2.3265815949999999</v>
      </c>
      <c r="E18">
        <v>-31.085714265</v>
      </c>
      <c r="F18">
        <v>-0.21434500000000001</v>
      </c>
      <c r="G18">
        <v>-2.3265815949999999</v>
      </c>
      <c r="H18">
        <v>1932.64326273045</v>
      </c>
      <c r="I18">
        <v>9.1887558049999998E-2</v>
      </c>
      <c r="J18">
        <v>10.825963836385499</v>
      </c>
      <c r="K18">
        <v>1932.64326273045</v>
      </c>
      <c r="L18">
        <v>9.1887558049999998E-2</v>
      </c>
      <c r="M18">
        <v>10.825963836385499</v>
      </c>
      <c r="N18" t="s">
        <v>114</v>
      </c>
      <c r="O18" t="s">
        <v>114</v>
      </c>
      <c r="P18" t="s">
        <v>114</v>
      </c>
      <c r="Q18" t="s">
        <v>114</v>
      </c>
    </row>
    <row r="19" spans="1:17" x14ac:dyDescent="0.25">
      <c r="A19" t="s">
        <v>837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 t="s">
        <v>114</v>
      </c>
      <c r="I19" t="s">
        <v>114</v>
      </c>
      <c r="J19" t="s">
        <v>114</v>
      </c>
      <c r="K19" t="s">
        <v>114</v>
      </c>
      <c r="L19" t="s">
        <v>114</v>
      </c>
      <c r="M19" t="s">
        <v>114</v>
      </c>
      <c r="N19">
        <v>0</v>
      </c>
      <c r="O19">
        <v>0</v>
      </c>
      <c r="P19" t="s">
        <v>114</v>
      </c>
      <c r="Q19" t="s">
        <v>114</v>
      </c>
    </row>
    <row r="20" spans="1:17" x14ac:dyDescent="0.25">
      <c r="A20" t="s">
        <v>838</v>
      </c>
      <c r="B20">
        <v>20</v>
      </c>
      <c r="C20">
        <v>0.38519902900000003</v>
      </c>
      <c r="D20">
        <v>18.458924209999999</v>
      </c>
      <c r="E20">
        <v>-20</v>
      </c>
      <c r="F20">
        <v>0.38519902900000003</v>
      </c>
      <c r="G20">
        <v>18.458924209999999</v>
      </c>
      <c r="H20" t="s">
        <v>114</v>
      </c>
      <c r="I20" t="s">
        <v>114</v>
      </c>
      <c r="J20" t="s">
        <v>114</v>
      </c>
      <c r="K20" t="s">
        <v>114</v>
      </c>
      <c r="L20" t="s">
        <v>114</v>
      </c>
      <c r="M20" t="s">
        <v>114</v>
      </c>
      <c r="N20">
        <v>1.9657163499999999</v>
      </c>
      <c r="O20">
        <v>1.9657163499999999</v>
      </c>
      <c r="P20" t="s">
        <v>114</v>
      </c>
      <c r="Q20" t="s">
        <v>114</v>
      </c>
    </row>
    <row r="21" spans="1:17" x14ac:dyDescent="0.25">
      <c r="A21" t="s">
        <v>839</v>
      </c>
      <c r="B21" t="s">
        <v>114</v>
      </c>
      <c r="C21" t="s">
        <v>114</v>
      </c>
      <c r="D21" t="s">
        <v>114</v>
      </c>
      <c r="E21" t="s">
        <v>114</v>
      </c>
      <c r="F21" t="s">
        <v>114</v>
      </c>
      <c r="G21" t="s">
        <v>114</v>
      </c>
      <c r="H21" t="s">
        <v>114</v>
      </c>
      <c r="I21" t="s">
        <v>114</v>
      </c>
      <c r="J21" t="s">
        <v>114</v>
      </c>
      <c r="K21" t="s">
        <v>114</v>
      </c>
      <c r="L21" t="s">
        <v>114</v>
      </c>
      <c r="M21" t="s">
        <v>114</v>
      </c>
      <c r="N21" t="s">
        <v>114</v>
      </c>
      <c r="O21" t="s">
        <v>114</v>
      </c>
      <c r="P21" t="s">
        <v>114</v>
      </c>
      <c r="Q21" t="s">
        <v>114</v>
      </c>
    </row>
    <row r="22" spans="1:17" x14ac:dyDescent="0.25">
      <c r="A22" t="s">
        <v>840</v>
      </c>
      <c r="B22">
        <v>19.46875</v>
      </c>
      <c r="C22">
        <v>2.0128571500000001E-2</v>
      </c>
      <c r="D22">
        <v>2.28468128</v>
      </c>
      <c r="E22">
        <v>19.46875</v>
      </c>
      <c r="F22">
        <v>2.0128571500000001E-2</v>
      </c>
      <c r="G22">
        <v>2.28468128</v>
      </c>
      <c r="H22">
        <v>758.064453125</v>
      </c>
      <c r="I22">
        <v>8.1031878126122496E-4</v>
      </c>
      <c r="J22">
        <v>10.4395371023649</v>
      </c>
      <c r="K22">
        <v>758.064453125</v>
      </c>
      <c r="L22">
        <v>8.1031878126122496E-4</v>
      </c>
      <c r="M22">
        <v>10.4395371023649</v>
      </c>
      <c r="N22">
        <v>7.1456640000000002E-2</v>
      </c>
      <c r="O22">
        <v>7.1456640000000002E-2</v>
      </c>
      <c r="P22">
        <v>1.02121028001792E-2</v>
      </c>
      <c r="Q22">
        <v>1.02121028001792E-2</v>
      </c>
    </row>
    <row r="23" spans="1:17" x14ac:dyDescent="0.25">
      <c r="A23" t="s">
        <v>841</v>
      </c>
      <c r="B23">
        <v>22.40625</v>
      </c>
      <c r="C23">
        <v>2.2574700270000001</v>
      </c>
      <c r="D23">
        <v>8.4170409999999993</v>
      </c>
      <c r="E23">
        <v>-22.40625</v>
      </c>
      <c r="F23">
        <v>2.2574700270000001</v>
      </c>
      <c r="G23">
        <v>8.4170409999999993</v>
      </c>
      <c r="H23" t="s">
        <v>114</v>
      </c>
      <c r="I23" t="s">
        <v>114</v>
      </c>
      <c r="J23" t="s">
        <v>114</v>
      </c>
      <c r="K23" t="s">
        <v>114</v>
      </c>
      <c r="L23" t="s">
        <v>114</v>
      </c>
      <c r="M23" t="s">
        <v>114</v>
      </c>
      <c r="N23">
        <v>2.0818590499999998</v>
      </c>
      <c r="O23">
        <v>2.0818590499999998</v>
      </c>
      <c r="P23" t="s">
        <v>114</v>
      </c>
      <c r="Q23" t="s">
        <v>114</v>
      </c>
    </row>
    <row r="24" spans="1:17" x14ac:dyDescent="0.25">
      <c r="A24" t="s">
        <v>842</v>
      </c>
      <c r="B24">
        <v>2.40625</v>
      </c>
      <c r="C24">
        <v>1.8722709980000001</v>
      </c>
      <c r="D24">
        <v>10.04188321</v>
      </c>
      <c r="E24">
        <v>2.40625</v>
      </c>
      <c r="F24">
        <v>-1.8722709980000001</v>
      </c>
      <c r="G24">
        <v>10.04188321</v>
      </c>
      <c r="H24" t="s">
        <v>114</v>
      </c>
      <c r="I24" t="s">
        <v>114</v>
      </c>
      <c r="J24" t="s">
        <v>114</v>
      </c>
      <c r="K24" t="s">
        <v>114</v>
      </c>
      <c r="L24" t="s">
        <v>114</v>
      </c>
      <c r="M24" t="s">
        <v>114</v>
      </c>
      <c r="N24">
        <v>0.1161427</v>
      </c>
      <c r="O24">
        <v>-0.1161427</v>
      </c>
      <c r="P24" t="s">
        <v>114</v>
      </c>
      <c r="Q24" t="s">
        <v>114</v>
      </c>
    </row>
    <row r="25" spans="1:17" x14ac:dyDescent="0.25">
      <c r="A25" t="s">
        <v>843</v>
      </c>
      <c r="B25">
        <v>19.576086953333299</v>
      </c>
      <c r="C25">
        <v>0.184457597333333</v>
      </c>
      <c r="D25">
        <v>2.1429025199999998</v>
      </c>
      <c r="E25">
        <v>-19.576086953333299</v>
      </c>
      <c r="F25">
        <v>0.184457597333333</v>
      </c>
      <c r="G25">
        <v>0.37935110666666699</v>
      </c>
      <c r="H25">
        <v>598.05801030335101</v>
      </c>
      <c r="I25">
        <v>4.2089364252379899E-2</v>
      </c>
      <c r="J25">
        <v>3.7678147474575199</v>
      </c>
      <c r="K25">
        <v>598.05801030335101</v>
      </c>
      <c r="L25">
        <v>4.2089364252379899E-2</v>
      </c>
      <c r="M25">
        <v>10.4400006695972</v>
      </c>
      <c r="N25" t="s">
        <v>114</v>
      </c>
      <c r="O25" t="s">
        <v>114</v>
      </c>
      <c r="P25" t="s">
        <v>114</v>
      </c>
      <c r="Q25" t="s">
        <v>114</v>
      </c>
    </row>
    <row r="26" spans="1:17" x14ac:dyDescent="0.25">
      <c r="A26" t="s">
        <v>844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 t="s">
        <v>114</v>
      </c>
      <c r="I26" t="s">
        <v>114</v>
      </c>
      <c r="J26" t="s">
        <v>114</v>
      </c>
      <c r="K26" t="s">
        <v>114</v>
      </c>
      <c r="L26" t="s">
        <v>114</v>
      </c>
      <c r="M26" t="s">
        <v>114</v>
      </c>
      <c r="N26">
        <v>0</v>
      </c>
      <c r="O26">
        <v>0</v>
      </c>
      <c r="P26" t="s">
        <v>114</v>
      </c>
      <c r="Q26" t="s">
        <v>114</v>
      </c>
    </row>
    <row r="27" spans="1:17" x14ac:dyDescent="0.25">
      <c r="A27" t="s">
        <v>845</v>
      </c>
      <c r="B27" t="s">
        <v>114</v>
      </c>
      <c r="C27" t="s">
        <v>114</v>
      </c>
      <c r="D27" t="s">
        <v>114</v>
      </c>
      <c r="E27" t="s">
        <v>114</v>
      </c>
      <c r="F27" t="s">
        <v>114</v>
      </c>
      <c r="G27" t="s">
        <v>114</v>
      </c>
      <c r="H27" t="s">
        <v>114</v>
      </c>
      <c r="I27" t="s">
        <v>114</v>
      </c>
      <c r="J27" t="s">
        <v>114</v>
      </c>
      <c r="K27" t="s">
        <v>114</v>
      </c>
      <c r="L27" t="s">
        <v>114</v>
      </c>
      <c r="M27" t="s">
        <v>114</v>
      </c>
      <c r="N27" t="s">
        <v>114</v>
      </c>
      <c r="O27" t="s">
        <v>114</v>
      </c>
      <c r="P27" t="s">
        <v>114</v>
      </c>
      <c r="Q27" t="s">
        <v>114</v>
      </c>
    </row>
    <row r="28" spans="1:17" x14ac:dyDescent="0.25">
      <c r="A28" t="s">
        <v>846</v>
      </c>
      <c r="B28">
        <v>7.2670454549999999</v>
      </c>
      <c r="C28">
        <v>0.72716325800000003</v>
      </c>
      <c r="D28">
        <v>3.8525754600000002</v>
      </c>
      <c r="E28">
        <v>-6.2838804750000001</v>
      </c>
      <c r="F28">
        <v>0.72716325800000003</v>
      </c>
      <c r="G28">
        <v>2.7044587199999999</v>
      </c>
      <c r="H28">
        <v>78.974307648172498</v>
      </c>
      <c r="I28">
        <v>0.229866758514709</v>
      </c>
      <c r="J28">
        <v>14.628193936368101</v>
      </c>
      <c r="K28">
        <v>105.619899290072</v>
      </c>
      <c r="L28">
        <v>0.229866758514709</v>
      </c>
      <c r="M28">
        <v>29.6846753499884</v>
      </c>
      <c r="N28">
        <v>0.83631285</v>
      </c>
      <c r="O28">
        <v>0.83631285</v>
      </c>
      <c r="P28">
        <v>2.3251878998645E-2</v>
      </c>
      <c r="Q28">
        <v>2.3251878998645E-2</v>
      </c>
    </row>
    <row r="29" spans="1:17" x14ac:dyDescent="0.25">
      <c r="A29" t="s">
        <v>847</v>
      </c>
      <c r="B29">
        <v>8.2750580000000004E-2</v>
      </c>
      <c r="C29">
        <v>0.36144256949999998</v>
      </c>
      <c r="D29">
        <v>10.854577915</v>
      </c>
      <c r="E29">
        <v>-8.2750580000000004E-2</v>
      </c>
      <c r="F29">
        <v>0.36144256949999998</v>
      </c>
      <c r="G29">
        <v>-10.854577915</v>
      </c>
      <c r="H29">
        <v>1.3695316980672801E-2</v>
      </c>
      <c r="I29">
        <v>0.26128146209352499</v>
      </c>
      <c r="J29">
        <v>235.643723425612</v>
      </c>
      <c r="K29">
        <v>1.3695316980672801E-2</v>
      </c>
      <c r="L29">
        <v>0.26128146209352499</v>
      </c>
      <c r="M29">
        <v>235.643723425612</v>
      </c>
      <c r="N29">
        <v>1.6417060000000001E-2</v>
      </c>
      <c r="O29">
        <v>1.6417060000000001E-2</v>
      </c>
      <c r="P29">
        <v>5.390397180872E-4</v>
      </c>
      <c r="Q29">
        <v>5.390397180872E-4</v>
      </c>
    </row>
    <row r="30" spans="1:17" x14ac:dyDescent="0.25">
      <c r="A30" t="s">
        <v>848</v>
      </c>
      <c r="B30">
        <v>14.53409091</v>
      </c>
      <c r="C30">
        <v>0.67803651600000003</v>
      </c>
      <c r="D30">
        <v>7.7051509200000003</v>
      </c>
      <c r="E30">
        <v>14.53409091</v>
      </c>
      <c r="F30">
        <v>-0.67803651600000003</v>
      </c>
      <c r="G30">
        <v>7.7051509200000003</v>
      </c>
      <c r="H30" t="s">
        <v>114</v>
      </c>
      <c r="I30" t="s">
        <v>114</v>
      </c>
      <c r="J30" t="s">
        <v>114</v>
      </c>
      <c r="K30" t="s">
        <v>114</v>
      </c>
      <c r="L30" t="s">
        <v>114</v>
      </c>
      <c r="M30" t="s">
        <v>114</v>
      </c>
      <c r="N30">
        <v>0.21564729999999999</v>
      </c>
      <c r="O30">
        <v>0.21564729999999999</v>
      </c>
      <c r="P30" t="s">
        <v>114</v>
      </c>
      <c r="Q30" t="s">
        <v>114</v>
      </c>
    </row>
    <row r="31" spans="1:17" x14ac:dyDescent="0.25">
      <c r="A31" t="s">
        <v>849</v>
      </c>
      <c r="B31">
        <v>12.5</v>
      </c>
      <c r="C31">
        <v>1.1034840930000001</v>
      </c>
      <c r="D31">
        <v>14.984584480000001</v>
      </c>
      <c r="E31">
        <v>-12.5</v>
      </c>
      <c r="F31">
        <v>-1.1034840930000001</v>
      </c>
      <c r="G31">
        <v>14.984584480000001</v>
      </c>
      <c r="H31">
        <v>50</v>
      </c>
      <c r="I31">
        <v>1.5018593442280299</v>
      </c>
      <c r="J31">
        <v>34.387029655320397</v>
      </c>
      <c r="K31">
        <v>50</v>
      </c>
      <c r="L31">
        <v>1.5018593442280299</v>
      </c>
      <c r="M31">
        <v>34.387029655320397</v>
      </c>
      <c r="N31" t="s">
        <v>114</v>
      </c>
      <c r="O31" t="s">
        <v>114</v>
      </c>
      <c r="P31" t="s">
        <v>114</v>
      </c>
      <c r="Q31" t="s">
        <v>114</v>
      </c>
    </row>
    <row r="32" spans="1:17" x14ac:dyDescent="0.25">
      <c r="A32" t="s">
        <v>850</v>
      </c>
      <c r="B32">
        <v>40.676630430000003</v>
      </c>
      <c r="C32">
        <v>1.3679666669999999</v>
      </c>
      <c r="D32">
        <v>1.0783229999999999</v>
      </c>
      <c r="E32">
        <v>-40.676630430000003</v>
      </c>
      <c r="F32">
        <v>-1.3679666669999999</v>
      </c>
      <c r="G32">
        <v>1.0783229999999999</v>
      </c>
      <c r="H32" t="s">
        <v>114</v>
      </c>
      <c r="I32" t="s">
        <v>114</v>
      </c>
      <c r="J32" t="s">
        <v>114</v>
      </c>
      <c r="K32" t="s">
        <v>114</v>
      </c>
      <c r="L32" t="s">
        <v>114</v>
      </c>
      <c r="M32" t="s">
        <v>114</v>
      </c>
      <c r="N32">
        <v>0.50204910000000003</v>
      </c>
      <c r="O32">
        <v>0.50204910000000003</v>
      </c>
      <c r="P32" t="s">
        <v>114</v>
      </c>
      <c r="Q32" t="s">
        <v>114</v>
      </c>
    </row>
    <row r="33" spans="1:17" x14ac:dyDescent="0.25">
      <c r="A33" t="s">
        <v>851</v>
      </c>
      <c r="B33">
        <v>17.281906923333299</v>
      </c>
      <c r="C33">
        <v>0.33085472833333301</v>
      </c>
      <c r="D33">
        <v>15.5938448266667</v>
      </c>
      <c r="E33">
        <v>12.10698197</v>
      </c>
      <c r="F33">
        <v>-0.33085472833333301</v>
      </c>
      <c r="G33">
        <v>-15.5938448266667</v>
      </c>
      <c r="H33">
        <v>144.528438537965</v>
      </c>
      <c r="I33">
        <v>8.4076195036080298E-2</v>
      </c>
      <c r="J33">
        <v>63.858128613532998</v>
      </c>
      <c r="K33">
        <v>372.65638026524198</v>
      </c>
      <c r="L33">
        <v>8.4076195036080298E-2</v>
      </c>
      <c r="M33">
        <v>63.858128613532998</v>
      </c>
      <c r="N33" t="s">
        <v>114</v>
      </c>
      <c r="O33" t="s">
        <v>114</v>
      </c>
      <c r="P33" t="s">
        <v>114</v>
      </c>
      <c r="Q33" t="s">
        <v>114</v>
      </c>
    </row>
    <row r="34" spans="1:17" x14ac:dyDescent="0.25">
      <c r="A34" t="s">
        <v>852</v>
      </c>
      <c r="B34">
        <v>17.419191926666699</v>
      </c>
      <c r="C34">
        <v>0.46302293233333303</v>
      </c>
      <c r="D34">
        <v>3.0992876699999998</v>
      </c>
      <c r="E34">
        <v>-17.419191926666699</v>
      </c>
      <c r="F34">
        <v>0.46302293233333303</v>
      </c>
      <c r="G34">
        <v>-1.47960015</v>
      </c>
      <c r="H34">
        <v>728.72046300357795</v>
      </c>
      <c r="I34">
        <v>0.16080498191504899</v>
      </c>
      <c r="J34">
        <v>12.129925404790599</v>
      </c>
      <c r="K34">
        <v>728.72046300357795</v>
      </c>
      <c r="L34">
        <v>0.16080498191504899</v>
      </c>
      <c r="M34">
        <v>23.254476591091599</v>
      </c>
      <c r="N34">
        <v>9.4908553333333298E-2</v>
      </c>
      <c r="O34">
        <v>-3.91118533333333E-2</v>
      </c>
      <c r="P34">
        <v>1.0197633531998001E-2</v>
      </c>
      <c r="Q34">
        <v>2.1414478168985E-2</v>
      </c>
    </row>
    <row r="35" spans="1:17" x14ac:dyDescent="0.25">
      <c r="A35" t="s">
        <v>853</v>
      </c>
      <c r="B35">
        <v>6.8410751850000002</v>
      </c>
      <c r="C35">
        <v>1.1585583335</v>
      </c>
      <c r="D35">
        <v>5.8901662449999996</v>
      </c>
      <c r="E35">
        <v>6.8410751850000002</v>
      </c>
      <c r="F35">
        <v>-1.0999066664999999</v>
      </c>
      <c r="G35">
        <v>-5.8901662449999996</v>
      </c>
      <c r="H35">
        <v>43.036856380904197</v>
      </c>
      <c r="I35">
        <v>2.4195893500222798</v>
      </c>
      <c r="J35">
        <v>0.72806182958313004</v>
      </c>
      <c r="K35">
        <v>43.036856380904197</v>
      </c>
      <c r="L35">
        <v>2.68451482424459</v>
      </c>
      <c r="M35">
        <v>0.72806182958313004</v>
      </c>
      <c r="N35" t="s">
        <v>114</v>
      </c>
      <c r="O35" t="s">
        <v>114</v>
      </c>
      <c r="P35" t="s">
        <v>114</v>
      </c>
      <c r="Q35" t="s">
        <v>114</v>
      </c>
    </row>
    <row r="36" spans="1:17" x14ac:dyDescent="0.25">
      <c r="A36" t="s">
        <v>854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 t="s">
        <v>114</v>
      </c>
      <c r="I36" t="s">
        <v>114</v>
      </c>
      <c r="J36" t="s">
        <v>114</v>
      </c>
      <c r="K36" t="s">
        <v>114</v>
      </c>
      <c r="L36" t="s">
        <v>114</v>
      </c>
      <c r="M36" t="s">
        <v>114</v>
      </c>
      <c r="N36">
        <v>0</v>
      </c>
      <c r="O36">
        <v>0</v>
      </c>
      <c r="P36" t="s">
        <v>114</v>
      </c>
      <c r="Q36" t="s">
        <v>114</v>
      </c>
    </row>
    <row r="37" spans="1:17" x14ac:dyDescent="0.25">
      <c r="A37" t="s">
        <v>855</v>
      </c>
      <c r="B37" t="s">
        <v>114</v>
      </c>
      <c r="C37" t="s">
        <v>114</v>
      </c>
      <c r="D37" t="s">
        <v>114</v>
      </c>
      <c r="E37" t="s">
        <v>114</v>
      </c>
      <c r="F37" t="s">
        <v>114</v>
      </c>
      <c r="G37" t="s">
        <v>114</v>
      </c>
      <c r="H37" t="s">
        <v>114</v>
      </c>
      <c r="I37" t="s">
        <v>114</v>
      </c>
      <c r="J37" t="s">
        <v>114</v>
      </c>
      <c r="K37" t="s">
        <v>114</v>
      </c>
      <c r="L37" t="s">
        <v>114</v>
      </c>
      <c r="M37" t="s">
        <v>114</v>
      </c>
      <c r="N37" t="s">
        <v>114</v>
      </c>
      <c r="O37" t="s">
        <v>114</v>
      </c>
      <c r="P37" t="s">
        <v>114</v>
      </c>
      <c r="Q37" t="s">
        <v>114</v>
      </c>
    </row>
    <row r="38" spans="1:17" x14ac:dyDescent="0.25">
      <c r="A38" t="s">
        <v>856</v>
      </c>
      <c r="B38">
        <v>1.87121212</v>
      </c>
      <c r="C38">
        <v>0.3490211245</v>
      </c>
      <c r="D38">
        <v>3.4341658650000002</v>
      </c>
      <c r="E38">
        <v>-1.87121212</v>
      </c>
      <c r="F38">
        <v>0.3490211245</v>
      </c>
      <c r="G38">
        <v>-3.4341658650000002</v>
      </c>
      <c r="H38">
        <v>7.0028695960697904</v>
      </c>
      <c r="I38">
        <v>0.243631490694489</v>
      </c>
      <c r="J38">
        <v>23.586990376662399</v>
      </c>
      <c r="K38">
        <v>7.0028695960697904</v>
      </c>
      <c r="L38">
        <v>0.243631490694489</v>
      </c>
      <c r="M38">
        <v>23.586990376662399</v>
      </c>
      <c r="N38">
        <v>4.1847524999999997E-2</v>
      </c>
      <c r="O38">
        <v>4.1847524999999997E-2</v>
      </c>
      <c r="P38">
        <v>3.5024306972512502E-3</v>
      </c>
      <c r="Q38">
        <v>3.5024306972512502E-3</v>
      </c>
    </row>
    <row r="39" spans="1:17" x14ac:dyDescent="0.25">
      <c r="A39" t="s">
        <v>857</v>
      </c>
      <c r="B39">
        <v>27.808712119999999</v>
      </c>
      <c r="C39" t="s">
        <v>114</v>
      </c>
      <c r="D39">
        <v>7.153407895</v>
      </c>
      <c r="E39">
        <v>-13.274621209999999</v>
      </c>
      <c r="F39" t="s">
        <v>114</v>
      </c>
      <c r="G39">
        <v>7.153407895</v>
      </c>
      <c r="H39">
        <v>352.43113653796399</v>
      </c>
      <c r="I39" t="s">
        <v>114</v>
      </c>
      <c r="J39">
        <v>0.60884073127230198</v>
      </c>
      <c r="K39">
        <v>1546.6489395460701</v>
      </c>
      <c r="L39" t="s">
        <v>114</v>
      </c>
      <c r="M39">
        <v>0.60884073127230198</v>
      </c>
      <c r="N39" t="s">
        <v>114</v>
      </c>
      <c r="O39" t="s">
        <v>114</v>
      </c>
      <c r="P39" t="s">
        <v>114</v>
      </c>
      <c r="Q39" t="s">
        <v>114</v>
      </c>
    </row>
    <row r="40" spans="1:17" x14ac:dyDescent="0.25">
      <c r="A40" t="s">
        <v>858</v>
      </c>
      <c r="B40">
        <v>27.808712119999999</v>
      </c>
      <c r="C40" t="s">
        <v>114</v>
      </c>
      <c r="D40">
        <v>1.154195235</v>
      </c>
      <c r="E40">
        <v>-16.59485931</v>
      </c>
      <c r="F40" t="s">
        <v>114</v>
      </c>
      <c r="G40">
        <v>1.154195235</v>
      </c>
      <c r="H40">
        <v>550.77871103738698</v>
      </c>
      <c r="I40" t="s">
        <v>114</v>
      </c>
      <c r="J40">
        <v>0.60884073127230098</v>
      </c>
      <c r="K40">
        <v>1546.6489395460701</v>
      </c>
      <c r="L40" t="s">
        <v>114</v>
      </c>
      <c r="M40">
        <v>0.60884073127230098</v>
      </c>
      <c r="N40" t="s">
        <v>114</v>
      </c>
      <c r="O40" t="s">
        <v>114</v>
      </c>
      <c r="P40" t="s">
        <v>114</v>
      </c>
      <c r="Q40" t="s">
        <v>114</v>
      </c>
    </row>
    <row r="41" spans="1:17" x14ac:dyDescent="0.25">
      <c r="A41" t="s">
        <v>859</v>
      </c>
      <c r="B41">
        <v>21.041666665000001</v>
      </c>
      <c r="C41">
        <v>2.3854993824999999</v>
      </c>
      <c r="D41">
        <v>3.478786355</v>
      </c>
      <c r="E41">
        <v>21.041666665000001</v>
      </c>
      <c r="F41">
        <v>2.3854993824999999</v>
      </c>
      <c r="G41">
        <v>3.478786355</v>
      </c>
      <c r="H41">
        <v>58.2300347581944</v>
      </c>
      <c r="I41">
        <v>2.0011467643364601E-4</v>
      </c>
      <c r="J41">
        <v>0.35013317837612801</v>
      </c>
      <c r="K41">
        <v>58.2300347581944</v>
      </c>
      <c r="L41">
        <v>2.0011467643364601E-4</v>
      </c>
      <c r="M41">
        <v>0.35013317837612801</v>
      </c>
      <c r="N41">
        <v>0.14967117499999999</v>
      </c>
      <c r="O41">
        <v>0.12793207500000001</v>
      </c>
      <c r="P41">
        <v>3.2733231627611298E-2</v>
      </c>
      <c r="Q41">
        <v>4.4802921251761302E-2</v>
      </c>
    </row>
    <row r="42" spans="1:17" x14ac:dyDescent="0.25">
      <c r="A42" t="s">
        <v>860</v>
      </c>
      <c r="B42">
        <v>46.4375</v>
      </c>
      <c r="C42">
        <v>2.0103032199999999</v>
      </c>
      <c r="D42">
        <v>14.561728260000001</v>
      </c>
      <c r="E42">
        <v>-46.4375</v>
      </c>
      <c r="F42">
        <v>-2.0103032199999999</v>
      </c>
      <c r="G42">
        <v>14.561728260000001</v>
      </c>
      <c r="H42" t="s">
        <v>114</v>
      </c>
      <c r="I42" t="s">
        <v>114</v>
      </c>
      <c r="J42" t="s">
        <v>114</v>
      </c>
      <c r="K42" t="s">
        <v>114</v>
      </c>
      <c r="L42" t="s">
        <v>114</v>
      </c>
      <c r="M42" t="s">
        <v>114</v>
      </c>
      <c r="N42">
        <v>1.6881131</v>
      </c>
      <c r="O42">
        <v>1.6881131</v>
      </c>
      <c r="P42" t="s">
        <v>114</v>
      </c>
      <c r="Q42" t="s">
        <v>114</v>
      </c>
    </row>
    <row r="43" spans="1:17" x14ac:dyDescent="0.25">
      <c r="A43" t="s">
        <v>861</v>
      </c>
      <c r="B43">
        <v>19.02857143</v>
      </c>
      <c r="C43">
        <v>0.41088000000000002</v>
      </c>
      <c r="D43">
        <v>6.1148542900000002</v>
      </c>
      <c r="E43">
        <v>-19.02857143</v>
      </c>
      <c r="F43">
        <v>-0.41088000000000002</v>
      </c>
      <c r="G43">
        <v>-6.1148542900000002</v>
      </c>
      <c r="H43" t="s">
        <v>114</v>
      </c>
      <c r="I43" t="s">
        <v>114</v>
      </c>
      <c r="J43" t="s">
        <v>114</v>
      </c>
      <c r="K43" t="s">
        <v>114</v>
      </c>
      <c r="L43" t="s">
        <v>114</v>
      </c>
      <c r="M43" t="s">
        <v>114</v>
      </c>
      <c r="N43">
        <v>0.10717457</v>
      </c>
      <c r="O43">
        <v>0.10717457</v>
      </c>
      <c r="P43" t="s">
        <v>114</v>
      </c>
      <c r="Q43" t="s">
        <v>114</v>
      </c>
    </row>
    <row r="44" spans="1:17" x14ac:dyDescent="0.25">
      <c r="A44" t="s">
        <v>862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 t="s">
        <v>114</v>
      </c>
      <c r="I44" t="s">
        <v>114</v>
      </c>
      <c r="J44" t="s">
        <v>114</v>
      </c>
      <c r="K44" t="s">
        <v>114</v>
      </c>
      <c r="L44" t="s">
        <v>114</v>
      </c>
      <c r="M44" t="s">
        <v>114</v>
      </c>
      <c r="N44">
        <v>0</v>
      </c>
      <c r="O44">
        <v>0</v>
      </c>
      <c r="P44" t="s">
        <v>114</v>
      </c>
      <c r="Q44" t="s">
        <v>114</v>
      </c>
    </row>
    <row r="45" spans="1:17" x14ac:dyDescent="0.25">
      <c r="A45" t="s">
        <v>863</v>
      </c>
      <c r="B45">
        <v>1.87121212</v>
      </c>
      <c r="C45">
        <v>0.73716612449999996</v>
      </c>
      <c r="D45">
        <v>3.4341658650000002</v>
      </c>
      <c r="E45">
        <v>-0.88804713999999996</v>
      </c>
      <c r="F45">
        <v>0.73716612449999996</v>
      </c>
      <c r="G45">
        <v>3.1228683149999998</v>
      </c>
      <c r="H45">
        <v>1.5772554457243599</v>
      </c>
      <c r="I45">
        <v>0.243631490694489</v>
      </c>
      <c r="J45">
        <v>19.5046130256619</v>
      </c>
      <c r="K45">
        <v>7.0028695960697904</v>
      </c>
      <c r="L45">
        <v>0.243631490694489</v>
      </c>
      <c r="M45">
        <v>23.586990376662399</v>
      </c>
      <c r="N45">
        <v>0.98598402500000004</v>
      </c>
      <c r="O45">
        <v>0.98598402500000004</v>
      </c>
      <c r="P45">
        <v>3.5024306972512402E-3</v>
      </c>
      <c r="Q45">
        <v>3.5024306972512402E-3</v>
      </c>
    </row>
    <row r="46" spans="1:17" x14ac:dyDescent="0.25">
      <c r="A46" t="s">
        <v>864</v>
      </c>
      <c r="B46">
        <v>8.4791666699999997</v>
      </c>
      <c r="C46">
        <v>2.7738405000000001E-2</v>
      </c>
      <c r="D46">
        <v>4.4395758599999997</v>
      </c>
      <c r="E46">
        <v>8.4791666699999997</v>
      </c>
      <c r="F46">
        <v>2.7738405000000001E-2</v>
      </c>
      <c r="G46">
        <v>-4.4395758599999997</v>
      </c>
      <c r="H46" t="s">
        <v>114</v>
      </c>
      <c r="I46" t="s">
        <v>114</v>
      </c>
      <c r="J46" t="s">
        <v>114</v>
      </c>
      <c r="K46" t="s">
        <v>114</v>
      </c>
      <c r="L46" t="s">
        <v>114</v>
      </c>
      <c r="M46" t="s">
        <v>114</v>
      </c>
      <c r="N46">
        <v>2.0505059700000001</v>
      </c>
      <c r="O46">
        <v>-2.0505059700000001</v>
      </c>
      <c r="P46" t="s">
        <v>114</v>
      </c>
      <c r="Q46" t="s">
        <v>114</v>
      </c>
    </row>
    <row r="47" spans="1:17" x14ac:dyDescent="0.25">
      <c r="A47" t="s">
        <v>865</v>
      </c>
      <c r="B47">
        <v>3.3202381000000001</v>
      </c>
      <c r="C47">
        <v>7.2147627000000006E-2</v>
      </c>
      <c r="D47">
        <v>5.9992126600000004</v>
      </c>
      <c r="E47">
        <v>-3.3202381000000001</v>
      </c>
      <c r="F47">
        <v>7.2147627000000006E-2</v>
      </c>
      <c r="G47">
        <v>-5.9992126600000004</v>
      </c>
      <c r="H47" t="s">
        <v>114</v>
      </c>
      <c r="I47" t="s">
        <v>114</v>
      </c>
      <c r="J47" t="s">
        <v>114</v>
      </c>
      <c r="K47" t="s">
        <v>114</v>
      </c>
      <c r="L47" t="s">
        <v>114</v>
      </c>
      <c r="M47" t="s">
        <v>114</v>
      </c>
      <c r="N47">
        <v>3.8152800000000001E-2</v>
      </c>
      <c r="O47">
        <v>-3.8152800000000001E-2</v>
      </c>
      <c r="P47" t="s">
        <v>114</v>
      </c>
      <c r="Q47" t="s">
        <v>114</v>
      </c>
    </row>
    <row r="48" spans="1:17" x14ac:dyDescent="0.25">
      <c r="A48" t="s">
        <v>866</v>
      </c>
      <c r="B48">
        <v>67.1789773</v>
      </c>
      <c r="C48">
        <v>2.2504543259999998</v>
      </c>
      <c r="D48">
        <v>17.714904010000001</v>
      </c>
      <c r="E48">
        <v>-67.1789773</v>
      </c>
      <c r="F48">
        <v>2.2504543259999998</v>
      </c>
      <c r="G48">
        <v>17.714904010000001</v>
      </c>
      <c r="H48" t="s">
        <v>114</v>
      </c>
      <c r="I48" t="s">
        <v>114</v>
      </c>
      <c r="J48" t="s">
        <v>114</v>
      </c>
      <c r="K48" t="s">
        <v>114</v>
      </c>
      <c r="L48" t="s">
        <v>114</v>
      </c>
      <c r="M48" t="s">
        <v>114</v>
      </c>
      <c r="N48">
        <v>1.7971333899999999</v>
      </c>
      <c r="O48">
        <v>1.7971333899999999</v>
      </c>
      <c r="P48" t="s">
        <v>114</v>
      </c>
      <c r="Q48" t="s">
        <v>114</v>
      </c>
    </row>
    <row r="49" spans="1:17" x14ac:dyDescent="0.25">
      <c r="A49" t="s">
        <v>867</v>
      </c>
      <c r="B49">
        <v>23.655092610000001</v>
      </c>
      <c r="C49">
        <v>2.9114769415000001</v>
      </c>
      <c r="D49">
        <v>1.6866994749999999</v>
      </c>
      <c r="E49">
        <v>-23.655092610000001</v>
      </c>
      <c r="F49">
        <v>-2.3283230525</v>
      </c>
      <c r="G49">
        <v>0.42294110499999998</v>
      </c>
      <c r="H49">
        <v>62.813367681944399</v>
      </c>
      <c r="I49">
        <v>10.8421764736058</v>
      </c>
      <c r="J49">
        <v>0.35775835659724198</v>
      </c>
      <c r="K49">
        <v>62.813367681944399</v>
      </c>
      <c r="L49">
        <v>16.953395961772401</v>
      </c>
      <c r="M49">
        <v>5.6899102379305502</v>
      </c>
      <c r="N49" t="s">
        <v>114</v>
      </c>
      <c r="O49" t="s">
        <v>114</v>
      </c>
      <c r="P49" t="s">
        <v>114</v>
      </c>
      <c r="Q49" t="s">
        <v>114</v>
      </c>
    </row>
    <row r="50" spans="1:17" x14ac:dyDescent="0.25">
      <c r="A50" t="s">
        <v>868</v>
      </c>
      <c r="B50">
        <v>28.552556821666698</v>
      </c>
      <c r="C50" t="s">
        <v>114</v>
      </c>
      <c r="D50">
        <v>6.86877754333333</v>
      </c>
      <c r="E50">
        <v>-22.331281568333299</v>
      </c>
      <c r="F50" t="s">
        <v>114</v>
      </c>
      <c r="G50">
        <v>-6.0589337833333303</v>
      </c>
      <c r="H50">
        <v>408.74299107966903</v>
      </c>
      <c r="I50" t="s">
        <v>114</v>
      </c>
      <c r="J50">
        <v>25.0780842245412</v>
      </c>
      <c r="K50">
        <v>788.61782856405296</v>
      </c>
      <c r="L50" t="s">
        <v>114</v>
      </c>
      <c r="M50">
        <v>37.641395843319998</v>
      </c>
      <c r="N50" t="s">
        <v>114</v>
      </c>
      <c r="O50" t="s">
        <v>114</v>
      </c>
      <c r="P50" t="s">
        <v>114</v>
      </c>
      <c r="Q50" t="s">
        <v>114</v>
      </c>
    </row>
    <row r="51" spans="1:17" x14ac:dyDescent="0.25">
      <c r="A51" t="s">
        <v>869</v>
      </c>
      <c r="B51">
        <v>7.8541666650000002</v>
      </c>
      <c r="C51">
        <v>0.24151381350000001</v>
      </c>
      <c r="D51">
        <v>5.7820814999999998E-2</v>
      </c>
      <c r="E51">
        <v>-7.8541666650000002</v>
      </c>
      <c r="F51">
        <v>-0.24151381350000001</v>
      </c>
      <c r="G51">
        <v>-5.7820814999999998E-2</v>
      </c>
      <c r="H51">
        <v>123.375868003194</v>
      </c>
      <c r="I51">
        <v>0.116657844222626</v>
      </c>
      <c r="J51">
        <v>6.6864932945284502E-3</v>
      </c>
      <c r="K51">
        <v>123.375868003194</v>
      </c>
      <c r="L51">
        <v>0.116657844222626</v>
      </c>
      <c r="M51">
        <v>6.6864932945284502E-3</v>
      </c>
      <c r="N51">
        <v>7.2663685000000006E-2</v>
      </c>
      <c r="O51">
        <v>7.2663685000000006E-2</v>
      </c>
      <c r="P51">
        <v>1.05600222355585E-2</v>
      </c>
      <c r="Q51">
        <v>1.05600222355585E-2</v>
      </c>
    </row>
    <row r="52" spans="1:17" x14ac:dyDescent="0.25">
      <c r="A52" t="s">
        <v>870</v>
      </c>
      <c r="B52" t="s">
        <v>114</v>
      </c>
      <c r="C52" t="s">
        <v>114</v>
      </c>
      <c r="D52" t="s">
        <v>114</v>
      </c>
      <c r="E52" t="s">
        <v>114</v>
      </c>
      <c r="F52" t="s">
        <v>114</v>
      </c>
      <c r="G52" t="s">
        <v>114</v>
      </c>
      <c r="H52" t="s">
        <v>114</v>
      </c>
      <c r="I52" t="s">
        <v>114</v>
      </c>
      <c r="J52" t="s">
        <v>114</v>
      </c>
      <c r="K52" t="s">
        <v>114</v>
      </c>
      <c r="L52" t="s">
        <v>114</v>
      </c>
      <c r="M52" t="s">
        <v>114</v>
      </c>
      <c r="N52" t="s">
        <v>114</v>
      </c>
      <c r="O52" t="s">
        <v>114</v>
      </c>
      <c r="P52" t="s">
        <v>114</v>
      </c>
      <c r="Q52" t="s">
        <v>114</v>
      </c>
    </row>
    <row r="53" spans="1:17" x14ac:dyDescent="0.25">
      <c r="A53" t="s">
        <v>871</v>
      </c>
      <c r="B53">
        <v>30.242424239999998</v>
      </c>
      <c r="C53">
        <v>0.19500888899999999</v>
      </c>
      <c r="D53">
        <v>7.8207925500000002</v>
      </c>
      <c r="E53">
        <v>-30.242424239999998</v>
      </c>
      <c r="F53">
        <v>0.19500888899999999</v>
      </c>
      <c r="G53">
        <v>-7.8207925500000002</v>
      </c>
      <c r="H53" t="s">
        <v>114</v>
      </c>
      <c r="I53" t="s">
        <v>114</v>
      </c>
      <c r="J53" t="s">
        <v>114</v>
      </c>
      <c r="K53" t="s">
        <v>114</v>
      </c>
      <c r="L53" t="s">
        <v>114</v>
      </c>
      <c r="M53" t="s">
        <v>114</v>
      </c>
      <c r="N53">
        <v>7.0319930000000003E-2</v>
      </c>
      <c r="O53">
        <v>-7.0319930000000003E-2</v>
      </c>
      <c r="P53" t="s">
        <v>114</v>
      </c>
      <c r="Q53" t="s">
        <v>114</v>
      </c>
    </row>
    <row r="54" spans="1:17" x14ac:dyDescent="0.25">
      <c r="A54" t="s">
        <v>872</v>
      </c>
      <c r="B54">
        <v>40.739130430000003</v>
      </c>
      <c r="C54">
        <v>0.52450222199999996</v>
      </c>
      <c r="D54">
        <v>4.0230581299999999</v>
      </c>
      <c r="E54">
        <v>-40.739130430000003</v>
      </c>
      <c r="F54">
        <v>0.52450222199999996</v>
      </c>
      <c r="G54">
        <v>4.0230581299999999</v>
      </c>
      <c r="H54" t="s">
        <v>114</v>
      </c>
      <c r="I54" t="s">
        <v>114</v>
      </c>
      <c r="J54" t="s">
        <v>114</v>
      </c>
      <c r="K54" t="s">
        <v>114</v>
      </c>
      <c r="L54" t="s">
        <v>114</v>
      </c>
      <c r="M54" t="s">
        <v>114</v>
      </c>
      <c r="N54">
        <v>0.62563736999999997</v>
      </c>
      <c r="O54">
        <v>0.62563736999999997</v>
      </c>
      <c r="P54" t="s">
        <v>114</v>
      </c>
      <c r="Q54" t="s">
        <v>114</v>
      </c>
    </row>
    <row r="55" spans="1:17" x14ac:dyDescent="0.25">
      <c r="A55" t="s">
        <v>873</v>
      </c>
      <c r="B55">
        <v>12.43296703</v>
      </c>
      <c r="C55">
        <v>3.2524988889999999</v>
      </c>
      <c r="D55">
        <v>11.344611909999999</v>
      </c>
      <c r="E55">
        <v>12.43296703</v>
      </c>
      <c r="F55">
        <v>-3.2524988889999999</v>
      </c>
      <c r="G55">
        <v>-11.344611909999999</v>
      </c>
      <c r="H55" t="s">
        <v>114</v>
      </c>
      <c r="I55" t="s">
        <v>114</v>
      </c>
      <c r="J55" t="s">
        <v>114</v>
      </c>
      <c r="K55" t="s">
        <v>114</v>
      </c>
      <c r="L55" t="s">
        <v>114</v>
      </c>
      <c r="M55" t="s">
        <v>114</v>
      </c>
      <c r="N55" t="s">
        <v>114</v>
      </c>
      <c r="O55" t="s">
        <v>114</v>
      </c>
      <c r="P55" t="s">
        <v>114</v>
      </c>
      <c r="Q55" t="s">
        <v>114</v>
      </c>
    </row>
    <row r="56" spans="1:17" x14ac:dyDescent="0.25">
      <c r="A56" t="s">
        <v>874</v>
      </c>
      <c r="B56">
        <v>9.3276515225000001</v>
      </c>
      <c r="C56">
        <v>1.75100593975</v>
      </c>
      <c r="D56">
        <v>4.7552190625000001</v>
      </c>
      <c r="E56">
        <v>-9.3276515225000001</v>
      </c>
      <c r="F56">
        <v>-1.06296655725</v>
      </c>
      <c r="G56">
        <v>-4.7552190625000001</v>
      </c>
      <c r="H56">
        <v>79.840607994562703</v>
      </c>
      <c r="I56">
        <v>6.7855580499163102</v>
      </c>
      <c r="J56">
        <v>11.958069319056399</v>
      </c>
      <c r="K56">
        <v>79.840607994562703</v>
      </c>
      <c r="L56">
        <v>9.3670565821934595</v>
      </c>
      <c r="M56">
        <v>11.958069319056399</v>
      </c>
      <c r="N56" t="s">
        <v>114</v>
      </c>
      <c r="O56" t="s">
        <v>114</v>
      </c>
      <c r="P56" t="s">
        <v>114</v>
      </c>
      <c r="Q56" t="s">
        <v>114</v>
      </c>
    </row>
    <row r="57" spans="1:17" x14ac:dyDescent="0.25">
      <c r="A57" t="s">
        <v>875</v>
      </c>
      <c r="B57" t="s">
        <v>114</v>
      </c>
      <c r="C57" t="s">
        <v>114</v>
      </c>
      <c r="D57" t="s">
        <v>114</v>
      </c>
      <c r="E57" t="s">
        <v>114</v>
      </c>
      <c r="F57" t="s">
        <v>114</v>
      </c>
      <c r="G57" t="s">
        <v>114</v>
      </c>
      <c r="H57" t="s">
        <v>114</v>
      </c>
      <c r="I57" t="s">
        <v>114</v>
      </c>
      <c r="J57" t="s">
        <v>114</v>
      </c>
      <c r="K57" t="s">
        <v>114</v>
      </c>
      <c r="L57" t="s">
        <v>114</v>
      </c>
      <c r="M57" t="s">
        <v>114</v>
      </c>
      <c r="N57" t="s">
        <v>114</v>
      </c>
      <c r="O57" t="s">
        <v>114</v>
      </c>
      <c r="P57" t="s">
        <v>114</v>
      </c>
      <c r="Q57" t="s">
        <v>114</v>
      </c>
    </row>
    <row r="58" spans="1:17" x14ac:dyDescent="0.25">
      <c r="A58" t="s">
        <v>876</v>
      </c>
      <c r="B58" t="s">
        <v>114</v>
      </c>
      <c r="C58" t="s">
        <v>114</v>
      </c>
      <c r="D58" t="s">
        <v>114</v>
      </c>
      <c r="E58" t="s">
        <v>114</v>
      </c>
      <c r="F58" t="s">
        <v>114</v>
      </c>
      <c r="G58" t="s">
        <v>114</v>
      </c>
      <c r="H58" t="s">
        <v>114</v>
      </c>
      <c r="I58" t="s">
        <v>114</v>
      </c>
      <c r="J58" t="s">
        <v>114</v>
      </c>
      <c r="K58" t="s">
        <v>114</v>
      </c>
      <c r="L58" t="s">
        <v>114</v>
      </c>
      <c r="M58" t="s">
        <v>114</v>
      </c>
      <c r="N58" t="s">
        <v>114</v>
      </c>
      <c r="O58" t="s">
        <v>114</v>
      </c>
      <c r="P58" t="s">
        <v>114</v>
      </c>
      <c r="Q58" t="s">
        <v>114</v>
      </c>
    </row>
    <row r="59" spans="1:17" x14ac:dyDescent="0.25">
      <c r="A59" t="s">
        <v>877</v>
      </c>
      <c r="B59">
        <v>47.84848487</v>
      </c>
      <c r="C59">
        <v>1.414273621</v>
      </c>
      <c r="D59">
        <v>1.85844487</v>
      </c>
      <c r="E59">
        <v>-36.634632060000001</v>
      </c>
      <c r="F59">
        <v>-1.414273621</v>
      </c>
      <c r="G59">
        <v>-0.15250660999999999</v>
      </c>
      <c r="H59">
        <v>2684.1925323431601</v>
      </c>
      <c r="I59">
        <v>1.30697174986142</v>
      </c>
      <c r="J59">
        <v>4.6516532187384302E-2</v>
      </c>
      <c r="K59">
        <v>4578.9550087092402</v>
      </c>
      <c r="L59">
        <v>1.30697174986142</v>
      </c>
      <c r="M59">
        <v>6.9076346696586297</v>
      </c>
      <c r="N59">
        <v>0.18983562000000001</v>
      </c>
      <c r="O59">
        <v>0.18983562000000001</v>
      </c>
      <c r="P59">
        <v>3.0460648570880002E-4</v>
      </c>
      <c r="Q59">
        <v>3.0460648570880002E-4</v>
      </c>
    </row>
    <row r="60" spans="1:17" x14ac:dyDescent="0.25">
      <c r="A60" t="s">
        <v>878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 t="s">
        <v>114</v>
      </c>
      <c r="I60" t="s">
        <v>114</v>
      </c>
      <c r="J60" t="s">
        <v>114</v>
      </c>
      <c r="K60" t="s">
        <v>114</v>
      </c>
      <c r="L60" t="s">
        <v>114</v>
      </c>
      <c r="M60" t="s">
        <v>114</v>
      </c>
      <c r="N60">
        <v>0</v>
      </c>
      <c r="O60">
        <v>0</v>
      </c>
      <c r="P60" t="s">
        <v>114</v>
      </c>
      <c r="Q60" t="s">
        <v>114</v>
      </c>
    </row>
    <row r="61" spans="1:17" x14ac:dyDescent="0.25">
      <c r="A61" t="s">
        <v>879</v>
      </c>
      <c r="B61">
        <v>29.87767857</v>
      </c>
      <c r="C61">
        <v>2.1653166669999999</v>
      </c>
      <c r="D61">
        <v>13.579434470000001</v>
      </c>
      <c r="E61">
        <v>29.87767857</v>
      </c>
      <c r="F61">
        <v>-2.1653166669999999</v>
      </c>
      <c r="G61">
        <v>-13.579434470000001</v>
      </c>
      <c r="H61" t="s">
        <v>114</v>
      </c>
      <c r="I61" t="s">
        <v>114</v>
      </c>
      <c r="J61" t="s">
        <v>114</v>
      </c>
      <c r="K61" t="s">
        <v>114</v>
      </c>
      <c r="L61" t="s">
        <v>114</v>
      </c>
      <c r="M61" t="s">
        <v>114</v>
      </c>
      <c r="N61">
        <v>1.8206694999999999</v>
      </c>
      <c r="O61">
        <v>-1.8206694999999999</v>
      </c>
      <c r="P61" t="s">
        <v>114</v>
      </c>
      <c r="Q61" t="s">
        <v>114</v>
      </c>
    </row>
    <row r="62" spans="1:17" x14ac:dyDescent="0.25">
      <c r="A62" t="s">
        <v>880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 t="s">
        <v>114</v>
      </c>
      <c r="I62" t="s">
        <v>114</v>
      </c>
      <c r="J62" t="s">
        <v>114</v>
      </c>
      <c r="K62" t="s">
        <v>114</v>
      </c>
      <c r="L62" t="s">
        <v>114</v>
      </c>
      <c r="M62" t="s">
        <v>114</v>
      </c>
      <c r="N62">
        <v>0</v>
      </c>
      <c r="O62">
        <v>0</v>
      </c>
      <c r="P62" t="s">
        <v>114</v>
      </c>
      <c r="Q62" t="s">
        <v>114</v>
      </c>
    </row>
    <row r="63" spans="1:17" x14ac:dyDescent="0.25">
      <c r="A63" t="s">
        <v>881</v>
      </c>
      <c r="B63">
        <v>48.90625</v>
      </c>
      <c r="C63">
        <v>1.754436667</v>
      </c>
      <c r="D63">
        <v>7.4645801799999996</v>
      </c>
      <c r="E63">
        <v>-48.90625</v>
      </c>
      <c r="F63">
        <v>1.754436667</v>
      </c>
      <c r="G63">
        <v>7.4645801799999996</v>
      </c>
      <c r="H63" t="s">
        <v>114</v>
      </c>
      <c r="I63" t="s">
        <v>114</v>
      </c>
      <c r="J63" t="s">
        <v>114</v>
      </c>
      <c r="K63" t="s">
        <v>114</v>
      </c>
      <c r="L63" t="s">
        <v>114</v>
      </c>
      <c r="M63" t="s">
        <v>114</v>
      </c>
      <c r="N63">
        <v>1.9278440699999999</v>
      </c>
      <c r="O63">
        <v>1.9278440699999999</v>
      </c>
      <c r="P63" t="s">
        <v>114</v>
      </c>
      <c r="Q63" t="s">
        <v>114</v>
      </c>
    </row>
    <row r="64" spans="1:17" x14ac:dyDescent="0.25">
      <c r="A64" t="s">
        <v>882</v>
      </c>
      <c r="B64">
        <v>23.6848919966667</v>
      </c>
      <c r="C64">
        <v>0.346602517666667</v>
      </c>
      <c r="D64">
        <v>15.7891487933333</v>
      </c>
      <c r="E64">
        <v>-22.545588516666701</v>
      </c>
      <c r="F64">
        <v>0.346602517666667</v>
      </c>
      <c r="G64">
        <v>12.6202837533333</v>
      </c>
      <c r="H64">
        <v>377.27001256239299</v>
      </c>
      <c r="I64">
        <v>2.6613327495652401E-4</v>
      </c>
      <c r="J64">
        <v>104.921508738436</v>
      </c>
      <c r="K64">
        <v>456.275833558763</v>
      </c>
      <c r="L64">
        <v>2.6613327495652401E-4</v>
      </c>
      <c r="M64">
        <v>239.959995143491</v>
      </c>
      <c r="N64">
        <v>1.74489932</v>
      </c>
      <c r="O64">
        <v>1.74489932</v>
      </c>
      <c r="P64">
        <v>2.3673132592295702E-2</v>
      </c>
      <c r="Q64">
        <v>2.3673132592295702E-2</v>
      </c>
    </row>
    <row r="65" spans="1:17" x14ac:dyDescent="0.25">
      <c r="A65" t="s">
        <v>883</v>
      </c>
      <c r="B65" t="s">
        <v>114</v>
      </c>
      <c r="C65" t="s">
        <v>114</v>
      </c>
      <c r="D65" t="s">
        <v>114</v>
      </c>
      <c r="E65" t="s">
        <v>114</v>
      </c>
      <c r="F65" t="s">
        <v>114</v>
      </c>
      <c r="G65" t="s">
        <v>114</v>
      </c>
      <c r="H65" t="s">
        <v>114</v>
      </c>
      <c r="I65" t="s">
        <v>114</v>
      </c>
      <c r="J65" t="s">
        <v>114</v>
      </c>
      <c r="K65" t="s">
        <v>114</v>
      </c>
      <c r="L65" t="s">
        <v>114</v>
      </c>
      <c r="M65" t="s">
        <v>114</v>
      </c>
      <c r="N65" t="s">
        <v>114</v>
      </c>
      <c r="O65" t="s">
        <v>114</v>
      </c>
      <c r="P65" t="s">
        <v>114</v>
      </c>
      <c r="Q65" t="s">
        <v>114</v>
      </c>
    </row>
    <row r="66" spans="1:17" x14ac:dyDescent="0.25">
      <c r="A66" t="s">
        <v>884</v>
      </c>
      <c r="B66">
        <v>0.34864739</v>
      </c>
      <c r="C66">
        <v>1.1034737214999999</v>
      </c>
      <c r="D66">
        <v>7.4750802949999997</v>
      </c>
      <c r="E66">
        <v>-0.34864739</v>
      </c>
      <c r="F66">
        <v>1.1034737214999999</v>
      </c>
      <c r="G66">
        <v>7.4750802949999997</v>
      </c>
      <c r="H66">
        <v>0.24311000510762401</v>
      </c>
      <c r="I66">
        <v>2.43530850808212</v>
      </c>
      <c r="J66">
        <v>111.753650833395</v>
      </c>
      <c r="K66">
        <v>0.24311000510762401</v>
      </c>
      <c r="L66">
        <v>2.43530850808212</v>
      </c>
      <c r="M66">
        <v>111.753650833395</v>
      </c>
      <c r="N66">
        <v>1.0191604249999999</v>
      </c>
      <c r="O66">
        <v>1.0191604249999999</v>
      </c>
      <c r="P66">
        <v>2.0773759437723598</v>
      </c>
      <c r="Q66">
        <v>2.0773759437723598</v>
      </c>
    </row>
    <row r="67" spans="1:17" x14ac:dyDescent="0.25">
      <c r="A67" t="s">
        <v>885</v>
      </c>
      <c r="B67">
        <v>32.35300926</v>
      </c>
      <c r="C67">
        <v>0.75796250750000005</v>
      </c>
      <c r="D67">
        <v>2.8559647799999999</v>
      </c>
      <c r="E67">
        <v>-32.35300926</v>
      </c>
      <c r="F67">
        <v>-0.55135249249999996</v>
      </c>
      <c r="G67">
        <v>-2.8559647799999999</v>
      </c>
      <c r="H67">
        <v>19.923828125</v>
      </c>
      <c r="I67">
        <v>0.60797914197192504</v>
      </c>
      <c r="J67">
        <v>3.6586678768496799</v>
      </c>
      <c r="K67">
        <v>19.923828125</v>
      </c>
      <c r="L67">
        <v>1.1490143255513801</v>
      </c>
      <c r="M67">
        <v>3.6586678768496799</v>
      </c>
      <c r="N67" t="s">
        <v>114</v>
      </c>
      <c r="O67" t="s">
        <v>114</v>
      </c>
      <c r="P67" t="s">
        <v>114</v>
      </c>
      <c r="Q67" t="s">
        <v>114</v>
      </c>
    </row>
    <row r="68" spans="1:17" x14ac:dyDescent="0.25">
      <c r="A68" t="s">
        <v>886</v>
      </c>
      <c r="B68">
        <v>37.09140318</v>
      </c>
      <c r="C68">
        <v>0.22399584049999999</v>
      </c>
      <c r="D68">
        <v>5.7412001500000001</v>
      </c>
      <c r="E68">
        <v>-37.09140318</v>
      </c>
      <c r="F68">
        <v>0.22399584049999999</v>
      </c>
      <c r="G68">
        <v>5.7412001500000001</v>
      </c>
      <c r="H68">
        <v>195.93000943078499</v>
      </c>
      <c r="I68">
        <v>1.15634005313751E-2</v>
      </c>
      <c r="J68">
        <v>7.6661160337289704</v>
      </c>
      <c r="K68">
        <v>195.93000943078499</v>
      </c>
      <c r="L68">
        <v>1.15634005313751E-2</v>
      </c>
      <c r="M68">
        <v>7.6661160337289704</v>
      </c>
      <c r="N68" t="s">
        <v>114</v>
      </c>
      <c r="O68" t="s">
        <v>114</v>
      </c>
      <c r="P68" t="s">
        <v>114</v>
      </c>
      <c r="Q68" t="s">
        <v>114</v>
      </c>
    </row>
    <row r="69" spans="1:17" x14ac:dyDescent="0.25">
      <c r="A69" t="s">
        <v>887</v>
      </c>
      <c r="B69">
        <v>13.708333335000001</v>
      </c>
      <c r="C69">
        <v>4.47468065E-2</v>
      </c>
      <c r="D69">
        <v>9.2889784300000002</v>
      </c>
      <c r="E69">
        <v>13.708333335000001</v>
      </c>
      <c r="F69">
        <v>-2.4741073499999999E-2</v>
      </c>
      <c r="G69">
        <v>-8.4521592400000003</v>
      </c>
      <c r="H69">
        <v>17.013888869444401</v>
      </c>
      <c r="I69">
        <v>1.2242414358648E-3</v>
      </c>
      <c r="J69">
        <v>142.87799163663499</v>
      </c>
      <c r="K69">
        <v>17.013888869444401</v>
      </c>
      <c r="L69">
        <v>4.0045533838968797E-3</v>
      </c>
      <c r="M69">
        <v>172.57024054601101</v>
      </c>
      <c r="N69" t="s">
        <v>114</v>
      </c>
      <c r="O69" t="s">
        <v>114</v>
      </c>
      <c r="P69" t="s">
        <v>114</v>
      </c>
      <c r="Q69" t="s">
        <v>114</v>
      </c>
    </row>
    <row r="70" spans="1:17" x14ac:dyDescent="0.25">
      <c r="A70" t="s">
        <v>888</v>
      </c>
      <c r="B70">
        <v>46.5</v>
      </c>
      <c r="C70">
        <v>0.117834331</v>
      </c>
      <c r="D70">
        <v>17.50646339</v>
      </c>
      <c r="E70">
        <v>-46.5</v>
      </c>
      <c r="F70">
        <v>-0.117834331</v>
      </c>
      <c r="G70">
        <v>17.50646339</v>
      </c>
      <c r="H70" t="s">
        <v>114</v>
      </c>
      <c r="I70" t="s">
        <v>114</v>
      </c>
      <c r="J70" t="s">
        <v>114</v>
      </c>
      <c r="K70" t="s">
        <v>114</v>
      </c>
      <c r="L70" t="s">
        <v>114</v>
      </c>
      <c r="M70" t="s">
        <v>114</v>
      </c>
      <c r="N70">
        <v>1.81170137</v>
      </c>
      <c r="O70">
        <v>1.81170137</v>
      </c>
      <c r="P70" t="s">
        <v>114</v>
      </c>
      <c r="Q70" t="s">
        <v>114</v>
      </c>
    </row>
    <row r="71" spans="1:17" x14ac:dyDescent="0.25">
      <c r="A71" t="s">
        <v>889</v>
      </c>
      <c r="B71">
        <v>40.739130430000003</v>
      </c>
      <c r="C71">
        <v>0.52450222199999996</v>
      </c>
      <c r="D71">
        <v>4.0230581299999999</v>
      </c>
      <c r="E71">
        <v>-40.739130430000003</v>
      </c>
      <c r="F71">
        <v>0.52450222199999996</v>
      </c>
      <c r="G71">
        <v>4.0230581299999999</v>
      </c>
      <c r="H71" t="s">
        <v>114</v>
      </c>
      <c r="I71" t="s">
        <v>114</v>
      </c>
      <c r="J71" t="s">
        <v>114</v>
      </c>
      <c r="K71" t="s">
        <v>114</v>
      </c>
      <c r="L71" t="s">
        <v>114</v>
      </c>
      <c r="M71" t="s">
        <v>114</v>
      </c>
      <c r="N71">
        <v>0.62563736999999997</v>
      </c>
      <c r="O71">
        <v>0.62563736999999997</v>
      </c>
      <c r="P71" t="s">
        <v>114</v>
      </c>
      <c r="Q71" t="s">
        <v>114</v>
      </c>
    </row>
    <row r="72" spans="1:17" x14ac:dyDescent="0.25">
      <c r="A72" t="s">
        <v>890</v>
      </c>
      <c r="B72">
        <v>29.19675926</v>
      </c>
      <c r="C72">
        <v>1.309315</v>
      </c>
      <c r="D72">
        <v>4.2084935000000003</v>
      </c>
      <c r="E72">
        <v>-29.19675926</v>
      </c>
      <c r="F72">
        <v>-1.309315</v>
      </c>
      <c r="G72">
        <v>-4.2084935000000003</v>
      </c>
      <c r="H72" t="s">
        <v>114</v>
      </c>
      <c r="I72" t="s">
        <v>114</v>
      </c>
      <c r="J72" t="s">
        <v>114</v>
      </c>
      <c r="K72" t="s">
        <v>114</v>
      </c>
      <c r="L72" t="s">
        <v>114</v>
      </c>
      <c r="M72" t="s">
        <v>114</v>
      </c>
      <c r="N72">
        <v>0.75022829999999996</v>
      </c>
      <c r="O72">
        <v>0.75022829999999996</v>
      </c>
      <c r="P72" t="s">
        <v>114</v>
      </c>
      <c r="Q72" t="s">
        <v>114</v>
      </c>
    </row>
    <row r="73" spans="1:17" x14ac:dyDescent="0.25">
      <c r="A73" t="s">
        <v>891</v>
      </c>
      <c r="B73">
        <v>43.864130430000003</v>
      </c>
      <c r="C73">
        <v>0.33623028500000002</v>
      </c>
      <c r="D73">
        <v>3.903219285</v>
      </c>
      <c r="E73">
        <v>-43.864130430000003</v>
      </c>
      <c r="F73">
        <v>0.33623028500000002</v>
      </c>
      <c r="G73">
        <v>3.903219285</v>
      </c>
      <c r="H73">
        <v>19.53125</v>
      </c>
      <c r="I73">
        <v>7.0892644523463902E-2</v>
      </c>
      <c r="J73">
        <v>2.8722697541868E-2</v>
      </c>
      <c r="K73">
        <v>19.53125</v>
      </c>
      <c r="L73">
        <v>7.0892644523463902E-2</v>
      </c>
      <c r="M73">
        <v>2.8722697541868E-2</v>
      </c>
      <c r="N73" t="s">
        <v>114</v>
      </c>
      <c r="O73" t="s">
        <v>114</v>
      </c>
      <c r="P73" t="s">
        <v>114</v>
      </c>
      <c r="Q73" t="s">
        <v>114</v>
      </c>
    </row>
    <row r="74" spans="1:17" x14ac:dyDescent="0.25">
      <c r="A74" t="s">
        <v>892</v>
      </c>
      <c r="B74">
        <v>29.99400018</v>
      </c>
      <c r="C74">
        <v>0.98539880400000002</v>
      </c>
      <c r="D74">
        <v>5.0460027299999997</v>
      </c>
      <c r="E74">
        <v>-5.9207725699999996</v>
      </c>
      <c r="F74">
        <v>0.98539880400000002</v>
      </c>
      <c r="G74">
        <v>5.0460027299999997</v>
      </c>
      <c r="H74">
        <v>1017.28395678639</v>
      </c>
      <c r="I74">
        <v>1.3064753437559</v>
      </c>
      <c r="J74">
        <v>21.3145135407342</v>
      </c>
      <c r="K74">
        <v>2170.0632887492902</v>
      </c>
      <c r="L74">
        <v>1.3064753437559</v>
      </c>
      <c r="M74">
        <v>21.3145135407342</v>
      </c>
      <c r="N74" t="s">
        <v>114</v>
      </c>
      <c r="O74" t="s">
        <v>114</v>
      </c>
      <c r="P74" t="s">
        <v>114</v>
      </c>
      <c r="Q74" t="s">
        <v>114</v>
      </c>
    </row>
    <row r="75" spans="1:17" x14ac:dyDescent="0.25">
      <c r="A75" t="s">
        <v>893</v>
      </c>
      <c r="B75" t="s">
        <v>114</v>
      </c>
      <c r="C75" t="s">
        <v>114</v>
      </c>
      <c r="D75" t="s">
        <v>114</v>
      </c>
      <c r="E75" t="s">
        <v>114</v>
      </c>
      <c r="F75" t="s">
        <v>114</v>
      </c>
      <c r="G75" t="s">
        <v>114</v>
      </c>
      <c r="H75" t="s">
        <v>114</v>
      </c>
      <c r="I75" t="s">
        <v>114</v>
      </c>
      <c r="J75" t="s">
        <v>114</v>
      </c>
      <c r="K75" t="s">
        <v>114</v>
      </c>
      <c r="L75" t="s">
        <v>114</v>
      </c>
      <c r="M75" t="s">
        <v>114</v>
      </c>
      <c r="N75" t="s">
        <v>114</v>
      </c>
      <c r="O75" t="s">
        <v>114</v>
      </c>
      <c r="P75" t="s">
        <v>114</v>
      </c>
      <c r="Q75" t="s">
        <v>114</v>
      </c>
    </row>
    <row r="76" spans="1:17" x14ac:dyDescent="0.25">
      <c r="A76" t="s">
        <v>894</v>
      </c>
      <c r="B76">
        <v>2.2022792</v>
      </c>
      <c r="C76">
        <v>2.2584650000000002</v>
      </c>
      <c r="D76">
        <v>6.4935159899999997</v>
      </c>
      <c r="E76">
        <v>2.2022792</v>
      </c>
      <c r="F76">
        <v>-2.2584650000000002</v>
      </c>
      <c r="G76">
        <v>-6.4935159899999997</v>
      </c>
      <c r="H76" t="s">
        <v>114</v>
      </c>
      <c r="I76" t="s">
        <v>114</v>
      </c>
      <c r="J76" t="s">
        <v>114</v>
      </c>
      <c r="K76" t="s">
        <v>114</v>
      </c>
      <c r="L76" t="s">
        <v>114</v>
      </c>
      <c r="M76" t="s">
        <v>114</v>
      </c>
      <c r="N76" t="s">
        <v>114</v>
      </c>
      <c r="O76" t="s">
        <v>114</v>
      </c>
      <c r="P76" t="s">
        <v>114</v>
      </c>
      <c r="Q76" t="s">
        <v>114</v>
      </c>
    </row>
    <row r="77" spans="1:17" x14ac:dyDescent="0.25">
      <c r="A77" t="s">
        <v>895</v>
      </c>
      <c r="B77">
        <v>10.378731569999999</v>
      </c>
      <c r="C77">
        <v>1.187884167</v>
      </c>
      <c r="D77">
        <v>3.2467579949999998</v>
      </c>
      <c r="E77">
        <v>-10.378731569999999</v>
      </c>
      <c r="F77">
        <v>-1.187884167</v>
      </c>
      <c r="G77">
        <v>2.0400585050000002</v>
      </c>
      <c r="H77">
        <v>2.4250168373763201</v>
      </c>
      <c r="I77">
        <v>2.5503320781125001</v>
      </c>
      <c r="J77">
        <v>8.3236774076456701</v>
      </c>
      <c r="K77">
        <v>2.4250168373763201</v>
      </c>
      <c r="L77">
        <v>2.5503320781125001</v>
      </c>
      <c r="M77">
        <v>21.0828749561928</v>
      </c>
      <c r="N77" t="s">
        <v>114</v>
      </c>
      <c r="O77" t="s">
        <v>114</v>
      </c>
      <c r="P77" t="s">
        <v>114</v>
      </c>
      <c r="Q77" t="s">
        <v>114</v>
      </c>
    </row>
    <row r="78" spans="1:17" x14ac:dyDescent="0.25">
      <c r="A78" t="s">
        <v>896</v>
      </c>
      <c r="B78">
        <v>17.44471154</v>
      </c>
      <c r="C78">
        <v>1.087182222</v>
      </c>
      <c r="D78">
        <v>2.23482256</v>
      </c>
      <c r="E78">
        <v>-17.44471154</v>
      </c>
      <c r="F78">
        <v>-1.087182222</v>
      </c>
      <c r="G78">
        <v>2.23482256</v>
      </c>
      <c r="H78" t="s">
        <v>114</v>
      </c>
      <c r="I78" t="s">
        <v>114</v>
      </c>
      <c r="J78" t="s">
        <v>114</v>
      </c>
      <c r="K78" t="s">
        <v>114</v>
      </c>
      <c r="L78" t="s">
        <v>114</v>
      </c>
      <c r="M78" t="s">
        <v>114</v>
      </c>
      <c r="N78" t="s">
        <v>114</v>
      </c>
      <c r="O78" t="s">
        <v>114</v>
      </c>
      <c r="P78" t="s">
        <v>114</v>
      </c>
      <c r="Q78" t="s">
        <v>114</v>
      </c>
    </row>
    <row r="79" spans="1:17" x14ac:dyDescent="0.25">
      <c r="A79" t="s">
        <v>897</v>
      </c>
      <c r="B79" t="s">
        <v>114</v>
      </c>
      <c r="C79" t="s">
        <v>114</v>
      </c>
      <c r="D79" t="s">
        <v>114</v>
      </c>
      <c r="E79" t="s">
        <v>114</v>
      </c>
      <c r="F79" t="s">
        <v>114</v>
      </c>
      <c r="G79" t="s">
        <v>114</v>
      </c>
      <c r="H79" t="s">
        <v>114</v>
      </c>
      <c r="I79" t="s">
        <v>114</v>
      </c>
      <c r="J79" t="s">
        <v>114</v>
      </c>
      <c r="K79" t="s">
        <v>114</v>
      </c>
      <c r="L79" t="s">
        <v>114</v>
      </c>
      <c r="M79" t="s">
        <v>114</v>
      </c>
      <c r="N79" t="s">
        <v>114</v>
      </c>
      <c r="O79" t="s">
        <v>114</v>
      </c>
      <c r="P79" t="s">
        <v>114</v>
      </c>
      <c r="Q79" t="s">
        <v>114</v>
      </c>
    </row>
    <row r="80" spans="1:17" x14ac:dyDescent="0.25">
      <c r="A80" t="s">
        <v>898</v>
      </c>
      <c r="B80">
        <v>10.649962476666699</v>
      </c>
      <c r="C80">
        <v>0.178673838666667</v>
      </c>
      <c r="D80">
        <v>8.9768733566666707</v>
      </c>
      <c r="E80">
        <v>-4.99718469666667</v>
      </c>
      <c r="F80">
        <v>-0.160181568666667</v>
      </c>
      <c r="G80">
        <v>-8.9768733566666707</v>
      </c>
      <c r="H80">
        <v>19.3187798871129</v>
      </c>
      <c r="I80">
        <v>6.9474962578811694E-2</v>
      </c>
      <c r="J80">
        <v>139.31454081772901</v>
      </c>
      <c r="K80">
        <v>151.99354867982601</v>
      </c>
      <c r="L80">
        <v>7.8874271103863594E-2</v>
      </c>
      <c r="M80">
        <v>139.31454081772901</v>
      </c>
      <c r="N80">
        <v>0.73868717666666694</v>
      </c>
      <c r="O80">
        <v>-0.64180226333333301</v>
      </c>
      <c r="P80">
        <v>1.2945638611160599</v>
      </c>
      <c r="Q80">
        <v>1.4951867607440299</v>
      </c>
    </row>
    <row r="81" spans="1:17" x14ac:dyDescent="0.25">
      <c r="A81" t="s">
        <v>899</v>
      </c>
      <c r="B81">
        <v>24.032585470000001</v>
      </c>
      <c r="C81">
        <v>2.3971146346666701</v>
      </c>
      <c r="D81">
        <v>5.9670669533333296</v>
      </c>
      <c r="E81">
        <v>24.032585470000001</v>
      </c>
      <c r="F81">
        <v>2.3971146346666701</v>
      </c>
      <c r="G81">
        <v>-1.32868514666667</v>
      </c>
      <c r="H81">
        <v>55.951803273405098</v>
      </c>
      <c r="I81">
        <v>5.0479958690258697E-4</v>
      </c>
      <c r="J81">
        <v>18.749687597314299</v>
      </c>
      <c r="K81">
        <v>55.951803273405098</v>
      </c>
      <c r="L81">
        <v>5.0479958690258697E-4</v>
      </c>
      <c r="M81">
        <v>69.510413307199499</v>
      </c>
      <c r="N81">
        <v>0.175361556666667</v>
      </c>
      <c r="O81">
        <v>0.16086882333333299</v>
      </c>
      <c r="P81">
        <v>1.8346602944342601E-2</v>
      </c>
      <c r="Q81">
        <v>2.5655948798200601E-2</v>
      </c>
    </row>
    <row r="82" spans="1:17" x14ac:dyDescent="0.25">
      <c r="A82" t="s">
        <v>900</v>
      </c>
      <c r="B82">
        <v>20.2237818525</v>
      </c>
      <c r="C82">
        <v>1.7446380617499999</v>
      </c>
      <c r="D82">
        <v>18.277830982499999</v>
      </c>
      <c r="E82">
        <v>-19.3693042425</v>
      </c>
      <c r="F82">
        <v>-1.22575604525</v>
      </c>
      <c r="G82">
        <v>18.277830982499999</v>
      </c>
      <c r="H82">
        <v>212.27123331155701</v>
      </c>
      <c r="I82">
        <v>7.8279783999562698</v>
      </c>
      <c r="J82">
        <v>98.437260094861202</v>
      </c>
      <c r="K82">
        <v>257.37977408352998</v>
      </c>
      <c r="L82">
        <v>9.8830238453427803</v>
      </c>
      <c r="M82">
        <v>98.437260094861202</v>
      </c>
      <c r="N82" t="s">
        <v>114</v>
      </c>
      <c r="O82" t="s">
        <v>114</v>
      </c>
      <c r="P82" t="s">
        <v>114</v>
      </c>
      <c r="Q82" t="s">
        <v>114</v>
      </c>
    </row>
    <row r="83" spans="1:17" x14ac:dyDescent="0.25">
      <c r="A83" t="s">
        <v>901</v>
      </c>
      <c r="B83">
        <v>5.1153439150000004</v>
      </c>
      <c r="C83">
        <v>0.4970169445</v>
      </c>
      <c r="D83">
        <v>2.4255479599999998</v>
      </c>
      <c r="E83">
        <v>-5.1153439150000004</v>
      </c>
      <c r="F83">
        <v>0.4970169445</v>
      </c>
      <c r="G83">
        <v>2.4255479599999998</v>
      </c>
      <c r="H83">
        <v>52.333486737455097</v>
      </c>
      <c r="I83">
        <v>0.49405168624023199</v>
      </c>
      <c r="J83">
        <v>11.7665658125203</v>
      </c>
      <c r="K83">
        <v>52.333486737455097</v>
      </c>
      <c r="L83">
        <v>0.49405168624023199</v>
      </c>
      <c r="M83">
        <v>11.7665658125203</v>
      </c>
      <c r="N83">
        <v>0.38332100000000002</v>
      </c>
      <c r="O83">
        <v>0.38332100000000002</v>
      </c>
      <c r="P83">
        <v>0.29386997808199999</v>
      </c>
      <c r="Q83">
        <v>0.29386997808199999</v>
      </c>
    </row>
    <row r="84" spans="1:17" x14ac:dyDescent="0.25">
      <c r="A84" t="s">
        <v>902</v>
      </c>
      <c r="B84">
        <v>26.96875</v>
      </c>
      <c r="C84">
        <v>1.9901746485</v>
      </c>
      <c r="D84">
        <v>16.84640954</v>
      </c>
      <c r="E84">
        <v>-26.96875</v>
      </c>
      <c r="F84">
        <v>-1.9901746485</v>
      </c>
      <c r="G84">
        <v>16.84640954</v>
      </c>
      <c r="H84">
        <v>758.064453125</v>
      </c>
      <c r="I84">
        <v>8.1031878126122702E-4</v>
      </c>
      <c r="J84">
        <v>10.4395371023649</v>
      </c>
      <c r="K84">
        <v>758.064453125</v>
      </c>
      <c r="L84">
        <v>8.1031878126122702E-4</v>
      </c>
      <c r="M84">
        <v>10.4395371023649</v>
      </c>
      <c r="N84">
        <v>1.7595697400000001</v>
      </c>
      <c r="O84">
        <v>1.7595697400000001</v>
      </c>
      <c r="P84">
        <v>1.02121028001792E-2</v>
      </c>
      <c r="Q84">
        <v>1.02121028001792E-2</v>
      </c>
    </row>
    <row r="85" spans="1:17" x14ac:dyDescent="0.25">
      <c r="A85" t="s">
        <v>903</v>
      </c>
      <c r="B85" t="s">
        <v>114</v>
      </c>
      <c r="C85" t="s">
        <v>114</v>
      </c>
      <c r="D85" t="s">
        <v>114</v>
      </c>
      <c r="E85" t="s">
        <v>114</v>
      </c>
      <c r="F85" t="s">
        <v>114</v>
      </c>
      <c r="G85" t="s">
        <v>114</v>
      </c>
      <c r="H85" t="s">
        <v>114</v>
      </c>
      <c r="I85" t="s">
        <v>114</v>
      </c>
      <c r="J85" t="s">
        <v>114</v>
      </c>
      <c r="K85" t="s">
        <v>114</v>
      </c>
      <c r="L85" t="s">
        <v>114</v>
      </c>
      <c r="M85" t="s">
        <v>114</v>
      </c>
      <c r="N85" t="s">
        <v>114</v>
      </c>
      <c r="O85" t="s">
        <v>114</v>
      </c>
      <c r="P85" t="s">
        <v>114</v>
      </c>
      <c r="Q85" t="s">
        <v>114</v>
      </c>
    </row>
    <row r="86" spans="1:17" x14ac:dyDescent="0.25">
      <c r="A86" t="s">
        <v>904</v>
      </c>
      <c r="B86">
        <v>25.4375</v>
      </c>
      <c r="C86" t="s">
        <v>114</v>
      </c>
      <c r="D86">
        <v>9.6620416299999992</v>
      </c>
      <c r="E86">
        <v>-25.4375</v>
      </c>
      <c r="F86" t="s">
        <v>114</v>
      </c>
      <c r="G86">
        <v>9.6620416299999992</v>
      </c>
      <c r="H86" t="s">
        <v>114</v>
      </c>
      <c r="I86" t="s">
        <v>114</v>
      </c>
      <c r="J86" t="s">
        <v>114</v>
      </c>
      <c r="K86" t="s">
        <v>114</v>
      </c>
      <c r="L86" t="s">
        <v>114</v>
      </c>
      <c r="M86" t="s">
        <v>114</v>
      </c>
      <c r="N86" t="s">
        <v>114</v>
      </c>
      <c r="O86" t="s">
        <v>114</v>
      </c>
      <c r="P86" t="s">
        <v>114</v>
      </c>
      <c r="Q86" t="s">
        <v>114</v>
      </c>
    </row>
    <row r="87" spans="1:17" x14ac:dyDescent="0.25">
      <c r="A87" t="s">
        <v>905</v>
      </c>
      <c r="B87" t="s">
        <v>114</v>
      </c>
      <c r="C87" t="s">
        <v>114</v>
      </c>
      <c r="D87" t="s">
        <v>114</v>
      </c>
      <c r="E87" t="s">
        <v>114</v>
      </c>
      <c r="F87" t="s">
        <v>114</v>
      </c>
      <c r="G87" t="s">
        <v>114</v>
      </c>
      <c r="H87" t="s">
        <v>114</v>
      </c>
      <c r="I87" t="s">
        <v>114</v>
      </c>
      <c r="J87" t="s">
        <v>114</v>
      </c>
      <c r="K87" t="s">
        <v>114</v>
      </c>
      <c r="L87" t="s">
        <v>114</v>
      </c>
      <c r="M87" t="s">
        <v>114</v>
      </c>
      <c r="N87" t="s">
        <v>114</v>
      </c>
      <c r="O87" t="s">
        <v>114</v>
      </c>
      <c r="P87" t="s">
        <v>114</v>
      </c>
      <c r="Q87" t="s">
        <v>114</v>
      </c>
    </row>
    <row r="88" spans="1:17" x14ac:dyDescent="0.25">
      <c r="A88" t="s">
        <v>906</v>
      </c>
      <c r="B88" t="s">
        <v>114</v>
      </c>
      <c r="C88" t="s">
        <v>114</v>
      </c>
      <c r="D88" t="s">
        <v>114</v>
      </c>
      <c r="E88" t="s">
        <v>114</v>
      </c>
      <c r="F88" t="s">
        <v>114</v>
      </c>
      <c r="G88" t="s">
        <v>114</v>
      </c>
      <c r="H88" t="s">
        <v>114</v>
      </c>
      <c r="I88" t="s">
        <v>114</v>
      </c>
      <c r="J88" t="s">
        <v>114</v>
      </c>
      <c r="K88" t="s">
        <v>114</v>
      </c>
      <c r="L88" t="s">
        <v>114</v>
      </c>
      <c r="M88" t="s">
        <v>114</v>
      </c>
      <c r="N88" t="s">
        <v>114</v>
      </c>
      <c r="O88" t="s">
        <v>114</v>
      </c>
      <c r="P88" t="s">
        <v>114</v>
      </c>
      <c r="Q88" t="s">
        <v>114</v>
      </c>
    </row>
    <row r="89" spans="1:17" x14ac:dyDescent="0.25">
      <c r="A89" t="s">
        <v>907</v>
      </c>
      <c r="B89">
        <v>21.710559</v>
      </c>
      <c r="C89">
        <v>0.93538222199999999</v>
      </c>
      <c r="D89">
        <v>10.137912419999999</v>
      </c>
      <c r="E89">
        <v>21.710559</v>
      </c>
      <c r="F89">
        <v>-0.93538222199999999</v>
      </c>
      <c r="G89">
        <v>-10.137912419999999</v>
      </c>
      <c r="H89" t="s">
        <v>114</v>
      </c>
      <c r="I89" t="s">
        <v>114</v>
      </c>
      <c r="J89" t="s">
        <v>114</v>
      </c>
      <c r="K89" t="s">
        <v>114</v>
      </c>
      <c r="L89" t="s">
        <v>114</v>
      </c>
      <c r="M89" t="s">
        <v>114</v>
      </c>
      <c r="N89">
        <v>0.5184628</v>
      </c>
      <c r="O89">
        <v>-0.5184628</v>
      </c>
      <c r="P89" t="s">
        <v>114</v>
      </c>
      <c r="Q89" t="s">
        <v>114</v>
      </c>
    </row>
    <row r="90" spans="1:17" x14ac:dyDescent="0.25">
      <c r="A90" t="s">
        <v>908</v>
      </c>
      <c r="B90">
        <v>20.338315215000002</v>
      </c>
      <c r="C90">
        <v>0.68398333349999996</v>
      </c>
      <c r="D90">
        <v>0.53916149999999996</v>
      </c>
      <c r="E90">
        <v>20.338315215000002</v>
      </c>
      <c r="F90">
        <v>0.68398333349999996</v>
      </c>
      <c r="G90">
        <v>-0.53916149999999996</v>
      </c>
      <c r="H90">
        <v>827.29413156940097</v>
      </c>
      <c r="I90">
        <v>0.93566640101154397</v>
      </c>
      <c r="J90">
        <v>0.58139024616449997</v>
      </c>
      <c r="K90">
        <v>827.29413156940097</v>
      </c>
      <c r="L90">
        <v>0.93566640101154397</v>
      </c>
      <c r="M90">
        <v>0.58139024616449997</v>
      </c>
      <c r="N90">
        <v>0.25102455000000001</v>
      </c>
      <c r="O90">
        <v>-0.25102455000000001</v>
      </c>
      <c r="P90">
        <v>0.12602664940540501</v>
      </c>
      <c r="Q90">
        <v>0.12602664940540501</v>
      </c>
    </row>
    <row r="91" spans="1:17" x14ac:dyDescent="0.25">
      <c r="A91" t="s">
        <v>909</v>
      </c>
      <c r="B91">
        <v>15.089962119999999</v>
      </c>
      <c r="C91">
        <v>0.84872999999999998</v>
      </c>
      <c r="D91">
        <v>5.38276384</v>
      </c>
      <c r="E91">
        <v>-15.089962119999999</v>
      </c>
      <c r="F91">
        <v>-0.84872999999999998</v>
      </c>
      <c r="G91">
        <v>-5.38276384</v>
      </c>
      <c r="H91">
        <v>455.41391356606999</v>
      </c>
      <c r="I91">
        <v>1.4406852258</v>
      </c>
      <c r="J91">
        <v>57.948293114423102</v>
      </c>
      <c r="K91">
        <v>455.41391356606999</v>
      </c>
      <c r="L91">
        <v>1.4406852258</v>
      </c>
      <c r="M91">
        <v>57.948293114423102</v>
      </c>
      <c r="N91">
        <v>9.6954100000000001E-2</v>
      </c>
      <c r="O91">
        <v>-9.6954100000000001E-2</v>
      </c>
      <c r="P91">
        <v>1.880019501362E-2</v>
      </c>
      <c r="Q91">
        <v>1.880019501362E-2</v>
      </c>
    </row>
    <row r="92" spans="1:17" x14ac:dyDescent="0.25">
      <c r="A92" t="s">
        <v>910</v>
      </c>
      <c r="B92">
        <v>40.707880430000003</v>
      </c>
      <c r="C92">
        <v>0.94623444450000005</v>
      </c>
      <c r="D92">
        <v>2.550690565</v>
      </c>
      <c r="E92">
        <v>-40.707880430000003</v>
      </c>
      <c r="F92">
        <v>-0.42173222249999998</v>
      </c>
      <c r="G92">
        <v>2.550690565</v>
      </c>
      <c r="H92">
        <v>1.953125E-3</v>
      </c>
      <c r="I92">
        <v>0.35571613498957899</v>
      </c>
      <c r="J92">
        <v>4.3357324929280603</v>
      </c>
      <c r="K92">
        <v>1.953125E-3</v>
      </c>
      <c r="L92">
        <v>1.79071924791645</v>
      </c>
      <c r="M92">
        <v>4.3357324929280603</v>
      </c>
      <c r="N92">
        <v>0.563843235</v>
      </c>
      <c r="O92">
        <v>0.563843235</v>
      </c>
      <c r="P92">
        <v>7.6370302407964396E-3</v>
      </c>
      <c r="Q92">
        <v>7.6370302407964396E-3</v>
      </c>
    </row>
    <row r="93" spans="1:17" x14ac:dyDescent="0.25">
      <c r="A93" t="s">
        <v>911</v>
      </c>
      <c r="B93">
        <v>20.1971183</v>
      </c>
      <c r="C93">
        <v>0.32375983250000001</v>
      </c>
      <c r="D93">
        <v>1.53833219</v>
      </c>
      <c r="E93">
        <v>20.1971183</v>
      </c>
      <c r="F93">
        <v>-0.28212905649999998</v>
      </c>
      <c r="G93">
        <v>1.53833219</v>
      </c>
      <c r="H93">
        <v>161.39811772765</v>
      </c>
      <c r="I93">
        <v>0.15919360904315999</v>
      </c>
      <c r="J93">
        <v>5.6183589401689799E-2</v>
      </c>
      <c r="K93">
        <v>161.39811772765</v>
      </c>
      <c r="L93">
        <v>0.20964085828085599</v>
      </c>
      <c r="M93">
        <v>5.6183589401689799E-2</v>
      </c>
      <c r="N93">
        <v>0.19757292500000001</v>
      </c>
      <c r="O93">
        <v>0.19757292500000001</v>
      </c>
      <c r="P93">
        <v>8.0628630096124998E-4</v>
      </c>
      <c r="Q93">
        <v>8.0628630096124998E-4</v>
      </c>
    </row>
    <row r="94" spans="1:17" x14ac:dyDescent="0.25">
      <c r="A94" t="s">
        <v>912</v>
      </c>
      <c r="B94">
        <v>33.556263325000003</v>
      </c>
      <c r="C94">
        <v>2.3241642769999999</v>
      </c>
      <c r="D94">
        <v>9.7449524800000003</v>
      </c>
      <c r="E94">
        <v>33.556263325000003</v>
      </c>
      <c r="F94">
        <v>2.3241642769999999</v>
      </c>
      <c r="G94">
        <v>9.7449524800000003</v>
      </c>
      <c r="H94">
        <v>425.74739906584699</v>
      </c>
      <c r="I94">
        <v>8.6656075518108298E-4</v>
      </c>
      <c r="J94">
        <v>0.93944504802512796</v>
      </c>
      <c r="K94">
        <v>425.74739906584699</v>
      </c>
      <c r="L94">
        <v>8.6656075518108298E-4</v>
      </c>
      <c r="M94">
        <v>0.93944504802512796</v>
      </c>
      <c r="N94">
        <v>0.12523937499999999</v>
      </c>
      <c r="O94">
        <v>0.12523937499999999</v>
      </c>
      <c r="P94">
        <v>2.3686055078411299E-2</v>
      </c>
      <c r="Q94">
        <v>2.3686055078411299E-2</v>
      </c>
    </row>
    <row r="95" spans="1:17" x14ac:dyDescent="0.25">
      <c r="A95" t="s">
        <v>913</v>
      </c>
      <c r="B95">
        <v>24.883838393333299</v>
      </c>
      <c r="C95" t="s">
        <v>114</v>
      </c>
      <c r="D95">
        <v>1.8502932166666699</v>
      </c>
      <c r="E95">
        <v>-24.883838393333299</v>
      </c>
      <c r="F95" t="s">
        <v>114</v>
      </c>
      <c r="G95">
        <v>-1.8502932166666699</v>
      </c>
      <c r="H95">
        <v>798.98912872386995</v>
      </c>
      <c r="I95" t="s">
        <v>114</v>
      </c>
      <c r="J95">
        <v>5.3631181664687597</v>
      </c>
      <c r="K95">
        <v>798.98912872386995</v>
      </c>
      <c r="L95" t="s">
        <v>114</v>
      </c>
      <c r="M95">
        <v>5.3631181664687597</v>
      </c>
      <c r="N95" t="s">
        <v>114</v>
      </c>
      <c r="O95" t="s">
        <v>114</v>
      </c>
      <c r="P95" t="s">
        <v>114</v>
      </c>
      <c r="Q95" t="s">
        <v>114</v>
      </c>
    </row>
    <row r="96" spans="1:17" x14ac:dyDescent="0.25">
      <c r="A96" t="s">
        <v>914</v>
      </c>
      <c r="B96">
        <v>27.808712119999999</v>
      </c>
      <c r="C96" t="s">
        <v>114</v>
      </c>
      <c r="D96">
        <v>1.154195235</v>
      </c>
      <c r="E96">
        <v>-16.59485931</v>
      </c>
      <c r="F96" t="s">
        <v>114</v>
      </c>
      <c r="G96">
        <v>1.154195235</v>
      </c>
      <c r="H96">
        <v>550.77871103738698</v>
      </c>
      <c r="I96" t="s">
        <v>114</v>
      </c>
      <c r="J96">
        <v>0.60884073127230098</v>
      </c>
      <c r="K96">
        <v>1546.6489395460701</v>
      </c>
      <c r="L96" t="s">
        <v>114</v>
      </c>
      <c r="M96">
        <v>0.60884073127230098</v>
      </c>
      <c r="N96" t="s">
        <v>114</v>
      </c>
      <c r="O96" t="s">
        <v>114</v>
      </c>
      <c r="P96" t="s">
        <v>114</v>
      </c>
      <c r="Q96" t="s">
        <v>114</v>
      </c>
    </row>
    <row r="97" spans="1:17" x14ac:dyDescent="0.25">
      <c r="A97" t="s">
        <v>915</v>
      </c>
      <c r="B97">
        <v>39.163189729999999</v>
      </c>
      <c r="C97">
        <v>2.0212198324999999</v>
      </c>
      <c r="D97">
        <v>10.59792161</v>
      </c>
      <c r="E97">
        <v>39.163189729999999</v>
      </c>
      <c r="F97">
        <v>2.0212198324999999</v>
      </c>
      <c r="G97">
        <v>10.59792161</v>
      </c>
      <c r="H97">
        <v>161.39811772765</v>
      </c>
      <c r="I97">
        <v>0.20964085828085599</v>
      </c>
      <c r="J97">
        <v>5.6183589401689597E-2</v>
      </c>
      <c r="K97">
        <v>161.39811772765</v>
      </c>
      <c r="L97">
        <v>0.20964085828085599</v>
      </c>
      <c r="M97">
        <v>5.6183589401689597E-2</v>
      </c>
      <c r="N97">
        <v>0.21398662500000001</v>
      </c>
      <c r="O97">
        <v>0.21398662500000001</v>
      </c>
      <c r="P97">
        <v>8.0628630096124998E-4</v>
      </c>
      <c r="Q97">
        <v>8.0628630096124998E-4</v>
      </c>
    </row>
    <row r="98" spans="1:17" x14ac:dyDescent="0.25">
      <c r="A98" t="s">
        <v>916</v>
      </c>
      <c r="B98">
        <v>18.663825760000002</v>
      </c>
      <c r="C98">
        <v>1.5594277780000001</v>
      </c>
      <c r="D98">
        <v>15.285372730000001</v>
      </c>
      <c r="E98">
        <v>-18.663825760000002</v>
      </c>
      <c r="F98">
        <v>1.5594277780000001</v>
      </c>
      <c r="G98">
        <v>15.285372730000001</v>
      </c>
      <c r="H98" t="s">
        <v>114</v>
      </c>
      <c r="I98" t="s">
        <v>114</v>
      </c>
      <c r="J98" t="s">
        <v>114</v>
      </c>
      <c r="K98" t="s">
        <v>114</v>
      </c>
      <c r="L98" t="s">
        <v>114</v>
      </c>
      <c r="M98" t="s">
        <v>114</v>
      </c>
      <c r="N98">
        <v>1.9981640000000001</v>
      </c>
      <c r="O98">
        <v>1.9981640000000001</v>
      </c>
      <c r="P98" t="s">
        <v>114</v>
      </c>
      <c r="Q98" t="s">
        <v>114</v>
      </c>
    </row>
    <row r="99" spans="1:17" x14ac:dyDescent="0.25">
      <c r="A99" t="s">
        <v>917</v>
      </c>
      <c r="B99">
        <v>35.50925926</v>
      </c>
      <c r="C99">
        <v>0.20661001500000001</v>
      </c>
      <c r="D99">
        <v>1.5034360600000001</v>
      </c>
      <c r="E99">
        <v>-35.50925926</v>
      </c>
      <c r="F99">
        <v>0.20661001500000001</v>
      </c>
      <c r="G99">
        <v>-1.5034360600000001</v>
      </c>
      <c r="H99" t="s">
        <v>114</v>
      </c>
      <c r="I99" t="s">
        <v>114</v>
      </c>
      <c r="J99" t="s">
        <v>114</v>
      </c>
      <c r="K99" t="s">
        <v>114</v>
      </c>
      <c r="L99" t="s">
        <v>114</v>
      </c>
      <c r="M99" t="s">
        <v>114</v>
      </c>
      <c r="N99" t="s">
        <v>114</v>
      </c>
      <c r="O99" t="s">
        <v>114</v>
      </c>
      <c r="P99" t="s">
        <v>114</v>
      </c>
      <c r="Q99" t="s">
        <v>114</v>
      </c>
    </row>
    <row r="100" spans="1:17" x14ac:dyDescent="0.25">
      <c r="A100" t="s">
        <v>918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 t="s">
        <v>114</v>
      </c>
      <c r="I100" t="s">
        <v>114</v>
      </c>
      <c r="J100" t="s">
        <v>114</v>
      </c>
      <c r="K100" t="s">
        <v>114</v>
      </c>
      <c r="L100" t="s">
        <v>114</v>
      </c>
      <c r="M100" t="s">
        <v>114</v>
      </c>
      <c r="N100">
        <v>0</v>
      </c>
      <c r="O100">
        <v>0</v>
      </c>
      <c r="P100" t="s">
        <v>114</v>
      </c>
      <c r="Q100" t="s">
        <v>114</v>
      </c>
    </row>
    <row r="101" spans="1:17" x14ac:dyDescent="0.25">
      <c r="A101" t="s">
        <v>919</v>
      </c>
      <c r="B101">
        <v>10.98828868</v>
      </c>
      <c r="C101">
        <v>0.19407250000000001</v>
      </c>
      <c r="D101">
        <v>8.5653335899999998</v>
      </c>
      <c r="E101">
        <v>-10.98828868</v>
      </c>
      <c r="F101">
        <v>0.13542083299999999</v>
      </c>
      <c r="G101">
        <v>8.5653335899999998</v>
      </c>
      <c r="H101">
        <v>0.48330668894919998</v>
      </c>
      <c r="I101">
        <v>3.66776040208278E-2</v>
      </c>
      <c r="J101">
        <v>21.4973486188441</v>
      </c>
      <c r="K101">
        <v>0.48330668894919998</v>
      </c>
      <c r="L101">
        <v>7.5328270512500003E-2</v>
      </c>
      <c r="M101">
        <v>21.4973486188441</v>
      </c>
      <c r="N101">
        <v>0.47206825000000002</v>
      </c>
      <c r="O101">
        <v>0.22388905000000001</v>
      </c>
      <c r="P101">
        <v>0.100252613419805</v>
      </c>
      <c r="Q101">
        <v>0.44569686531612501</v>
      </c>
    </row>
    <row r="102" spans="1:17" x14ac:dyDescent="0.25">
      <c r="A102" t="s">
        <v>920</v>
      </c>
      <c r="B102">
        <v>21.710559</v>
      </c>
      <c r="C102">
        <v>0.93538222199999999</v>
      </c>
      <c r="D102">
        <v>10.137912419999999</v>
      </c>
      <c r="E102">
        <v>21.710559</v>
      </c>
      <c r="F102">
        <v>-0.93538222199999999</v>
      </c>
      <c r="G102">
        <v>-10.137912419999999</v>
      </c>
      <c r="H102" t="s">
        <v>114</v>
      </c>
      <c r="I102" t="s">
        <v>114</v>
      </c>
      <c r="J102" t="s">
        <v>114</v>
      </c>
      <c r="K102" t="s">
        <v>114</v>
      </c>
      <c r="L102" t="s">
        <v>114</v>
      </c>
      <c r="M102" t="s">
        <v>114</v>
      </c>
      <c r="N102">
        <v>0.5184628</v>
      </c>
      <c r="O102">
        <v>-0.5184628</v>
      </c>
      <c r="P102" t="s">
        <v>114</v>
      </c>
      <c r="Q102" t="s">
        <v>114</v>
      </c>
    </row>
    <row r="103" spans="1:17" x14ac:dyDescent="0.25">
      <c r="A103" t="s">
        <v>921</v>
      </c>
      <c r="B103">
        <v>28.59259256</v>
      </c>
      <c r="C103">
        <v>0.56747201599999997</v>
      </c>
      <c r="D103">
        <v>2.7506882400000001</v>
      </c>
      <c r="E103">
        <v>-28.59259256</v>
      </c>
      <c r="F103">
        <v>-0.56747201599999997</v>
      </c>
      <c r="G103">
        <v>2.7506882400000001</v>
      </c>
      <c r="H103" t="s">
        <v>114</v>
      </c>
      <c r="I103" t="s">
        <v>114</v>
      </c>
      <c r="J103" t="s">
        <v>114</v>
      </c>
      <c r="K103" t="s">
        <v>114</v>
      </c>
      <c r="L103" t="s">
        <v>114</v>
      </c>
      <c r="M103" t="s">
        <v>114</v>
      </c>
      <c r="N103">
        <v>1.0678641900000001</v>
      </c>
      <c r="O103">
        <v>1.0678641900000001</v>
      </c>
      <c r="P103" t="s">
        <v>114</v>
      </c>
      <c r="Q103" t="s">
        <v>114</v>
      </c>
    </row>
    <row r="104" spans="1:17" x14ac:dyDescent="0.25">
      <c r="A104" t="s">
        <v>922</v>
      </c>
      <c r="B104">
        <v>23.12058081</v>
      </c>
      <c r="C104">
        <v>0.35698940566666698</v>
      </c>
      <c r="D104">
        <v>18.710630040000002</v>
      </c>
      <c r="E104">
        <v>-23.12058081</v>
      </c>
      <c r="F104">
        <v>0.14842725900000001</v>
      </c>
      <c r="G104">
        <v>18.710630040000002</v>
      </c>
      <c r="H104">
        <v>53.299695591653901</v>
      </c>
      <c r="I104">
        <v>1.65401905967286E-3</v>
      </c>
      <c r="J104">
        <v>37.762262179586799</v>
      </c>
      <c r="K104">
        <v>53.299695591653901</v>
      </c>
      <c r="L104">
        <v>0.159770195875653</v>
      </c>
      <c r="M104">
        <v>37.762262179586799</v>
      </c>
      <c r="N104">
        <v>1.31084242333333</v>
      </c>
      <c r="O104">
        <v>1.05475444333333</v>
      </c>
      <c r="P104">
        <v>0.655720137737277</v>
      </c>
      <c r="Q104">
        <v>1.56442152235577</v>
      </c>
    </row>
    <row r="105" spans="1:17" x14ac:dyDescent="0.25">
      <c r="A105" t="s">
        <v>923</v>
      </c>
      <c r="B105">
        <v>7.184294875</v>
      </c>
      <c r="C105">
        <v>2.2424311499999999E-2</v>
      </c>
      <c r="D105">
        <v>7.0020024550000004</v>
      </c>
      <c r="E105">
        <v>7.184294875</v>
      </c>
      <c r="F105">
        <v>2.2424311499999999E-2</v>
      </c>
      <c r="G105">
        <v>-7.0020024550000004</v>
      </c>
      <c r="H105">
        <v>103.228185701903</v>
      </c>
      <c r="I105">
        <v>1.00569949249806E-3</v>
      </c>
      <c r="J105">
        <v>98.0560767596521</v>
      </c>
      <c r="K105">
        <v>103.228185701903</v>
      </c>
      <c r="L105">
        <v>1.00569949249806E-3</v>
      </c>
      <c r="M105">
        <v>98.0560767596521</v>
      </c>
      <c r="N105">
        <v>0.12424071</v>
      </c>
      <c r="O105">
        <v>0.12424071</v>
      </c>
      <c r="P105">
        <v>3.0871508042608201E-2</v>
      </c>
      <c r="Q105">
        <v>3.0871508042608201E-2</v>
      </c>
    </row>
    <row r="106" spans="1:17" x14ac:dyDescent="0.25">
      <c r="A106" t="s">
        <v>924</v>
      </c>
      <c r="B106">
        <v>15.4697157166667</v>
      </c>
      <c r="C106">
        <v>0.97255393533333301</v>
      </c>
      <c r="D106">
        <v>12.0071815333333</v>
      </c>
      <c r="E106">
        <v>11.81430443</v>
      </c>
      <c r="F106">
        <v>-0.89455643533333296</v>
      </c>
      <c r="G106">
        <v>-12.0071815333333</v>
      </c>
      <c r="H106">
        <v>163.435004559448</v>
      </c>
      <c r="I106">
        <v>1.1341845651292599</v>
      </c>
      <c r="J106">
        <v>78.980362736870603</v>
      </c>
      <c r="K106">
        <v>313.03647734409702</v>
      </c>
      <c r="L106">
        <v>1.35262947683337</v>
      </c>
      <c r="M106">
        <v>78.980362736870603</v>
      </c>
      <c r="N106">
        <v>0.68318961</v>
      </c>
      <c r="O106">
        <v>-0.54297052999999995</v>
      </c>
      <c r="P106">
        <v>0.97958814912770098</v>
      </c>
      <c r="Q106">
        <v>1.2374847192729099</v>
      </c>
    </row>
    <row r="107" spans="1:17" x14ac:dyDescent="0.25">
      <c r="A107" t="s">
        <v>925</v>
      </c>
      <c r="B107">
        <v>17.8470910325</v>
      </c>
      <c r="C107">
        <v>2.0715381079999999</v>
      </c>
      <c r="D107">
        <v>11.0598845575</v>
      </c>
      <c r="E107">
        <v>-17.8470910325</v>
      </c>
      <c r="F107">
        <v>2.0715381079999999</v>
      </c>
      <c r="G107">
        <v>7.8479930075000004</v>
      </c>
      <c r="H107">
        <v>177.131734069663</v>
      </c>
      <c r="I107">
        <v>0.117516732469115</v>
      </c>
      <c r="J107">
        <v>22.196829155184702</v>
      </c>
      <c r="K107">
        <v>177.131734069663</v>
      </c>
      <c r="L107">
        <v>0.117516732469115</v>
      </c>
      <c r="M107">
        <v>103.170232061129</v>
      </c>
      <c r="N107">
        <v>1.9624999175</v>
      </c>
      <c r="O107">
        <v>1.9624999175</v>
      </c>
      <c r="P107">
        <v>1.47022343043732E-2</v>
      </c>
      <c r="Q107">
        <v>1.47022343043732E-2</v>
      </c>
    </row>
    <row r="108" spans="1:17" x14ac:dyDescent="0.25">
      <c r="A108" t="s">
        <v>926</v>
      </c>
      <c r="B108">
        <v>36.954464285</v>
      </c>
      <c r="C108">
        <v>1.1516744445</v>
      </c>
      <c r="D108">
        <v>19.09152297</v>
      </c>
      <c r="E108">
        <v>-36.954464285</v>
      </c>
      <c r="F108">
        <v>-0.85862877550000005</v>
      </c>
      <c r="G108">
        <v>19.09152297</v>
      </c>
      <c r="H108">
        <v>179.85593274393099</v>
      </c>
      <c r="I108">
        <v>1.47448674823326</v>
      </c>
      <c r="J108">
        <v>41.038080229488003</v>
      </c>
      <c r="K108">
        <v>179.85593274393099</v>
      </c>
      <c r="L108">
        <v>2.6527080522287698</v>
      </c>
      <c r="M108">
        <v>41.038080229488003</v>
      </c>
      <c r="N108">
        <v>1.6963199499999999</v>
      </c>
      <c r="O108">
        <v>1.6963199499999999</v>
      </c>
      <c r="P108">
        <v>1.3470477384499999E-4</v>
      </c>
      <c r="Q108">
        <v>1.3470477384499999E-4</v>
      </c>
    </row>
    <row r="109" spans="1:17" x14ac:dyDescent="0.25">
      <c r="A109" t="s">
        <v>927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 t="s">
        <v>114</v>
      </c>
      <c r="I109" t="s">
        <v>114</v>
      </c>
      <c r="J109" t="s">
        <v>114</v>
      </c>
      <c r="K109" t="s">
        <v>114</v>
      </c>
      <c r="L109" t="s">
        <v>114</v>
      </c>
      <c r="M109" t="s">
        <v>114</v>
      </c>
      <c r="N109">
        <v>0</v>
      </c>
      <c r="O109">
        <v>0</v>
      </c>
      <c r="P109" t="s">
        <v>114</v>
      </c>
      <c r="Q109" t="s">
        <v>114</v>
      </c>
    </row>
    <row r="110" spans="1:17" x14ac:dyDescent="0.25">
      <c r="A110" t="s">
        <v>928</v>
      </c>
      <c r="B110">
        <v>38.86238977</v>
      </c>
      <c r="C110" t="s">
        <v>114</v>
      </c>
      <c r="D110">
        <v>22.20510311</v>
      </c>
      <c r="E110">
        <v>-38.86238977</v>
      </c>
      <c r="F110" t="s">
        <v>114</v>
      </c>
      <c r="G110">
        <v>22.20510311</v>
      </c>
      <c r="H110">
        <v>843.54106901715295</v>
      </c>
      <c r="I110" t="s">
        <v>114</v>
      </c>
      <c r="J110">
        <v>8.9395445827668407</v>
      </c>
      <c r="K110">
        <v>843.54106901715295</v>
      </c>
      <c r="L110" t="s">
        <v>114</v>
      </c>
      <c r="M110">
        <v>8.9395445827668407</v>
      </c>
      <c r="N110" t="s">
        <v>114</v>
      </c>
      <c r="O110" t="s">
        <v>114</v>
      </c>
      <c r="P110" t="s">
        <v>114</v>
      </c>
      <c r="Q110" t="s">
        <v>114</v>
      </c>
    </row>
    <row r="111" spans="1:17" x14ac:dyDescent="0.25">
      <c r="A111" t="s">
        <v>929</v>
      </c>
      <c r="B111">
        <v>43.912344715000003</v>
      </c>
      <c r="C111" t="s">
        <v>114</v>
      </c>
      <c r="D111">
        <v>10.439138525000001</v>
      </c>
      <c r="E111">
        <v>-43.912344715000003</v>
      </c>
      <c r="F111" t="s">
        <v>114</v>
      </c>
      <c r="G111">
        <v>10.439138525000001</v>
      </c>
      <c r="H111">
        <v>985.83857786955605</v>
      </c>
      <c r="I111" t="s">
        <v>114</v>
      </c>
      <c r="J111">
        <v>0.18147433266694299</v>
      </c>
      <c r="K111">
        <v>985.83857786955605</v>
      </c>
      <c r="L111" t="s">
        <v>114</v>
      </c>
      <c r="M111">
        <v>0.18147433266694299</v>
      </c>
      <c r="N111" t="s">
        <v>114</v>
      </c>
      <c r="O111" t="s">
        <v>114</v>
      </c>
      <c r="P111" t="s">
        <v>114</v>
      </c>
      <c r="Q111" t="s">
        <v>114</v>
      </c>
    </row>
    <row r="112" spans="1:17" x14ac:dyDescent="0.25">
      <c r="A112" t="s">
        <v>930</v>
      </c>
      <c r="B112">
        <v>23.24189814</v>
      </c>
      <c r="C112" t="s">
        <v>114</v>
      </c>
      <c r="D112">
        <v>3.0110456674999999</v>
      </c>
      <c r="E112">
        <v>-8.1408399399999993</v>
      </c>
      <c r="F112" t="s">
        <v>114</v>
      </c>
      <c r="G112">
        <v>-2.7098195624999999</v>
      </c>
      <c r="H112">
        <v>217.206105684563</v>
      </c>
      <c r="I112" t="s">
        <v>114</v>
      </c>
      <c r="J112">
        <v>4.06811530658696</v>
      </c>
      <c r="K112">
        <v>849.08951131314495</v>
      </c>
      <c r="L112" t="s">
        <v>114</v>
      </c>
      <c r="M112">
        <v>6.3658139072040703</v>
      </c>
      <c r="N112" t="s">
        <v>114</v>
      </c>
      <c r="O112" t="s">
        <v>114</v>
      </c>
      <c r="P112" t="s">
        <v>114</v>
      </c>
      <c r="Q112" t="s">
        <v>114</v>
      </c>
    </row>
    <row r="113" spans="1:17" x14ac:dyDescent="0.25">
      <c r="A113" t="s">
        <v>931</v>
      </c>
      <c r="B113">
        <v>8.70725047</v>
      </c>
      <c r="C113">
        <v>0.34996620099999998</v>
      </c>
      <c r="D113">
        <v>6.5472996974999997</v>
      </c>
      <c r="E113">
        <v>0.27601502</v>
      </c>
      <c r="F113">
        <v>0.33523620100000001</v>
      </c>
      <c r="G113">
        <v>-6.5472996974999997</v>
      </c>
      <c r="H113">
        <v>99.449193866158595</v>
      </c>
      <c r="I113">
        <v>0.15093572165975699</v>
      </c>
      <c r="J113">
        <v>105.703634413638</v>
      </c>
      <c r="K113">
        <v>200.43589580755801</v>
      </c>
      <c r="L113">
        <v>0.164393096835037</v>
      </c>
      <c r="M113">
        <v>105.703634413638</v>
      </c>
      <c r="N113">
        <v>6.7264044999999995E-2</v>
      </c>
      <c r="O113">
        <v>-3.076856E-2</v>
      </c>
      <c r="P113">
        <v>7.6781372037976296E-3</v>
      </c>
      <c r="Q113">
        <v>1.24484671575155E-2</v>
      </c>
    </row>
    <row r="114" spans="1:17" x14ac:dyDescent="0.25">
      <c r="A114" t="s">
        <v>932</v>
      </c>
      <c r="B114">
        <v>6.775462965</v>
      </c>
      <c r="C114">
        <v>0.53309075800000005</v>
      </c>
      <c r="D114">
        <v>0.57405837000000004</v>
      </c>
      <c r="E114">
        <v>6.775462965</v>
      </c>
      <c r="F114">
        <v>-0.53309075800000005</v>
      </c>
      <c r="G114">
        <v>0.57405837000000004</v>
      </c>
      <c r="H114">
        <v>91.813796780173206</v>
      </c>
      <c r="I114">
        <v>0.56837151253002904</v>
      </c>
      <c r="J114">
        <v>0.65908602433411401</v>
      </c>
      <c r="K114">
        <v>91.813796780173206</v>
      </c>
      <c r="L114">
        <v>0.56837151253002904</v>
      </c>
      <c r="M114">
        <v>0.65908602433411401</v>
      </c>
      <c r="N114">
        <v>0.36424459999999997</v>
      </c>
      <c r="O114">
        <v>-0.36424459999999997</v>
      </c>
      <c r="P114">
        <v>0.26534825725832001</v>
      </c>
      <c r="Q114">
        <v>0.26534825725832001</v>
      </c>
    </row>
    <row r="115" spans="1:17" x14ac:dyDescent="0.25">
      <c r="A115" t="s">
        <v>933</v>
      </c>
      <c r="B115">
        <v>17.1475294166667</v>
      </c>
      <c r="C115">
        <v>0.25483863833333298</v>
      </c>
      <c r="D115">
        <v>7.69329398333333</v>
      </c>
      <c r="E115">
        <v>17.1475294166667</v>
      </c>
      <c r="F115">
        <v>-0.14908728766666701</v>
      </c>
      <c r="G115">
        <v>-5.6421843966666696</v>
      </c>
      <c r="H115">
        <v>108.599035935876</v>
      </c>
      <c r="I115">
        <v>9.38471975376583E-2</v>
      </c>
      <c r="J115">
        <v>113.67875582688001</v>
      </c>
      <c r="K115">
        <v>108.599035935876</v>
      </c>
      <c r="L115">
        <v>0.15792076590333401</v>
      </c>
      <c r="M115">
        <v>154.70754714888599</v>
      </c>
      <c r="N115">
        <v>0.20182482333333299</v>
      </c>
      <c r="O115">
        <v>0.20182482333333299</v>
      </c>
      <c r="P115">
        <v>4.5737906879163298E-4</v>
      </c>
      <c r="Q115">
        <v>4.5737906879163298E-4</v>
      </c>
    </row>
    <row r="116" spans="1:17" x14ac:dyDescent="0.25">
      <c r="A116" t="s">
        <v>934</v>
      </c>
      <c r="B116">
        <v>23.563689783333299</v>
      </c>
      <c r="C116">
        <v>2.0264016630000001</v>
      </c>
      <c r="D116">
        <v>9.7631258800000005</v>
      </c>
      <c r="E116">
        <v>-23.563689783333299</v>
      </c>
      <c r="F116">
        <v>2.0264016630000001</v>
      </c>
      <c r="G116">
        <v>5.4806038133333299</v>
      </c>
      <c r="H116">
        <v>69.620593436318501</v>
      </c>
      <c r="I116">
        <v>0.16405130670024401</v>
      </c>
      <c r="J116">
        <v>23.205745326747799</v>
      </c>
      <c r="K116">
        <v>69.620593436318501</v>
      </c>
      <c r="L116">
        <v>0.16405130670024401</v>
      </c>
      <c r="M116">
        <v>121.128158511751</v>
      </c>
      <c r="N116">
        <v>1.9372262733333301</v>
      </c>
      <c r="O116">
        <v>1.9372262733333301</v>
      </c>
      <c r="P116">
        <v>1.8220808919780101E-2</v>
      </c>
      <c r="Q116">
        <v>1.8220808919780101E-2</v>
      </c>
    </row>
    <row r="117" spans="1:17" x14ac:dyDescent="0.25">
      <c r="A117" t="s">
        <v>935</v>
      </c>
      <c r="B117">
        <v>6.47836122</v>
      </c>
      <c r="C117">
        <v>0.50170263599999998</v>
      </c>
      <c r="D117">
        <v>7.7800612525000004</v>
      </c>
      <c r="E117">
        <v>-6.47836122</v>
      </c>
      <c r="F117">
        <v>0.50170263599999998</v>
      </c>
      <c r="G117">
        <v>-7.7800612525000004</v>
      </c>
      <c r="H117">
        <v>56.3803425570838</v>
      </c>
      <c r="I117">
        <v>0.11419188238424299</v>
      </c>
      <c r="J117">
        <v>97.1498701758414</v>
      </c>
      <c r="K117">
        <v>56.3803425570838</v>
      </c>
      <c r="L117">
        <v>0.11419188238424299</v>
      </c>
      <c r="M117">
        <v>97.1498701758414</v>
      </c>
      <c r="N117">
        <v>0.10649398</v>
      </c>
      <c r="O117">
        <v>-9.0076920000000005E-2</v>
      </c>
      <c r="P117">
        <v>1.1240754619584299E-2</v>
      </c>
      <c r="Q117">
        <v>1.55435762989896E-2</v>
      </c>
    </row>
    <row r="118" spans="1:17" x14ac:dyDescent="0.25">
      <c r="A118" t="s">
        <v>936</v>
      </c>
      <c r="B118">
        <v>14.908490179999999</v>
      </c>
      <c r="C118">
        <v>0.25829340519999999</v>
      </c>
      <c r="D118">
        <v>5.1259039700000004</v>
      </c>
      <c r="E118">
        <v>8.6251568479999996</v>
      </c>
      <c r="F118">
        <v>-0.24719804319999999</v>
      </c>
      <c r="G118">
        <v>3.3038169740000001</v>
      </c>
      <c r="H118">
        <v>121.471702261457</v>
      </c>
      <c r="I118">
        <v>9.1594441753561004E-2</v>
      </c>
      <c r="J118">
        <v>9.5061625289510001</v>
      </c>
      <c r="K118">
        <v>306.30888825465098</v>
      </c>
      <c r="L118">
        <v>9.8605205013438904E-2</v>
      </c>
      <c r="M118">
        <v>28.705768668915098</v>
      </c>
      <c r="N118">
        <v>0.54108751799999999</v>
      </c>
      <c r="O118">
        <v>-0.27911487000000001</v>
      </c>
      <c r="P118">
        <v>0.71880285602552696</v>
      </c>
      <c r="Q118">
        <v>0.98739109537588199</v>
      </c>
    </row>
    <row r="119" spans="1:17" x14ac:dyDescent="0.25">
      <c r="A119" t="s">
        <v>937</v>
      </c>
      <c r="B119" t="s">
        <v>114</v>
      </c>
      <c r="C119" t="s">
        <v>114</v>
      </c>
      <c r="D119" t="s">
        <v>114</v>
      </c>
      <c r="E119" t="s">
        <v>114</v>
      </c>
      <c r="F119" t="s">
        <v>114</v>
      </c>
      <c r="G119" t="s">
        <v>114</v>
      </c>
      <c r="H119" t="s">
        <v>114</v>
      </c>
      <c r="I119" t="s">
        <v>114</v>
      </c>
      <c r="J119" t="s">
        <v>114</v>
      </c>
      <c r="K119" t="s">
        <v>114</v>
      </c>
      <c r="L119" t="s">
        <v>114</v>
      </c>
      <c r="M119" t="s">
        <v>114</v>
      </c>
      <c r="N119" t="s">
        <v>114</v>
      </c>
      <c r="O119" t="s">
        <v>114</v>
      </c>
      <c r="P119" t="s">
        <v>114</v>
      </c>
      <c r="Q119" t="s">
        <v>114</v>
      </c>
    </row>
    <row r="120" spans="1:17" x14ac:dyDescent="0.25">
      <c r="A120" t="s">
        <v>938</v>
      </c>
      <c r="B120">
        <v>7.9378109449999998</v>
      </c>
      <c r="C120">
        <v>0.31519093050000002</v>
      </c>
      <c r="D120">
        <v>12.555538224999999</v>
      </c>
      <c r="E120">
        <v>-6.2288557249999998</v>
      </c>
      <c r="F120">
        <v>0.31519093050000002</v>
      </c>
      <c r="G120">
        <v>12.436505575</v>
      </c>
      <c r="H120">
        <v>77.597287285730502</v>
      </c>
      <c r="I120">
        <v>7.5937055065941996E-4</v>
      </c>
      <c r="J120">
        <v>309.333341834012</v>
      </c>
      <c r="K120">
        <v>126.017685197124</v>
      </c>
      <c r="L120">
        <v>7.5937055065941996E-4</v>
      </c>
      <c r="M120">
        <v>315.283080238872</v>
      </c>
      <c r="N120" t="s">
        <v>114</v>
      </c>
      <c r="O120" t="s">
        <v>114</v>
      </c>
      <c r="P120" t="s">
        <v>114</v>
      </c>
      <c r="Q120" t="s">
        <v>114</v>
      </c>
    </row>
    <row r="121" spans="1:17" x14ac:dyDescent="0.25">
      <c r="A121" t="s">
        <v>939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 t="s">
        <v>114</v>
      </c>
      <c r="I121" t="s">
        <v>114</v>
      </c>
      <c r="J121" t="s">
        <v>114</v>
      </c>
      <c r="K121" t="s">
        <v>114</v>
      </c>
      <c r="L121" t="s">
        <v>114</v>
      </c>
      <c r="M121" t="s">
        <v>114</v>
      </c>
      <c r="N121">
        <v>0</v>
      </c>
      <c r="O121">
        <v>0</v>
      </c>
      <c r="P121" t="s">
        <v>114</v>
      </c>
      <c r="Q121" t="s">
        <v>114</v>
      </c>
    </row>
    <row r="122" spans="1:17" x14ac:dyDescent="0.25">
      <c r="A122" t="s">
        <v>940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 t="s">
        <v>114</v>
      </c>
      <c r="I122" t="s">
        <v>114</v>
      </c>
      <c r="J122" t="s">
        <v>114</v>
      </c>
      <c r="K122" t="s">
        <v>114</v>
      </c>
      <c r="L122" t="s">
        <v>114</v>
      </c>
      <c r="M122" t="s">
        <v>114</v>
      </c>
      <c r="N122">
        <v>0</v>
      </c>
      <c r="O122">
        <v>0</v>
      </c>
      <c r="P122" t="s">
        <v>114</v>
      </c>
      <c r="Q122" t="s">
        <v>114</v>
      </c>
    </row>
    <row r="123" spans="1:17" x14ac:dyDescent="0.25">
      <c r="A123" t="s">
        <v>941</v>
      </c>
      <c r="B123">
        <v>16.788369963333299</v>
      </c>
      <c r="C123">
        <v>1.0841662963333301</v>
      </c>
      <c r="D123">
        <v>3.7815373033333302</v>
      </c>
      <c r="E123">
        <v>16.788369963333299</v>
      </c>
      <c r="F123">
        <v>0.45139962966666702</v>
      </c>
      <c r="G123">
        <v>2.2581889766666698</v>
      </c>
      <c r="H123">
        <v>250.031691811581</v>
      </c>
      <c r="I123">
        <v>1.3400260763210601</v>
      </c>
      <c r="J123">
        <v>22.198707554638599</v>
      </c>
      <c r="K123">
        <v>250.031691811581</v>
      </c>
      <c r="L123">
        <v>2.7975084749839598</v>
      </c>
      <c r="M123">
        <v>35.999617937882597</v>
      </c>
      <c r="N123" t="s">
        <v>114</v>
      </c>
      <c r="O123" t="s">
        <v>114</v>
      </c>
      <c r="P123" t="s">
        <v>114</v>
      </c>
      <c r="Q123" t="s">
        <v>114</v>
      </c>
    </row>
    <row r="124" spans="1:17" x14ac:dyDescent="0.25">
      <c r="A124" t="s">
        <v>942</v>
      </c>
      <c r="B124">
        <v>14.53409091</v>
      </c>
      <c r="C124">
        <v>0.67803651600000003</v>
      </c>
      <c r="D124">
        <v>7.7051509200000003</v>
      </c>
      <c r="E124">
        <v>-14.53409091</v>
      </c>
      <c r="F124">
        <v>0.67803651600000003</v>
      </c>
      <c r="G124">
        <v>-7.7051509200000003</v>
      </c>
      <c r="H124" t="s">
        <v>114</v>
      </c>
      <c r="I124" t="s">
        <v>114</v>
      </c>
      <c r="J124" t="s">
        <v>114</v>
      </c>
      <c r="K124" t="s">
        <v>114</v>
      </c>
      <c r="L124" t="s">
        <v>114</v>
      </c>
      <c r="M124" t="s">
        <v>114</v>
      </c>
      <c r="N124">
        <v>0.21564729999999999</v>
      </c>
      <c r="O124">
        <v>-0.21564729999999999</v>
      </c>
      <c r="P124" t="s">
        <v>114</v>
      </c>
      <c r="Q124" t="s">
        <v>114</v>
      </c>
    </row>
    <row r="125" spans="1:17" x14ac:dyDescent="0.25">
      <c r="A125" t="s">
        <v>943</v>
      </c>
      <c r="B125">
        <v>7.2670454549999999</v>
      </c>
      <c r="C125">
        <v>0.33901825800000002</v>
      </c>
      <c r="D125">
        <v>3.8525754600000002</v>
      </c>
      <c r="E125">
        <v>7.2670454549999999</v>
      </c>
      <c r="F125">
        <v>-0.33901825800000002</v>
      </c>
      <c r="G125">
        <v>3.8525754600000002</v>
      </c>
      <c r="H125">
        <v>105.619899290072</v>
      </c>
      <c r="I125">
        <v>0.229866758514709</v>
      </c>
      <c r="J125">
        <v>29.6846753499884</v>
      </c>
      <c r="K125">
        <v>105.619899290072</v>
      </c>
      <c r="L125">
        <v>0.229866758514709</v>
      </c>
      <c r="M125">
        <v>29.6846753499884</v>
      </c>
      <c r="N125">
        <v>0.10782364999999999</v>
      </c>
      <c r="O125">
        <v>0.10782364999999999</v>
      </c>
      <c r="P125">
        <v>2.3251878998645E-2</v>
      </c>
      <c r="Q125">
        <v>2.3251878998645E-2</v>
      </c>
    </row>
    <row r="126" spans="1:17" x14ac:dyDescent="0.25">
      <c r="A126" t="s">
        <v>944</v>
      </c>
      <c r="B126">
        <v>3.3202381000000001</v>
      </c>
      <c r="C126">
        <v>7.2147627000000006E-2</v>
      </c>
      <c r="D126">
        <v>5.9992126600000004</v>
      </c>
      <c r="E126">
        <v>-3.3202381000000001</v>
      </c>
      <c r="F126">
        <v>7.2147627000000006E-2</v>
      </c>
      <c r="G126">
        <v>-5.9992126600000004</v>
      </c>
      <c r="H126" t="s">
        <v>114</v>
      </c>
      <c r="I126" t="s">
        <v>114</v>
      </c>
      <c r="J126" t="s">
        <v>114</v>
      </c>
      <c r="K126" t="s">
        <v>114</v>
      </c>
      <c r="L126" t="s">
        <v>114</v>
      </c>
      <c r="M126" t="s">
        <v>114</v>
      </c>
      <c r="N126">
        <v>3.8152800000000001E-2</v>
      </c>
      <c r="O126">
        <v>-3.8152800000000001E-2</v>
      </c>
      <c r="P126" t="s">
        <v>114</v>
      </c>
      <c r="Q126" t="s">
        <v>114</v>
      </c>
    </row>
    <row r="127" spans="1:17" x14ac:dyDescent="0.25">
      <c r="A127" t="s">
        <v>945</v>
      </c>
      <c r="B127">
        <v>22.515230018</v>
      </c>
      <c r="C127">
        <v>0.97674781919999998</v>
      </c>
      <c r="D127">
        <v>8.8847458400000008</v>
      </c>
      <c r="E127">
        <v>-22.121964026000001</v>
      </c>
      <c r="F127">
        <v>0.45302181920000001</v>
      </c>
      <c r="G127">
        <v>-2.667305984</v>
      </c>
      <c r="H127">
        <v>303.97852928224398</v>
      </c>
      <c r="I127">
        <v>0.119915514464565</v>
      </c>
      <c r="J127">
        <v>75.361265896047598</v>
      </c>
      <c r="K127">
        <v>325.92139227700602</v>
      </c>
      <c r="L127">
        <v>1.05592493151541</v>
      </c>
      <c r="M127">
        <v>165.14150018244101</v>
      </c>
      <c r="N127">
        <v>0.77484417999999999</v>
      </c>
      <c r="O127">
        <v>0.77484417999999999</v>
      </c>
      <c r="P127">
        <v>9.2138132273325603E-3</v>
      </c>
      <c r="Q127">
        <v>9.2138132273325603E-3</v>
      </c>
    </row>
    <row r="128" spans="1:17" x14ac:dyDescent="0.25">
      <c r="A128" t="s">
        <v>946</v>
      </c>
      <c r="B128">
        <v>9.4504675266666691</v>
      </c>
      <c r="C128">
        <v>0.45285198433333301</v>
      </c>
      <c r="D128">
        <v>14.075093426666699</v>
      </c>
      <c r="E128">
        <v>-9.4504675266666691</v>
      </c>
      <c r="F128">
        <v>0.45285198433333301</v>
      </c>
      <c r="G128">
        <v>-14.075093426666699</v>
      </c>
      <c r="H128">
        <v>132.930522250243</v>
      </c>
      <c r="I128">
        <v>0.15450827785381399</v>
      </c>
      <c r="J128">
        <v>229.004661259513</v>
      </c>
      <c r="K128">
        <v>132.930522250243</v>
      </c>
      <c r="L128">
        <v>0.15450827785381399</v>
      </c>
      <c r="M128">
        <v>229.004661259513</v>
      </c>
      <c r="N128">
        <v>0.83400958666666702</v>
      </c>
      <c r="O128">
        <v>-0.83400958666666702</v>
      </c>
      <c r="P128">
        <v>1.5521859589793601</v>
      </c>
      <c r="Q128">
        <v>1.5521859589793601</v>
      </c>
    </row>
    <row r="129" spans="1:17" x14ac:dyDescent="0.25">
      <c r="A129" t="s">
        <v>947</v>
      </c>
      <c r="B129">
        <v>10.0599747466667</v>
      </c>
      <c r="C129">
        <v>1.017844344</v>
      </c>
      <c r="D129">
        <v>3.58850922666667</v>
      </c>
      <c r="E129">
        <v>-0.37058080666666698</v>
      </c>
      <c r="F129">
        <v>-1.017844344</v>
      </c>
      <c r="G129">
        <v>1.5482580533333301</v>
      </c>
      <c r="H129">
        <v>76.211311729785194</v>
      </c>
      <c r="I129">
        <v>1.4973479443595901</v>
      </c>
      <c r="J129">
        <v>15.0515306017548</v>
      </c>
      <c r="K129">
        <v>227.80995438373699</v>
      </c>
      <c r="L129">
        <v>1.4973479443595901</v>
      </c>
      <c r="M129">
        <v>30.771973806995199</v>
      </c>
      <c r="N129">
        <v>7.9128799999999999E-2</v>
      </c>
      <c r="O129">
        <v>7.9128799999999999E-2</v>
      </c>
      <c r="P129">
        <v>1.4096122748889999E-2</v>
      </c>
      <c r="Q129">
        <v>1.4096122748889999E-2</v>
      </c>
    </row>
    <row r="130" spans="1:17" x14ac:dyDescent="0.25">
      <c r="A130" t="s">
        <v>948</v>
      </c>
      <c r="B130">
        <v>13.549404753333301</v>
      </c>
      <c r="C130">
        <v>1.31233414033333</v>
      </c>
      <c r="D130">
        <v>5.7197365866666701</v>
      </c>
      <c r="E130">
        <v>-13.549404753333301</v>
      </c>
      <c r="F130">
        <v>-1.26423572233333</v>
      </c>
      <c r="G130">
        <v>-5.7197365866666701</v>
      </c>
      <c r="H130">
        <v>78.568142166597198</v>
      </c>
      <c r="I130">
        <v>1.29112969411792</v>
      </c>
      <c r="J130">
        <v>12.1661327792617</v>
      </c>
      <c r="K130">
        <v>78.568142166597198</v>
      </c>
      <c r="L130">
        <v>1.47702309550904</v>
      </c>
      <c r="M130">
        <v>12.1661327792617</v>
      </c>
      <c r="N130">
        <v>0.11859623</v>
      </c>
      <c r="O130">
        <v>8.22185633333333E-2</v>
      </c>
      <c r="P130">
        <v>2.51323280666437E-2</v>
      </c>
      <c r="Q130">
        <v>3.6090088487066997E-2</v>
      </c>
    </row>
    <row r="131" spans="1:17" x14ac:dyDescent="0.25">
      <c r="A131" t="s">
        <v>949</v>
      </c>
      <c r="B131">
        <v>15.089962119999999</v>
      </c>
      <c r="C131">
        <v>0.84872999999999998</v>
      </c>
      <c r="D131">
        <v>5.38276384</v>
      </c>
      <c r="E131">
        <v>15.089962119999999</v>
      </c>
      <c r="F131">
        <v>0.84872999999999998</v>
      </c>
      <c r="G131">
        <v>5.38276384</v>
      </c>
      <c r="H131">
        <v>455.41391356606999</v>
      </c>
      <c r="I131">
        <v>1.4406852258</v>
      </c>
      <c r="J131">
        <v>57.948293114423102</v>
      </c>
      <c r="K131">
        <v>455.41391356606999</v>
      </c>
      <c r="L131">
        <v>1.4406852258</v>
      </c>
      <c r="M131">
        <v>57.948293114423102</v>
      </c>
      <c r="N131">
        <v>9.6954100000000001E-2</v>
      </c>
      <c r="O131">
        <v>9.6954100000000001E-2</v>
      </c>
      <c r="P131">
        <v>1.880019501362E-2</v>
      </c>
      <c r="Q131">
        <v>1.880019501362E-2</v>
      </c>
    </row>
    <row r="132" spans="1:17" x14ac:dyDescent="0.25">
      <c r="A132" t="s">
        <v>950</v>
      </c>
      <c r="B132">
        <v>7.2670454549999999</v>
      </c>
      <c r="C132">
        <v>0.33901825800000002</v>
      </c>
      <c r="D132">
        <v>3.8525754600000002</v>
      </c>
      <c r="E132">
        <v>-7.2670454549999999</v>
      </c>
      <c r="F132">
        <v>0.33901825800000002</v>
      </c>
      <c r="G132">
        <v>-3.8525754600000002</v>
      </c>
      <c r="H132">
        <v>105.619899290072</v>
      </c>
      <c r="I132">
        <v>0.229866758514709</v>
      </c>
      <c r="J132">
        <v>29.6846753499884</v>
      </c>
      <c r="K132">
        <v>105.619899290072</v>
      </c>
      <c r="L132">
        <v>0.229866758514709</v>
      </c>
      <c r="M132">
        <v>29.6846753499884</v>
      </c>
      <c r="N132">
        <v>0.10782364999999999</v>
      </c>
      <c r="O132">
        <v>-0.10782364999999999</v>
      </c>
      <c r="P132">
        <v>2.3251878998645E-2</v>
      </c>
      <c r="Q132">
        <v>2.3251878998645E-2</v>
      </c>
    </row>
    <row r="133" spans="1:17" x14ac:dyDescent="0.25">
      <c r="A133" t="s">
        <v>951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 t="s">
        <v>114</v>
      </c>
      <c r="I133" t="s">
        <v>114</v>
      </c>
      <c r="J133" t="s">
        <v>114</v>
      </c>
      <c r="K133" t="s">
        <v>114</v>
      </c>
      <c r="L133" t="s">
        <v>114</v>
      </c>
      <c r="M133" t="s">
        <v>114</v>
      </c>
      <c r="N133">
        <v>0</v>
      </c>
      <c r="O133">
        <v>0</v>
      </c>
      <c r="P133" t="s">
        <v>114</v>
      </c>
      <c r="Q133" t="s">
        <v>114</v>
      </c>
    </row>
    <row r="134" spans="1:17" x14ac:dyDescent="0.25">
      <c r="A134" t="s">
        <v>952</v>
      </c>
      <c r="B134">
        <v>25.930871215</v>
      </c>
      <c r="C134">
        <v>1.8984460359999999</v>
      </c>
      <c r="D134">
        <v>11.43279727</v>
      </c>
      <c r="E134">
        <v>-25.930871215</v>
      </c>
      <c r="F134">
        <v>1.8984460359999999</v>
      </c>
      <c r="G134">
        <v>11.43279727</v>
      </c>
      <c r="H134">
        <v>105.619899290072</v>
      </c>
      <c r="I134">
        <v>0.229866758514709</v>
      </c>
      <c r="J134">
        <v>29.6846753499884</v>
      </c>
      <c r="K134">
        <v>105.619899290072</v>
      </c>
      <c r="L134">
        <v>0.229866758514709</v>
      </c>
      <c r="M134">
        <v>29.6846753499884</v>
      </c>
      <c r="N134">
        <v>1.89034035</v>
      </c>
      <c r="O134">
        <v>1.89034035</v>
      </c>
      <c r="P134">
        <v>2.3251878998645E-2</v>
      </c>
      <c r="Q134">
        <v>2.3251878998645E-2</v>
      </c>
    </row>
    <row r="135" spans="1:17" x14ac:dyDescent="0.25">
      <c r="A135" t="s">
        <v>953</v>
      </c>
      <c r="B135">
        <v>28.009627537499998</v>
      </c>
      <c r="C135">
        <v>0.69507322000000005</v>
      </c>
      <c r="D135">
        <v>19.495425462499998</v>
      </c>
      <c r="E135">
        <v>-28.009627537499998</v>
      </c>
      <c r="F135">
        <v>-0.69507322000000005</v>
      </c>
      <c r="G135">
        <v>19.495425462499998</v>
      </c>
      <c r="H135">
        <v>212.396994948187</v>
      </c>
      <c r="I135">
        <v>0.77901441719999998</v>
      </c>
      <c r="J135">
        <v>22.626831642451801</v>
      </c>
      <c r="K135">
        <v>212.396994948187</v>
      </c>
      <c r="L135">
        <v>0.77901441719999998</v>
      </c>
      <c r="M135">
        <v>22.626831642451801</v>
      </c>
      <c r="N135">
        <v>1.77566775</v>
      </c>
      <c r="O135">
        <v>1.77566775</v>
      </c>
      <c r="P135">
        <v>1.06845652683327E-2</v>
      </c>
      <c r="Q135">
        <v>1.06845652683327E-2</v>
      </c>
    </row>
    <row r="136" spans="1:17" x14ac:dyDescent="0.25">
      <c r="A136" t="s">
        <v>954</v>
      </c>
      <c r="B136">
        <v>8.5134154024999997</v>
      </c>
      <c r="C136">
        <v>0.64837556225000004</v>
      </c>
      <c r="D136">
        <v>6.5127057050000001</v>
      </c>
      <c r="E136">
        <v>-8.5134154024999997</v>
      </c>
      <c r="F136">
        <v>-0.20035443775</v>
      </c>
      <c r="G136">
        <v>-6.5127057050000001</v>
      </c>
      <c r="H136">
        <v>211.64594740009699</v>
      </c>
      <c r="I136">
        <v>0.57542465136565402</v>
      </c>
      <c r="J136">
        <v>21.418165875897198</v>
      </c>
      <c r="K136">
        <v>211.64594740009699</v>
      </c>
      <c r="L136">
        <v>1.0824232766948301</v>
      </c>
      <c r="M136">
        <v>21.418165875897198</v>
      </c>
      <c r="N136">
        <v>7.8261010000000006E-2</v>
      </c>
      <c r="O136">
        <v>-3.6413485000000002E-2</v>
      </c>
      <c r="P136">
        <v>7.1207194242287296E-3</v>
      </c>
      <c r="Q136">
        <v>1.35191778193952E-2</v>
      </c>
    </row>
    <row r="137" spans="1:17" x14ac:dyDescent="0.25">
      <c r="A137" t="s">
        <v>955</v>
      </c>
      <c r="B137">
        <v>7.2670454549999999</v>
      </c>
      <c r="C137">
        <v>0.33901825800000002</v>
      </c>
      <c r="D137">
        <v>3.8525754600000002</v>
      </c>
      <c r="E137">
        <v>7.2670454549999999</v>
      </c>
      <c r="F137">
        <v>-0.33901825800000002</v>
      </c>
      <c r="G137">
        <v>3.8525754600000002</v>
      </c>
      <c r="H137">
        <v>105.619899290072</v>
      </c>
      <c r="I137">
        <v>0.229866758514709</v>
      </c>
      <c r="J137">
        <v>29.6846753499884</v>
      </c>
      <c r="K137">
        <v>105.619899290072</v>
      </c>
      <c r="L137">
        <v>0.229866758514709</v>
      </c>
      <c r="M137">
        <v>29.6846753499884</v>
      </c>
      <c r="N137">
        <v>0.10782364999999999</v>
      </c>
      <c r="O137">
        <v>0.10782364999999999</v>
      </c>
      <c r="P137">
        <v>2.3251878998645E-2</v>
      </c>
      <c r="Q137">
        <v>2.3251878998645E-2</v>
      </c>
    </row>
    <row r="138" spans="1:17" x14ac:dyDescent="0.25">
      <c r="A138" t="s">
        <v>956</v>
      </c>
      <c r="B138">
        <v>71.875</v>
      </c>
      <c r="C138" t="s">
        <v>114</v>
      </c>
      <c r="D138">
        <v>24.22376989</v>
      </c>
      <c r="E138">
        <v>-71.875</v>
      </c>
      <c r="F138" t="s">
        <v>114</v>
      </c>
      <c r="G138">
        <v>24.22376989</v>
      </c>
      <c r="H138" t="s">
        <v>114</v>
      </c>
      <c r="I138" t="s">
        <v>114</v>
      </c>
      <c r="J138" t="s">
        <v>114</v>
      </c>
      <c r="K138" t="s">
        <v>114</v>
      </c>
      <c r="L138" t="s">
        <v>114</v>
      </c>
      <c r="M138" t="s">
        <v>114</v>
      </c>
      <c r="N138" t="s">
        <v>114</v>
      </c>
      <c r="O138" t="s">
        <v>114</v>
      </c>
      <c r="P138" t="s">
        <v>114</v>
      </c>
      <c r="Q138" t="s">
        <v>114</v>
      </c>
    </row>
    <row r="139" spans="1:17" x14ac:dyDescent="0.25">
      <c r="A139" t="s">
        <v>957</v>
      </c>
      <c r="B139">
        <v>39.095822349999999</v>
      </c>
      <c r="C139" t="s">
        <v>114</v>
      </c>
      <c r="D139">
        <v>7.8875127699999998</v>
      </c>
      <c r="E139">
        <v>-39.095822349999999</v>
      </c>
      <c r="F139" t="s">
        <v>114</v>
      </c>
      <c r="G139">
        <v>7.8875127699999998</v>
      </c>
      <c r="H139">
        <v>775.19868541237997</v>
      </c>
      <c r="I139" t="s">
        <v>114</v>
      </c>
      <c r="J139">
        <v>35.078219358540601</v>
      </c>
      <c r="K139">
        <v>775.19868541237997</v>
      </c>
      <c r="L139" t="s">
        <v>114</v>
      </c>
      <c r="M139">
        <v>35.078219358540601</v>
      </c>
      <c r="N139" t="s">
        <v>114</v>
      </c>
      <c r="O139" t="s">
        <v>114</v>
      </c>
      <c r="P139" t="s">
        <v>114</v>
      </c>
      <c r="Q139" t="s">
        <v>114</v>
      </c>
    </row>
    <row r="140" spans="1:17" x14ac:dyDescent="0.25">
      <c r="A140" t="s">
        <v>958</v>
      </c>
      <c r="B140">
        <v>16.462205905000001</v>
      </c>
      <c r="C140">
        <v>0.77063555549999996</v>
      </c>
      <c r="D140">
        <v>5.9219253399999996</v>
      </c>
      <c r="E140">
        <v>16.462205905000001</v>
      </c>
      <c r="F140">
        <v>-0.77063555549999996</v>
      </c>
      <c r="G140">
        <v>-4.2159870799999997</v>
      </c>
      <c r="H140">
        <v>55.0904204195921</v>
      </c>
      <c r="I140">
        <v>5.42829282457244E-2</v>
      </c>
      <c r="J140">
        <v>35.549094117453798</v>
      </c>
      <c r="K140">
        <v>55.0904204195921</v>
      </c>
      <c r="L140">
        <v>5.42829282457244E-2</v>
      </c>
      <c r="M140">
        <v>70.138399465068204</v>
      </c>
      <c r="N140">
        <v>0.34797865</v>
      </c>
      <c r="O140">
        <v>-0.17048415</v>
      </c>
      <c r="P140">
        <v>5.8129690802444997E-2</v>
      </c>
      <c r="Q140">
        <v>0.24217828171164499</v>
      </c>
    </row>
    <row r="141" spans="1:17" x14ac:dyDescent="0.25">
      <c r="A141" t="s">
        <v>959</v>
      </c>
      <c r="B141">
        <v>16.614432376666699</v>
      </c>
      <c r="C141">
        <v>1.89298712066667</v>
      </c>
      <c r="D141">
        <v>4.8153994200000003</v>
      </c>
      <c r="E141">
        <v>16.572765709999999</v>
      </c>
      <c r="F141">
        <v>1.89298712066667</v>
      </c>
      <c r="G141">
        <v>-2.8522426666666698</v>
      </c>
      <c r="H141">
        <v>454.67996554685101</v>
      </c>
      <c r="I141">
        <v>0.27591882755715103</v>
      </c>
      <c r="J141">
        <v>24.455940462696301</v>
      </c>
      <c r="K141">
        <v>456.75416542726799</v>
      </c>
      <c r="L141">
        <v>0.27591882755715103</v>
      </c>
      <c r="M141">
        <v>47.035115479570102</v>
      </c>
      <c r="N141" t="s">
        <v>114</v>
      </c>
      <c r="O141" t="s">
        <v>114</v>
      </c>
      <c r="P141" t="s">
        <v>114</v>
      </c>
      <c r="Q141" t="s">
        <v>114</v>
      </c>
    </row>
    <row r="142" spans="1:17" x14ac:dyDescent="0.25">
      <c r="A142" t="s">
        <v>960</v>
      </c>
      <c r="B142">
        <v>46.4375</v>
      </c>
      <c r="C142">
        <v>2.0103032199999999</v>
      </c>
      <c r="D142">
        <v>14.561728260000001</v>
      </c>
      <c r="E142">
        <v>-46.4375</v>
      </c>
      <c r="F142">
        <v>-2.0103032199999999</v>
      </c>
      <c r="G142">
        <v>14.561728260000001</v>
      </c>
      <c r="H142" t="s">
        <v>114</v>
      </c>
      <c r="I142" t="s">
        <v>114</v>
      </c>
      <c r="J142" t="s">
        <v>114</v>
      </c>
      <c r="K142" t="s">
        <v>114</v>
      </c>
      <c r="L142" t="s">
        <v>114</v>
      </c>
      <c r="M142" t="s">
        <v>114</v>
      </c>
      <c r="N142">
        <v>1.6881131</v>
      </c>
      <c r="O142">
        <v>1.6881131</v>
      </c>
      <c r="P142" t="s">
        <v>114</v>
      </c>
      <c r="Q142" t="s">
        <v>114</v>
      </c>
    </row>
    <row r="143" spans="1:17" x14ac:dyDescent="0.25">
      <c r="A143" t="s">
        <v>961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 t="s">
        <v>114</v>
      </c>
      <c r="I143" t="s">
        <v>114</v>
      </c>
      <c r="J143" t="s">
        <v>114</v>
      </c>
      <c r="K143" t="s">
        <v>114</v>
      </c>
      <c r="L143" t="s">
        <v>114</v>
      </c>
      <c r="M143" t="s">
        <v>114</v>
      </c>
      <c r="N143">
        <v>0</v>
      </c>
      <c r="O143">
        <v>0</v>
      </c>
      <c r="P143" t="s">
        <v>114</v>
      </c>
      <c r="Q143" t="s">
        <v>114</v>
      </c>
    </row>
    <row r="144" spans="1:17" x14ac:dyDescent="0.25">
      <c r="A144" t="s">
        <v>962</v>
      </c>
      <c r="B144" t="s">
        <v>114</v>
      </c>
      <c r="C144" t="s">
        <v>114</v>
      </c>
      <c r="D144" t="s">
        <v>114</v>
      </c>
      <c r="E144" t="s">
        <v>114</v>
      </c>
      <c r="F144" t="s">
        <v>114</v>
      </c>
      <c r="G144" t="s">
        <v>114</v>
      </c>
      <c r="H144" t="s">
        <v>114</v>
      </c>
      <c r="I144" t="s">
        <v>114</v>
      </c>
      <c r="J144" t="s">
        <v>114</v>
      </c>
      <c r="K144" t="s">
        <v>114</v>
      </c>
      <c r="L144" t="s">
        <v>114</v>
      </c>
      <c r="M144" t="s">
        <v>114</v>
      </c>
      <c r="N144" t="s">
        <v>114</v>
      </c>
      <c r="O144" t="s">
        <v>114</v>
      </c>
      <c r="P144" t="s">
        <v>114</v>
      </c>
      <c r="Q144" t="s">
        <v>114</v>
      </c>
    </row>
    <row r="145" spans="1:17" x14ac:dyDescent="0.25">
      <c r="A145" t="s">
        <v>963</v>
      </c>
      <c r="B145">
        <v>5.5729166499999998</v>
      </c>
      <c r="C145">
        <v>1.965242497</v>
      </c>
      <c r="D145">
        <v>3.15906704</v>
      </c>
      <c r="E145">
        <v>5.5729166499999998</v>
      </c>
      <c r="F145">
        <v>-1.965242497</v>
      </c>
      <c r="G145">
        <v>3.15906704</v>
      </c>
      <c r="H145">
        <v>62.114799975694403</v>
      </c>
      <c r="I145">
        <v>7.7243561440295903</v>
      </c>
      <c r="J145">
        <v>19.959409126428699</v>
      </c>
      <c r="K145">
        <v>62.114799975694403</v>
      </c>
      <c r="L145">
        <v>7.7243561440295903</v>
      </c>
      <c r="M145">
        <v>19.959409126428699</v>
      </c>
      <c r="N145" t="s">
        <v>114</v>
      </c>
      <c r="O145" t="s">
        <v>114</v>
      </c>
      <c r="P145" t="s">
        <v>114</v>
      </c>
      <c r="Q145" t="s">
        <v>114</v>
      </c>
    </row>
    <row r="146" spans="1:17" x14ac:dyDescent="0.25">
      <c r="A146" t="s">
        <v>964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 t="s">
        <v>114</v>
      </c>
      <c r="I146" t="s">
        <v>114</v>
      </c>
      <c r="J146" t="s">
        <v>114</v>
      </c>
      <c r="K146" t="s">
        <v>114</v>
      </c>
      <c r="L146" t="s">
        <v>114</v>
      </c>
      <c r="M146" t="s">
        <v>114</v>
      </c>
      <c r="N146">
        <v>0</v>
      </c>
      <c r="O146">
        <v>0</v>
      </c>
      <c r="P146" t="s">
        <v>114</v>
      </c>
      <c r="Q146" t="s">
        <v>114</v>
      </c>
    </row>
    <row r="147" spans="1:17" x14ac:dyDescent="0.25">
      <c r="A147" t="s">
        <v>965</v>
      </c>
      <c r="B147" t="s">
        <v>114</v>
      </c>
      <c r="C147" t="s">
        <v>114</v>
      </c>
      <c r="D147" t="s">
        <v>114</v>
      </c>
      <c r="E147" t="s">
        <v>114</v>
      </c>
      <c r="F147" t="s">
        <v>114</v>
      </c>
      <c r="G147" t="s">
        <v>114</v>
      </c>
      <c r="H147" t="s">
        <v>114</v>
      </c>
      <c r="I147" t="s">
        <v>114</v>
      </c>
      <c r="J147" t="s">
        <v>114</v>
      </c>
      <c r="K147" t="s">
        <v>114</v>
      </c>
      <c r="L147" t="s">
        <v>114</v>
      </c>
      <c r="M147" t="s">
        <v>114</v>
      </c>
      <c r="N147" t="s">
        <v>114</v>
      </c>
      <c r="O147" t="s">
        <v>114</v>
      </c>
      <c r="P147" t="s">
        <v>114</v>
      </c>
      <c r="Q147" t="s">
        <v>114</v>
      </c>
    </row>
    <row r="148" spans="1:17" x14ac:dyDescent="0.25">
      <c r="A148" t="s">
        <v>966</v>
      </c>
      <c r="B148">
        <v>36.807570900000002</v>
      </c>
      <c r="C148">
        <v>0.928214074</v>
      </c>
      <c r="D148">
        <v>5.8567984066666696</v>
      </c>
      <c r="E148">
        <v>36.807570900000002</v>
      </c>
      <c r="F148">
        <v>0.29544740733333302</v>
      </c>
      <c r="G148">
        <v>1.32022004666667</v>
      </c>
      <c r="H148">
        <v>109.023765365809</v>
      </c>
      <c r="I148">
        <v>0.60828248344761204</v>
      </c>
      <c r="J148">
        <v>19.3203252778309</v>
      </c>
      <c r="K148">
        <v>109.023765365809</v>
      </c>
      <c r="L148">
        <v>1.7697207784551501</v>
      </c>
      <c r="M148">
        <v>68.158985184899905</v>
      </c>
      <c r="N148" t="s">
        <v>114</v>
      </c>
      <c r="O148" t="s">
        <v>114</v>
      </c>
      <c r="P148" t="s">
        <v>114</v>
      </c>
      <c r="Q148" t="s">
        <v>114</v>
      </c>
    </row>
    <row r="149" spans="1:17" x14ac:dyDescent="0.25">
      <c r="A149" t="s">
        <v>967</v>
      </c>
      <c r="B149" t="s">
        <v>114</v>
      </c>
      <c r="C149" t="s">
        <v>114</v>
      </c>
      <c r="D149" t="s">
        <v>114</v>
      </c>
      <c r="E149" t="s">
        <v>114</v>
      </c>
      <c r="F149" t="s">
        <v>114</v>
      </c>
      <c r="G149" t="s">
        <v>114</v>
      </c>
      <c r="H149" t="s">
        <v>114</v>
      </c>
      <c r="I149" t="s">
        <v>114</v>
      </c>
      <c r="J149" t="s">
        <v>114</v>
      </c>
      <c r="K149" t="s">
        <v>114</v>
      </c>
      <c r="L149" t="s">
        <v>114</v>
      </c>
      <c r="M149" t="s">
        <v>114</v>
      </c>
      <c r="N149" t="s">
        <v>114</v>
      </c>
      <c r="O149" t="s">
        <v>114</v>
      </c>
      <c r="P149" t="s">
        <v>114</v>
      </c>
      <c r="Q149" t="s">
        <v>114</v>
      </c>
    </row>
    <row r="150" spans="1:17" x14ac:dyDescent="0.25">
      <c r="A150" t="s">
        <v>968</v>
      </c>
      <c r="B150">
        <v>0.98316497999999997</v>
      </c>
      <c r="C150">
        <v>0.38814500000000002</v>
      </c>
      <c r="D150">
        <v>6.5570341799999996</v>
      </c>
      <c r="E150">
        <v>0.98316497999999997</v>
      </c>
      <c r="F150">
        <v>0.38814500000000002</v>
      </c>
      <c r="G150">
        <v>6.5570341799999996</v>
      </c>
      <c r="H150" t="s">
        <v>114</v>
      </c>
      <c r="I150" t="s">
        <v>114</v>
      </c>
      <c r="J150" t="s">
        <v>114</v>
      </c>
      <c r="K150" t="s">
        <v>114</v>
      </c>
      <c r="L150" t="s">
        <v>114</v>
      </c>
      <c r="M150" t="s">
        <v>114</v>
      </c>
      <c r="N150">
        <v>0.94413650000000005</v>
      </c>
      <c r="O150">
        <v>0.94413650000000005</v>
      </c>
      <c r="P150" t="s">
        <v>114</v>
      </c>
      <c r="Q150" t="s">
        <v>114</v>
      </c>
    </row>
    <row r="151" spans="1:17" x14ac:dyDescent="0.25">
      <c r="A151" t="s">
        <v>969</v>
      </c>
      <c r="B151">
        <v>16.257575760000002</v>
      </c>
      <c r="C151">
        <v>0.31284321999999998</v>
      </c>
      <c r="D151">
        <v>25.327255940000001</v>
      </c>
      <c r="E151">
        <v>-16.257575760000002</v>
      </c>
      <c r="F151">
        <v>-0.31284321999999998</v>
      </c>
      <c r="G151">
        <v>25.327255940000001</v>
      </c>
      <c r="H151" t="s">
        <v>114</v>
      </c>
      <c r="I151" t="s">
        <v>114</v>
      </c>
      <c r="J151" t="s">
        <v>114</v>
      </c>
      <c r="K151" t="s">
        <v>114</v>
      </c>
      <c r="L151" t="s">
        <v>114</v>
      </c>
      <c r="M151" t="s">
        <v>114</v>
      </c>
      <c r="N151">
        <v>1.8820212999999999</v>
      </c>
      <c r="O151">
        <v>1.8820212999999999</v>
      </c>
      <c r="P151" t="s">
        <v>114</v>
      </c>
      <c r="Q151" t="s">
        <v>114</v>
      </c>
    </row>
    <row r="152" spans="1:17" x14ac:dyDescent="0.25">
      <c r="A152" t="s">
        <v>970</v>
      </c>
      <c r="B152">
        <v>25.930871215</v>
      </c>
      <c r="C152">
        <v>1.8984460359999999</v>
      </c>
      <c r="D152">
        <v>11.43279727</v>
      </c>
      <c r="E152">
        <v>-25.930871215</v>
      </c>
      <c r="F152">
        <v>1.8984460359999999</v>
      </c>
      <c r="G152">
        <v>11.43279727</v>
      </c>
      <c r="H152">
        <v>105.619899290072</v>
      </c>
      <c r="I152">
        <v>0.229866758514709</v>
      </c>
      <c r="J152">
        <v>29.6846753499884</v>
      </c>
      <c r="K152">
        <v>105.619899290072</v>
      </c>
      <c r="L152">
        <v>0.229866758514709</v>
      </c>
      <c r="M152">
        <v>29.6846753499884</v>
      </c>
      <c r="N152">
        <v>1.89034035</v>
      </c>
      <c r="O152">
        <v>1.89034035</v>
      </c>
      <c r="P152">
        <v>2.3251878998645E-2</v>
      </c>
      <c r="Q152">
        <v>2.3251878998645E-2</v>
      </c>
    </row>
    <row r="153" spans="1:17" x14ac:dyDescent="0.25">
      <c r="A153" t="s">
        <v>971</v>
      </c>
      <c r="B153" t="s">
        <v>114</v>
      </c>
      <c r="C153" t="s">
        <v>114</v>
      </c>
      <c r="D153" t="s">
        <v>114</v>
      </c>
      <c r="E153" t="s">
        <v>114</v>
      </c>
      <c r="F153" t="s">
        <v>114</v>
      </c>
      <c r="G153" t="s">
        <v>114</v>
      </c>
      <c r="H153" t="s">
        <v>114</v>
      </c>
      <c r="I153" t="s">
        <v>114</v>
      </c>
      <c r="J153" t="s">
        <v>114</v>
      </c>
      <c r="K153" t="s">
        <v>114</v>
      </c>
      <c r="L153" t="s">
        <v>114</v>
      </c>
      <c r="M153" t="s">
        <v>114</v>
      </c>
      <c r="N153" t="s">
        <v>114</v>
      </c>
      <c r="O153" t="s">
        <v>114</v>
      </c>
      <c r="P153" t="s">
        <v>114</v>
      </c>
      <c r="Q153" t="s">
        <v>114</v>
      </c>
    </row>
    <row r="154" spans="1:17" x14ac:dyDescent="0.25">
      <c r="A154" t="s">
        <v>972</v>
      </c>
      <c r="B154">
        <v>10.496706189999999</v>
      </c>
      <c r="C154">
        <v>0.329493333</v>
      </c>
      <c r="D154">
        <v>11.843850679999999</v>
      </c>
      <c r="E154">
        <v>-10.496706189999999</v>
      </c>
      <c r="F154">
        <v>0.329493333</v>
      </c>
      <c r="G154">
        <v>11.843850679999999</v>
      </c>
      <c r="H154" t="s">
        <v>114</v>
      </c>
      <c r="I154" t="s">
        <v>114</v>
      </c>
      <c r="J154" t="s">
        <v>114</v>
      </c>
      <c r="K154" t="s">
        <v>114</v>
      </c>
      <c r="L154" t="s">
        <v>114</v>
      </c>
      <c r="M154" t="s">
        <v>114</v>
      </c>
      <c r="N154">
        <v>0.6959573</v>
      </c>
      <c r="O154">
        <v>0.6959573</v>
      </c>
      <c r="P154" t="s">
        <v>114</v>
      </c>
      <c r="Q154" t="s">
        <v>114</v>
      </c>
    </row>
    <row r="155" spans="1:17" x14ac:dyDescent="0.25">
      <c r="A155" t="s">
        <v>973</v>
      </c>
      <c r="B155" t="s">
        <v>114</v>
      </c>
      <c r="C155" t="s">
        <v>114</v>
      </c>
      <c r="D155" t="s">
        <v>114</v>
      </c>
      <c r="E155" t="s">
        <v>114</v>
      </c>
      <c r="F155" t="s">
        <v>114</v>
      </c>
      <c r="G155" t="s">
        <v>114</v>
      </c>
      <c r="H155" t="s">
        <v>114</v>
      </c>
      <c r="I155" t="s">
        <v>114</v>
      </c>
      <c r="J155" t="s">
        <v>114</v>
      </c>
      <c r="K155" t="s">
        <v>114</v>
      </c>
      <c r="L155" t="s">
        <v>114</v>
      </c>
      <c r="M155" t="s">
        <v>114</v>
      </c>
      <c r="N155" t="s">
        <v>114</v>
      </c>
      <c r="O155" t="s">
        <v>114</v>
      </c>
      <c r="P155" t="s">
        <v>114</v>
      </c>
      <c r="Q155" t="s">
        <v>114</v>
      </c>
    </row>
    <row r="156" spans="1:17" x14ac:dyDescent="0.25">
      <c r="A156" t="s">
        <v>974</v>
      </c>
      <c r="B156">
        <v>9.3319128800000009</v>
      </c>
      <c r="C156">
        <v>0.77971388900000005</v>
      </c>
      <c r="D156">
        <v>7.6426863650000003</v>
      </c>
      <c r="E156">
        <v>-9.3319128800000009</v>
      </c>
      <c r="F156">
        <v>0.77971388900000005</v>
      </c>
      <c r="G156">
        <v>7.6426863650000003</v>
      </c>
      <c r="H156">
        <v>174.16919599982</v>
      </c>
      <c r="I156">
        <v>1.2159074973990101</v>
      </c>
      <c r="J156">
        <v>116.82130974751399</v>
      </c>
      <c r="K156">
        <v>174.16919599982</v>
      </c>
      <c r="L156">
        <v>1.2159074973990101</v>
      </c>
      <c r="M156">
        <v>116.82130974751399</v>
      </c>
      <c r="N156">
        <v>0.99908200000000003</v>
      </c>
      <c r="O156">
        <v>0.99908200000000003</v>
      </c>
      <c r="P156">
        <v>1.9963296854479999</v>
      </c>
      <c r="Q156">
        <v>1.9963296854479999</v>
      </c>
    </row>
    <row r="157" spans="1:17" x14ac:dyDescent="0.25">
      <c r="A157" t="s">
        <v>975</v>
      </c>
      <c r="B157">
        <v>38.614583334999999</v>
      </c>
      <c r="C157">
        <v>1.1877482580000001</v>
      </c>
      <c r="D157">
        <v>16.091916640000001</v>
      </c>
      <c r="E157">
        <v>-38.614583334999999</v>
      </c>
      <c r="F157">
        <v>-0.822554962</v>
      </c>
      <c r="G157">
        <v>16.091916640000001</v>
      </c>
      <c r="H157">
        <v>122.396050295069</v>
      </c>
      <c r="I157">
        <v>1.35319333102164</v>
      </c>
      <c r="J157">
        <v>4.6829529565740504</v>
      </c>
      <c r="K157">
        <v>122.396050295069</v>
      </c>
      <c r="L157">
        <v>2.8214918487640701</v>
      </c>
      <c r="M157">
        <v>4.6829529565740504</v>
      </c>
      <c r="N157">
        <v>1.67724355</v>
      </c>
      <c r="O157">
        <v>1.67724355</v>
      </c>
      <c r="P157">
        <v>2.3629423440500001E-4</v>
      </c>
      <c r="Q157">
        <v>2.3629423440500001E-4</v>
      </c>
    </row>
    <row r="158" spans="1:17" x14ac:dyDescent="0.25">
      <c r="A158" t="s">
        <v>976</v>
      </c>
      <c r="B158">
        <v>15.121212119999999</v>
      </c>
      <c r="C158">
        <v>0.50838444449999998</v>
      </c>
      <c r="D158">
        <v>3.9103962750000001</v>
      </c>
      <c r="E158">
        <v>-3.9073593099999999</v>
      </c>
      <c r="F158">
        <v>-0.50838444449999998</v>
      </c>
      <c r="G158">
        <v>-2.2044580150000002</v>
      </c>
      <c r="H158">
        <v>30.5349135548873</v>
      </c>
      <c r="I158">
        <v>1.90142333945072E-2</v>
      </c>
      <c r="J158">
        <v>9.7192702797954809</v>
      </c>
      <c r="K158">
        <v>457.30211195607001</v>
      </c>
      <c r="L158">
        <v>1.90142333945072E-2</v>
      </c>
      <c r="M158">
        <v>30.582398055067799</v>
      </c>
      <c r="N158">
        <v>0.14233453500000001</v>
      </c>
      <c r="O158">
        <v>0.14233453500000001</v>
      </c>
      <c r="P158">
        <v>2.4724462776024498E-3</v>
      </c>
      <c r="Q158">
        <v>2.4724462776024498E-3</v>
      </c>
    </row>
    <row r="159" spans="1:17" x14ac:dyDescent="0.25">
      <c r="A159" t="s">
        <v>977</v>
      </c>
      <c r="B159">
        <v>15.2752525233333</v>
      </c>
      <c r="C159">
        <v>1.3576521720000001</v>
      </c>
      <c r="D159">
        <v>4.6086348133333299</v>
      </c>
      <c r="E159">
        <v>15.2752525233333</v>
      </c>
      <c r="F159">
        <v>1.3576521720000001</v>
      </c>
      <c r="G159">
        <v>4.6086348133333299</v>
      </c>
      <c r="H159">
        <v>227.80995438373699</v>
      </c>
      <c r="I159">
        <v>1.4973479443595901</v>
      </c>
      <c r="J159">
        <v>30.771973806995199</v>
      </c>
      <c r="K159">
        <v>227.80995438373699</v>
      </c>
      <c r="L159">
        <v>1.4973479443595901</v>
      </c>
      <c r="M159">
        <v>30.771973806995199</v>
      </c>
      <c r="N159">
        <v>7.1882433333333301E-2</v>
      </c>
      <c r="O159">
        <v>5.7389700000000002E-2</v>
      </c>
      <c r="P159">
        <v>1.12858629151433E-2</v>
      </c>
      <c r="Q159">
        <v>1.4096122748889999E-2</v>
      </c>
    </row>
    <row r="160" spans="1:17" x14ac:dyDescent="0.25">
      <c r="A160" t="s">
        <v>978</v>
      </c>
      <c r="B160">
        <v>24.421875</v>
      </c>
      <c r="C160">
        <v>1.240298889</v>
      </c>
      <c r="D160">
        <v>6.4684160249999998</v>
      </c>
      <c r="E160">
        <v>-4.7748842600000003</v>
      </c>
      <c r="F160">
        <v>-1.240298889</v>
      </c>
      <c r="G160">
        <v>-6.4684160249999998</v>
      </c>
      <c r="H160">
        <v>45.599039392791497</v>
      </c>
      <c r="I160">
        <v>9.5264471551286603E-3</v>
      </c>
      <c r="J160">
        <v>10.214499638004799</v>
      </c>
      <c r="K160">
        <v>1192.85595703125</v>
      </c>
      <c r="L160">
        <v>9.5264471551286603E-3</v>
      </c>
      <c r="M160">
        <v>10.214499638004799</v>
      </c>
      <c r="N160">
        <v>0.90212789999999998</v>
      </c>
      <c r="O160">
        <v>-0.1518996</v>
      </c>
      <c r="P160">
        <v>4.6146976960320003E-2</v>
      </c>
      <c r="Q160">
        <v>1.6276694959168201</v>
      </c>
    </row>
    <row r="161" spans="1:17" x14ac:dyDescent="0.25">
      <c r="A161" t="s">
        <v>979</v>
      </c>
      <c r="B161">
        <v>16.598958334999999</v>
      </c>
      <c r="C161">
        <v>1.118732147</v>
      </c>
      <c r="D161">
        <v>3.7901109050000001</v>
      </c>
      <c r="E161">
        <v>-16.598958334999999</v>
      </c>
      <c r="F161">
        <v>1.118732147</v>
      </c>
      <c r="G161">
        <v>3.7901109050000001</v>
      </c>
      <c r="H161">
        <v>551.05083561413198</v>
      </c>
      <c r="I161">
        <v>2.50312323346246</v>
      </c>
      <c r="J161">
        <v>28.7298813443998</v>
      </c>
      <c r="K161">
        <v>551.05083561413198</v>
      </c>
      <c r="L161">
        <v>2.50312323346246</v>
      </c>
      <c r="M161">
        <v>28.7298813443998</v>
      </c>
      <c r="N161">
        <v>0.89125834999999998</v>
      </c>
      <c r="O161">
        <v>0.89125834999999998</v>
      </c>
      <c r="P161">
        <v>1.5886828928894401</v>
      </c>
      <c r="Q161">
        <v>1.5886828928894401</v>
      </c>
    </row>
    <row r="162" spans="1:17" x14ac:dyDescent="0.25">
      <c r="A162" t="s">
        <v>980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 t="s">
        <v>114</v>
      </c>
      <c r="I162" t="s">
        <v>114</v>
      </c>
      <c r="J162" t="s">
        <v>114</v>
      </c>
      <c r="K162" t="s">
        <v>114</v>
      </c>
      <c r="L162" t="s">
        <v>114</v>
      </c>
      <c r="M162" t="s">
        <v>114</v>
      </c>
      <c r="N162">
        <v>0</v>
      </c>
      <c r="O162">
        <v>0</v>
      </c>
      <c r="P162" t="s">
        <v>114</v>
      </c>
      <c r="Q162" t="s">
        <v>114</v>
      </c>
    </row>
    <row r="163" spans="1:17" x14ac:dyDescent="0.25">
      <c r="A163" t="s">
        <v>981</v>
      </c>
      <c r="B163">
        <v>7.2670454549999999</v>
      </c>
      <c r="C163">
        <v>0.33901825800000002</v>
      </c>
      <c r="D163">
        <v>3.8525754600000002</v>
      </c>
      <c r="E163">
        <v>7.2670454549999999</v>
      </c>
      <c r="F163">
        <v>-0.33901825800000002</v>
      </c>
      <c r="G163">
        <v>3.8525754600000002</v>
      </c>
      <c r="H163">
        <v>105.619899290072</v>
      </c>
      <c r="I163">
        <v>0.229866758514709</v>
      </c>
      <c r="J163">
        <v>29.6846753499884</v>
      </c>
      <c r="K163">
        <v>105.619899290072</v>
      </c>
      <c r="L163">
        <v>0.229866758514709</v>
      </c>
      <c r="M163">
        <v>29.6846753499884</v>
      </c>
      <c r="N163">
        <v>0.10782364999999999</v>
      </c>
      <c r="O163">
        <v>0.10782364999999999</v>
      </c>
      <c r="P163">
        <v>2.3251878998645E-2</v>
      </c>
      <c r="Q163">
        <v>2.3251878998645E-2</v>
      </c>
    </row>
    <row r="164" spans="1:17" x14ac:dyDescent="0.25">
      <c r="A164" t="s">
        <v>982</v>
      </c>
      <c r="B164">
        <v>6.5643398266666697</v>
      </c>
      <c r="C164">
        <v>0.25930751600000002</v>
      </c>
      <c r="D164">
        <v>6.0479798133333302</v>
      </c>
      <c r="E164">
        <v>4.3508477599999997</v>
      </c>
      <c r="F164">
        <v>-0.14461841</v>
      </c>
      <c r="G164">
        <v>-4.9106876399999999</v>
      </c>
      <c r="H164">
        <v>17.058673897756101</v>
      </c>
      <c r="I164">
        <v>9.0281340860909901E-2</v>
      </c>
      <c r="J164">
        <v>19.067452092328701</v>
      </c>
      <c r="K164">
        <v>53.299695591653901</v>
      </c>
      <c r="L164">
        <v>0.159770195875653</v>
      </c>
      <c r="M164">
        <v>37.762262179586799</v>
      </c>
      <c r="N164">
        <v>0.76810202333333299</v>
      </c>
      <c r="O164">
        <v>-0.64977235666666699</v>
      </c>
      <c r="P164">
        <v>1.31275661821486</v>
      </c>
      <c r="Q164">
        <v>1.56442152235577</v>
      </c>
    </row>
    <row r="165" spans="1:17" x14ac:dyDescent="0.25">
      <c r="A165" t="s">
        <v>983</v>
      </c>
      <c r="B165">
        <v>23.524621215</v>
      </c>
      <c r="C165">
        <v>0.33901825800000002</v>
      </c>
      <c r="D165">
        <v>21.47468048</v>
      </c>
      <c r="E165">
        <v>-23.524621215</v>
      </c>
      <c r="F165">
        <v>2.6175038000000001E-2</v>
      </c>
      <c r="G165">
        <v>21.47468048</v>
      </c>
      <c r="H165">
        <v>105.619899290072</v>
      </c>
      <c r="I165">
        <v>1.3702652286028899E-3</v>
      </c>
      <c r="J165">
        <v>29.6846753499884</v>
      </c>
      <c r="K165">
        <v>105.619899290072</v>
      </c>
      <c r="L165">
        <v>0.229866758514709</v>
      </c>
      <c r="M165">
        <v>29.6846753499884</v>
      </c>
      <c r="N165">
        <v>1.7741976500000001</v>
      </c>
      <c r="O165">
        <v>1.7741976500000001</v>
      </c>
      <c r="P165">
        <v>2.3251878998645E-2</v>
      </c>
      <c r="Q165">
        <v>2.3251878998645E-2</v>
      </c>
    </row>
    <row r="166" spans="1:17" x14ac:dyDescent="0.25">
      <c r="A166" t="s">
        <v>984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 t="s">
        <v>114</v>
      </c>
      <c r="I166" t="s">
        <v>114</v>
      </c>
      <c r="J166" t="s">
        <v>114</v>
      </c>
      <c r="K166" t="s">
        <v>114</v>
      </c>
      <c r="L166" t="s">
        <v>114</v>
      </c>
      <c r="M166" t="s">
        <v>114</v>
      </c>
      <c r="N166">
        <v>0</v>
      </c>
      <c r="O166">
        <v>0</v>
      </c>
      <c r="P166" t="s">
        <v>114</v>
      </c>
      <c r="Q166" t="s">
        <v>114</v>
      </c>
    </row>
    <row r="167" spans="1:17" x14ac:dyDescent="0.25">
      <c r="A167" t="s">
        <v>985</v>
      </c>
      <c r="B167">
        <v>7.2670454549999999</v>
      </c>
      <c r="C167">
        <v>0.33901825800000002</v>
      </c>
      <c r="D167">
        <v>3.8525754600000002</v>
      </c>
      <c r="E167">
        <v>7.2670454549999999</v>
      </c>
      <c r="F167">
        <v>-0.33901825800000002</v>
      </c>
      <c r="G167">
        <v>3.8525754600000002</v>
      </c>
      <c r="H167">
        <v>105.619899290072</v>
      </c>
      <c r="I167">
        <v>0.229866758514709</v>
      </c>
      <c r="J167">
        <v>29.6846753499884</v>
      </c>
      <c r="K167">
        <v>105.619899290072</v>
      </c>
      <c r="L167">
        <v>0.229866758514709</v>
      </c>
      <c r="M167">
        <v>29.6846753499884</v>
      </c>
      <c r="N167">
        <v>0.10782364999999999</v>
      </c>
      <c r="O167">
        <v>0.10782364999999999</v>
      </c>
      <c r="P167">
        <v>2.3251878998645E-2</v>
      </c>
      <c r="Q167">
        <v>2.3251878998645E-2</v>
      </c>
    </row>
    <row r="168" spans="1:17" x14ac:dyDescent="0.25">
      <c r="A168" t="s">
        <v>986</v>
      </c>
      <c r="B168">
        <v>16.257575760000002</v>
      </c>
      <c r="C168">
        <v>0.31284321999999998</v>
      </c>
      <c r="D168">
        <v>25.327255940000001</v>
      </c>
      <c r="E168">
        <v>-16.257575760000002</v>
      </c>
      <c r="F168">
        <v>-0.31284321999999998</v>
      </c>
      <c r="G168">
        <v>25.327255940000001</v>
      </c>
      <c r="H168" t="s">
        <v>114</v>
      </c>
      <c r="I168" t="s">
        <v>114</v>
      </c>
      <c r="J168" t="s">
        <v>114</v>
      </c>
      <c r="K168" t="s">
        <v>114</v>
      </c>
      <c r="L168" t="s">
        <v>114</v>
      </c>
      <c r="M168" t="s">
        <v>114</v>
      </c>
      <c r="N168">
        <v>1.8820212999999999</v>
      </c>
      <c r="O168">
        <v>1.8820212999999999</v>
      </c>
      <c r="P168" t="s">
        <v>114</v>
      </c>
      <c r="Q168" t="s">
        <v>114</v>
      </c>
    </row>
    <row r="169" spans="1:17" x14ac:dyDescent="0.25">
      <c r="A169" t="s">
        <v>987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 t="s">
        <v>114</v>
      </c>
      <c r="I169" t="s">
        <v>114</v>
      </c>
      <c r="J169" t="s">
        <v>114</v>
      </c>
      <c r="K169" t="s">
        <v>114</v>
      </c>
      <c r="L169" t="s">
        <v>114</v>
      </c>
      <c r="M169" t="s">
        <v>114</v>
      </c>
      <c r="N169">
        <v>0</v>
      </c>
      <c r="O169">
        <v>0</v>
      </c>
      <c r="P169" t="s">
        <v>114</v>
      </c>
      <c r="Q169" t="s">
        <v>114</v>
      </c>
    </row>
    <row r="170" spans="1:17" x14ac:dyDescent="0.25">
      <c r="A170" t="s">
        <v>988</v>
      </c>
      <c r="B170">
        <v>7.2670454549999999</v>
      </c>
      <c r="C170">
        <v>0.33901825800000002</v>
      </c>
      <c r="D170">
        <v>3.8525754600000002</v>
      </c>
      <c r="E170">
        <v>7.2670454549999999</v>
      </c>
      <c r="F170">
        <v>-0.33901825800000002</v>
      </c>
      <c r="G170">
        <v>3.8525754600000002</v>
      </c>
      <c r="H170">
        <v>105.619899290072</v>
      </c>
      <c r="I170">
        <v>0.229866758514709</v>
      </c>
      <c r="J170">
        <v>29.6846753499884</v>
      </c>
      <c r="K170">
        <v>105.619899290072</v>
      </c>
      <c r="L170">
        <v>0.229866758514709</v>
      </c>
      <c r="M170">
        <v>29.6846753499884</v>
      </c>
      <c r="N170">
        <v>0.10782364999999999</v>
      </c>
      <c r="O170">
        <v>0.10782364999999999</v>
      </c>
      <c r="P170">
        <v>2.3251878998645E-2</v>
      </c>
      <c r="Q170">
        <v>2.3251878998645E-2</v>
      </c>
    </row>
    <row r="171" spans="1:17" x14ac:dyDescent="0.25">
      <c r="A171" t="s">
        <v>989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 t="s">
        <v>114</v>
      </c>
      <c r="I171" t="s">
        <v>114</v>
      </c>
      <c r="J171" t="s">
        <v>114</v>
      </c>
      <c r="K171" t="s">
        <v>114</v>
      </c>
      <c r="L171" t="s">
        <v>114</v>
      </c>
      <c r="M171" t="s">
        <v>114</v>
      </c>
      <c r="N171">
        <v>0</v>
      </c>
      <c r="O171">
        <v>0</v>
      </c>
      <c r="P171" t="s">
        <v>114</v>
      </c>
      <c r="Q171" t="s">
        <v>114</v>
      </c>
    </row>
    <row r="172" spans="1:17" x14ac:dyDescent="0.25">
      <c r="A172" t="s">
        <v>990</v>
      </c>
      <c r="B172">
        <v>15.9526515225</v>
      </c>
      <c r="C172">
        <v>1.62524759975</v>
      </c>
      <c r="D172">
        <v>4.9933342674999999</v>
      </c>
      <c r="E172">
        <v>-15.9526515225</v>
      </c>
      <c r="F172">
        <v>-1.18872489725</v>
      </c>
      <c r="G172">
        <v>-4.9933342674999999</v>
      </c>
      <c r="H172">
        <v>156.73075933706301</v>
      </c>
      <c r="I172">
        <v>7.2019359324451804</v>
      </c>
      <c r="J172">
        <v>13.5266360718248</v>
      </c>
      <c r="K172">
        <v>156.73075933706301</v>
      </c>
      <c r="L172">
        <v>8.83975310464667</v>
      </c>
      <c r="M172">
        <v>13.5266360718248</v>
      </c>
      <c r="N172" t="s">
        <v>114</v>
      </c>
      <c r="O172" t="s">
        <v>114</v>
      </c>
      <c r="P172" t="s">
        <v>114</v>
      </c>
      <c r="Q172" t="s">
        <v>114</v>
      </c>
    </row>
    <row r="173" spans="1:17" x14ac:dyDescent="0.25">
      <c r="A173" t="s">
        <v>991</v>
      </c>
      <c r="B173">
        <v>30.179924239999998</v>
      </c>
      <c r="C173">
        <v>1.69746</v>
      </c>
      <c r="D173">
        <v>10.76552768</v>
      </c>
      <c r="E173">
        <v>30.179924239999998</v>
      </c>
      <c r="F173">
        <v>1.69746</v>
      </c>
      <c r="G173">
        <v>10.76552768</v>
      </c>
      <c r="H173" t="s">
        <v>114</v>
      </c>
      <c r="I173" t="s">
        <v>114</v>
      </c>
      <c r="J173" t="s">
        <v>114</v>
      </c>
      <c r="K173" t="s">
        <v>114</v>
      </c>
      <c r="L173" t="s">
        <v>114</v>
      </c>
      <c r="M173" t="s">
        <v>114</v>
      </c>
      <c r="N173">
        <v>0.1939082</v>
      </c>
      <c r="O173">
        <v>0.1939082</v>
      </c>
      <c r="P173" t="s">
        <v>114</v>
      </c>
      <c r="Q173" t="s">
        <v>114</v>
      </c>
    </row>
    <row r="174" spans="1:17" x14ac:dyDescent="0.25">
      <c r="A174" t="s">
        <v>992</v>
      </c>
      <c r="B174" t="s">
        <v>114</v>
      </c>
      <c r="C174" t="s">
        <v>114</v>
      </c>
      <c r="D174" t="s">
        <v>114</v>
      </c>
      <c r="E174" t="s">
        <v>114</v>
      </c>
      <c r="F174" t="s">
        <v>114</v>
      </c>
      <c r="G174" t="s">
        <v>114</v>
      </c>
      <c r="H174" t="s">
        <v>114</v>
      </c>
      <c r="I174" t="s">
        <v>114</v>
      </c>
      <c r="J174" t="s">
        <v>114</v>
      </c>
      <c r="K174" t="s">
        <v>114</v>
      </c>
      <c r="L174" t="s">
        <v>114</v>
      </c>
      <c r="M174" t="s">
        <v>114</v>
      </c>
      <c r="N174" t="s">
        <v>114</v>
      </c>
      <c r="O174" t="s">
        <v>114</v>
      </c>
      <c r="P174" t="s">
        <v>114</v>
      </c>
      <c r="Q174" t="s">
        <v>114</v>
      </c>
    </row>
    <row r="175" spans="1:17" x14ac:dyDescent="0.25">
      <c r="A175" t="s">
        <v>993</v>
      </c>
      <c r="B175">
        <v>8.0404040533333294</v>
      </c>
      <c r="C175">
        <v>0.52235600566666696</v>
      </c>
      <c r="D175">
        <v>1.30521314</v>
      </c>
      <c r="E175">
        <v>-8.0404040533333294</v>
      </c>
      <c r="F175">
        <v>-0.52235600566666696</v>
      </c>
      <c r="G175">
        <v>1.06833359333333</v>
      </c>
      <c r="H175">
        <v>146.451077721037</v>
      </c>
      <c r="I175">
        <v>0.21042354775771399</v>
      </c>
      <c r="J175">
        <v>3.8456935055716501</v>
      </c>
      <c r="K175">
        <v>146.451077721037</v>
      </c>
      <c r="L175">
        <v>0.21042354775771399</v>
      </c>
      <c r="M175">
        <v>4.6890605168478698</v>
      </c>
      <c r="N175" t="s">
        <v>114</v>
      </c>
      <c r="O175" t="s">
        <v>114</v>
      </c>
      <c r="P175" t="s">
        <v>114</v>
      </c>
      <c r="Q175" t="s">
        <v>114</v>
      </c>
    </row>
    <row r="176" spans="1:17" x14ac:dyDescent="0.25">
      <c r="A176" t="s">
        <v>994</v>
      </c>
      <c r="B176" t="s">
        <v>114</v>
      </c>
      <c r="C176" t="s">
        <v>114</v>
      </c>
      <c r="D176" t="s">
        <v>114</v>
      </c>
      <c r="E176" t="s">
        <v>114</v>
      </c>
      <c r="F176" t="s">
        <v>114</v>
      </c>
      <c r="G176" t="s">
        <v>114</v>
      </c>
      <c r="H176" t="s">
        <v>114</v>
      </c>
      <c r="I176" t="s">
        <v>114</v>
      </c>
      <c r="J176" t="s">
        <v>114</v>
      </c>
      <c r="K176" t="s">
        <v>114</v>
      </c>
      <c r="L176" t="s">
        <v>114</v>
      </c>
      <c r="M176" t="s">
        <v>114</v>
      </c>
      <c r="N176" t="s">
        <v>114</v>
      </c>
      <c r="O176" t="s">
        <v>114</v>
      </c>
      <c r="P176" t="s">
        <v>114</v>
      </c>
      <c r="Q176" t="s">
        <v>114</v>
      </c>
    </row>
    <row r="177" spans="1:17" x14ac:dyDescent="0.25">
      <c r="A177" t="s">
        <v>995</v>
      </c>
      <c r="B177" t="s">
        <v>114</v>
      </c>
      <c r="C177" t="s">
        <v>114</v>
      </c>
      <c r="D177" t="s">
        <v>114</v>
      </c>
      <c r="E177" t="s">
        <v>114</v>
      </c>
      <c r="F177" t="s">
        <v>114</v>
      </c>
      <c r="G177" t="s">
        <v>114</v>
      </c>
      <c r="H177" t="s">
        <v>114</v>
      </c>
      <c r="I177" t="s">
        <v>114</v>
      </c>
      <c r="J177" t="s">
        <v>114</v>
      </c>
      <c r="K177" t="s">
        <v>114</v>
      </c>
      <c r="L177" t="s">
        <v>114</v>
      </c>
      <c r="M177" t="s">
        <v>114</v>
      </c>
      <c r="N177" t="s">
        <v>114</v>
      </c>
      <c r="O177" t="s">
        <v>114</v>
      </c>
      <c r="P177" t="s">
        <v>114</v>
      </c>
      <c r="Q177" t="s">
        <v>114</v>
      </c>
    </row>
    <row r="178" spans="1:17" x14ac:dyDescent="0.25">
      <c r="A178" t="s">
        <v>996</v>
      </c>
      <c r="B178" t="s">
        <v>114</v>
      </c>
      <c r="C178" t="s">
        <v>114</v>
      </c>
      <c r="D178" t="s">
        <v>114</v>
      </c>
      <c r="E178" t="s">
        <v>114</v>
      </c>
      <c r="F178" t="s">
        <v>114</v>
      </c>
      <c r="G178" t="s">
        <v>114</v>
      </c>
      <c r="H178" t="s">
        <v>114</v>
      </c>
      <c r="I178" t="s">
        <v>114</v>
      </c>
      <c r="J178" t="s">
        <v>114</v>
      </c>
      <c r="K178" t="s">
        <v>114</v>
      </c>
      <c r="L178" t="s">
        <v>114</v>
      </c>
      <c r="M178" t="s">
        <v>114</v>
      </c>
      <c r="N178" t="s">
        <v>114</v>
      </c>
      <c r="O178" t="s">
        <v>114</v>
      </c>
      <c r="P178" t="s">
        <v>114</v>
      </c>
      <c r="Q178" t="s">
        <v>114</v>
      </c>
    </row>
    <row r="179" spans="1:17" x14ac:dyDescent="0.25">
      <c r="A179" t="s">
        <v>997</v>
      </c>
      <c r="B179">
        <v>12.8508713875</v>
      </c>
      <c r="C179">
        <v>1.5986261072500001</v>
      </c>
      <c r="D179">
        <v>9.6215023399999993</v>
      </c>
      <c r="E179">
        <v>1.7393205075</v>
      </c>
      <c r="F179">
        <v>-1.5182908342500001</v>
      </c>
      <c r="G179">
        <v>-8.9361392800000008</v>
      </c>
      <c r="H179">
        <v>128.639970182745</v>
      </c>
      <c r="I179">
        <v>9.5491334774603107</v>
      </c>
      <c r="J179">
        <v>160.070193640236</v>
      </c>
      <c r="K179">
        <v>344.79951630308699</v>
      </c>
      <c r="L179">
        <v>9.8829979753452797</v>
      </c>
      <c r="M179">
        <v>177.02848970299101</v>
      </c>
      <c r="N179" t="s">
        <v>114</v>
      </c>
      <c r="O179" t="s">
        <v>114</v>
      </c>
      <c r="P179" t="s">
        <v>114</v>
      </c>
      <c r="Q179" t="s">
        <v>114</v>
      </c>
    </row>
    <row r="180" spans="1:17" x14ac:dyDescent="0.25">
      <c r="A180" t="s">
        <v>998</v>
      </c>
      <c r="B180">
        <v>38.624053042500002</v>
      </c>
      <c r="C180">
        <v>2.1099400125000001</v>
      </c>
      <c r="D180">
        <v>10.25944241</v>
      </c>
      <c r="E180">
        <v>-38.624053042500002</v>
      </c>
      <c r="F180">
        <v>7.5681404499999994E-2</v>
      </c>
      <c r="G180">
        <v>10.25944241</v>
      </c>
      <c r="H180">
        <v>44.469318793149299</v>
      </c>
      <c r="I180">
        <v>2.1523600721482001</v>
      </c>
      <c r="J180">
        <v>3.25888338289765</v>
      </c>
      <c r="K180">
        <v>44.469318793149299</v>
      </c>
      <c r="L180">
        <v>8.0805189806300692</v>
      </c>
      <c r="M180">
        <v>3.25888338289765</v>
      </c>
      <c r="N180" t="s">
        <v>114</v>
      </c>
      <c r="O180" t="s">
        <v>114</v>
      </c>
      <c r="P180" t="s">
        <v>114</v>
      </c>
      <c r="Q180" t="s">
        <v>114</v>
      </c>
    </row>
    <row r="181" spans="1:17" x14ac:dyDescent="0.25">
      <c r="A181" t="s">
        <v>999</v>
      </c>
      <c r="B181">
        <v>23.136397949999999</v>
      </c>
      <c r="C181">
        <v>1.03945407425</v>
      </c>
      <c r="D181">
        <v>18.803840910000002</v>
      </c>
      <c r="E181">
        <v>-23.136397949999999</v>
      </c>
      <c r="F181">
        <v>-0.85685742625000005</v>
      </c>
      <c r="G181">
        <v>18.803840910000002</v>
      </c>
      <c r="H181">
        <v>362.63092080871002</v>
      </c>
      <c r="I181">
        <v>0.52166136577574496</v>
      </c>
      <c r="J181">
        <v>54.379565903426297</v>
      </c>
      <c r="K181">
        <v>362.63092080871002</v>
      </c>
      <c r="L181">
        <v>0.98334153051594597</v>
      </c>
      <c r="M181">
        <v>54.379565903426297</v>
      </c>
      <c r="N181" t="s">
        <v>114</v>
      </c>
      <c r="O181" t="s">
        <v>114</v>
      </c>
      <c r="P181" t="s">
        <v>114</v>
      </c>
      <c r="Q181" t="s">
        <v>114</v>
      </c>
    </row>
    <row r="182" spans="1:17" x14ac:dyDescent="0.25">
      <c r="A182" t="s">
        <v>1000</v>
      </c>
      <c r="B182">
        <v>17.121547244999999</v>
      </c>
      <c r="C182">
        <v>0.76054567149999996</v>
      </c>
      <c r="D182">
        <v>8.0601769324999992</v>
      </c>
      <c r="E182">
        <v>-17.121547244999999</v>
      </c>
      <c r="F182">
        <v>0.76054567149999996</v>
      </c>
      <c r="G182">
        <v>-5.9908270525000002</v>
      </c>
      <c r="H182">
        <v>214.34230013444201</v>
      </c>
      <c r="I182">
        <v>0.25792029978054198</v>
      </c>
      <c r="J182">
        <v>62.388200806072</v>
      </c>
      <c r="K182">
        <v>214.34230013444201</v>
      </c>
      <c r="L182">
        <v>0.25792029978054198</v>
      </c>
      <c r="M182">
        <v>101.15679201972399</v>
      </c>
      <c r="N182">
        <v>0.4172958075</v>
      </c>
      <c r="O182">
        <v>0.4172958075</v>
      </c>
      <c r="P182">
        <v>9.2322246010061407E-2</v>
      </c>
      <c r="Q182">
        <v>9.2322246010061407E-2</v>
      </c>
    </row>
    <row r="183" spans="1:17" x14ac:dyDescent="0.25">
      <c r="A183" t="s">
        <v>1001</v>
      </c>
      <c r="B183">
        <v>56.551630430000003</v>
      </c>
      <c r="C183" t="s">
        <v>114</v>
      </c>
      <c r="D183">
        <v>7.2618725350000002</v>
      </c>
      <c r="E183">
        <v>-56.551630430000003</v>
      </c>
      <c r="F183" t="s">
        <v>114</v>
      </c>
      <c r="G183">
        <v>7.2618725350000002</v>
      </c>
      <c r="H183">
        <v>182.8828125</v>
      </c>
      <c r="I183" t="s">
        <v>114</v>
      </c>
      <c r="J183">
        <v>24.199814509955001</v>
      </c>
      <c r="K183">
        <v>182.8828125</v>
      </c>
      <c r="L183" t="s">
        <v>114</v>
      </c>
      <c r="M183">
        <v>24.199814509955001</v>
      </c>
      <c r="N183" t="s">
        <v>114</v>
      </c>
      <c r="O183" t="s">
        <v>114</v>
      </c>
      <c r="P183" t="s">
        <v>114</v>
      </c>
      <c r="Q183" t="s">
        <v>114</v>
      </c>
    </row>
    <row r="184" spans="1:17" x14ac:dyDescent="0.25">
      <c r="A184" t="s">
        <v>1002</v>
      </c>
      <c r="B184">
        <v>31.661684784999998</v>
      </c>
      <c r="C184">
        <v>1.303913619</v>
      </c>
      <c r="D184">
        <v>5.3332122699999998</v>
      </c>
      <c r="E184">
        <v>-31.661684784999998</v>
      </c>
      <c r="F184">
        <v>1.303913619</v>
      </c>
      <c r="G184">
        <v>5.3332122699999998</v>
      </c>
      <c r="H184">
        <v>1103.98918928378</v>
      </c>
      <c r="I184">
        <v>1.0945836371444501E-2</v>
      </c>
      <c r="J184">
        <v>7.1569837768872997</v>
      </c>
      <c r="K184">
        <v>1103.98918928378</v>
      </c>
      <c r="L184">
        <v>1.0945836371444501E-2</v>
      </c>
      <c r="M184">
        <v>7.1569837768872997</v>
      </c>
      <c r="N184" t="s">
        <v>114</v>
      </c>
      <c r="O184" t="s">
        <v>114</v>
      </c>
      <c r="P184" t="s">
        <v>114</v>
      </c>
      <c r="Q184" t="s">
        <v>114</v>
      </c>
    </row>
    <row r="185" spans="1:17" x14ac:dyDescent="0.25">
      <c r="A185" t="s">
        <v>1003</v>
      </c>
      <c r="B185">
        <v>33.874463230000003</v>
      </c>
      <c r="C185" t="s">
        <v>114</v>
      </c>
      <c r="D185">
        <v>4.0812668966666701</v>
      </c>
      <c r="E185">
        <v>-26.221215783333299</v>
      </c>
      <c r="F185" t="s">
        <v>114</v>
      </c>
      <c r="G185">
        <v>-0.445568143333333</v>
      </c>
      <c r="H185">
        <v>467.579721400361</v>
      </c>
      <c r="I185" t="s">
        <v>114</v>
      </c>
      <c r="J185">
        <v>4.9908587259627897</v>
      </c>
      <c r="K185">
        <v>1157.4703743471</v>
      </c>
      <c r="L185" t="s">
        <v>114</v>
      </c>
      <c r="M185">
        <v>29.678171493173299</v>
      </c>
      <c r="N185" t="s">
        <v>114</v>
      </c>
      <c r="O185" t="s">
        <v>114</v>
      </c>
      <c r="P185" t="s">
        <v>114</v>
      </c>
      <c r="Q185" t="s">
        <v>114</v>
      </c>
    </row>
    <row r="186" spans="1:17" x14ac:dyDescent="0.25">
      <c r="A186" t="s">
        <v>1004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 t="s">
        <v>114</v>
      </c>
      <c r="I186" t="s">
        <v>114</v>
      </c>
      <c r="J186" t="s">
        <v>114</v>
      </c>
      <c r="K186" t="s">
        <v>114</v>
      </c>
      <c r="L186" t="s">
        <v>114</v>
      </c>
      <c r="M186" t="s">
        <v>114</v>
      </c>
      <c r="N186">
        <v>0</v>
      </c>
      <c r="O186">
        <v>0</v>
      </c>
      <c r="P186" t="s">
        <v>114</v>
      </c>
      <c r="Q186" t="s">
        <v>114</v>
      </c>
    </row>
    <row r="187" spans="1:17" x14ac:dyDescent="0.25">
      <c r="A187" t="s">
        <v>1005</v>
      </c>
      <c r="B187">
        <v>17.763751644999999</v>
      </c>
      <c r="C187">
        <v>0.66851159100000002</v>
      </c>
      <c r="D187">
        <v>7.9912752200000003</v>
      </c>
      <c r="E187">
        <v>-17.763751644999999</v>
      </c>
      <c r="F187">
        <v>0.66851159100000002</v>
      </c>
      <c r="G187">
        <v>7.9912752200000003</v>
      </c>
      <c r="H187">
        <v>105.619899290072</v>
      </c>
      <c r="I187">
        <v>0.229866758514709</v>
      </c>
      <c r="J187">
        <v>29.6846753499884</v>
      </c>
      <c r="K187">
        <v>105.619899290072</v>
      </c>
      <c r="L187">
        <v>0.229866758514709</v>
      </c>
      <c r="M187">
        <v>29.6846753499884</v>
      </c>
      <c r="N187">
        <v>0.58813364999999995</v>
      </c>
      <c r="O187">
        <v>0.58813364999999995</v>
      </c>
      <c r="P187">
        <v>2.3251878998645E-2</v>
      </c>
      <c r="Q187">
        <v>2.3251878998645E-2</v>
      </c>
    </row>
    <row r="188" spans="1:17" x14ac:dyDescent="0.25">
      <c r="A188" t="s">
        <v>1006</v>
      </c>
      <c r="B188">
        <v>18.663825760000002</v>
      </c>
      <c r="C188">
        <v>1.5594277780000001</v>
      </c>
      <c r="D188">
        <v>15.285372730000001</v>
      </c>
      <c r="E188">
        <v>-18.663825760000002</v>
      </c>
      <c r="F188">
        <v>1.5594277780000001</v>
      </c>
      <c r="G188">
        <v>15.285372730000001</v>
      </c>
      <c r="H188" t="s">
        <v>114</v>
      </c>
      <c r="I188" t="s">
        <v>114</v>
      </c>
      <c r="J188" t="s">
        <v>114</v>
      </c>
      <c r="K188" t="s">
        <v>114</v>
      </c>
      <c r="L188" t="s">
        <v>114</v>
      </c>
      <c r="M188" t="s">
        <v>114</v>
      </c>
      <c r="N188">
        <v>1.9981640000000001</v>
      </c>
      <c r="O188">
        <v>1.9981640000000001</v>
      </c>
      <c r="P188" t="s">
        <v>114</v>
      </c>
      <c r="Q188" t="s">
        <v>114</v>
      </c>
    </row>
    <row r="189" spans="1:17" x14ac:dyDescent="0.25">
      <c r="A189" t="s">
        <v>1007</v>
      </c>
      <c r="B189">
        <v>7.3194444433333299</v>
      </c>
      <c r="C189">
        <v>1.29714051033333</v>
      </c>
      <c r="D189">
        <v>1.9218113999999999</v>
      </c>
      <c r="E189">
        <v>3.11111111</v>
      </c>
      <c r="F189">
        <v>1.29714051033333</v>
      </c>
      <c r="G189">
        <v>1.9218113999999999</v>
      </c>
      <c r="H189">
        <v>61.958477981504601</v>
      </c>
      <c r="I189">
        <v>1.44664591899371</v>
      </c>
      <c r="J189">
        <v>2.8015822476687902</v>
      </c>
      <c r="K189">
        <v>127.801359911921</v>
      </c>
      <c r="L189">
        <v>1.44664591899371</v>
      </c>
      <c r="M189">
        <v>2.8015822476687902</v>
      </c>
      <c r="N189" t="s">
        <v>114</v>
      </c>
      <c r="O189" t="s">
        <v>114</v>
      </c>
      <c r="P189" t="s">
        <v>114</v>
      </c>
      <c r="Q189" t="s">
        <v>114</v>
      </c>
    </row>
    <row r="190" spans="1:17" x14ac:dyDescent="0.25">
      <c r="A190" t="s">
        <v>1008</v>
      </c>
      <c r="B190">
        <v>18.663825760000002</v>
      </c>
      <c r="C190">
        <v>1.5594277780000001</v>
      </c>
      <c r="D190">
        <v>15.285372730000001</v>
      </c>
      <c r="E190">
        <v>-18.663825760000002</v>
      </c>
      <c r="F190">
        <v>1.5594277780000001</v>
      </c>
      <c r="G190">
        <v>15.285372730000001</v>
      </c>
      <c r="H190" t="s">
        <v>114</v>
      </c>
      <c r="I190" t="s">
        <v>114</v>
      </c>
      <c r="J190" t="s">
        <v>114</v>
      </c>
      <c r="K190" t="s">
        <v>114</v>
      </c>
      <c r="L190" t="s">
        <v>114</v>
      </c>
      <c r="M190" t="s">
        <v>114</v>
      </c>
      <c r="N190">
        <v>1.9981640000000001</v>
      </c>
      <c r="O190">
        <v>1.9981640000000001</v>
      </c>
      <c r="P190" t="s">
        <v>114</v>
      </c>
      <c r="Q190" t="s">
        <v>114</v>
      </c>
    </row>
    <row r="191" spans="1:17" x14ac:dyDescent="0.25">
      <c r="A191" t="s">
        <v>1009</v>
      </c>
      <c r="B191">
        <v>44.774886879999997</v>
      </c>
      <c r="C191">
        <v>1.686176111</v>
      </c>
      <c r="D191">
        <v>8.3051498699999993</v>
      </c>
      <c r="E191">
        <v>-32.341919849999996</v>
      </c>
      <c r="F191">
        <v>-1.686176111</v>
      </c>
      <c r="G191">
        <v>-8.3051498699999993</v>
      </c>
      <c r="H191">
        <v>2091.9995591676502</v>
      </c>
      <c r="I191">
        <v>4.9067340897632699</v>
      </c>
      <c r="J191">
        <v>18.476658985201901</v>
      </c>
      <c r="K191">
        <v>4009.58099023359</v>
      </c>
      <c r="L191">
        <v>4.9067340897632699</v>
      </c>
      <c r="M191">
        <v>18.476658985201901</v>
      </c>
      <c r="N191" t="s">
        <v>114</v>
      </c>
      <c r="O191" t="s">
        <v>114</v>
      </c>
      <c r="P191" t="s">
        <v>114</v>
      </c>
      <c r="Q191" t="s">
        <v>114</v>
      </c>
    </row>
    <row r="192" spans="1:17" x14ac:dyDescent="0.25">
      <c r="A192" t="s">
        <v>1010</v>
      </c>
      <c r="B192">
        <v>38.558403364999997</v>
      </c>
      <c r="C192">
        <v>2.2434222225</v>
      </c>
      <c r="D192">
        <v>6.4267455050000004</v>
      </c>
      <c r="E192">
        <v>-19.592331935000001</v>
      </c>
      <c r="F192">
        <v>2.2434222225</v>
      </c>
      <c r="G192">
        <v>6.4267455050000004</v>
      </c>
      <c r="H192">
        <v>767.71894130244198</v>
      </c>
      <c r="I192">
        <v>7.18241071560445E-3</v>
      </c>
      <c r="J192">
        <v>13.8637341615051</v>
      </c>
      <c r="K192">
        <v>2973.5009401160901</v>
      </c>
      <c r="L192">
        <v>7.18241071560445E-3</v>
      </c>
      <c r="M192">
        <v>13.8637341615051</v>
      </c>
      <c r="N192" t="s">
        <v>114</v>
      </c>
      <c r="O192" t="s">
        <v>114</v>
      </c>
      <c r="P192" t="s">
        <v>114</v>
      </c>
      <c r="Q192" t="s">
        <v>114</v>
      </c>
    </row>
    <row r="193" spans="1:17" x14ac:dyDescent="0.25">
      <c r="A193" t="s">
        <v>1011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 t="s">
        <v>114</v>
      </c>
      <c r="I193" t="s">
        <v>114</v>
      </c>
      <c r="J193" t="s">
        <v>114</v>
      </c>
      <c r="K193" t="s">
        <v>114</v>
      </c>
      <c r="L193" t="s">
        <v>114</v>
      </c>
      <c r="M193" t="s">
        <v>114</v>
      </c>
      <c r="N193">
        <v>0</v>
      </c>
      <c r="O193">
        <v>0</v>
      </c>
      <c r="P193" t="s">
        <v>114</v>
      </c>
      <c r="Q193" t="s">
        <v>114</v>
      </c>
    </row>
    <row r="194" spans="1:17" x14ac:dyDescent="0.25">
      <c r="A194" t="s">
        <v>1012</v>
      </c>
      <c r="B194">
        <v>34.276620370000003</v>
      </c>
      <c r="C194">
        <v>1.4628597225</v>
      </c>
      <c r="D194">
        <v>8.0964593649999994</v>
      </c>
      <c r="E194">
        <v>-34.276620370000003</v>
      </c>
      <c r="F194">
        <v>1.4628597225</v>
      </c>
      <c r="G194">
        <v>8.0964593649999994</v>
      </c>
      <c r="H194">
        <v>428.05212622194801</v>
      </c>
      <c r="I194">
        <v>0.170034229127912</v>
      </c>
      <c r="J194">
        <v>0.79854260887252904</v>
      </c>
      <c r="K194">
        <v>428.05212622194801</v>
      </c>
      <c r="L194">
        <v>0.170034229127912</v>
      </c>
      <c r="M194">
        <v>0.79854260887252904</v>
      </c>
      <c r="N194">
        <v>1.490935785</v>
      </c>
      <c r="O194">
        <v>1.490935785</v>
      </c>
      <c r="P194">
        <v>0.38177769900328201</v>
      </c>
      <c r="Q194">
        <v>0.38177769900328201</v>
      </c>
    </row>
    <row r="195" spans="1:17" x14ac:dyDescent="0.25">
      <c r="A195" t="s">
        <v>1013</v>
      </c>
      <c r="B195">
        <v>13.472380952</v>
      </c>
      <c r="C195">
        <v>1.7180545338</v>
      </c>
      <c r="D195">
        <v>3.7444439140000001</v>
      </c>
      <c r="E195">
        <v>10.947380952</v>
      </c>
      <c r="F195">
        <v>1.7180545338</v>
      </c>
      <c r="G195">
        <v>3.7444439140000001</v>
      </c>
      <c r="H195">
        <v>108.941946499735</v>
      </c>
      <c r="I195">
        <v>1.0565756431247</v>
      </c>
      <c r="J195">
        <v>10.960809318265399</v>
      </c>
      <c r="K195">
        <v>186.016820009235</v>
      </c>
      <c r="L195">
        <v>1.0565756431247</v>
      </c>
      <c r="M195">
        <v>10.960809318265399</v>
      </c>
      <c r="N195" t="s">
        <v>114</v>
      </c>
      <c r="O195" t="s">
        <v>114</v>
      </c>
      <c r="P195" t="s">
        <v>114</v>
      </c>
      <c r="Q195" t="s">
        <v>114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719"/>
  <sheetViews>
    <sheetView workbookViewId="0">
      <selection activeCell="R34" sqref="A1:AA719"/>
    </sheetView>
  </sheetViews>
  <sheetFormatPr defaultRowHeight="15" x14ac:dyDescent="0.25"/>
  <sheetData>
    <row r="1" spans="1:27" x14ac:dyDescent="0.25">
      <c r="A1" t="s">
        <v>96</v>
      </c>
      <c r="B1" t="s">
        <v>796</v>
      </c>
      <c r="C1" t="s">
        <v>146</v>
      </c>
      <c r="D1" t="s">
        <v>1</v>
      </c>
      <c r="E1" t="s">
        <v>2</v>
      </c>
      <c r="F1" t="s">
        <v>97</v>
      </c>
      <c r="G1" t="s">
        <v>101</v>
      </c>
      <c r="H1" t="s">
        <v>231</v>
      </c>
      <c r="I1" t="s">
        <v>8</v>
      </c>
      <c r="J1" t="s">
        <v>230</v>
      </c>
      <c r="K1" t="s">
        <v>232</v>
      </c>
      <c r="L1" t="s">
        <v>814</v>
      </c>
      <c r="M1" t="s">
        <v>815</v>
      </c>
      <c r="N1" t="s">
        <v>816</v>
      </c>
      <c r="O1" t="s">
        <v>1038</v>
      </c>
      <c r="P1" t="s">
        <v>817</v>
      </c>
      <c r="Q1" t="s">
        <v>818</v>
      </c>
      <c r="R1" t="s">
        <v>819</v>
      </c>
      <c r="S1" t="s">
        <v>1039</v>
      </c>
      <c r="T1" t="s">
        <v>1014</v>
      </c>
      <c r="U1" t="s">
        <v>1015</v>
      </c>
      <c r="V1" t="s">
        <v>1016</v>
      </c>
      <c r="W1" t="s">
        <v>1017</v>
      </c>
      <c r="X1" t="s">
        <v>1018</v>
      </c>
      <c r="Y1" t="s">
        <v>1019</v>
      </c>
      <c r="Z1" t="s">
        <v>1040</v>
      </c>
      <c r="AA1" t="s">
        <v>1041</v>
      </c>
    </row>
    <row r="2" spans="1:27" x14ac:dyDescent="0.25">
      <c r="A2" t="s">
        <v>67</v>
      </c>
      <c r="B2" t="s">
        <v>820</v>
      </c>
      <c r="C2">
        <v>10</v>
      </c>
      <c r="D2" t="s">
        <v>11</v>
      </c>
      <c r="E2" t="s">
        <v>94</v>
      </c>
      <c r="F2" t="s">
        <v>113</v>
      </c>
      <c r="G2" t="s">
        <v>121</v>
      </c>
      <c r="H2" t="s">
        <v>113</v>
      </c>
      <c r="J2">
        <v>0</v>
      </c>
      <c r="K2">
        <v>2</v>
      </c>
      <c r="L2">
        <v>83.757575759999995</v>
      </c>
      <c r="M2">
        <v>22.60997987</v>
      </c>
      <c r="N2">
        <v>0.72884000000000004</v>
      </c>
      <c r="O2">
        <v>0.21301339999999999</v>
      </c>
      <c r="P2">
        <v>83.757575759999995</v>
      </c>
      <c r="Q2">
        <v>22.60997987</v>
      </c>
      <c r="R2">
        <v>0.72884000000000004</v>
      </c>
      <c r="S2">
        <v>0.21301339999999999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</row>
    <row r="3" spans="1:27" x14ac:dyDescent="0.25">
      <c r="A3" t="s">
        <v>67</v>
      </c>
      <c r="B3" t="s">
        <v>820</v>
      </c>
      <c r="C3">
        <v>10</v>
      </c>
      <c r="D3" t="s">
        <v>11</v>
      </c>
      <c r="E3" t="s">
        <v>94</v>
      </c>
      <c r="F3" t="s">
        <v>113</v>
      </c>
      <c r="G3" t="s">
        <v>121</v>
      </c>
      <c r="H3" t="s">
        <v>113</v>
      </c>
      <c r="J3">
        <v>0</v>
      </c>
      <c r="K3">
        <v>2</v>
      </c>
      <c r="L3">
        <v>83.757575759999995</v>
      </c>
      <c r="M3">
        <v>22.60997987</v>
      </c>
      <c r="N3">
        <v>0.72884000000000004</v>
      </c>
      <c r="O3">
        <v>0.21301339999999999</v>
      </c>
      <c r="P3">
        <v>83.757575759999995</v>
      </c>
      <c r="Q3">
        <v>22.60997987</v>
      </c>
      <c r="R3">
        <v>0.72884000000000004</v>
      </c>
      <c r="S3">
        <v>0.21301339999999999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</row>
    <row r="4" spans="1:27" x14ac:dyDescent="0.25">
      <c r="A4" t="s">
        <v>67</v>
      </c>
      <c r="B4" t="s">
        <v>820</v>
      </c>
      <c r="C4">
        <v>10</v>
      </c>
      <c r="D4" t="s">
        <v>11</v>
      </c>
      <c r="E4" t="s">
        <v>94</v>
      </c>
      <c r="F4" t="s">
        <v>113</v>
      </c>
      <c r="G4" t="s">
        <v>121</v>
      </c>
      <c r="H4" t="s">
        <v>248</v>
      </c>
      <c r="J4">
        <v>0</v>
      </c>
      <c r="K4">
        <v>1</v>
      </c>
      <c r="L4">
        <v>83.757575759999995</v>
      </c>
      <c r="M4">
        <v>22.60997987</v>
      </c>
      <c r="N4">
        <v>0.72884000000000004</v>
      </c>
      <c r="O4">
        <v>0.21301339999999999</v>
      </c>
      <c r="P4">
        <v>83.92307692</v>
      </c>
      <c r="Q4">
        <v>44.319135699999997</v>
      </c>
      <c r="R4">
        <v>5.9548609999999997E-3</v>
      </c>
      <c r="S4">
        <v>0.18017928</v>
      </c>
      <c r="T4">
        <v>-0.16550116000000001</v>
      </c>
      <c r="U4">
        <v>0.16550116000000001</v>
      </c>
      <c r="V4">
        <v>-21.70915583</v>
      </c>
      <c r="W4">
        <v>21.70915583</v>
      </c>
      <c r="X4">
        <v>0.72288513899999995</v>
      </c>
      <c r="Y4">
        <v>0.72288513899999995</v>
      </c>
      <c r="Z4">
        <v>3.2834119999999994E-2</v>
      </c>
      <c r="AA4">
        <v>3.2834119999999994E-2</v>
      </c>
    </row>
    <row r="5" spans="1:27" x14ac:dyDescent="0.25">
      <c r="A5" t="s">
        <v>67</v>
      </c>
      <c r="B5" t="s">
        <v>821</v>
      </c>
      <c r="C5">
        <v>10</v>
      </c>
      <c r="D5" t="s">
        <v>11</v>
      </c>
      <c r="E5" t="s">
        <v>94</v>
      </c>
      <c r="F5" t="s">
        <v>103</v>
      </c>
      <c r="G5" t="s">
        <v>121</v>
      </c>
      <c r="H5" t="s">
        <v>103</v>
      </c>
      <c r="J5">
        <v>0</v>
      </c>
      <c r="K5">
        <v>1</v>
      </c>
      <c r="L5">
        <v>98.291666669999998</v>
      </c>
      <c r="M5">
        <v>30.315130790000001</v>
      </c>
      <c r="N5">
        <v>5.0803484000000003E-2</v>
      </c>
      <c r="O5">
        <v>0.42866070000000001</v>
      </c>
      <c r="P5">
        <v>98.291666669999998</v>
      </c>
      <c r="Q5">
        <v>30.315130790000001</v>
      </c>
      <c r="R5">
        <v>5.0803484000000003E-2</v>
      </c>
      <c r="S5">
        <v>0.42866070000000001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</row>
    <row r="6" spans="1:27" x14ac:dyDescent="0.25">
      <c r="A6" t="s">
        <v>67</v>
      </c>
      <c r="B6" t="s">
        <v>822</v>
      </c>
      <c r="C6">
        <v>10</v>
      </c>
      <c r="D6" t="s">
        <v>11</v>
      </c>
      <c r="E6" t="s">
        <v>94</v>
      </c>
      <c r="F6" t="s">
        <v>112</v>
      </c>
      <c r="G6" t="s">
        <v>121</v>
      </c>
      <c r="H6" t="s">
        <v>235</v>
      </c>
      <c r="J6">
        <v>0</v>
      </c>
      <c r="K6">
        <v>1</v>
      </c>
      <c r="L6">
        <v>65.09375</v>
      </c>
      <c r="M6">
        <v>37.895352600000002</v>
      </c>
      <c r="N6">
        <v>2.2882677779999998</v>
      </c>
      <c r="O6">
        <v>2.2111774</v>
      </c>
      <c r="P6">
        <v>132.27272730000001</v>
      </c>
      <c r="Q6">
        <v>20.180448590000001</v>
      </c>
      <c r="R6">
        <v>3.7813451999999997E-2</v>
      </c>
      <c r="S6">
        <v>0.41404401000000002</v>
      </c>
      <c r="T6">
        <v>-67.1789773</v>
      </c>
      <c r="U6">
        <v>67.1789773</v>
      </c>
      <c r="V6">
        <v>17.714904010000001</v>
      </c>
      <c r="W6">
        <v>17.714904010000001</v>
      </c>
      <c r="X6">
        <v>2.2504543259999998</v>
      </c>
      <c r="Y6">
        <v>2.2504543259999998</v>
      </c>
      <c r="Z6">
        <v>1.7971333899999999</v>
      </c>
      <c r="AA6">
        <v>1.7971333899999999</v>
      </c>
    </row>
    <row r="7" spans="1:27" x14ac:dyDescent="0.25">
      <c r="A7" t="s">
        <v>67</v>
      </c>
      <c r="B7" t="s">
        <v>822</v>
      </c>
      <c r="C7">
        <v>10</v>
      </c>
      <c r="D7" t="s">
        <v>11</v>
      </c>
      <c r="E7" t="s">
        <v>94</v>
      </c>
      <c r="F7" t="s">
        <v>112</v>
      </c>
      <c r="G7" t="s">
        <v>121</v>
      </c>
      <c r="H7" t="s">
        <v>248</v>
      </c>
      <c r="J7">
        <v>0</v>
      </c>
      <c r="K7">
        <v>2</v>
      </c>
      <c r="L7">
        <v>65.09375</v>
      </c>
      <c r="M7">
        <v>37.895352600000002</v>
      </c>
      <c r="N7">
        <v>2.2882677779999998</v>
      </c>
      <c r="O7">
        <v>2.2111774</v>
      </c>
      <c r="P7">
        <v>83.92307692</v>
      </c>
      <c r="Q7">
        <v>44.319135699999997</v>
      </c>
      <c r="R7">
        <v>5.9548609999999997E-3</v>
      </c>
      <c r="S7">
        <v>0.18017928</v>
      </c>
      <c r="T7">
        <v>-18.82932692</v>
      </c>
      <c r="U7">
        <v>18.82932692</v>
      </c>
      <c r="V7">
        <v>-6.4237830999999996</v>
      </c>
      <c r="W7">
        <v>6.4237830999999996</v>
      </c>
      <c r="X7">
        <v>2.2823129170000001</v>
      </c>
      <c r="Y7">
        <v>2.2823129170000001</v>
      </c>
      <c r="Z7">
        <v>2.03099812</v>
      </c>
      <c r="AA7">
        <v>2.03099812</v>
      </c>
    </row>
    <row r="8" spans="1:27" x14ac:dyDescent="0.25">
      <c r="A8" t="s">
        <v>67</v>
      </c>
      <c r="B8" t="s">
        <v>822</v>
      </c>
      <c r="C8">
        <v>10</v>
      </c>
      <c r="D8" t="s">
        <v>11</v>
      </c>
      <c r="E8" t="s">
        <v>94</v>
      </c>
      <c r="F8" t="s">
        <v>112</v>
      </c>
      <c r="G8" t="s">
        <v>121</v>
      </c>
      <c r="H8" t="s">
        <v>248</v>
      </c>
      <c r="J8">
        <v>0</v>
      </c>
      <c r="K8">
        <v>2</v>
      </c>
      <c r="L8">
        <v>65.09375</v>
      </c>
      <c r="M8">
        <v>37.895352600000002</v>
      </c>
      <c r="N8">
        <v>2.2882677779999998</v>
      </c>
      <c r="O8">
        <v>2.2111774</v>
      </c>
      <c r="P8">
        <v>83.92307692</v>
      </c>
      <c r="Q8">
        <v>44.319135699999997</v>
      </c>
      <c r="R8">
        <v>5.9548609999999997E-3</v>
      </c>
      <c r="S8">
        <v>0.18017928</v>
      </c>
      <c r="T8">
        <v>-18.82932692</v>
      </c>
      <c r="U8">
        <v>18.82932692</v>
      </c>
      <c r="V8">
        <v>-6.4237830999999996</v>
      </c>
      <c r="W8">
        <v>6.4237830999999996</v>
      </c>
      <c r="X8">
        <v>2.2823129170000001</v>
      </c>
      <c r="Y8">
        <v>2.2823129170000001</v>
      </c>
      <c r="Z8">
        <v>2.03099812</v>
      </c>
      <c r="AA8">
        <v>2.03099812</v>
      </c>
    </row>
    <row r="9" spans="1:27" x14ac:dyDescent="0.25">
      <c r="A9" t="s">
        <v>68</v>
      </c>
      <c r="B9" t="s">
        <v>823</v>
      </c>
      <c r="C9">
        <v>10</v>
      </c>
      <c r="D9" t="s">
        <v>15</v>
      </c>
      <c r="E9" t="s">
        <v>95</v>
      </c>
      <c r="F9" t="s">
        <v>113</v>
      </c>
      <c r="G9" t="s">
        <v>121</v>
      </c>
      <c r="H9" t="s">
        <v>113</v>
      </c>
      <c r="J9">
        <v>0</v>
      </c>
      <c r="K9">
        <v>1</v>
      </c>
      <c r="L9">
        <v>83.757575759999995</v>
      </c>
      <c r="M9">
        <v>22.60997987</v>
      </c>
      <c r="N9">
        <v>0.72884000000000004</v>
      </c>
      <c r="O9">
        <v>0.21301339999999999</v>
      </c>
      <c r="P9">
        <v>83.757575759999995</v>
      </c>
      <c r="Q9">
        <v>22.60997987</v>
      </c>
      <c r="R9">
        <v>0.72884000000000004</v>
      </c>
      <c r="S9">
        <v>0.21301339999999999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</row>
    <row r="10" spans="1:27" x14ac:dyDescent="0.25">
      <c r="A10" t="s">
        <v>68</v>
      </c>
      <c r="B10" t="s">
        <v>824</v>
      </c>
      <c r="C10">
        <v>10</v>
      </c>
      <c r="D10" t="s">
        <v>15</v>
      </c>
      <c r="E10" t="s">
        <v>95</v>
      </c>
      <c r="F10" t="s">
        <v>110</v>
      </c>
      <c r="G10" t="s">
        <v>113</v>
      </c>
      <c r="H10" t="s">
        <v>113</v>
      </c>
      <c r="J10">
        <v>0</v>
      </c>
      <c r="K10">
        <v>2</v>
      </c>
      <c r="L10">
        <v>73.260869569999997</v>
      </c>
      <c r="M10">
        <v>34.453830549999999</v>
      </c>
      <c r="N10">
        <v>1.058333333</v>
      </c>
      <c r="O10">
        <v>0.90897070000000002</v>
      </c>
      <c r="P10">
        <v>83.757575759999995</v>
      </c>
      <c r="Q10">
        <v>22.60997987</v>
      </c>
      <c r="R10">
        <v>0.72884000000000004</v>
      </c>
      <c r="S10">
        <v>0.21301339999999999</v>
      </c>
      <c r="T10">
        <v>-10.496706189999999</v>
      </c>
      <c r="U10">
        <v>10.496706189999999</v>
      </c>
      <c r="V10">
        <v>11.843850679999999</v>
      </c>
      <c r="W10">
        <v>11.843850679999999</v>
      </c>
      <c r="X10">
        <v>0.329493333</v>
      </c>
      <c r="Y10">
        <v>0.329493333</v>
      </c>
      <c r="Z10">
        <v>0.6959573</v>
      </c>
      <c r="AA10">
        <v>0.6959573</v>
      </c>
    </row>
    <row r="11" spans="1:27" x14ac:dyDescent="0.25">
      <c r="A11" t="s">
        <v>68</v>
      </c>
      <c r="B11" t="s">
        <v>824</v>
      </c>
      <c r="C11">
        <v>10</v>
      </c>
      <c r="D11" t="s">
        <v>15</v>
      </c>
      <c r="E11" t="s">
        <v>95</v>
      </c>
      <c r="F11" t="s">
        <v>110</v>
      </c>
      <c r="G11" t="s">
        <v>113</v>
      </c>
      <c r="H11" t="s">
        <v>113</v>
      </c>
      <c r="J11">
        <v>0</v>
      </c>
      <c r="K11">
        <v>2</v>
      </c>
      <c r="L11">
        <v>73.260869569999997</v>
      </c>
      <c r="M11">
        <v>34.453830549999999</v>
      </c>
      <c r="N11">
        <v>1.058333333</v>
      </c>
      <c r="O11">
        <v>0.90897070000000002</v>
      </c>
      <c r="P11">
        <v>83.757575759999995</v>
      </c>
      <c r="Q11">
        <v>22.60997987</v>
      </c>
      <c r="R11">
        <v>0.72884000000000004</v>
      </c>
      <c r="S11">
        <v>0.21301339999999999</v>
      </c>
      <c r="T11">
        <v>-10.496706189999999</v>
      </c>
      <c r="U11">
        <v>10.496706189999999</v>
      </c>
      <c r="V11">
        <v>11.843850679999999</v>
      </c>
      <c r="W11">
        <v>11.843850679999999</v>
      </c>
      <c r="X11">
        <v>0.329493333</v>
      </c>
      <c r="Y11">
        <v>0.329493333</v>
      </c>
      <c r="Z11">
        <v>0.6959573</v>
      </c>
      <c r="AA11">
        <v>0.6959573</v>
      </c>
    </row>
    <row r="12" spans="1:27" x14ac:dyDescent="0.25">
      <c r="A12" t="s">
        <v>68</v>
      </c>
      <c r="B12" t="s">
        <v>825</v>
      </c>
      <c r="C12">
        <v>10</v>
      </c>
      <c r="D12" t="s">
        <v>15</v>
      </c>
      <c r="E12" t="s">
        <v>95</v>
      </c>
      <c r="F12" t="s">
        <v>111</v>
      </c>
      <c r="G12" t="s">
        <v>121</v>
      </c>
      <c r="H12" t="s">
        <v>239</v>
      </c>
      <c r="J12">
        <v>0</v>
      </c>
      <c r="K12">
        <v>1</v>
      </c>
      <c r="L12">
        <v>94.97142857</v>
      </c>
      <c r="M12">
        <v>24.31591813</v>
      </c>
      <c r="N12">
        <v>0.122951111</v>
      </c>
      <c r="O12">
        <v>0.39050790000000002</v>
      </c>
      <c r="P12">
        <v>100.45454549999999</v>
      </c>
      <c r="Q12">
        <v>26.754810689999999</v>
      </c>
      <c r="R12">
        <v>0.75829999999999997</v>
      </c>
      <c r="S12">
        <v>0.40907861000000001</v>
      </c>
      <c r="T12">
        <v>-5.4831169299999996</v>
      </c>
      <c r="U12">
        <v>5.4831169299999996</v>
      </c>
      <c r="V12">
        <v>-2.4388925600000002</v>
      </c>
      <c r="W12">
        <v>2.4388925600000002</v>
      </c>
      <c r="X12">
        <v>-0.63534888899999997</v>
      </c>
      <c r="Y12">
        <v>0.63534888899999997</v>
      </c>
      <c r="Z12">
        <v>-1.857070999999999E-2</v>
      </c>
      <c r="AA12">
        <v>1.857070999999999E-2</v>
      </c>
    </row>
    <row r="13" spans="1:27" x14ac:dyDescent="0.25">
      <c r="A13" t="s">
        <v>68</v>
      </c>
      <c r="B13" t="s">
        <v>826</v>
      </c>
      <c r="C13">
        <v>10</v>
      </c>
      <c r="D13" t="s">
        <v>15</v>
      </c>
      <c r="E13" t="s">
        <v>95</v>
      </c>
      <c r="F13" t="s">
        <v>104</v>
      </c>
      <c r="G13" t="s">
        <v>121</v>
      </c>
      <c r="H13" t="s">
        <v>114</v>
      </c>
      <c r="I13" t="s">
        <v>161</v>
      </c>
      <c r="J13">
        <v>1</v>
      </c>
      <c r="K13">
        <v>0</v>
      </c>
      <c r="L13">
        <v>113.9375</v>
      </c>
      <c r="M13">
        <v>33.375507550000002</v>
      </c>
      <c r="N13">
        <v>2.4262999999999999</v>
      </c>
      <c r="O13">
        <v>0.40692159999999999</v>
      </c>
      <c r="P13" t="s">
        <v>114</v>
      </c>
      <c r="Q13" t="s">
        <v>114</v>
      </c>
      <c r="R13" t="s">
        <v>114</v>
      </c>
      <c r="S13" t="s">
        <v>114</v>
      </c>
      <c r="T13" t="s">
        <v>114</v>
      </c>
      <c r="U13" t="s">
        <v>114</v>
      </c>
      <c r="V13" t="s">
        <v>114</v>
      </c>
      <c r="W13" t="s">
        <v>114</v>
      </c>
      <c r="X13" t="s">
        <v>114</v>
      </c>
      <c r="Y13" t="s">
        <v>114</v>
      </c>
      <c r="Z13" t="s">
        <v>114</v>
      </c>
      <c r="AA13" t="s">
        <v>114</v>
      </c>
    </row>
    <row r="14" spans="1:27" x14ac:dyDescent="0.25">
      <c r="A14" t="s">
        <v>69</v>
      </c>
      <c r="B14" t="s">
        <v>827</v>
      </c>
      <c r="C14">
        <v>10</v>
      </c>
      <c r="D14" t="s">
        <v>17</v>
      </c>
      <c r="E14" t="s">
        <v>95</v>
      </c>
      <c r="F14" t="s">
        <v>102</v>
      </c>
      <c r="G14" t="s">
        <v>102</v>
      </c>
      <c r="H14" t="s">
        <v>102</v>
      </c>
      <c r="J14">
        <v>0</v>
      </c>
      <c r="K14">
        <v>1</v>
      </c>
      <c r="L14">
        <v>84.740740740000007</v>
      </c>
      <c r="M14">
        <v>29.167014049999999</v>
      </c>
      <c r="N14">
        <v>1.1169849999999999</v>
      </c>
      <c r="O14">
        <v>1.1571499000000001</v>
      </c>
      <c r="P14">
        <v>84.740740740000007</v>
      </c>
      <c r="Q14">
        <v>29.167014049999999</v>
      </c>
      <c r="R14">
        <v>1.1169849999999999</v>
      </c>
      <c r="S14">
        <v>1.1571499000000001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</row>
    <row r="15" spans="1:27" x14ac:dyDescent="0.25">
      <c r="A15" t="s">
        <v>69</v>
      </c>
      <c r="B15" t="s">
        <v>827</v>
      </c>
      <c r="C15">
        <v>10</v>
      </c>
      <c r="D15" t="s">
        <v>17</v>
      </c>
      <c r="E15" t="s">
        <v>95</v>
      </c>
      <c r="F15" t="s">
        <v>102</v>
      </c>
      <c r="G15" t="s">
        <v>102</v>
      </c>
      <c r="H15" t="s">
        <v>235</v>
      </c>
      <c r="J15">
        <v>0</v>
      </c>
      <c r="K15">
        <v>2</v>
      </c>
      <c r="L15">
        <v>84.740740740000007</v>
      </c>
      <c r="M15">
        <v>29.167014049999999</v>
      </c>
      <c r="N15">
        <v>1.1169849999999999</v>
      </c>
      <c r="O15">
        <v>1.1571499000000001</v>
      </c>
      <c r="P15">
        <v>132.27272730000001</v>
      </c>
      <c r="Q15">
        <v>20.180448590000001</v>
      </c>
      <c r="R15">
        <v>3.7813451999999997E-2</v>
      </c>
      <c r="S15">
        <v>0.41404401000000002</v>
      </c>
      <c r="T15">
        <v>-47.53198656</v>
      </c>
      <c r="U15">
        <v>47.53198656</v>
      </c>
      <c r="V15">
        <v>8.9865654599999996</v>
      </c>
      <c r="W15">
        <v>8.9865654599999996</v>
      </c>
      <c r="X15">
        <v>1.0791715479999999</v>
      </c>
      <c r="Y15">
        <v>1.0791715479999999</v>
      </c>
      <c r="Z15">
        <v>0.74310589000000005</v>
      </c>
      <c r="AA15">
        <v>0.74310589000000005</v>
      </c>
    </row>
    <row r="16" spans="1:27" x14ac:dyDescent="0.25">
      <c r="A16" t="s">
        <v>69</v>
      </c>
      <c r="B16" t="s">
        <v>827</v>
      </c>
      <c r="C16">
        <v>10</v>
      </c>
      <c r="D16" t="s">
        <v>17</v>
      </c>
      <c r="E16" t="s">
        <v>95</v>
      </c>
      <c r="F16" t="s">
        <v>102</v>
      </c>
      <c r="G16" t="s">
        <v>102</v>
      </c>
      <c r="H16" t="s">
        <v>235</v>
      </c>
      <c r="J16">
        <v>0</v>
      </c>
      <c r="K16">
        <v>2</v>
      </c>
      <c r="L16">
        <v>84.740740740000007</v>
      </c>
      <c r="M16">
        <v>29.167014049999999</v>
      </c>
      <c r="N16">
        <v>1.1169849999999999</v>
      </c>
      <c r="O16">
        <v>1.1571499000000001</v>
      </c>
      <c r="P16">
        <v>132.27272730000001</v>
      </c>
      <c r="Q16">
        <v>20.180448590000001</v>
      </c>
      <c r="R16">
        <v>3.7813451999999997E-2</v>
      </c>
      <c r="S16">
        <v>0.41404401000000002</v>
      </c>
      <c r="T16">
        <v>-47.53198656</v>
      </c>
      <c r="U16">
        <v>47.53198656</v>
      </c>
      <c r="V16">
        <v>8.9865654599999996</v>
      </c>
      <c r="W16">
        <v>8.9865654599999996</v>
      </c>
      <c r="X16">
        <v>1.0791715479999999</v>
      </c>
      <c r="Y16">
        <v>1.0791715479999999</v>
      </c>
      <c r="Z16">
        <v>0.74310589000000005</v>
      </c>
      <c r="AA16">
        <v>0.74310589000000005</v>
      </c>
    </row>
    <row r="17" spans="1:27" x14ac:dyDescent="0.25">
      <c r="A17" t="s">
        <v>69</v>
      </c>
      <c r="B17" t="s">
        <v>828</v>
      </c>
      <c r="C17">
        <v>10</v>
      </c>
      <c r="D17" t="s">
        <v>17</v>
      </c>
      <c r="E17" t="s">
        <v>95</v>
      </c>
      <c r="F17" t="s">
        <v>113</v>
      </c>
      <c r="G17" t="s">
        <v>113</v>
      </c>
      <c r="H17" t="s">
        <v>113</v>
      </c>
      <c r="J17">
        <v>0</v>
      </c>
      <c r="K17">
        <v>1</v>
      </c>
      <c r="L17">
        <v>83.757575759999995</v>
      </c>
      <c r="M17">
        <v>22.60997987</v>
      </c>
      <c r="N17">
        <v>0.72884000000000004</v>
      </c>
      <c r="O17">
        <v>0.21301339999999999</v>
      </c>
      <c r="P17">
        <v>83.757575759999995</v>
      </c>
      <c r="Q17">
        <v>22.60997987</v>
      </c>
      <c r="R17">
        <v>0.72884000000000004</v>
      </c>
      <c r="S17">
        <v>0.21301339999999999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</row>
    <row r="18" spans="1:27" x14ac:dyDescent="0.25">
      <c r="A18" t="s">
        <v>69</v>
      </c>
      <c r="B18" t="s">
        <v>828</v>
      </c>
      <c r="C18">
        <v>10</v>
      </c>
      <c r="D18" t="s">
        <v>17</v>
      </c>
      <c r="E18" t="s">
        <v>95</v>
      </c>
      <c r="F18" t="s">
        <v>113</v>
      </c>
      <c r="G18" t="s">
        <v>113</v>
      </c>
      <c r="H18" t="s">
        <v>235</v>
      </c>
      <c r="J18">
        <v>0</v>
      </c>
      <c r="K18">
        <v>2</v>
      </c>
      <c r="L18">
        <v>83.757575759999995</v>
      </c>
      <c r="M18">
        <v>22.60997987</v>
      </c>
      <c r="N18">
        <v>0.72884000000000004</v>
      </c>
      <c r="O18">
        <v>0.21301339999999999</v>
      </c>
      <c r="P18">
        <v>132.27272730000001</v>
      </c>
      <c r="Q18">
        <v>20.180448590000001</v>
      </c>
      <c r="R18">
        <v>3.7813451999999997E-2</v>
      </c>
      <c r="S18">
        <v>0.41404401000000002</v>
      </c>
      <c r="T18">
        <v>-48.515151539999998</v>
      </c>
      <c r="U18">
        <v>48.515151539999998</v>
      </c>
      <c r="V18">
        <v>2.42953128</v>
      </c>
      <c r="W18">
        <v>2.42953128</v>
      </c>
      <c r="X18">
        <v>0.69102654799999996</v>
      </c>
      <c r="Y18">
        <v>0.69102654799999996</v>
      </c>
      <c r="Z18">
        <v>-0.20103061000000003</v>
      </c>
      <c r="AA18">
        <v>0.20103061000000003</v>
      </c>
    </row>
    <row r="19" spans="1:27" x14ac:dyDescent="0.25">
      <c r="A19" t="s">
        <v>69</v>
      </c>
      <c r="B19" t="s">
        <v>828</v>
      </c>
      <c r="C19">
        <v>10</v>
      </c>
      <c r="D19" t="s">
        <v>17</v>
      </c>
      <c r="E19" t="s">
        <v>95</v>
      </c>
      <c r="F19" t="s">
        <v>113</v>
      </c>
      <c r="G19" t="s">
        <v>113</v>
      </c>
      <c r="H19" t="s">
        <v>235</v>
      </c>
      <c r="J19">
        <v>0</v>
      </c>
      <c r="K19">
        <v>2</v>
      </c>
      <c r="L19">
        <v>83.757575759999995</v>
      </c>
      <c r="M19">
        <v>22.60997987</v>
      </c>
      <c r="N19">
        <v>0.72884000000000004</v>
      </c>
      <c r="O19">
        <v>0.21301339999999999</v>
      </c>
      <c r="P19">
        <v>132.27272730000001</v>
      </c>
      <c r="Q19">
        <v>20.180448590000001</v>
      </c>
      <c r="R19">
        <v>3.7813451999999997E-2</v>
      </c>
      <c r="S19">
        <v>0.41404401000000002</v>
      </c>
      <c r="T19">
        <v>-48.515151539999998</v>
      </c>
      <c r="U19">
        <v>48.515151539999998</v>
      </c>
      <c r="V19">
        <v>2.42953128</v>
      </c>
      <c r="W19">
        <v>2.42953128</v>
      </c>
      <c r="X19">
        <v>0.69102654799999996</v>
      </c>
      <c r="Y19">
        <v>0.69102654799999996</v>
      </c>
      <c r="Z19">
        <v>-0.20103061000000003</v>
      </c>
      <c r="AA19">
        <v>0.20103061000000003</v>
      </c>
    </row>
    <row r="20" spans="1:27" x14ac:dyDescent="0.25">
      <c r="A20" t="s">
        <v>69</v>
      </c>
      <c r="B20" t="s">
        <v>829</v>
      </c>
      <c r="C20">
        <v>10</v>
      </c>
      <c r="D20" t="s">
        <v>17</v>
      </c>
      <c r="E20" t="s">
        <v>95</v>
      </c>
      <c r="F20" t="s">
        <v>103</v>
      </c>
      <c r="G20" t="s">
        <v>103</v>
      </c>
      <c r="H20" t="s">
        <v>103</v>
      </c>
      <c r="J20">
        <v>0</v>
      </c>
      <c r="K20">
        <v>1</v>
      </c>
      <c r="L20">
        <v>98.291666669999998</v>
      </c>
      <c r="M20">
        <v>30.315130790000001</v>
      </c>
      <c r="N20">
        <v>5.0803484000000003E-2</v>
      </c>
      <c r="O20">
        <v>0.42866070000000001</v>
      </c>
      <c r="P20">
        <v>98.291666669999998</v>
      </c>
      <c r="Q20">
        <v>30.315130790000001</v>
      </c>
      <c r="R20">
        <v>5.0803484000000003E-2</v>
      </c>
      <c r="S20">
        <v>0.42866070000000001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</row>
    <row r="21" spans="1:27" x14ac:dyDescent="0.25">
      <c r="A21" t="s">
        <v>69</v>
      </c>
      <c r="B21" t="s">
        <v>829</v>
      </c>
      <c r="C21">
        <v>10</v>
      </c>
      <c r="D21" t="s">
        <v>17</v>
      </c>
      <c r="E21" t="s">
        <v>95</v>
      </c>
      <c r="F21" t="s">
        <v>103</v>
      </c>
      <c r="G21" t="s">
        <v>103</v>
      </c>
      <c r="H21" t="s">
        <v>241</v>
      </c>
      <c r="J21">
        <v>0</v>
      </c>
      <c r="K21">
        <v>1</v>
      </c>
      <c r="L21">
        <v>98.291666669999998</v>
      </c>
      <c r="M21">
        <v>30.315130790000001</v>
      </c>
      <c r="N21">
        <v>5.0803484000000003E-2</v>
      </c>
      <c r="O21">
        <v>0.42866070000000001</v>
      </c>
      <c r="P21">
        <v>114</v>
      </c>
      <c r="Q21">
        <v>30.43077242</v>
      </c>
      <c r="R21">
        <v>0.53383111100000002</v>
      </c>
      <c r="S21">
        <v>0.28333332999999999</v>
      </c>
      <c r="T21">
        <v>-15.70833333</v>
      </c>
      <c r="U21">
        <v>15.70833333</v>
      </c>
      <c r="V21">
        <v>-0.11564163</v>
      </c>
      <c r="W21">
        <v>0.11564163</v>
      </c>
      <c r="X21">
        <v>-0.48302762700000001</v>
      </c>
      <c r="Y21">
        <v>0.48302762700000001</v>
      </c>
      <c r="Z21">
        <v>0.14532737000000001</v>
      </c>
      <c r="AA21">
        <v>0.14532737000000001</v>
      </c>
    </row>
    <row r="22" spans="1:27" x14ac:dyDescent="0.25">
      <c r="A22" t="s">
        <v>69</v>
      </c>
      <c r="B22" t="s">
        <v>829</v>
      </c>
      <c r="C22">
        <v>10</v>
      </c>
      <c r="D22" t="s">
        <v>17</v>
      </c>
      <c r="E22" t="s">
        <v>95</v>
      </c>
      <c r="F22" t="s">
        <v>103</v>
      </c>
      <c r="G22" t="s">
        <v>103</v>
      </c>
      <c r="H22" t="s">
        <v>235</v>
      </c>
      <c r="J22">
        <v>0</v>
      </c>
      <c r="K22">
        <v>1</v>
      </c>
      <c r="L22">
        <v>98.291666669999998</v>
      </c>
      <c r="M22">
        <v>30.315130790000001</v>
      </c>
      <c r="N22">
        <v>5.0803484000000003E-2</v>
      </c>
      <c r="O22">
        <v>0.42866070000000001</v>
      </c>
      <c r="P22">
        <v>132.27272730000001</v>
      </c>
      <c r="Q22">
        <v>20.180448590000001</v>
      </c>
      <c r="R22">
        <v>3.7813451999999997E-2</v>
      </c>
      <c r="S22">
        <v>0.41404401000000002</v>
      </c>
      <c r="T22">
        <v>-33.981060630000002</v>
      </c>
      <c r="U22">
        <v>33.981060630000002</v>
      </c>
      <c r="V22">
        <v>10.1346822</v>
      </c>
      <c r="W22">
        <v>10.1346822</v>
      </c>
      <c r="X22">
        <v>1.2990032E-2</v>
      </c>
      <c r="Y22">
        <v>1.2990032E-2</v>
      </c>
      <c r="Z22">
        <v>1.4616689999999988E-2</v>
      </c>
      <c r="AA22">
        <v>1.4616689999999988E-2</v>
      </c>
    </row>
    <row r="23" spans="1:27" x14ac:dyDescent="0.25">
      <c r="A23" t="s">
        <v>69</v>
      </c>
      <c r="B23" t="s">
        <v>830</v>
      </c>
      <c r="C23">
        <v>10</v>
      </c>
      <c r="D23" t="s">
        <v>17</v>
      </c>
      <c r="E23" t="s">
        <v>95</v>
      </c>
      <c r="F23" t="s">
        <v>111</v>
      </c>
      <c r="G23" t="s">
        <v>121</v>
      </c>
      <c r="H23" t="s">
        <v>235</v>
      </c>
      <c r="J23">
        <v>0</v>
      </c>
      <c r="K23">
        <v>3</v>
      </c>
      <c r="L23">
        <v>94.97142857</v>
      </c>
      <c r="M23">
        <v>24.31591813</v>
      </c>
      <c r="N23">
        <v>0.122951111</v>
      </c>
      <c r="O23">
        <v>0.39050790000000002</v>
      </c>
      <c r="P23">
        <v>132.27272730000001</v>
      </c>
      <c r="Q23">
        <v>20.180448590000001</v>
      </c>
      <c r="R23">
        <v>3.7813451999999997E-2</v>
      </c>
      <c r="S23">
        <v>0.41404401000000002</v>
      </c>
      <c r="T23">
        <v>-37.301298729999999</v>
      </c>
      <c r="U23">
        <v>37.301298729999999</v>
      </c>
      <c r="V23">
        <v>4.1354695399999999</v>
      </c>
      <c r="W23">
        <v>4.1354695399999999</v>
      </c>
      <c r="X23">
        <v>8.5137659000000004E-2</v>
      </c>
      <c r="Y23">
        <v>8.5137659000000004E-2</v>
      </c>
      <c r="Z23">
        <v>-2.3536109999999999E-2</v>
      </c>
      <c r="AA23">
        <v>2.3536109999999999E-2</v>
      </c>
    </row>
    <row r="24" spans="1:27" x14ac:dyDescent="0.25">
      <c r="A24" t="s">
        <v>69</v>
      </c>
      <c r="B24" t="s">
        <v>830</v>
      </c>
      <c r="C24">
        <v>10</v>
      </c>
      <c r="D24" t="s">
        <v>17</v>
      </c>
      <c r="E24" t="s">
        <v>95</v>
      </c>
      <c r="F24" t="s">
        <v>111</v>
      </c>
      <c r="G24" t="s">
        <v>121</v>
      </c>
      <c r="H24" t="s">
        <v>235</v>
      </c>
      <c r="J24">
        <v>0</v>
      </c>
      <c r="K24">
        <v>3</v>
      </c>
      <c r="L24">
        <v>94.97142857</v>
      </c>
      <c r="M24">
        <v>24.31591813</v>
      </c>
      <c r="N24">
        <v>0.122951111</v>
      </c>
      <c r="O24">
        <v>0.39050790000000002</v>
      </c>
      <c r="P24">
        <v>132.27272730000001</v>
      </c>
      <c r="Q24">
        <v>20.180448590000001</v>
      </c>
      <c r="R24">
        <v>3.7813451999999997E-2</v>
      </c>
      <c r="S24">
        <v>0.41404401000000002</v>
      </c>
      <c r="T24">
        <v>-37.301298729999999</v>
      </c>
      <c r="U24">
        <v>37.301298729999999</v>
      </c>
      <c r="V24">
        <v>4.1354695399999999</v>
      </c>
      <c r="W24">
        <v>4.1354695399999999</v>
      </c>
      <c r="X24">
        <v>8.5137659000000004E-2</v>
      </c>
      <c r="Y24">
        <v>8.5137659000000004E-2</v>
      </c>
      <c r="Z24">
        <v>-2.3536109999999999E-2</v>
      </c>
      <c r="AA24">
        <v>2.3536109999999999E-2</v>
      </c>
    </row>
    <row r="25" spans="1:27" x14ac:dyDescent="0.25">
      <c r="A25" t="s">
        <v>69</v>
      </c>
      <c r="B25" t="s">
        <v>830</v>
      </c>
      <c r="C25">
        <v>10</v>
      </c>
      <c r="D25" t="s">
        <v>17</v>
      </c>
      <c r="E25" t="s">
        <v>95</v>
      </c>
      <c r="F25" t="s">
        <v>111</v>
      </c>
      <c r="G25" t="s">
        <v>121</v>
      </c>
      <c r="H25" t="s">
        <v>235</v>
      </c>
      <c r="J25">
        <v>0</v>
      </c>
      <c r="K25">
        <v>3</v>
      </c>
      <c r="L25">
        <v>94.97142857</v>
      </c>
      <c r="M25">
        <v>24.31591813</v>
      </c>
      <c r="N25">
        <v>0.122951111</v>
      </c>
      <c r="O25">
        <v>0.39050790000000002</v>
      </c>
      <c r="P25">
        <v>132.27272730000001</v>
      </c>
      <c r="Q25">
        <v>20.180448590000001</v>
      </c>
      <c r="R25">
        <v>3.7813451999999997E-2</v>
      </c>
      <c r="S25">
        <v>0.41404401000000002</v>
      </c>
      <c r="T25">
        <v>-37.301298729999999</v>
      </c>
      <c r="U25">
        <v>37.301298729999999</v>
      </c>
      <c r="V25">
        <v>4.1354695399999999</v>
      </c>
      <c r="W25">
        <v>4.1354695399999999</v>
      </c>
      <c r="X25">
        <v>8.5137659000000004E-2</v>
      </c>
      <c r="Y25">
        <v>8.5137659000000004E-2</v>
      </c>
      <c r="Z25">
        <v>-2.3536109999999999E-2</v>
      </c>
      <c r="AA25">
        <v>2.3536109999999999E-2</v>
      </c>
    </row>
    <row r="26" spans="1:27" x14ac:dyDescent="0.25">
      <c r="A26" t="s">
        <v>69</v>
      </c>
      <c r="B26" t="s">
        <v>831</v>
      </c>
      <c r="C26">
        <v>10</v>
      </c>
      <c r="D26" t="s">
        <v>17</v>
      </c>
      <c r="E26" t="s">
        <v>95</v>
      </c>
      <c r="F26" t="s">
        <v>112</v>
      </c>
      <c r="G26" t="s">
        <v>121</v>
      </c>
      <c r="H26" t="s">
        <v>235</v>
      </c>
      <c r="I26" t="s">
        <v>252</v>
      </c>
      <c r="J26">
        <v>1</v>
      </c>
      <c r="K26">
        <v>2</v>
      </c>
      <c r="L26">
        <v>65.09375</v>
      </c>
      <c r="M26">
        <v>37.895352600000002</v>
      </c>
      <c r="N26">
        <v>2.2882677779999998</v>
      </c>
      <c r="O26">
        <v>2.2111774</v>
      </c>
      <c r="P26">
        <v>132.27272730000001</v>
      </c>
      <c r="Q26">
        <v>20.180448590000001</v>
      </c>
      <c r="R26">
        <v>3.7813451999999997E-2</v>
      </c>
      <c r="S26">
        <v>0.41404401000000002</v>
      </c>
      <c r="T26">
        <v>-67.1789773</v>
      </c>
      <c r="U26">
        <v>67.1789773</v>
      </c>
      <c r="V26">
        <v>17.714904010000001</v>
      </c>
      <c r="W26">
        <v>17.714904010000001</v>
      </c>
      <c r="X26">
        <v>2.2504543259999998</v>
      </c>
      <c r="Y26">
        <v>2.2504543259999998</v>
      </c>
      <c r="Z26">
        <v>1.7971333899999999</v>
      </c>
      <c r="AA26">
        <v>1.7971333899999999</v>
      </c>
    </row>
    <row r="27" spans="1:27" x14ac:dyDescent="0.25">
      <c r="A27" t="s">
        <v>69</v>
      </c>
      <c r="B27" t="s">
        <v>831</v>
      </c>
      <c r="C27">
        <v>10</v>
      </c>
      <c r="D27" t="s">
        <v>17</v>
      </c>
      <c r="E27" t="s">
        <v>95</v>
      </c>
      <c r="F27" t="s">
        <v>112</v>
      </c>
      <c r="G27" t="s">
        <v>121</v>
      </c>
      <c r="H27" t="s">
        <v>235</v>
      </c>
      <c r="I27" t="s">
        <v>252</v>
      </c>
      <c r="J27">
        <v>1</v>
      </c>
      <c r="K27">
        <v>2</v>
      </c>
      <c r="L27">
        <v>65.09375</v>
      </c>
      <c r="M27">
        <v>37.895352600000002</v>
      </c>
      <c r="N27">
        <v>2.2882677779999998</v>
      </c>
      <c r="O27">
        <v>2.2111774</v>
      </c>
      <c r="P27">
        <v>132.27272730000001</v>
      </c>
      <c r="Q27">
        <v>20.180448590000001</v>
      </c>
      <c r="R27">
        <v>3.7813451999999997E-2</v>
      </c>
      <c r="S27">
        <v>0.41404401000000002</v>
      </c>
      <c r="T27">
        <v>-67.1789773</v>
      </c>
      <c r="U27">
        <v>67.1789773</v>
      </c>
      <c r="V27">
        <v>17.714904010000001</v>
      </c>
      <c r="W27">
        <v>17.714904010000001</v>
      </c>
      <c r="X27">
        <v>2.2504543259999998</v>
      </c>
      <c r="Y27">
        <v>2.2504543259999998</v>
      </c>
      <c r="Z27">
        <v>1.7971333899999999</v>
      </c>
      <c r="AA27">
        <v>1.7971333899999999</v>
      </c>
    </row>
    <row r="28" spans="1:27" x14ac:dyDescent="0.25">
      <c r="A28" t="s">
        <v>70</v>
      </c>
      <c r="B28" t="s">
        <v>832</v>
      </c>
      <c r="C28">
        <v>10</v>
      </c>
      <c r="D28" t="s">
        <v>19</v>
      </c>
      <c r="E28" t="s">
        <v>95</v>
      </c>
      <c r="F28" t="s">
        <v>102</v>
      </c>
      <c r="G28" t="s">
        <v>121</v>
      </c>
      <c r="H28" t="s">
        <v>102</v>
      </c>
      <c r="J28">
        <v>0</v>
      </c>
      <c r="K28">
        <v>1</v>
      </c>
      <c r="L28">
        <v>84.740740740000007</v>
      </c>
      <c r="M28">
        <v>29.167014049999999</v>
      </c>
      <c r="N28">
        <v>1.1169849999999999</v>
      </c>
      <c r="O28">
        <v>1.1571499000000001</v>
      </c>
      <c r="P28">
        <v>84.740740740000007</v>
      </c>
      <c r="Q28">
        <v>29.167014049999999</v>
      </c>
      <c r="R28">
        <v>1.1169849999999999</v>
      </c>
      <c r="S28">
        <v>1.1571499000000001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</row>
    <row r="29" spans="1:27" x14ac:dyDescent="0.25">
      <c r="A29" t="s">
        <v>70</v>
      </c>
      <c r="B29" t="s">
        <v>832</v>
      </c>
      <c r="C29">
        <v>10</v>
      </c>
      <c r="D29" t="s">
        <v>19</v>
      </c>
      <c r="E29" t="s">
        <v>95</v>
      </c>
      <c r="F29" t="s">
        <v>102</v>
      </c>
      <c r="G29" t="s">
        <v>121</v>
      </c>
      <c r="H29" t="s">
        <v>236</v>
      </c>
      <c r="J29">
        <v>0</v>
      </c>
      <c r="K29">
        <v>1</v>
      </c>
      <c r="L29">
        <v>84.740740740000007</v>
      </c>
      <c r="M29">
        <v>29.167014049999999</v>
      </c>
      <c r="N29">
        <v>1.1169849999999999</v>
      </c>
      <c r="O29">
        <v>1.1571499000000001</v>
      </c>
      <c r="P29">
        <v>113.33333330000001</v>
      </c>
      <c r="Q29">
        <v>26.41632581</v>
      </c>
      <c r="R29">
        <v>1.6844570160000001</v>
      </c>
      <c r="S29">
        <v>8.9285710000000004E-2</v>
      </c>
      <c r="T29">
        <v>-28.59259256</v>
      </c>
      <c r="U29">
        <v>28.59259256</v>
      </c>
      <c r="V29">
        <v>2.7506882400000001</v>
      </c>
      <c r="W29">
        <v>2.7506882400000001</v>
      </c>
      <c r="X29">
        <v>-0.56747201599999997</v>
      </c>
      <c r="Y29">
        <v>0.56747201599999997</v>
      </c>
      <c r="Z29">
        <v>1.0678641900000001</v>
      </c>
      <c r="AA29">
        <v>1.0678641900000001</v>
      </c>
    </row>
    <row r="30" spans="1:27" x14ac:dyDescent="0.25">
      <c r="A30" t="s">
        <v>70</v>
      </c>
      <c r="B30" t="s">
        <v>833</v>
      </c>
      <c r="C30">
        <v>10</v>
      </c>
      <c r="D30" t="s">
        <v>19</v>
      </c>
      <c r="E30" t="s">
        <v>95</v>
      </c>
      <c r="F30" t="s">
        <v>105</v>
      </c>
      <c r="G30" t="s">
        <v>121</v>
      </c>
      <c r="H30" t="s">
        <v>235</v>
      </c>
      <c r="J30">
        <v>0</v>
      </c>
      <c r="K30">
        <v>1</v>
      </c>
      <c r="L30">
        <v>67.5</v>
      </c>
      <c r="M30">
        <v>47.937235809999997</v>
      </c>
      <c r="N30">
        <v>0.41599678000000001</v>
      </c>
      <c r="O30">
        <v>2.0950346999999998</v>
      </c>
      <c r="P30">
        <v>132.27272730000001</v>
      </c>
      <c r="Q30">
        <v>20.180448590000001</v>
      </c>
      <c r="R30">
        <v>3.7813451999999997E-2</v>
      </c>
      <c r="S30">
        <v>0.41404401000000002</v>
      </c>
      <c r="T30">
        <v>-64.7727273</v>
      </c>
      <c r="U30">
        <v>64.7727273</v>
      </c>
      <c r="V30">
        <v>27.75678722</v>
      </c>
      <c r="W30">
        <v>27.75678722</v>
      </c>
      <c r="X30">
        <v>0.37818332799999999</v>
      </c>
      <c r="Y30">
        <v>0.37818332799999999</v>
      </c>
      <c r="Z30">
        <v>1.6809906899999998</v>
      </c>
      <c r="AA30">
        <v>1.6809906899999998</v>
      </c>
    </row>
    <row r="31" spans="1:27" x14ac:dyDescent="0.25">
      <c r="A31" t="s">
        <v>70</v>
      </c>
      <c r="B31" t="s">
        <v>833</v>
      </c>
      <c r="C31">
        <v>10</v>
      </c>
      <c r="D31" t="s">
        <v>19</v>
      </c>
      <c r="E31" t="s">
        <v>95</v>
      </c>
      <c r="F31" t="s">
        <v>105</v>
      </c>
      <c r="G31" t="s">
        <v>121</v>
      </c>
      <c r="H31" t="s">
        <v>236</v>
      </c>
      <c r="J31">
        <v>0</v>
      </c>
      <c r="K31">
        <v>2</v>
      </c>
      <c r="L31">
        <v>67.5</v>
      </c>
      <c r="M31">
        <v>47.937235809999997</v>
      </c>
      <c r="N31">
        <v>0.41599678000000001</v>
      </c>
      <c r="O31">
        <v>2.0950346999999998</v>
      </c>
      <c r="P31">
        <v>113.33333330000001</v>
      </c>
      <c r="Q31">
        <v>26.41632581</v>
      </c>
      <c r="R31">
        <v>1.6844570160000001</v>
      </c>
      <c r="S31">
        <v>8.9285710000000004E-2</v>
      </c>
      <c r="T31">
        <v>-45.8333333</v>
      </c>
      <c r="U31">
        <v>45.8333333</v>
      </c>
      <c r="V31">
        <v>21.520910000000001</v>
      </c>
      <c r="W31">
        <v>21.520910000000001</v>
      </c>
      <c r="X31">
        <v>-1.2684602359999999</v>
      </c>
      <c r="Y31">
        <v>1.2684602359999999</v>
      </c>
      <c r="Z31">
        <v>2.0057489899999998</v>
      </c>
      <c r="AA31">
        <v>2.0057489899999998</v>
      </c>
    </row>
    <row r="32" spans="1:27" x14ac:dyDescent="0.25">
      <c r="A32" t="s">
        <v>70</v>
      </c>
      <c r="B32" t="s">
        <v>833</v>
      </c>
      <c r="C32">
        <v>10</v>
      </c>
      <c r="D32" t="s">
        <v>19</v>
      </c>
      <c r="E32" t="s">
        <v>95</v>
      </c>
      <c r="F32" t="s">
        <v>105</v>
      </c>
      <c r="G32" t="s">
        <v>121</v>
      </c>
      <c r="H32" t="s">
        <v>236</v>
      </c>
      <c r="J32">
        <v>0</v>
      </c>
      <c r="K32">
        <v>2</v>
      </c>
      <c r="L32">
        <v>67.5</v>
      </c>
      <c r="M32">
        <v>47.937235809999997</v>
      </c>
      <c r="N32">
        <v>0.41599678000000001</v>
      </c>
      <c r="O32">
        <v>2.0950346999999998</v>
      </c>
      <c r="P32">
        <v>113.33333330000001</v>
      </c>
      <c r="Q32">
        <v>26.41632581</v>
      </c>
      <c r="R32">
        <v>1.6844570160000001</v>
      </c>
      <c r="S32">
        <v>8.9285710000000004E-2</v>
      </c>
      <c r="T32">
        <v>-45.8333333</v>
      </c>
      <c r="U32">
        <v>45.8333333</v>
      </c>
      <c r="V32">
        <v>21.520910000000001</v>
      </c>
      <c r="W32">
        <v>21.520910000000001</v>
      </c>
      <c r="X32">
        <v>-1.2684602359999999</v>
      </c>
      <c r="Y32">
        <v>1.2684602359999999</v>
      </c>
      <c r="Z32">
        <v>2.0057489899999998</v>
      </c>
      <c r="AA32">
        <v>2.0057489899999998</v>
      </c>
    </row>
    <row r="33" spans="1:27" x14ac:dyDescent="0.25">
      <c r="A33" t="s">
        <v>70</v>
      </c>
      <c r="B33" t="s">
        <v>833</v>
      </c>
      <c r="C33">
        <v>10</v>
      </c>
      <c r="D33" t="s">
        <v>19</v>
      </c>
      <c r="E33" t="s">
        <v>95</v>
      </c>
      <c r="F33" t="s">
        <v>105</v>
      </c>
      <c r="G33" t="s">
        <v>121</v>
      </c>
      <c r="H33" t="s">
        <v>162</v>
      </c>
      <c r="J33">
        <v>0</v>
      </c>
      <c r="K33">
        <v>1</v>
      </c>
      <c r="L33">
        <v>67.5</v>
      </c>
      <c r="M33">
        <v>47.937235809999997</v>
      </c>
      <c r="N33">
        <v>0.41599678000000001</v>
      </c>
      <c r="O33">
        <v>2.0950346999999998</v>
      </c>
      <c r="P33">
        <v>82.53846154</v>
      </c>
      <c r="Q33">
        <v>35.660530039999998</v>
      </c>
      <c r="R33">
        <v>3.3754499999999998</v>
      </c>
      <c r="S33" t="s">
        <v>114</v>
      </c>
      <c r="T33">
        <v>-15.03846154</v>
      </c>
      <c r="U33">
        <v>15.03846154</v>
      </c>
      <c r="V33">
        <v>12.27670577</v>
      </c>
      <c r="W33">
        <v>12.27670577</v>
      </c>
      <c r="X33">
        <v>-2.9594532199999999</v>
      </c>
      <c r="Y33">
        <v>2.9594532199999999</v>
      </c>
      <c r="Z33" t="s">
        <v>114</v>
      </c>
      <c r="AA33" t="s">
        <v>114</v>
      </c>
    </row>
    <row r="34" spans="1:27" x14ac:dyDescent="0.25">
      <c r="A34" t="s">
        <v>70</v>
      </c>
      <c r="B34" t="s">
        <v>834</v>
      </c>
      <c r="C34">
        <v>10</v>
      </c>
      <c r="D34" t="s">
        <v>19</v>
      </c>
      <c r="E34" t="s">
        <v>95</v>
      </c>
      <c r="F34" t="s">
        <v>111</v>
      </c>
      <c r="G34" t="s">
        <v>121</v>
      </c>
      <c r="H34" t="s">
        <v>235</v>
      </c>
      <c r="J34">
        <v>0</v>
      </c>
      <c r="K34">
        <v>1</v>
      </c>
      <c r="L34">
        <v>94.97142857</v>
      </c>
      <c r="M34">
        <v>24.31591813</v>
      </c>
      <c r="N34">
        <v>0.122951111</v>
      </c>
      <c r="O34">
        <v>0.39050790000000002</v>
      </c>
      <c r="P34">
        <v>132.27272730000001</v>
      </c>
      <c r="Q34">
        <v>20.180448590000001</v>
      </c>
      <c r="R34">
        <v>3.7813451999999997E-2</v>
      </c>
      <c r="S34">
        <v>0.41404401000000002</v>
      </c>
      <c r="T34">
        <v>-37.301298729999999</v>
      </c>
      <c r="U34">
        <v>37.301298729999999</v>
      </c>
      <c r="V34">
        <v>4.1354695399999999</v>
      </c>
      <c r="W34">
        <v>4.1354695399999999</v>
      </c>
      <c r="X34">
        <v>8.5137659000000004E-2</v>
      </c>
      <c r="Y34">
        <v>8.5137659000000004E-2</v>
      </c>
      <c r="Z34">
        <v>-2.3536109999999999E-2</v>
      </c>
      <c r="AA34">
        <v>2.3536109999999999E-2</v>
      </c>
    </row>
    <row r="35" spans="1:27" x14ac:dyDescent="0.25">
      <c r="A35" t="s">
        <v>71</v>
      </c>
      <c r="B35" t="s">
        <v>835</v>
      </c>
      <c r="C35">
        <v>10</v>
      </c>
      <c r="D35" t="s">
        <v>21</v>
      </c>
      <c r="E35" t="s">
        <v>94</v>
      </c>
      <c r="F35" t="s">
        <v>102</v>
      </c>
      <c r="G35" t="s">
        <v>121</v>
      </c>
      <c r="H35" t="s">
        <v>114</v>
      </c>
      <c r="J35">
        <v>0</v>
      </c>
      <c r="K35" t="s">
        <v>114</v>
      </c>
      <c r="L35">
        <v>84.740740740000007</v>
      </c>
      <c r="M35">
        <v>29.167014049999999</v>
      </c>
      <c r="N35">
        <v>1.1169849999999999</v>
      </c>
      <c r="O35">
        <v>1.1571499000000001</v>
      </c>
      <c r="P35" t="s">
        <v>114</v>
      </c>
      <c r="Q35" t="s">
        <v>114</v>
      </c>
      <c r="R35" t="s">
        <v>114</v>
      </c>
      <c r="S35" t="s">
        <v>114</v>
      </c>
      <c r="T35" t="s">
        <v>114</v>
      </c>
      <c r="U35" t="s">
        <v>114</v>
      </c>
      <c r="V35" t="s">
        <v>114</v>
      </c>
      <c r="W35" t="s">
        <v>114</v>
      </c>
      <c r="X35" t="s">
        <v>114</v>
      </c>
      <c r="Y35" t="s">
        <v>114</v>
      </c>
      <c r="Z35" t="s">
        <v>114</v>
      </c>
      <c r="AA35" t="s">
        <v>114</v>
      </c>
    </row>
    <row r="36" spans="1:27" x14ac:dyDescent="0.25">
      <c r="A36" t="s">
        <v>71</v>
      </c>
      <c r="B36" t="s">
        <v>836</v>
      </c>
      <c r="C36">
        <v>10</v>
      </c>
      <c r="D36" t="s">
        <v>21</v>
      </c>
      <c r="E36" t="s">
        <v>94</v>
      </c>
      <c r="F36" t="s">
        <v>111</v>
      </c>
      <c r="G36" t="s">
        <v>111</v>
      </c>
      <c r="H36" t="s">
        <v>111</v>
      </c>
      <c r="J36">
        <v>0</v>
      </c>
      <c r="K36">
        <v>1</v>
      </c>
      <c r="L36">
        <v>94.97142857</v>
      </c>
      <c r="M36">
        <v>24.31591813</v>
      </c>
      <c r="N36">
        <v>0.122951111</v>
      </c>
      <c r="O36">
        <v>0.39050790000000002</v>
      </c>
      <c r="P36">
        <v>94.97142857</v>
      </c>
      <c r="Q36">
        <v>24.31591813</v>
      </c>
      <c r="R36">
        <v>0.122951111</v>
      </c>
      <c r="S36">
        <v>0.39050790000000002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</row>
    <row r="37" spans="1:27" x14ac:dyDescent="0.25">
      <c r="A37" t="s">
        <v>71</v>
      </c>
      <c r="B37" t="s">
        <v>836</v>
      </c>
      <c r="C37">
        <v>10</v>
      </c>
      <c r="D37" t="s">
        <v>21</v>
      </c>
      <c r="E37" t="s">
        <v>94</v>
      </c>
      <c r="F37" t="s">
        <v>111</v>
      </c>
      <c r="G37" t="s">
        <v>111</v>
      </c>
      <c r="H37" t="s">
        <v>250</v>
      </c>
      <c r="J37">
        <v>0</v>
      </c>
      <c r="K37">
        <v>1</v>
      </c>
      <c r="L37">
        <v>94.97142857</v>
      </c>
      <c r="M37">
        <v>24.31591813</v>
      </c>
      <c r="N37">
        <v>0.122951111</v>
      </c>
      <c r="O37">
        <v>0.39050790000000002</v>
      </c>
      <c r="P37">
        <v>157.14285709999999</v>
      </c>
      <c r="Q37">
        <v>28.969081320000001</v>
      </c>
      <c r="R37">
        <v>0.55164111100000002</v>
      </c>
      <c r="S37" t="s">
        <v>114</v>
      </c>
      <c r="T37">
        <v>-62.17142853</v>
      </c>
      <c r="U37">
        <v>62.17142853</v>
      </c>
      <c r="V37">
        <v>-4.6531631899999999</v>
      </c>
      <c r="W37">
        <v>4.6531631899999999</v>
      </c>
      <c r="X37">
        <v>-0.42869000000000002</v>
      </c>
      <c r="Y37">
        <v>0.42869000000000002</v>
      </c>
      <c r="Z37" t="s">
        <v>114</v>
      </c>
      <c r="AA37" t="s">
        <v>114</v>
      </c>
    </row>
    <row r="38" spans="1:27" x14ac:dyDescent="0.25">
      <c r="A38" t="s">
        <v>71</v>
      </c>
      <c r="B38" t="s">
        <v>837</v>
      </c>
      <c r="C38">
        <v>10</v>
      </c>
      <c r="D38" t="s">
        <v>21</v>
      </c>
      <c r="E38" t="s">
        <v>94</v>
      </c>
      <c r="F38" t="s">
        <v>104</v>
      </c>
      <c r="G38" t="s">
        <v>104</v>
      </c>
      <c r="H38" t="s">
        <v>104</v>
      </c>
      <c r="J38">
        <v>0</v>
      </c>
      <c r="K38">
        <v>1</v>
      </c>
      <c r="L38">
        <v>113.9375</v>
      </c>
      <c r="M38">
        <v>33.375507550000002</v>
      </c>
      <c r="N38">
        <v>2.4262999999999999</v>
      </c>
      <c r="O38">
        <v>0.40692159999999999</v>
      </c>
      <c r="P38">
        <v>113.9375</v>
      </c>
      <c r="Q38">
        <v>33.375507550000002</v>
      </c>
      <c r="R38">
        <v>2.4262999999999999</v>
      </c>
      <c r="S38">
        <v>0.40692159999999999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</row>
    <row r="39" spans="1:27" x14ac:dyDescent="0.25">
      <c r="A39" t="s">
        <v>72</v>
      </c>
      <c r="B39" t="s">
        <v>838</v>
      </c>
      <c r="C39">
        <v>10</v>
      </c>
      <c r="D39" t="s">
        <v>23</v>
      </c>
      <c r="E39" t="s">
        <v>95</v>
      </c>
      <c r="F39" t="s">
        <v>105</v>
      </c>
      <c r="G39" t="s">
        <v>121</v>
      </c>
      <c r="H39" t="s">
        <v>238</v>
      </c>
      <c r="J39">
        <v>0</v>
      </c>
      <c r="K39">
        <v>1</v>
      </c>
      <c r="L39">
        <v>67.5</v>
      </c>
      <c r="M39">
        <v>47.937235809999997</v>
      </c>
      <c r="N39">
        <v>0.41599678000000001</v>
      </c>
      <c r="O39">
        <v>2.0950346999999998</v>
      </c>
      <c r="P39">
        <v>87.5</v>
      </c>
      <c r="Q39">
        <v>29.478311600000001</v>
      </c>
      <c r="R39">
        <v>3.0797751000000002E-2</v>
      </c>
      <c r="S39">
        <v>0.12931835</v>
      </c>
      <c r="T39">
        <v>-20</v>
      </c>
      <c r="U39">
        <v>20</v>
      </c>
      <c r="V39">
        <v>18.458924209999999</v>
      </c>
      <c r="W39">
        <v>18.458924209999999</v>
      </c>
      <c r="X39">
        <v>0.38519902900000003</v>
      </c>
      <c r="Y39">
        <v>0.38519902900000003</v>
      </c>
      <c r="Z39">
        <v>1.9657163499999999</v>
      </c>
      <c r="AA39">
        <v>1.9657163499999999</v>
      </c>
    </row>
    <row r="40" spans="1:27" x14ac:dyDescent="0.25">
      <c r="A40" t="s">
        <v>72</v>
      </c>
      <c r="B40" t="s">
        <v>839</v>
      </c>
      <c r="C40">
        <v>10</v>
      </c>
      <c r="D40" t="s">
        <v>23</v>
      </c>
      <c r="E40" t="s">
        <v>95</v>
      </c>
      <c r="F40" t="s">
        <v>111</v>
      </c>
      <c r="G40" t="s">
        <v>121</v>
      </c>
      <c r="H40" t="s">
        <v>114</v>
      </c>
      <c r="J40">
        <v>0</v>
      </c>
      <c r="K40">
        <v>0</v>
      </c>
      <c r="L40">
        <v>94.97142857</v>
      </c>
      <c r="M40">
        <v>24.31591813</v>
      </c>
      <c r="N40">
        <v>0.122951111</v>
      </c>
      <c r="O40">
        <v>0.39050790000000002</v>
      </c>
      <c r="P40" t="s">
        <v>114</v>
      </c>
      <c r="Q40" t="s">
        <v>114</v>
      </c>
      <c r="R40" t="s">
        <v>114</v>
      </c>
      <c r="S40" t="s">
        <v>114</v>
      </c>
      <c r="T40" t="s">
        <v>114</v>
      </c>
      <c r="U40" t="s">
        <v>114</v>
      </c>
      <c r="V40" t="s">
        <v>114</v>
      </c>
      <c r="W40" t="s">
        <v>114</v>
      </c>
      <c r="X40" t="s">
        <v>114</v>
      </c>
      <c r="Y40" t="s">
        <v>114</v>
      </c>
      <c r="Z40" t="s">
        <v>114</v>
      </c>
      <c r="AA40" t="s">
        <v>114</v>
      </c>
    </row>
    <row r="41" spans="1:27" x14ac:dyDescent="0.25">
      <c r="A41" t="s">
        <v>72</v>
      </c>
      <c r="B41" t="s">
        <v>840</v>
      </c>
      <c r="C41">
        <v>10</v>
      </c>
      <c r="D41" t="s">
        <v>23</v>
      </c>
      <c r="E41" t="s">
        <v>95</v>
      </c>
      <c r="F41" t="s">
        <v>104</v>
      </c>
      <c r="G41" t="s">
        <v>104</v>
      </c>
      <c r="H41" t="s">
        <v>104</v>
      </c>
      <c r="J41">
        <v>0</v>
      </c>
      <c r="K41">
        <v>1</v>
      </c>
      <c r="L41">
        <v>113.9375</v>
      </c>
      <c r="M41">
        <v>33.375507550000002</v>
      </c>
      <c r="N41">
        <v>2.4262999999999999</v>
      </c>
      <c r="O41">
        <v>0.40692159999999999</v>
      </c>
      <c r="P41">
        <v>113.9375</v>
      </c>
      <c r="Q41">
        <v>33.375507550000002</v>
      </c>
      <c r="R41">
        <v>2.4262999999999999</v>
      </c>
      <c r="S41">
        <v>0.40692159999999999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</row>
    <row r="42" spans="1:27" x14ac:dyDescent="0.25">
      <c r="A42" t="s">
        <v>72</v>
      </c>
      <c r="B42" t="s">
        <v>840</v>
      </c>
      <c r="C42">
        <v>10</v>
      </c>
      <c r="D42" t="s">
        <v>23</v>
      </c>
      <c r="E42" t="s">
        <v>95</v>
      </c>
      <c r="F42" t="s">
        <v>104</v>
      </c>
      <c r="G42" t="s">
        <v>104</v>
      </c>
      <c r="H42" t="s">
        <v>244</v>
      </c>
      <c r="J42">
        <v>0</v>
      </c>
      <c r="K42">
        <v>1</v>
      </c>
      <c r="L42">
        <v>113.9375</v>
      </c>
      <c r="M42">
        <v>33.375507550000002</v>
      </c>
      <c r="N42">
        <v>2.4262999999999999</v>
      </c>
      <c r="O42">
        <v>0.40692159999999999</v>
      </c>
      <c r="P42">
        <v>75</v>
      </c>
      <c r="Q42">
        <v>28.80614499</v>
      </c>
      <c r="R42">
        <v>2.3860428570000001</v>
      </c>
      <c r="S42">
        <v>0.26400832000000002</v>
      </c>
      <c r="T42">
        <v>38.9375</v>
      </c>
      <c r="U42">
        <v>38.9375</v>
      </c>
      <c r="V42">
        <v>4.5693625600000001</v>
      </c>
      <c r="W42">
        <v>4.5693625600000001</v>
      </c>
      <c r="X42">
        <v>4.0257143000000002E-2</v>
      </c>
      <c r="Y42">
        <v>4.0257143000000002E-2</v>
      </c>
      <c r="Z42">
        <v>0.14291327999999998</v>
      </c>
      <c r="AA42">
        <v>0.14291327999999998</v>
      </c>
    </row>
    <row r="43" spans="1:27" x14ac:dyDescent="0.25">
      <c r="A43" t="s">
        <v>72</v>
      </c>
      <c r="B43" t="s">
        <v>841</v>
      </c>
      <c r="C43">
        <v>10</v>
      </c>
      <c r="D43" t="s">
        <v>23</v>
      </c>
      <c r="E43" t="s">
        <v>95</v>
      </c>
      <c r="F43" t="s">
        <v>112</v>
      </c>
      <c r="G43" t="s">
        <v>121</v>
      </c>
      <c r="H43" t="s">
        <v>238</v>
      </c>
      <c r="J43">
        <v>0</v>
      </c>
      <c r="K43">
        <v>1</v>
      </c>
      <c r="L43">
        <v>65.09375</v>
      </c>
      <c r="M43">
        <v>37.895352600000002</v>
      </c>
      <c r="N43">
        <v>2.2882677779999998</v>
      </c>
      <c r="O43">
        <v>2.2111774</v>
      </c>
      <c r="P43">
        <v>87.5</v>
      </c>
      <c r="Q43">
        <v>29.478311600000001</v>
      </c>
      <c r="R43">
        <v>3.0797751000000002E-2</v>
      </c>
      <c r="S43">
        <v>0.12931835</v>
      </c>
      <c r="T43">
        <v>-22.40625</v>
      </c>
      <c r="U43">
        <v>22.40625</v>
      </c>
      <c r="V43">
        <v>8.4170409999999993</v>
      </c>
      <c r="W43">
        <v>8.4170409999999993</v>
      </c>
      <c r="X43">
        <v>2.2574700270000001</v>
      </c>
      <c r="Y43">
        <v>2.2574700270000001</v>
      </c>
      <c r="Z43">
        <v>2.0818590499999998</v>
      </c>
      <c r="AA43">
        <v>2.0818590499999998</v>
      </c>
    </row>
    <row r="44" spans="1:27" x14ac:dyDescent="0.25">
      <c r="A44" t="s">
        <v>73</v>
      </c>
      <c r="B44" t="s">
        <v>842</v>
      </c>
      <c r="C44">
        <v>10</v>
      </c>
      <c r="D44" t="s">
        <v>25</v>
      </c>
      <c r="E44" t="s">
        <v>94</v>
      </c>
      <c r="F44" t="s">
        <v>105</v>
      </c>
      <c r="G44" t="s">
        <v>112</v>
      </c>
      <c r="H44" t="s">
        <v>112</v>
      </c>
      <c r="J44">
        <v>0</v>
      </c>
      <c r="K44">
        <v>1</v>
      </c>
      <c r="L44">
        <v>67.5</v>
      </c>
      <c r="M44">
        <v>47.937235809999997</v>
      </c>
      <c r="N44">
        <v>0.41599678000000001</v>
      </c>
      <c r="O44">
        <v>2.0950346999999998</v>
      </c>
      <c r="P44">
        <v>65.09375</v>
      </c>
      <c r="Q44">
        <v>37.895352600000002</v>
      </c>
      <c r="R44">
        <v>2.2882677779999998</v>
      </c>
      <c r="S44">
        <v>2.2111774</v>
      </c>
      <c r="T44">
        <v>2.40625</v>
      </c>
      <c r="U44">
        <v>2.40625</v>
      </c>
      <c r="V44">
        <v>10.04188321</v>
      </c>
      <c r="W44">
        <v>10.04188321</v>
      </c>
      <c r="X44">
        <v>-1.8722709980000001</v>
      </c>
      <c r="Y44">
        <v>1.8722709980000001</v>
      </c>
      <c r="Z44">
        <v>-0.11614270000000015</v>
      </c>
      <c r="AA44">
        <v>0.11614270000000015</v>
      </c>
    </row>
    <row r="45" spans="1:27" x14ac:dyDescent="0.25">
      <c r="A45" t="s">
        <v>73</v>
      </c>
      <c r="B45" t="s">
        <v>843</v>
      </c>
      <c r="C45">
        <v>10</v>
      </c>
      <c r="D45" t="s">
        <v>25</v>
      </c>
      <c r="E45" t="s">
        <v>94</v>
      </c>
      <c r="F45" t="s">
        <v>110</v>
      </c>
      <c r="G45" t="s">
        <v>110</v>
      </c>
      <c r="H45" t="s">
        <v>110</v>
      </c>
      <c r="J45">
        <v>0</v>
      </c>
      <c r="K45">
        <v>3</v>
      </c>
      <c r="L45">
        <v>73.260869569999997</v>
      </c>
      <c r="M45">
        <v>34.453830549999999</v>
      </c>
      <c r="N45">
        <v>1.058333333</v>
      </c>
      <c r="O45">
        <v>0.90897070000000002</v>
      </c>
      <c r="P45">
        <v>73.260869569999997</v>
      </c>
      <c r="Q45">
        <v>34.453830549999999</v>
      </c>
      <c r="R45">
        <v>1.058333333</v>
      </c>
      <c r="S45">
        <v>0.90897070000000002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</row>
    <row r="46" spans="1:27" x14ac:dyDescent="0.25">
      <c r="A46" t="s">
        <v>73</v>
      </c>
      <c r="B46" t="s">
        <v>843</v>
      </c>
      <c r="C46">
        <v>10</v>
      </c>
      <c r="D46" t="s">
        <v>25</v>
      </c>
      <c r="E46" t="s">
        <v>94</v>
      </c>
      <c r="F46" t="s">
        <v>110</v>
      </c>
      <c r="G46" t="s">
        <v>110</v>
      </c>
      <c r="H46" t="s">
        <v>110</v>
      </c>
      <c r="J46">
        <v>0</v>
      </c>
      <c r="K46">
        <v>3</v>
      </c>
      <c r="L46">
        <v>73.260869569999997</v>
      </c>
      <c r="M46">
        <v>34.453830549999999</v>
      </c>
      <c r="N46">
        <v>1.058333333</v>
      </c>
      <c r="O46">
        <v>0.90897070000000002</v>
      </c>
      <c r="P46">
        <v>73.260869569999997</v>
      </c>
      <c r="Q46">
        <v>34.453830549999999</v>
      </c>
      <c r="R46">
        <v>1.058333333</v>
      </c>
      <c r="S46">
        <v>0.90897070000000002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</row>
    <row r="47" spans="1:27" x14ac:dyDescent="0.25">
      <c r="A47" t="s">
        <v>73</v>
      </c>
      <c r="B47" t="s">
        <v>843</v>
      </c>
      <c r="C47">
        <v>10</v>
      </c>
      <c r="D47" t="s">
        <v>25</v>
      </c>
      <c r="E47" t="s">
        <v>94</v>
      </c>
      <c r="F47" t="s">
        <v>110</v>
      </c>
      <c r="G47" t="s">
        <v>110</v>
      </c>
      <c r="H47" t="s">
        <v>110</v>
      </c>
      <c r="J47">
        <v>0</v>
      </c>
      <c r="K47">
        <v>3</v>
      </c>
      <c r="L47">
        <v>73.260869569999997</v>
      </c>
      <c r="M47">
        <v>34.453830549999999</v>
      </c>
      <c r="N47">
        <v>1.058333333</v>
      </c>
      <c r="O47">
        <v>0.90897070000000002</v>
      </c>
      <c r="P47">
        <v>73.260869569999997</v>
      </c>
      <c r="Q47">
        <v>34.453830549999999</v>
      </c>
      <c r="R47">
        <v>1.058333333</v>
      </c>
      <c r="S47">
        <v>0.90897070000000002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</row>
    <row r="48" spans="1:27" x14ac:dyDescent="0.25">
      <c r="A48" t="s">
        <v>73</v>
      </c>
      <c r="B48" t="s">
        <v>843</v>
      </c>
      <c r="C48">
        <v>10</v>
      </c>
      <c r="D48" t="s">
        <v>25</v>
      </c>
      <c r="E48" t="s">
        <v>94</v>
      </c>
      <c r="F48" t="s">
        <v>110</v>
      </c>
      <c r="G48" t="s">
        <v>110</v>
      </c>
      <c r="H48" t="s">
        <v>251</v>
      </c>
      <c r="J48">
        <v>0</v>
      </c>
      <c r="K48">
        <v>1</v>
      </c>
      <c r="L48">
        <v>73.260869569999997</v>
      </c>
      <c r="M48">
        <v>34.453830549999999</v>
      </c>
      <c r="N48">
        <v>1.058333333</v>
      </c>
      <c r="O48">
        <v>0.90897070000000002</v>
      </c>
      <c r="P48">
        <v>85</v>
      </c>
      <c r="Q48">
        <v>37.099157669999997</v>
      </c>
      <c r="R48">
        <v>0.65291888899999995</v>
      </c>
      <c r="S48" t="s">
        <v>114</v>
      </c>
      <c r="T48">
        <v>-11.739130429999999</v>
      </c>
      <c r="U48">
        <v>11.739130429999999</v>
      </c>
      <c r="V48">
        <v>-2.6453271200000001</v>
      </c>
      <c r="W48">
        <v>2.6453271200000001</v>
      </c>
      <c r="X48">
        <v>0.40541444399999998</v>
      </c>
      <c r="Y48">
        <v>0.40541444399999998</v>
      </c>
      <c r="Z48" t="s">
        <v>114</v>
      </c>
      <c r="AA48" t="s">
        <v>114</v>
      </c>
    </row>
    <row r="49" spans="1:27" x14ac:dyDescent="0.25">
      <c r="A49" t="s">
        <v>73</v>
      </c>
      <c r="B49" t="s">
        <v>843</v>
      </c>
      <c r="C49">
        <v>10</v>
      </c>
      <c r="D49" t="s">
        <v>25</v>
      </c>
      <c r="E49" t="s">
        <v>94</v>
      </c>
      <c r="F49" t="s">
        <v>110</v>
      </c>
      <c r="G49" t="s">
        <v>110</v>
      </c>
      <c r="H49" t="s">
        <v>246</v>
      </c>
      <c r="J49">
        <v>0</v>
      </c>
      <c r="K49">
        <v>1</v>
      </c>
      <c r="L49">
        <v>73.260869569999997</v>
      </c>
      <c r="M49">
        <v>34.453830549999999</v>
      </c>
      <c r="N49">
        <v>1.058333333</v>
      </c>
      <c r="O49">
        <v>0.90897070000000002</v>
      </c>
      <c r="P49">
        <v>120.25</v>
      </c>
      <c r="Q49">
        <v>30.670450110000001</v>
      </c>
      <c r="R49">
        <v>0.91037498500000003</v>
      </c>
      <c r="S49" t="s">
        <v>114</v>
      </c>
      <c r="T49">
        <v>-46.989130430000003</v>
      </c>
      <c r="U49">
        <v>46.989130430000003</v>
      </c>
      <c r="V49">
        <v>3.7833804400000002</v>
      </c>
      <c r="W49">
        <v>3.7833804400000002</v>
      </c>
      <c r="X49">
        <v>0.14795834799999999</v>
      </c>
      <c r="Y49">
        <v>0.14795834799999999</v>
      </c>
      <c r="Z49" t="s">
        <v>114</v>
      </c>
      <c r="AA49" t="s">
        <v>114</v>
      </c>
    </row>
    <row r="50" spans="1:27" x14ac:dyDescent="0.25">
      <c r="A50" t="s">
        <v>73</v>
      </c>
      <c r="B50" t="s">
        <v>844</v>
      </c>
      <c r="C50">
        <v>10</v>
      </c>
      <c r="D50" t="s">
        <v>25</v>
      </c>
      <c r="E50" t="s">
        <v>94</v>
      </c>
      <c r="F50" t="s">
        <v>104</v>
      </c>
      <c r="G50" t="s">
        <v>104</v>
      </c>
      <c r="H50" t="s">
        <v>104</v>
      </c>
      <c r="J50">
        <v>0</v>
      </c>
      <c r="K50">
        <v>1</v>
      </c>
      <c r="L50">
        <v>113.9375</v>
      </c>
      <c r="M50">
        <v>33.375507550000002</v>
      </c>
      <c r="N50">
        <v>2.4262999999999999</v>
      </c>
      <c r="O50">
        <v>0.40692159999999999</v>
      </c>
      <c r="P50">
        <v>113.9375</v>
      </c>
      <c r="Q50">
        <v>33.375507550000002</v>
      </c>
      <c r="R50">
        <v>2.4262999999999999</v>
      </c>
      <c r="S50">
        <v>0.40692159999999999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</row>
    <row r="51" spans="1:27" x14ac:dyDescent="0.25">
      <c r="A51" t="s">
        <v>73</v>
      </c>
      <c r="B51" t="s">
        <v>845</v>
      </c>
      <c r="C51">
        <v>10</v>
      </c>
      <c r="D51" t="s">
        <v>25</v>
      </c>
      <c r="E51" t="s">
        <v>94</v>
      </c>
      <c r="F51" t="s">
        <v>112</v>
      </c>
      <c r="G51" t="s">
        <v>121</v>
      </c>
      <c r="H51" t="s">
        <v>114</v>
      </c>
      <c r="J51">
        <v>0</v>
      </c>
      <c r="K51" t="s">
        <v>114</v>
      </c>
      <c r="L51">
        <v>65.09375</v>
      </c>
      <c r="M51">
        <v>37.895352600000002</v>
      </c>
      <c r="N51">
        <v>2.2882677779999998</v>
      </c>
      <c r="O51">
        <v>2.2111774</v>
      </c>
      <c r="P51" t="s">
        <v>114</v>
      </c>
      <c r="Q51" t="s">
        <v>114</v>
      </c>
      <c r="R51" t="s">
        <v>114</v>
      </c>
      <c r="S51" t="s">
        <v>114</v>
      </c>
      <c r="T51" t="s">
        <v>114</v>
      </c>
      <c r="U51" t="s">
        <v>114</v>
      </c>
      <c r="V51" t="s">
        <v>114</v>
      </c>
      <c r="W51" t="s">
        <v>114</v>
      </c>
      <c r="X51" t="s">
        <v>114</v>
      </c>
      <c r="Y51" t="s">
        <v>114</v>
      </c>
      <c r="Z51" t="s">
        <v>114</v>
      </c>
      <c r="AA51" t="s">
        <v>114</v>
      </c>
    </row>
    <row r="52" spans="1:27" x14ac:dyDescent="0.25">
      <c r="A52" t="s">
        <v>74</v>
      </c>
      <c r="B52" t="s">
        <v>846</v>
      </c>
      <c r="C52">
        <v>10</v>
      </c>
      <c r="D52" t="s">
        <v>27</v>
      </c>
      <c r="E52" t="s">
        <v>95</v>
      </c>
      <c r="F52" t="s">
        <v>102</v>
      </c>
      <c r="G52" t="s">
        <v>113</v>
      </c>
      <c r="H52" t="s">
        <v>113</v>
      </c>
      <c r="J52">
        <v>0</v>
      </c>
      <c r="K52">
        <v>3</v>
      </c>
      <c r="L52">
        <v>84.740740740000007</v>
      </c>
      <c r="M52">
        <v>29.167014049999999</v>
      </c>
      <c r="N52">
        <v>1.1169849999999999</v>
      </c>
      <c r="O52">
        <v>1.1571499000000001</v>
      </c>
      <c r="P52">
        <v>83.757575759999995</v>
      </c>
      <c r="Q52">
        <v>22.60997987</v>
      </c>
      <c r="R52">
        <v>0.72884000000000004</v>
      </c>
      <c r="S52">
        <v>0.21301339999999999</v>
      </c>
      <c r="T52">
        <v>0.98316497999999997</v>
      </c>
      <c r="U52">
        <v>0.98316497999999997</v>
      </c>
      <c r="V52">
        <v>6.5570341799999996</v>
      </c>
      <c r="W52">
        <v>6.5570341799999996</v>
      </c>
      <c r="X52">
        <v>0.38814500000000002</v>
      </c>
      <c r="Y52">
        <v>0.38814500000000002</v>
      </c>
      <c r="Z52">
        <v>0.94413650000000005</v>
      </c>
      <c r="AA52">
        <v>0.94413650000000005</v>
      </c>
    </row>
    <row r="53" spans="1:27" x14ac:dyDescent="0.25">
      <c r="A53" t="s">
        <v>74</v>
      </c>
      <c r="B53" t="s">
        <v>846</v>
      </c>
      <c r="C53">
        <v>10</v>
      </c>
      <c r="D53" t="s">
        <v>27</v>
      </c>
      <c r="E53" t="s">
        <v>95</v>
      </c>
      <c r="F53" t="s">
        <v>102</v>
      </c>
      <c r="G53" t="s">
        <v>113</v>
      </c>
      <c r="H53" t="s">
        <v>113</v>
      </c>
      <c r="J53">
        <v>0</v>
      </c>
      <c r="K53">
        <v>3</v>
      </c>
      <c r="L53">
        <v>84.740740740000007</v>
      </c>
      <c r="M53">
        <v>29.167014049999999</v>
      </c>
      <c r="N53">
        <v>1.1169849999999999</v>
      </c>
      <c r="O53">
        <v>1.1571499000000001</v>
      </c>
      <c r="P53">
        <v>83.757575759999995</v>
      </c>
      <c r="Q53">
        <v>22.60997987</v>
      </c>
      <c r="R53">
        <v>0.72884000000000004</v>
      </c>
      <c r="S53">
        <v>0.21301339999999999</v>
      </c>
      <c r="T53">
        <v>0.98316497999999997</v>
      </c>
      <c r="U53">
        <v>0.98316497999999997</v>
      </c>
      <c r="V53">
        <v>6.5570341799999996</v>
      </c>
      <c r="W53">
        <v>6.5570341799999996</v>
      </c>
      <c r="X53">
        <v>0.38814500000000002</v>
      </c>
      <c r="Y53">
        <v>0.38814500000000002</v>
      </c>
      <c r="Z53">
        <v>0.94413650000000005</v>
      </c>
      <c r="AA53">
        <v>0.94413650000000005</v>
      </c>
    </row>
    <row r="54" spans="1:27" x14ac:dyDescent="0.25">
      <c r="A54" t="s">
        <v>74</v>
      </c>
      <c r="B54" t="s">
        <v>846</v>
      </c>
      <c r="C54">
        <v>10</v>
      </c>
      <c r="D54" t="s">
        <v>27</v>
      </c>
      <c r="E54" t="s">
        <v>95</v>
      </c>
      <c r="F54" t="s">
        <v>102</v>
      </c>
      <c r="G54" t="s">
        <v>113</v>
      </c>
      <c r="H54" t="s">
        <v>113</v>
      </c>
      <c r="J54">
        <v>0</v>
      </c>
      <c r="K54">
        <v>3</v>
      </c>
      <c r="L54">
        <v>84.740740740000007</v>
      </c>
      <c r="M54">
        <v>29.167014049999999</v>
      </c>
      <c r="N54">
        <v>1.1169849999999999</v>
      </c>
      <c r="O54">
        <v>1.1571499000000001</v>
      </c>
      <c r="P54">
        <v>83.757575759999995</v>
      </c>
      <c r="Q54">
        <v>22.60997987</v>
      </c>
      <c r="R54">
        <v>0.72884000000000004</v>
      </c>
      <c r="S54">
        <v>0.21301339999999999</v>
      </c>
      <c r="T54">
        <v>0.98316497999999997</v>
      </c>
      <c r="U54">
        <v>0.98316497999999997</v>
      </c>
      <c r="V54">
        <v>6.5570341799999996</v>
      </c>
      <c r="W54">
        <v>6.5570341799999996</v>
      </c>
      <c r="X54">
        <v>0.38814500000000002</v>
      </c>
      <c r="Y54">
        <v>0.38814500000000002</v>
      </c>
      <c r="Z54">
        <v>0.94413650000000005</v>
      </c>
      <c r="AA54">
        <v>0.94413650000000005</v>
      </c>
    </row>
    <row r="55" spans="1:27" x14ac:dyDescent="0.25">
      <c r="A55" t="s">
        <v>74</v>
      </c>
      <c r="B55" t="s">
        <v>846</v>
      </c>
      <c r="C55">
        <v>10</v>
      </c>
      <c r="D55" t="s">
        <v>27</v>
      </c>
      <c r="E55" t="s">
        <v>95</v>
      </c>
      <c r="F55" t="s">
        <v>102</v>
      </c>
      <c r="G55" t="s">
        <v>113</v>
      </c>
      <c r="H55" t="s">
        <v>103</v>
      </c>
      <c r="J55">
        <v>0</v>
      </c>
      <c r="K55">
        <v>1</v>
      </c>
      <c r="L55">
        <v>84.740740740000007</v>
      </c>
      <c r="M55">
        <v>29.167014049999999</v>
      </c>
      <c r="N55">
        <v>1.1169849999999999</v>
      </c>
      <c r="O55">
        <v>1.1571499000000001</v>
      </c>
      <c r="P55">
        <v>98.291666669999998</v>
      </c>
      <c r="Q55">
        <v>30.315130790000001</v>
      </c>
      <c r="R55">
        <v>5.0803484000000003E-2</v>
      </c>
      <c r="S55">
        <v>0.42866070000000001</v>
      </c>
      <c r="T55">
        <v>-13.55092593</v>
      </c>
      <c r="U55">
        <v>13.55092593</v>
      </c>
      <c r="V55">
        <v>-1.1481167400000001</v>
      </c>
      <c r="W55">
        <v>1.1481167400000001</v>
      </c>
      <c r="X55">
        <v>1.0661815160000001</v>
      </c>
      <c r="Y55">
        <v>1.0661815160000001</v>
      </c>
      <c r="Z55">
        <v>0.72848920000000006</v>
      </c>
      <c r="AA55">
        <v>0.72848920000000006</v>
      </c>
    </row>
    <row r="56" spans="1:27" x14ac:dyDescent="0.25">
      <c r="A56" t="s">
        <v>74</v>
      </c>
      <c r="B56" t="s">
        <v>847</v>
      </c>
      <c r="C56">
        <v>10</v>
      </c>
      <c r="D56" t="s">
        <v>27</v>
      </c>
      <c r="E56" t="s">
        <v>95</v>
      </c>
      <c r="F56" t="s">
        <v>113</v>
      </c>
      <c r="G56" t="s">
        <v>113</v>
      </c>
      <c r="H56" t="s">
        <v>113</v>
      </c>
      <c r="J56">
        <v>0</v>
      </c>
      <c r="K56">
        <v>1</v>
      </c>
      <c r="L56">
        <v>83.757575759999995</v>
      </c>
      <c r="M56">
        <v>22.60997987</v>
      </c>
      <c r="N56">
        <v>0.72884000000000004</v>
      </c>
      <c r="O56">
        <v>0.21301339999999999</v>
      </c>
      <c r="P56">
        <v>83.757575759999995</v>
      </c>
      <c r="Q56">
        <v>22.60997987</v>
      </c>
      <c r="R56">
        <v>0.72884000000000004</v>
      </c>
      <c r="S56">
        <v>0.21301339999999999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</row>
    <row r="57" spans="1:27" x14ac:dyDescent="0.25">
      <c r="A57" t="s">
        <v>74</v>
      </c>
      <c r="B57" t="s">
        <v>847</v>
      </c>
      <c r="C57">
        <v>10</v>
      </c>
      <c r="D57" t="s">
        <v>27</v>
      </c>
      <c r="E57" t="s">
        <v>95</v>
      </c>
      <c r="F57" t="s">
        <v>113</v>
      </c>
      <c r="G57" t="s">
        <v>113</v>
      </c>
      <c r="H57" t="s">
        <v>248</v>
      </c>
      <c r="J57">
        <v>0</v>
      </c>
      <c r="K57">
        <v>2</v>
      </c>
      <c r="L57">
        <v>83.757575759999995</v>
      </c>
      <c r="M57">
        <v>22.60997987</v>
      </c>
      <c r="N57">
        <v>0.72884000000000004</v>
      </c>
      <c r="O57">
        <v>0.21301339999999999</v>
      </c>
      <c r="P57">
        <v>83.92307692</v>
      </c>
      <c r="Q57">
        <v>44.319135699999997</v>
      </c>
      <c r="R57">
        <v>5.9548609999999997E-3</v>
      </c>
      <c r="S57">
        <v>0.18017928</v>
      </c>
      <c r="T57">
        <v>-0.16550116000000001</v>
      </c>
      <c r="U57">
        <v>0.16550116000000001</v>
      </c>
      <c r="V57">
        <v>-21.70915583</v>
      </c>
      <c r="W57">
        <v>21.70915583</v>
      </c>
      <c r="X57">
        <v>0.72288513899999995</v>
      </c>
      <c r="Y57">
        <v>0.72288513899999995</v>
      </c>
      <c r="Z57">
        <v>3.2834119999999994E-2</v>
      </c>
      <c r="AA57">
        <v>3.2834119999999994E-2</v>
      </c>
    </row>
    <row r="58" spans="1:27" x14ac:dyDescent="0.25">
      <c r="A58" t="s">
        <v>74</v>
      </c>
      <c r="B58" t="s">
        <v>847</v>
      </c>
      <c r="C58">
        <v>10</v>
      </c>
      <c r="D58" t="s">
        <v>27</v>
      </c>
      <c r="E58" t="s">
        <v>95</v>
      </c>
      <c r="F58" t="s">
        <v>113</v>
      </c>
      <c r="G58" t="s">
        <v>113</v>
      </c>
      <c r="H58" t="s">
        <v>248</v>
      </c>
      <c r="J58">
        <v>0</v>
      </c>
      <c r="K58">
        <v>2</v>
      </c>
      <c r="L58">
        <v>83.757575759999995</v>
      </c>
      <c r="M58">
        <v>22.60997987</v>
      </c>
      <c r="N58">
        <v>0.72884000000000004</v>
      </c>
      <c r="O58">
        <v>0.21301339999999999</v>
      </c>
      <c r="P58">
        <v>83.92307692</v>
      </c>
      <c r="Q58">
        <v>44.319135699999997</v>
      </c>
      <c r="R58">
        <v>5.9548609999999997E-3</v>
      </c>
      <c r="S58">
        <v>0.18017928</v>
      </c>
      <c r="T58">
        <v>-0.16550116000000001</v>
      </c>
      <c r="U58">
        <v>0.16550116000000001</v>
      </c>
      <c r="V58">
        <v>-21.70915583</v>
      </c>
      <c r="W58">
        <v>21.70915583</v>
      </c>
      <c r="X58">
        <v>0.72288513899999995</v>
      </c>
      <c r="Y58">
        <v>0.72288513899999995</v>
      </c>
      <c r="Z58">
        <v>3.2834119999999994E-2</v>
      </c>
      <c r="AA58">
        <v>3.2834119999999994E-2</v>
      </c>
    </row>
    <row r="59" spans="1:27" x14ac:dyDescent="0.25">
      <c r="A59" t="s">
        <v>74</v>
      </c>
      <c r="B59" t="s">
        <v>848</v>
      </c>
      <c r="C59">
        <v>10</v>
      </c>
      <c r="D59" t="s">
        <v>27</v>
      </c>
      <c r="E59" t="s">
        <v>95</v>
      </c>
      <c r="F59" t="s">
        <v>103</v>
      </c>
      <c r="G59" t="s">
        <v>113</v>
      </c>
      <c r="H59" t="s">
        <v>113</v>
      </c>
      <c r="J59">
        <v>0</v>
      </c>
      <c r="K59">
        <v>1</v>
      </c>
      <c r="L59">
        <v>98.291666669999998</v>
      </c>
      <c r="M59">
        <v>30.315130790000001</v>
      </c>
      <c r="N59">
        <v>5.0803484000000003E-2</v>
      </c>
      <c r="O59">
        <v>0.42866070000000001</v>
      </c>
      <c r="P59">
        <v>83.757575759999995</v>
      </c>
      <c r="Q59">
        <v>22.60997987</v>
      </c>
      <c r="R59">
        <v>0.72884000000000004</v>
      </c>
      <c r="S59">
        <v>0.21301339999999999</v>
      </c>
      <c r="T59">
        <v>14.53409091</v>
      </c>
      <c r="U59">
        <v>14.53409091</v>
      </c>
      <c r="V59">
        <v>7.7051509200000003</v>
      </c>
      <c r="W59">
        <v>7.7051509200000003</v>
      </c>
      <c r="X59">
        <v>-0.67803651600000003</v>
      </c>
      <c r="Y59">
        <v>0.67803651600000003</v>
      </c>
      <c r="Z59">
        <v>0.21564730000000001</v>
      </c>
      <c r="AA59">
        <v>0.21564730000000001</v>
      </c>
    </row>
    <row r="60" spans="1:27" x14ac:dyDescent="0.25">
      <c r="A60" t="s">
        <v>75</v>
      </c>
      <c r="B60" t="s">
        <v>849</v>
      </c>
      <c r="C60">
        <v>10</v>
      </c>
      <c r="D60" t="s">
        <v>29</v>
      </c>
      <c r="E60" t="s">
        <v>94</v>
      </c>
      <c r="F60" t="s">
        <v>105</v>
      </c>
      <c r="G60" t="s">
        <v>121</v>
      </c>
      <c r="H60" t="s">
        <v>251</v>
      </c>
      <c r="J60">
        <v>0</v>
      </c>
      <c r="K60">
        <v>1</v>
      </c>
      <c r="L60">
        <v>67.5</v>
      </c>
      <c r="M60">
        <v>47.937235809999997</v>
      </c>
      <c r="N60">
        <v>0.41599678000000001</v>
      </c>
      <c r="O60">
        <v>2.0950346999999998</v>
      </c>
      <c r="P60">
        <v>85</v>
      </c>
      <c r="Q60">
        <v>37.099157669999997</v>
      </c>
      <c r="R60">
        <v>0.65291888899999995</v>
      </c>
      <c r="S60" t="s">
        <v>114</v>
      </c>
      <c r="T60">
        <v>-17.5</v>
      </c>
      <c r="U60">
        <v>17.5</v>
      </c>
      <c r="V60">
        <v>10.83807814</v>
      </c>
      <c r="W60">
        <v>10.83807814</v>
      </c>
      <c r="X60">
        <v>-0.23692210899999999</v>
      </c>
      <c r="Y60">
        <v>0.23692210899999999</v>
      </c>
      <c r="Z60" t="s">
        <v>114</v>
      </c>
      <c r="AA60" t="s">
        <v>114</v>
      </c>
    </row>
    <row r="61" spans="1:27" x14ac:dyDescent="0.25">
      <c r="A61" t="s">
        <v>75</v>
      </c>
      <c r="B61" t="s">
        <v>849</v>
      </c>
      <c r="C61">
        <v>10</v>
      </c>
      <c r="D61" t="s">
        <v>29</v>
      </c>
      <c r="E61" t="s">
        <v>94</v>
      </c>
      <c r="F61" t="s">
        <v>105</v>
      </c>
      <c r="G61" t="s">
        <v>121</v>
      </c>
      <c r="H61" t="s">
        <v>244</v>
      </c>
      <c r="J61">
        <v>0</v>
      </c>
      <c r="K61">
        <v>1</v>
      </c>
      <c r="L61">
        <v>67.5</v>
      </c>
      <c r="M61">
        <v>47.937235809999997</v>
      </c>
      <c r="N61">
        <v>0.41599678000000001</v>
      </c>
      <c r="O61">
        <v>2.0950346999999998</v>
      </c>
      <c r="P61">
        <v>75</v>
      </c>
      <c r="Q61">
        <v>28.80614499</v>
      </c>
      <c r="R61">
        <v>2.3860428570000001</v>
      </c>
      <c r="S61">
        <v>0.26400832000000002</v>
      </c>
      <c r="T61">
        <v>-7.5</v>
      </c>
      <c r="U61">
        <v>7.5</v>
      </c>
      <c r="V61">
        <v>19.131090820000001</v>
      </c>
      <c r="W61">
        <v>19.131090820000001</v>
      </c>
      <c r="X61">
        <v>-1.9700460769999999</v>
      </c>
      <c r="Y61">
        <v>1.9700460769999999</v>
      </c>
      <c r="Z61">
        <v>1.8310263799999997</v>
      </c>
      <c r="AA61">
        <v>1.8310263799999997</v>
      </c>
    </row>
    <row r="62" spans="1:27" x14ac:dyDescent="0.25">
      <c r="A62" t="s">
        <v>75</v>
      </c>
      <c r="B62" t="s">
        <v>850</v>
      </c>
      <c r="C62">
        <v>10</v>
      </c>
      <c r="D62" t="s">
        <v>29</v>
      </c>
      <c r="E62" t="s">
        <v>94</v>
      </c>
      <c r="F62" t="s">
        <v>110</v>
      </c>
      <c r="G62" t="s">
        <v>104</v>
      </c>
      <c r="H62" t="s">
        <v>104</v>
      </c>
      <c r="J62">
        <v>0</v>
      </c>
      <c r="K62">
        <v>2</v>
      </c>
      <c r="L62">
        <v>73.260869569999997</v>
      </c>
      <c r="M62">
        <v>34.453830549999999</v>
      </c>
      <c r="N62">
        <v>1.058333333</v>
      </c>
      <c r="O62">
        <v>0.90897070000000002</v>
      </c>
      <c r="P62">
        <v>113.9375</v>
      </c>
      <c r="Q62">
        <v>33.375507550000002</v>
      </c>
      <c r="R62">
        <v>2.4262999999999999</v>
      </c>
      <c r="S62">
        <v>0.40692159999999999</v>
      </c>
      <c r="T62">
        <v>-40.676630430000003</v>
      </c>
      <c r="U62">
        <v>40.676630430000003</v>
      </c>
      <c r="V62">
        <v>1.0783229999999999</v>
      </c>
      <c r="W62">
        <v>1.0783229999999999</v>
      </c>
      <c r="X62">
        <v>-1.3679666669999999</v>
      </c>
      <c r="Y62">
        <v>1.3679666669999999</v>
      </c>
      <c r="Z62">
        <v>0.50204910000000003</v>
      </c>
      <c r="AA62">
        <v>0.50204910000000003</v>
      </c>
    </row>
    <row r="63" spans="1:27" x14ac:dyDescent="0.25">
      <c r="A63" t="s">
        <v>75</v>
      </c>
      <c r="B63" t="s">
        <v>850</v>
      </c>
      <c r="C63">
        <v>10</v>
      </c>
      <c r="D63" t="s">
        <v>29</v>
      </c>
      <c r="E63" t="s">
        <v>94</v>
      </c>
      <c r="F63" t="s">
        <v>110</v>
      </c>
      <c r="G63" t="s">
        <v>104</v>
      </c>
      <c r="H63" t="s">
        <v>104</v>
      </c>
      <c r="J63">
        <v>0</v>
      </c>
      <c r="K63">
        <v>2</v>
      </c>
      <c r="L63">
        <v>73.260869569999997</v>
      </c>
      <c r="M63">
        <v>34.453830549999999</v>
      </c>
      <c r="N63">
        <v>1.058333333</v>
      </c>
      <c r="O63">
        <v>0.90897070000000002</v>
      </c>
      <c r="P63">
        <v>113.9375</v>
      </c>
      <c r="Q63">
        <v>33.375507550000002</v>
      </c>
      <c r="R63">
        <v>2.4262999999999999</v>
      </c>
      <c r="S63">
        <v>0.40692159999999999</v>
      </c>
      <c r="T63">
        <v>-40.676630430000003</v>
      </c>
      <c r="U63">
        <v>40.676630430000003</v>
      </c>
      <c r="V63">
        <v>1.0783229999999999</v>
      </c>
      <c r="W63">
        <v>1.0783229999999999</v>
      </c>
      <c r="X63">
        <v>-1.3679666669999999</v>
      </c>
      <c r="Y63">
        <v>1.3679666669999999</v>
      </c>
      <c r="Z63">
        <v>0.50204910000000003</v>
      </c>
      <c r="AA63">
        <v>0.50204910000000003</v>
      </c>
    </row>
    <row r="64" spans="1:27" x14ac:dyDescent="0.25">
      <c r="A64" t="s">
        <v>75</v>
      </c>
      <c r="B64" t="s">
        <v>851</v>
      </c>
      <c r="C64">
        <v>10</v>
      </c>
      <c r="D64" t="s">
        <v>29</v>
      </c>
      <c r="E64" t="s">
        <v>94</v>
      </c>
      <c r="F64" t="s">
        <v>103</v>
      </c>
      <c r="G64" t="s">
        <v>121</v>
      </c>
      <c r="H64" t="s">
        <v>251</v>
      </c>
      <c r="J64">
        <v>0</v>
      </c>
      <c r="K64">
        <v>1</v>
      </c>
      <c r="L64">
        <v>98.291666669999998</v>
      </c>
      <c r="M64">
        <v>30.315130790000001</v>
      </c>
      <c r="N64">
        <v>5.0803484000000003E-2</v>
      </c>
      <c r="O64">
        <v>0.42866070000000001</v>
      </c>
      <c r="P64">
        <v>85</v>
      </c>
      <c r="Q64">
        <v>37.099157669999997</v>
      </c>
      <c r="R64">
        <v>0.65291888899999995</v>
      </c>
      <c r="S64" t="s">
        <v>114</v>
      </c>
      <c r="T64">
        <v>13.29166667</v>
      </c>
      <c r="U64">
        <v>13.29166667</v>
      </c>
      <c r="V64">
        <v>-6.7840268799999999</v>
      </c>
      <c r="W64">
        <v>6.7840268799999999</v>
      </c>
      <c r="X64">
        <v>-0.60211540500000005</v>
      </c>
      <c r="Y64">
        <v>0.60211540500000005</v>
      </c>
      <c r="Z64" t="s">
        <v>114</v>
      </c>
      <c r="AA64" t="s">
        <v>114</v>
      </c>
    </row>
    <row r="65" spans="1:27" x14ac:dyDescent="0.25">
      <c r="A65" t="s">
        <v>75</v>
      </c>
      <c r="B65" t="s">
        <v>851</v>
      </c>
      <c r="C65">
        <v>10</v>
      </c>
      <c r="D65" t="s">
        <v>29</v>
      </c>
      <c r="E65" t="s">
        <v>94</v>
      </c>
      <c r="F65" t="s">
        <v>103</v>
      </c>
      <c r="G65" t="s">
        <v>121</v>
      </c>
      <c r="H65" t="s">
        <v>233</v>
      </c>
      <c r="J65">
        <v>0</v>
      </c>
      <c r="K65">
        <v>1</v>
      </c>
      <c r="L65">
        <v>98.291666669999998</v>
      </c>
      <c r="M65">
        <v>30.315130790000001</v>
      </c>
      <c r="N65">
        <v>5.0803484000000003E-2</v>
      </c>
      <c r="O65">
        <v>0.42866070000000001</v>
      </c>
      <c r="P65">
        <v>106.0540541</v>
      </c>
      <c r="Q65">
        <v>52.690533369999997</v>
      </c>
      <c r="R65">
        <v>7.6058968000000005E-2</v>
      </c>
      <c r="S65">
        <v>0.44888888999999998</v>
      </c>
      <c r="T65">
        <v>-7.7623874300000004</v>
      </c>
      <c r="U65">
        <v>7.7623874300000004</v>
      </c>
      <c r="V65">
        <v>-22.375402579999999</v>
      </c>
      <c r="W65">
        <v>22.375402579999999</v>
      </c>
      <c r="X65">
        <v>-2.5255484000000002E-2</v>
      </c>
      <c r="Y65">
        <v>2.5255484000000002E-2</v>
      </c>
      <c r="Z65">
        <v>-2.0228189999999979E-2</v>
      </c>
      <c r="AA65">
        <v>2.0228189999999979E-2</v>
      </c>
    </row>
    <row r="66" spans="1:27" x14ac:dyDescent="0.25">
      <c r="A66" t="s">
        <v>75</v>
      </c>
      <c r="B66" t="s">
        <v>851</v>
      </c>
      <c r="C66">
        <v>10</v>
      </c>
      <c r="D66" t="s">
        <v>29</v>
      </c>
      <c r="E66" t="s">
        <v>94</v>
      </c>
      <c r="F66" t="s">
        <v>103</v>
      </c>
      <c r="G66" t="s">
        <v>121</v>
      </c>
      <c r="H66" t="s">
        <v>105</v>
      </c>
      <c r="J66">
        <v>0</v>
      </c>
      <c r="K66">
        <v>1</v>
      </c>
      <c r="L66">
        <v>98.291666669999998</v>
      </c>
      <c r="M66">
        <v>30.315130790000001</v>
      </c>
      <c r="N66">
        <v>5.0803484000000003E-2</v>
      </c>
      <c r="O66">
        <v>0.42866070000000001</v>
      </c>
      <c r="P66">
        <v>67.5</v>
      </c>
      <c r="Q66">
        <v>47.937235809999997</v>
      </c>
      <c r="R66">
        <v>0.41599678000000001</v>
      </c>
      <c r="S66">
        <v>2.0950346999999998</v>
      </c>
      <c r="T66">
        <v>30.791666670000001</v>
      </c>
      <c r="U66">
        <v>30.791666670000001</v>
      </c>
      <c r="V66">
        <v>-17.622105019999999</v>
      </c>
      <c r="W66">
        <v>17.622105019999999</v>
      </c>
      <c r="X66">
        <v>-0.365193296</v>
      </c>
      <c r="Y66">
        <v>0.365193296</v>
      </c>
      <c r="Z66">
        <v>-1.6663739999999998</v>
      </c>
      <c r="AA66">
        <v>1.6663739999999998</v>
      </c>
    </row>
    <row r="67" spans="1:27" x14ac:dyDescent="0.25">
      <c r="A67" t="s">
        <v>76</v>
      </c>
      <c r="B67" t="s">
        <v>852</v>
      </c>
      <c r="C67">
        <v>10</v>
      </c>
      <c r="D67" t="s">
        <v>31</v>
      </c>
      <c r="E67" t="s">
        <v>94</v>
      </c>
      <c r="F67" t="s">
        <v>113</v>
      </c>
      <c r="G67" t="s">
        <v>113</v>
      </c>
      <c r="H67" t="s">
        <v>113</v>
      </c>
      <c r="J67">
        <v>0</v>
      </c>
      <c r="K67">
        <v>2</v>
      </c>
      <c r="L67">
        <v>83.757575759999995</v>
      </c>
      <c r="M67">
        <v>22.60997987</v>
      </c>
      <c r="N67">
        <v>0.72884000000000004</v>
      </c>
      <c r="O67">
        <v>0.21301339999999999</v>
      </c>
      <c r="P67">
        <v>83.757575759999995</v>
      </c>
      <c r="Q67">
        <v>22.60997987</v>
      </c>
      <c r="R67">
        <v>0.72884000000000004</v>
      </c>
      <c r="S67">
        <v>0.21301339999999999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</row>
    <row r="68" spans="1:27" x14ac:dyDescent="0.25">
      <c r="A68" t="s">
        <v>76</v>
      </c>
      <c r="B68" t="s">
        <v>852</v>
      </c>
      <c r="C68">
        <v>10</v>
      </c>
      <c r="D68" t="s">
        <v>31</v>
      </c>
      <c r="E68" t="s">
        <v>94</v>
      </c>
      <c r="F68" t="s">
        <v>113</v>
      </c>
      <c r="G68" t="s">
        <v>113</v>
      </c>
      <c r="H68" t="s">
        <v>113</v>
      </c>
      <c r="J68">
        <v>0</v>
      </c>
      <c r="K68">
        <v>2</v>
      </c>
      <c r="L68">
        <v>83.757575759999995</v>
      </c>
      <c r="M68">
        <v>22.60997987</v>
      </c>
      <c r="N68">
        <v>0.72884000000000004</v>
      </c>
      <c r="O68">
        <v>0.21301339999999999</v>
      </c>
      <c r="P68">
        <v>83.757575759999995</v>
      </c>
      <c r="Q68">
        <v>22.60997987</v>
      </c>
      <c r="R68">
        <v>0.72884000000000004</v>
      </c>
      <c r="S68">
        <v>0.21301339999999999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</row>
    <row r="69" spans="1:27" x14ac:dyDescent="0.25">
      <c r="A69" t="s">
        <v>76</v>
      </c>
      <c r="B69" t="s">
        <v>852</v>
      </c>
      <c r="C69">
        <v>10</v>
      </c>
      <c r="D69" t="s">
        <v>31</v>
      </c>
      <c r="E69" t="s">
        <v>94</v>
      </c>
      <c r="F69" t="s">
        <v>113</v>
      </c>
      <c r="G69" t="s">
        <v>113</v>
      </c>
      <c r="H69" t="s">
        <v>238</v>
      </c>
      <c r="J69">
        <v>0</v>
      </c>
      <c r="K69">
        <v>1</v>
      </c>
      <c r="L69">
        <v>83.757575759999995</v>
      </c>
      <c r="M69">
        <v>22.60997987</v>
      </c>
      <c r="N69">
        <v>0.72884000000000004</v>
      </c>
      <c r="O69">
        <v>0.21301339999999999</v>
      </c>
      <c r="P69">
        <v>87.5</v>
      </c>
      <c r="Q69">
        <v>29.478311600000001</v>
      </c>
      <c r="R69">
        <v>3.0797751000000002E-2</v>
      </c>
      <c r="S69">
        <v>0.12931835</v>
      </c>
      <c r="T69">
        <v>-3.7424242400000001</v>
      </c>
      <c r="U69">
        <v>3.7424242400000001</v>
      </c>
      <c r="V69">
        <v>-6.8683317300000004</v>
      </c>
      <c r="W69">
        <v>6.8683317300000004</v>
      </c>
      <c r="X69">
        <v>0.698042249</v>
      </c>
      <c r="Y69">
        <v>0.698042249</v>
      </c>
      <c r="Z69">
        <v>8.3695049999999993E-2</v>
      </c>
      <c r="AA69">
        <v>8.3695049999999993E-2</v>
      </c>
    </row>
    <row r="70" spans="1:27" x14ac:dyDescent="0.25">
      <c r="A70" t="s">
        <v>76</v>
      </c>
      <c r="B70" t="s">
        <v>852</v>
      </c>
      <c r="C70">
        <v>10</v>
      </c>
      <c r="D70" t="s">
        <v>31</v>
      </c>
      <c r="E70" t="s">
        <v>94</v>
      </c>
      <c r="F70" t="s">
        <v>113</v>
      </c>
      <c r="G70" t="s">
        <v>113</v>
      </c>
      <c r="H70" t="s">
        <v>235</v>
      </c>
      <c r="J70">
        <v>0</v>
      </c>
      <c r="K70">
        <v>5</v>
      </c>
      <c r="L70">
        <v>83.757575759999995</v>
      </c>
      <c r="M70">
        <v>22.60997987</v>
      </c>
      <c r="N70">
        <v>0.72884000000000004</v>
      </c>
      <c r="O70">
        <v>0.21301339999999999</v>
      </c>
      <c r="P70">
        <v>132.27272730000001</v>
      </c>
      <c r="Q70">
        <v>20.180448590000001</v>
      </c>
      <c r="R70">
        <v>3.7813451999999997E-2</v>
      </c>
      <c r="S70">
        <v>0.41404401000000002</v>
      </c>
      <c r="T70">
        <v>-48.515151539999998</v>
      </c>
      <c r="U70">
        <v>48.515151539999998</v>
      </c>
      <c r="V70">
        <v>2.42953128</v>
      </c>
      <c r="W70">
        <v>2.42953128</v>
      </c>
      <c r="X70">
        <v>0.69102654799999996</v>
      </c>
      <c r="Y70">
        <v>0.69102654799999996</v>
      </c>
      <c r="Z70">
        <v>-0.20103061000000003</v>
      </c>
      <c r="AA70">
        <v>0.20103061000000003</v>
      </c>
    </row>
    <row r="71" spans="1:27" x14ac:dyDescent="0.25">
      <c r="A71" t="s">
        <v>76</v>
      </c>
      <c r="B71" t="s">
        <v>852</v>
      </c>
      <c r="C71">
        <v>10</v>
      </c>
      <c r="D71" t="s">
        <v>31</v>
      </c>
      <c r="E71" t="s">
        <v>94</v>
      </c>
      <c r="F71" t="s">
        <v>113</v>
      </c>
      <c r="G71" t="s">
        <v>113</v>
      </c>
      <c r="H71" t="s">
        <v>235</v>
      </c>
      <c r="J71">
        <v>0</v>
      </c>
      <c r="K71">
        <v>5</v>
      </c>
      <c r="L71">
        <v>83.757575759999995</v>
      </c>
      <c r="M71">
        <v>22.60997987</v>
      </c>
      <c r="N71">
        <v>0.72884000000000004</v>
      </c>
      <c r="O71">
        <v>0.21301339999999999</v>
      </c>
      <c r="P71">
        <v>132.27272730000001</v>
      </c>
      <c r="Q71">
        <v>20.180448590000001</v>
      </c>
      <c r="R71">
        <v>3.7813451999999997E-2</v>
      </c>
      <c r="S71">
        <v>0.41404401000000002</v>
      </c>
      <c r="T71">
        <v>-48.515151539999998</v>
      </c>
      <c r="U71">
        <v>48.515151539999998</v>
      </c>
      <c r="V71">
        <v>2.42953128</v>
      </c>
      <c r="W71">
        <v>2.42953128</v>
      </c>
      <c r="X71">
        <v>0.69102654799999996</v>
      </c>
      <c r="Y71">
        <v>0.69102654799999996</v>
      </c>
      <c r="Z71">
        <v>-0.20103061000000003</v>
      </c>
      <c r="AA71">
        <v>0.20103061000000003</v>
      </c>
    </row>
    <row r="72" spans="1:27" x14ac:dyDescent="0.25">
      <c r="A72" t="s">
        <v>76</v>
      </c>
      <c r="B72" t="s">
        <v>852</v>
      </c>
      <c r="C72">
        <v>10</v>
      </c>
      <c r="D72" t="s">
        <v>31</v>
      </c>
      <c r="E72" t="s">
        <v>94</v>
      </c>
      <c r="F72" t="s">
        <v>113</v>
      </c>
      <c r="G72" t="s">
        <v>113</v>
      </c>
      <c r="H72" t="s">
        <v>235</v>
      </c>
      <c r="J72">
        <v>0</v>
      </c>
      <c r="K72">
        <v>5</v>
      </c>
      <c r="L72">
        <v>83.757575759999995</v>
      </c>
      <c r="M72">
        <v>22.60997987</v>
      </c>
      <c r="N72">
        <v>0.72884000000000004</v>
      </c>
      <c r="O72">
        <v>0.21301339999999999</v>
      </c>
      <c r="P72">
        <v>132.27272730000001</v>
      </c>
      <c r="Q72">
        <v>20.180448590000001</v>
      </c>
      <c r="R72">
        <v>3.7813451999999997E-2</v>
      </c>
      <c r="S72">
        <v>0.41404401000000002</v>
      </c>
      <c r="T72">
        <v>-48.515151539999998</v>
      </c>
      <c r="U72">
        <v>48.515151539999998</v>
      </c>
      <c r="V72">
        <v>2.42953128</v>
      </c>
      <c r="W72">
        <v>2.42953128</v>
      </c>
      <c r="X72">
        <v>0.69102654799999996</v>
      </c>
      <c r="Y72">
        <v>0.69102654799999996</v>
      </c>
      <c r="Z72">
        <v>-0.20103061000000003</v>
      </c>
      <c r="AA72">
        <v>0.20103061000000003</v>
      </c>
    </row>
    <row r="73" spans="1:27" x14ac:dyDescent="0.25">
      <c r="A73" t="s">
        <v>76</v>
      </c>
      <c r="B73" t="s">
        <v>852</v>
      </c>
      <c r="C73">
        <v>10</v>
      </c>
      <c r="D73" t="s">
        <v>31</v>
      </c>
      <c r="E73" t="s">
        <v>94</v>
      </c>
      <c r="F73" t="s">
        <v>113</v>
      </c>
      <c r="G73" t="s">
        <v>113</v>
      </c>
      <c r="H73" t="s">
        <v>235</v>
      </c>
      <c r="J73">
        <v>0</v>
      </c>
      <c r="K73">
        <v>5</v>
      </c>
      <c r="L73">
        <v>83.757575759999995</v>
      </c>
      <c r="M73">
        <v>22.60997987</v>
      </c>
      <c r="N73">
        <v>0.72884000000000004</v>
      </c>
      <c r="O73">
        <v>0.21301339999999999</v>
      </c>
      <c r="P73">
        <v>132.27272730000001</v>
      </c>
      <c r="Q73">
        <v>20.180448590000001</v>
      </c>
      <c r="R73">
        <v>3.7813451999999997E-2</v>
      </c>
      <c r="S73">
        <v>0.41404401000000002</v>
      </c>
      <c r="T73">
        <v>-48.515151539999998</v>
      </c>
      <c r="U73">
        <v>48.515151539999998</v>
      </c>
      <c r="V73">
        <v>2.42953128</v>
      </c>
      <c r="W73">
        <v>2.42953128</v>
      </c>
      <c r="X73">
        <v>0.69102654799999996</v>
      </c>
      <c r="Y73">
        <v>0.69102654799999996</v>
      </c>
      <c r="Z73">
        <v>-0.20103061000000003</v>
      </c>
      <c r="AA73">
        <v>0.20103061000000003</v>
      </c>
    </row>
    <row r="74" spans="1:27" x14ac:dyDescent="0.25">
      <c r="A74" t="s">
        <v>76</v>
      </c>
      <c r="B74" t="s">
        <v>852</v>
      </c>
      <c r="C74">
        <v>10</v>
      </c>
      <c r="D74" t="s">
        <v>31</v>
      </c>
      <c r="E74" t="s">
        <v>94</v>
      </c>
      <c r="F74" t="s">
        <v>113</v>
      </c>
      <c r="G74" t="s">
        <v>113</v>
      </c>
      <c r="H74" t="s">
        <v>235</v>
      </c>
      <c r="J74">
        <v>0</v>
      </c>
      <c r="K74">
        <v>5</v>
      </c>
      <c r="L74">
        <v>83.757575759999995</v>
      </c>
      <c r="M74">
        <v>22.60997987</v>
      </c>
      <c r="N74">
        <v>0.72884000000000004</v>
      </c>
      <c r="O74">
        <v>0.21301339999999999</v>
      </c>
      <c r="P74">
        <v>132.27272730000001</v>
      </c>
      <c r="Q74">
        <v>20.180448590000001</v>
      </c>
      <c r="R74">
        <v>3.7813451999999997E-2</v>
      </c>
      <c r="S74">
        <v>0.41404401000000002</v>
      </c>
      <c r="T74">
        <v>-48.515151539999998</v>
      </c>
      <c r="U74">
        <v>48.515151539999998</v>
      </c>
      <c r="V74">
        <v>2.42953128</v>
      </c>
      <c r="W74">
        <v>2.42953128</v>
      </c>
      <c r="X74">
        <v>0.69102654799999996</v>
      </c>
      <c r="Y74">
        <v>0.69102654799999996</v>
      </c>
      <c r="Z74">
        <v>-0.20103061000000003</v>
      </c>
      <c r="AA74">
        <v>0.20103061000000003</v>
      </c>
    </row>
    <row r="75" spans="1:27" x14ac:dyDescent="0.25">
      <c r="A75" t="s">
        <v>77</v>
      </c>
      <c r="B75" t="s">
        <v>853</v>
      </c>
      <c r="C75">
        <v>10</v>
      </c>
      <c r="D75" t="s">
        <v>33</v>
      </c>
      <c r="E75" t="s">
        <v>94</v>
      </c>
      <c r="F75" t="s">
        <v>102</v>
      </c>
      <c r="G75" t="s">
        <v>110</v>
      </c>
      <c r="H75" t="s">
        <v>110</v>
      </c>
      <c r="J75">
        <v>0</v>
      </c>
      <c r="K75">
        <v>1</v>
      </c>
      <c r="L75">
        <v>84.740740740000007</v>
      </c>
      <c r="M75">
        <v>29.167014049999999</v>
      </c>
      <c r="N75">
        <v>1.1169849999999999</v>
      </c>
      <c r="O75">
        <v>1.1571499000000001</v>
      </c>
      <c r="P75">
        <v>73.260869569999997</v>
      </c>
      <c r="Q75">
        <v>34.453830549999999</v>
      </c>
      <c r="R75">
        <v>1.058333333</v>
      </c>
      <c r="S75">
        <v>0.90897070000000002</v>
      </c>
      <c r="T75">
        <v>11.479871169999999</v>
      </c>
      <c r="U75">
        <v>11.479871169999999</v>
      </c>
      <c r="V75">
        <v>-5.2868164999999996</v>
      </c>
      <c r="W75">
        <v>5.2868164999999996</v>
      </c>
      <c r="X75">
        <v>5.8651666999999998E-2</v>
      </c>
      <c r="Y75">
        <v>5.8651666999999998E-2</v>
      </c>
      <c r="Z75">
        <v>0.24817920000000004</v>
      </c>
      <c r="AA75">
        <v>0.24817920000000004</v>
      </c>
    </row>
    <row r="76" spans="1:27" x14ac:dyDescent="0.25">
      <c r="A76" t="s">
        <v>77</v>
      </c>
      <c r="B76" t="s">
        <v>853</v>
      </c>
      <c r="C76">
        <v>10</v>
      </c>
      <c r="D76" t="s">
        <v>33</v>
      </c>
      <c r="E76" t="s">
        <v>94</v>
      </c>
      <c r="F76" t="s">
        <v>102</v>
      </c>
      <c r="G76" t="s">
        <v>110</v>
      </c>
      <c r="H76" t="s">
        <v>162</v>
      </c>
      <c r="J76">
        <v>0</v>
      </c>
      <c r="K76">
        <v>1</v>
      </c>
      <c r="L76">
        <v>84.740740740000007</v>
      </c>
      <c r="M76">
        <v>29.167014049999999</v>
      </c>
      <c r="N76">
        <v>1.1169849999999999</v>
      </c>
      <c r="O76">
        <v>1.1571499000000001</v>
      </c>
      <c r="P76">
        <v>82.53846154</v>
      </c>
      <c r="Q76">
        <v>35.660530039999998</v>
      </c>
      <c r="R76">
        <v>3.3754499999999998</v>
      </c>
      <c r="S76" t="s">
        <v>114</v>
      </c>
      <c r="T76">
        <v>2.2022792</v>
      </c>
      <c r="U76">
        <v>2.2022792</v>
      </c>
      <c r="V76">
        <v>-6.4935159899999997</v>
      </c>
      <c r="W76">
        <v>6.4935159899999997</v>
      </c>
      <c r="X76">
        <v>-2.2584650000000002</v>
      </c>
      <c r="Y76">
        <v>2.2584650000000002</v>
      </c>
      <c r="Z76" t="s">
        <v>114</v>
      </c>
      <c r="AA76" t="s">
        <v>114</v>
      </c>
    </row>
    <row r="77" spans="1:27" x14ac:dyDescent="0.25">
      <c r="A77" t="s">
        <v>77</v>
      </c>
      <c r="B77" t="s">
        <v>854</v>
      </c>
      <c r="C77">
        <v>10</v>
      </c>
      <c r="D77" t="s">
        <v>33</v>
      </c>
      <c r="E77" t="s">
        <v>94</v>
      </c>
      <c r="F77" t="s">
        <v>110</v>
      </c>
      <c r="G77" t="s">
        <v>110</v>
      </c>
      <c r="H77" t="s">
        <v>110</v>
      </c>
      <c r="J77">
        <v>0</v>
      </c>
      <c r="K77">
        <v>3</v>
      </c>
      <c r="L77">
        <v>73.260869569999997</v>
      </c>
      <c r="M77">
        <v>34.453830549999999</v>
      </c>
      <c r="N77">
        <v>1.058333333</v>
      </c>
      <c r="O77">
        <v>0.90897070000000002</v>
      </c>
      <c r="P77">
        <v>73.260869569999997</v>
      </c>
      <c r="Q77">
        <v>34.453830549999999</v>
      </c>
      <c r="R77">
        <v>1.058333333</v>
      </c>
      <c r="S77">
        <v>0.90897070000000002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</row>
    <row r="78" spans="1:27" x14ac:dyDescent="0.25">
      <c r="A78" t="s">
        <v>77</v>
      </c>
      <c r="B78" t="s">
        <v>854</v>
      </c>
      <c r="C78">
        <v>10</v>
      </c>
      <c r="D78" t="s">
        <v>33</v>
      </c>
      <c r="E78" t="s">
        <v>94</v>
      </c>
      <c r="F78" t="s">
        <v>110</v>
      </c>
      <c r="G78" t="s">
        <v>110</v>
      </c>
      <c r="H78" t="s">
        <v>110</v>
      </c>
      <c r="J78">
        <v>0</v>
      </c>
      <c r="K78">
        <v>3</v>
      </c>
      <c r="L78">
        <v>73.260869569999997</v>
      </c>
      <c r="M78">
        <v>34.453830549999999</v>
      </c>
      <c r="N78">
        <v>1.058333333</v>
      </c>
      <c r="O78">
        <v>0.90897070000000002</v>
      </c>
      <c r="P78">
        <v>73.260869569999997</v>
      </c>
      <c r="Q78">
        <v>34.453830549999999</v>
      </c>
      <c r="R78">
        <v>1.058333333</v>
      </c>
      <c r="S78">
        <v>0.90897070000000002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</row>
    <row r="79" spans="1:27" x14ac:dyDescent="0.25">
      <c r="A79" t="s">
        <v>77</v>
      </c>
      <c r="B79" t="s">
        <v>854</v>
      </c>
      <c r="C79">
        <v>10</v>
      </c>
      <c r="D79" t="s">
        <v>33</v>
      </c>
      <c r="E79" t="s">
        <v>94</v>
      </c>
      <c r="F79" t="s">
        <v>110</v>
      </c>
      <c r="G79" t="s">
        <v>110</v>
      </c>
      <c r="H79" t="s">
        <v>110</v>
      </c>
      <c r="J79">
        <v>0</v>
      </c>
      <c r="K79">
        <v>3</v>
      </c>
      <c r="L79">
        <v>73.260869569999997</v>
      </c>
      <c r="M79">
        <v>34.453830549999999</v>
      </c>
      <c r="N79">
        <v>1.058333333</v>
      </c>
      <c r="O79">
        <v>0.90897070000000002</v>
      </c>
      <c r="P79">
        <v>73.260869569999997</v>
      </c>
      <c r="Q79">
        <v>34.453830549999999</v>
      </c>
      <c r="R79">
        <v>1.058333333</v>
      </c>
      <c r="S79">
        <v>0.90897070000000002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</row>
    <row r="80" spans="1:27" x14ac:dyDescent="0.25">
      <c r="A80" t="s">
        <v>78</v>
      </c>
      <c r="B80" t="s">
        <v>855</v>
      </c>
      <c r="C80">
        <v>10</v>
      </c>
      <c r="D80" t="s">
        <v>35</v>
      </c>
      <c r="E80" t="s">
        <v>94</v>
      </c>
      <c r="F80" t="s">
        <v>111</v>
      </c>
      <c r="G80" t="s">
        <v>121</v>
      </c>
      <c r="H80" t="s">
        <v>114</v>
      </c>
      <c r="J80">
        <v>0</v>
      </c>
      <c r="K80">
        <v>0</v>
      </c>
      <c r="L80">
        <v>94.97142857</v>
      </c>
      <c r="M80">
        <v>24.31591813</v>
      </c>
      <c r="N80">
        <v>0.122951111</v>
      </c>
      <c r="O80">
        <v>0.39050790000000002</v>
      </c>
      <c r="P80" t="s">
        <v>114</v>
      </c>
      <c r="Q80" t="s">
        <v>114</v>
      </c>
      <c r="R80" t="s">
        <v>114</v>
      </c>
      <c r="S80" t="s">
        <v>114</v>
      </c>
      <c r="T80" t="s">
        <v>114</v>
      </c>
      <c r="U80" t="s">
        <v>114</v>
      </c>
      <c r="V80" t="s">
        <v>114</v>
      </c>
      <c r="W80" t="s">
        <v>114</v>
      </c>
      <c r="X80" t="s">
        <v>114</v>
      </c>
      <c r="Y80" t="s">
        <v>114</v>
      </c>
      <c r="Z80" t="s">
        <v>114</v>
      </c>
      <c r="AA80" t="s">
        <v>114</v>
      </c>
    </row>
    <row r="81" spans="1:27" x14ac:dyDescent="0.25">
      <c r="A81" t="s">
        <v>50</v>
      </c>
      <c r="B81" t="s">
        <v>856</v>
      </c>
      <c r="C81">
        <v>12</v>
      </c>
      <c r="D81" t="s">
        <v>11</v>
      </c>
      <c r="E81" t="s">
        <v>95</v>
      </c>
      <c r="F81" t="s">
        <v>113</v>
      </c>
      <c r="G81" t="s">
        <v>113</v>
      </c>
      <c r="H81" t="s">
        <v>113</v>
      </c>
      <c r="J81">
        <v>0</v>
      </c>
      <c r="K81">
        <v>6</v>
      </c>
      <c r="L81">
        <v>83.757575759999995</v>
      </c>
      <c r="M81">
        <v>22.60997987</v>
      </c>
      <c r="N81">
        <v>0.72884000000000004</v>
      </c>
      <c r="O81">
        <v>0.21301339999999999</v>
      </c>
      <c r="P81">
        <v>83.757575759999995</v>
      </c>
      <c r="Q81">
        <v>22.60997987</v>
      </c>
      <c r="R81">
        <v>0.72884000000000004</v>
      </c>
      <c r="S81">
        <v>0.21301339999999999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</row>
    <row r="82" spans="1:27" x14ac:dyDescent="0.25">
      <c r="A82" t="s">
        <v>50</v>
      </c>
      <c r="B82" t="s">
        <v>856</v>
      </c>
      <c r="C82">
        <v>12</v>
      </c>
      <c r="D82" t="s">
        <v>11</v>
      </c>
      <c r="E82" t="s">
        <v>95</v>
      </c>
      <c r="F82" t="s">
        <v>113</v>
      </c>
      <c r="G82" t="s">
        <v>113</v>
      </c>
      <c r="H82" t="s">
        <v>113</v>
      </c>
      <c r="J82">
        <v>0</v>
      </c>
      <c r="K82">
        <v>6</v>
      </c>
      <c r="L82">
        <v>83.757575759999995</v>
      </c>
      <c r="M82">
        <v>22.60997987</v>
      </c>
      <c r="N82">
        <v>0.72884000000000004</v>
      </c>
      <c r="O82">
        <v>0.21301339999999999</v>
      </c>
      <c r="P82">
        <v>83.757575759999995</v>
      </c>
      <c r="Q82">
        <v>22.60997987</v>
      </c>
      <c r="R82">
        <v>0.72884000000000004</v>
      </c>
      <c r="S82">
        <v>0.21301339999999999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</row>
    <row r="83" spans="1:27" x14ac:dyDescent="0.25">
      <c r="A83" t="s">
        <v>50</v>
      </c>
      <c r="B83" t="s">
        <v>856</v>
      </c>
      <c r="C83">
        <v>12</v>
      </c>
      <c r="D83" t="s">
        <v>11</v>
      </c>
      <c r="E83" t="s">
        <v>95</v>
      </c>
      <c r="F83" t="s">
        <v>113</v>
      </c>
      <c r="G83" t="s">
        <v>113</v>
      </c>
      <c r="H83" t="s">
        <v>113</v>
      </c>
      <c r="J83">
        <v>0</v>
      </c>
      <c r="K83">
        <v>6</v>
      </c>
      <c r="L83">
        <v>83.757575759999995</v>
      </c>
      <c r="M83">
        <v>22.60997987</v>
      </c>
      <c r="N83">
        <v>0.72884000000000004</v>
      </c>
      <c r="O83">
        <v>0.21301339999999999</v>
      </c>
      <c r="P83">
        <v>83.757575759999995</v>
      </c>
      <c r="Q83">
        <v>22.60997987</v>
      </c>
      <c r="R83">
        <v>0.72884000000000004</v>
      </c>
      <c r="S83">
        <v>0.21301339999999999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</row>
    <row r="84" spans="1:27" x14ac:dyDescent="0.25">
      <c r="A84" t="s">
        <v>50</v>
      </c>
      <c r="B84" t="s">
        <v>856</v>
      </c>
      <c r="C84">
        <v>12</v>
      </c>
      <c r="D84" t="s">
        <v>11</v>
      </c>
      <c r="E84" t="s">
        <v>95</v>
      </c>
      <c r="F84" t="s">
        <v>113</v>
      </c>
      <c r="G84" t="s">
        <v>113</v>
      </c>
      <c r="H84" t="s">
        <v>113</v>
      </c>
      <c r="J84">
        <v>0</v>
      </c>
      <c r="K84">
        <v>6</v>
      </c>
      <c r="L84">
        <v>83.757575759999995</v>
      </c>
      <c r="M84">
        <v>22.60997987</v>
      </c>
      <c r="N84">
        <v>0.72884000000000004</v>
      </c>
      <c r="O84">
        <v>0.21301339999999999</v>
      </c>
      <c r="P84">
        <v>83.757575759999995</v>
      </c>
      <c r="Q84">
        <v>22.60997987</v>
      </c>
      <c r="R84">
        <v>0.72884000000000004</v>
      </c>
      <c r="S84">
        <v>0.21301339999999999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</row>
    <row r="85" spans="1:27" x14ac:dyDescent="0.25">
      <c r="A85" t="s">
        <v>50</v>
      </c>
      <c r="B85" t="s">
        <v>856</v>
      </c>
      <c r="C85">
        <v>12</v>
      </c>
      <c r="D85" t="s">
        <v>11</v>
      </c>
      <c r="E85" t="s">
        <v>95</v>
      </c>
      <c r="F85" t="s">
        <v>113</v>
      </c>
      <c r="G85" t="s">
        <v>113</v>
      </c>
      <c r="H85" t="s">
        <v>113</v>
      </c>
      <c r="J85">
        <v>0</v>
      </c>
      <c r="K85">
        <v>6</v>
      </c>
      <c r="L85">
        <v>83.757575759999995</v>
      </c>
      <c r="M85">
        <v>22.60997987</v>
      </c>
      <c r="N85">
        <v>0.72884000000000004</v>
      </c>
      <c r="O85">
        <v>0.21301339999999999</v>
      </c>
      <c r="P85">
        <v>83.757575759999995</v>
      </c>
      <c r="Q85">
        <v>22.60997987</v>
      </c>
      <c r="R85">
        <v>0.72884000000000004</v>
      </c>
      <c r="S85">
        <v>0.21301339999999999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</row>
    <row r="86" spans="1:27" x14ac:dyDescent="0.25">
      <c r="A86" t="s">
        <v>50</v>
      </c>
      <c r="B86" t="s">
        <v>856</v>
      </c>
      <c r="C86">
        <v>12</v>
      </c>
      <c r="D86" t="s">
        <v>11</v>
      </c>
      <c r="E86" t="s">
        <v>95</v>
      </c>
      <c r="F86" t="s">
        <v>113</v>
      </c>
      <c r="G86" t="s">
        <v>113</v>
      </c>
      <c r="H86" t="s">
        <v>113</v>
      </c>
      <c r="J86">
        <v>0</v>
      </c>
      <c r="K86">
        <v>6</v>
      </c>
      <c r="L86">
        <v>83.757575759999995</v>
      </c>
      <c r="M86">
        <v>22.60997987</v>
      </c>
      <c r="N86">
        <v>0.72884000000000004</v>
      </c>
      <c r="O86">
        <v>0.21301339999999999</v>
      </c>
      <c r="P86">
        <v>83.757575759999995</v>
      </c>
      <c r="Q86">
        <v>22.60997987</v>
      </c>
      <c r="R86">
        <v>0.72884000000000004</v>
      </c>
      <c r="S86">
        <v>0.21301339999999999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</row>
    <row r="87" spans="1:27" x14ac:dyDescent="0.25">
      <c r="A87" t="s">
        <v>50</v>
      </c>
      <c r="B87" t="s">
        <v>856</v>
      </c>
      <c r="C87">
        <v>12</v>
      </c>
      <c r="D87" t="s">
        <v>11</v>
      </c>
      <c r="E87" t="s">
        <v>95</v>
      </c>
      <c r="F87" t="s">
        <v>113</v>
      </c>
      <c r="G87" t="s">
        <v>113</v>
      </c>
      <c r="H87" t="s">
        <v>238</v>
      </c>
      <c r="J87">
        <v>0</v>
      </c>
      <c r="K87">
        <v>1</v>
      </c>
      <c r="L87">
        <v>83.757575759999995</v>
      </c>
      <c r="M87">
        <v>22.60997987</v>
      </c>
      <c r="N87">
        <v>0.72884000000000004</v>
      </c>
      <c r="O87">
        <v>0.21301339999999999</v>
      </c>
      <c r="P87">
        <v>87.5</v>
      </c>
      <c r="Q87">
        <v>29.478311600000001</v>
      </c>
      <c r="R87">
        <v>3.0797751000000002E-2</v>
      </c>
      <c r="S87">
        <v>0.12931835</v>
      </c>
      <c r="T87">
        <v>-3.7424242400000001</v>
      </c>
      <c r="U87">
        <v>3.7424242400000001</v>
      </c>
      <c r="V87">
        <v>-6.8683317300000004</v>
      </c>
      <c r="W87">
        <v>6.8683317300000004</v>
      </c>
      <c r="X87">
        <v>0.698042249</v>
      </c>
      <c r="Y87">
        <v>0.698042249</v>
      </c>
      <c r="Z87">
        <v>8.3695049999999993E-2</v>
      </c>
      <c r="AA87">
        <v>8.3695049999999993E-2</v>
      </c>
    </row>
    <row r="88" spans="1:27" x14ac:dyDescent="0.25">
      <c r="A88" t="s">
        <v>50</v>
      </c>
      <c r="B88" t="s">
        <v>857</v>
      </c>
      <c r="C88">
        <v>12</v>
      </c>
      <c r="D88" t="s">
        <v>11</v>
      </c>
      <c r="E88" t="s">
        <v>95</v>
      </c>
      <c r="F88" t="s">
        <v>103</v>
      </c>
      <c r="G88" t="s">
        <v>113</v>
      </c>
      <c r="H88" t="s">
        <v>113</v>
      </c>
      <c r="J88">
        <v>0</v>
      </c>
      <c r="K88">
        <v>4</v>
      </c>
      <c r="L88">
        <v>98.291666669999998</v>
      </c>
      <c r="M88">
        <v>30.315130790000001</v>
      </c>
      <c r="N88">
        <v>5.0803484000000003E-2</v>
      </c>
      <c r="O88">
        <v>0.42866070000000001</v>
      </c>
      <c r="P88">
        <v>83.757575759999995</v>
      </c>
      <c r="Q88">
        <v>22.60997987</v>
      </c>
      <c r="R88">
        <v>0.72884000000000004</v>
      </c>
      <c r="S88">
        <v>0.21301339999999999</v>
      </c>
      <c r="T88">
        <v>14.53409091</v>
      </c>
      <c r="U88">
        <v>14.53409091</v>
      </c>
      <c r="V88">
        <v>7.7051509200000003</v>
      </c>
      <c r="W88">
        <v>7.7051509200000003</v>
      </c>
      <c r="X88">
        <v>-0.67803651600000003</v>
      </c>
      <c r="Y88">
        <v>0.67803651600000003</v>
      </c>
      <c r="Z88">
        <v>0.21564730000000001</v>
      </c>
      <c r="AA88">
        <v>0.21564730000000001</v>
      </c>
    </row>
    <row r="89" spans="1:27" x14ac:dyDescent="0.25">
      <c r="A89" t="s">
        <v>50</v>
      </c>
      <c r="B89" t="s">
        <v>857</v>
      </c>
      <c r="C89">
        <v>12</v>
      </c>
      <c r="D89" t="s">
        <v>11</v>
      </c>
      <c r="E89" t="s">
        <v>95</v>
      </c>
      <c r="F89" t="s">
        <v>103</v>
      </c>
      <c r="G89" t="s">
        <v>113</v>
      </c>
      <c r="H89" t="s">
        <v>113</v>
      </c>
      <c r="J89">
        <v>0</v>
      </c>
      <c r="K89">
        <v>4</v>
      </c>
      <c r="L89">
        <v>98.291666669999998</v>
      </c>
      <c r="M89">
        <v>30.315130790000001</v>
      </c>
      <c r="N89">
        <v>5.0803484000000003E-2</v>
      </c>
      <c r="O89">
        <v>0.42866070000000001</v>
      </c>
      <c r="P89">
        <v>83.757575759999995</v>
      </c>
      <c r="Q89">
        <v>22.60997987</v>
      </c>
      <c r="R89">
        <v>0.72884000000000004</v>
      </c>
      <c r="S89">
        <v>0.21301339999999999</v>
      </c>
      <c r="T89">
        <v>14.53409091</v>
      </c>
      <c r="U89">
        <v>14.53409091</v>
      </c>
      <c r="V89">
        <v>7.7051509200000003</v>
      </c>
      <c r="W89">
        <v>7.7051509200000003</v>
      </c>
      <c r="X89">
        <v>-0.67803651600000003</v>
      </c>
      <c r="Y89">
        <v>0.67803651600000003</v>
      </c>
      <c r="Z89">
        <v>0.21564730000000001</v>
      </c>
      <c r="AA89">
        <v>0.21564730000000001</v>
      </c>
    </row>
    <row r="90" spans="1:27" x14ac:dyDescent="0.25">
      <c r="A90" t="s">
        <v>50</v>
      </c>
      <c r="B90" t="s">
        <v>857</v>
      </c>
      <c r="C90">
        <v>12</v>
      </c>
      <c r="D90" t="s">
        <v>11</v>
      </c>
      <c r="E90" t="s">
        <v>95</v>
      </c>
      <c r="F90" t="s">
        <v>103</v>
      </c>
      <c r="G90" t="s">
        <v>113</v>
      </c>
      <c r="H90" t="s">
        <v>113</v>
      </c>
      <c r="J90">
        <v>0</v>
      </c>
      <c r="K90">
        <v>4</v>
      </c>
      <c r="L90">
        <v>98.291666669999998</v>
      </c>
      <c r="M90">
        <v>30.315130790000001</v>
      </c>
      <c r="N90">
        <v>5.0803484000000003E-2</v>
      </c>
      <c r="O90">
        <v>0.42866070000000001</v>
      </c>
      <c r="P90">
        <v>83.757575759999995</v>
      </c>
      <c r="Q90">
        <v>22.60997987</v>
      </c>
      <c r="R90">
        <v>0.72884000000000004</v>
      </c>
      <c r="S90">
        <v>0.21301339999999999</v>
      </c>
      <c r="T90">
        <v>14.53409091</v>
      </c>
      <c r="U90">
        <v>14.53409091</v>
      </c>
      <c r="V90">
        <v>7.7051509200000003</v>
      </c>
      <c r="W90">
        <v>7.7051509200000003</v>
      </c>
      <c r="X90">
        <v>-0.67803651600000003</v>
      </c>
      <c r="Y90">
        <v>0.67803651600000003</v>
      </c>
      <c r="Z90">
        <v>0.21564730000000001</v>
      </c>
      <c r="AA90">
        <v>0.21564730000000001</v>
      </c>
    </row>
    <row r="91" spans="1:27" x14ac:dyDescent="0.25">
      <c r="A91" t="s">
        <v>50</v>
      </c>
      <c r="B91" t="s">
        <v>857</v>
      </c>
      <c r="C91">
        <v>12</v>
      </c>
      <c r="D91" t="s">
        <v>11</v>
      </c>
      <c r="E91" t="s">
        <v>95</v>
      </c>
      <c r="F91" t="s">
        <v>103</v>
      </c>
      <c r="G91" t="s">
        <v>113</v>
      </c>
      <c r="H91" t="s">
        <v>113</v>
      </c>
      <c r="J91">
        <v>0</v>
      </c>
      <c r="K91">
        <v>4</v>
      </c>
      <c r="L91">
        <v>98.291666669999998</v>
      </c>
      <c r="M91">
        <v>30.315130790000001</v>
      </c>
      <c r="N91">
        <v>5.0803484000000003E-2</v>
      </c>
      <c r="O91">
        <v>0.42866070000000001</v>
      </c>
      <c r="P91">
        <v>83.757575759999995</v>
      </c>
      <c r="Q91">
        <v>22.60997987</v>
      </c>
      <c r="R91">
        <v>0.72884000000000004</v>
      </c>
      <c r="S91">
        <v>0.21301339999999999</v>
      </c>
      <c r="T91">
        <v>14.53409091</v>
      </c>
      <c r="U91">
        <v>14.53409091</v>
      </c>
      <c r="V91">
        <v>7.7051509200000003</v>
      </c>
      <c r="W91">
        <v>7.7051509200000003</v>
      </c>
      <c r="X91">
        <v>-0.67803651600000003</v>
      </c>
      <c r="Y91">
        <v>0.67803651600000003</v>
      </c>
      <c r="Z91">
        <v>0.21564730000000001</v>
      </c>
      <c r="AA91">
        <v>0.21564730000000001</v>
      </c>
    </row>
    <row r="92" spans="1:27" x14ac:dyDescent="0.25">
      <c r="A92" t="s">
        <v>50</v>
      </c>
      <c r="B92" t="s">
        <v>857</v>
      </c>
      <c r="C92">
        <v>12</v>
      </c>
      <c r="D92" t="s">
        <v>11</v>
      </c>
      <c r="E92" t="s">
        <v>95</v>
      </c>
      <c r="F92" t="s">
        <v>103</v>
      </c>
      <c r="G92" t="s">
        <v>113</v>
      </c>
      <c r="H92" t="s">
        <v>242</v>
      </c>
      <c r="J92">
        <v>0</v>
      </c>
      <c r="K92">
        <v>3</v>
      </c>
      <c r="L92">
        <v>98.291666669999998</v>
      </c>
      <c r="M92">
        <v>30.315130790000001</v>
      </c>
      <c r="N92">
        <v>5.0803484000000003E-2</v>
      </c>
      <c r="O92">
        <v>0.42866070000000001</v>
      </c>
      <c r="P92">
        <v>139.375</v>
      </c>
      <c r="Q92">
        <v>23.713465920000001</v>
      </c>
      <c r="R92" t="s">
        <v>114</v>
      </c>
      <c r="S92" t="s">
        <v>114</v>
      </c>
      <c r="T92">
        <v>-41.083333330000002</v>
      </c>
      <c r="U92">
        <v>41.083333330000002</v>
      </c>
      <c r="V92">
        <v>6.6016648699999996</v>
      </c>
      <c r="W92">
        <v>6.6016648699999996</v>
      </c>
      <c r="X92" t="s">
        <v>114</v>
      </c>
      <c r="Y92" t="s">
        <v>114</v>
      </c>
      <c r="Z92" t="s">
        <v>114</v>
      </c>
      <c r="AA92" t="s">
        <v>114</v>
      </c>
    </row>
    <row r="93" spans="1:27" x14ac:dyDescent="0.25">
      <c r="A93" t="s">
        <v>50</v>
      </c>
      <c r="B93" t="s">
        <v>857</v>
      </c>
      <c r="C93">
        <v>12</v>
      </c>
      <c r="D93" t="s">
        <v>11</v>
      </c>
      <c r="E93" t="s">
        <v>95</v>
      </c>
      <c r="F93" t="s">
        <v>103</v>
      </c>
      <c r="G93" t="s">
        <v>113</v>
      </c>
      <c r="H93" t="s">
        <v>242</v>
      </c>
      <c r="J93">
        <v>0</v>
      </c>
      <c r="K93">
        <v>3</v>
      </c>
      <c r="L93">
        <v>98.291666669999998</v>
      </c>
      <c r="M93">
        <v>30.315130790000001</v>
      </c>
      <c r="N93">
        <v>5.0803484000000003E-2</v>
      </c>
      <c r="O93">
        <v>0.42866070000000001</v>
      </c>
      <c r="P93">
        <v>139.375</v>
      </c>
      <c r="Q93">
        <v>23.713465920000001</v>
      </c>
      <c r="R93" t="s">
        <v>114</v>
      </c>
      <c r="S93" t="s">
        <v>114</v>
      </c>
      <c r="T93">
        <v>-41.083333330000002</v>
      </c>
      <c r="U93">
        <v>41.083333330000002</v>
      </c>
      <c r="V93">
        <v>6.6016648699999996</v>
      </c>
      <c r="W93">
        <v>6.6016648699999996</v>
      </c>
      <c r="X93" t="s">
        <v>114</v>
      </c>
      <c r="Y93" t="s">
        <v>114</v>
      </c>
      <c r="Z93" t="s">
        <v>114</v>
      </c>
      <c r="AA93" t="s">
        <v>114</v>
      </c>
    </row>
    <row r="94" spans="1:27" x14ac:dyDescent="0.25">
      <c r="A94" t="s">
        <v>50</v>
      </c>
      <c r="B94" t="s">
        <v>857</v>
      </c>
      <c r="C94">
        <v>12</v>
      </c>
      <c r="D94" t="s">
        <v>11</v>
      </c>
      <c r="E94" t="s">
        <v>95</v>
      </c>
      <c r="F94" t="s">
        <v>103</v>
      </c>
      <c r="G94" t="s">
        <v>113</v>
      </c>
      <c r="H94" t="s">
        <v>242</v>
      </c>
      <c r="J94">
        <v>0</v>
      </c>
      <c r="K94">
        <v>3</v>
      </c>
      <c r="L94">
        <v>98.291666669999998</v>
      </c>
      <c r="M94">
        <v>30.315130790000001</v>
      </c>
      <c r="N94">
        <v>5.0803484000000003E-2</v>
      </c>
      <c r="O94">
        <v>0.42866070000000001</v>
      </c>
      <c r="P94">
        <v>139.375</v>
      </c>
      <c r="Q94">
        <v>23.713465920000001</v>
      </c>
      <c r="R94" t="s">
        <v>114</v>
      </c>
      <c r="S94" t="s">
        <v>114</v>
      </c>
      <c r="T94">
        <v>-41.083333330000002</v>
      </c>
      <c r="U94">
        <v>41.083333330000002</v>
      </c>
      <c r="V94">
        <v>6.6016648699999996</v>
      </c>
      <c r="W94">
        <v>6.6016648699999996</v>
      </c>
      <c r="X94" t="s">
        <v>114</v>
      </c>
      <c r="Y94" t="s">
        <v>114</v>
      </c>
      <c r="Z94" t="s">
        <v>114</v>
      </c>
      <c r="AA94" t="s">
        <v>114</v>
      </c>
    </row>
    <row r="95" spans="1:27" x14ac:dyDescent="0.25">
      <c r="A95" t="s">
        <v>50</v>
      </c>
      <c r="B95" t="s">
        <v>858</v>
      </c>
      <c r="C95">
        <v>12</v>
      </c>
      <c r="D95" t="s">
        <v>11</v>
      </c>
      <c r="E95" t="s">
        <v>95</v>
      </c>
      <c r="F95" t="s">
        <v>111</v>
      </c>
      <c r="G95" t="s">
        <v>113</v>
      </c>
      <c r="H95" t="s">
        <v>113</v>
      </c>
      <c r="J95">
        <v>0</v>
      </c>
      <c r="K95">
        <v>3</v>
      </c>
      <c r="L95">
        <v>94.97142857</v>
      </c>
      <c r="M95">
        <v>24.31591813</v>
      </c>
      <c r="N95">
        <v>0.122951111</v>
      </c>
      <c r="O95">
        <v>0.39050790000000002</v>
      </c>
      <c r="P95">
        <v>83.757575759999995</v>
      </c>
      <c r="Q95">
        <v>22.60997987</v>
      </c>
      <c r="R95">
        <v>0.72884000000000004</v>
      </c>
      <c r="S95">
        <v>0.21301339999999999</v>
      </c>
      <c r="T95">
        <v>11.213852810000001</v>
      </c>
      <c r="U95">
        <v>11.213852810000001</v>
      </c>
      <c r="V95">
        <v>1.7059382599999999</v>
      </c>
      <c r="W95">
        <v>1.7059382599999999</v>
      </c>
      <c r="X95">
        <v>-0.60588888900000004</v>
      </c>
      <c r="Y95">
        <v>0.60588888900000004</v>
      </c>
      <c r="Z95">
        <v>0.17749450000000003</v>
      </c>
      <c r="AA95">
        <v>0.17749450000000003</v>
      </c>
    </row>
    <row r="96" spans="1:27" x14ac:dyDescent="0.25">
      <c r="A96" t="s">
        <v>50</v>
      </c>
      <c r="B96" t="s">
        <v>858</v>
      </c>
      <c r="C96">
        <v>12</v>
      </c>
      <c r="D96" t="s">
        <v>11</v>
      </c>
      <c r="E96" t="s">
        <v>95</v>
      </c>
      <c r="F96" t="s">
        <v>111</v>
      </c>
      <c r="G96" t="s">
        <v>113</v>
      </c>
      <c r="H96" t="s">
        <v>113</v>
      </c>
      <c r="J96">
        <v>0</v>
      </c>
      <c r="K96">
        <v>3</v>
      </c>
      <c r="L96">
        <v>94.97142857</v>
      </c>
      <c r="M96">
        <v>24.31591813</v>
      </c>
      <c r="N96">
        <v>0.122951111</v>
      </c>
      <c r="O96">
        <v>0.39050790000000002</v>
      </c>
      <c r="P96">
        <v>83.757575759999995</v>
      </c>
      <c r="Q96">
        <v>22.60997987</v>
      </c>
      <c r="R96">
        <v>0.72884000000000004</v>
      </c>
      <c r="S96">
        <v>0.21301339999999999</v>
      </c>
      <c r="T96">
        <v>11.213852810000001</v>
      </c>
      <c r="U96">
        <v>11.213852810000001</v>
      </c>
      <c r="V96">
        <v>1.7059382599999999</v>
      </c>
      <c r="W96">
        <v>1.7059382599999999</v>
      </c>
      <c r="X96">
        <v>-0.60588888900000004</v>
      </c>
      <c r="Y96">
        <v>0.60588888900000004</v>
      </c>
      <c r="Z96">
        <v>0.17749450000000003</v>
      </c>
      <c r="AA96">
        <v>0.17749450000000003</v>
      </c>
    </row>
    <row r="97" spans="1:27" x14ac:dyDescent="0.25">
      <c r="A97" t="s">
        <v>50</v>
      </c>
      <c r="B97" t="s">
        <v>858</v>
      </c>
      <c r="C97">
        <v>12</v>
      </c>
      <c r="D97" t="s">
        <v>11</v>
      </c>
      <c r="E97" t="s">
        <v>95</v>
      </c>
      <c r="F97" t="s">
        <v>111</v>
      </c>
      <c r="G97" t="s">
        <v>113</v>
      </c>
      <c r="H97" t="s">
        <v>113</v>
      </c>
      <c r="J97">
        <v>0</v>
      </c>
      <c r="K97">
        <v>3</v>
      </c>
      <c r="L97">
        <v>94.97142857</v>
      </c>
      <c r="M97">
        <v>24.31591813</v>
      </c>
      <c r="N97">
        <v>0.122951111</v>
      </c>
      <c r="O97">
        <v>0.39050790000000002</v>
      </c>
      <c r="P97">
        <v>83.757575759999995</v>
      </c>
      <c r="Q97">
        <v>22.60997987</v>
      </c>
      <c r="R97">
        <v>0.72884000000000004</v>
      </c>
      <c r="S97">
        <v>0.21301339999999999</v>
      </c>
      <c r="T97">
        <v>11.213852810000001</v>
      </c>
      <c r="U97">
        <v>11.213852810000001</v>
      </c>
      <c r="V97">
        <v>1.7059382599999999</v>
      </c>
      <c r="W97">
        <v>1.7059382599999999</v>
      </c>
      <c r="X97">
        <v>-0.60588888900000004</v>
      </c>
      <c r="Y97">
        <v>0.60588888900000004</v>
      </c>
      <c r="Z97">
        <v>0.17749450000000003</v>
      </c>
      <c r="AA97">
        <v>0.17749450000000003</v>
      </c>
    </row>
    <row r="98" spans="1:27" x14ac:dyDescent="0.25">
      <c r="A98" t="s">
        <v>50</v>
      </c>
      <c r="B98" t="s">
        <v>858</v>
      </c>
      <c r="C98">
        <v>12</v>
      </c>
      <c r="D98" t="s">
        <v>11</v>
      </c>
      <c r="E98" t="s">
        <v>95</v>
      </c>
      <c r="F98" t="s">
        <v>111</v>
      </c>
      <c r="G98" t="s">
        <v>113</v>
      </c>
      <c r="H98" t="s">
        <v>242</v>
      </c>
      <c r="J98">
        <v>0</v>
      </c>
      <c r="K98">
        <v>2</v>
      </c>
      <c r="L98">
        <v>94.97142857</v>
      </c>
      <c r="M98">
        <v>24.31591813</v>
      </c>
      <c r="N98">
        <v>0.122951111</v>
      </c>
      <c r="O98">
        <v>0.39050790000000002</v>
      </c>
      <c r="P98">
        <v>139.375</v>
      </c>
      <c r="Q98">
        <v>23.713465920000001</v>
      </c>
      <c r="R98" t="s">
        <v>114</v>
      </c>
      <c r="S98" t="s">
        <v>114</v>
      </c>
      <c r="T98">
        <v>-44.40357143</v>
      </c>
      <c r="U98">
        <v>44.40357143</v>
      </c>
      <c r="V98">
        <v>0.60245221000000004</v>
      </c>
      <c r="W98">
        <v>0.60245221000000004</v>
      </c>
      <c r="X98" t="s">
        <v>114</v>
      </c>
      <c r="Y98" t="s">
        <v>114</v>
      </c>
      <c r="Z98" t="s">
        <v>114</v>
      </c>
      <c r="AA98" t="s">
        <v>114</v>
      </c>
    </row>
    <row r="99" spans="1:27" x14ac:dyDescent="0.25">
      <c r="A99" t="s">
        <v>50</v>
      </c>
      <c r="B99" t="s">
        <v>858</v>
      </c>
      <c r="C99">
        <v>12</v>
      </c>
      <c r="D99" t="s">
        <v>11</v>
      </c>
      <c r="E99" t="s">
        <v>95</v>
      </c>
      <c r="F99" t="s">
        <v>111</v>
      </c>
      <c r="G99" t="s">
        <v>113</v>
      </c>
      <c r="H99" t="s">
        <v>242</v>
      </c>
      <c r="J99">
        <v>0</v>
      </c>
      <c r="K99">
        <v>2</v>
      </c>
      <c r="L99">
        <v>94.97142857</v>
      </c>
      <c r="M99">
        <v>24.31591813</v>
      </c>
      <c r="N99">
        <v>0.122951111</v>
      </c>
      <c r="O99">
        <v>0.39050790000000002</v>
      </c>
      <c r="P99">
        <v>139.375</v>
      </c>
      <c r="Q99">
        <v>23.713465920000001</v>
      </c>
      <c r="R99" t="s">
        <v>114</v>
      </c>
      <c r="S99" t="s">
        <v>114</v>
      </c>
      <c r="T99">
        <v>-44.40357143</v>
      </c>
      <c r="U99">
        <v>44.40357143</v>
      </c>
      <c r="V99">
        <v>0.60245221000000004</v>
      </c>
      <c r="W99">
        <v>0.60245221000000004</v>
      </c>
      <c r="X99" t="s">
        <v>114</v>
      </c>
      <c r="Y99" t="s">
        <v>114</v>
      </c>
      <c r="Z99" t="s">
        <v>114</v>
      </c>
      <c r="AA99" t="s">
        <v>114</v>
      </c>
    </row>
    <row r="100" spans="1:27" x14ac:dyDescent="0.25">
      <c r="A100" t="s">
        <v>50</v>
      </c>
      <c r="B100" t="s">
        <v>859</v>
      </c>
      <c r="C100">
        <v>12</v>
      </c>
      <c r="D100" t="s">
        <v>11</v>
      </c>
      <c r="E100" t="s">
        <v>95</v>
      </c>
      <c r="F100" t="s">
        <v>104</v>
      </c>
      <c r="G100" t="s">
        <v>121</v>
      </c>
      <c r="H100" t="s">
        <v>103</v>
      </c>
      <c r="J100">
        <v>0</v>
      </c>
      <c r="K100">
        <v>1</v>
      </c>
      <c r="L100">
        <v>113.9375</v>
      </c>
      <c r="M100">
        <v>33.375507550000002</v>
      </c>
      <c r="N100">
        <v>2.4262999999999999</v>
      </c>
      <c r="O100">
        <v>0.40692159999999999</v>
      </c>
      <c r="P100">
        <v>98.291666669999998</v>
      </c>
      <c r="Q100">
        <v>30.315130790000001</v>
      </c>
      <c r="R100">
        <v>5.0803484000000003E-2</v>
      </c>
      <c r="S100">
        <v>0.42866070000000001</v>
      </c>
      <c r="T100">
        <v>15.64583333</v>
      </c>
      <c r="U100">
        <v>15.64583333</v>
      </c>
      <c r="V100">
        <v>3.06037676</v>
      </c>
      <c r="W100">
        <v>3.06037676</v>
      </c>
      <c r="X100">
        <v>2.3754965160000001</v>
      </c>
      <c r="Y100">
        <v>2.3754965160000001</v>
      </c>
      <c r="Z100">
        <v>-2.1739100000000011E-2</v>
      </c>
      <c r="AA100">
        <v>2.1739100000000011E-2</v>
      </c>
    </row>
    <row r="101" spans="1:27" x14ac:dyDescent="0.25">
      <c r="A101" t="s">
        <v>50</v>
      </c>
      <c r="B101" t="s">
        <v>859</v>
      </c>
      <c r="C101">
        <v>12</v>
      </c>
      <c r="D101" t="s">
        <v>11</v>
      </c>
      <c r="E101" t="s">
        <v>95</v>
      </c>
      <c r="F101" t="s">
        <v>104</v>
      </c>
      <c r="G101" t="s">
        <v>121</v>
      </c>
      <c r="H101" t="s">
        <v>238</v>
      </c>
      <c r="J101">
        <v>0</v>
      </c>
      <c r="K101">
        <v>1</v>
      </c>
      <c r="L101">
        <v>113.9375</v>
      </c>
      <c r="M101">
        <v>33.375507550000002</v>
      </c>
      <c r="N101">
        <v>2.4262999999999999</v>
      </c>
      <c r="O101">
        <v>0.40692159999999999</v>
      </c>
      <c r="P101">
        <v>87.5</v>
      </c>
      <c r="Q101">
        <v>29.478311600000001</v>
      </c>
      <c r="R101">
        <v>3.0797751000000002E-2</v>
      </c>
      <c r="S101">
        <v>0.12931835</v>
      </c>
      <c r="T101">
        <v>26.4375</v>
      </c>
      <c r="U101">
        <v>26.4375</v>
      </c>
      <c r="V101">
        <v>3.89719595</v>
      </c>
      <c r="W101">
        <v>3.89719595</v>
      </c>
      <c r="X101">
        <v>2.3955022490000002</v>
      </c>
      <c r="Y101">
        <v>2.3955022490000002</v>
      </c>
      <c r="Z101">
        <v>0.27760324999999997</v>
      </c>
      <c r="AA101">
        <v>0.27760324999999997</v>
      </c>
    </row>
    <row r="102" spans="1:27" x14ac:dyDescent="0.25">
      <c r="A102" t="s">
        <v>51</v>
      </c>
      <c r="B102" t="s">
        <v>860</v>
      </c>
      <c r="C102">
        <v>12</v>
      </c>
      <c r="D102" t="s">
        <v>15</v>
      </c>
      <c r="E102" t="s">
        <v>94</v>
      </c>
      <c r="F102" t="s">
        <v>105</v>
      </c>
      <c r="G102" t="s">
        <v>104</v>
      </c>
      <c r="H102" t="s">
        <v>104</v>
      </c>
      <c r="J102">
        <v>0</v>
      </c>
      <c r="K102">
        <v>2</v>
      </c>
      <c r="L102">
        <v>67.5</v>
      </c>
      <c r="M102">
        <v>47.937235809999997</v>
      </c>
      <c r="N102">
        <v>0.41599678000000001</v>
      </c>
      <c r="O102">
        <v>2.0950346999999998</v>
      </c>
      <c r="P102">
        <v>113.9375</v>
      </c>
      <c r="Q102">
        <v>33.375507550000002</v>
      </c>
      <c r="R102">
        <v>2.4262999999999999</v>
      </c>
      <c r="S102">
        <v>0.40692159999999999</v>
      </c>
      <c r="T102">
        <v>-46.4375</v>
      </c>
      <c r="U102">
        <v>46.4375</v>
      </c>
      <c r="V102">
        <v>14.561728260000001</v>
      </c>
      <c r="W102">
        <v>14.561728260000001</v>
      </c>
      <c r="X102">
        <v>-2.0103032199999999</v>
      </c>
      <c r="Y102">
        <v>2.0103032199999999</v>
      </c>
      <c r="Z102">
        <v>1.6881130999999998</v>
      </c>
      <c r="AA102">
        <v>1.6881130999999998</v>
      </c>
    </row>
    <row r="103" spans="1:27" x14ac:dyDescent="0.25">
      <c r="A103" t="s">
        <v>51</v>
      </c>
      <c r="B103" t="s">
        <v>860</v>
      </c>
      <c r="C103">
        <v>12</v>
      </c>
      <c r="D103" t="s">
        <v>15</v>
      </c>
      <c r="E103" t="s">
        <v>94</v>
      </c>
      <c r="F103" t="s">
        <v>105</v>
      </c>
      <c r="G103" t="s">
        <v>104</v>
      </c>
      <c r="H103" t="s">
        <v>104</v>
      </c>
      <c r="J103">
        <v>0</v>
      </c>
      <c r="K103">
        <v>2</v>
      </c>
      <c r="L103">
        <v>67.5</v>
      </c>
      <c r="M103">
        <v>47.937235809999997</v>
      </c>
      <c r="N103">
        <v>0.41599678000000001</v>
      </c>
      <c r="O103">
        <v>2.0950346999999998</v>
      </c>
      <c r="P103">
        <v>113.9375</v>
      </c>
      <c r="Q103">
        <v>33.375507550000002</v>
      </c>
      <c r="R103">
        <v>2.4262999999999999</v>
      </c>
      <c r="S103">
        <v>0.40692159999999999</v>
      </c>
      <c r="T103">
        <v>-46.4375</v>
      </c>
      <c r="U103">
        <v>46.4375</v>
      </c>
      <c r="V103">
        <v>14.561728260000001</v>
      </c>
      <c r="W103">
        <v>14.561728260000001</v>
      </c>
      <c r="X103">
        <v>-2.0103032199999999</v>
      </c>
      <c r="Y103">
        <v>2.0103032199999999</v>
      </c>
      <c r="Z103">
        <v>1.6881130999999998</v>
      </c>
      <c r="AA103">
        <v>1.6881130999999998</v>
      </c>
    </row>
    <row r="104" spans="1:27" x14ac:dyDescent="0.25">
      <c r="A104" t="s">
        <v>51</v>
      </c>
      <c r="B104" t="s">
        <v>861</v>
      </c>
      <c r="C104">
        <v>12</v>
      </c>
      <c r="D104" t="s">
        <v>15</v>
      </c>
      <c r="E104" t="s">
        <v>94</v>
      </c>
      <c r="F104" t="s">
        <v>111</v>
      </c>
      <c r="G104" t="s">
        <v>121</v>
      </c>
      <c r="H104" t="s">
        <v>241</v>
      </c>
      <c r="J104">
        <v>0</v>
      </c>
      <c r="K104">
        <v>1</v>
      </c>
      <c r="L104">
        <v>94.97142857</v>
      </c>
      <c r="M104">
        <v>24.31591813</v>
      </c>
      <c r="N104">
        <v>0.122951111</v>
      </c>
      <c r="O104">
        <v>0.39050790000000002</v>
      </c>
      <c r="P104">
        <v>114</v>
      </c>
      <c r="Q104">
        <v>30.43077242</v>
      </c>
      <c r="R104">
        <v>0.53383111100000002</v>
      </c>
      <c r="S104">
        <v>0.28333332999999999</v>
      </c>
      <c r="T104">
        <v>-19.02857143</v>
      </c>
      <c r="U104">
        <v>19.02857143</v>
      </c>
      <c r="V104">
        <v>-6.1148542900000002</v>
      </c>
      <c r="W104">
        <v>6.1148542900000002</v>
      </c>
      <c r="X104">
        <v>-0.41088000000000002</v>
      </c>
      <c r="Y104">
        <v>0.41088000000000002</v>
      </c>
      <c r="Z104">
        <v>0.10717457000000002</v>
      </c>
      <c r="AA104">
        <v>0.10717457000000002</v>
      </c>
    </row>
    <row r="105" spans="1:27" x14ac:dyDescent="0.25">
      <c r="A105" t="s">
        <v>51</v>
      </c>
      <c r="B105" t="s">
        <v>862</v>
      </c>
      <c r="C105">
        <v>12</v>
      </c>
      <c r="D105" t="s">
        <v>15</v>
      </c>
      <c r="E105" t="s">
        <v>94</v>
      </c>
      <c r="F105" t="s">
        <v>112</v>
      </c>
      <c r="G105" t="s">
        <v>112</v>
      </c>
      <c r="H105" t="s">
        <v>112</v>
      </c>
      <c r="J105">
        <v>0</v>
      </c>
      <c r="K105">
        <v>2</v>
      </c>
      <c r="L105">
        <v>65.09375</v>
      </c>
      <c r="M105">
        <v>37.895352600000002</v>
      </c>
      <c r="N105">
        <v>2.2882677779999998</v>
      </c>
      <c r="O105">
        <v>2.2111774</v>
      </c>
      <c r="P105">
        <v>65.09375</v>
      </c>
      <c r="Q105">
        <v>37.895352600000002</v>
      </c>
      <c r="R105">
        <v>2.2882677779999998</v>
      </c>
      <c r="S105">
        <v>2.2111774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</row>
    <row r="106" spans="1:27" x14ac:dyDescent="0.25">
      <c r="A106" t="s">
        <v>51</v>
      </c>
      <c r="B106" t="s">
        <v>862</v>
      </c>
      <c r="C106">
        <v>12</v>
      </c>
      <c r="D106" t="s">
        <v>15</v>
      </c>
      <c r="E106" t="s">
        <v>94</v>
      </c>
      <c r="F106" t="s">
        <v>112</v>
      </c>
      <c r="G106" t="s">
        <v>112</v>
      </c>
      <c r="H106" t="s">
        <v>112</v>
      </c>
      <c r="J106">
        <v>0</v>
      </c>
      <c r="K106">
        <v>2</v>
      </c>
      <c r="L106">
        <v>65.09375</v>
      </c>
      <c r="M106">
        <v>37.895352600000002</v>
      </c>
      <c r="N106">
        <v>2.2882677779999998</v>
      </c>
      <c r="O106">
        <v>2.2111774</v>
      </c>
      <c r="P106">
        <v>65.09375</v>
      </c>
      <c r="Q106">
        <v>37.895352600000002</v>
      </c>
      <c r="R106">
        <v>2.2882677779999998</v>
      </c>
      <c r="S106">
        <v>2.2111774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</row>
    <row r="107" spans="1:27" x14ac:dyDescent="0.25">
      <c r="A107" t="s">
        <v>52</v>
      </c>
      <c r="B107" t="s">
        <v>863</v>
      </c>
      <c r="C107">
        <v>12</v>
      </c>
      <c r="D107" t="s">
        <v>17</v>
      </c>
      <c r="E107" t="s">
        <v>95</v>
      </c>
      <c r="F107" t="s">
        <v>102</v>
      </c>
      <c r="G107" t="s">
        <v>121</v>
      </c>
      <c r="H107" t="s">
        <v>238</v>
      </c>
      <c r="J107">
        <v>0</v>
      </c>
      <c r="K107">
        <v>1</v>
      </c>
      <c r="L107">
        <v>84.740740740000007</v>
      </c>
      <c r="M107">
        <v>29.167014049999999</v>
      </c>
      <c r="N107">
        <v>1.1169849999999999</v>
      </c>
      <c r="O107">
        <v>1.1571499000000001</v>
      </c>
      <c r="P107">
        <v>87.5</v>
      </c>
      <c r="Q107">
        <v>29.478311600000001</v>
      </c>
      <c r="R107">
        <v>3.0797751000000002E-2</v>
      </c>
      <c r="S107">
        <v>0.12931835</v>
      </c>
      <c r="T107">
        <v>-2.7592592599999999</v>
      </c>
      <c r="U107">
        <v>2.7592592599999999</v>
      </c>
      <c r="V107">
        <v>-0.31129754999999998</v>
      </c>
      <c r="W107">
        <v>0.31129754999999998</v>
      </c>
      <c r="X107">
        <v>1.086187249</v>
      </c>
      <c r="Y107">
        <v>1.086187249</v>
      </c>
      <c r="Z107">
        <v>1.0278315500000001</v>
      </c>
      <c r="AA107">
        <v>1.0278315500000001</v>
      </c>
    </row>
    <row r="108" spans="1:27" x14ac:dyDescent="0.25">
      <c r="A108" t="s">
        <v>52</v>
      </c>
      <c r="B108" t="s">
        <v>863</v>
      </c>
      <c r="C108">
        <v>12</v>
      </c>
      <c r="D108" t="s">
        <v>17</v>
      </c>
      <c r="E108" t="s">
        <v>95</v>
      </c>
      <c r="F108" t="s">
        <v>102</v>
      </c>
      <c r="G108" t="s">
        <v>121</v>
      </c>
      <c r="H108" t="s">
        <v>113</v>
      </c>
      <c r="J108">
        <v>0</v>
      </c>
      <c r="K108">
        <v>1</v>
      </c>
      <c r="L108">
        <v>84.740740740000007</v>
      </c>
      <c r="M108">
        <v>29.167014049999999</v>
      </c>
      <c r="N108">
        <v>1.1169849999999999</v>
      </c>
      <c r="O108">
        <v>1.1571499000000001</v>
      </c>
      <c r="P108">
        <v>83.757575759999995</v>
      </c>
      <c r="Q108">
        <v>22.60997987</v>
      </c>
      <c r="R108">
        <v>0.72884000000000004</v>
      </c>
      <c r="S108">
        <v>0.21301339999999999</v>
      </c>
      <c r="T108">
        <v>0.98316497999999997</v>
      </c>
      <c r="U108">
        <v>0.98316497999999997</v>
      </c>
      <c r="V108">
        <v>6.5570341799999996</v>
      </c>
      <c r="W108">
        <v>6.5570341799999996</v>
      </c>
      <c r="X108">
        <v>0.38814500000000002</v>
      </c>
      <c r="Y108">
        <v>0.38814500000000002</v>
      </c>
      <c r="Z108">
        <v>0.94413650000000005</v>
      </c>
      <c r="AA108">
        <v>0.94413650000000005</v>
      </c>
    </row>
    <row r="109" spans="1:27" x14ac:dyDescent="0.25">
      <c r="A109" t="s">
        <v>52</v>
      </c>
      <c r="B109" t="s">
        <v>864</v>
      </c>
      <c r="C109">
        <v>12</v>
      </c>
      <c r="D109" t="s">
        <v>17</v>
      </c>
      <c r="E109" t="s">
        <v>95</v>
      </c>
      <c r="F109" t="s">
        <v>103</v>
      </c>
      <c r="G109" t="s">
        <v>121</v>
      </c>
      <c r="H109" t="s">
        <v>234</v>
      </c>
      <c r="J109">
        <v>0</v>
      </c>
      <c r="K109">
        <v>5</v>
      </c>
      <c r="L109">
        <v>98.291666669999998</v>
      </c>
      <c r="M109">
        <v>30.315130790000001</v>
      </c>
      <c r="N109">
        <v>5.0803484000000003E-2</v>
      </c>
      <c r="O109">
        <v>0.42866070000000001</v>
      </c>
      <c r="P109">
        <v>89.8125</v>
      </c>
      <c r="Q109">
        <v>34.754706650000003</v>
      </c>
      <c r="R109">
        <v>2.3065078999999999E-2</v>
      </c>
      <c r="S109">
        <v>2.4791666700000001</v>
      </c>
      <c r="T109">
        <v>8.4791666699999997</v>
      </c>
      <c r="U109">
        <v>8.4791666699999997</v>
      </c>
      <c r="V109">
        <v>-4.4395758599999997</v>
      </c>
      <c r="W109">
        <v>4.4395758599999997</v>
      </c>
      <c r="X109">
        <v>2.7738405000000001E-2</v>
      </c>
      <c r="Y109">
        <v>2.7738405000000001E-2</v>
      </c>
      <c r="Z109">
        <v>-2.0505059700000001</v>
      </c>
      <c r="AA109">
        <v>2.0505059700000001</v>
      </c>
    </row>
    <row r="110" spans="1:27" x14ac:dyDescent="0.25">
      <c r="A110" t="s">
        <v>52</v>
      </c>
      <c r="B110" t="s">
        <v>864</v>
      </c>
      <c r="C110">
        <v>12</v>
      </c>
      <c r="D110" t="s">
        <v>17</v>
      </c>
      <c r="E110" t="s">
        <v>95</v>
      </c>
      <c r="F110" t="s">
        <v>103</v>
      </c>
      <c r="G110" t="s">
        <v>121</v>
      </c>
      <c r="H110" t="s">
        <v>234</v>
      </c>
      <c r="J110">
        <v>0</v>
      </c>
      <c r="K110">
        <v>5</v>
      </c>
      <c r="L110">
        <v>98.291666669999998</v>
      </c>
      <c r="M110">
        <v>30.315130790000001</v>
      </c>
      <c r="N110">
        <v>5.0803484000000003E-2</v>
      </c>
      <c r="O110">
        <v>0.42866070000000001</v>
      </c>
      <c r="P110">
        <v>89.8125</v>
      </c>
      <c r="Q110">
        <v>34.754706650000003</v>
      </c>
      <c r="R110">
        <v>2.3065078999999999E-2</v>
      </c>
      <c r="S110">
        <v>2.4791666700000001</v>
      </c>
      <c r="T110">
        <v>8.4791666699999997</v>
      </c>
      <c r="U110">
        <v>8.4791666699999997</v>
      </c>
      <c r="V110">
        <v>-4.4395758599999997</v>
      </c>
      <c r="W110">
        <v>4.4395758599999997</v>
      </c>
      <c r="X110">
        <v>2.7738405000000001E-2</v>
      </c>
      <c r="Y110">
        <v>2.7738405000000001E-2</v>
      </c>
      <c r="Z110">
        <v>-2.0505059700000001</v>
      </c>
      <c r="AA110">
        <v>2.0505059700000001</v>
      </c>
    </row>
    <row r="111" spans="1:27" x14ac:dyDescent="0.25">
      <c r="A111" t="s">
        <v>52</v>
      </c>
      <c r="B111" t="s">
        <v>864</v>
      </c>
      <c r="C111">
        <v>12</v>
      </c>
      <c r="D111" t="s">
        <v>17</v>
      </c>
      <c r="E111" t="s">
        <v>95</v>
      </c>
      <c r="F111" t="s">
        <v>103</v>
      </c>
      <c r="G111" t="s">
        <v>121</v>
      </c>
      <c r="H111" t="s">
        <v>234</v>
      </c>
      <c r="J111">
        <v>0</v>
      </c>
      <c r="K111">
        <v>5</v>
      </c>
      <c r="L111">
        <v>98.291666669999998</v>
      </c>
      <c r="M111">
        <v>30.315130790000001</v>
      </c>
      <c r="N111">
        <v>5.0803484000000003E-2</v>
      </c>
      <c r="O111">
        <v>0.42866070000000001</v>
      </c>
      <c r="P111">
        <v>89.8125</v>
      </c>
      <c r="Q111">
        <v>34.754706650000003</v>
      </c>
      <c r="R111">
        <v>2.3065078999999999E-2</v>
      </c>
      <c r="S111">
        <v>2.4791666700000001</v>
      </c>
      <c r="T111">
        <v>8.4791666699999997</v>
      </c>
      <c r="U111">
        <v>8.4791666699999997</v>
      </c>
      <c r="V111">
        <v>-4.4395758599999997</v>
      </c>
      <c r="W111">
        <v>4.4395758599999997</v>
      </c>
      <c r="X111">
        <v>2.7738405000000001E-2</v>
      </c>
      <c r="Y111">
        <v>2.7738405000000001E-2</v>
      </c>
      <c r="Z111">
        <v>-2.0505059700000001</v>
      </c>
      <c r="AA111">
        <v>2.0505059700000001</v>
      </c>
    </row>
    <row r="112" spans="1:27" x14ac:dyDescent="0.25">
      <c r="A112" t="s">
        <v>52</v>
      </c>
      <c r="B112" t="s">
        <v>864</v>
      </c>
      <c r="C112">
        <v>12</v>
      </c>
      <c r="D112" t="s">
        <v>17</v>
      </c>
      <c r="E112" t="s">
        <v>95</v>
      </c>
      <c r="F112" t="s">
        <v>103</v>
      </c>
      <c r="G112" t="s">
        <v>121</v>
      </c>
      <c r="H112" t="s">
        <v>234</v>
      </c>
      <c r="J112">
        <v>0</v>
      </c>
      <c r="K112">
        <v>5</v>
      </c>
      <c r="L112">
        <v>98.291666669999998</v>
      </c>
      <c r="M112">
        <v>30.315130790000001</v>
      </c>
      <c r="N112">
        <v>5.0803484000000003E-2</v>
      </c>
      <c r="O112">
        <v>0.42866070000000001</v>
      </c>
      <c r="P112">
        <v>89.8125</v>
      </c>
      <c r="Q112">
        <v>34.754706650000003</v>
      </c>
      <c r="R112">
        <v>2.3065078999999999E-2</v>
      </c>
      <c r="S112">
        <v>2.4791666700000001</v>
      </c>
      <c r="T112">
        <v>8.4791666699999997</v>
      </c>
      <c r="U112">
        <v>8.4791666699999997</v>
      </c>
      <c r="V112">
        <v>-4.4395758599999997</v>
      </c>
      <c r="W112">
        <v>4.4395758599999997</v>
      </c>
      <c r="X112">
        <v>2.7738405000000001E-2</v>
      </c>
      <c r="Y112">
        <v>2.7738405000000001E-2</v>
      </c>
      <c r="Z112">
        <v>-2.0505059700000001</v>
      </c>
      <c r="AA112">
        <v>2.0505059700000001</v>
      </c>
    </row>
    <row r="113" spans="1:27" x14ac:dyDescent="0.25">
      <c r="A113" t="s">
        <v>52</v>
      </c>
      <c r="B113" t="s">
        <v>864</v>
      </c>
      <c r="C113">
        <v>12</v>
      </c>
      <c r="D113" t="s">
        <v>17</v>
      </c>
      <c r="E113" t="s">
        <v>95</v>
      </c>
      <c r="F113" t="s">
        <v>103</v>
      </c>
      <c r="G113" t="s">
        <v>121</v>
      </c>
      <c r="H113" t="s">
        <v>234</v>
      </c>
      <c r="J113">
        <v>0</v>
      </c>
      <c r="K113">
        <v>5</v>
      </c>
      <c r="L113">
        <v>98.291666669999998</v>
      </c>
      <c r="M113">
        <v>30.315130790000001</v>
      </c>
      <c r="N113">
        <v>5.0803484000000003E-2</v>
      </c>
      <c r="O113">
        <v>0.42866070000000001</v>
      </c>
      <c r="P113">
        <v>89.8125</v>
      </c>
      <c r="Q113">
        <v>34.754706650000003</v>
      </c>
      <c r="R113">
        <v>2.3065078999999999E-2</v>
      </c>
      <c r="S113">
        <v>2.4791666700000001</v>
      </c>
      <c r="T113">
        <v>8.4791666699999997</v>
      </c>
      <c r="U113">
        <v>8.4791666699999997</v>
      </c>
      <c r="V113">
        <v>-4.4395758599999997</v>
      </c>
      <c r="W113">
        <v>4.4395758599999997</v>
      </c>
      <c r="X113">
        <v>2.7738405000000001E-2</v>
      </c>
      <c r="Y113">
        <v>2.7738405000000001E-2</v>
      </c>
      <c r="Z113">
        <v>-2.0505059700000001</v>
      </c>
      <c r="AA113">
        <v>2.0505059700000001</v>
      </c>
    </row>
    <row r="114" spans="1:27" x14ac:dyDescent="0.25">
      <c r="A114" t="s">
        <v>52</v>
      </c>
      <c r="B114" t="s">
        <v>865</v>
      </c>
      <c r="C114">
        <v>12</v>
      </c>
      <c r="D114" t="s">
        <v>17</v>
      </c>
      <c r="E114" t="s">
        <v>95</v>
      </c>
      <c r="F114" t="s">
        <v>111</v>
      </c>
      <c r="G114" t="s">
        <v>103</v>
      </c>
      <c r="H114" t="s">
        <v>103</v>
      </c>
      <c r="J114">
        <v>0</v>
      </c>
      <c r="K114">
        <v>1</v>
      </c>
      <c r="L114">
        <v>94.97142857</v>
      </c>
      <c r="M114">
        <v>24.31591813</v>
      </c>
      <c r="N114">
        <v>0.122951111</v>
      </c>
      <c r="O114">
        <v>0.39050790000000002</v>
      </c>
      <c r="P114">
        <v>98.291666669999998</v>
      </c>
      <c r="Q114">
        <v>30.315130790000001</v>
      </c>
      <c r="R114">
        <v>5.0803484000000003E-2</v>
      </c>
      <c r="S114">
        <v>0.42866070000000001</v>
      </c>
      <c r="T114">
        <v>-3.3202381000000001</v>
      </c>
      <c r="U114">
        <v>3.3202381000000001</v>
      </c>
      <c r="V114">
        <v>-5.9992126600000004</v>
      </c>
      <c r="W114">
        <v>5.9992126600000004</v>
      </c>
      <c r="X114">
        <v>7.2147627000000006E-2</v>
      </c>
      <c r="Y114">
        <v>7.2147627000000006E-2</v>
      </c>
      <c r="Z114">
        <v>-3.8152799999999987E-2</v>
      </c>
      <c r="AA114">
        <v>3.8152799999999987E-2</v>
      </c>
    </row>
    <row r="115" spans="1:27" x14ac:dyDescent="0.25">
      <c r="A115" t="s">
        <v>52</v>
      </c>
      <c r="B115" t="s">
        <v>866</v>
      </c>
      <c r="C115">
        <v>12</v>
      </c>
      <c r="D115" t="s">
        <v>17</v>
      </c>
      <c r="E115" t="s">
        <v>95</v>
      </c>
      <c r="F115" t="s">
        <v>112</v>
      </c>
      <c r="G115" t="s">
        <v>121</v>
      </c>
      <c r="H115" t="s">
        <v>235</v>
      </c>
      <c r="J115">
        <v>0</v>
      </c>
      <c r="K115">
        <v>1</v>
      </c>
      <c r="L115">
        <v>65.09375</v>
      </c>
      <c r="M115">
        <v>37.895352600000002</v>
      </c>
      <c r="N115">
        <v>2.2882677779999998</v>
      </c>
      <c r="O115">
        <v>2.2111774</v>
      </c>
      <c r="P115">
        <v>132.27272730000001</v>
      </c>
      <c r="Q115">
        <v>20.180448590000001</v>
      </c>
      <c r="R115">
        <v>3.7813451999999997E-2</v>
      </c>
      <c r="S115">
        <v>0.41404401000000002</v>
      </c>
      <c r="T115">
        <v>-67.1789773</v>
      </c>
      <c r="U115">
        <v>67.1789773</v>
      </c>
      <c r="V115">
        <v>17.714904010000001</v>
      </c>
      <c r="W115">
        <v>17.714904010000001</v>
      </c>
      <c r="X115">
        <v>2.2504543259999998</v>
      </c>
      <c r="Y115">
        <v>2.2504543259999998</v>
      </c>
      <c r="Z115">
        <v>1.7971333899999999</v>
      </c>
      <c r="AA115">
        <v>1.7971333899999999</v>
      </c>
    </row>
    <row r="116" spans="1:27" x14ac:dyDescent="0.25">
      <c r="A116" t="s">
        <v>53</v>
      </c>
      <c r="B116" t="s">
        <v>867</v>
      </c>
      <c r="C116">
        <v>12</v>
      </c>
      <c r="D116" t="s">
        <v>19</v>
      </c>
      <c r="E116" t="s">
        <v>94</v>
      </c>
      <c r="F116" t="s">
        <v>102</v>
      </c>
      <c r="G116" t="s">
        <v>121</v>
      </c>
      <c r="H116" t="s">
        <v>808</v>
      </c>
      <c r="J116">
        <v>0</v>
      </c>
      <c r="K116">
        <v>1</v>
      </c>
      <c r="L116">
        <v>84.740740740000007</v>
      </c>
      <c r="M116">
        <v>29.167014049999999</v>
      </c>
      <c r="N116">
        <v>1.1169849999999999</v>
      </c>
      <c r="O116">
        <v>1.1571499000000001</v>
      </c>
      <c r="P116">
        <v>102.79166669999999</v>
      </c>
      <c r="Q116">
        <v>27.057373470000002</v>
      </c>
      <c r="R116">
        <v>6.3567849939999999</v>
      </c>
      <c r="S116" t="s">
        <v>114</v>
      </c>
      <c r="T116">
        <v>-18.050925960000001</v>
      </c>
      <c r="U116">
        <v>18.050925960000001</v>
      </c>
      <c r="V116">
        <v>2.1096405800000002</v>
      </c>
      <c r="W116">
        <v>2.1096405800000002</v>
      </c>
      <c r="X116">
        <v>-5.2397999940000002</v>
      </c>
      <c r="Y116">
        <v>5.2397999940000002</v>
      </c>
      <c r="Z116" t="s">
        <v>114</v>
      </c>
      <c r="AA116" t="s">
        <v>114</v>
      </c>
    </row>
    <row r="117" spans="1:27" x14ac:dyDescent="0.25">
      <c r="A117" t="s">
        <v>53</v>
      </c>
      <c r="B117" t="s">
        <v>867</v>
      </c>
      <c r="C117">
        <v>12</v>
      </c>
      <c r="D117" t="s">
        <v>19</v>
      </c>
      <c r="E117" t="s">
        <v>94</v>
      </c>
      <c r="F117" t="s">
        <v>102</v>
      </c>
      <c r="G117" t="s">
        <v>121</v>
      </c>
      <c r="H117" t="s">
        <v>241</v>
      </c>
      <c r="J117">
        <v>0</v>
      </c>
      <c r="K117">
        <v>1</v>
      </c>
      <c r="L117">
        <v>84.740740740000007</v>
      </c>
      <c r="M117">
        <v>29.167014049999999</v>
      </c>
      <c r="N117">
        <v>1.1169849999999999</v>
      </c>
      <c r="O117">
        <v>1.1571499000000001</v>
      </c>
      <c r="P117">
        <v>114</v>
      </c>
      <c r="Q117">
        <v>30.43077242</v>
      </c>
      <c r="R117">
        <v>0.53383111100000002</v>
      </c>
      <c r="S117">
        <v>0.28333332999999999</v>
      </c>
      <c r="T117">
        <v>-29.25925926</v>
      </c>
      <c r="U117">
        <v>29.25925926</v>
      </c>
      <c r="V117">
        <v>-1.2637583699999999</v>
      </c>
      <c r="W117">
        <v>1.2637583699999999</v>
      </c>
      <c r="X117">
        <v>0.58315388899999998</v>
      </c>
      <c r="Y117">
        <v>0.58315388899999998</v>
      </c>
      <c r="Z117">
        <v>0.87381657000000001</v>
      </c>
      <c r="AA117">
        <v>0.87381657000000001</v>
      </c>
    </row>
    <row r="118" spans="1:27" x14ac:dyDescent="0.25">
      <c r="A118" t="s">
        <v>53</v>
      </c>
      <c r="B118" t="s">
        <v>868</v>
      </c>
      <c r="C118">
        <v>12</v>
      </c>
      <c r="D118" t="s">
        <v>19</v>
      </c>
      <c r="E118" t="s">
        <v>94</v>
      </c>
      <c r="F118" t="s">
        <v>113</v>
      </c>
      <c r="G118" t="s">
        <v>121</v>
      </c>
      <c r="H118" t="s">
        <v>103</v>
      </c>
      <c r="J118">
        <v>0</v>
      </c>
      <c r="K118">
        <v>1</v>
      </c>
      <c r="L118">
        <v>83.757575759999995</v>
      </c>
      <c r="M118">
        <v>22.60997987</v>
      </c>
      <c r="N118">
        <v>0.72884000000000004</v>
      </c>
      <c r="O118">
        <v>0.21301339999999999</v>
      </c>
      <c r="P118">
        <v>98.291666669999998</v>
      </c>
      <c r="Q118">
        <v>30.315130790000001</v>
      </c>
      <c r="R118">
        <v>5.0803484000000003E-2</v>
      </c>
      <c r="S118">
        <v>0.42866070000000001</v>
      </c>
      <c r="T118">
        <v>-14.53409091</v>
      </c>
      <c r="U118">
        <v>14.53409091</v>
      </c>
      <c r="V118">
        <v>-7.7051509200000003</v>
      </c>
      <c r="W118">
        <v>7.7051509200000003</v>
      </c>
      <c r="X118">
        <v>0.67803651600000003</v>
      </c>
      <c r="Y118">
        <v>0.67803651600000003</v>
      </c>
      <c r="Z118">
        <v>-0.21564730000000001</v>
      </c>
      <c r="AA118">
        <v>0.21564730000000001</v>
      </c>
    </row>
    <row r="119" spans="1:27" x14ac:dyDescent="0.25">
      <c r="A119" t="s">
        <v>53</v>
      </c>
      <c r="B119" t="s">
        <v>868</v>
      </c>
      <c r="C119">
        <v>12</v>
      </c>
      <c r="D119" t="s">
        <v>19</v>
      </c>
      <c r="E119" t="s">
        <v>94</v>
      </c>
      <c r="F119" t="s">
        <v>113</v>
      </c>
      <c r="G119" t="s">
        <v>121</v>
      </c>
      <c r="H119" t="s">
        <v>238</v>
      </c>
      <c r="J119">
        <v>0</v>
      </c>
      <c r="K119">
        <v>1</v>
      </c>
      <c r="L119">
        <v>83.757575759999995</v>
      </c>
      <c r="M119">
        <v>22.60997987</v>
      </c>
      <c r="N119">
        <v>0.72884000000000004</v>
      </c>
      <c r="O119">
        <v>0.21301339999999999</v>
      </c>
      <c r="P119">
        <v>87.5</v>
      </c>
      <c r="Q119">
        <v>29.478311600000001</v>
      </c>
      <c r="R119">
        <v>3.0797751000000002E-2</v>
      </c>
      <c r="S119">
        <v>0.12931835</v>
      </c>
      <c r="T119">
        <v>-3.7424242400000001</v>
      </c>
      <c r="U119">
        <v>3.7424242400000001</v>
      </c>
      <c r="V119">
        <v>-6.8683317300000004</v>
      </c>
      <c r="W119">
        <v>6.8683317300000004</v>
      </c>
      <c r="X119">
        <v>0.698042249</v>
      </c>
      <c r="Y119">
        <v>0.698042249</v>
      </c>
      <c r="Z119">
        <v>8.3695049999999993E-2</v>
      </c>
      <c r="AA119">
        <v>8.3695049999999993E-2</v>
      </c>
    </row>
    <row r="120" spans="1:27" x14ac:dyDescent="0.25">
      <c r="A120" t="s">
        <v>53</v>
      </c>
      <c r="B120" t="s">
        <v>868</v>
      </c>
      <c r="C120">
        <v>12</v>
      </c>
      <c r="D120" t="s">
        <v>19</v>
      </c>
      <c r="E120" t="s">
        <v>94</v>
      </c>
      <c r="F120" t="s">
        <v>113</v>
      </c>
      <c r="G120" t="s">
        <v>121</v>
      </c>
      <c r="H120" t="s">
        <v>235</v>
      </c>
      <c r="J120">
        <v>0</v>
      </c>
      <c r="K120">
        <v>1</v>
      </c>
      <c r="L120">
        <v>83.757575759999995</v>
      </c>
      <c r="M120">
        <v>22.60997987</v>
      </c>
      <c r="N120">
        <v>0.72884000000000004</v>
      </c>
      <c r="O120">
        <v>0.21301339999999999</v>
      </c>
      <c r="P120">
        <v>132.27272730000001</v>
      </c>
      <c r="Q120">
        <v>20.180448590000001</v>
      </c>
      <c r="R120">
        <v>3.7813451999999997E-2</v>
      </c>
      <c r="S120">
        <v>0.41404401000000002</v>
      </c>
      <c r="T120">
        <v>-48.515151539999998</v>
      </c>
      <c r="U120">
        <v>48.515151539999998</v>
      </c>
      <c r="V120">
        <v>2.42953128</v>
      </c>
      <c r="W120">
        <v>2.42953128</v>
      </c>
      <c r="X120">
        <v>0.69102654799999996</v>
      </c>
      <c r="Y120">
        <v>0.69102654799999996</v>
      </c>
      <c r="Z120">
        <v>-0.20103061000000003</v>
      </c>
      <c r="AA120">
        <v>0.20103061000000003</v>
      </c>
    </row>
    <row r="121" spans="1:27" x14ac:dyDescent="0.25">
      <c r="A121" t="s">
        <v>53</v>
      </c>
      <c r="B121" t="s">
        <v>868</v>
      </c>
      <c r="C121">
        <v>12</v>
      </c>
      <c r="D121" t="s">
        <v>19</v>
      </c>
      <c r="E121" t="s">
        <v>94</v>
      </c>
      <c r="F121" t="s">
        <v>113</v>
      </c>
      <c r="G121" t="s">
        <v>121</v>
      </c>
      <c r="H121" t="s">
        <v>241</v>
      </c>
      <c r="J121">
        <v>0</v>
      </c>
      <c r="K121">
        <v>2</v>
      </c>
      <c r="L121">
        <v>83.757575759999995</v>
      </c>
      <c r="M121">
        <v>22.60997987</v>
      </c>
      <c r="N121">
        <v>0.72884000000000004</v>
      </c>
      <c r="O121">
        <v>0.21301339999999999</v>
      </c>
      <c r="P121">
        <v>114</v>
      </c>
      <c r="Q121">
        <v>30.43077242</v>
      </c>
      <c r="R121">
        <v>0.53383111100000002</v>
      </c>
      <c r="S121">
        <v>0.28333332999999999</v>
      </c>
      <c r="T121">
        <v>-30.242424239999998</v>
      </c>
      <c r="U121">
        <v>30.242424239999998</v>
      </c>
      <c r="V121">
        <v>-7.8207925500000002</v>
      </c>
      <c r="W121">
        <v>7.8207925500000002</v>
      </c>
      <c r="X121">
        <v>0.19500888899999999</v>
      </c>
      <c r="Y121">
        <v>0.19500888899999999</v>
      </c>
      <c r="Z121">
        <v>-7.0319930000000003E-2</v>
      </c>
      <c r="AA121">
        <v>7.0319930000000003E-2</v>
      </c>
    </row>
    <row r="122" spans="1:27" x14ac:dyDescent="0.25">
      <c r="A122" t="s">
        <v>53</v>
      </c>
      <c r="B122" t="s">
        <v>868</v>
      </c>
      <c r="C122">
        <v>12</v>
      </c>
      <c r="D122" t="s">
        <v>19</v>
      </c>
      <c r="E122" t="s">
        <v>94</v>
      </c>
      <c r="F122" t="s">
        <v>113</v>
      </c>
      <c r="G122" t="s">
        <v>121</v>
      </c>
      <c r="H122" t="s">
        <v>241</v>
      </c>
      <c r="J122">
        <v>0</v>
      </c>
      <c r="K122">
        <v>2</v>
      </c>
      <c r="L122">
        <v>83.757575759999995</v>
      </c>
      <c r="M122">
        <v>22.60997987</v>
      </c>
      <c r="N122">
        <v>0.72884000000000004</v>
      </c>
      <c r="O122">
        <v>0.21301339999999999</v>
      </c>
      <c r="P122">
        <v>114</v>
      </c>
      <c r="Q122">
        <v>30.43077242</v>
      </c>
      <c r="R122">
        <v>0.53383111100000002</v>
      </c>
      <c r="S122">
        <v>0.28333332999999999</v>
      </c>
      <c r="T122">
        <v>-30.242424239999998</v>
      </c>
      <c r="U122">
        <v>30.242424239999998</v>
      </c>
      <c r="V122">
        <v>-7.8207925500000002</v>
      </c>
      <c r="W122">
        <v>7.8207925500000002</v>
      </c>
      <c r="X122">
        <v>0.19500888899999999</v>
      </c>
      <c r="Y122">
        <v>0.19500888899999999</v>
      </c>
      <c r="Z122">
        <v>-7.0319930000000003E-2</v>
      </c>
      <c r="AA122">
        <v>7.0319930000000003E-2</v>
      </c>
    </row>
    <row r="123" spans="1:27" x14ac:dyDescent="0.25">
      <c r="A123" t="s">
        <v>53</v>
      </c>
      <c r="B123" t="s">
        <v>868</v>
      </c>
      <c r="C123">
        <v>12</v>
      </c>
      <c r="D123" t="s">
        <v>19</v>
      </c>
      <c r="E123" t="s">
        <v>94</v>
      </c>
      <c r="F123" t="s">
        <v>113</v>
      </c>
      <c r="G123" t="s">
        <v>121</v>
      </c>
      <c r="H123" t="s">
        <v>242</v>
      </c>
      <c r="J123">
        <v>0</v>
      </c>
      <c r="K123">
        <v>1</v>
      </c>
      <c r="L123">
        <v>83.757575759999995</v>
      </c>
      <c r="M123">
        <v>22.60997987</v>
      </c>
      <c r="N123">
        <v>0.72884000000000004</v>
      </c>
      <c r="O123">
        <v>0.21301339999999999</v>
      </c>
      <c r="P123">
        <v>139.375</v>
      </c>
      <c r="Q123">
        <v>23.713465920000001</v>
      </c>
      <c r="R123" t="s">
        <v>114</v>
      </c>
      <c r="S123" t="s">
        <v>114</v>
      </c>
      <c r="T123">
        <v>-55.617424239999998</v>
      </c>
      <c r="U123">
        <v>55.617424239999998</v>
      </c>
      <c r="V123">
        <v>-1.1034860500000001</v>
      </c>
      <c r="W123">
        <v>1.1034860500000001</v>
      </c>
      <c r="X123" t="s">
        <v>114</v>
      </c>
      <c r="Y123" t="s">
        <v>114</v>
      </c>
      <c r="Z123" t="s">
        <v>114</v>
      </c>
      <c r="AA123" t="s">
        <v>114</v>
      </c>
    </row>
    <row r="124" spans="1:27" x14ac:dyDescent="0.25">
      <c r="A124" t="s">
        <v>53</v>
      </c>
      <c r="B124" t="s">
        <v>868</v>
      </c>
      <c r="C124">
        <v>12</v>
      </c>
      <c r="D124" t="s">
        <v>19</v>
      </c>
      <c r="E124" t="s">
        <v>94</v>
      </c>
      <c r="F124" t="s">
        <v>113</v>
      </c>
      <c r="G124" t="s">
        <v>121</v>
      </c>
      <c r="H124" t="s">
        <v>112</v>
      </c>
      <c r="J124">
        <v>0</v>
      </c>
      <c r="K124">
        <v>1</v>
      </c>
      <c r="L124">
        <v>83.757575759999995</v>
      </c>
      <c r="M124">
        <v>22.60997987</v>
      </c>
      <c r="N124">
        <v>0.72884000000000004</v>
      </c>
      <c r="O124">
        <v>0.21301339999999999</v>
      </c>
      <c r="P124">
        <v>65.09375</v>
      </c>
      <c r="Q124">
        <v>37.895352600000002</v>
      </c>
      <c r="R124">
        <v>2.2882677779999998</v>
      </c>
      <c r="S124">
        <v>2.2111774</v>
      </c>
      <c r="T124">
        <v>18.663825760000002</v>
      </c>
      <c r="U124">
        <v>18.663825760000002</v>
      </c>
      <c r="V124">
        <v>-15.285372730000001</v>
      </c>
      <c r="W124">
        <v>15.285372730000001</v>
      </c>
      <c r="X124">
        <v>-1.5594277780000001</v>
      </c>
      <c r="Y124">
        <v>1.5594277780000001</v>
      </c>
      <c r="Z124">
        <v>-1.9981640000000001</v>
      </c>
      <c r="AA124">
        <v>1.9981640000000001</v>
      </c>
    </row>
    <row r="125" spans="1:27" x14ac:dyDescent="0.25">
      <c r="A125" t="s">
        <v>53</v>
      </c>
      <c r="B125" t="s">
        <v>869</v>
      </c>
      <c r="C125">
        <v>12</v>
      </c>
      <c r="D125" t="s">
        <v>19</v>
      </c>
      <c r="E125" t="s">
        <v>94</v>
      </c>
      <c r="F125" t="s">
        <v>103</v>
      </c>
      <c r="G125" t="s">
        <v>121</v>
      </c>
      <c r="H125" t="s">
        <v>103</v>
      </c>
      <c r="J125">
        <v>0</v>
      </c>
      <c r="K125">
        <v>1</v>
      </c>
      <c r="L125">
        <v>98.291666669999998</v>
      </c>
      <c r="M125">
        <v>30.315130790000001</v>
      </c>
      <c r="N125">
        <v>5.0803484000000003E-2</v>
      </c>
      <c r="O125">
        <v>0.42866070000000001</v>
      </c>
      <c r="P125">
        <v>98.291666669999998</v>
      </c>
      <c r="Q125">
        <v>30.315130790000001</v>
      </c>
      <c r="R125">
        <v>5.0803484000000003E-2</v>
      </c>
      <c r="S125">
        <v>0.42866070000000001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</row>
    <row r="126" spans="1:27" x14ac:dyDescent="0.25">
      <c r="A126" t="s">
        <v>53</v>
      </c>
      <c r="B126" t="s">
        <v>869</v>
      </c>
      <c r="C126">
        <v>12</v>
      </c>
      <c r="D126" t="s">
        <v>19</v>
      </c>
      <c r="E126" t="s">
        <v>94</v>
      </c>
      <c r="F126" t="s">
        <v>103</v>
      </c>
      <c r="G126" t="s">
        <v>121</v>
      </c>
      <c r="H126" t="s">
        <v>241</v>
      </c>
      <c r="J126">
        <v>0</v>
      </c>
      <c r="K126">
        <v>1</v>
      </c>
      <c r="L126">
        <v>98.291666669999998</v>
      </c>
      <c r="M126">
        <v>30.315130790000001</v>
      </c>
      <c r="N126">
        <v>5.0803484000000003E-2</v>
      </c>
      <c r="O126">
        <v>0.42866070000000001</v>
      </c>
      <c r="P126">
        <v>114</v>
      </c>
      <c r="Q126">
        <v>30.43077242</v>
      </c>
      <c r="R126">
        <v>0.53383111100000002</v>
      </c>
      <c r="S126">
        <v>0.28333332999999999</v>
      </c>
      <c r="T126">
        <v>-15.70833333</v>
      </c>
      <c r="U126">
        <v>15.70833333</v>
      </c>
      <c r="V126">
        <v>-0.11564163</v>
      </c>
      <c r="W126">
        <v>0.11564163</v>
      </c>
      <c r="X126">
        <v>-0.48302762700000001</v>
      </c>
      <c r="Y126">
        <v>0.48302762700000001</v>
      </c>
      <c r="Z126">
        <v>0.14532737000000001</v>
      </c>
      <c r="AA126">
        <v>0.14532737000000001</v>
      </c>
    </row>
    <row r="127" spans="1:27" x14ac:dyDescent="0.25">
      <c r="A127" t="s">
        <v>53</v>
      </c>
      <c r="B127" t="s">
        <v>870</v>
      </c>
      <c r="C127">
        <v>12</v>
      </c>
      <c r="D127" t="s">
        <v>19</v>
      </c>
      <c r="E127" t="s">
        <v>94</v>
      </c>
      <c r="F127" t="s">
        <v>112</v>
      </c>
      <c r="G127" t="s">
        <v>121</v>
      </c>
      <c r="H127" t="s">
        <v>114</v>
      </c>
      <c r="J127">
        <v>0</v>
      </c>
      <c r="K127">
        <v>0</v>
      </c>
      <c r="L127">
        <v>65.09375</v>
      </c>
      <c r="M127">
        <v>37.895352600000002</v>
      </c>
      <c r="N127">
        <v>2.2882677779999998</v>
      </c>
      <c r="O127">
        <v>2.2111774</v>
      </c>
      <c r="P127" t="s">
        <v>114</v>
      </c>
      <c r="Q127" t="s">
        <v>114</v>
      </c>
      <c r="R127" t="s">
        <v>114</v>
      </c>
      <c r="S127" t="s">
        <v>114</v>
      </c>
      <c r="T127" t="s">
        <v>114</v>
      </c>
      <c r="U127" t="s">
        <v>114</v>
      </c>
      <c r="V127" t="s">
        <v>114</v>
      </c>
      <c r="W127" t="s">
        <v>114</v>
      </c>
      <c r="X127" t="s">
        <v>114</v>
      </c>
      <c r="Y127" t="s">
        <v>114</v>
      </c>
      <c r="Z127" t="s">
        <v>114</v>
      </c>
      <c r="AA127" t="s">
        <v>114</v>
      </c>
    </row>
    <row r="128" spans="1:27" x14ac:dyDescent="0.25">
      <c r="A128" t="s">
        <v>54</v>
      </c>
      <c r="B128" t="s">
        <v>871</v>
      </c>
      <c r="C128">
        <v>12</v>
      </c>
      <c r="D128" t="s">
        <v>21</v>
      </c>
      <c r="E128" t="s">
        <v>95</v>
      </c>
      <c r="F128" t="s">
        <v>113</v>
      </c>
      <c r="G128" t="s">
        <v>121</v>
      </c>
      <c r="H128" t="s">
        <v>241</v>
      </c>
      <c r="J128">
        <v>0</v>
      </c>
      <c r="K128">
        <v>2</v>
      </c>
      <c r="L128">
        <v>83.757575759999995</v>
      </c>
      <c r="M128">
        <v>22.60997987</v>
      </c>
      <c r="N128">
        <v>0.72884000000000004</v>
      </c>
      <c r="O128">
        <v>0.21301339999999999</v>
      </c>
      <c r="P128">
        <v>114</v>
      </c>
      <c r="Q128">
        <v>30.43077242</v>
      </c>
      <c r="R128">
        <v>0.53383111100000002</v>
      </c>
      <c r="S128">
        <v>0.28333332999999999</v>
      </c>
      <c r="T128">
        <v>-30.242424239999998</v>
      </c>
      <c r="U128">
        <v>30.242424239999998</v>
      </c>
      <c r="V128">
        <v>-7.8207925500000002</v>
      </c>
      <c r="W128">
        <v>7.8207925500000002</v>
      </c>
      <c r="X128">
        <v>0.19500888899999999</v>
      </c>
      <c r="Y128">
        <v>0.19500888899999999</v>
      </c>
      <c r="Z128">
        <v>-7.0319930000000003E-2</v>
      </c>
      <c r="AA128">
        <v>7.0319930000000003E-2</v>
      </c>
    </row>
    <row r="129" spans="1:27" x14ac:dyDescent="0.25">
      <c r="A129" t="s">
        <v>54</v>
      </c>
      <c r="B129" t="s">
        <v>871</v>
      </c>
      <c r="C129">
        <v>12</v>
      </c>
      <c r="D129" t="s">
        <v>21</v>
      </c>
      <c r="E129" t="s">
        <v>95</v>
      </c>
      <c r="F129" t="s">
        <v>113</v>
      </c>
      <c r="G129" t="s">
        <v>121</v>
      </c>
      <c r="H129" t="s">
        <v>241</v>
      </c>
      <c r="J129">
        <v>0</v>
      </c>
      <c r="K129">
        <v>2</v>
      </c>
      <c r="L129">
        <v>83.757575759999995</v>
      </c>
      <c r="M129">
        <v>22.60997987</v>
      </c>
      <c r="N129">
        <v>0.72884000000000004</v>
      </c>
      <c r="O129">
        <v>0.21301339999999999</v>
      </c>
      <c r="P129">
        <v>114</v>
      </c>
      <c r="Q129">
        <v>30.43077242</v>
      </c>
      <c r="R129">
        <v>0.53383111100000002</v>
      </c>
      <c r="S129">
        <v>0.28333332999999999</v>
      </c>
      <c r="T129">
        <v>-30.242424239999998</v>
      </c>
      <c r="U129">
        <v>30.242424239999998</v>
      </c>
      <c r="V129">
        <v>-7.8207925500000002</v>
      </c>
      <c r="W129">
        <v>7.8207925500000002</v>
      </c>
      <c r="X129">
        <v>0.19500888899999999</v>
      </c>
      <c r="Y129">
        <v>0.19500888899999999</v>
      </c>
      <c r="Z129">
        <v>-7.0319930000000003E-2</v>
      </c>
      <c r="AA129">
        <v>7.0319930000000003E-2</v>
      </c>
    </row>
    <row r="130" spans="1:27" x14ac:dyDescent="0.25">
      <c r="A130" t="s">
        <v>54</v>
      </c>
      <c r="B130" t="s">
        <v>872</v>
      </c>
      <c r="C130">
        <v>12</v>
      </c>
      <c r="D130" t="s">
        <v>21</v>
      </c>
      <c r="E130" t="s">
        <v>95</v>
      </c>
      <c r="F130" t="s">
        <v>110</v>
      </c>
      <c r="G130" t="s">
        <v>121</v>
      </c>
      <c r="H130" t="s">
        <v>241</v>
      </c>
      <c r="I130" t="s">
        <v>162</v>
      </c>
      <c r="J130">
        <v>1</v>
      </c>
      <c r="K130">
        <v>2</v>
      </c>
      <c r="L130">
        <v>73.260869569999997</v>
      </c>
      <c r="M130">
        <v>34.453830549999999</v>
      </c>
      <c r="N130">
        <v>1.058333333</v>
      </c>
      <c r="O130">
        <v>0.90897070000000002</v>
      </c>
      <c r="P130">
        <v>114</v>
      </c>
      <c r="Q130">
        <v>30.43077242</v>
      </c>
      <c r="R130">
        <v>0.53383111100000002</v>
      </c>
      <c r="S130">
        <v>0.28333332999999999</v>
      </c>
      <c r="T130">
        <v>-40.739130430000003</v>
      </c>
      <c r="U130">
        <v>40.739130430000003</v>
      </c>
      <c r="V130">
        <v>4.0230581299999999</v>
      </c>
      <c r="W130">
        <v>4.0230581299999999</v>
      </c>
      <c r="X130">
        <v>0.52450222199999996</v>
      </c>
      <c r="Y130">
        <v>0.52450222199999996</v>
      </c>
      <c r="Z130">
        <v>0.62563736999999997</v>
      </c>
      <c r="AA130">
        <v>0.62563736999999997</v>
      </c>
    </row>
    <row r="131" spans="1:27" x14ac:dyDescent="0.25">
      <c r="A131" t="s">
        <v>54</v>
      </c>
      <c r="B131" t="s">
        <v>872</v>
      </c>
      <c r="C131">
        <v>12</v>
      </c>
      <c r="D131" t="s">
        <v>21</v>
      </c>
      <c r="E131" t="s">
        <v>95</v>
      </c>
      <c r="F131" t="s">
        <v>110</v>
      </c>
      <c r="G131" t="s">
        <v>121</v>
      </c>
      <c r="H131" t="s">
        <v>241</v>
      </c>
      <c r="I131" t="s">
        <v>162</v>
      </c>
      <c r="J131">
        <v>1</v>
      </c>
      <c r="K131">
        <v>2</v>
      </c>
      <c r="L131">
        <v>73.260869569999997</v>
      </c>
      <c r="M131">
        <v>34.453830549999999</v>
      </c>
      <c r="N131">
        <v>1.058333333</v>
      </c>
      <c r="O131">
        <v>0.90897070000000002</v>
      </c>
      <c r="P131">
        <v>114</v>
      </c>
      <c r="Q131">
        <v>30.43077242</v>
      </c>
      <c r="R131">
        <v>0.53383111100000002</v>
      </c>
      <c r="S131">
        <v>0.28333332999999999</v>
      </c>
      <c r="T131">
        <v>-40.739130430000003</v>
      </c>
      <c r="U131">
        <v>40.739130430000003</v>
      </c>
      <c r="V131">
        <v>4.0230581299999999</v>
      </c>
      <c r="W131">
        <v>4.0230581299999999</v>
      </c>
      <c r="X131">
        <v>0.52450222199999996</v>
      </c>
      <c r="Y131">
        <v>0.52450222199999996</v>
      </c>
      <c r="Z131">
        <v>0.62563736999999997</v>
      </c>
      <c r="AA131">
        <v>0.62563736999999997</v>
      </c>
    </row>
    <row r="132" spans="1:27" x14ac:dyDescent="0.25">
      <c r="A132" t="s">
        <v>54</v>
      </c>
      <c r="B132" t="s">
        <v>873</v>
      </c>
      <c r="C132">
        <v>12</v>
      </c>
      <c r="D132" t="s">
        <v>21</v>
      </c>
      <c r="E132" t="s">
        <v>95</v>
      </c>
      <c r="F132" t="s">
        <v>111</v>
      </c>
      <c r="G132" t="s">
        <v>121</v>
      </c>
      <c r="H132" t="s">
        <v>162</v>
      </c>
      <c r="J132">
        <v>0</v>
      </c>
      <c r="K132">
        <v>1</v>
      </c>
      <c r="L132">
        <v>94.97142857</v>
      </c>
      <c r="M132">
        <v>24.31591813</v>
      </c>
      <c r="N132">
        <v>0.122951111</v>
      </c>
      <c r="O132">
        <v>0.39050790000000002</v>
      </c>
      <c r="P132">
        <v>82.53846154</v>
      </c>
      <c r="Q132">
        <v>35.660530039999998</v>
      </c>
      <c r="R132">
        <v>3.3754499999999998</v>
      </c>
      <c r="S132" t="s">
        <v>114</v>
      </c>
      <c r="T132">
        <v>12.43296703</v>
      </c>
      <c r="U132">
        <v>12.43296703</v>
      </c>
      <c r="V132">
        <v>-11.344611909999999</v>
      </c>
      <c r="W132">
        <v>11.344611909999999</v>
      </c>
      <c r="X132">
        <v>-3.2524988889999999</v>
      </c>
      <c r="Y132">
        <v>3.2524988889999999</v>
      </c>
      <c r="Z132" t="s">
        <v>114</v>
      </c>
      <c r="AA132" t="s">
        <v>114</v>
      </c>
    </row>
    <row r="133" spans="1:27" x14ac:dyDescent="0.25">
      <c r="A133" t="s">
        <v>55</v>
      </c>
      <c r="B133" t="s">
        <v>874</v>
      </c>
      <c r="C133">
        <v>12</v>
      </c>
      <c r="D133" t="s">
        <v>23</v>
      </c>
      <c r="E133" t="s">
        <v>94</v>
      </c>
      <c r="F133" t="s">
        <v>113</v>
      </c>
      <c r="G133" t="s">
        <v>110</v>
      </c>
      <c r="H133" t="s">
        <v>238</v>
      </c>
      <c r="J133">
        <v>0</v>
      </c>
      <c r="K133">
        <v>1</v>
      </c>
      <c r="L133">
        <v>83.757575759999995</v>
      </c>
      <c r="M133">
        <v>22.60997987</v>
      </c>
      <c r="N133">
        <v>0.72884000000000004</v>
      </c>
      <c r="O133">
        <v>0.21301339999999999</v>
      </c>
      <c r="P133">
        <v>87.5</v>
      </c>
      <c r="Q133">
        <v>29.478311600000001</v>
      </c>
      <c r="R133">
        <v>3.0797751000000002E-2</v>
      </c>
      <c r="S133">
        <v>0.12931835</v>
      </c>
      <c r="T133">
        <v>-3.7424242400000001</v>
      </c>
      <c r="U133">
        <v>3.7424242400000001</v>
      </c>
      <c r="V133">
        <v>-6.8683317300000004</v>
      </c>
      <c r="W133">
        <v>6.8683317300000004</v>
      </c>
      <c r="X133">
        <v>0.698042249</v>
      </c>
      <c r="Y133">
        <v>0.698042249</v>
      </c>
      <c r="Z133">
        <v>8.3695049999999993E-2</v>
      </c>
      <c r="AA133">
        <v>8.3695049999999993E-2</v>
      </c>
    </row>
    <row r="134" spans="1:27" x14ac:dyDescent="0.25">
      <c r="A134" t="s">
        <v>55</v>
      </c>
      <c r="B134" t="s">
        <v>874</v>
      </c>
      <c r="C134">
        <v>12</v>
      </c>
      <c r="D134" t="s">
        <v>23</v>
      </c>
      <c r="E134" t="s">
        <v>94</v>
      </c>
      <c r="F134" t="s">
        <v>113</v>
      </c>
      <c r="G134" t="s">
        <v>110</v>
      </c>
      <c r="H134" t="s">
        <v>103</v>
      </c>
      <c r="J134">
        <v>0</v>
      </c>
      <c r="K134">
        <v>1</v>
      </c>
      <c r="L134">
        <v>83.757575759999995</v>
      </c>
      <c r="M134">
        <v>22.60997987</v>
      </c>
      <c r="N134">
        <v>0.72884000000000004</v>
      </c>
      <c r="O134">
        <v>0.21301339999999999</v>
      </c>
      <c r="P134">
        <v>98.291666669999998</v>
      </c>
      <c r="Q134">
        <v>30.315130790000001</v>
      </c>
      <c r="R134">
        <v>5.0803484000000003E-2</v>
      </c>
      <c r="S134">
        <v>0.42866070000000001</v>
      </c>
      <c r="T134">
        <v>-14.53409091</v>
      </c>
      <c r="U134">
        <v>14.53409091</v>
      </c>
      <c r="V134">
        <v>-7.7051509200000003</v>
      </c>
      <c r="W134">
        <v>7.7051509200000003</v>
      </c>
      <c r="X134">
        <v>0.67803651600000003</v>
      </c>
      <c r="Y134">
        <v>0.67803651600000003</v>
      </c>
      <c r="Z134">
        <v>-0.21564730000000001</v>
      </c>
      <c r="AA134">
        <v>0.21564730000000001</v>
      </c>
    </row>
    <row r="135" spans="1:27" x14ac:dyDescent="0.25">
      <c r="A135" t="s">
        <v>55</v>
      </c>
      <c r="B135" t="s">
        <v>874</v>
      </c>
      <c r="C135">
        <v>12</v>
      </c>
      <c r="D135" t="s">
        <v>23</v>
      </c>
      <c r="E135" t="s">
        <v>94</v>
      </c>
      <c r="F135" t="s">
        <v>113</v>
      </c>
      <c r="G135" t="s">
        <v>110</v>
      </c>
      <c r="H135" t="s">
        <v>808</v>
      </c>
      <c r="J135">
        <v>0</v>
      </c>
      <c r="K135">
        <v>1</v>
      </c>
      <c r="L135">
        <v>83.757575759999995</v>
      </c>
      <c r="M135">
        <v>22.60997987</v>
      </c>
      <c r="N135">
        <v>0.72884000000000004</v>
      </c>
      <c r="O135">
        <v>0.21301339999999999</v>
      </c>
      <c r="P135">
        <v>102.79166669999999</v>
      </c>
      <c r="Q135">
        <v>27.057373470000002</v>
      </c>
      <c r="R135">
        <v>6.3567849939999999</v>
      </c>
      <c r="S135" t="s">
        <v>114</v>
      </c>
      <c r="T135">
        <v>-19.034090939999999</v>
      </c>
      <c r="U135">
        <v>19.034090939999999</v>
      </c>
      <c r="V135">
        <v>-4.4473935999999998</v>
      </c>
      <c r="W135">
        <v>4.4473935999999998</v>
      </c>
      <c r="X135">
        <v>-5.6279449939999999</v>
      </c>
      <c r="Y135">
        <v>5.6279449939999999</v>
      </c>
      <c r="Z135" t="s">
        <v>114</v>
      </c>
      <c r="AA135" t="s">
        <v>114</v>
      </c>
    </row>
    <row r="136" spans="1:27" x14ac:dyDescent="0.25">
      <c r="A136" t="s">
        <v>55</v>
      </c>
      <c r="B136" t="s">
        <v>874</v>
      </c>
      <c r="C136">
        <v>12</v>
      </c>
      <c r="D136" t="s">
        <v>23</v>
      </c>
      <c r="E136" t="s">
        <v>94</v>
      </c>
      <c r="F136" t="s">
        <v>113</v>
      </c>
      <c r="G136" t="s">
        <v>110</v>
      </c>
      <c r="H136" t="s">
        <v>113</v>
      </c>
      <c r="J136">
        <v>0</v>
      </c>
      <c r="K136">
        <v>1</v>
      </c>
      <c r="L136">
        <v>83.757575759999995</v>
      </c>
      <c r="M136">
        <v>22.60997987</v>
      </c>
      <c r="N136">
        <v>0.72884000000000004</v>
      </c>
      <c r="O136">
        <v>0.21301339999999999</v>
      </c>
      <c r="P136">
        <v>83.757575759999995</v>
      </c>
      <c r="Q136">
        <v>22.60997987</v>
      </c>
      <c r="R136">
        <v>0.72884000000000004</v>
      </c>
      <c r="S136">
        <v>0.21301339999999999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</row>
    <row r="137" spans="1:27" x14ac:dyDescent="0.25">
      <c r="A137" t="s">
        <v>55</v>
      </c>
      <c r="B137" t="s">
        <v>875</v>
      </c>
      <c r="C137">
        <v>12</v>
      </c>
      <c r="D137" t="s">
        <v>23</v>
      </c>
      <c r="E137" t="s">
        <v>94</v>
      </c>
      <c r="F137" t="s">
        <v>110</v>
      </c>
      <c r="G137" t="s">
        <v>103</v>
      </c>
      <c r="H137" t="s">
        <v>114</v>
      </c>
      <c r="J137">
        <v>0</v>
      </c>
      <c r="K137" t="s">
        <v>114</v>
      </c>
      <c r="L137">
        <v>73.260869569999997</v>
      </c>
      <c r="M137">
        <v>34.453830549999999</v>
      </c>
      <c r="N137">
        <v>1.058333333</v>
      </c>
      <c r="O137">
        <v>0.90897070000000002</v>
      </c>
      <c r="P137" t="s">
        <v>114</v>
      </c>
      <c r="Q137" t="s">
        <v>114</v>
      </c>
      <c r="R137" t="s">
        <v>114</v>
      </c>
      <c r="S137" t="s">
        <v>114</v>
      </c>
      <c r="T137" t="s">
        <v>114</v>
      </c>
      <c r="U137" t="s">
        <v>114</v>
      </c>
      <c r="V137" t="s">
        <v>114</v>
      </c>
      <c r="W137" t="s">
        <v>114</v>
      </c>
      <c r="X137" t="s">
        <v>114</v>
      </c>
      <c r="Y137" t="s">
        <v>114</v>
      </c>
      <c r="Z137" t="s">
        <v>114</v>
      </c>
      <c r="AA137" t="s">
        <v>114</v>
      </c>
    </row>
    <row r="138" spans="1:27" x14ac:dyDescent="0.25">
      <c r="A138" t="s">
        <v>55</v>
      </c>
      <c r="B138" t="s">
        <v>876</v>
      </c>
      <c r="C138">
        <v>12</v>
      </c>
      <c r="D138" t="s">
        <v>23</v>
      </c>
      <c r="E138" t="s">
        <v>94</v>
      </c>
      <c r="F138" t="s">
        <v>103</v>
      </c>
      <c r="G138" t="s">
        <v>103</v>
      </c>
      <c r="H138" t="s">
        <v>114</v>
      </c>
      <c r="J138">
        <v>0</v>
      </c>
      <c r="K138" t="s">
        <v>114</v>
      </c>
      <c r="L138">
        <v>98.291666669999998</v>
      </c>
      <c r="M138">
        <v>30.315130790000001</v>
      </c>
      <c r="N138">
        <v>5.0803484000000003E-2</v>
      </c>
      <c r="O138">
        <v>0.42866070000000001</v>
      </c>
      <c r="P138" t="s">
        <v>114</v>
      </c>
      <c r="Q138" t="s">
        <v>114</v>
      </c>
      <c r="R138" t="s">
        <v>114</v>
      </c>
      <c r="S138" t="s">
        <v>114</v>
      </c>
      <c r="T138" t="s">
        <v>114</v>
      </c>
      <c r="U138" t="s">
        <v>114</v>
      </c>
      <c r="V138" t="s">
        <v>114</v>
      </c>
      <c r="W138" t="s">
        <v>114</v>
      </c>
      <c r="X138" t="s">
        <v>114</v>
      </c>
      <c r="Y138" t="s">
        <v>114</v>
      </c>
      <c r="Z138" t="s">
        <v>114</v>
      </c>
      <c r="AA138" t="s">
        <v>114</v>
      </c>
    </row>
    <row r="139" spans="1:27" x14ac:dyDescent="0.25">
      <c r="A139" t="s">
        <v>55</v>
      </c>
      <c r="B139" t="s">
        <v>877</v>
      </c>
      <c r="C139">
        <v>12</v>
      </c>
      <c r="D139" t="s">
        <v>23</v>
      </c>
      <c r="E139" t="s">
        <v>94</v>
      </c>
      <c r="F139" t="s">
        <v>111</v>
      </c>
      <c r="G139" t="s">
        <v>113</v>
      </c>
      <c r="H139" t="s">
        <v>113</v>
      </c>
      <c r="J139">
        <v>0</v>
      </c>
      <c r="K139">
        <v>2</v>
      </c>
      <c r="L139">
        <v>94.97142857</v>
      </c>
      <c r="M139">
        <v>24.31591813</v>
      </c>
      <c r="N139">
        <v>0.122951111</v>
      </c>
      <c r="O139">
        <v>0.39050790000000002</v>
      </c>
      <c r="P139">
        <v>83.757575759999995</v>
      </c>
      <c r="Q139">
        <v>22.60997987</v>
      </c>
      <c r="R139">
        <v>0.72884000000000004</v>
      </c>
      <c r="S139">
        <v>0.21301339999999999</v>
      </c>
      <c r="T139">
        <v>11.213852810000001</v>
      </c>
      <c r="U139">
        <v>11.213852810000001</v>
      </c>
      <c r="V139">
        <v>1.7059382599999999</v>
      </c>
      <c r="W139">
        <v>1.7059382599999999</v>
      </c>
      <c r="X139">
        <v>-0.60588888900000004</v>
      </c>
      <c r="Y139">
        <v>0.60588888900000004</v>
      </c>
      <c r="Z139">
        <v>0.17749450000000003</v>
      </c>
      <c r="AA139">
        <v>0.17749450000000003</v>
      </c>
    </row>
    <row r="140" spans="1:27" x14ac:dyDescent="0.25">
      <c r="A140" t="s">
        <v>55</v>
      </c>
      <c r="B140" t="s">
        <v>877</v>
      </c>
      <c r="C140">
        <v>12</v>
      </c>
      <c r="D140" t="s">
        <v>23</v>
      </c>
      <c r="E140" t="s">
        <v>94</v>
      </c>
      <c r="F140" t="s">
        <v>111</v>
      </c>
      <c r="G140" t="s">
        <v>113</v>
      </c>
      <c r="H140" t="s">
        <v>113</v>
      </c>
      <c r="J140">
        <v>0</v>
      </c>
      <c r="K140">
        <v>2</v>
      </c>
      <c r="L140">
        <v>94.97142857</v>
      </c>
      <c r="M140">
        <v>24.31591813</v>
      </c>
      <c r="N140">
        <v>0.122951111</v>
      </c>
      <c r="O140">
        <v>0.39050790000000002</v>
      </c>
      <c r="P140">
        <v>83.757575759999995</v>
      </c>
      <c r="Q140">
        <v>22.60997987</v>
      </c>
      <c r="R140">
        <v>0.72884000000000004</v>
      </c>
      <c r="S140">
        <v>0.21301339999999999</v>
      </c>
      <c r="T140">
        <v>11.213852810000001</v>
      </c>
      <c r="U140">
        <v>11.213852810000001</v>
      </c>
      <c r="V140">
        <v>1.7059382599999999</v>
      </c>
      <c r="W140">
        <v>1.7059382599999999</v>
      </c>
      <c r="X140">
        <v>-0.60588888900000004</v>
      </c>
      <c r="Y140">
        <v>0.60588888900000004</v>
      </c>
      <c r="Z140">
        <v>0.17749450000000003</v>
      </c>
      <c r="AA140">
        <v>0.17749450000000003</v>
      </c>
    </row>
    <row r="141" spans="1:27" x14ac:dyDescent="0.25">
      <c r="A141" t="s">
        <v>55</v>
      </c>
      <c r="B141" t="s">
        <v>877</v>
      </c>
      <c r="C141">
        <v>12</v>
      </c>
      <c r="D141" t="s">
        <v>23</v>
      </c>
      <c r="E141" t="s">
        <v>94</v>
      </c>
      <c r="F141" t="s">
        <v>111</v>
      </c>
      <c r="G141" t="s">
        <v>113</v>
      </c>
      <c r="H141" t="s">
        <v>797</v>
      </c>
      <c r="J141">
        <v>0</v>
      </c>
      <c r="K141">
        <v>1</v>
      </c>
      <c r="L141">
        <v>94.97142857</v>
      </c>
      <c r="M141">
        <v>24.31591813</v>
      </c>
      <c r="N141">
        <v>0.122951111</v>
      </c>
      <c r="O141">
        <v>0.39050790000000002</v>
      </c>
      <c r="P141">
        <v>179.45454549999999</v>
      </c>
      <c r="Q141">
        <v>26.326869609999999</v>
      </c>
      <c r="R141">
        <v>2.3456094639999998</v>
      </c>
      <c r="S141">
        <v>0.18833116</v>
      </c>
      <c r="T141">
        <v>-84.483116929999994</v>
      </c>
      <c r="U141">
        <v>84.483116929999994</v>
      </c>
      <c r="V141">
        <v>-2.0109514800000001</v>
      </c>
      <c r="W141">
        <v>2.0109514800000001</v>
      </c>
      <c r="X141">
        <v>-2.2226583529999999</v>
      </c>
      <c r="Y141">
        <v>2.2226583529999999</v>
      </c>
      <c r="Z141">
        <v>0.20217674000000002</v>
      </c>
      <c r="AA141">
        <v>0.20217674000000002</v>
      </c>
    </row>
    <row r="142" spans="1:27" x14ac:dyDescent="0.25">
      <c r="A142" t="s">
        <v>56</v>
      </c>
      <c r="B142" t="s">
        <v>878</v>
      </c>
      <c r="C142">
        <v>12</v>
      </c>
      <c r="D142" t="s">
        <v>25</v>
      </c>
      <c r="E142" t="s">
        <v>94</v>
      </c>
      <c r="F142" t="s">
        <v>113</v>
      </c>
      <c r="G142" t="s">
        <v>113</v>
      </c>
      <c r="H142" t="s">
        <v>113</v>
      </c>
      <c r="J142">
        <v>0</v>
      </c>
      <c r="K142">
        <v>3</v>
      </c>
      <c r="L142">
        <v>83.757575759999995</v>
      </c>
      <c r="M142">
        <v>22.60997987</v>
      </c>
      <c r="N142">
        <v>0.72884000000000004</v>
      </c>
      <c r="O142">
        <v>0.21301339999999999</v>
      </c>
      <c r="P142">
        <v>83.757575759999995</v>
      </c>
      <c r="Q142">
        <v>22.60997987</v>
      </c>
      <c r="R142">
        <v>0.72884000000000004</v>
      </c>
      <c r="S142">
        <v>0.21301339999999999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</row>
    <row r="143" spans="1:27" x14ac:dyDescent="0.25">
      <c r="A143" t="s">
        <v>56</v>
      </c>
      <c r="B143" t="s">
        <v>878</v>
      </c>
      <c r="C143">
        <v>12</v>
      </c>
      <c r="D143" t="s">
        <v>25</v>
      </c>
      <c r="E143" t="s">
        <v>94</v>
      </c>
      <c r="F143" t="s">
        <v>113</v>
      </c>
      <c r="G143" t="s">
        <v>113</v>
      </c>
      <c r="H143" t="s">
        <v>113</v>
      </c>
      <c r="J143">
        <v>0</v>
      </c>
      <c r="K143">
        <v>3</v>
      </c>
      <c r="L143">
        <v>83.757575759999995</v>
      </c>
      <c r="M143">
        <v>22.60997987</v>
      </c>
      <c r="N143">
        <v>0.72884000000000004</v>
      </c>
      <c r="O143">
        <v>0.21301339999999999</v>
      </c>
      <c r="P143">
        <v>83.757575759999995</v>
      </c>
      <c r="Q143">
        <v>22.60997987</v>
      </c>
      <c r="R143">
        <v>0.72884000000000004</v>
      </c>
      <c r="S143">
        <v>0.21301339999999999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</row>
    <row r="144" spans="1:27" x14ac:dyDescent="0.25">
      <c r="A144" t="s">
        <v>56</v>
      </c>
      <c r="B144" t="s">
        <v>878</v>
      </c>
      <c r="C144">
        <v>12</v>
      </c>
      <c r="D144" t="s">
        <v>25</v>
      </c>
      <c r="E144" t="s">
        <v>94</v>
      </c>
      <c r="F144" t="s">
        <v>113</v>
      </c>
      <c r="G144" t="s">
        <v>113</v>
      </c>
      <c r="H144" t="s">
        <v>113</v>
      </c>
      <c r="J144">
        <v>0</v>
      </c>
      <c r="K144">
        <v>3</v>
      </c>
      <c r="L144">
        <v>83.757575759999995</v>
      </c>
      <c r="M144">
        <v>22.60997987</v>
      </c>
      <c r="N144">
        <v>0.72884000000000004</v>
      </c>
      <c r="O144">
        <v>0.21301339999999999</v>
      </c>
      <c r="P144">
        <v>83.757575759999995</v>
      </c>
      <c r="Q144">
        <v>22.60997987</v>
      </c>
      <c r="R144">
        <v>0.72884000000000004</v>
      </c>
      <c r="S144">
        <v>0.21301339999999999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</row>
    <row r="145" spans="1:27" x14ac:dyDescent="0.25">
      <c r="A145" t="s">
        <v>56</v>
      </c>
      <c r="B145" t="s">
        <v>879</v>
      </c>
      <c r="C145">
        <v>12</v>
      </c>
      <c r="D145" t="s">
        <v>25</v>
      </c>
      <c r="E145" t="s">
        <v>94</v>
      </c>
      <c r="F145" t="s">
        <v>111</v>
      </c>
      <c r="G145" t="s">
        <v>121</v>
      </c>
      <c r="H145" t="s">
        <v>112</v>
      </c>
      <c r="J145">
        <v>0</v>
      </c>
      <c r="K145">
        <v>1</v>
      </c>
      <c r="L145">
        <v>94.97142857</v>
      </c>
      <c r="M145">
        <v>24.31591813</v>
      </c>
      <c r="N145">
        <v>0.122951111</v>
      </c>
      <c r="O145">
        <v>0.39050790000000002</v>
      </c>
      <c r="P145">
        <v>65.09375</v>
      </c>
      <c r="Q145">
        <v>37.895352600000002</v>
      </c>
      <c r="R145">
        <v>2.2882677779999998</v>
      </c>
      <c r="S145">
        <v>2.2111774</v>
      </c>
      <c r="T145">
        <v>29.87767857</v>
      </c>
      <c r="U145">
        <v>29.87767857</v>
      </c>
      <c r="V145">
        <v>-13.579434470000001</v>
      </c>
      <c r="W145">
        <v>13.579434470000001</v>
      </c>
      <c r="X145">
        <v>-2.1653166669999999</v>
      </c>
      <c r="Y145">
        <v>2.1653166669999999</v>
      </c>
      <c r="Z145">
        <v>-1.8206694999999999</v>
      </c>
      <c r="AA145">
        <v>1.8206694999999999</v>
      </c>
    </row>
    <row r="146" spans="1:27" x14ac:dyDescent="0.25">
      <c r="A146" t="s">
        <v>56</v>
      </c>
      <c r="B146" t="s">
        <v>880</v>
      </c>
      <c r="C146">
        <v>12</v>
      </c>
      <c r="D146" t="s">
        <v>25</v>
      </c>
      <c r="E146" t="s">
        <v>94</v>
      </c>
      <c r="F146" t="s">
        <v>104</v>
      </c>
      <c r="G146" t="s">
        <v>121</v>
      </c>
      <c r="H146" t="s">
        <v>104</v>
      </c>
      <c r="J146">
        <v>0</v>
      </c>
      <c r="K146">
        <v>1</v>
      </c>
      <c r="L146">
        <v>113.9375</v>
      </c>
      <c r="M146">
        <v>33.375507550000002</v>
      </c>
      <c r="N146">
        <v>2.4262999999999999</v>
      </c>
      <c r="O146">
        <v>0.40692159999999999</v>
      </c>
      <c r="P146">
        <v>113.9375</v>
      </c>
      <c r="Q146">
        <v>33.375507550000002</v>
      </c>
      <c r="R146">
        <v>2.4262999999999999</v>
      </c>
      <c r="S146">
        <v>0.40692159999999999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</row>
    <row r="147" spans="1:27" x14ac:dyDescent="0.25">
      <c r="A147" t="s">
        <v>56</v>
      </c>
      <c r="B147" t="s">
        <v>881</v>
      </c>
      <c r="C147">
        <v>12</v>
      </c>
      <c r="D147" t="s">
        <v>25</v>
      </c>
      <c r="E147" t="s">
        <v>94</v>
      </c>
      <c r="F147" t="s">
        <v>112</v>
      </c>
      <c r="G147" t="s">
        <v>121</v>
      </c>
      <c r="H147" t="s">
        <v>241</v>
      </c>
      <c r="J147">
        <v>0</v>
      </c>
      <c r="K147">
        <v>4</v>
      </c>
      <c r="L147">
        <v>65.09375</v>
      </c>
      <c r="M147">
        <v>37.895352600000002</v>
      </c>
      <c r="N147">
        <v>2.2882677779999998</v>
      </c>
      <c r="O147">
        <v>2.2111774</v>
      </c>
      <c r="P147">
        <v>114</v>
      </c>
      <c r="Q147">
        <v>30.43077242</v>
      </c>
      <c r="R147">
        <v>0.53383111100000002</v>
      </c>
      <c r="S147">
        <v>0.28333332999999999</v>
      </c>
      <c r="T147">
        <v>-48.90625</v>
      </c>
      <c r="U147">
        <v>48.90625</v>
      </c>
      <c r="V147">
        <v>7.4645801799999996</v>
      </c>
      <c r="W147">
        <v>7.4645801799999996</v>
      </c>
      <c r="X147">
        <v>1.754436667</v>
      </c>
      <c r="Y147">
        <v>1.754436667</v>
      </c>
      <c r="Z147">
        <v>1.9278440699999999</v>
      </c>
      <c r="AA147">
        <v>1.9278440699999999</v>
      </c>
    </row>
    <row r="148" spans="1:27" x14ac:dyDescent="0.25">
      <c r="A148" t="s">
        <v>56</v>
      </c>
      <c r="B148" t="s">
        <v>881</v>
      </c>
      <c r="C148">
        <v>12</v>
      </c>
      <c r="D148" t="s">
        <v>25</v>
      </c>
      <c r="E148" t="s">
        <v>94</v>
      </c>
      <c r="F148" t="s">
        <v>112</v>
      </c>
      <c r="G148" t="s">
        <v>121</v>
      </c>
      <c r="H148" t="s">
        <v>241</v>
      </c>
      <c r="J148">
        <v>0</v>
      </c>
      <c r="K148">
        <v>4</v>
      </c>
      <c r="L148">
        <v>65.09375</v>
      </c>
      <c r="M148">
        <v>37.895352600000002</v>
      </c>
      <c r="N148">
        <v>2.2882677779999998</v>
      </c>
      <c r="O148">
        <v>2.2111774</v>
      </c>
      <c r="P148">
        <v>114</v>
      </c>
      <c r="Q148">
        <v>30.43077242</v>
      </c>
      <c r="R148">
        <v>0.53383111100000002</v>
      </c>
      <c r="S148">
        <v>0.28333332999999999</v>
      </c>
      <c r="T148">
        <v>-48.90625</v>
      </c>
      <c r="U148">
        <v>48.90625</v>
      </c>
      <c r="V148">
        <v>7.4645801799999996</v>
      </c>
      <c r="W148">
        <v>7.4645801799999996</v>
      </c>
      <c r="X148">
        <v>1.754436667</v>
      </c>
      <c r="Y148">
        <v>1.754436667</v>
      </c>
      <c r="Z148">
        <v>1.9278440699999999</v>
      </c>
      <c r="AA148">
        <v>1.9278440699999999</v>
      </c>
    </row>
    <row r="149" spans="1:27" x14ac:dyDescent="0.25">
      <c r="A149" t="s">
        <v>56</v>
      </c>
      <c r="B149" t="s">
        <v>881</v>
      </c>
      <c r="C149">
        <v>12</v>
      </c>
      <c r="D149" t="s">
        <v>25</v>
      </c>
      <c r="E149" t="s">
        <v>94</v>
      </c>
      <c r="F149" t="s">
        <v>112</v>
      </c>
      <c r="G149" t="s">
        <v>121</v>
      </c>
      <c r="H149" t="s">
        <v>241</v>
      </c>
      <c r="J149">
        <v>0</v>
      </c>
      <c r="K149">
        <v>4</v>
      </c>
      <c r="L149">
        <v>65.09375</v>
      </c>
      <c r="M149">
        <v>37.895352600000002</v>
      </c>
      <c r="N149">
        <v>2.2882677779999998</v>
      </c>
      <c r="O149">
        <v>2.2111774</v>
      </c>
      <c r="P149">
        <v>114</v>
      </c>
      <c r="Q149">
        <v>30.43077242</v>
      </c>
      <c r="R149">
        <v>0.53383111100000002</v>
      </c>
      <c r="S149">
        <v>0.28333332999999999</v>
      </c>
      <c r="T149">
        <v>-48.90625</v>
      </c>
      <c r="U149">
        <v>48.90625</v>
      </c>
      <c r="V149">
        <v>7.4645801799999996</v>
      </c>
      <c r="W149">
        <v>7.4645801799999996</v>
      </c>
      <c r="X149">
        <v>1.754436667</v>
      </c>
      <c r="Y149">
        <v>1.754436667</v>
      </c>
      <c r="Z149">
        <v>1.9278440699999999</v>
      </c>
      <c r="AA149">
        <v>1.9278440699999999</v>
      </c>
    </row>
    <row r="150" spans="1:27" x14ac:dyDescent="0.25">
      <c r="A150" t="s">
        <v>56</v>
      </c>
      <c r="B150" t="s">
        <v>881</v>
      </c>
      <c r="C150">
        <v>12</v>
      </c>
      <c r="D150" t="s">
        <v>25</v>
      </c>
      <c r="E150" t="s">
        <v>94</v>
      </c>
      <c r="F150" t="s">
        <v>112</v>
      </c>
      <c r="G150" t="s">
        <v>121</v>
      </c>
      <c r="H150" t="s">
        <v>241</v>
      </c>
      <c r="J150">
        <v>0</v>
      </c>
      <c r="K150">
        <v>4</v>
      </c>
      <c r="L150">
        <v>65.09375</v>
      </c>
      <c r="M150">
        <v>37.895352600000002</v>
      </c>
      <c r="N150">
        <v>2.2882677779999998</v>
      </c>
      <c r="O150">
        <v>2.2111774</v>
      </c>
      <c r="P150">
        <v>114</v>
      </c>
      <c r="Q150">
        <v>30.43077242</v>
      </c>
      <c r="R150">
        <v>0.53383111100000002</v>
      </c>
      <c r="S150">
        <v>0.28333332999999999</v>
      </c>
      <c r="T150">
        <v>-48.90625</v>
      </c>
      <c r="U150">
        <v>48.90625</v>
      </c>
      <c r="V150">
        <v>7.4645801799999996</v>
      </c>
      <c r="W150">
        <v>7.4645801799999996</v>
      </c>
      <c r="X150">
        <v>1.754436667</v>
      </c>
      <c r="Y150">
        <v>1.754436667</v>
      </c>
      <c r="Z150">
        <v>1.9278440699999999</v>
      </c>
      <c r="AA150">
        <v>1.9278440699999999</v>
      </c>
    </row>
    <row r="151" spans="1:27" x14ac:dyDescent="0.25">
      <c r="A151" t="s">
        <v>57</v>
      </c>
      <c r="B151" t="s">
        <v>882</v>
      </c>
      <c r="C151">
        <v>12</v>
      </c>
      <c r="D151" t="s">
        <v>27</v>
      </c>
      <c r="E151" t="s">
        <v>94</v>
      </c>
      <c r="F151" t="s">
        <v>105</v>
      </c>
      <c r="G151" t="s">
        <v>121</v>
      </c>
      <c r="H151" t="s">
        <v>247</v>
      </c>
      <c r="J151">
        <v>0</v>
      </c>
      <c r="K151">
        <v>1</v>
      </c>
      <c r="L151">
        <v>67.5</v>
      </c>
      <c r="M151">
        <v>47.937235809999997</v>
      </c>
      <c r="N151">
        <v>0.41599678000000001</v>
      </c>
      <c r="O151">
        <v>2.0950346999999998</v>
      </c>
      <c r="P151">
        <v>65.791044779999993</v>
      </c>
      <c r="Q151">
        <v>22.94519201</v>
      </c>
      <c r="R151">
        <v>8.1320334999999994E-2</v>
      </c>
      <c r="S151">
        <v>0.17285655</v>
      </c>
      <c r="T151">
        <v>1.70895522</v>
      </c>
      <c r="U151">
        <v>1.70895522</v>
      </c>
      <c r="V151">
        <v>24.992043800000001</v>
      </c>
      <c r="W151">
        <v>24.992043800000001</v>
      </c>
      <c r="X151">
        <v>0.33467644499999999</v>
      </c>
      <c r="Y151">
        <v>0.33467644499999999</v>
      </c>
      <c r="Z151">
        <v>1.9221781499999997</v>
      </c>
      <c r="AA151">
        <v>1.9221781499999997</v>
      </c>
    </row>
    <row r="152" spans="1:27" x14ac:dyDescent="0.25">
      <c r="A152" t="s">
        <v>57</v>
      </c>
      <c r="B152" t="s">
        <v>882</v>
      </c>
      <c r="C152">
        <v>12</v>
      </c>
      <c r="D152" t="s">
        <v>27</v>
      </c>
      <c r="E152" t="s">
        <v>94</v>
      </c>
      <c r="F152" t="s">
        <v>105</v>
      </c>
      <c r="G152" t="s">
        <v>121</v>
      </c>
      <c r="H152" t="s">
        <v>103</v>
      </c>
      <c r="J152">
        <v>0</v>
      </c>
      <c r="K152">
        <v>1</v>
      </c>
      <c r="L152">
        <v>67.5</v>
      </c>
      <c r="M152">
        <v>47.937235809999997</v>
      </c>
      <c r="N152">
        <v>0.41599678000000001</v>
      </c>
      <c r="O152">
        <v>2.0950346999999998</v>
      </c>
      <c r="P152">
        <v>98.291666669999998</v>
      </c>
      <c r="Q152">
        <v>30.315130790000001</v>
      </c>
      <c r="R152">
        <v>5.0803484000000003E-2</v>
      </c>
      <c r="S152">
        <v>0.42866070000000001</v>
      </c>
      <c r="T152">
        <v>-30.791666670000001</v>
      </c>
      <c r="U152">
        <v>30.791666670000001</v>
      </c>
      <c r="V152">
        <v>17.622105019999999</v>
      </c>
      <c r="W152">
        <v>17.622105019999999</v>
      </c>
      <c r="X152">
        <v>0.365193296</v>
      </c>
      <c r="Y152">
        <v>0.365193296</v>
      </c>
      <c r="Z152">
        <v>1.6663739999999998</v>
      </c>
      <c r="AA152">
        <v>1.6663739999999998</v>
      </c>
    </row>
    <row r="153" spans="1:27" x14ac:dyDescent="0.25">
      <c r="A153" t="s">
        <v>57</v>
      </c>
      <c r="B153" t="s">
        <v>882</v>
      </c>
      <c r="C153">
        <v>12</v>
      </c>
      <c r="D153" t="s">
        <v>27</v>
      </c>
      <c r="E153" t="s">
        <v>94</v>
      </c>
      <c r="F153" t="s">
        <v>105</v>
      </c>
      <c r="G153" t="s">
        <v>121</v>
      </c>
      <c r="H153" t="s">
        <v>233</v>
      </c>
      <c r="J153">
        <v>0</v>
      </c>
      <c r="K153">
        <v>6</v>
      </c>
      <c r="L153">
        <v>67.5</v>
      </c>
      <c r="M153">
        <v>47.937235809999997</v>
      </c>
      <c r="N153">
        <v>0.41599678000000001</v>
      </c>
      <c r="O153">
        <v>2.0950346999999998</v>
      </c>
      <c r="P153">
        <v>106.0540541</v>
      </c>
      <c r="Q153">
        <v>52.690533369999997</v>
      </c>
      <c r="R153">
        <v>7.6058968000000005E-2</v>
      </c>
      <c r="S153">
        <v>0.44888888999999998</v>
      </c>
      <c r="T153">
        <v>-38.554054100000002</v>
      </c>
      <c r="U153">
        <v>38.554054100000002</v>
      </c>
      <c r="V153">
        <v>-4.75329756</v>
      </c>
      <c r="W153">
        <v>4.75329756</v>
      </c>
      <c r="X153">
        <v>0.33993781200000001</v>
      </c>
      <c r="Y153">
        <v>0.33993781200000001</v>
      </c>
      <c r="Z153">
        <v>1.6461458099999997</v>
      </c>
      <c r="AA153">
        <v>1.6461458099999997</v>
      </c>
    </row>
    <row r="154" spans="1:27" x14ac:dyDescent="0.25">
      <c r="A154" t="s">
        <v>57</v>
      </c>
      <c r="B154" t="s">
        <v>882</v>
      </c>
      <c r="C154">
        <v>12</v>
      </c>
      <c r="D154" t="s">
        <v>27</v>
      </c>
      <c r="E154" t="s">
        <v>94</v>
      </c>
      <c r="F154" t="s">
        <v>105</v>
      </c>
      <c r="G154" t="s">
        <v>121</v>
      </c>
      <c r="H154" t="s">
        <v>233</v>
      </c>
      <c r="J154">
        <v>0</v>
      </c>
      <c r="K154">
        <v>6</v>
      </c>
      <c r="L154">
        <v>67.5</v>
      </c>
      <c r="M154">
        <v>47.937235809999997</v>
      </c>
      <c r="N154">
        <v>0.41599678000000001</v>
      </c>
      <c r="O154">
        <v>2.0950346999999998</v>
      </c>
      <c r="P154">
        <v>106.0540541</v>
      </c>
      <c r="Q154">
        <v>52.690533369999997</v>
      </c>
      <c r="R154">
        <v>7.6058968000000005E-2</v>
      </c>
      <c r="S154">
        <v>0.44888888999999998</v>
      </c>
      <c r="T154">
        <v>-38.554054100000002</v>
      </c>
      <c r="U154">
        <v>38.554054100000002</v>
      </c>
      <c r="V154">
        <v>-4.75329756</v>
      </c>
      <c r="W154">
        <v>4.75329756</v>
      </c>
      <c r="X154">
        <v>0.33993781200000001</v>
      </c>
      <c r="Y154">
        <v>0.33993781200000001</v>
      </c>
      <c r="Z154">
        <v>1.6461458099999997</v>
      </c>
      <c r="AA154">
        <v>1.6461458099999997</v>
      </c>
    </row>
    <row r="155" spans="1:27" x14ac:dyDescent="0.25">
      <c r="A155" t="s">
        <v>57</v>
      </c>
      <c r="B155" t="s">
        <v>882</v>
      </c>
      <c r="C155">
        <v>12</v>
      </c>
      <c r="D155" t="s">
        <v>27</v>
      </c>
      <c r="E155" t="s">
        <v>94</v>
      </c>
      <c r="F155" t="s">
        <v>105</v>
      </c>
      <c r="G155" t="s">
        <v>121</v>
      </c>
      <c r="H155" t="s">
        <v>233</v>
      </c>
      <c r="J155">
        <v>0</v>
      </c>
      <c r="K155">
        <v>6</v>
      </c>
      <c r="L155">
        <v>67.5</v>
      </c>
      <c r="M155">
        <v>47.937235809999997</v>
      </c>
      <c r="N155">
        <v>0.41599678000000001</v>
      </c>
      <c r="O155">
        <v>2.0950346999999998</v>
      </c>
      <c r="P155">
        <v>106.0540541</v>
      </c>
      <c r="Q155">
        <v>52.690533369999997</v>
      </c>
      <c r="R155">
        <v>7.6058968000000005E-2</v>
      </c>
      <c r="S155">
        <v>0.44888888999999998</v>
      </c>
      <c r="T155">
        <v>-38.554054100000002</v>
      </c>
      <c r="U155">
        <v>38.554054100000002</v>
      </c>
      <c r="V155">
        <v>-4.75329756</v>
      </c>
      <c r="W155">
        <v>4.75329756</v>
      </c>
      <c r="X155">
        <v>0.33993781200000001</v>
      </c>
      <c r="Y155">
        <v>0.33993781200000001</v>
      </c>
      <c r="Z155">
        <v>1.6461458099999997</v>
      </c>
      <c r="AA155">
        <v>1.6461458099999997</v>
      </c>
    </row>
    <row r="156" spans="1:27" x14ac:dyDescent="0.25">
      <c r="A156" t="s">
        <v>57</v>
      </c>
      <c r="B156" t="s">
        <v>882</v>
      </c>
      <c r="C156">
        <v>12</v>
      </c>
      <c r="D156" t="s">
        <v>27</v>
      </c>
      <c r="E156" t="s">
        <v>94</v>
      </c>
      <c r="F156" t="s">
        <v>105</v>
      </c>
      <c r="G156" t="s">
        <v>121</v>
      </c>
      <c r="H156" t="s">
        <v>233</v>
      </c>
      <c r="J156">
        <v>0</v>
      </c>
      <c r="K156">
        <v>6</v>
      </c>
      <c r="L156">
        <v>67.5</v>
      </c>
      <c r="M156">
        <v>47.937235809999997</v>
      </c>
      <c r="N156">
        <v>0.41599678000000001</v>
      </c>
      <c r="O156">
        <v>2.0950346999999998</v>
      </c>
      <c r="P156">
        <v>106.0540541</v>
      </c>
      <c r="Q156">
        <v>52.690533369999997</v>
      </c>
      <c r="R156">
        <v>7.6058968000000005E-2</v>
      </c>
      <c r="S156">
        <v>0.44888888999999998</v>
      </c>
      <c r="T156">
        <v>-38.554054100000002</v>
      </c>
      <c r="U156">
        <v>38.554054100000002</v>
      </c>
      <c r="V156">
        <v>-4.75329756</v>
      </c>
      <c r="W156">
        <v>4.75329756</v>
      </c>
      <c r="X156">
        <v>0.33993781200000001</v>
      </c>
      <c r="Y156">
        <v>0.33993781200000001</v>
      </c>
      <c r="Z156">
        <v>1.6461458099999997</v>
      </c>
      <c r="AA156">
        <v>1.6461458099999997</v>
      </c>
    </row>
    <row r="157" spans="1:27" x14ac:dyDescent="0.25">
      <c r="A157" t="s">
        <v>57</v>
      </c>
      <c r="B157" t="s">
        <v>882</v>
      </c>
      <c r="C157">
        <v>12</v>
      </c>
      <c r="D157" t="s">
        <v>27</v>
      </c>
      <c r="E157" t="s">
        <v>94</v>
      </c>
      <c r="F157" t="s">
        <v>105</v>
      </c>
      <c r="G157" t="s">
        <v>121</v>
      </c>
      <c r="H157" t="s">
        <v>233</v>
      </c>
      <c r="J157">
        <v>0</v>
      </c>
      <c r="K157">
        <v>6</v>
      </c>
      <c r="L157">
        <v>67.5</v>
      </c>
      <c r="M157">
        <v>47.937235809999997</v>
      </c>
      <c r="N157">
        <v>0.41599678000000001</v>
      </c>
      <c r="O157">
        <v>2.0950346999999998</v>
      </c>
      <c r="P157">
        <v>106.0540541</v>
      </c>
      <c r="Q157">
        <v>52.690533369999997</v>
      </c>
      <c r="R157">
        <v>7.6058968000000005E-2</v>
      </c>
      <c r="S157">
        <v>0.44888888999999998</v>
      </c>
      <c r="T157">
        <v>-38.554054100000002</v>
      </c>
      <c r="U157">
        <v>38.554054100000002</v>
      </c>
      <c r="V157">
        <v>-4.75329756</v>
      </c>
      <c r="W157">
        <v>4.75329756</v>
      </c>
      <c r="X157">
        <v>0.33993781200000001</v>
      </c>
      <c r="Y157">
        <v>0.33993781200000001</v>
      </c>
      <c r="Z157">
        <v>1.6461458099999997</v>
      </c>
      <c r="AA157">
        <v>1.6461458099999997</v>
      </c>
    </row>
    <row r="158" spans="1:27" x14ac:dyDescent="0.25">
      <c r="A158" t="s">
        <v>57</v>
      </c>
      <c r="B158" t="s">
        <v>882</v>
      </c>
      <c r="C158">
        <v>12</v>
      </c>
      <c r="D158" t="s">
        <v>27</v>
      </c>
      <c r="E158" t="s">
        <v>94</v>
      </c>
      <c r="F158" t="s">
        <v>105</v>
      </c>
      <c r="G158" t="s">
        <v>121</v>
      </c>
      <c r="H158" t="s">
        <v>233</v>
      </c>
      <c r="J158">
        <v>0</v>
      </c>
      <c r="K158">
        <v>6</v>
      </c>
      <c r="L158">
        <v>67.5</v>
      </c>
      <c r="M158">
        <v>47.937235809999997</v>
      </c>
      <c r="N158">
        <v>0.41599678000000001</v>
      </c>
      <c r="O158">
        <v>2.0950346999999998</v>
      </c>
      <c r="P158">
        <v>106.0540541</v>
      </c>
      <c r="Q158">
        <v>52.690533369999997</v>
      </c>
      <c r="R158">
        <v>7.6058968000000005E-2</v>
      </c>
      <c r="S158">
        <v>0.44888888999999998</v>
      </c>
      <c r="T158">
        <v>-38.554054100000002</v>
      </c>
      <c r="U158">
        <v>38.554054100000002</v>
      </c>
      <c r="V158">
        <v>-4.75329756</v>
      </c>
      <c r="W158">
        <v>4.75329756</v>
      </c>
      <c r="X158">
        <v>0.33993781200000001</v>
      </c>
      <c r="Y158">
        <v>0.33993781200000001</v>
      </c>
      <c r="Z158">
        <v>1.6461458099999997</v>
      </c>
      <c r="AA158">
        <v>1.6461458099999997</v>
      </c>
    </row>
    <row r="159" spans="1:27" x14ac:dyDescent="0.25">
      <c r="A159" t="s">
        <v>57</v>
      </c>
      <c r="B159" t="s">
        <v>883</v>
      </c>
      <c r="C159">
        <v>12</v>
      </c>
      <c r="D159" t="s">
        <v>27</v>
      </c>
      <c r="E159" t="s">
        <v>94</v>
      </c>
      <c r="F159" t="s">
        <v>113</v>
      </c>
      <c r="G159" t="s">
        <v>121</v>
      </c>
      <c r="H159" t="s">
        <v>114</v>
      </c>
      <c r="J159">
        <v>0</v>
      </c>
      <c r="K159" t="s">
        <v>114</v>
      </c>
      <c r="L159">
        <v>83.757575759999995</v>
      </c>
      <c r="M159">
        <v>22.60997987</v>
      </c>
      <c r="N159">
        <v>0.72884000000000004</v>
      </c>
      <c r="O159">
        <v>0.21301339999999999</v>
      </c>
      <c r="P159" t="s">
        <v>114</v>
      </c>
      <c r="Q159" t="s">
        <v>114</v>
      </c>
      <c r="R159" t="s">
        <v>114</v>
      </c>
      <c r="S159" t="s">
        <v>114</v>
      </c>
      <c r="T159" t="s">
        <v>114</v>
      </c>
      <c r="U159" t="s">
        <v>114</v>
      </c>
      <c r="V159" t="s">
        <v>114</v>
      </c>
      <c r="W159" t="s">
        <v>114</v>
      </c>
      <c r="X159" t="s">
        <v>114</v>
      </c>
      <c r="Y159" t="s">
        <v>114</v>
      </c>
      <c r="Z159" t="s">
        <v>114</v>
      </c>
      <c r="AA159" t="s">
        <v>114</v>
      </c>
    </row>
    <row r="160" spans="1:27" x14ac:dyDescent="0.25">
      <c r="A160" t="s">
        <v>57</v>
      </c>
      <c r="B160" t="s">
        <v>884</v>
      </c>
      <c r="C160">
        <v>12</v>
      </c>
      <c r="D160" t="s">
        <v>27</v>
      </c>
      <c r="E160" t="s">
        <v>94</v>
      </c>
      <c r="F160" t="s">
        <v>112</v>
      </c>
      <c r="G160" t="s">
        <v>112</v>
      </c>
      <c r="H160" t="s">
        <v>112</v>
      </c>
      <c r="J160">
        <v>0</v>
      </c>
      <c r="K160">
        <v>2</v>
      </c>
      <c r="L160">
        <v>65.09375</v>
      </c>
      <c r="M160">
        <v>37.895352600000002</v>
      </c>
      <c r="N160">
        <v>2.2882677779999998</v>
      </c>
      <c r="O160">
        <v>2.2111774</v>
      </c>
      <c r="P160">
        <v>65.09375</v>
      </c>
      <c r="Q160">
        <v>37.895352600000002</v>
      </c>
      <c r="R160">
        <v>2.2882677779999998</v>
      </c>
      <c r="S160">
        <v>2.2111774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</row>
    <row r="161" spans="1:27" x14ac:dyDescent="0.25">
      <c r="A161" t="s">
        <v>57</v>
      </c>
      <c r="B161" t="s">
        <v>884</v>
      </c>
      <c r="C161">
        <v>12</v>
      </c>
      <c r="D161" t="s">
        <v>27</v>
      </c>
      <c r="E161" t="s">
        <v>94</v>
      </c>
      <c r="F161" t="s">
        <v>112</v>
      </c>
      <c r="G161" t="s">
        <v>112</v>
      </c>
      <c r="H161" t="s">
        <v>112</v>
      </c>
      <c r="J161">
        <v>0</v>
      </c>
      <c r="K161">
        <v>2</v>
      </c>
      <c r="L161">
        <v>65.09375</v>
      </c>
      <c r="M161">
        <v>37.895352600000002</v>
      </c>
      <c r="N161">
        <v>2.2882677779999998</v>
      </c>
      <c r="O161">
        <v>2.2111774</v>
      </c>
      <c r="P161">
        <v>65.09375</v>
      </c>
      <c r="Q161">
        <v>37.895352600000002</v>
      </c>
      <c r="R161">
        <v>2.2882677779999998</v>
      </c>
      <c r="S161">
        <v>2.2111774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</row>
    <row r="162" spans="1:27" x14ac:dyDescent="0.25">
      <c r="A162" t="s">
        <v>57</v>
      </c>
      <c r="B162" t="s">
        <v>884</v>
      </c>
      <c r="C162">
        <v>12</v>
      </c>
      <c r="D162" t="s">
        <v>27</v>
      </c>
      <c r="E162" t="s">
        <v>94</v>
      </c>
      <c r="F162" t="s">
        <v>112</v>
      </c>
      <c r="G162" t="s">
        <v>112</v>
      </c>
      <c r="H162" t="s">
        <v>247</v>
      </c>
      <c r="J162">
        <v>0</v>
      </c>
      <c r="K162">
        <v>1</v>
      </c>
      <c r="L162">
        <v>65.09375</v>
      </c>
      <c r="M162">
        <v>37.895352600000002</v>
      </c>
      <c r="N162">
        <v>2.2882677779999998</v>
      </c>
      <c r="O162">
        <v>2.2111774</v>
      </c>
      <c r="P162">
        <v>65.791044779999993</v>
      </c>
      <c r="Q162">
        <v>22.94519201</v>
      </c>
      <c r="R162">
        <v>8.1320334999999994E-2</v>
      </c>
      <c r="S162">
        <v>0.17285655</v>
      </c>
      <c r="T162">
        <v>-0.69729478</v>
      </c>
      <c r="U162">
        <v>0.69729478</v>
      </c>
      <c r="V162">
        <v>14.950160589999999</v>
      </c>
      <c r="W162">
        <v>14.950160589999999</v>
      </c>
      <c r="X162">
        <v>2.2069474429999998</v>
      </c>
      <c r="Y162">
        <v>2.2069474429999998</v>
      </c>
      <c r="Z162">
        <v>2.0383208499999999</v>
      </c>
      <c r="AA162">
        <v>2.0383208499999999</v>
      </c>
    </row>
    <row r="163" spans="1:27" x14ac:dyDescent="0.25">
      <c r="A163" t="s">
        <v>58</v>
      </c>
      <c r="B163" t="s">
        <v>885</v>
      </c>
      <c r="C163">
        <v>12</v>
      </c>
      <c r="D163" t="s">
        <v>29</v>
      </c>
      <c r="E163" t="s">
        <v>95</v>
      </c>
      <c r="F163" t="s">
        <v>102</v>
      </c>
      <c r="G163" t="s">
        <v>104</v>
      </c>
      <c r="H163" t="s">
        <v>104</v>
      </c>
      <c r="J163">
        <v>0</v>
      </c>
      <c r="K163">
        <v>1</v>
      </c>
      <c r="L163">
        <v>84.740740740000007</v>
      </c>
      <c r="M163">
        <v>29.167014049999999</v>
      </c>
      <c r="N163">
        <v>1.1169849999999999</v>
      </c>
      <c r="O163">
        <v>1.1571499000000001</v>
      </c>
      <c r="P163">
        <v>113.9375</v>
      </c>
      <c r="Q163">
        <v>33.375507550000002</v>
      </c>
      <c r="R163">
        <v>2.4262999999999999</v>
      </c>
      <c r="S163">
        <v>0.40692159999999999</v>
      </c>
      <c r="T163">
        <v>-29.19675926</v>
      </c>
      <c r="U163">
        <v>29.19675926</v>
      </c>
      <c r="V163">
        <v>-4.2084935000000003</v>
      </c>
      <c r="W163">
        <v>4.2084935000000003</v>
      </c>
      <c r="X163">
        <v>-1.309315</v>
      </c>
      <c r="Y163">
        <v>1.309315</v>
      </c>
      <c r="Z163">
        <v>0.75022830000000007</v>
      </c>
      <c r="AA163">
        <v>0.75022830000000007</v>
      </c>
    </row>
    <row r="164" spans="1:27" x14ac:dyDescent="0.25">
      <c r="A164" t="s">
        <v>58</v>
      </c>
      <c r="B164" t="s">
        <v>885</v>
      </c>
      <c r="C164">
        <v>12</v>
      </c>
      <c r="D164" t="s">
        <v>29</v>
      </c>
      <c r="E164" t="s">
        <v>95</v>
      </c>
      <c r="F164" t="s">
        <v>102</v>
      </c>
      <c r="G164" t="s">
        <v>104</v>
      </c>
      <c r="H164" t="s">
        <v>246</v>
      </c>
      <c r="J164">
        <v>0</v>
      </c>
      <c r="K164">
        <v>1</v>
      </c>
      <c r="L164">
        <v>84.740740740000007</v>
      </c>
      <c r="M164">
        <v>29.167014049999999</v>
      </c>
      <c r="N164">
        <v>1.1169849999999999</v>
      </c>
      <c r="O164">
        <v>1.1571499000000001</v>
      </c>
      <c r="P164">
        <v>120.25</v>
      </c>
      <c r="Q164">
        <v>30.670450110000001</v>
      </c>
      <c r="R164">
        <v>0.91037498500000003</v>
      </c>
      <c r="S164" t="s">
        <v>114</v>
      </c>
      <c r="T164">
        <v>-35.50925926</v>
      </c>
      <c r="U164">
        <v>35.50925926</v>
      </c>
      <c r="V164">
        <v>-1.5034360600000001</v>
      </c>
      <c r="W164">
        <v>1.5034360600000001</v>
      </c>
      <c r="X164">
        <v>0.20661001500000001</v>
      </c>
      <c r="Y164">
        <v>0.20661001500000001</v>
      </c>
      <c r="Z164" t="s">
        <v>114</v>
      </c>
      <c r="AA164" t="s">
        <v>114</v>
      </c>
    </row>
    <row r="165" spans="1:27" x14ac:dyDescent="0.25">
      <c r="A165" t="s">
        <v>58</v>
      </c>
      <c r="B165" t="s">
        <v>886</v>
      </c>
      <c r="C165">
        <v>12</v>
      </c>
      <c r="D165" t="s">
        <v>29</v>
      </c>
      <c r="E165" t="s">
        <v>95</v>
      </c>
      <c r="F165" t="s">
        <v>110</v>
      </c>
      <c r="G165" t="s">
        <v>121</v>
      </c>
      <c r="H165" t="s">
        <v>246</v>
      </c>
      <c r="I165" t="s">
        <v>162</v>
      </c>
      <c r="J165">
        <v>1</v>
      </c>
      <c r="K165">
        <v>1</v>
      </c>
      <c r="L165">
        <v>73.260869569999997</v>
      </c>
      <c r="M165">
        <v>34.453830549999999</v>
      </c>
      <c r="N165">
        <v>1.058333333</v>
      </c>
      <c r="O165">
        <v>0.90897070000000002</v>
      </c>
      <c r="P165">
        <v>120.25</v>
      </c>
      <c r="Q165">
        <v>30.670450110000001</v>
      </c>
      <c r="R165">
        <v>0.91037498500000003</v>
      </c>
      <c r="S165" t="s">
        <v>114</v>
      </c>
      <c r="T165">
        <v>-46.989130430000003</v>
      </c>
      <c r="U165">
        <v>46.989130430000003</v>
      </c>
      <c r="V165">
        <v>3.7833804400000002</v>
      </c>
      <c r="W165">
        <v>3.7833804400000002</v>
      </c>
      <c r="X165">
        <v>0.14795834799999999</v>
      </c>
      <c r="Y165">
        <v>0.14795834799999999</v>
      </c>
      <c r="Z165" t="s">
        <v>114</v>
      </c>
      <c r="AA165" t="s">
        <v>114</v>
      </c>
    </row>
    <row r="166" spans="1:27" x14ac:dyDescent="0.25">
      <c r="A166" t="s">
        <v>58</v>
      </c>
      <c r="B166" t="s">
        <v>886</v>
      </c>
      <c r="C166">
        <v>12</v>
      </c>
      <c r="D166" t="s">
        <v>29</v>
      </c>
      <c r="E166" t="s">
        <v>95</v>
      </c>
      <c r="F166" t="s">
        <v>110</v>
      </c>
      <c r="G166" t="s">
        <v>121</v>
      </c>
      <c r="H166" t="s">
        <v>239</v>
      </c>
      <c r="J166">
        <v>1</v>
      </c>
      <c r="K166">
        <v>1</v>
      </c>
      <c r="L166">
        <v>73.260869569999997</v>
      </c>
      <c r="M166">
        <v>34.453830549999999</v>
      </c>
      <c r="N166">
        <v>1.058333333</v>
      </c>
      <c r="O166">
        <v>0.90897070000000002</v>
      </c>
      <c r="P166">
        <v>100.45454549999999</v>
      </c>
      <c r="Q166">
        <v>26.754810689999999</v>
      </c>
      <c r="R166">
        <v>0.75829999999999997</v>
      </c>
      <c r="S166">
        <v>0.40907861000000001</v>
      </c>
      <c r="T166">
        <v>-27.193675930000001</v>
      </c>
      <c r="U166">
        <v>27.193675930000001</v>
      </c>
      <c r="V166">
        <v>7.6990198599999999</v>
      </c>
      <c r="W166">
        <v>7.6990198599999999</v>
      </c>
      <c r="X166">
        <v>0.30003333300000001</v>
      </c>
      <c r="Y166">
        <v>0.30003333300000001</v>
      </c>
      <c r="Z166">
        <v>0.49989209000000001</v>
      </c>
      <c r="AA166">
        <v>0.49989209000000001</v>
      </c>
    </row>
    <row r="167" spans="1:27" x14ac:dyDescent="0.25">
      <c r="A167" t="s">
        <v>58</v>
      </c>
      <c r="B167" t="s">
        <v>887</v>
      </c>
      <c r="C167">
        <v>12</v>
      </c>
      <c r="D167" t="s">
        <v>29</v>
      </c>
      <c r="E167" t="s">
        <v>95</v>
      </c>
      <c r="F167" t="s">
        <v>103</v>
      </c>
      <c r="G167" t="s">
        <v>121</v>
      </c>
      <c r="H167" t="s">
        <v>249</v>
      </c>
      <c r="J167">
        <v>0</v>
      </c>
      <c r="K167">
        <v>1</v>
      </c>
      <c r="L167">
        <v>98.291666669999998</v>
      </c>
      <c r="M167">
        <v>30.315130790000001</v>
      </c>
      <c r="N167">
        <v>5.0803484000000003E-2</v>
      </c>
      <c r="O167">
        <v>0.42866070000000001</v>
      </c>
      <c r="P167">
        <v>81.666666669999998</v>
      </c>
      <c r="Q167">
        <v>48.056268459999998</v>
      </c>
      <c r="R167">
        <v>0.120291364</v>
      </c>
      <c r="S167" t="s">
        <v>114</v>
      </c>
      <c r="T167">
        <v>16.625</v>
      </c>
      <c r="U167">
        <v>16.625</v>
      </c>
      <c r="V167">
        <v>-17.741137670000001</v>
      </c>
      <c r="W167">
        <v>17.741137670000001</v>
      </c>
      <c r="X167">
        <v>-6.9487880000000002E-2</v>
      </c>
      <c r="Y167">
        <v>6.9487880000000002E-2</v>
      </c>
      <c r="Z167" t="s">
        <v>114</v>
      </c>
      <c r="AA167" t="s">
        <v>114</v>
      </c>
    </row>
    <row r="168" spans="1:27" x14ac:dyDescent="0.25">
      <c r="A168" t="s">
        <v>58</v>
      </c>
      <c r="B168" t="s">
        <v>887</v>
      </c>
      <c r="C168">
        <v>12</v>
      </c>
      <c r="D168" t="s">
        <v>29</v>
      </c>
      <c r="E168" t="s">
        <v>95</v>
      </c>
      <c r="F168" t="s">
        <v>103</v>
      </c>
      <c r="G168" t="s">
        <v>121</v>
      </c>
      <c r="H168" t="s">
        <v>238</v>
      </c>
      <c r="J168">
        <v>0</v>
      </c>
      <c r="K168">
        <v>1</v>
      </c>
      <c r="L168">
        <v>98.291666669999998</v>
      </c>
      <c r="M168">
        <v>30.315130790000001</v>
      </c>
      <c r="N168">
        <v>5.0803484000000003E-2</v>
      </c>
      <c r="O168">
        <v>0.42866070000000001</v>
      </c>
      <c r="P168">
        <v>87.5</v>
      </c>
      <c r="Q168">
        <v>29.478311600000001</v>
      </c>
      <c r="R168">
        <v>3.0797751000000002E-2</v>
      </c>
      <c r="S168">
        <v>0.12931835</v>
      </c>
      <c r="T168">
        <v>10.79166667</v>
      </c>
      <c r="U168">
        <v>10.79166667</v>
      </c>
      <c r="V168">
        <v>0.83681919000000005</v>
      </c>
      <c r="W168">
        <v>0.83681919000000005</v>
      </c>
      <c r="X168">
        <v>2.0005733000000001E-2</v>
      </c>
      <c r="Y168">
        <v>2.0005733000000001E-2</v>
      </c>
      <c r="Z168">
        <v>0.29934234999999998</v>
      </c>
      <c r="AA168">
        <v>0.29934234999999998</v>
      </c>
    </row>
    <row r="169" spans="1:27" x14ac:dyDescent="0.25">
      <c r="A169" t="s">
        <v>59</v>
      </c>
      <c r="B169" t="s">
        <v>888</v>
      </c>
      <c r="C169">
        <v>12</v>
      </c>
      <c r="D169" t="s">
        <v>31</v>
      </c>
      <c r="E169" t="s">
        <v>94</v>
      </c>
      <c r="F169" t="s">
        <v>105</v>
      </c>
      <c r="G169" t="s">
        <v>121</v>
      </c>
      <c r="H169" t="s">
        <v>241</v>
      </c>
      <c r="J169">
        <v>0</v>
      </c>
      <c r="K169">
        <v>1</v>
      </c>
      <c r="L169">
        <v>67.5</v>
      </c>
      <c r="M169">
        <v>47.937235809999997</v>
      </c>
      <c r="N169">
        <v>0.41599678000000001</v>
      </c>
      <c r="O169">
        <v>2.0950346999999998</v>
      </c>
      <c r="P169">
        <v>114</v>
      </c>
      <c r="Q169">
        <v>30.43077242</v>
      </c>
      <c r="R169">
        <v>0.53383111100000002</v>
      </c>
      <c r="S169">
        <v>0.28333332999999999</v>
      </c>
      <c r="T169">
        <v>-46.5</v>
      </c>
      <c r="U169">
        <v>46.5</v>
      </c>
      <c r="V169">
        <v>17.50646339</v>
      </c>
      <c r="W169">
        <v>17.50646339</v>
      </c>
      <c r="X169">
        <v>-0.117834331</v>
      </c>
      <c r="Y169">
        <v>0.117834331</v>
      </c>
      <c r="Z169">
        <v>1.8117013699999998</v>
      </c>
      <c r="AA169">
        <v>1.8117013699999998</v>
      </c>
    </row>
    <row r="170" spans="1:27" x14ac:dyDescent="0.25">
      <c r="A170" t="s">
        <v>59</v>
      </c>
      <c r="B170" t="s">
        <v>889</v>
      </c>
      <c r="C170">
        <v>12</v>
      </c>
      <c r="D170" t="s">
        <v>31</v>
      </c>
      <c r="E170" t="s">
        <v>94</v>
      </c>
      <c r="F170" t="s">
        <v>110</v>
      </c>
      <c r="G170" t="s">
        <v>121</v>
      </c>
      <c r="H170" t="s">
        <v>241</v>
      </c>
      <c r="J170">
        <v>0</v>
      </c>
      <c r="K170">
        <v>2</v>
      </c>
      <c r="L170">
        <v>73.260869569999997</v>
      </c>
      <c r="M170">
        <v>34.453830549999999</v>
      </c>
      <c r="N170">
        <v>1.058333333</v>
      </c>
      <c r="O170">
        <v>0.90897070000000002</v>
      </c>
      <c r="P170">
        <v>114</v>
      </c>
      <c r="Q170">
        <v>30.43077242</v>
      </c>
      <c r="R170">
        <v>0.53383111100000002</v>
      </c>
      <c r="S170">
        <v>0.28333332999999999</v>
      </c>
      <c r="T170">
        <v>-40.739130430000003</v>
      </c>
      <c r="U170">
        <v>40.739130430000003</v>
      </c>
      <c r="V170">
        <v>4.0230581299999999</v>
      </c>
      <c r="W170">
        <v>4.0230581299999999</v>
      </c>
      <c r="X170">
        <v>0.52450222199999996</v>
      </c>
      <c r="Y170">
        <v>0.52450222199999996</v>
      </c>
      <c r="Z170">
        <v>0.62563736999999997</v>
      </c>
      <c r="AA170">
        <v>0.62563736999999997</v>
      </c>
    </row>
    <row r="171" spans="1:27" x14ac:dyDescent="0.25">
      <c r="A171" t="s">
        <v>59</v>
      </c>
      <c r="B171" t="s">
        <v>889</v>
      </c>
      <c r="C171">
        <v>12</v>
      </c>
      <c r="D171" t="s">
        <v>31</v>
      </c>
      <c r="E171" t="s">
        <v>94</v>
      </c>
      <c r="F171" t="s">
        <v>110</v>
      </c>
      <c r="G171" t="s">
        <v>121</v>
      </c>
      <c r="H171" t="s">
        <v>241</v>
      </c>
      <c r="J171">
        <v>0</v>
      </c>
      <c r="K171">
        <v>2</v>
      </c>
      <c r="L171">
        <v>73.260869569999997</v>
      </c>
      <c r="M171">
        <v>34.453830549999999</v>
      </c>
      <c r="N171">
        <v>1.058333333</v>
      </c>
      <c r="O171">
        <v>0.90897070000000002</v>
      </c>
      <c r="P171">
        <v>114</v>
      </c>
      <c r="Q171">
        <v>30.43077242</v>
      </c>
      <c r="R171">
        <v>0.53383111100000002</v>
      </c>
      <c r="S171">
        <v>0.28333332999999999</v>
      </c>
      <c r="T171">
        <v>-40.739130430000003</v>
      </c>
      <c r="U171">
        <v>40.739130430000003</v>
      </c>
      <c r="V171">
        <v>4.0230581299999999</v>
      </c>
      <c r="W171">
        <v>4.0230581299999999</v>
      </c>
      <c r="X171">
        <v>0.52450222199999996</v>
      </c>
      <c r="Y171">
        <v>0.52450222199999996</v>
      </c>
      <c r="Z171">
        <v>0.62563736999999997</v>
      </c>
      <c r="AA171">
        <v>0.62563736999999997</v>
      </c>
    </row>
    <row r="172" spans="1:27" x14ac:dyDescent="0.25">
      <c r="A172" t="s">
        <v>60</v>
      </c>
      <c r="B172" t="s">
        <v>890</v>
      </c>
      <c r="C172">
        <v>12</v>
      </c>
      <c r="D172" t="s">
        <v>33</v>
      </c>
      <c r="E172" t="s">
        <v>95</v>
      </c>
      <c r="F172" t="s">
        <v>102</v>
      </c>
      <c r="G172" t="s">
        <v>104</v>
      </c>
      <c r="H172" t="s">
        <v>104</v>
      </c>
      <c r="J172">
        <v>0</v>
      </c>
      <c r="K172">
        <v>1</v>
      </c>
      <c r="L172">
        <v>84.740740740000007</v>
      </c>
      <c r="M172">
        <v>29.167014049999999</v>
      </c>
      <c r="N172">
        <v>1.1169849999999999</v>
      </c>
      <c r="O172">
        <v>1.1571499000000001</v>
      </c>
      <c r="P172">
        <v>113.9375</v>
      </c>
      <c r="Q172">
        <v>33.375507550000002</v>
      </c>
      <c r="R172">
        <v>2.4262999999999999</v>
      </c>
      <c r="S172">
        <v>0.40692159999999999</v>
      </c>
      <c r="T172">
        <v>-29.19675926</v>
      </c>
      <c r="U172">
        <v>29.19675926</v>
      </c>
      <c r="V172">
        <v>-4.2084935000000003</v>
      </c>
      <c r="W172">
        <v>4.2084935000000003</v>
      </c>
      <c r="X172">
        <v>-1.309315</v>
      </c>
      <c r="Y172">
        <v>1.309315</v>
      </c>
      <c r="Z172">
        <v>0.75022830000000007</v>
      </c>
      <c r="AA172">
        <v>0.75022830000000007</v>
      </c>
    </row>
    <row r="173" spans="1:27" x14ac:dyDescent="0.25">
      <c r="A173" t="s">
        <v>60</v>
      </c>
      <c r="B173" t="s">
        <v>891</v>
      </c>
      <c r="C173">
        <v>12</v>
      </c>
      <c r="D173" t="s">
        <v>33</v>
      </c>
      <c r="E173" t="s">
        <v>95</v>
      </c>
      <c r="F173" t="s">
        <v>110</v>
      </c>
      <c r="G173" t="s">
        <v>121</v>
      </c>
      <c r="H173" t="s">
        <v>241</v>
      </c>
      <c r="J173">
        <v>0</v>
      </c>
      <c r="K173">
        <v>2</v>
      </c>
      <c r="L173">
        <v>73.260869569999997</v>
      </c>
      <c r="M173">
        <v>34.453830549999999</v>
      </c>
      <c r="N173">
        <v>1.058333333</v>
      </c>
      <c r="O173">
        <v>0.90897070000000002</v>
      </c>
      <c r="P173">
        <v>114</v>
      </c>
      <c r="Q173">
        <v>30.43077242</v>
      </c>
      <c r="R173">
        <v>0.53383111100000002</v>
      </c>
      <c r="S173">
        <v>0.28333332999999999</v>
      </c>
      <c r="T173">
        <v>-40.739130430000003</v>
      </c>
      <c r="U173">
        <v>40.739130430000003</v>
      </c>
      <c r="V173">
        <v>4.0230581299999999</v>
      </c>
      <c r="W173">
        <v>4.0230581299999999</v>
      </c>
      <c r="X173">
        <v>0.52450222199999996</v>
      </c>
      <c r="Y173">
        <v>0.52450222199999996</v>
      </c>
      <c r="Z173">
        <v>0.62563736999999997</v>
      </c>
      <c r="AA173">
        <v>0.62563736999999997</v>
      </c>
    </row>
    <row r="174" spans="1:27" x14ac:dyDescent="0.25">
      <c r="A174" t="s">
        <v>60</v>
      </c>
      <c r="B174" t="s">
        <v>891</v>
      </c>
      <c r="C174">
        <v>12</v>
      </c>
      <c r="D174" t="s">
        <v>33</v>
      </c>
      <c r="E174" t="s">
        <v>95</v>
      </c>
      <c r="F174" t="s">
        <v>110</v>
      </c>
      <c r="G174" t="s">
        <v>121</v>
      </c>
      <c r="H174" t="s">
        <v>241</v>
      </c>
      <c r="J174">
        <v>0</v>
      </c>
      <c r="K174">
        <v>2</v>
      </c>
      <c r="L174">
        <v>73.260869569999997</v>
      </c>
      <c r="M174">
        <v>34.453830549999999</v>
      </c>
      <c r="N174">
        <v>1.058333333</v>
      </c>
      <c r="O174">
        <v>0.90897070000000002</v>
      </c>
      <c r="P174">
        <v>114</v>
      </c>
      <c r="Q174">
        <v>30.43077242</v>
      </c>
      <c r="R174">
        <v>0.53383111100000002</v>
      </c>
      <c r="S174">
        <v>0.28333332999999999</v>
      </c>
      <c r="T174">
        <v>-40.739130430000003</v>
      </c>
      <c r="U174">
        <v>40.739130430000003</v>
      </c>
      <c r="V174">
        <v>4.0230581299999999</v>
      </c>
      <c r="W174">
        <v>4.0230581299999999</v>
      </c>
      <c r="X174">
        <v>0.52450222199999996</v>
      </c>
      <c r="Y174">
        <v>0.52450222199999996</v>
      </c>
      <c r="Z174">
        <v>0.62563736999999997</v>
      </c>
      <c r="AA174">
        <v>0.62563736999999997</v>
      </c>
    </row>
    <row r="175" spans="1:27" x14ac:dyDescent="0.25">
      <c r="A175" t="s">
        <v>60</v>
      </c>
      <c r="B175" t="s">
        <v>891</v>
      </c>
      <c r="C175">
        <v>12</v>
      </c>
      <c r="D175" t="s">
        <v>33</v>
      </c>
      <c r="E175" t="s">
        <v>95</v>
      </c>
      <c r="F175" t="s">
        <v>110</v>
      </c>
      <c r="G175" t="s">
        <v>121</v>
      </c>
      <c r="H175" t="s">
        <v>246</v>
      </c>
      <c r="J175">
        <v>0</v>
      </c>
      <c r="K175">
        <v>2</v>
      </c>
      <c r="L175">
        <v>73.260869569999997</v>
      </c>
      <c r="M175">
        <v>34.453830549999999</v>
      </c>
      <c r="N175">
        <v>1.058333333</v>
      </c>
      <c r="O175">
        <v>0.90897070000000002</v>
      </c>
      <c r="P175">
        <v>120.25</v>
      </c>
      <c r="Q175">
        <v>30.670450110000001</v>
      </c>
      <c r="R175">
        <v>0.91037498500000003</v>
      </c>
      <c r="S175" t="s">
        <v>114</v>
      </c>
      <c r="T175">
        <v>-46.989130430000003</v>
      </c>
      <c r="U175">
        <v>46.989130430000003</v>
      </c>
      <c r="V175">
        <v>3.7833804400000002</v>
      </c>
      <c r="W175">
        <v>3.7833804400000002</v>
      </c>
      <c r="X175">
        <v>0.14795834799999999</v>
      </c>
      <c r="Y175">
        <v>0.14795834799999999</v>
      </c>
      <c r="Z175" t="s">
        <v>114</v>
      </c>
      <c r="AA175" t="s">
        <v>114</v>
      </c>
    </row>
    <row r="176" spans="1:27" x14ac:dyDescent="0.25">
      <c r="A176" t="s">
        <v>60</v>
      </c>
      <c r="B176" t="s">
        <v>891</v>
      </c>
      <c r="C176">
        <v>12</v>
      </c>
      <c r="D176" t="s">
        <v>33</v>
      </c>
      <c r="E176" t="s">
        <v>95</v>
      </c>
      <c r="F176" t="s">
        <v>110</v>
      </c>
      <c r="G176" t="s">
        <v>121</v>
      </c>
      <c r="H176" t="s">
        <v>246</v>
      </c>
      <c r="J176">
        <v>0</v>
      </c>
      <c r="K176">
        <v>2</v>
      </c>
      <c r="L176">
        <v>73.260869569999997</v>
      </c>
      <c r="M176">
        <v>34.453830549999999</v>
      </c>
      <c r="N176">
        <v>1.058333333</v>
      </c>
      <c r="O176">
        <v>0.90897070000000002</v>
      </c>
      <c r="P176">
        <v>120.25</v>
      </c>
      <c r="Q176">
        <v>30.670450110000001</v>
      </c>
      <c r="R176">
        <v>0.91037498500000003</v>
      </c>
      <c r="S176" t="s">
        <v>114</v>
      </c>
      <c r="T176">
        <v>-46.989130430000003</v>
      </c>
      <c r="U176">
        <v>46.989130430000003</v>
      </c>
      <c r="V176">
        <v>3.7833804400000002</v>
      </c>
      <c r="W176">
        <v>3.7833804400000002</v>
      </c>
      <c r="X176">
        <v>0.14795834799999999</v>
      </c>
      <c r="Y176">
        <v>0.14795834799999999</v>
      </c>
      <c r="Z176" t="s">
        <v>114</v>
      </c>
      <c r="AA176" t="s">
        <v>114</v>
      </c>
    </row>
    <row r="177" spans="1:27" x14ac:dyDescent="0.25">
      <c r="A177" t="s">
        <v>60</v>
      </c>
      <c r="B177" t="s">
        <v>892</v>
      </c>
      <c r="C177">
        <v>12</v>
      </c>
      <c r="D177" t="s">
        <v>33</v>
      </c>
      <c r="E177" t="s">
        <v>95</v>
      </c>
      <c r="F177" t="s">
        <v>104</v>
      </c>
      <c r="G177" t="s">
        <v>104</v>
      </c>
      <c r="H177" t="s">
        <v>104</v>
      </c>
      <c r="J177">
        <v>0</v>
      </c>
      <c r="K177">
        <v>1</v>
      </c>
      <c r="L177">
        <v>113.9375</v>
      </c>
      <c r="M177">
        <v>33.375507550000002</v>
      </c>
      <c r="N177">
        <v>2.4262999999999999</v>
      </c>
      <c r="O177">
        <v>0.40692159999999999</v>
      </c>
      <c r="P177">
        <v>113.9375</v>
      </c>
      <c r="Q177">
        <v>33.375507550000002</v>
      </c>
      <c r="R177">
        <v>2.4262999999999999</v>
      </c>
      <c r="S177">
        <v>0.40692159999999999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</row>
    <row r="178" spans="1:27" x14ac:dyDescent="0.25">
      <c r="A178" t="s">
        <v>60</v>
      </c>
      <c r="B178" t="s">
        <v>892</v>
      </c>
      <c r="C178">
        <v>12</v>
      </c>
      <c r="D178" t="s">
        <v>33</v>
      </c>
      <c r="E178" t="s">
        <v>95</v>
      </c>
      <c r="F178" t="s">
        <v>104</v>
      </c>
      <c r="G178" t="s">
        <v>104</v>
      </c>
      <c r="H178" t="s">
        <v>246</v>
      </c>
      <c r="J178">
        <v>0</v>
      </c>
      <c r="K178">
        <v>2</v>
      </c>
      <c r="L178">
        <v>113.9375</v>
      </c>
      <c r="M178">
        <v>33.375507550000002</v>
      </c>
      <c r="N178">
        <v>2.4262999999999999</v>
      </c>
      <c r="O178">
        <v>0.40692159999999999</v>
      </c>
      <c r="P178">
        <v>120.25</v>
      </c>
      <c r="Q178">
        <v>30.670450110000001</v>
      </c>
      <c r="R178">
        <v>0.91037498500000003</v>
      </c>
      <c r="S178" t="s">
        <v>114</v>
      </c>
      <c r="T178">
        <v>-6.3125</v>
      </c>
      <c r="U178">
        <v>6.3125</v>
      </c>
      <c r="V178">
        <v>2.70505744</v>
      </c>
      <c r="W178">
        <v>2.70505744</v>
      </c>
      <c r="X178">
        <v>1.5159250150000001</v>
      </c>
      <c r="Y178">
        <v>1.5159250150000001</v>
      </c>
      <c r="Z178" t="s">
        <v>114</v>
      </c>
      <c r="AA178" t="s">
        <v>114</v>
      </c>
    </row>
    <row r="179" spans="1:27" x14ac:dyDescent="0.25">
      <c r="A179" t="s">
        <v>60</v>
      </c>
      <c r="B179" t="s">
        <v>892</v>
      </c>
      <c r="C179">
        <v>12</v>
      </c>
      <c r="D179" t="s">
        <v>33</v>
      </c>
      <c r="E179" t="s">
        <v>95</v>
      </c>
      <c r="F179" t="s">
        <v>104</v>
      </c>
      <c r="G179" t="s">
        <v>104</v>
      </c>
      <c r="H179" t="s">
        <v>246</v>
      </c>
      <c r="J179">
        <v>0</v>
      </c>
      <c r="K179">
        <v>2</v>
      </c>
      <c r="L179">
        <v>113.9375</v>
      </c>
      <c r="M179">
        <v>33.375507550000002</v>
      </c>
      <c r="N179">
        <v>2.4262999999999999</v>
      </c>
      <c r="O179">
        <v>0.40692159999999999</v>
      </c>
      <c r="P179">
        <v>120.25</v>
      </c>
      <c r="Q179">
        <v>30.670450110000001</v>
      </c>
      <c r="R179">
        <v>0.91037498500000003</v>
      </c>
      <c r="S179" t="s">
        <v>114</v>
      </c>
      <c r="T179">
        <v>-6.3125</v>
      </c>
      <c r="U179">
        <v>6.3125</v>
      </c>
      <c r="V179">
        <v>2.70505744</v>
      </c>
      <c r="W179">
        <v>2.70505744</v>
      </c>
      <c r="X179">
        <v>1.5159250150000001</v>
      </c>
      <c r="Y179">
        <v>1.5159250150000001</v>
      </c>
      <c r="Z179" t="s">
        <v>114</v>
      </c>
      <c r="AA179" t="s">
        <v>114</v>
      </c>
    </row>
    <row r="180" spans="1:27" x14ac:dyDescent="0.25">
      <c r="A180" t="s">
        <v>60</v>
      </c>
      <c r="B180" t="s">
        <v>892</v>
      </c>
      <c r="C180">
        <v>12</v>
      </c>
      <c r="D180" t="s">
        <v>33</v>
      </c>
      <c r="E180" t="s">
        <v>95</v>
      </c>
      <c r="F180" t="s">
        <v>104</v>
      </c>
      <c r="G180" t="s">
        <v>104</v>
      </c>
      <c r="H180" t="s">
        <v>797</v>
      </c>
      <c r="J180">
        <v>0</v>
      </c>
      <c r="K180">
        <v>1</v>
      </c>
      <c r="L180">
        <v>113.9375</v>
      </c>
      <c r="M180">
        <v>33.375507550000002</v>
      </c>
      <c r="N180">
        <v>2.4262999999999999</v>
      </c>
      <c r="O180">
        <v>0.40692159999999999</v>
      </c>
      <c r="P180">
        <v>179.45454549999999</v>
      </c>
      <c r="Q180">
        <v>26.326869609999999</v>
      </c>
      <c r="R180">
        <v>2.3456094639999998</v>
      </c>
      <c r="S180">
        <v>0.18833116</v>
      </c>
      <c r="T180">
        <v>-65.517045499999995</v>
      </c>
      <c r="U180">
        <v>65.517045499999995</v>
      </c>
      <c r="V180">
        <v>7.0486379399999999</v>
      </c>
      <c r="W180">
        <v>7.0486379399999999</v>
      </c>
      <c r="X180">
        <v>8.0690535999999993E-2</v>
      </c>
      <c r="Y180">
        <v>8.0690535999999993E-2</v>
      </c>
      <c r="Z180">
        <v>0.21859044</v>
      </c>
      <c r="AA180">
        <v>0.21859044</v>
      </c>
    </row>
    <row r="181" spans="1:27" x14ac:dyDescent="0.25">
      <c r="A181" t="s">
        <v>60</v>
      </c>
      <c r="B181" t="s">
        <v>892</v>
      </c>
      <c r="C181">
        <v>12</v>
      </c>
      <c r="D181" t="s">
        <v>33</v>
      </c>
      <c r="E181" t="s">
        <v>95</v>
      </c>
      <c r="F181" t="s">
        <v>104</v>
      </c>
      <c r="G181" t="s">
        <v>104</v>
      </c>
      <c r="H181" t="s">
        <v>247</v>
      </c>
      <c r="J181">
        <v>0</v>
      </c>
      <c r="K181">
        <v>1</v>
      </c>
      <c r="L181">
        <v>113.9375</v>
      </c>
      <c r="M181">
        <v>33.375507550000002</v>
      </c>
      <c r="N181">
        <v>2.4262999999999999</v>
      </c>
      <c r="O181">
        <v>0.40692159999999999</v>
      </c>
      <c r="P181">
        <v>65.791044779999993</v>
      </c>
      <c r="Q181">
        <v>22.94519201</v>
      </c>
      <c r="R181">
        <v>8.1320334999999994E-2</v>
      </c>
      <c r="S181">
        <v>0.17285655</v>
      </c>
      <c r="T181">
        <v>48.14645522</v>
      </c>
      <c r="U181">
        <v>48.14645522</v>
      </c>
      <c r="V181">
        <v>10.43031554</v>
      </c>
      <c r="W181">
        <v>10.43031554</v>
      </c>
      <c r="X181">
        <v>2.3449796649999999</v>
      </c>
      <c r="Y181">
        <v>2.3449796649999999</v>
      </c>
      <c r="Z181">
        <v>0.23406505</v>
      </c>
      <c r="AA181">
        <v>0.23406505</v>
      </c>
    </row>
    <row r="182" spans="1:27" x14ac:dyDescent="0.25">
      <c r="A182" t="s">
        <v>60</v>
      </c>
      <c r="B182" t="s">
        <v>893</v>
      </c>
      <c r="C182">
        <v>12</v>
      </c>
      <c r="D182" t="s">
        <v>33</v>
      </c>
      <c r="E182" t="s">
        <v>95</v>
      </c>
      <c r="F182" t="s">
        <v>112</v>
      </c>
      <c r="G182" t="s">
        <v>121</v>
      </c>
      <c r="H182" t="s">
        <v>114</v>
      </c>
      <c r="J182">
        <v>0</v>
      </c>
      <c r="K182">
        <v>0</v>
      </c>
      <c r="L182">
        <v>65.09375</v>
      </c>
      <c r="M182">
        <v>37.895352600000002</v>
      </c>
      <c r="N182">
        <v>2.2882677779999998</v>
      </c>
      <c r="O182">
        <v>2.2111774</v>
      </c>
      <c r="P182" t="s">
        <v>114</v>
      </c>
      <c r="Q182" t="s">
        <v>114</v>
      </c>
      <c r="R182" t="s">
        <v>114</v>
      </c>
      <c r="S182" t="s">
        <v>114</v>
      </c>
      <c r="T182" t="s">
        <v>114</v>
      </c>
      <c r="U182" t="s">
        <v>114</v>
      </c>
      <c r="V182" t="s">
        <v>114</v>
      </c>
      <c r="W182" t="s">
        <v>114</v>
      </c>
      <c r="X182" t="s">
        <v>114</v>
      </c>
      <c r="Y182" t="s">
        <v>114</v>
      </c>
      <c r="Z182" t="s">
        <v>114</v>
      </c>
      <c r="AA182" t="s">
        <v>114</v>
      </c>
    </row>
    <row r="183" spans="1:27" x14ac:dyDescent="0.25">
      <c r="A183" t="s">
        <v>61</v>
      </c>
      <c r="B183" t="s">
        <v>894</v>
      </c>
      <c r="C183">
        <v>12</v>
      </c>
      <c r="D183" t="s">
        <v>35</v>
      </c>
      <c r="E183" t="s">
        <v>94</v>
      </c>
      <c r="F183" t="s">
        <v>102</v>
      </c>
      <c r="G183" t="s">
        <v>121</v>
      </c>
      <c r="H183" t="s">
        <v>162</v>
      </c>
      <c r="J183">
        <v>1</v>
      </c>
      <c r="K183">
        <v>1</v>
      </c>
      <c r="L183">
        <v>84.740740740000007</v>
      </c>
      <c r="M183">
        <v>29.167014049999999</v>
      </c>
      <c r="N183">
        <v>1.1169849999999999</v>
      </c>
      <c r="O183">
        <v>1.1571499000000001</v>
      </c>
      <c r="P183">
        <v>82.53846154</v>
      </c>
      <c r="Q183">
        <v>35.660530039999998</v>
      </c>
      <c r="R183">
        <v>3.3754499999999998</v>
      </c>
      <c r="S183" t="s">
        <v>114</v>
      </c>
      <c r="T183">
        <v>2.2022792</v>
      </c>
      <c r="U183">
        <v>2.2022792</v>
      </c>
      <c r="V183">
        <v>-6.4935159899999997</v>
      </c>
      <c r="W183">
        <v>6.4935159899999997</v>
      </c>
      <c r="X183">
        <v>-2.2584650000000002</v>
      </c>
      <c r="Y183">
        <v>2.2584650000000002</v>
      </c>
      <c r="Z183" t="s">
        <v>114</v>
      </c>
      <c r="AA183" t="s">
        <v>114</v>
      </c>
    </row>
    <row r="184" spans="1:27" x14ac:dyDescent="0.25">
      <c r="A184" t="s">
        <v>61</v>
      </c>
      <c r="B184" t="s">
        <v>895</v>
      </c>
      <c r="C184">
        <v>12</v>
      </c>
      <c r="D184" t="s">
        <v>35</v>
      </c>
      <c r="E184" t="s">
        <v>94</v>
      </c>
      <c r="F184" t="s">
        <v>110</v>
      </c>
      <c r="G184" t="s">
        <v>121</v>
      </c>
      <c r="H184" t="s">
        <v>162</v>
      </c>
      <c r="J184">
        <v>0</v>
      </c>
      <c r="K184">
        <v>1</v>
      </c>
      <c r="L184">
        <v>73.260869569999997</v>
      </c>
      <c r="M184">
        <v>34.453830549999999</v>
      </c>
      <c r="N184">
        <v>1.058333333</v>
      </c>
      <c r="O184">
        <v>0.90897070000000002</v>
      </c>
      <c r="P184">
        <v>82.53846154</v>
      </c>
      <c r="Q184">
        <v>35.660530039999998</v>
      </c>
      <c r="R184">
        <v>3.3754499999999998</v>
      </c>
      <c r="S184" t="s">
        <v>114</v>
      </c>
      <c r="T184">
        <v>-9.2775919699999996</v>
      </c>
      <c r="U184">
        <v>9.2775919699999996</v>
      </c>
      <c r="V184">
        <v>-1.2066994900000001</v>
      </c>
      <c r="W184">
        <v>1.2066994900000001</v>
      </c>
      <c r="X184">
        <v>-2.3171166670000001</v>
      </c>
      <c r="Y184">
        <v>2.3171166670000001</v>
      </c>
      <c r="Z184" t="s">
        <v>114</v>
      </c>
      <c r="AA184" t="s">
        <v>114</v>
      </c>
    </row>
    <row r="185" spans="1:27" x14ac:dyDescent="0.25">
      <c r="A185" t="s">
        <v>61</v>
      </c>
      <c r="B185" t="s">
        <v>895</v>
      </c>
      <c r="C185">
        <v>12</v>
      </c>
      <c r="D185" t="s">
        <v>35</v>
      </c>
      <c r="E185" t="s">
        <v>94</v>
      </c>
      <c r="F185" t="s">
        <v>110</v>
      </c>
      <c r="G185" t="s">
        <v>121</v>
      </c>
      <c r="H185" t="s">
        <v>102</v>
      </c>
      <c r="J185">
        <v>0</v>
      </c>
      <c r="K185">
        <v>1</v>
      </c>
      <c r="L185">
        <v>73.260869569999997</v>
      </c>
      <c r="M185">
        <v>34.453830549999999</v>
      </c>
      <c r="N185">
        <v>1.058333333</v>
      </c>
      <c r="O185">
        <v>0.90897070000000002</v>
      </c>
      <c r="P185">
        <v>84.740740740000007</v>
      </c>
      <c r="Q185">
        <v>29.167014049999999</v>
      </c>
      <c r="R185">
        <v>1.1169849999999999</v>
      </c>
      <c r="S185">
        <v>1.1571499000000001</v>
      </c>
      <c r="T185">
        <v>-11.479871169999999</v>
      </c>
      <c r="U185">
        <v>11.479871169999999</v>
      </c>
      <c r="V185">
        <v>5.2868164999999996</v>
      </c>
      <c r="W185">
        <v>5.2868164999999996</v>
      </c>
      <c r="X185">
        <v>-5.8651666999999998E-2</v>
      </c>
      <c r="Y185">
        <v>5.8651666999999998E-2</v>
      </c>
      <c r="Z185">
        <v>-0.24817920000000004</v>
      </c>
      <c r="AA185">
        <v>0.24817920000000004</v>
      </c>
    </row>
    <row r="186" spans="1:27" x14ac:dyDescent="0.25">
      <c r="A186" t="s">
        <v>61</v>
      </c>
      <c r="B186" t="s">
        <v>896</v>
      </c>
      <c r="C186">
        <v>12</v>
      </c>
      <c r="D186" t="s">
        <v>35</v>
      </c>
      <c r="E186" t="s">
        <v>94</v>
      </c>
      <c r="F186" t="s">
        <v>112</v>
      </c>
      <c r="G186" t="s">
        <v>121</v>
      </c>
      <c r="H186" t="s">
        <v>162</v>
      </c>
      <c r="J186">
        <v>0</v>
      </c>
      <c r="K186">
        <v>1</v>
      </c>
      <c r="L186">
        <v>65.09375</v>
      </c>
      <c r="M186">
        <v>37.895352600000002</v>
      </c>
      <c r="N186">
        <v>2.2882677779999998</v>
      </c>
      <c r="O186">
        <v>2.2111774</v>
      </c>
      <c r="P186">
        <v>82.53846154</v>
      </c>
      <c r="Q186">
        <v>35.660530039999998</v>
      </c>
      <c r="R186">
        <v>3.3754499999999998</v>
      </c>
      <c r="S186" t="s">
        <v>114</v>
      </c>
      <c r="T186">
        <v>-17.44471154</v>
      </c>
      <c r="U186">
        <v>17.44471154</v>
      </c>
      <c r="V186">
        <v>2.23482256</v>
      </c>
      <c r="W186">
        <v>2.23482256</v>
      </c>
      <c r="X186">
        <v>-1.087182222</v>
      </c>
      <c r="Y186">
        <v>1.087182222</v>
      </c>
      <c r="Z186" t="s">
        <v>114</v>
      </c>
      <c r="AA186" t="s">
        <v>114</v>
      </c>
    </row>
    <row r="187" spans="1:27" x14ac:dyDescent="0.25">
      <c r="A187" t="s">
        <v>62</v>
      </c>
      <c r="B187" t="s">
        <v>897</v>
      </c>
      <c r="C187">
        <v>12</v>
      </c>
      <c r="D187" t="s">
        <v>37</v>
      </c>
      <c r="E187" t="s">
        <v>95</v>
      </c>
      <c r="F187" t="s">
        <v>102</v>
      </c>
      <c r="G187" t="s">
        <v>121</v>
      </c>
      <c r="H187" t="s">
        <v>114</v>
      </c>
      <c r="J187">
        <v>0</v>
      </c>
      <c r="K187">
        <v>0</v>
      </c>
      <c r="L187">
        <v>84.740740740000007</v>
      </c>
      <c r="M187">
        <v>29.167014049999999</v>
      </c>
      <c r="N187">
        <v>1.1169849999999999</v>
      </c>
      <c r="O187">
        <v>1.1571499000000001</v>
      </c>
      <c r="P187" t="s">
        <v>114</v>
      </c>
      <c r="Q187" t="s">
        <v>114</v>
      </c>
      <c r="R187" t="s">
        <v>114</v>
      </c>
      <c r="S187" t="s">
        <v>114</v>
      </c>
      <c r="T187" t="s">
        <v>114</v>
      </c>
      <c r="U187" t="s">
        <v>114</v>
      </c>
      <c r="V187" t="s">
        <v>114</v>
      </c>
      <c r="W187" t="s">
        <v>114</v>
      </c>
      <c r="X187" t="s">
        <v>114</v>
      </c>
      <c r="Y187" t="s">
        <v>114</v>
      </c>
      <c r="Z187" t="s">
        <v>114</v>
      </c>
      <c r="AA187" t="s">
        <v>114</v>
      </c>
    </row>
    <row r="188" spans="1:27" x14ac:dyDescent="0.25">
      <c r="A188" t="s">
        <v>62</v>
      </c>
      <c r="B188" t="s">
        <v>898</v>
      </c>
      <c r="C188">
        <v>12</v>
      </c>
      <c r="D188" t="s">
        <v>37</v>
      </c>
      <c r="E188" t="s">
        <v>95</v>
      </c>
      <c r="F188" t="s">
        <v>103</v>
      </c>
      <c r="G188" t="s">
        <v>121</v>
      </c>
      <c r="H188" t="s">
        <v>233</v>
      </c>
      <c r="J188">
        <v>0</v>
      </c>
      <c r="K188">
        <v>1</v>
      </c>
      <c r="L188">
        <v>98.291666669999998</v>
      </c>
      <c r="M188">
        <v>30.315130790000001</v>
      </c>
      <c r="N188">
        <v>5.0803484000000003E-2</v>
      </c>
      <c r="O188">
        <v>0.42866070000000001</v>
      </c>
      <c r="P188">
        <v>106.0540541</v>
      </c>
      <c r="Q188">
        <v>52.690533369999997</v>
      </c>
      <c r="R188">
        <v>7.6058968000000005E-2</v>
      </c>
      <c r="S188">
        <v>0.44888888999999998</v>
      </c>
      <c r="T188">
        <v>-7.7623874300000004</v>
      </c>
      <c r="U188">
        <v>7.7623874300000004</v>
      </c>
      <c r="V188">
        <v>-22.375402579999999</v>
      </c>
      <c r="W188">
        <v>22.375402579999999</v>
      </c>
      <c r="X188">
        <v>-2.5255484000000002E-2</v>
      </c>
      <c r="Y188">
        <v>2.5255484000000002E-2</v>
      </c>
      <c r="Z188">
        <v>-2.0228189999999979E-2</v>
      </c>
      <c r="AA188">
        <v>2.0228189999999979E-2</v>
      </c>
    </row>
    <row r="189" spans="1:27" x14ac:dyDescent="0.25">
      <c r="A189" t="s">
        <v>62</v>
      </c>
      <c r="B189" t="s">
        <v>898</v>
      </c>
      <c r="C189">
        <v>12</v>
      </c>
      <c r="D189" t="s">
        <v>37</v>
      </c>
      <c r="E189" t="s">
        <v>95</v>
      </c>
      <c r="F189" t="s">
        <v>103</v>
      </c>
      <c r="G189" t="s">
        <v>121</v>
      </c>
      <c r="H189" t="s">
        <v>234</v>
      </c>
      <c r="J189">
        <v>0</v>
      </c>
      <c r="K189">
        <v>1</v>
      </c>
      <c r="L189">
        <v>98.291666669999998</v>
      </c>
      <c r="M189">
        <v>30.315130790000001</v>
      </c>
      <c r="N189">
        <v>5.0803484000000003E-2</v>
      </c>
      <c r="O189">
        <v>0.42866070000000001</v>
      </c>
      <c r="P189">
        <v>89.8125</v>
      </c>
      <c r="Q189">
        <v>34.754706650000003</v>
      </c>
      <c r="R189">
        <v>2.3065078999999999E-2</v>
      </c>
      <c r="S189">
        <v>2.4791666700000001</v>
      </c>
      <c r="T189">
        <v>8.4791666699999997</v>
      </c>
      <c r="U189">
        <v>8.4791666699999997</v>
      </c>
      <c r="V189">
        <v>-4.4395758599999997</v>
      </c>
      <c r="W189">
        <v>4.4395758599999997</v>
      </c>
      <c r="X189">
        <v>2.7738405000000001E-2</v>
      </c>
      <c r="Y189">
        <v>2.7738405000000001E-2</v>
      </c>
      <c r="Z189">
        <v>-2.0505059700000001</v>
      </c>
      <c r="AA189">
        <v>2.0505059700000001</v>
      </c>
    </row>
    <row r="190" spans="1:27" x14ac:dyDescent="0.25">
      <c r="A190" t="s">
        <v>62</v>
      </c>
      <c r="B190" t="s">
        <v>898</v>
      </c>
      <c r="C190">
        <v>12</v>
      </c>
      <c r="D190" t="s">
        <v>37</v>
      </c>
      <c r="E190" t="s">
        <v>95</v>
      </c>
      <c r="F190" t="s">
        <v>103</v>
      </c>
      <c r="G190" t="s">
        <v>121</v>
      </c>
      <c r="H190" t="s">
        <v>241</v>
      </c>
      <c r="J190">
        <v>0</v>
      </c>
      <c r="K190">
        <v>1</v>
      </c>
      <c r="L190">
        <v>98.291666669999998</v>
      </c>
      <c r="M190">
        <v>30.315130790000001</v>
      </c>
      <c r="N190">
        <v>5.0803484000000003E-2</v>
      </c>
      <c r="O190">
        <v>0.42866070000000001</v>
      </c>
      <c r="P190">
        <v>114</v>
      </c>
      <c r="Q190">
        <v>30.43077242</v>
      </c>
      <c r="R190">
        <v>0.53383111100000002</v>
      </c>
      <c r="S190">
        <v>0.28333332999999999</v>
      </c>
      <c r="T190">
        <v>-15.70833333</v>
      </c>
      <c r="U190">
        <v>15.70833333</v>
      </c>
      <c r="V190">
        <v>-0.11564163</v>
      </c>
      <c r="W190">
        <v>0.11564163</v>
      </c>
      <c r="X190">
        <v>-0.48302762700000001</v>
      </c>
      <c r="Y190">
        <v>0.48302762700000001</v>
      </c>
      <c r="Z190">
        <v>0.14532737000000001</v>
      </c>
      <c r="AA190">
        <v>0.14532737000000001</v>
      </c>
    </row>
    <row r="191" spans="1:27" x14ac:dyDescent="0.25">
      <c r="A191" t="s">
        <v>63</v>
      </c>
      <c r="B191" t="s">
        <v>899</v>
      </c>
      <c r="C191">
        <v>12</v>
      </c>
      <c r="D191" t="s">
        <v>64</v>
      </c>
      <c r="E191" t="s">
        <v>94</v>
      </c>
      <c r="F191" t="s">
        <v>104</v>
      </c>
      <c r="G191" t="s">
        <v>121</v>
      </c>
      <c r="H191" t="s">
        <v>238</v>
      </c>
      <c r="J191">
        <v>0</v>
      </c>
      <c r="K191">
        <v>2</v>
      </c>
      <c r="L191">
        <v>113.9375</v>
      </c>
      <c r="M191">
        <v>33.375507550000002</v>
      </c>
      <c r="N191">
        <v>2.4262999999999999</v>
      </c>
      <c r="O191">
        <v>0.40692159999999999</v>
      </c>
      <c r="P191">
        <v>87.5</v>
      </c>
      <c r="Q191">
        <v>29.478311600000001</v>
      </c>
      <c r="R191">
        <v>3.0797751000000002E-2</v>
      </c>
      <c r="S191">
        <v>0.12931835</v>
      </c>
      <c r="T191">
        <v>26.4375</v>
      </c>
      <c r="U191">
        <v>26.4375</v>
      </c>
      <c r="V191">
        <v>3.89719595</v>
      </c>
      <c r="W191">
        <v>3.89719595</v>
      </c>
      <c r="X191">
        <v>2.3955022490000002</v>
      </c>
      <c r="Y191">
        <v>2.3955022490000002</v>
      </c>
      <c r="Z191">
        <v>0.27760324999999997</v>
      </c>
      <c r="AA191">
        <v>0.27760324999999997</v>
      </c>
    </row>
    <row r="192" spans="1:27" x14ac:dyDescent="0.25">
      <c r="A192" t="s">
        <v>63</v>
      </c>
      <c r="B192" t="s">
        <v>899</v>
      </c>
      <c r="C192">
        <v>12</v>
      </c>
      <c r="D192" t="s">
        <v>64</v>
      </c>
      <c r="E192" t="s">
        <v>94</v>
      </c>
      <c r="F192" t="s">
        <v>104</v>
      </c>
      <c r="G192" t="s">
        <v>121</v>
      </c>
      <c r="H192" t="s">
        <v>238</v>
      </c>
      <c r="J192">
        <v>0</v>
      </c>
      <c r="K192">
        <v>2</v>
      </c>
      <c r="L192">
        <v>113.9375</v>
      </c>
      <c r="M192">
        <v>33.375507550000002</v>
      </c>
      <c r="N192">
        <v>2.4262999999999999</v>
      </c>
      <c r="O192">
        <v>0.40692159999999999</v>
      </c>
      <c r="P192">
        <v>87.5</v>
      </c>
      <c r="Q192">
        <v>29.478311600000001</v>
      </c>
      <c r="R192">
        <v>3.0797751000000002E-2</v>
      </c>
      <c r="S192">
        <v>0.12931835</v>
      </c>
      <c r="T192">
        <v>26.4375</v>
      </c>
      <c r="U192">
        <v>26.4375</v>
      </c>
      <c r="V192">
        <v>3.89719595</v>
      </c>
      <c r="W192">
        <v>3.89719595</v>
      </c>
      <c r="X192">
        <v>2.3955022490000002</v>
      </c>
      <c r="Y192">
        <v>2.3955022490000002</v>
      </c>
      <c r="Z192">
        <v>0.27760324999999997</v>
      </c>
      <c r="AA192">
        <v>0.27760324999999997</v>
      </c>
    </row>
    <row r="193" spans="1:27" x14ac:dyDescent="0.25">
      <c r="A193" t="s">
        <v>63</v>
      </c>
      <c r="B193" t="s">
        <v>899</v>
      </c>
      <c r="C193">
        <v>12</v>
      </c>
      <c r="D193" t="s">
        <v>64</v>
      </c>
      <c r="E193" t="s">
        <v>94</v>
      </c>
      <c r="F193" t="s">
        <v>104</v>
      </c>
      <c r="G193" t="s">
        <v>121</v>
      </c>
      <c r="H193" t="s">
        <v>103</v>
      </c>
      <c r="J193">
        <v>0</v>
      </c>
      <c r="K193">
        <v>1</v>
      </c>
      <c r="L193">
        <v>113.9375</v>
      </c>
      <c r="M193">
        <v>33.375507550000002</v>
      </c>
      <c r="N193">
        <v>2.4262999999999999</v>
      </c>
      <c r="O193">
        <v>0.40692159999999999</v>
      </c>
      <c r="P193">
        <v>98.291666669999998</v>
      </c>
      <c r="Q193">
        <v>30.315130790000001</v>
      </c>
      <c r="R193">
        <v>5.0803484000000003E-2</v>
      </c>
      <c r="S193">
        <v>0.42866070000000001</v>
      </c>
      <c r="T193">
        <v>15.64583333</v>
      </c>
      <c r="U193">
        <v>15.64583333</v>
      </c>
      <c r="V193">
        <v>3.06037676</v>
      </c>
      <c r="W193">
        <v>3.06037676</v>
      </c>
      <c r="X193">
        <v>2.3754965160000001</v>
      </c>
      <c r="Y193">
        <v>2.3754965160000001</v>
      </c>
      <c r="Z193">
        <v>-2.1739100000000011E-2</v>
      </c>
      <c r="AA193">
        <v>2.1739100000000011E-2</v>
      </c>
    </row>
    <row r="194" spans="1:27" x14ac:dyDescent="0.25">
      <c r="A194" t="s">
        <v>63</v>
      </c>
      <c r="B194" t="s">
        <v>899</v>
      </c>
      <c r="C194">
        <v>12</v>
      </c>
      <c r="D194" t="s">
        <v>64</v>
      </c>
      <c r="E194" t="s">
        <v>94</v>
      </c>
      <c r="F194" t="s">
        <v>104</v>
      </c>
      <c r="G194" t="s">
        <v>121</v>
      </c>
      <c r="H194" t="s">
        <v>248</v>
      </c>
      <c r="J194">
        <v>0</v>
      </c>
      <c r="K194">
        <v>2</v>
      </c>
      <c r="L194">
        <v>113.9375</v>
      </c>
      <c r="M194">
        <v>33.375507550000002</v>
      </c>
      <c r="N194">
        <v>2.4262999999999999</v>
      </c>
      <c r="O194">
        <v>0.40692159999999999</v>
      </c>
      <c r="P194">
        <v>83.92307692</v>
      </c>
      <c r="Q194">
        <v>44.319135699999997</v>
      </c>
      <c r="R194">
        <v>5.9548609999999997E-3</v>
      </c>
      <c r="S194">
        <v>0.18017928</v>
      </c>
      <c r="T194">
        <v>30.01442308</v>
      </c>
      <c r="U194">
        <v>30.01442308</v>
      </c>
      <c r="V194">
        <v>-10.94362815</v>
      </c>
      <c r="W194">
        <v>10.94362815</v>
      </c>
      <c r="X194">
        <v>2.4203451390000001</v>
      </c>
      <c r="Y194">
        <v>2.4203451390000001</v>
      </c>
      <c r="Z194">
        <v>0.22674232</v>
      </c>
      <c r="AA194">
        <v>0.22674232</v>
      </c>
    </row>
    <row r="195" spans="1:27" x14ac:dyDescent="0.25">
      <c r="A195" t="s">
        <v>63</v>
      </c>
      <c r="B195" t="s">
        <v>899</v>
      </c>
      <c r="C195">
        <v>12</v>
      </c>
      <c r="D195" t="s">
        <v>64</v>
      </c>
      <c r="E195" t="s">
        <v>94</v>
      </c>
      <c r="F195" t="s">
        <v>104</v>
      </c>
      <c r="G195" t="s">
        <v>121</v>
      </c>
      <c r="H195" t="s">
        <v>248</v>
      </c>
      <c r="J195">
        <v>0</v>
      </c>
      <c r="K195">
        <v>2</v>
      </c>
      <c r="L195">
        <v>113.9375</v>
      </c>
      <c r="M195">
        <v>33.375507550000002</v>
      </c>
      <c r="N195">
        <v>2.4262999999999999</v>
      </c>
      <c r="O195">
        <v>0.40692159999999999</v>
      </c>
      <c r="P195">
        <v>83.92307692</v>
      </c>
      <c r="Q195">
        <v>44.319135699999997</v>
      </c>
      <c r="R195">
        <v>5.9548609999999997E-3</v>
      </c>
      <c r="S195">
        <v>0.18017928</v>
      </c>
      <c r="T195">
        <v>30.01442308</v>
      </c>
      <c r="U195">
        <v>30.01442308</v>
      </c>
      <c r="V195">
        <v>-10.94362815</v>
      </c>
      <c r="W195">
        <v>10.94362815</v>
      </c>
      <c r="X195">
        <v>2.4203451390000001</v>
      </c>
      <c r="Y195">
        <v>2.4203451390000001</v>
      </c>
      <c r="Z195">
        <v>0.22674232</v>
      </c>
      <c r="AA195">
        <v>0.22674232</v>
      </c>
    </row>
    <row r="196" spans="1:27" x14ac:dyDescent="0.25">
      <c r="A196" t="s">
        <v>65</v>
      </c>
      <c r="B196" t="s">
        <v>900</v>
      </c>
      <c r="C196">
        <v>12</v>
      </c>
      <c r="D196" t="s">
        <v>66</v>
      </c>
      <c r="E196" t="s">
        <v>95</v>
      </c>
      <c r="F196" t="s">
        <v>105</v>
      </c>
      <c r="G196" t="s">
        <v>121</v>
      </c>
      <c r="H196" t="s">
        <v>111</v>
      </c>
      <c r="J196">
        <v>0</v>
      </c>
      <c r="K196">
        <v>1</v>
      </c>
      <c r="L196">
        <v>67.5</v>
      </c>
      <c r="M196">
        <v>47.937235809999997</v>
      </c>
      <c r="N196">
        <v>0.41599678000000001</v>
      </c>
      <c r="O196">
        <v>2.0950346999999998</v>
      </c>
      <c r="P196">
        <v>94.97142857</v>
      </c>
      <c r="Q196">
        <v>24.31591813</v>
      </c>
      <c r="R196">
        <v>0.122951111</v>
      </c>
      <c r="S196">
        <v>0.39050790000000002</v>
      </c>
      <c r="T196">
        <v>-27.47142857</v>
      </c>
      <c r="U196">
        <v>27.47142857</v>
      </c>
      <c r="V196">
        <v>23.621317680000001</v>
      </c>
      <c r="W196">
        <v>23.621317680000001</v>
      </c>
      <c r="X196">
        <v>0.29304566900000001</v>
      </c>
      <c r="Y196">
        <v>0.29304566900000001</v>
      </c>
      <c r="Z196">
        <v>1.7045267999999998</v>
      </c>
      <c r="AA196">
        <v>1.7045267999999998</v>
      </c>
    </row>
    <row r="197" spans="1:27" x14ac:dyDescent="0.25">
      <c r="A197" t="s">
        <v>65</v>
      </c>
      <c r="B197" t="s">
        <v>900</v>
      </c>
      <c r="C197">
        <v>12</v>
      </c>
      <c r="D197" t="s">
        <v>66</v>
      </c>
      <c r="E197" t="s">
        <v>95</v>
      </c>
      <c r="F197" t="s">
        <v>105</v>
      </c>
      <c r="G197" t="s">
        <v>121</v>
      </c>
      <c r="H197" t="s">
        <v>808</v>
      </c>
      <c r="J197">
        <v>0</v>
      </c>
      <c r="K197">
        <v>1</v>
      </c>
      <c r="L197">
        <v>67.5</v>
      </c>
      <c r="M197">
        <v>47.937235809999997</v>
      </c>
      <c r="N197">
        <v>0.41599678000000001</v>
      </c>
      <c r="O197">
        <v>2.0950346999999998</v>
      </c>
      <c r="P197">
        <v>102.79166669999999</v>
      </c>
      <c r="Q197">
        <v>27.057373470000002</v>
      </c>
      <c r="R197">
        <v>6.3567849939999999</v>
      </c>
      <c r="S197" t="s">
        <v>114</v>
      </c>
      <c r="T197">
        <v>-35.2916667</v>
      </c>
      <c r="U197">
        <v>35.2916667</v>
      </c>
      <c r="V197">
        <v>20.879862339999999</v>
      </c>
      <c r="W197">
        <v>20.879862339999999</v>
      </c>
      <c r="X197">
        <v>-5.9407882140000003</v>
      </c>
      <c r="Y197">
        <v>5.9407882140000003</v>
      </c>
      <c r="Z197" t="s">
        <v>114</v>
      </c>
      <c r="AA197" t="s">
        <v>114</v>
      </c>
    </row>
    <row r="198" spans="1:27" x14ac:dyDescent="0.25">
      <c r="A198" t="s">
        <v>65</v>
      </c>
      <c r="B198" t="s">
        <v>900</v>
      </c>
      <c r="C198">
        <v>12</v>
      </c>
      <c r="D198" t="s">
        <v>66</v>
      </c>
      <c r="E198" t="s">
        <v>95</v>
      </c>
      <c r="F198" t="s">
        <v>105</v>
      </c>
      <c r="G198" t="s">
        <v>121</v>
      </c>
      <c r="H198" t="s">
        <v>247</v>
      </c>
      <c r="J198">
        <v>0</v>
      </c>
      <c r="K198">
        <v>1</v>
      </c>
      <c r="L198">
        <v>67.5</v>
      </c>
      <c r="M198">
        <v>47.937235809999997</v>
      </c>
      <c r="N198">
        <v>0.41599678000000001</v>
      </c>
      <c r="O198">
        <v>2.0950346999999998</v>
      </c>
      <c r="P198">
        <v>65.791044779999993</v>
      </c>
      <c r="Q198">
        <v>22.94519201</v>
      </c>
      <c r="R198">
        <v>8.1320334999999994E-2</v>
      </c>
      <c r="S198">
        <v>0.17285655</v>
      </c>
      <c r="T198">
        <v>1.70895522</v>
      </c>
      <c r="U198">
        <v>1.70895522</v>
      </c>
      <c r="V198">
        <v>24.992043800000001</v>
      </c>
      <c r="W198">
        <v>24.992043800000001</v>
      </c>
      <c r="X198">
        <v>0.33467644499999999</v>
      </c>
      <c r="Y198">
        <v>0.33467644499999999</v>
      </c>
      <c r="Z198">
        <v>1.9221781499999997</v>
      </c>
      <c r="AA198">
        <v>1.9221781499999997</v>
      </c>
    </row>
    <row r="199" spans="1:27" x14ac:dyDescent="0.25">
      <c r="A199" t="s">
        <v>65</v>
      </c>
      <c r="B199" t="s">
        <v>900</v>
      </c>
      <c r="C199">
        <v>12</v>
      </c>
      <c r="D199" t="s">
        <v>66</v>
      </c>
      <c r="E199" t="s">
        <v>95</v>
      </c>
      <c r="F199" t="s">
        <v>105</v>
      </c>
      <c r="G199" t="s">
        <v>121</v>
      </c>
      <c r="H199" t="s">
        <v>248</v>
      </c>
      <c r="J199">
        <v>0</v>
      </c>
      <c r="K199">
        <v>2</v>
      </c>
      <c r="L199">
        <v>67.5</v>
      </c>
      <c r="M199">
        <v>47.937235809999997</v>
      </c>
      <c r="N199">
        <v>0.41599678000000001</v>
      </c>
      <c r="O199">
        <v>2.0950346999999998</v>
      </c>
      <c r="P199">
        <v>83.92307692</v>
      </c>
      <c r="Q199">
        <v>44.319135699999997</v>
      </c>
      <c r="R199">
        <v>5.9548609999999997E-3</v>
      </c>
      <c r="S199">
        <v>0.18017928</v>
      </c>
      <c r="T199">
        <v>-16.42307692</v>
      </c>
      <c r="U199">
        <v>16.42307692</v>
      </c>
      <c r="V199">
        <v>3.6181001099999999</v>
      </c>
      <c r="W199">
        <v>3.6181001099999999</v>
      </c>
      <c r="X199">
        <v>0.41004191899999998</v>
      </c>
      <c r="Y199">
        <v>0.41004191899999998</v>
      </c>
      <c r="Z199">
        <v>1.9148554199999999</v>
      </c>
      <c r="AA199">
        <v>1.9148554199999999</v>
      </c>
    </row>
    <row r="200" spans="1:27" x14ac:dyDescent="0.25">
      <c r="A200" t="s">
        <v>65</v>
      </c>
      <c r="B200" t="s">
        <v>900</v>
      </c>
      <c r="C200">
        <v>12</v>
      </c>
      <c r="D200" t="s">
        <v>66</v>
      </c>
      <c r="E200" t="s">
        <v>95</v>
      </c>
      <c r="F200" t="s">
        <v>105</v>
      </c>
      <c r="G200" t="s">
        <v>121</v>
      </c>
      <c r="H200" t="s">
        <v>248</v>
      </c>
      <c r="J200">
        <v>0</v>
      </c>
      <c r="K200">
        <v>2</v>
      </c>
      <c r="L200">
        <v>67.5</v>
      </c>
      <c r="M200">
        <v>47.937235809999997</v>
      </c>
      <c r="N200">
        <v>0.41599678000000001</v>
      </c>
      <c r="O200">
        <v>2.0950346999999998</v>
      </c>
      <c r="P200">
        <v>83.92307692</v>
      </c>
      <c r="Q200">
        <v>44.319135699999997</v>
      </c>
      <c r="R200">
        <v>5.9548609999999997E-3</v>
      </c>
      <c r="S200">
        <v>0.18017928</v>
      </c>
      <c r="T200">
        <v>-16.42307692</v>
      </c>
      <c r="U200">
        <v>16.42307692</v>
      </c>
      <c r="V200">
        <v>3.6181001099999999</v>
      </c>
      <c r="W200">
        <v>3.6181001099999999</v>
      </c>
      <c r="X200">
        <v>0.41004191899999998</v>
      </c>
      <c r="Y200">
        <v>0.41004191899999998</v>
      </c>
      <c r="Z200">
        <v>1.9148554199999999</v>
      </c>
      <c r="AA200">
        <v>1.9148554199999999</v>
      </c>
    </row>
    <row r="201" spans="1:27" x14ac:dyDescent="0.25">
      <c r="A201" t="s">
        <v>10</v>
      </c>
      <c r="B201" t="s">
        <v>901</v>
      </c>
      <c r="C201">
        <v>15</v>
      </c>
      <c r="D201" t="s">
        <v>11</v>
      </c>
      <c r="E201" t="s">
        <v>94</v>
      </c>
      <c r="F201" t="s">
        <v>102</v>
      </c>
      <c r="G201" t="s">
        <v>102</v>
      </c>
      <c r="H201" t="s">
        <v>102</v>
      </c>
      <c r="J201">
        <v>0</v>
      </c>
      <c r="K201">
        <v>1</v>
      </c>
      <c r="L201">
        <v>84.740740740000007</v>
      </c>
      <c r="M201">
        <v>29.167014049999999</v>
      </c>
      <c r="N201">
        <v>1.1169849999999999</v>
      </c>
      <c r="O201">
        <v>1.1571499000000001</v>
      </c>
      <c r="P201">
        <v>84.740740740000007</v>
      </c>
      <c r="Q201">
        <v>29.167014049999999</v>
      </c>
      <c r="R201">
        <v>1.1169849999999999</v>
      </c>
      <c r="S201">
        <v>1.1571499000000001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</row>
    <row r="202" spans="1:27" x14ac:dyDescent="0.25">
      <c r="A202" t="s">
        <v>10</v>
      </c>
      <c r="B202" t="s">
        <v>901</v>
      </c>
      <c r="C202">
        <v>16</v>
      </c>
      <c r="D202" t="s">
        <v>11</v>
      </c>
      <c r="E202" t="s">
        <v>94</v>
      </c>
      <c r="F202" t="s">
        <v>102</v>
      </c>
      <c r="G202" t="s">
        <v>102</v>
      </c>
      <c r="H202" t="s">
        <v>111</v>
      </c>
      <c r="J202">
        <v>0</v>
      </c>
      <c r="K202">
        <v>1</v>
      </c>
      <c r="L202">
        <v>84.740740740000007</v>
      </c>
      <c r="M202">
        <v>29.167014049999999</v>
      </c>
      <c r="N202">
        <v>1.1169849999999999</v>
      </c>
      <c r="O202">
        <v>1.1571499000000001</v>
      </c>
      <c r="P202">
        <v>94.97142857</v>
      </c>
      <c r="Q202">
        <v>24.31591813</v>
      </c>
      <c r="R202">
        <v>0.122951111</v>
      </c>
      <c r="S202">
        <v>0.39050790000000002</v>
      </c>
      <c r="T202">
        <v>-10.230687830000001</v>
      </c>
      <c r="U202">
        <v>10.230687830000001</v>
      </c>
      <c r="V202">
        <v>4.8510959199999997</v>
      </c>
      <c r="W202">
        <v>4.8510959199999997</v>
      </c>
      <c r="X202">
        <v>0.994033889</v>
      </c>
      <c r="Y202">
        <v>0.994033889</v>
      </c>
      <c r="Z202">
        <v>0.76664200000000005</v>
      </c>
      <c r="AA202">
        <v>0.76664200000000005</v>
      </c>
    </row>
    <row r="203" spans="1:27" x14ac:dyDescent="0.25">
      <c r="A203" t="s">
        <v>10</v>
      </c>
      <c r="B203" t="s">
        <v>902</v>
      </c>
      <c r="C203">
        <v>15</v>
      </c>
      <c r="D203" t="s">
        <v>11</v>
      </c>
      <c r="E203" t="s">
        <v>94</v>
      </c>
      <c r="F203" t="s">
        <v>105</v>
      </c>
      <c r="G203" t="s">
        <v>121</v>
      </c>
      <c r="H203" t="s">
        <v>244</v>
      </c>
      <c r="J203">
        <v>0</v>
      </c>
      <c r="K203">
        <v>2</v>
      </c>
      <c r="L203">
        <v>67.5</v>
      </c>
      <c r="M203">
        <v>47.937235809999997</v>
      </c>
      <c r="N203">
        <v>0.41599678000000001</v>
      </c>
      <c r="O203">
        <v>2.0950346999999998</v>
      </c>
      <c r="P203">
        <v>75</v>
      </c>
      <c r="Q203">
        <v>28.80614499</v>
      </c>
      <c r="R203">
        <v>2.3860428570000001</v>
      </c>
      <c r="S203">
        <v>0.26400832000000002</v>
      </c>
      <c r="T203">
        <v>-7.5</v>
      </c>
      <c r="U203">
        <v>7.5</v>
      </c>
      <c r="V203">
        <v>19.131090820000001</v>
      </c>
      <c r="W203">
        <v>19.131090820000001</v>
      </c>
      <c r="X203">
        <v>-1.9700460769999999</v>
      </c>
      <c r="Y203">
        <v>1.9700460769999999</v>
      </c>
      <c r="Z203">
        <v>1.8310263799999997</v>
      </c>
      <c r="AA203">
        <v>1.8310263799999997</v>
      </c>
    </row>
    <row r="204" spans="1:27" x14ac:dyDescent="0.25">
      <c r="A204" t="s">
        <v>10</v>
      </c>
      <c r="B204" t="s">
        <v>902</v>
      </c>
      <c r="C204">
        <v>15</v>
      </c>
      <c r="D204" t="s">
        <v>11</v>
      </c>
      <c r="E204" t="s">
        <v>94</v>
      </c>
      <c r="F204" t="s">
        <v>105</v>
      </c>
      <c r="G204" t="s">
        <v>121</v>
      </c>
      <c r="H204" t="s">
        <v>244</v>
      </c>
      <c r="J204">
        <v>0</v>
      </c>
      <c r="K204">
        <v>2</v>
      </c>
      <c r="L204">
        <v>67.5</v>
      </c>
      <c r="M204">
        <v>47.937235809999997</v>
      </c>
      <c r="N204">
        <v>0.41599678000000001</v>
      </c>
      <c r="O204">
        <v>2.0950346999999998</v>
      </c>
      <c r="P204">
        <v>75</v>
      </c>
      <c r="Q204">
        <v>28.80614499</v>
      </c>
      <c r="R204">
        <v>2.3860428570000001</v>
      </c>
      <c r="S204">
        <v>0.26400832000000002</v>
      </c>
      <c r="T204">
        <v>-7.5</v>
      </c>
      <c r="U204">
        <v>7.5</v>
      </c>
      <c r="V204">
        <v>19.131090820000001</v>
      </c>
      <c r="W204">
        <v>19.131090820000001</v>
      </c>
      <c r="X204">
        <v>-1.9700460769999999</v>
      </c>
      <c r="Y204">
        <v>1.9700460769999999</v>
      </c>
      <c r="Z204">
        <v>1.8310263799999997</v>
      </c>
      <c r="AA204">
        <v>1.8310263799999997</v>
      </c>
    </row>
    <row r="205" spans="1:27" x14ac:dyDescent="0.25">
      <c r="A205" t="s">
        <v>10</v>
      </c>
      <c r="B205" t="s">
        <v>902</v>
      </c>
      <c r="C205">
        <v>16</v>
      </c>
      <c r="D205" t="s">
        <v>11</v>
      </c>
      <c r="E205" t="s">
        <v>94</v>
      </c>
      <c r="F205" t="s">
        <v>105</v>
      </c>
      <c r="G205" t="s">
        <v>121</v>
      </c>
      <c r="H205" t="s">
        <v>104</v>
      </c>
      <c r="J205">
        <v>0</v>
      </c>
      <c r="K205">
        <v>1</v>
      </c>
      <c r="L205">
        <v>67.5</v>
      </c>
      <c r="M205">
        <v>47.937235809999997</v>
      </c>
      <c r="N205">
        <v>0.41599678000000001</v>
      </c>
      <c r="O205">
        <v>2.0950346999999998</v>
      </c>
      <c r="P205">
        <v>113.9375</v>
      </c>
      <c r="Q205">
        <v>33.375507550000002</v>
      </c>
      <c r="R205">
        <v>2.4262999999999999</v>
      </c>
      <c r="S205">
        <v>0.40692159999999999</v>
      </c>
      <c r="T205">
        <v>-46.4375</v>
      </c>
      <c r="U205">
        <v>46.4375</v>
      </c>
      <c r="V205">
        <v>14.561728260000001</v>
      </c>
      <c r="W205">
        <v>14.561728260000001</v>
      </c>
      <c r="X205">
        <v>-2.0103032199999999</v>
      </c>
      <c r="Y205">
        <v>2.0103032199999999</v>
      </c>
      <c r="Z205">
        <v>1.6881130999999998</v>
      </c>
      <c r="AA205">
        <v>1.6881130999999998</v>
      </c>
    </row>
    <row r="206" spans="1:27" x14ac:dyDescent="0.25">
      <c r="A206" t="s">
        <v>10</v>
      </c>
      <c r="B206" t="s">
        <v>903</v>
      </c>
      <c r="C206">
        <v>15</v>
      </c>
      <c r="D206" t="s">
        <v>11</v>
      </c>
      <c r="E206" t="s">
        <v>94</v>
      </c>
      <c r="F206" t="s">
        <v>103</v>
      </c>
      <c r="G206" t="s">
        <v>121</v>
      </c>
      <c r="H206" t="s">
        <v>245</v>
      </c>
      <c r="J206">
        <v>0</v>
      </c>
      <c r="K206">
        <v>1</v>
      </c>
      <c r="L206">
        <v>98.291666669999998</v>
      </c>
      <c r="M206">
        <v>30.315130790000001</v>
      </c>
      <c r="N206">
        <v>5.0803484000000003E-2</v>
      </c>
      <c r="O206">
        <v>0.42866070000000001</v>
      </c>
      <c r="P206" t="s">
        <v>114</v>
      </c>
      <c r="Q206" t="s">
        <v>114</v>
      </c>
      <c r="R206" t="s">
        <v>114</v>
      </c>
      <c r="S206" t="s">
        <v>114</v>
      </c>
      <c r="T206" t="s">
        <v>114</v>
      </c>
      <c r="U206" t="s">
        <v>114</v>
      </c>
      <c r="V206" t="s">
        <v>114</v>
      </c>
      <c r="W206" t="s">
        <v>114</v>
      </c>
      <c r="X206" t="s">
        <v>114</v>
      </c>
      <c r="Y206" t="s">
        <v>114</v>
      </c>
      <c r="Z206" t="s">
        <v>114</v>
      </c>
      <c r="AA206" t="s">
        <v>114</v>
      </c>
    </row>
    <row r="207" spans="1:27" x14ac:dyDescent="0.25">
      <c r="A207" t="s">
        <v>10</v>
      </c>
      <c r="B207" t="s">
        <v>904</v>
      </c>
      <c r="C207">
        <v>15</v>
      </c>
      <c r="D207" t="s">
        <v>11</v>
      </c>
      <c r="E207" t="s">
        <v>94</v>
      </c>
      <c r="F207" t="s">
        <v>104</v>
      </c>
      <c r="G207" t="s">
        <v>121</v>
      </c>
      <c r="H207" t="s">
        <v>242</v>
      </c>
      <c r="J207">
        <v>0</v>
      </c>
      <c r="K207">
        <v>6</v>
      </c>
      <c r="L207">
        <v>113.9375</v>
      </c>
      <c r="M207">
        <v>33.375507550000002</v>
      </c>
      <c r="N207">
        <v>2.4262999999999999</v>
      </c>
      <c r="O207">
        <v>0.40692159999999999</v>
      </c>
      <c r="P207">
        <v>139.375</v>
      </c>
      <c r="Q207">
        <v>23.713465920000001</v>
      </c>
      <c r="R207" t="s">
        <v>114</v>
      </c>
      <c r="S207" t="s">
        <v>114</v>
      </c>
      <c r="T207">
        <v>-25.4375</v>
      </c>
      <c r="U207">
        <v>25.4375</v>
      </c>
      <c r="V207">
        <v>9.6620416299999992</v>
      </c>
      <c r="W207">
        <v>9.6620416299999992</v>
      </c>
      <c r="X207" t="s">
        <v>114</v>
      </c>
      <c r="Y207" t="s">
        <v>114</v>
      </c>
      <c r="Z207" t="s">
        <v>114</v>
      </c>
      <c r="AA207" t="s">
        <v>114</v>
      </c>
    </row>
    <row r="208" spans="1:27" x14ac:dyDescent="0.25">
      <c r="A208" t="s">
        <v>10</v>
      </c>
      <c r="B208" t="s">
        <v>904</v>
      </c>
      <c r="C208">
        <v>15</v>
      </c>
      <c r="D208" t="s">
        <v>11</v>
      </c>
      <c r="E208" t="s">
        <v>94</v>
      </c>
      <c r="F208" t="s">
        <v>104</v>
      </c>
      <c r="G208" t="s">
        <v>121</v>
      </c>
      <c r="H208" t="s">
        <v>242</v>
      </c>
      <c r="J208">
        <v>0</v>
      </c>
      <c r="K208">
        <v>6</v>
      </c>
      <c r="L208">
        <v>113.9375</v>
      </c>
      <c r="M208">
        <v>33.375507550000002</v>
      </c>
      <c r="N208">
        <v>2.4262999999999999</v>
      </c>
      <c r="O208">
        <v>0.40692159999999999</v>
      </c>
      <c r="P208">
        <v>139.375</v>
      </c>
      <c r="Q208">
        <v>23.713465920000001</v>
      </c>
      <c r="R208" t="s">
        <v>114</v>
      </c>
      <c r="S208" t="s">
        <v>114</v>
      </c>
      <c r="T208">
        <v>-25.4375</v>
      </c>
      <c r="U208">
        <v>25.4375</v>
      </c>
      <c r="V208">
        <v>9.6620416299999992</v>
      </c>
      <c r="W208">
        <v>9.6620416299999992</v>
      </c>
      <c r="X208" t="s">
        <v>114</v>
      </c>
      <c r="Y208" t="s">
        <v>114</v>
      </c>
      <c r="Z208" t="s">
        <v>114</v>
      </c>
      <c r="AA208" t="s">
        <v>114</v>
      </c>
    </row>
    <row r="209" spans="1:27" x14ac:dyDescent="0.25">
      <c r="A209" t="s">
        <v>10</v>
      </c>
      <c r="B209" t="s">
        <v>904</v>
      </c>
      <c r="C209">
        <v>15</v>
      </c>
      <c r="D209" t="s">
        <v>11</v>
      </c>
      <c r="E209" t="s">
        <v>94</v>
      </c>
      <c r="F209" t="s">
        <v>104</v>
      </c>
      <c r="G209" t="s">
        <v>121</v>
      </c>
      <c r="H209" t="s">
        <v>242</v>
      </c>
      <c r="J209">
        <v>0</v>
      </c>
      <c r="K209">
        <v>6</v>
      </c>
      <c r="L209">
        <v>113.9375</v>
      </c>
      <c r="M209">
        <v>33.375507550000002</v>
      </c>
      <c r="N209">
        <v>2.4262999999999999</v>
      </c>
      <c r="O209">
        <v>0.40692159999999999</v>
      </c>
      <c r="P209">
        <v>139.375</v>
      </c>
      <c r="Q209">
        <v>23.713465920000001</v>
      </c>
      <c r="R209" t="s">
        <v>114</v>
      </c>
      <c r="S209" t="s">
        <v>114</v>
      </c>
      <c r="T209">
        <v>-25.4375</v>
      </c>
      <c r="U209">
        <v>25.4375</v>
      </c>
      <c r="V209">
        <v>9.6620416299999992</v>
      </c>
      <c r="W209">
        <v>9.6620416299999992</v>
      </c>
      <c r="X209" t="s">
        <v>114</v>
      </c>
      <c r="Y209" t="s">
        <v>114</v>
      </c>
      <c r="Z209" t="s">
        <v>114</v>
      </c>
      <c r="AA209" t="s">
        <v>114</v>
      </c>
    </row>
    <row r="210" spans="1:27" x14ac:dyDescent="0.25">
      <c r="A210" t="s">
        <v>10</v>
      </c>
      <c r="B210" t="s">
        <v>904</v>
      </c>
      <c r="C210">
        <v>15</v>
      </c>
      <c r="D210" t="s">
        <v>11</v>
      </c>
      <c r="E210" t="s">
        <v>94</v>
      </c>
      <c r="F210" t="s">
        <v>104</v>
      </c>
      <c r="G210" t="s">
        <v>121</v>
      </c>
      <c r="H210" t="s">
        <v>242</v>
      </c>
      <c r="J210">
        <v>0</v>
      </c>
      <c r="K210">
        <v>6</v>
      </c>
      <c r="L210">
        <v>113.9375</v>
      </c>
      <c r="M210">
        <v>33.375507550000002</v>
      </c>
      <c r="N210">
        <v>2.4262999999999999</v>
      </c>
      <c r="O210">
        <v>0.40692159999999999</v>
      </c>
      <c r="P210">
        <v>139.375</v>
      </c>
      <c r="Q210">
        <v>23.713465920000001</v>
      </c>
      <c r="R210" t="s">
        <v>114</v>
      </c>
      <c r="S210" t="s">
        <v>114</v>
      </c>
      <c r="T210">
        <v>-25.4375</v>
      </c>
      <c r="U210">
        <v>25.4375</v>
      </c>
      <c r="V210">
        <v>9.6620416299999992</v>
      </c>
      <c r="W210">
        <v>9.6620416299999992</v>
      </c>
      <c r="X210" t="s">
        <v>114</v>
      </c>
      <c r="Y210" t="s">
        <v>114</v>
      </c>
      <c r="Z210" t="s">
        <v>114</v>
      </c>
      <c r="AA210" t="s">
        <v>114</v>
      </c>
    </row>
    <row r="211" spans="1:27" x14ac:dyDescent="0.25">
      <c r="A211" t="s">
        <v>10</v>
      </c>
      <c r="B211" t="s">
        <v>904</v>
      </c>
      <c r="C211">
        <v>15</v>
      </c>
      <c r="D211" t="s">
        <v>11</v>
      </c>
      <c r="E211" t="s">
        <v>94</v>
      </c>
      <c r="F211" t="s">
        <v>104</v>
      </c>
      <c r="G211" t="s">
        <v>121</v>
      </c>
      <c r="H211" t="s">
        <v>242</v>
      </c>
      <c r="J211">
        <v>0</v>
      </c>
      <c r="K211">
        <v>6</v>
      </c>
      <c r="L211">
        <v>113.9375</v>
      </c>
      <c r="M211">
        <v>33.375507550000002</v>
      </c>
      <c r="N211">
        <v>2.4262999999999999</v>
      </c>
      <c r="O211">
        <v>0.40692159999999999</v>
      </c>
      <c r="P211">
        <v>139.375</v>
      </c>
      <c r="Q211">
        <v>23.713465920000001</v>
      </c>
      <c r="R211" t="s">
        <v>114</v>
      </c>
      <c r="S211" t="s">
        <v>114</v>
      </c>
      <c r="T211">
        <v>-25.4375</v>
      </c>
      <c r="U211">
        <v>25.4375</v>
      </c>
      <c r="V211">
        <v>9.6620416299999992</v>
      </c>
      <c r="W211">
        <v>9.6620416299999992</v>
      </c>
      <c r="X211" t="s">
        <v>114</v>
      </c>
      <c r="Y211" t="s">
        <v>114</v>
      </c>
      <c r="Z211" t="s">
        <v>114</v>
      </c>
      <c r="AA211" t="s">
        <v>114</v>
      </c>
    </row>
    <row r="212" spans="1:27" x14ac:dyDescent="0.25">
      <c r="A212" t="s">
        <v>10</v>
      </c>
      <c r="B212" t="s">
        <v>904</v>
      </c>
      <c r="C212">
        <v>15</v>
      </c>
      <c r="D212" t="s">
        <v>11</v>
      </c>
      <c r="E212" t="s">
        <v>94</v>
      </c>
      <c r="F212" t="s">
        <v>104</v>
      </c>
      <c r="G212" t="s">
        <v>121</v>
      </c>
      <c r="H212" t="s">
        <v>242</v>
      </c>
      <c r="J212">
        <v>0</v>
      </c>
      <c r="K212">
        <v>6</v>
      </c>
      <c r="L212">
        <v>113.9375</v>
      </c>
      <c r="M212">
        <v>33.375507550000002</v>
      </c>
      <c r="N212">
        <v>2.4262999999999999</v>
      </c>
      <c r="O212">
        <v>0.40692159999999999</v>
      </c>
      <c r="P212">
        <v>139.375</v>
      </c>
      <c r="Q212">
        <v>23.713465920000001</v>
      </c>
      <c r="R212" t="s">
        <v>114</v>
      </c>
      <c r="S212" t="s">
        <v>114</v>
      </c>
      <c r="T212">
        <v>-25.4375</v>
      </c>
      <c r="U212">
        <v>25.4375</v>
      </c>
      <c r="V212">
        <v>9.6620416299999992</v>
      </c>
      <c r="W212">
        <v>9.6620416299999992</v>
      </c>
      <c r="X212" t="s">
        <v>114</v>
      </c>
      <c r="Y212" t="s">
        <v>114</v>
      </c>
      <c r="Z212" t="s">
        <v>114</v>
      </c>
      <c r="AA212" t="s">
        <v>114</v>
      </c>
    </row>
    <row r="213" spans="1:27" x14ac:dyDescent="0.25">
      <c r="A213" t="s">
        <v>14</v>
      </c>
      <c r="B213" t="s">
        <v>905</v>
      </c>
      <c r="C213">
        <v>15</v>
      </c>
      <c r="D213" t="s">
        <v>15</v>
      </c>
      <c r="E213" t="s">
        <v>94</v>
      </c>
      <c r="F213" t="s">
        <v>102</v>
      </c>
      <c r="G213" t="s">
        <v>121</v>
      </c>
      <c r="H213" t="s">
        <v>114</v>
      </c>
      <c r="J213">
        <v>0</v>
      </c>
      <c r="K213" t="s">
        <v>114</v>
      </c>
      <c r="L213">
        <v>84.740740740000007</v>
      </c>
      <c r="M213">
        <v>29.167014049999999</v>
      </c>
      <c r="N213">
        <v>1.1169849999999999</v>
      </c>
      <c r="O213">
        <v>1.1571499000000001</v>
      </c>
      <c r="P213" t="s">
        <v>114</v>
      </c>
      <c r="Q213" t="s">
        <v>114</v>
      </c>
      <c r="R213" t="s">
        <v>114</v>
      </c>
      <c r="S213" t="s">
        <v>114</v>
      </c>
      <c r="T213" t="s">
        <v>114</v>
      </c>
      <c r="U213" t="s">
        <v>114</v>
      </c>
      <c r="V213" t="s">
        <v>114</v>
      </c>
      <c r="W213" t="s">
        <v>114</v>
      </c>
      <c r="X213" t="s">
        <v>114</v>
      </c>
      <c r="Y213" t="s">
        <v>114</v>
      </c>
      <c r="Z213" t="s">
        <v>114</v>
      </c>
      <c r="AA213" t="s">
        <v>114</v>
      </c>
    </row>
    <row r="214" spans="1:27" x14ac:dyDescent="0.25">
      <c r="A214" t="s">
        <v>14</v>
      </c>
      <c r="B214" t="s">
        <v>906</v>
      </c>
      <c r="C214">
        <v>15</v>
      </c>
      <c r="D214" t="s">
        <v>15</v>
      </c>
      <c r="E214" t="s">
        <v>94</v>
      </c>
      <c r="F214" t="s">
        <v>110</v>
      </c>
      <c r="G214" t="s">
        <v>121</v>
      </c>
      <c r="H214" t="s">
        <v>114</v>
      </c>
      <c r="J214">
        <v>0</v>
      </c>
      <c r="K214" t="s">
        <v>114</v>
      </c>
      <c r="L214">
        <v>73.260869569999997</v>
      </c>
      <c r="M214">
        <v>34.453830549999999</v>
      </c>
      <c r="N214">
        <v>1.058333333</v>
      </c>
      <c r="O214">
        <v>0.90897070000000002</v>
      </c>
      <c r="P214" t="s">
        <v>114</v>
      </c>
      <c r="Q214" t="s">
        <v>114</v>
      </c>
      <c r="R214" t="s">
        <v>114</v>
      </c>
      <c r="S214" t="s">
        <v>114</v>
      </c>
      <c r="T214" t="s">
        <v>114</v>
      </c>
      <c r="U214" t="s">
        <v>114</v>
      </c>
      <c r="V214" t="s">
        <v>114</v>
      </c>
      <c r="W214" t="s">
        <v>114</v>
      </c>
      <c r="X214" t="s">
        <v>114</v>
      </c>
      <c r="Y214" t="s">
        <v>114</v>
      </c>
      <c r="Z214" t="s">
        <v>114</v>
      </c>
      <c r="AA214" t="s">
        <v>114</v>
      </c>
    </row>
    <row r="215" spans="1:27" x14ac:dyDescent="0.25">
      <c r="A215" t="s">
        <v>14</v>
      </c>
      <c r="B215" t="s">
        <v>907</v>
      </c>
      <c r="C215">
        <v>15</v>
      </c>
      <c r="D215" t="s">
        <v>15</v>
      </c>
      <c r="E215" t="s">
        <v>94</v>
      </c>
      <c r="F215" t="s">
        <v>111</v>
      </c>
      <c r="G215" t="s">
        <v>110</v>
      </c>
      <c r="H215" t="s">
        <v>110</v>
      </c>
      <c r="J215">
        <v>0</v>
      </c>
      <c r="K215">
        <v>1</v>
      </c>
      <c r="L215">
        <v>94.97142857</v>
      </c>
      <c r="M215">
        <v>24.31591813</v>
      </c>
      <c r="N215">
        <v>0.122951111</v>
      </c>
      <c r="O215">
        <v>0.39050790000000002</v>
      </c>
      <c r="P215">
        <v>73.260869569999997</v>
      </c>
      <c r="Q215">
        <v>34.453830549999999</v>
      </c>
      <c r="R215">
        <v>1.058333333</v>
      </c>
      <c r="S215">
        <v>0.90897070000000002</v>
      </c>
      <c r="T215">
        <v>21.710559</v>
      </c>
      <c r="U215">
        <v>21.710559</v>
      </c>
      <c r="V215">
        <v>-10.137912419999999</v>
      </c>
      <c r="W215">
        <v>10.137912419999999</v>
      </c>
      <c r="X215">
        <v>-0.93538222199999999</v>
      </c>
      <c r="Y215">
        <v>0.93538222199999999</v>
      </c>
      <c r="Z215">
        <v>-0.5184628</v>
      </c>
      <c r="AA215">
        <v>0.5184628</v>
      </c>
    </row>
    <row r="216" spans="1:27" x14ac:dyDescent="0.25">
      <c r="A216" t="s">
        <v>14</v>
      </c>
      <c r="B216" t="s">
        <v>908</v>
      </c>
      <c r="C216">
        <v>15</v>
      </c>
      <c r="D216" t="s">
        <v>15</v>
      </c>
      <c r="E216" t="s">
        <v>94</v>
      </c>
      <c r="F216" t="s">
        <v>104</v>
      </c>
      <c r="G216" t="s">
        <v>110</v>
      </c>
      <c r="H216" t="s">
        <v>110</v>
      </c>
      <c r="J216">
        <v>0</v>
      </c>
      <c r="K216">
        <v>1</v>
      </c>
      <c r="L216">
        <v>113.9375</v>
      </c>
      <c r="M216">
        <v>33.375507550000002</v>
      </c>
      <c r="N216">
        <v>2.4262999999999999</v>
      </c>
      <c r="O216">
        <v>0.40692159999999999</v>
      </c>
      <c r="P216">
        <v>73.260869569999997</v>
      </c>
      <c r="Q216">
        <v>34.453830549999999</v>
      </c>
      <c r="R216">
        <v>1.058333333</v>
      </c>
      <c r="S216">
        <v>0.90897070000000002</v>
      </c>
      <c r="T216">
        <v>40.676630430000003</v>
      </c>
      <c r="U216">
        <v>40.676630430000003</v>
      </c>
      <c r="V216">
        <v>-1.0783229999999999</v>
      </c>
      <c r="W216">
        <v>1.0783229999999999</v>
      </c>
      <c r="X216">
        <v>1.3679666669999999</v>
      </c>
      <c r="Y216">
        <v>1.3679666669999999</v>
      </c>
      <c r="Z216">
        <v>-0.50204910000000003</v>
      </c>
      <c r="AA216">
        <v>0.50204910000000003</v>
      </c>
    </row>
    <row r="217" spans="1:27" x14ac:dyDescent="0.25">
      <c r="A217" t="s">
        <v>14</v>
      </c>
      <c r="B217" t="s">
        <v>908</v>
      </c>
      <c r="C217">
        <v>16</v>
      </c>
      <c r="D217" t="s">
        <v>15</v>
      </c>
      <c r="E217" t="s">
        <v>94</v>
      </c>
      <c r="F217" t="s">
        <v>104</v>
      </c>
      <c r="G217" t="s">
        <v>110</v>
      </c>
      <c r="H217" t="s">
        <v>104</v>
      </c>
      <c r="J217">
        <v>0</v>
      </c>
      <c r="K217">
        <v>2</v>
      </c>
      <c r="L217">
        <v>113.9375</v>
      </c>
      <c r="M217">
        <v>33.375507550000002</v>
      </c>
      <c r="N217">
        <v>2.4262999999999999</v>
      </c>
      <c r="O217">
        <v>0.40692159999999999</v>
      </c>
      <c r="P217">
        <v>113.9375</v>
      </c>
      <c r="Q217">
        <v>33.375507550000002</v>
      </c>
      <c r="R217">
        <v>2.4262999999999999</v>
      </c>
      <c r="S217">
        <v>0.40692159999999999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</row>
    <row r="218" spans="1:27" x14ac:dyDescent="0.25">
      <c r="A218" t="s">
        <v>14</v>
      </c>
      <c r="B218" t="s">
        <v>908</v>
      </c>
      <c r="C218">
        <v>16</v>
      </c>
      <c r="D218" t="s">
        <v>15</v>
      </c>
      <c r="E218" t="s">
        <v>94</v>
      </c>
      <c r="F218" t="s">
        <v>104</v>
      </c>
      <c r="G218" t="s">
        <v>110</v>
      </c>
      <c r="H218" t="s">
        <v>104</v>
      </c>
      <c r="J218">
        <v>0</v>
      </c>
      <c r="K218">
        <v>2</v>
      </c>
      <c r="L218">
        <v>113.9375</v>
      </c>
      <c r="M218">
        <v>33.375507550000002</v>
      </c>
      <c r="N218">
        <v>2.4262999999999999</v>
      </c>
      <c r="O218">
        <v>0.40692159999999999</v>
      </c>
      <c r="P218">
        <v>113.9375</v>
      </c>
      <c r="Q218">
        <v>33.375507550000002</v>
      </c>
      <c r="R218">
        <v>2.4262999999999999</v>
      </c>
      <c r="S218">
        <v>0.40692159999999999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</row>
    <row r="219" spans="1:27" x14ac:dyDescent="0.25">
      <c r="A219" t="s">
        <v>16</v>
      </c>
      <c r="B219" t="s">
        <v>909</v>
      </c>
      <c r="C219">
        <v>15</v>
      </c>
      <c r="D219" t="s">
        <v>17</v>
      </c>
      <c r="E219" t="s">
        <v>95</v>
      </c>
      <c r="F219" t="s">
        <v>113</v>
      </c>
      <c r="G219" t="s">
        <v>104</v>
      </c>
      <c r="H219" t="s">
        <v>104</v>
      </c>
      <c r="J219">
        <v>0</v>
      </c>
      <c r="K219">
        <v>1</v>
      </c>
      <c r="L219">
        <v>83.757575759999995</v>
      </c>
      <c r="M219">
        <v>22.60997987</v>
      </c>
      <c r="N219">
        <v>0.72884000000000004</v>
      </c>
      <c r="O219">
        <v>0.21301339999999999</v>
      </c>
      <c r="P219">
        <v>113.9375</v>
      </c>
      <c r="Q219">
        <v>33.375507550000002</v>
      </c>
      <c r="R219">
        <v>2.4262999999999999</v>
      </c>
      <c r="S219">
        <v>0.40692159999999999</v>
      </c>
      <c r="T219">
        <v>-30.179924239999998</v>
      </c>
      <c r="U219">
        <v>30.179924239999998</v>
      </c>
      <c r="V219">
        <v>-10.76552768</v>
      </c>
      <c r="W219">
        <v>10.76552768</v>
      </c>
      <c r="X219">
        <v>-1.69746</v>
      </c>
      <c r="Y219">
        <v>1.69746</v>
      </c>
      <c r="Z219">
        <v>-0.1939082</v>
      </c>
      <c r="AA219">
        <v>0.1939082</v>
      </c>
    </row>
    <row r="220" spans="1:27" x14ac:dyDescent="0.25">
      <c r="A220" t="s">
        <v>16</v>
      </c>
      <c r="B220" t="s">
        <v>909</v>
      </c>
      <c r="C220">
        <v>16</v>
      </c>
      <c r="D220" t="s">
        <v>17</v>
      </c>
      <c r="E220" t="s">
        <v>95</v>
      </c>
      <c r="F220" t="s">
        <v>113</v>
      </c>
      <c r="G220" t="s">
        <v>104</v>
      </c>
      <c r="H220" t="s">
        <v>113</v>
      </c>
      <c r="J220">
        <v>0</v>
      </c>
      <c r="K220">
        <v>3</v>
      </c>
      <c r="L220">
        <v>83.757575759999995</v>
      </c>
      <c r="M220">
        <v>22.60997987</v>
      </c>
      <c r="N220">
        <v>0.72884000000000004</v>
      </c>
      <c r="O220">
        <v>0.21301339999999999</v>
      </c>
      <c r="P220">
        <v>83.757575759999995</v>
      </c>
      <c r="Q220">
        <v>22.60997987</v>
      </c>
      <c r="R220">
        <v>0.72884000000000004</v>
      </c>
      <c r="S220">
        <v>0.21301339999999999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</row>
    <row r="221" spans="1:27" x14ac:dyDescent="0.25">
      <c r="A221" t="s">
        <v>16</v>
      </c>
      <c r="B221" t="s">
        <v>909</v>
      </c>
      <c r="C221">
        <v>16</v>
      </c>
      <c r="D221" t="s">
        <v>17</v>
      </c>
      <c r="E221" t="s">
        <v>95</v>
      </c>
      <c r="F221" t="s">
        <v>113</v>
      </c>
      <c r="G221" t="s">
        <v>104</v>
      </c>
      <c r="H221" t="s">
        <v>113</v>
      </c>
      <c r="J221">
        <v>0</v>
      </c>
      <c r="K221">
        <v>3</v>
      </c>
      <c r="L221">
        <v>83.757575759999995</v>
      </c>
      <c r="M221">
        <v>22.60997987</v>
      </c>
      <c r="N221">
        <v>0.72884000000000004</v>
      </c>
      <c r="O221">
        <v>0.21301339999999999</v>
      </c>
      <c r="P221">
        <v>83.757575759999995</v>
      </c>
      <c r="Q221">
        <v>22.60997987</v>
      </c>
      <c r="R221">
        <v>0.72884000000000004</v>
      </c>
      <c r="S221">
        <v>0.21301339999999999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</row>
    <row r="222" spans="1:27" x14ac:dyDescent="0.25">
      <c r="A222" t="s">
        <v>16</v>
      </c>
      <c r="B222" t="s">
        <v>909</v>
      </c>
      <c r="C222">
        <v>16</v>
      </c>
      <c r="D222" t="s">
        <v>17</v>
      </c>
      <c r="E222" t="s">
        <v>95</v>
      </c>
      <c r="F222" t="s">
        <v>113</v>
      </c>
      <c r="G222" t="s">
        <v>104</v>
      </c>
      <c r="H222" t="s">
        <v>113</v>
      </c>
      <c r="J222">
        <v>0</v>
      </c>
      <c r="K222">
        <v>3</v>
      </c>
      <c r="L222">
        <v>83.757575759999995</v>
      </c>
      <c r="M222">
        <v>22.60997987</v>
      </c>
      <c r="N222">
        <v>0.72884000000000004</v>
      </c>
      <c r="O222">
        <v>0.21301339999999999</v>
      </c>
      <c r="P222">
        <v>83.757575759999995</v>
      </c>
      <c r="Q222">
        <v>22.60997987</v>
      </c>
      <c r="R222">
        <v>0.72884000000000004</v>
      </c>
      <c r="S222">
        <v>0.21301339999999999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</row>
    <row r="223" spans="1:27" x14ac:dyDescent="0.25">
      <c r="A223" t="s">
        <v>16</v>
      </c>
      <c r="B223" t="s">
        <v>910</v>
      </c>
      <c r="C223">
        <v>15</v>
      </c>
      <c r="D223" t="s">
        <v>17</v>
      </c>
      <c r="E223" t="s">
        <v>95</v>
      </c>
      <c r="F223" t="s">
        <v>110</v>
      </c>
      <c r="G223" t="s">
        <v>121</v>
      </c>
      <c r="H223" t="s">
        <v>104</v>
      </c>
      <c r="J223">
        <v>0</v>
      </c>
      <c r="K223">
        <v>1</v>
      </c>
      <c r="L223">
        <v>73.260869569999997</v>
      </c>
      <c r="M223">
        <v>34.453830549999999</v>
      </c>
      <c r="N223">
        <v>1.058333333</v>
      </c>
      <c r="O223">
        <v>0.90897070000000002</v>
      </c>
      <c r="P223">
        <v>113.9375</v>
      </c>
      <c r="Q223">
        <v>33.375507550000002</v>
      </c>
      <c r="R223">
        <v>2.4262999999999999</v>
      </c>
      <c r="S223">
        <v>0.40692159999999999</v>
      </c>
      <c r="T223">
        <v>-40.676630430000003</v>
      </c>
      <c r="U223">
        <v>40.676630430000003</v>
      </c>
      <c r="V223">
        <v>1.0783229999999999</v>
      </c>
      <c r="W223">
        <v>1.0783229999999999</v>
      </c>
      <c r="X223">
        <v>-1.3679666669999999</v>
      </c>
      <c r="Y223">
        <v>1.3679666669999999</v>
      </c>
      <c r="Z223">
        <v>0.50204910000000003</v>
      </c>
      <c r="AA223">
        <v>0.50204910000000003</v>
      </c>
    </row>
    <row r="224" spans="1:27" x14ac:dyDescent="0.25">
      <c r="A224" t="s">
        <v>16</v>
      </c>
      <c r="B224" t="s">
        <v>910</v>
      </c>
      <c r="C224">
        <v>16</v>
      </c>
      <c r="D224" t="s">
        <v>17</v>
      </c>
      <c r="E224" t="s">
        <v>95</v>
      </c>
      <c r="F224" t="s">
        <v>110</v>
      </c>
      <c r="G224" t="s">
        <v>121</v>
      </c>
      <c r="H224" t="s">
        <v>241</v>
      </c>
      <c r="J224">
        <v>0</v>
      </c>
      <c r="K224">
        <v>1</v>
      </c>
      <c r="L224">
        <v>73.260869569999997</v>
      </c>
      <c r="M224">
        <v>34.453830549999999</v>
      </c>
      <c r="N224">
        <v>1.058333333</v>
      </c>
      <c r="O224">
        <v>0.90897070000000002</v>
      </c>
      <c r="P224">
        <v>114</v>
      </c>
      <c r="Q224">
        <v>30.43077242</v>
      </c>
      <c r="R224">
        <v>0.53383111100000002</v>
      </c>
      <c r="S224">
        <v>0.28333332999999999</v>
      </c>
      <c r="T224">
        <v>-40.739130430000003</v>
      </c>
      <c r="U224">
        <v>40.739130430000003</v>
      </c>
      <c r="V224">
        <v>4.0230581299999999</v>
      </c>
      <c r="W224">
        <v>4.0230581299999999</v>
      </c>
      <c r="X224">
        <v>0.52450222199999996</v>
      </c>
      <c r="Y224">
        <v>0.52450222199999996</v>
      </c>
      <c r="Z224">
        <v>0.62563736999999997</v>
      </c>
      <c r="AA224">
        <v>0.62563736999999997</v>
      </c>
    </row>
    <row r="225" spans="1:27" x14ac:dyDescent="0.25">
      <c r="A225" t="s">
        <v>16</v>
      </c>
      <c r="B225" t="s">
        <v>911</v>
      </c>
      <c r="C225">
        <v>15</v>
      </c>
      <c r="D225" t="s">
        <v>17</v>
      </c>
      <c r="E225" t="s">
        <v>95</v>
      </c>
      <c r="F225" t="s">
        <v>111</v>
      </c>
      <c r="G225" t="s">
        <v>113</v>
      </c>
      <c r="H225" t="s">
        <v>113</v>
      </c>
      <c r="J225">
        <v>0</v>
      </c>
      <c r="K225">
        <v>2</v>
      </c>
      <c r="L225">
        <v>94.97142857</v>
      </c>
      <c r="M225">
        <v>24.31591813</v>
      </c>
      <c r="N225">
        <v>0.122951111</v>
      </c>
      <c r="O225">
        <v>0.39050790000000002</v>
      </c>
      <c r="P225">
        <v>83.757575759999995</v>
      </c>
      <c r="Q225">
        <v>22.60997987</v>
      </c>
      <c r="R225">
        <v>0.72884000000000004</v>
      </c>
      <c r="S225">
        <v>0.21301339999999999</v>
      </c>
      <c r="T225">
        <v>11.213852810000001</v>
      </c>
      <c r="U225">
        <v>11.213852810000001</v>
      </c>
      <c r="V225">
        <v>1.7059382599999999</v>
      </c>
      <c r="W225">
        <v>1.7059382599999999</v>
      </c>
      <c r="X225">
        <v>-0.60588888900000004</v>
      </c>
      <c r="Y225">
        <v>0.60588888900000004</v>
      </c>
      <c r="Z225">
        <v>0.17749450000000003</v>
      </c>
      <c r="AA225">
        <v>0.17749450000000003</v>
      </c>
    </row>
    <row r="226" spans="1:27" x14ac:dyDescent="0.25">
      <c r="A226" t="s">
        <v>16</v>
      </c>
      <c r="B226" t="s">
        <v>911</v>
      </c>
      <c r="C226">
        <v>15</v>
      </c>
      <c r="D226" t="s">
        <v>17</v>
      </c>
      <c r="E226" t="s">
        <v>95</v>
      </c>
      <c r="F226" t="s">
        <v>111</v>
      </c>
      <c r="G226" t="s">
        <v>113</v>
      </c>
      <c r="H226" t="s">
        <v>113</v>
      </c>
      <c r="J226">
        <v>0</v>
      </c>
      <c r="K226">
        <v>2</v>
      </c>
      <c r="L226">
        <v>94.97142857</v>
      </c>
      <c r="M226">
        <v>24.31591813</v>
      </c>
      <c r="N226">
        <v>0.122951111</v>
      </c>
      <c r="O226">
        <v>0.39050790000000002</v>
      </c>
      <c r="P226">
        <v>83.757575759999995</v>
      </c>
      <c r="Q226">
        <v>22.60997987</v>
      </c>
      <c r="R226">
        <v>0.72884000000000004</v>
      </c>
      <c r="S226">
        <v>0.21301339999999999</v>
      </c>
      <c r="T226">
        <v>11.213852810000001</v>
      </c>
      <c r="U226">
        <v>11.213852810000001</v>
      </c>
      <c r="V226">
        <v>1.7059382599999999</v>
      </c>
      <c r="W226">
        <v>1.7059382599999999</v>
      </c>
      <c r="X226">
        <v>-0.60588888900000004</v>
      </c>
      <c r="Y226">
        <v>0.60588888900000004</v>
      </c>
      <c r="Z226">
        <v>0.17749450000000003</v>
      </c>
      <c r="AA226">
        <v>0.17749450000000003</v>
      </c>
    </row>
    <row r="227" spans="1:27" x14ac:dyDescent="0.25">
      <c r="A227" t="s">
        <v>16</v>
      </c>
      <c r="B227" t="s">
        <v>911</v>
      </c>
      <c r="C227">
        <v>16</v>
      </c>
      <c r="D227" t="s">
        <v>17</v>
      </c>
      <c r="E227" t="s">
        <v>95</v>
      </c>
      <c r="F227" t="s">
        <v>111</v>
      </c>
      <c r="G227" t="s">
        <v>113</v>
      </c>
      <c r="H227" t="s">
        <v>247</v>
      </c>
      <c r="J227">
        <v>0</v>
      </c>
      <c r="K227">
        <v>3</v>
      </c>
      <c r="L227">
        <v>94.97142857</v>
      </c>
      <c r="M227">
        <v>24.31591813</v>
      </c>
      <c r="N227">
        <v>0.122951111</v>
      </c>
      <c r="O227">
        <v>0.39050790000000002</v>
      </c>
      <c r="P227">
        <v>65.791044779999993</v>
      </c>
      <c r="Q227">
        <v>22.94519201</v>
      </c>
      <c r="R227">
        <v>8.1320334999999994E-2</v>
      </c>
      <c r="S227">
        <v>0.17285655</v>
      </c>
      <c r="T227">
        <v>29.18038379</v>
      </c>
      <c r="U227">
        <v>29.18038379</v>
      </c>
      <c r="V227">
        <v>1.37072612</v>
      </c>
      <c r="W227">
        <v>1.37072612</v>
      </c>
      <c r="X227">
        <v>4.1630776000000001E-2</v>
      </c>
      <c r="Y227">
        <v>4.1630776000000001E-2</v>
      </c>
      <c r="Z227">
        <v>0.21765135000000002</v>
      </c>
      <c r="AA227">
        <v>0.21765135000000002</v>
      </c>
    </row>
    <row r="228" spans="1:27" x14ac:dyDescent="0.25">
      <c r="A228" t="s">
        <v>16</v>
      </c>
      <c r="B228" t="s">
        <v>911</v>
      </c>
      <c r="C228">
        <v>16</v>
      </c>
      <c r="D228" t="s">
        <v>17</v>
      </c>
      <c r="E228" t="s">
        <v>95</v>
      </c>
      <c r="F228" t="s">
        <v>111</v>
      </c>
      <c r="G228" t="s">
        <v>113</v>
      </c>
      <c r="H228" t="s">
        <v>247</v>
      </c>
      <c r="J228">
        <v>0</v>
      </c>
      <c r="K228">
        <v>3</v>
      </c>
      <c r="L228">
        <v>94.97142857</v>
      </c>
      <c r="M228">
        <v>24.31591813</v>
      </c>
      <c r="N228">
        <v>0.122951111</v>
      </c>
      <c r="O228">
        <v>0.39050790000000002</v>
      </c>
      <c r="P228">
        <v>65.791044779999993</v>
      </c>
      <c r="Q228">
        <v>22.94519201</v>
      </c>
      <c r="R228">
        <v>8.1320334999999994E-2</v>
      </c>
      <c r="S228">
        <v>0.17285655</v>
      </c>
      <c r="T228">
        <v>29.18038379</v>
      </c>
      <c r="U228">
        <v>29.18038379</v>
      </c>
      <c r="V228">
        <v>1.37072612</v>
      </c>
      <c r="W228">
        <v>1.37072612</v>
      </c>
      <c r="X228">
        <v>4.1630776000000001E-2</v>
      </c>
      <c r="Y228">
        <v>4.1630776000000001E-2</v>
      </c>
      <c r="Z228">
        <v>0.21765135000000002</v>
      </c>
      <c r="AA228">
        <v>0.21765135000000002</v>
      </c>
    </row>
    <row r="229" spans="1:27" x14ac:dyDescent="0.25">
      <c r="A229" t="s">
        <v>16</v>
      </c>
      <c r="B229" t="s">
        <v>911</v>
      </c>
      <c r="C229">
        <v>16</v>
      </c>
      <c r="D229" t="s">
        <v>17</v>
      </c>
      <c r="E229" t="s">
        <v>95</v>
      </c>
      <c r="F229" t="s">
        <v>111</v>
      </c>
      <c r="G229" t="s">
        <v>113</v>
      </c>
      <c r="H229" t="s">
        <v>247</v>
      </c>
      <c r="J229">
        <v>0</v>
      </c>
      <c r="K229">
        <v>3</v>
      </c>
      <c r="L229">
        <v>94.97142857</v>
      </c>
      <c r="M229">
        <v>24.31591813</v>
      </c>
      <c r="N229">
        <v>0.122951111</v>
      </c>
      <c r="O229">
        <v>0.39050790000000002</v>
      </c>
      <c r="P229">
        <v>65.791044779999993</v>
      </c>
      <c r="Q229">
        <v>22.94519201</v>
      </c>
      <c r="R229">
        <v>8.1320334999999994E-2</v>
      </c>
      <c r="S229">
        <v>0.17285655</v>
      </c>
      <c r="T229">
        <v>29.18038379</v>
      </c>
      <c r="U229">
        <v>29.18038379</v>
      </c>
      <c r="V229">
        <v>1.37072612</v>
      </c>
      <c r="W229">
        <v>1.37072612</v>
      </c>
      <c r="X229">
        <v>4.1630776000000001E-2</v>
      </c>
      <c r="Y229">
        <v>4.1630776000000001E-2</v>
      </c>
      <c r="Z229">
        <v>0.21765135000000002</v>
      </c>
      <c r="AA229">
        <v>0.21765135000000002</v>
      </c>
    </row>
    <row r="230" spans="1:27" x14ac:dyDescent="0.25">
      <c r="A230" t="s">
        <v>16</v>
      </c>
      <c r="B230" t="s">
        <v>912</v>
      </c>
      <c r="C230">
        <v>15</v>
      </c>
      <c r="D230" t="s">
        <v>17</v>
      </c>
      <c r="E230" t="s">
        <v>95</v>
      </c>
      <c r="F230" t="s">
        <v>104</v>
      </c>
      <c r="G230" t="s">
        <v>121</v>
      </c>
      <c r="H230" t="s">
        <v>247</v>
      </c>
      <c r="J230">
        <v>0</v>
      </c>
      <c r="K230">
        <v>1</v>
      </c>
      <c r="L230">
        <v>113.9375</v>
      </c>
      <c r="M230">
        <v>33.375507550000002</v>
      </c>
      <c r="N230">
        <v>2.4262999999999999</v>
      </c>
      <c r="O230">
        <v>0.40692159999999999</v>
      </c>
      <c r="P230">
        <v>65.791044779999993</v>
      </c>
      <c r="Q230">
        <v>22.94519201</v>
      </c>
      <c r="R230">
        <v>8.1320334999999994E-2</v>
      </c>
      <c r="S230">
        <v>0.17285655</v>
      </c>
      <c r="T230">
        <v>48.14645522</v>
      </c>
      <c r="U230">
        <v>48.14645522</v>
      </c>
      <c r="V230">
        <v>10.43031554</v>
      </c>
      <c r="W230">
        <v>10.43031554</v>
      </c>
      <c r="X230">
        <v>2.3449796649999999</v>
      </c>
      <c r="Y230">
        <v>2.3449796649999999</v>
      </c>
      <c r="Z230">
        <v>0.23406505</v>
      </c>
      <c r="AA230">
        <v>0.23406505</v>
      </c>
    </row>
    <row r="231" spans="1:27" x14ac:dyDescent="0.25">
      <c r="A231" t="s">
        <v>16</v>
      </c>
      <c r="B231" t="s">
        <v>912</v>
      </c>
      <c r="C231">
        <v>16</v>
      </c>
      <c r="D231" t="s">
        <v>17</v>
      </c>
      <c r="E231" t="s">
        <v>95</v>
      </c>
      <c r="F231" t="s">
        <v>104</v>
      </c>
      <c r="G231" t="s">
        <v>121</v>
      </c>
      <c r="H231" t="s">
        <v>111</v>
      </c>
      <c r="J231">
        <v>0</v>
      </c>
      <c r="K231">
        <v>1</v>
      </c>
      <c r="L231">
        <v>113.9375</v>
      </c>
      <c r="M231">
        <v>33.375507550000002</v>
      </c>
      <c r="N231">
        <v>2.4262999999999999</v>
      </c>
      <c r="O231">
        <v>0.40692159999999999</v>
      </c>
      <c r="P231">
        <v>94.97142857</v>
      </c>
      <c r="Q231">
        <v>24.31591813</v>
      </c>
      <c r="R231">
        <v>0.122951111</v>
      </c>
      <c r="S231">
        <v>0.39050790000000002</v>
      </c>
      <c r="T231">
        <v>18.96607143</v>
      </c>
      <c r="U231">
        <v>18.96607143</v>
      </c>
      <c r="V231">
        <v>9.05958942</v>
      </c>
      <c r="W231">
        <v>9.05958942</v>
      </c>
      <c r="X231">
        <v>2.303348889</v>
      </c>
      <c r="Y231">
        <v>2.303348889</v>
      </c>
      <c r="Z231">
        <v>1.6413699999999976E-2</v>
      </c>
      <c r="AA231">
        <v>1.6413699999999976E-2</v>
      </c>
    </row>
    <row r="232" spans="1:27" x14ac:dyDescent="0.25">
      <c r="A232" t="s">
        <v>18</v>
      </c>
      <c r="B232" t="s">
        <v>913</v>
      </c>
      <c r="C232">
        <v>15</v>
      </c>
      <c r="D232" t="s">
        <v>19</v>
      </c>
      <c r="E232" t="s">
        <v>95</v>
      </c>
      <c r="F232" t="s">
        <v>113</v>
      </c>
      <c r="G232" t="s">
        <v>121</v>
      </c>
      <c r="H232" t="s">
        <v>113</v>
      </c>
      <c r="J232">
        <v>0</v>
      </c>
      <c r="K232">
        <v>3</v>
      </c>
      <c r="L232">
        <v>83.757575759999995</v>
      </c>
      <c r="M232">
        <v>22.60997987</v>
      </c>
      <c r="N232">
        <v>0.72884000000000004</v>
      </c>
      <c r="O232">
        <v>0.21301339999999999</v>
      </c>
      <c r="P232">
        <v>83.757575759999995</v>
      </c>
      <c r="Q232">
        <v>22.60997987</v>
      </c>
      <c r="R232">
        <v>0.72884000000000004</v>
      </c>
      <c r="S232">
        <v>0.21301339999999999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</row>
    <row r="233" spans="1:27" x14ac:dyDescent="0.25">
      <c r="A233" t="s">
        <v>18</v>
      </c>
      <c r="B233" t="s">
        <v>913</v>
      </c>
      <c r="C233">
        <v>15</v>
      </c>
      <c r="D233" t="s">
        <v>19</v>
      </c>
      <c r="E233" t="s">
        <v>95</v>
      </c>
      <c r="F233" t="s">
        <v>113</v>
      </c>
      <c r="G233" t="s">
        <v>121</v>
      </c>
      <c r="H233" t="s">
        <v>113</v>
      </c>
      <c r="J233">
        <v>0</v>
      </c>
      <c r="K233">
        <v>3</v>
      </c>
      <c r="L233">
        <v>83.757575759999995</v>
      </c>
      <c r="M233">
        <v>22.60997987</v>
      </c>
      <c r="N233">
        <v>0.72884000000000004</v>
      </c>
      <c r="O233">
        <v>0.21301339999999999</v>
      </c>
      <c r="P233">
        <v>83.757575759999995</v>
      </c>
      <c r="Q233">
        <v>22.60997987</v>
      </c>
      <c r="R233">
        <v>0.72884000000000004</v>
      </c>
      <c r="S233">
        <v>0.21301339999999999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</row>
    <row r="234" spans="1:27" x14ac:dyDescent="0.25">
      <c r="A234" t="s">
        <v>18</v>
      </c>
      <c r="B234" t="s">
        <v>913</v>
      </c>
      <c r="C234">
        <v>15</v>
      </c>
      <c r="D234" t="s">
        <v>19</v>
      </c>
      <c r="E234" t="s">
        <v>95</v>
      </c>
      <c r="F234" t="s">
        <v>113</v>
      </c>
      <c r="G234" t="s">
        <v>121</v>
      </c>
      <c r="H234" t="s">
        <v>113</v>
      </c>
      <c r="J234">
        <v>0</v>
      </c>
      <c r="K234">
        <v>3</v>
      </c>
      <c r="L234">
        <v>83.757575759999995</v>
      </c>
      <c r="M234">
        <v>22.60997987</v>
      </c>
      <c r="N234">
        <v>0.72884000000000004</v>
      </c>
      <c r="O234">
        <v>0.21301339999999999</v>
      </c>
      <c r="P234">
        <v>83.757575759999995</v>
      </c>
      <c r="Q234">
        <v>22.60997987</v>
      </c>
      <c r="R234">
        <v>0.72884000000000004</v>
      </c>
      <c r="S234">
        <v>0.21301339999999999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</row>
    <row r="235" spans="1:27" x14ac:dyDescent="0.25">
      <c r="A235" t="s">
        <v>18</v>
      </c>
      <c r="B235" t="s">
        <v>913</v>
      </c>
      <c r="C235">
        <v>16</v>
      </c>
      <c r="D235" t="s">
        <v>19</v>
      </c>
      <c r="E235" t="s">
        <v>95</v>
      </c>
      <c r="F235" t="s">
        <v>113</v>
      </c>
      <c r="G235" t="s">
        <v>121</v>
      </c>
      <c r="H235" t="s">
        <v>808</v>
      </c>
      <c r="J235">
        <v>0</v>
      </c>
      <c r="K235">
        <v>1</v>
      </c>
      <c r="L235">
        <v>83.757575759999995</v>
      </c>
      <c r="M235">
        <v>22.60997987</v>
      </c>
      <c r="N235">
        <v>0.72884000000000004</v>
      </c>
      <c r="O235">
        <v>0.21301339999999999</v>
      </c>
      <c r="P235">
        <v>102.79166669999999</v>
      </c>
      <c r="Q235">
        <v>27.057373470000002</v>
      </c>
      <c r="R235">
        <v>6.3567849939999999</v>
      </c>
      <c r="S235" t="s">
        <v>114</v>
      </c>
      <c r="T235">
        <v>-19.034090939999999</v>
      </c>
      <c r="U235">
        <v>19.034090939999999</v>
      </c>
      <c r="V235">
        <v>-4.4473935999999998</v>
      </c>
      <c r="W235">
        <v>4.4473935999999998</v>
      </c>
      <c r="X235">
        <v>-5.6279449939999999</v>
      </c>
      <c r="Y235">
        <v>5.6279449939999999</v>
      </c>
      <c r="Z235" t="s">
        <v>114</v>
      </c>
      <c r="AA235" t="s">
        <v>114</v>
      </c>
    </row>
    <row r="236" spans="1:27" x14ac:dyDescent="0.25">
      <c r="A236" t="s">
        <v>18</v>
      </c>
      <c r="B236" t="s">
        <v>913</v>
      </c>
      <c r="C236">
        <v>17</v>
      </c>
      <c r="D236" t="s">
        <v>19</v>
      </c>
      <c r="E236" t="s">
        <v>95</v>
      </c>
      <c r="F236" t="s">
        <v>113</v>
      </c>
      <c r="G236" t="s">
        <v>121</v>
      </c>
      <c r="H236" t="s">
        <v>242</v>
      </c>
      <c r="J236">
        <v>0</v>
      </c>
      <c r="K236">
        <v>15</v>
      </c>
      <c r="L236">
        <v>83.757575759999995</v>
      </c>
      <c r="M236">
        <v>22.60997987</v>
      </c>
      <c r="N236">
        <v>0.72884000000000004</v>
      </c>
      <c r="O236">
        <v>0.21301339999999999</v>
      </c>
      <c r="P236">
        <v>139.375</v>
      </c>
      <c r="Q236">
        <v>23.713465920000001</v>
      </c>
      <c r="R236" t="s">
        <v>114</v>
      </c>
      <c r="S236" t="s">
        <v>114</v>
      </c>
      <c r="T236">
        <v>-55.617424239999998</v>
      </c>
      <c r="U236">
        <v>55.617424239999998</v>
      </c>
      <c r="V236">
        <v>-1.1034860500000001</v>
      </c>
      <c r="W236">
        <v>1.1034860500000001</v>
      </c>
      <c r="X236" t="s">
        <v>114</v>
      </c>
      <c r="Y236" t="s">
        <v>114</v>
      </c>
      <c r="Z236" t="s">
        <v>114</v>
      </c>
      <c r="AA236" t="s">
        <v>114</v>
      </c>
    </row>
    <row r="237" spans="1:27" x14ac:dyDescent="0.25">
      <c r="A237" t="s">
        <v>18</v>
      </c>
      <c r="B237" t="s">
        <v>913</v>
      </c>
      <c r="C237">
        <v>17</v>
      </c>
      <c r="D237" t="s">
        <v>19</v>
      </c>
      <c r="E237" t="s">
        <v>95</v>
      </c>
      <c r="F237" t="s">
        <v>113</v>
      </c>
      <c r="G237" t="s">
        <v>121</v>
      </c>
      <c r="H237" t="s">
        <v>242</v>
      </c>
      <c r="J237">
        <v>0</v>
      </c>
      <c r="K237">
        <v>15</v>
      </c>
      <c r="L237">
        <v>83.757575759999995</v>
      </c>
      <c r="M237">
        <v>22.60997987</v>
      </c>
      <c r="N237">
        <v>0.72884000000000004</v>
      </c>
      <c r="O237">
        <v>0.21301339999999999</v>
      </c>
      <c r="P237">
        <v>139.375</v>
      </c>
      <c r="Q237">
        <v>23.713465920000001</v>
      </c>
      <c r="R237" t="s">
        <v>114</v>
      </c>
      <c r="S237" t="s">
        <v>114</v>
      </c>
      <c r="T237">
        <v>-55.617424239999998</v>
      </c>
      <c r="U237">
        <v>55.617424239999998</v>
      </c>
      <c r="V237">
        <v>-1.1034860500000001</v>
      </c>
      <c r="W237">
        <v>1.1034860500000001</v>
      </c>
      <c r="X237" t="s">
        <v>114</v>
      </c>
      <c r="Y237" t="s">
        <v>114</v>
      </c>
      <c r="Z237" t="s">
        <v>114</v>
      </c>
      <c r="AA237" t="s">
        <v>114</v>
      </c>
    </row>
    <row r="238" spans="1:27" x14ac:dyDescent="0.25">
      <c r="A238" t="s">
        <v>18</v>
      </c>
      <c r="B238" t="s">
        <v>913</v>
      </c>
      <c r="C238">
        <v>17</v>
      </c>
      <c r="D238" t="s">
        <v>19</v>
      </c>
      <c r="E238" t="s">
        <v>95</v>
      </c>
      <c r="F238" t="s">
        <v>113</v>
      </c>
      <c r="G238" t="s">
        <v>121</v>
      </c>
      <c r="H238" t="s">
        <v>242</v>
      </c>
      <c r="J238">
        <v>0</v>
      </c>
      <c r="K238">
        <v>15</v>
      </c>
      <c r="L238">
        <v>83.757575759999995</v>
      </c>
      <c r="M238">
        <v>22.60997987</v>
      </c>
      <c r="N238">
        <v>0.72884000000000004</v>
      </c>
      <c r="O238">
        <v>0.21301339999999999</v>
      </c>
      <c r="P238">
        <v>139.375</v>
      </c>
      <c r="Q238">
        <v>23.713465920000001</v>
      </c>
      <c r="R238" t="s">
        <v>114</v>
      </c>
      <c r="S238" t="s">
        <v>114</v>
      </c>
      <c r="T238">
        <v>-55.617424239999998</v>
      </c>
      <c r="U238">
        <v>55.617424239999998</v>
      </c>
      <c r="V238">
        <v>-1.1034860500000001</v>
      </c>
      <c r="W238">
        <v>1.1034860500000001</v>
      </c>
      <c r="X238" t="s">
        <v>114</v>
      </c>
      <c r="Y238" t="s">
        <v>114</v>
      </c>
      <c r="Z238" t="s">
        <v>114</v>
      </c>
      <c r="AA238" t="s">
        <v>114</v>
      </c>
    </row>
    <row r="239" spans="1:27" x14ac:dyDescent="0.25">
      <c r="A239" t="s">
        <v>18</v>
      </c>
      <c r="B239" t="s">
        <v>913</v>
      </c>
      <c r="C239">
        <v>17</v>
      </c>
      <c r="D239" t="s">
        <v>19</v>
      </c>
      <c r="E239" t="s">
        <v>95</v>
      </c>
      <c r="F239" t="s">
        <v>113</v>
      </c>
      <c r="G239" t="s">
        <v>121</v>
      </c>
      <c r="H239" t="s">
        <v>242</v>
      </c>
      <c r="J239">
        <v>0</v>
      </c>
      <c r="K239">
        <v>15</v>
      </c>
      <c r="L239">
        <v>83.757575759999995</v>
      </c>
      <c r="M239">
        <v>22.60997987</v>
      </c>
      <c r="N239">
        <v>0.72884000000000004</v>
      </c>
      <c r="O239">
        <v>0.21301339999999999</v>
      </c>
      <c r="P239">
        <v>139.375</v>
      </c>
      <c r="Q239">
        <v>23.713465920000001</v>
      </c>
      <c r="R239" t="s">
        <v>114</v>
      </c>
      <c r="S239" t="s">
        <v>114</v>
      </c>
      <c r="T239">
        <v>-55.617424239999998</v>
      </c>
      <c r="U239">
        <v>55.617424239999998</v>
      </c>
      <c r="V239">
        <v>-1.1034860500000001</v>
      </c>
      <c r="W239">
        <v>1.1034860500000001</v>
      </c>
      <c r="X239" t="s">
        <v>114</v>
      </c>
      <c r="Y239" t="s">
        <v>114</v>
      </c>
      <c r="Z239" t="s">
        <v>114</v>
      </c>
      <c r="AA239" t="s">
        <v>114</v>
      </c>
    </row>
    <row r="240" spans="1:27" x14ac:dyDescent="0.25">
      <c r="A240" t="s">
        <v>18</v>
      </c>
      <c r="B240" t="s">
        <v>913</v>
      </c>
      <c r="C240">
        <v>17</v>
      </c>
      <c r="D240" t="s">
        <v>19</v>
      </c>
      <c r="E240" t="s">
        <v>95</v>
      </c>
      <c r="F240" t="s">
        <v>113</v>
      </c>
      <c r="G240" t="s">
        <v>121</v>
      </c>
      <c r="H240" t="s">
        <v>242</v>
      </c>
      <c r="J240">
        <v>0</v>
      </c>
      <c r="K240">
        <v>15</v>
      </c>
      <c r="L240">
        <v>83.757575759999995</v>
      </c>
      <c r="M240">
        <v>22.60997987</v>
      </c>
      <c r="N240">
        <v>0.72884000000000004</v>
      </c>
      <c r="O240">
        <v>0.21301339999999999</v>
      </c>
      <c r="P240">
        <v>139.375</v>
      </c>
      <c r="Q240">
        <v>23.713465920000001</v>
      </c>
      <c r="R240" t="s">
        <v>114</v>
      </c>
      <c r="S240" t="s">
        <v>114</v>
      </c>
      <c r="T240">
        <v>-55.617424239999998</v>
      </c>
      <c r="U240">
        <v>55.617424239999998</v>
      </c>
      <c r="V240">
        <v>-1.1034860500000001</v>
      </c>
      <c r="W240">
        <v>1.1034860500000001</v>
      </c>
      <c r="X240" t="s">
        <v>114</v>
      </c>
      <c r="Y240" t="s">
        <v>114</v>
      </c>
      <c r="Z240" t="s">
        <v>114</v>
      </c>
      <c r="AA240" t="s">
        <v>114</v>
      </c>
    </row>
    <row r="241" spans="1:27" x14ac:dyDescent="0.25">
      <c r="A241" t="s">
        <v>18</v>
      </c>
      <c r="B241" t="s">
        <v>913</v>
      </c>
      <c r="C241">
        <v>17</v>
      </c>
      <c r="D241" t="s">
        <v>19</v>
      </c>
      <c r="E241" t="s">
        <v>95</v>
      </c>
      <c r="F241" t="s">
        <v>113</v>
      </c>
      <c r="G241" t="s">
        <v>121</v>
      </c>
      <c r="H241" t="s">
        <v>242</v>
      </c>
      <c r="J241">
        <v>0</v>
      </c>
      <c r="K241">
        <v>15</v>
      </c>
      <c r="L241">
        <v>83.757575759999995</v>
      </c>
      <c r="M241">
        <v>22.60997987</v>
      </c>
      <c r="N241">
        <v>0.72884000000000004</v>
      </c>
      <c r="O241">
        <v>0.21301339999999999</v>
      </c>
      <c r="P241">
        <v>139.375</v>
      </c>
      <c r="Q241">
        <v>23.713465920000001</v>
      </c>
      <c r="R241" t="s">
        <v>114</v>
      </c>
      <c r="S241" t="s">
        <v>114</v>
      </c>
      <c r="T241">
        <v>-55.617424239999998</v>
      </c>
      <c r="U241">
        <v>55.617424239999998</v>
      </c>
      <c r="V241">
        <v>-1.1034860500000001</v>
      </c>
      <c r="W241">
        <v>1.1034860500000001</v>
      </c>
      <c r="X241" t="s">
        <v>114</v>
      </c>
      <c r="Y241" t="s">
        <v>114</v>
      </c>
      <c r="Z241" t="s">
        <v>114</v>
      </c>
      <c r="AA241" t="s">
        <v>114</v>
      </c>
    </row>
    <row r="242" spans="1:27" x14ac:dyDescent="0.25">
      <c r="A242" t="s">
        <v>18</v>
      </c>
      <c r="B242" t="s">
        <v>913</v>
      </c>
      <c r="C242">
        <v>17</v>
      </c>
      <c r="D242" t="s">
        <v>19</v>
      </c>
      <c r="E242" t="s">
        <v>95</v>
      </c>
      <c r="F242" t="s">
        <v>113</v>
      </c>
      <c r="G242" t="s">
        <v>121</v>
      </c>
      <c r="H242" t="s">
        <v>242</v>
      </c>
      <c r="J242">
        <v>0</v>
      </c>
      <c r="K242">
        <v>15</v>
      </c>
      <c r="L242">
        <v>83.757575759999995</v>
      </c>
      <c r="M242">
        <v>22.60997987</v>
      </c>
      <c r="N242">
        <v>0.72884000000000004</v>
      </c>
      <c r="O242">
        <v>0.21301339999999999</v>
      </c>
      <c r="P242">
        <v>139.375</v>
      </c>
      <c r="Q242">
        <v>23.713465920000001</v>
      </c>
      <c r="R242" t="s">
        <v>114</v>
      </c>
      <c r="S242" t="s">
        <v>114</v>
      </c>
      <c r="T242">
        <v>-55.617424239999998</v>
      </c>
      <c r="U242">
        <v>55.617424239999998</v>
      </c>
      <c r="V242">
        <v>-1.1034860500000001</v>
      </c>
      <c r="W242">
        <v>1.1034860500000001</v>
      </c>
      <c r="X242" t="s">
        <v>114</v>
      </c>
      <c r="Y242" t="s">
        <v>114</v>
      </c>
      <c r="Z242" t="s">
        <v>114</v>
      </c>
      <c r="AA242" t="s">
        <v>114</v>
      </c>
    </row>
    <row r="243" spans="1:27" x14ac:dyDescent="0.25">
      <c r="A243" t="s">
        <v>18</v>
      </c>
      <c r="B243" t="s">
        <v>913</v>
      </c>
      <c r="C243">
        <v>17</v>
      </c>
      <c r="D243" t="s">
        <v>19</v>
      </c>
      <c r="E243" t="s">
        <v>95</v>
      </c>
      <c r="F243" t="s">
        <v>113</v>
      </c>
      <c r="G243" t="s">
        <v>121</v>
      </c>
      <c r="H243" t="s">
        <v>242</v>
      </c>
      <c r="J243">
        <v>0</v>
      </c>
      <c r="K243">
        <v>15</v>
      </c>
      <c r="L243">
        <v>83.757575759999995</v>
      </c>
      <c r="M243">
        <v>22.60997987</v>
      </c>
      <c r="N243">
        <v>0.72884000000000004</v>
      </c>
      <c r="O243">
        <v>0.21301339999999999</v>
      </c>
      <c r="P243">
        <v>139.375</v>
      </c>
      <c r="Q243">
        <v>23.713465920000001</v>
      </c>
      <c r="R243" t="s">
        <v>114</v>
      </c>
      <c r="S243" t="s">
        <v>114</v>
      </c>
      <c r="T243">
        <v>-55.617424239999998</v>
      </c>
      <c r="U243">
        <v>55.617424239999998</v>
      </c>
      <c r="V243">
        <v>-1.1034860500000001</v>
      </c>
      <c r="W243">
        <v>1.1034860500000001</v>
      </c>
      <c r="X243" t="s">
        <v>114</v>
      </c>
      <c r="Y243" t="s">
        <v>114</v>
      </c>
      <c r="Z243" t="s">
        <v>114</v>
      </c>
      <c r="AA243" t="s">
        <v>114</v>
      </c>
    </row>
    <row r="244" spans="1:27" x14ac:dyDescent="0.25">
      <c r="A244" t="s">
        <v>18</v>
      </c>
      <c r="B244" t="s">
        <v>913</v>
      </c>
      <c r="C244">
        <v>17</v>
      </c>
      <c r="D244" t="s">
        <v>19</v>
      </c>
      <c r="E244" t="s">
        <v>95</v>
      </c>
      <c r="F244" t="s">
        <v>113</v>
      </c>
      <c r="G244" t="s">
        <v>121</v>
      </c>
      <c r="H244" t="s">
        <v>242</v>
      </c>
      <c r="J244">
        <v>0</v>
      </c>
      <c r="K244">
        <v>15</v>
      </c>
      <c r="L244">
        <v>83.757575759999995</v>
      </c>
      <c r="M244">
        <v>22.60997987</v>
      </c>
      <c r="N244">
        <v>0.72884000000000004</v>
      </c>
      <c r="O244">
        <v>0.21301339999999999</v>
      </c>
      <c r="P244">
        <v>139.375</v>
      </c>
      <c r="Q244">
        <v>23.713465920000001</v>
      </c>
      <c r="R244" t="s">
        <v>114</v>
      </c>
      <c r="S244" t="s">
        <v>114</v>
      </c>
      <c r="T244">
        <v>-55.617424239999998</v>
      </c>
      <c r="U244">
        <v>55.617424239999998</v>
      </c>
      <c r="V244">
        <v>-1.1034860500000001</v>
      </c>
      <c r="W244">
        <v>1.1034860500000001</v>
      </c>
      <c r="X244" t="s">
        <v>114</v>
      </c>
      <c r="Y244" t="s">
        <v>114</v>
      </c>
      <c r="Z244" t="s">
        <v>114</v>
      </c>
      <c r="AA244" t="s">
        <v>114</v>
      </c>
    </row>
    <row r="245" spans="1:27" x14ac:dyDescent="0.25">
      <c r="A245" t="s">
        <v>18</v>
      </c>
      <c r="B245" t="s">
        <v>913</v>
      </c>
      <c r="C245">
        <v>17</v>
      </c>
      <c r="D245" t="s">
        <v>19</v>
      </c>
      <c r="E245" t="s">
        <v>95</v>
      </c>
      <c r="F245" t="s">
        <v>113</v>
      </c>
      <c r="G245" t="s">
        <v>121</v>
      </c>
      <c r="H245" t="s">
        <v>242</v>
      </c>
      <c r="J245">
        <v>0</v>
      </c>
      <c r="K245">
        <v>15</v>
      </c>
      <c r="L245">
        <v>83.757575759999995</v>
      </c>
      <c r="M245">
        <v>22.60997987</v>
      </c>
      <c r="N245">
        <v>0.72884000000000004</v>
      </c>
      <c r="O245">
        <v>0.21301339999999999</v>
      </c>
      <c r="P245">
        <v>139.375</v>
      </c>
      <c r="Q245">
        <v>23.713465920000001</v>
      </c>
      <c r="R245" t="s">
        <v>114</v>
      </c>
      <c r="S245" t="s">
        <v>114</v>
      </c>
      <c r="T245">
        <v>-55.617424239999998</v>
      </c>
      <c r="U245">
        <v>55.617424239999998</v>
      </c>
      <c r="V245">
        <v>-1.1034860500000001</v>
      </c>
      <c r="W245">
        <v>1.1034860500000001</v>
      </c>
      <c r="X245" t="s">
        <v>114</v>
      </c>
      <c r="Y245" t="s">
        <v>114</v>
      </c>
      <c r="Z245" t="s">
        <v>114</v>
      </c>
      <c r="AA245" t="s">
        <v>114</v>
      </c>
    </row>
    <row r="246" spans="1:27" x14ac:dyDescent="0.25">
      <c r="A246" t="s">
        <v>18</v>
      </c>
      <c r="B246" t="s">
        <v>913</v>
      </c>
      <c r="C246">
        <v>17</v>
      </c>
      <c r="D246" t="s">
        <v>19</v>
      </c>
      <c r="E246" t="s">
        <v>95</v>
      </c>
      <c r="F246" t="s">
        <v>113</v>
      </c>
      <c r="G246" t="s">
        <v>121</v>
      </c>
      <c r="H246" t="s">
        <v>242</v>
      </c>
      <c r="J246">
        <v>0</v>
      </c>
      <c r="K246">
        <v>15</v>
      </c>
      <c r="L246">
        <v>83.757575759999995</v>
      </c>
      <c r="M246">
        <v>22.60997987</v>
      </c>
      <c r="N246">
        <v>0.72884000000000004</v>
      </c>
      <c r="O246">
        <v>0.21301339999999999</v>
      </c>
      <c r="P246">
        <v>139.375</v>
      </c>
      <c r="Q246">
        <v>23.713465920000001</v>
      </c>
      <c r="R246" t="s">
        <v>114</v>
      </c>
      <c r="S246" t="s">
        <v>114</v>
      </c>
      <c r="T246">
        <v>-55.617424239999998</v>
      </c>
      <c r="U246">
        <v>55.617424239999998</v>
      </c>
      <c r="V246">
        <v>-1.1034860500000001</v>
      </c>
      <c r="W246">
        <v>1.1034860500000001</v>
      </c>
      <c r="X246" t="s">
        <v>114</v>
      </c>
      <c r="Y246" t="s">
        <v>114</v>
      </c>
      <c r="Z246" t="s">
        <v>114</v>
      </c>
      <c r="AA246" t="s">
        <v>114</v>
      </c>
    </row>
    <row r="247" spans="1:27" x14ac:dyDescent="0.25">
      <c r="A247" t="s">
        <v>18</v>
      </c>
      <c r="B247" t="s">
        <v>913</v>
      </c>
      <c r="C247">
        <v>17</v>
      </c>
      <c r="D247" t="s">
        <v>19</v>
      </c>
      <c r="E247" t="s">
        <v>95</v>
      </c>
      <c r="F247" t="s">
        <v>113</v>
      </c>
      <c r="G247" t="s">
        <v>121</v>
      </c>
      <c r="H247" t="s">
        <v>242</v>
      </c>
      <c r="J247">
        <v>0</v>
      </c>
      <c r="K247">
        <v>15</v>
      </c>
      <c r="L247">
        <v>83.757575759999995</v>
      </c>
      <c r="M247">
        <v>22.60997987</v>
      </c>
      <c r="N247">
        <v>0.72884000000000004</v>
      </c>
      <c r="O247">
        <v>0.21301339999999999</v>
      </c>
      <c r="P247">
        <v>139.375</v>
      </c>
      <c r="Q247">
        <v>23.713465920000001</v>
      </c>
      <c r="R247" t="s">
        <v>114</v>
      </c>
      <c r="S247" t="s">
        <v>114</v>
      </c>
      <c r="T247">
        <v>-55.617424239999998</v>
      </c>
      <c r="U247">
        <v>55.617424239999998</v>
      </c>
      <c r="V247">
        <v>-1.1034860500000001</v>
      </c>
      <c r="W247">
        <v>1.1034860500000001</v>
      </c>
      <c r="X247" t="s">
        <v>114</v>
      </c>
      <c r="Y247" t="s">
        <v>114</v>
      </c>
      <c r="Z247" t="s">
        <v>114</v>
      </c>
      <c r="AA247" t="s">
        <v>114</v>
      </c>
    </row>
    <row r="248" spans="1:27" x14ac:dyDescent="0.25">
      <c r="A248" t="s">
        <v>18</v>
      </c>
      <c r="B248" t="s">
        <v>913</v>
      </c>
      <c r="C248">
        <v>17</v>
      </c>
      <c r="D248" t="s">
        <v>19</v>
      </c>
      <c r="E248" t="s">
        <v>95</v>
      </c>
      <c r="F248" t="s">
        <v>113</v>
      </c>
      <c r="G248" t="s">
        <v>121</v>
      </c>
      <c r="H248" t="s">
        <v>242</v>
      </c>
      <c r="J248">
        <v>0</v>
      </c>
      <c r="K248">
        <v>15</v>
      </c>
      <c r="L248">
        <v>83.757575759999995</v>
      </c>
      <c r="M248">
        <v>22.60997987</v>
      </c>
      <c r="N248">
        <v>0.72884000000000004</v>
      </c>
      <c r="O248">
        <v>0.21301339999999999</v>
      </c>
      <c r="P248">
        <v>139.375</v>
      </c>
      <c r="Q248">
        <v>23.713465920000001</v>
      </c>
      <c r="R248" t="s">
        <v>114</v>
      </c>
      <c r="S248" t="s">
        <v>114</v>
      </c>
      <c r="T248">
        <v>-55.617424239999998</v>
      </c>
      <c r="U248">
        <v>55.617424239999998</v>
      </c>
      <c r="V248">
        <v>-1.1034860500000001</v>
      </c>
      <c r="W248">
        <v>1.1034860500000001</v>
      </c>
      <c r="X248" t="s">
        <v>114</v>
      </c>
      <c r="Y248" t="s">
        <v>114</v>
      </c>
      <c r="Z248" t="s">
        <v>114</v>
      </c>
      <c r="AA248" t="s">
        <v>114</v>
      </c>
    </row>
    <row r="249" spans="1:27" x14ac:dyDescent="0.25">
      <c r="A249" t="s">
        <v>18</v>
      </c>
      <c r="B249" t="s">
        <v>913</v>
      </c>
      <c r="C249">
        <v>17</v>
      </c>
      <c r="D249" t="s">
        <v>19</v>
      </c>
      <c r="E249" t="s">
        <v>95</v>
      </c>
      <c r="F249" t="s">
        <v>113</v>
      </c>
      <c r="G249" t="s">
        <v>121</v>
      </c>
      <c r="H249" t="s">
        <v>242</v>
      </c>
      <c r="J249">
        <v>0</v>
      </c>
      <c r="K249">
        <v>15</v>
      </c>
      <c r="L249">
        <v>83.757575759999995</v>
      </c>
      <c r="M249">
        <v>22.60997987</v>
      </c>
      <c r="N249">
        <v>0.72884000000000004</v>
      </c>
      <c r="O249">
        <v>0.21301339999999999</v>
      </c>
      <c r="P249">
        <v>139.375</v>
      </c>
      <c r="Q249">
        <v>23.713465920000001</v>
      </c>
      <c r="R249" t="s">
        <v>114</v>
      </c>
      <c r="S249" t="s">
        <v>114</v>
      </c>
      <c r="T249">
        <v>-55.617424239999998</v>
      </c>
      <c r="U249">
        <v>55.617424239999998</v>
      </c>
      <c r="V249">
        <v>-1.1034860500000001</v>
      </c>
      <c r="W249">
        <v>1.1034860500000001</v>
      </c>
      <c r="X249" t="s">
        <v>114</v>
      </c>
      <c r="Y249" t="s">
        <v>114</v>
      </c>
      <c r="Z249" t="s">
        <v>114</v>
      </c>
      <c r="AA249" t="s">
        <v>114</v>
      </c>
    </row>
    <row r="250" spans="1:27" x14ac:dyDescent="0.25">
      <c r="A250" t="s">
        <v>18</v>
      </c>
      <c r="B250" t="s">
        <v>913</v>
      </c>
      <c r="C250">
        <v>17</v>
      </c>
      <c r="D250" t="s">
        <v>19</v>
      </c>
      <c r="E250" t="s">
        <v>95</v>
      </c>
      <c r="F250" t="s">
        <v>113</v>
      </c>
      <c r="G250" t="s">
        <v>121</v>
      </c>
      <c r="H250" t="s">
        <v>242</v>
      </c>
      <c r="J250">
        <v>0</v>
      </c>
      <c r="K250">
        <v>15</v>
      </c>
      <c r="L250">
        <v>83.757575759999995</v>
      </c>
      <c r="M250">
        <v>22.60997987</v>
      </c>
      <c r="N250">
        <v>0.72884000000000004</v>
      </c>
      <c r="O250">
        <v>0.21301339999999999</v>
      </c>
      <c r="P250">
        <v>139.375</v>
      </c>
      <c r="Q250">
        <v>23.713465920000001</v>
      </c>
      <c r="R250" t="s">
        <v>114</v>
      </c>
      <c r="S250" t="s">
        <v>114</v>
      </c>
      <c r="T250">
        <v>-55.617424239999998</v>
      </c>
      <c r="U250">
        <v>55.617424239999998</v>
      </c>
      <c r="V250">
        <v>-1.1034860500000001</v>
      </c>
      <c r="W250">
        <v>1.1034860500000001</v>
      </c>
      <c r="X250" t="s">
        <v>114</v>
      </c>
      <c r="Y250" t="s">
        <v>114</v>
      </c>
      <c r="Z250" t="s">
        <v>114</v>
      </c>
      <c r="AA250" t="s">
        <v>114</v>
      </c>
    </row>
    <row r="251" spans="1:27" x14ac:dyDescent="0.25">
      <c r="A251" t="s">
        <v>18</v>
      </c>
      <c r="B251" t="s">
        <v>914</v>
      </c>
      <c r="C251">
        <v>15</v>
      </c>
      <c r="D251" t="s">
        <v>19</v>
      </c>
      <c r="E251" t="s">
        <v>95</v>
      </c>
      <c r="F251" t="s">
        <v>111</v>
      </c>
      <c r="G251" t="s">
        <v>121</v>
      </c>
      <c r="H251" t="s">
        <v>113</v>
      </c>
      <c r="J251">
        <v>0</v>
      </c>
      <c r="K251">
        <v>2</v>
      </c>
      <c r="L251">
        <v>94.97142857</v>
      </c>
      <c r="M251">
        <v>24.31591813</v>
      </c>
      <c r="N251">
        <v>0.122951111</v>
      </c>
      <c r="O251">
        <v>0.39050790000000002</v>
      </c>
      <c r="P251">
        <v>83.757575759999995</v>
      </c>
      <c r="Q251">
        <v>22.60997987</v>
      </c>
      <c r="R251">
        <v>0.72884000000000004</v>
      </c>
      <c r="S251">
        <v>0.21301339999999999</v>
      </c>
      <c r="T251">
        <v>11.213852810000001</v>
      </c>
      <c r="U251">
        <v>11.213852810000001</v>
      </c>
      <c r="V251">
        <v>1.7059382599999999</v>
      </c>
      <c r="W251">
        <v>1.7059382599999999</v>
      </c>
      <c r="X251">
        <v>-0.60588888900000004</v>
      </c>
      <c r="Y251">
        <v>0.60588888900000004</v>
      </c>
      <c r="Z251">
        <v>0.17749450000000003</v>
      </c>
      <c r="AA251">
        <v>0.17749450000000003</v>
      </c>
    </row>
    <row r="252" spans="1:27" x14ac:dyDescent="0.25">
      <c r="A252" t="s">
        <v>18</v>
      </c>
      <c r="B252" t="s">
        <v>914</v>
      </c>
      <c r="C252">
        <v>15</v>
      </c>
      <c r="D252" t="s">
        <v>19</v>
      </c>
      <c r="E252" t="s">
        <v>95</v>
      </c>
      <c r="F252" t="s">
        <v>111</v>
      </c>
      <c r="G252" t="s">
        <v>121</v>
      </c>
      <c r="H252" t="s">
        <v>113</v>
      </c>
      <c r="J252">
        <v>0</v>
      </c>
      <c r="K252">
        <v>2</v>
      </c>
      <c r="L252">
        <v>94.97142857</v>
      </c>
      <c r="M252">
        <v>24.31591813</v>
      </c>
      <c r="N252">
        <v>0.122951111</v>
      </c>
      <c r="O252">
        <v>0.39050790000000002</v>
      </c>
      <c r="P252">
        <v>83.757575759999995</v>
      </c>
      <c r="Q252">
        <v>22.60997987</v>
      </c>
      <c r="R252">
        <v>0.72884000000000004</v>
      </c>
      <c r="S252">
        <v>0.21301339999999999</v>
      </c>
      <c r="T252">
        <v>11.213852810000001</v>
      </c>
      <c r="U252">
        <v>11.213852810000001</v>
      </c>
      <c r="V252">
        <v>1.7059382599999999</v>
      </c>
      <c r="W252">
        <v>1.7059382599999999</v>
      </c>
      <c r="X252">
        <v>-0.60588888900000004</v>
      </c>
      <c r="Y252">
        <v>0.60588888900000004</v>
      </c>
      <c r="Z252">
        <v>0.17749450000000003</v>
      </c>
      <c r="AA252">
        <v>0.17749450000000003</v>
      </c>
    </row>
    <row r="253" spans="1:27" x14ac:dyDescent="0.25">
      <c r="A253" t="s">
        <v>18</v>
      </c>
      <c r="B253" t="s">
        <v>914</v>
      </c>
      <c r="C253">
        <v>16</v>
      </c>
      <c r="D253" t="s">
        <v>19</v>
      </c>
      <c r="E253" t="s">
        <v>95</v>
      </c>
      <c r="F253" t="s">
        <v>111</v>
      </c>
      <c r="G253" t="s">
        <v>121</v>
      </c>
      <c r="H253" t="s">
        <v>242</v>
      </c>
      <c r="J253">
        <v>0</v>
      </c>
      <c r="K253">
        <v>2</v>
      </c>
      <c r="L253">
        <v>94.97142857</v>
      </c>
      <c r="M253">
        <v>24.31591813</v>
      </c>
      <c r="N253">
        <v>0.122951111</v>
      </c>
      <c r="O253">
        <v>0.39050790000000002</v>
      </c>
      <c r="P253">
        <v>139.375</v>
      </c>
      <c r="Q253">
        <v>23.713465920000001</v>
      </c>
      <c r="R253" t="s">
        <v>114</v>
      </c>
      <c r="S253" t="s">
        <v>114</v>
      </c>
      <c r="T253">
        <v>-44.40357143</v>
      </c>
      <c r="U253">
        <v>44.40357143</v>
      </c>
      <c r="V253">
        <v>0.60245221000000004</v>
      </c>
      <c r="W253">
        <v>0.60245221000000004</v>
      </c>
      <c r="X253" t="s">
        <v>114</v>
      </c>
      <c r="Y253" t="s">
        <v>114</v>
      </c>
      <c r="Z253" t="s">
        <v>114</v>
      </c>
      <c r="AA253" t="s">
        <v>114</v>
      </c>
    </row>
    <row r="254" spans="1:27" x14ac:dyDescent="0.25">
      <c r="A254" t="s">
        <v>18</v>
      </c>
      <c r="B254" t="s">
        <v>914</v>
      </c>
      <c r="C254">
        <v>16</v>
      </c>
      <c r="D254" t="s">
        <v>19</v>
      </c>
      <c r="E254" t="s">
        <v>95</v>
      </c>
      <c r="F254" t="s">
        <v>111</v>
      </c>
      <c r="G254" t="s">
        <v>121</v>
      </c>
      <c r="H254" t="s">
        <v>242</v>
      </c>
      <c r="J254">
        <v>0</v>
      </c>
      <c r="K254">
        <v>2</v>
      </c>
      <c r="L254">
        <v>94.97142857</v>
      </c>
      <c r="M254">
        <v>24.31591813</v>
      </c>
      <c r="N254">
        <v>0.122951111</v>
      </c>
      <c r="O254">
        <v>0.39050790000000002</v>
      </c>
      <c r="P254">
        <v>139.375</v>
      </c>
      <c r="Q254">
        <v>23.713465920000001</v>
      </c>
      <c r="R254" t="s">
        <v>114</v>
      </c>
      <c r="S254" t="s">
        <v>114</v>
      </c>
      <c r="T254">
        <v>-44.40357143</v>
      </c>
      <c r="U254">
        <v>44.40357143</v>
      </c>
      <c r="V254">
        <v>0.60245221000000004</v>
      </c>
      <c r="W254">
        <v>0.60245221000000004</v>
      </c>
      <c r="X254" t="s">
        <v>114</v>
      </c>
      <c r="Y254" t="s">
        <v>114</v>
      </c>
      <c r="Z254" t="s">
        <v>114</v>
      </c>
      <c r="AA254" t="s">
        <v>114</v>
      </c>
    </row>
    <row r="255" spans="1:27" x14ac:dyDescent="0.25">
      <c r="A255" t="s">
        <v>18</v>
      </c>
      <c r="B255" t="s">
        <v>915</v>
      </c>
      <c r="C255">
        <v>15</v>
      </c>
      <c r="D255" t="s">
        <v>19</v>
      </c>
      <c r="E255" t="s">
        <v>95</v>
      </c>
      <c r="F255" t="s">
        <v>104</v>
      </c>
      <c r="G255" t="s">
        <v>121</v>
      </c>
      <c r="H255" t="s">
        <v>247</v>
      </c>
      <c r="J255">
        <v>0</v>
      </c>
      <c r="K255">
        <v>1</v>
      </c>
      <c r="L255">
        <v>113.9375</v>
      </c>
      <c r="M255">
        <v>33.375507550000002</v>
      </c>
      <c r="N255">
        <v>2.4262999999999999</v>
      </c>
      <c r="O255">
        <v>0.40692159999999999</v>
      </c>
      <c r="P255">
        <v>65.791044779999993</v>
      </c>
      <c r="Q255">
        <v>22.94519201</v>
      </c>
      <c r="R255">
        <v>8.1320334999999994E-2</v>
      </c>
      <c r="S255">
        <v>0.17285655</v>
      </c>
      <c r="T255">
        <v>48.14645522</v>
      </c>
      <c r="U255">
        <v>48.14645522</v>
      </c>
      <c r="V255">
        <v>10.43031554</v>
      </c>
      <c r="W255">
        <v>10.43031554</v>
      </c>
      <c r="X255">
        <v>2.3449796649999999</v>
      </c>
      <c r="Y255">
        <v>2.3449796649999999</v>
      </c>
      <c r="Z255">
        <v>0.23406505</v>
      </c>
      <c r="AA255">
        <v>0.23406505</v>
      </c>
    </row>
    <row r="256" spans="1:27" x14ac:dyDescent="0.25">
      <c r="A256" t="s">
        <v>18</v>
      </c>
      <c r="B256" t="s">
        <v>915</v>
      </c>
      <c r="C256">
        <v>16</v>
      </c>
      <c r="D256" t="s">
        <v>19</v>
      </c>
      <c r="E256" t="s">
        <v>95</v>
      </c>
      <c r="F256" t="s">
        <v>104</v>
      </c>
      <c r="G256" t="s">
        <v>121</v>
      </c>
      <c r="H256" t="s">
        <v>113</v>
      </c>
      <c r="J256">
        <v>0</v>
      </c>
      <c r="K256">
        <v>3</v>
      </c>
      <c r="L256">
        <v>113.9375</v>
      </c>
      <c r="M256">
        <v>33.375507550000002</v>
      </c>
      <c r="N256">
        <v>2.4262999999999999</v>
      </c>
      <c r="O256">
        <v>0.40692159999999999</v>
      </c>
      <c r="P256">
        <v>83.757575759999995</v>
      </c>
      <c r="Q256">
        <v>22.60997987</v>
      </c>
      <c r="R256">
        <v>0.72884000000000004</v>
      </c>
      <c r="S256">
        <v>0.21301339999999999</v>
      </c>
      <c r="T256">
        <v>30.179924239999998</v>
      </c>
      <c r="U256">
        <v>30.179924239999998</v>
      </c>
      <c r="V256">
        <v>10.76552768</v>
      </c>
      <c r="W256">
        <v>10.76552768</v>
      </c>
      <c r="X256">
        <v>1.69746</v>
      </c>
      <c r="Y256">
        <v>1.69746</v>
      </c>
      <c r="Z256">
        <v>0.1939082</v>
      </c>
      <c r="AA256">
        <v>0.1939082</v>
      </c>
    </row>
    <row r="257" spans="1:27" x14ac:dyDescent="0.25">
      <c r="A257" t="s">
        <v>18</v>
      </c>
      <c r="B257" t="s">
        <v>915</v>
      </c>
      <c r="C257">
        <v>16</v>
      </c>
      <c r="D257" t="s">
        <v>19</v>
      </c>
      <c r="E257" t="s">
        <v>95</v>
      </c>
      <c r="F257" t="s">
        <v>104</v>
      </c>
      <c r="G257" t="s">
        <v>121</v>
      </c>
      <c r="H257" t="s">
        <v>113</v>
      </c>
      <c r="J257">
        <v>0</v>
      </c>
      <c r="K257">
        <v>3</v>
      </c>
      <c r="L257">
        <v>113.9375</v>
      </c>
      <c r="M257">
        <v>33.375507550000002</v>
      </c>
      <c r="N257">
        <v>2.4262999999999999</v>
      </c>
      <c r="O257">
        <v>0.40692159999999999</v>
      </c>
      <c r="P257">
        <v>83.757575759999995</v>
      </c>
      <c r="Q257">
        <v>22.60997987</v>
      </c>
      <c r="R257">
        <v>0.72884000000000004</v>
      </c>
      <c r="S257">
        <v>0.21301339999999999</v>
      </c>
      <c r="T257">
        <v>30.179924239999998</v>
      </c>
      <c r="U257">
        <v>30.179924239999998</v>
      </c>
      <c r="V257">
        <v>10.76552768</v>
      </c>
      <c r="W257">
        <v>10.76552768</v>
      </c>
      <c r="X257">
        <v>1.69746</v>
      </c>
      <c r="Y257">
        <v>1.69746</v>
      </c>
      <c r="Z257">
        <v>0.1939082</v>
      </c>
      <c r="AA257">
        <v>0.1939082</v>
      </c>
    </row>
    <row r="258" spans="1:27" x14ac:dyDescent="0.25">
      <c r="A258" t="s">
        <v>18</v>
      </c>
      <c r="B258" t="s">
        <v>915</v>
      </c>
      <c r="C258">
        <v>16</v>
      </c>
      <c r="D258" t="s">
        <v>19</v>
      </c>
      <c r="E258" t="s">
        <v>95</v>
      </c>
      <c r="F258" t="s">
        <v>104</v>
      </c>
      <c r="G258" t="s">
        <v>121</v>
      </c>
      <c r="H258" t="s">
        <v>113</v>
      </c>
      <c r="J258">
        <v>0</v>
      </c>
      <c r="K258">
        <v>3</v>
      </c>
      <c r="L258">
        <v>113.9375</v>
      </c>
      <c r="M258">
        <v>33.375507550000002</v>
      </c>
      <c r="N258">
        <v>2.4262999999999999</v>
      </c>
      <c r="O258">
        <v>0.40692159999999999</v>
      </c>
      <c r="P258">
        <v>83.757575759999995</v>
      </c>
      <c r="Q258">
        <v>22.60997987</v>
      </c>
      <c r="R258">
        <v>0.72884000000000004</v>
      </c>
      <c r="S258">
        <v>0.21301339999999999</v>
      </c>
      <c r="T258">
        <v>30.179924239999998</v>
      </c>
      <c r="U258">
        <v>30.179924239999998</v>
      </c>
      <c r="V258">
        <v>10.76552768</v>
      </c>
      <c r="W258">
        <v>10.76552768</v>
      </c>
      <c r="X258">
        <v>1.69746</v>
      </c>
      <c r="Y258">
        <v>1.69746</v>
      </c>
      <c r="Z258">
        <v>0.1939082</v>
      </c>
      <c r="AA258">
        <v>0.1939082</v>
      </c>
    </row>
    <row r="259" spans="1:27" x14ac:dyDescent="0.25">
      <c r="A259" t="s">
        <v>18</v>
      </c>
      <c r="B259" t="s">
        <v>916</v>
      </c>
      <c r="C259">
        <v>15</v>
      </c>
      <c r="D259" t="s">
        <v>19</v>
      </c>
      <c r="E259" t="s">
        <v>95</v>
      </c>
      <c r="F259" t="s">
        <v>112</v>
      </c>
      <c r="G259" t="s">
        <v>113</v>
      </c>
      <c r="H259" t="s">
        <v>113</v>
      </c>
      <c r="J259">
        <v>0</v>
      </c>
      <c r="K259">
        <v>1</v>
      </c>
      <c r="L259">
        <v>65.09375</v>
      </c>
      <c r="M259">
        <v>37.895352600000002</v>
      </c>
      <c r="N259">
        <v>2.2882677779999998</v>
      </c>
      <c r="O259">
        <v>2.2111774</v>
      </c>
      <c r="P259">
        <v>83.757575759999995</v>
      </c>
      <c r="Q259">
        <v>22.60997987</v>
      </c>
      <c r="R259">
        <v>0.72884000000000004</v>
      </c>
      <c r="S259">
        <v>0.21301339999999999</v>
      </c>
      <c r="T259">
        <v>-18.663825760000002</v>
      </c>
      <c r="U259">
        <v>18.663825760000002</v>
      </c>
      <c r="V259">
        <v>15.285372730000001</v>
      </c>
      <c r="W259">
        <v>15.285372730000001</v>
      </c>
      <c r="X259">
        <v>1.5594277780000001</v>
      </c>
      <c r="Y259">
        <v>1.5594277780000001</v>
      </c>
      <c r="Z259">
        <v>1.9981640000000001</v>
      </c>
      <c r="AA259">
        <v>1.9981640000000001</v>
      </c>
    </row>
    <row r="260" spans="1:27" x14ac:dyDescent="0.25">
      <c r="A260" t="s">
        <v>20</v>
      </c>
      <c r="B260" t="s">
        <v>917</v>
      </c>
      <c r="C260">
        <v>15</v>
      </c>
      <c r="D260" t="s">
        <v>21</v>
      </c>
      <c r="E260" t="s">
        <v>94</v>
      </c>
      <c r="F260" t="s">
        <v>102</v>
      </c>
      <c r="G260" t="s">
        <v>121</v>
      </c>
      <c r="H260" t="s">
        <v>246</v>
      </c>
      <c r="J260">
        <v>0</v>
      </c>
      <c r="K260">
        <v>1</v>
      </c>
      <c r="L260">
        <v>84.740740740000007</v>
      </c>
      <c r="M260">
        <v>29.167014049999999</v>
      </c>
      <c r="N260">
        <v>1.1169849999999999</v>
      </c>
      <c r="O260">
        <v>1.1571499000000001</v>
      </c>
      <c r="P260">
        <v>120.25</v>
      </c>
      <c r="Q260">
        <v>30.670450110000001</v>
      </c>
      <c r="R260">
        <v>0.91037498500000003</v>
      </c>
      <c r="S260" t="s">
        <v>114</v>
      </c>
      <c r="T260">
        <v>-35.50925926</v>
      </c>
      <c r="U260">
        <v>35.50925926</v>
      </c>
      <c r="V260">
        <v>-1.5034360600000001</v>
      </c>
      <c r="W260">
        <v>1.5034360600000001</v>
      </c>
      <c r="X260">
        <v>0.20661001500000001</v>
      </c>
      <c r="Y260">
        <v>0.20661001500000001</v>
      </c>
      <c r="Z260" t="s">
        <v>114</v>
      </c>
      <c r="AA260" t="s">
        <v>114</v>
      </c>
    </row>
    <row r="261" spans="1:27" x14ac:dyDescent="0.25">
      <c r="A261" t="s">
        <v>20</v>
      </c>
      <c r="B261" t="s">
        <v>918</v>
      </c>
      <c r="C261">
        <v>15</v>
      </c>
      <c r="D261" t="s">
        <v>21</v>
      </c>
      <c r="E261" t="s">
        <v>94</v>
      </c>
      <c r="F261" t="s">
        <v>113</v>
      </c>
      <c r="G261" t="s">
        <v>113</v>
      </c>
      <c r="H261" t="s">
        <v>113</v>
      </c>
      <c r="J261">
        <v>0</v>
      </c>
      <c r="K261">
        <v>1</v>
      </c>
      <c r="L261">
        <v>83.757575759999995</v>
      </c>
      <c r="M261">
        <v>22.60997987</v>
      </c>
      <c r="N261">
        <v>0.72884000000000004</v>
      </c>
      <c r="O261">
        <v>0.21301339999999999</v>
      </c>
      <c r="P261">
        <v>83.757575759999995</v>
      </c>
      <c r="Q261">
        <v>22.60997987</v>
      </c>
      <c r="R261">
        <v>0.72884000000000004</v>
      </c>
      <c r="S261">
        <v>0.21301339999999999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</row>
    <row r="262" spans="1:27" x14ac:dyDescent="0.25">
      <c r="A262" t="s">
        <v>20</v>
      </c>
      <c r="B262" t="s">
        <v>919</v>
      </c>
      <c r="C262">
        <v>15</v>
      </c>
      <c r="D262" t="s">
        <v>21</v>
      </c>
      <c r="E262" t="s">
        <v>94</v>
      </c>
      <c r="F262" t="s">
        <v>110</v>
      </c>
      <c r="G262" t="s">
        <v>121</v>
      </c>
      <c r="H262" t="s">
        <v>113</v>
      </c>
      <c r="J262">
        <v>0</v>
      </c>
      <c r="K262">
        <v>2</v>
      </c>
      <c r="L262">
        <v>73.260869569999997</v>
      </c>
      <c r="M262">
        <v>34.453830549999999</v>
      </c>
      <c r="N262">
        <v>1.058333333</v>
      </c>
      <c r="O262">
        <v>0.90897070000000002</v>
      </c>
      <c r="P262">
        <v>83.757575759999995</v>
      </c>
      <c r="Q262">
        <v>22.60997987</v>
      </c>
      <c r="R262">
        <v>0.72884000000000004</v>
      </c>
      <c r="S262">
        <v>0.21301339999999999</v>
      </c>
      <c r="T262">
        <v>-10.496706189999999</v>
      </c>
      <c r="U262">
        <v>10.496706189999999</v>
      </c>
      <c r="V262">
        <v>11.843850679999999</v>
      </c>
      <c r="W262">
        <v>11.843850679999999</v>
      </c>
      <c r="X262">
        <v>0.329493333</v>
      </c>
      <c r="Y262">
        <v>0.329493333</v>
      </c>
      <c r="Z262">
        <v>0.6959573</v>
      </c>
      <c r="AA262">
        <v>0.6959573</v>
      </c>
    </row>
    <row r="263" spans="1:27" x14ac:dyDescent="0.25">
      <c r="A263" t="s">
        <v>20</v>
      </c>
      <c r="B263" t="s">
        <v>919</v>
      </c>
      <c r="C263">
        <v>15</v>
      </c>
      <c r="D263" t="s">
        <v>21</v>
      </c>
      <c r="E263" t="s">
        <v>94</v>
      </c>
      <c r="F263" t="s">
        <v>110</v>
      </c>
      <c r="G263" t="s">
        <v>121</v>
      </c>
      <c r="H263" t="s">
        <v>113</v>
      </c>
      <c r="J263">
        <v>0</v>
      </c>
      <c r="K263">
        <v>2</v>
      </c>
      <c r="L263">
        <v>73.260869569999997</v>
      </c>
      <c r="M263">
        <v>34.453830549999999</v>
      </c>
      <c r="N263">
        <v>1.058333333</v>
      </c>
      <c r="O263">
        <v>0.90897070000000002</v>
      </c>
      <c r="P263">
        <v>83.757575759999995</v>
      </c>
      <c r="Q263">
        <v>22.60997987</v>
      </c>
      <c r="R263">
        <v>0.72884000000000004</v>
      </c>
      <c r="S263">
        <v>0.21301339999999999</v>
      </c>
      <c r="T263">
        <v>-10.496706189999999</v>
      </c>
      <c r="U263">
        <v>10.496706189999999</v>
      </c>
      <c r="V263">
        <v>11.843850679999999</v>
      </c>
      <c r="W263">
        <v>11.843850679999999</v>
      </c>
      <c r="X263">
        <v>0.329493333</v>
      </c>
      <c r="Y263">
        <v>0.329493333</v>
      </c>
      <c r="Z263">
        <v>0.6959573</v>
      </c>
      <c r="AA263">
        <v>0.6959573</v>
      </c>
    </row>
    <row r="264" spans="1:27" x14ac:dyDescent="0.25">
      <c r="A264" t="s">
        <v>20</v>
      </c>
      <c r="B264" t="s">
        <v>919</v>
      </c>
      <c r="C264">
        <v>16</v>
      </c>
      <c r="D264" t="s">
        <v>21</v>
      </c>
      <c r="E264" t="s">
        <v>94</v>
      </c>
      <c r="F264" t="s">
        <v>110</v>
      </c>
      <c r="G264" t="s">
        <v>121</v>
      </c>
      <c r="H264" t="s">
        <v>102</v>
      </c>
      <c r="J264">
        <v>0</v>
      </c>
      <c r="K264">
        <v>1</v>
      </c>
      <c r="L264">
        <v>73.260869569999997</v>
      </c>
      <c r="M264">
        <v>34.453830549999999</v>
      </c>
      <c r="N264">
        <v>1.058333333</v>
      </c>
      <c r="O264">
        <v>0.90897070000000002</v>
      </c>
      <c r="P264">
        <v>84.740740740000007</v>
      </c>
      <c r="Q264">
        <v>29.167014049999999</v>
      </c>
      <c r="R264">
        <v>1.1169849999999999</v>
      </c>
      <c r="S264">
        <v>1.1571499000000001</v>
      </c>
      <c r="T264">
        <v>-11.479871169999999</v>
      </c>
      <c r="U264">
        <v>11.479871169999999</v>
      </c>
      <c r="V264">
        <v>5.2868164999999996</v>
      </c>
      <c r="W264">
        <v>5.2868164999999996</v>
      </c>
      <c r="X264">
        <v>-5.8651666999999998E-2</v>
      </c>
      <c r="Y264">
        <v>5.8651666999999998E-2</v>
      </c>
      <c r="Z264">
        <v>-0.24817920000000004</v>
      </c>
      <c r="AA264">
        <v>0.24817920000000004</v>
      </c>
    </row>
    <row r="265" spans="1:27" x14ac:dyDescent="0.25">
      <c r="A265" t="s">
        <v>20</v>
      </c>
      <c r="B265" t="s">
        <v>920</v>
      </c>
      <c r="C265">
        <v>15</v>
      </c>
      <c r="D265" t="s">
        <v>21</v>
      </c>
      <c r="E265" t="s">
        <v>94</v>
      </c>
      <c r="F265" t="s">
        <v>111</v>
      </c>
      <c r="G265" t="s">
        <v>121</v>
      </c>
      <c r="H265" t="s">
        <v>110</v>
      </c>
      <c r="J265">
        <v>0</v>
      </c>
      <c r="K265">
        <v>1</v>
      </c>
      <c r="L265">
        <v>94.97142857</v>
      </c>
      <c r="M265">
        <v>24.31591813</v>
      </c>
      <c r="N265">
        <v>0.122951111</v>
      </c>
      <c r="O265">
        <v>0.39050790000000002</v>
      </c>
      <c r="P265">
        <v>73.260869569999997</v>
      </c>
      <c r="Q265">
        <v>34.453830549999999</v>
      </c>
      <c r="R265">
        <v>1.058333333</v>
      </c>
      <c r="S265">
        <v>0.90897070000000002</v>
      </c>
      <c r="T265">
        <v>21.710559</v>
      </c>
      <c r="U265">
        <v>21.710559</v>
      </c>
      <c r="V265">
        <v>-10.137912419999999</v>
      </c>
      <c r="W265">
        <v>10.137912419999999</v>
      </c>
      <c r="X265">
        <v>-0.93538222199999999</v>
      </c>
      <c r="Y265">
        <v>0.93538222199999999</v>
      </c>
      <c r="Z265">
        <v>-0.5184628</v>
      </c>
      <c r="AA265">
        <v>0.5184628</v>
      </c>
    </row>
    <row r="266" spans="1:27" x14ac:dyDescent="0.25">
      <c r="A266" t="s">
        <v>22</v>
      </c>
      <c r="B266" t="s">
        <v>921</v>
      </c>
      <c r="C266">
        <v>15</v>
      </c>
      <c r="D266" t="s">
        <v>23</v>
      </c>
      <c r="E266" t="s">
        <v>95</v>
      </c>
      <c r="F266" t="s">
        <v>102</v>
      </c>
      <c r="G266" t="s">
        <v>121</v>
      </c>
      <c r="H266" t="s">
        <v>236</v>
      </c>
      <c r="J266">
        <v>0</v>
      </c>
      <c r="K266">
        <v>1</v>
      </c>
      <c r="L266">
        <v>84.740740740000007</v>
      </c>
      <c r="M266">
        <v>29.167014049999999</v>
      </c>
      <c r="N266">
        <v>1.1169849999999999</v>
      </c>
      <c r="O266">
        <v>1.1571499000000001</v>
      </c>
      <c r="P266">
        <v>113.33333330000001</v>
      </c>
      <c r="Q266">
        <v>26.41632581</v>
      </c>
      <c r="R266">
        <v>1.6844570160000001</v>
      </c>
      <c r="S266">
        <v>8.9285710000000004E-2</v>
      </c>
      <c r="T266">
        <v>-28.59259256</v>
      </c>
      <c r="U266">
        <v>28.59259256</v>
      </c>
      <c r="V266">
        <v>2.7506882400000001</v>
      </c>
      <c r="W266">
        <v>2.7506882400000001</v>
      </c>
      <c r="X266">
        <v>-0.56747201599999997</v>
      </c>
      <c r="Y266">
        <v>0.56747201599999997</v>
      </c>
      <c r="Z266">
        <v>1.0678641900000001</v>
      </c>
      <c r="AA266">
        <v>1.0678641900000001</v>
      </c>
    </row>
    <row r="267" spans="1:27" x14ac:dyDescent="0.25">
      <c r="A267" t="s">
        <v>22</v>
      </c>
      <c r="B267" t="s">
        <v>922</v>
      </c>
      <c r="C267">
        <v>15</v>
      </c>
      <c r="D267" t="s">
        <v>23</v>
      </c>
      <c r="E267" t="s">
        <v>95</v>
      </c>
      <c r="F267" t="s">
        <v>105</v>
      </c>
      <c r="G267" t="s">
        <v>121</v>
      </c>
      <c r="H267" t="s">
        <v>113</v>
      </c>
      <c r="J267">
        <v>0</v>
      </c>
      <c r="K267">
        <v>4</v>
      </c>
      <c r="L267">
        <v>67.5</v>
      </c>
      <c r="M267">
        <v>47.937235809999997</v>
      </c>
      <c r="N267">
        <v>0.41599678000000001</v>
      </c>
      <c r="O267">
        <v>2.0950346999999998</v>
      </c>
      <c r="P267">
        <v>83.757575759999995</v>
      </c>
      <c r="Q267">
        <v>22.60997987</v>
      </c>
      <c r="R267">
        <v>0.72884000000000004</v>
      </c>
      <c r="S267">
        <v>0.21301339999999999</v>
      </c>
      <c r="T267">
        <v>-16.257575760000002</v>
      </c>
      <c r="U267">
        <v>16.257575760000002</v>
      </c>
      <c r="V267">
        <v>25.327255940000001</v>
      </c>
      <c r="W267">
        <v>25.327255940000001</v>
      </c>
      <c r="X267">
        <v>-0.31284321999999998</v>
      </c>
      <c r="Y267">
        <v>0.31284321999999998</v>
      </c>
      <c r="Z267">
        <v>1.8820212999999999</v>
      </c>
      <c r="AA267">
        <v>1.8820212999999999</v>
      </c>
    </row>
    <row r="268" spans="1:27" x14ac:dyDescent="0.25">
      <c r="A268" t="s">
        <v>22</v>
      </c>
      <c r="B268" t="s">
        <v>922</v>
      </c>
      <c r="C268">
        <v>15</v>
      </c>
      <c r="D268" t="s">
        <v>23</v>
      </c>
      <c r="E268" t="s">
        <v>95</v>
      </c>
      <c r="F268" t="s">
        <v>105</v>
      </c>
      <c r="G268" t="s">
        <v>121</v>
      </c>
      <c r="H268" t="s">
        <v>113</v>
      </c>
      <c r="J268">
        <v>0</v>
      </c>
      <c r="K268">
        <v>4</v>
      </c>
      <c r="L268">
        <v>67.5</v>
      </c>
      <c r="M268">
        <v>47.937235809999997</v>
      </c>
      <c r="N268">
        <v>0.41599678000000001</v>
      </c>
      <c r="O268">
        <v>2.0950346999999998</v>
      </c>
      <c r="P268">
        <v>83.757575759999995</v>
      </c>
      <c r="Q268">
        <v>22.60997987</v>
      </c>
      <c r="R268">
        <v>0.72884000000000004</v>
      </c>
      <c r="S268">
        <v>0.21301339999999999</v>
      </c>
      <c r="T268">
        <v>-16.257575760000002</v>
      </c>
      <c r="U268">
        <v>16.257575760000002</v>
      </c>
      <c r="V268">
        <v>25.327255940000001</v>
      </c>
      <c r="W268">
        <v>25.327255940000001</v>
      </c>
      <c r="X268">
        <v>-0.31284321999999998</v>
      </c>
      <c r="Y268">
        <v>0.31284321999999998</v>
      </c>
      <c r="Z268">
        <v>1.8820212999999999</v>
      </c>
      <c r="AA268">
        <v>1.8820212999999999</v>
      </c>
    </row>
    <row r="269" spans="1:27" x14ac:dyDescent="0.25">
      <c r="A269" t="s">
        <v>22</v>
      </c>
      <c r="B269" t="s">
        <v>922</v>
      </c>
      <c r="C269">
        <v>15</v>
      </c>
      <c r="D269" t="s">
        <v>23</v>
      </c>
      <c r="E269" t="s">
        <v>95</v>
      </c>
      <c r="F269" t="s">
        <v>105</v>
      </c>
      <c r="G269" t="s">
        <v>121</v>
      </c>
      <c r="H269" t="s">
        <v>113</v>
      </c>
      <c r="J269">
        <v>0</v>
      </c>
      <c r="K269">
        <v>4</v>
      </c>
      <c r="L269">
        <v>67.5</v>
      </c>
      <c r="M269">
        <v>47.937235809999997</v>
      </c>
      <c r="N269">
        <v>0.41599678000000001</v>
      </c>
      <c r="O269">
        <v>2.0950346999999998</v>
      </c>
      <c r="P269">
        <v>83.757575759999995</v>
      </c>
      <c r="Q269">
        <v>22.60997987</v>
      </c>
      <c r="R269">
        <v>0.72884000000000004</v>
      </c>
      <c r="S269">
        <v>0.21301339999999999</v>
      </c>
      <c r="T269">
        <v>-16.257575760000002</v>
      </c>
      <c r="U269">
        <v>16.257575760000002</v>
      </c>
      <c r="V269">
        <v>25.327255940000001</v>
      </c>
      <c r="W269">
        <v>25.327255940000001</v>
      </c>
      <c r="X269">
        <v>-0.31284321999999998</v>
      </c>
      <c r="Y269">
        <v>0.31284321999999998</v>
      </c>
      <c r="Z269">
        <v>1.8820212999999999</v>
      </c>
      <c r="AA269">
        <v>1.8820212999999999</v>
      </c>
    </row>
    <row r="270" spans="1:27" x14ac:dyDescent="0.25">
      <c r="A270" t="s">
        <v>22</v>
      </c>
      <c r="B270" t="s">
        <v>922</v>
      </c>
      <c r="C270">
        <v>15</v>
      </c>
      <c r="D270" t="s">
        <v>23</v>
      </c>
      <c r="E270" t="s">
        <v>95</v>
      </c>
      <c r="F270" t="s">
        <v>105</v>
      </c>
      <c r="G270" t="s">
        <v>121</v>
      </c>
      <c r="H270" t="s">
        <v>113</v>
      </c>
      <c r="J270">
        <v>0</v>
      </c>
      <c r="K270">
        <v>4</v>
      </c>
      <c r="L270">
        <v>67.5</v>
      </c>
      <c r="M270">
        <v>47.937235809999997</v>
      </c>
      <c r="N270">
        <v>0.41599678000000001</v>
      </c>
      <c r="O270">
        <v>2.0950346999999998</v>
      </c>
      <c r="P270">
        <v>83.757575759999995</v>
      </c>
      <c r="Q270">
        <v>22.60997987</v>
      </c>
      <c r="R270">
        <v>0.72884000000000004</v>
      </c>
      <c r="S270">
        <v>0.21301339999999999</v>
      </c>
      <c r="T270">
        <v>-16.257575760000002</v>
      </c>
      <c r="U270">
        <v>16.257575760000002</v>
      </c>
      <c r="V270">
        <v>25.327255940000001</v>
      </c>
      <c r="W270">
        <v>25.327255940000001</v>
      </c>
      <c r="X270">
        <v>-0.31284321999999998</v>
      </c>
      <c r="Y270">
        <v>0.31284321999999998</v>
      </c>
      <c r="Z270">
        <v>1.8820212999999999</v>
      </c>
      <c r="AA270">
        <v>1.8820212999999999</v>
      </c>
    </row>
    <row r="271" spans="1:27" x14ac:dyDescent="0.25">
      <c r="A271" t="s">
        <v>22</v>
      </c>
      <c r="B271" t="s">
        <v>922</v>
      </c>
      <c r="C271">
        <v>16</v>
      </c>
      <c r="D271" t="s">
        <v>23</v>
      </c>
      <c r="E271" t="s">
        <v>95</v>
      </c>
      <c r="F271" t="s">
        <v>105</v>
      </c>
      <c r="G271" t="s">
        <v>121</v>
      </c>
      <c r="H271" t="s">
        <v>103</v>
      </c>
      <c r="J271">
        <v>0</v>
      </c>
      <c r="K271">
        <v>1</v>
      </c>
      <c r="L271">
        <v>67.5</v>
      </c>
      <c r="M271">
        <v>47.937235809999997</v>
      </c>
      <c r="N271">
        <v>0.41599678000000001</v>
      </c>
      <c r="O271">
        <v>2.0950346999999998</v>
      </c>
      <c r="P271">
        <v>98.291666669999998</v>
      </c>
      <c r="Q271">
        <v>30.315130790000001</v>
      </c>
      <c r="R271">
        <v>5.0803484000000003E-2</v>
      </c>
      <c r="S271">
        <v>0.42866070000000001</v>
      </c>
      <c r="T271">
        <v>-30.791666670000001</v>
      </c>
      <c r="U271">
        <v>30.791666670000001</v>
      </c>
      <c r="V271">
        <v>17.622105019999999</v>
      </c>
      <c r="W271">
        <v>17.622105019999999</v>
      </c>
      <c r="X271">
        <v>0.365193296</v>
      </c>
      <c r="Y271">
        <v>0.365193296</v>
      </c>
      <c r="Z271">
        <v>1.6663739999999998</v>
      </c>
      <c r="AA271">
        <v>1.6663739999999998</v>
      </c>
    </row>
    <row r="272" spans="1:27" x14ac:dyDescent="0.25">
      <c r="A272" t="s">
        <v>22</v>
      </c>
      <c r="B272" t="s">
        <v>922</v>
      </c>
      <c r="C272">
        <v>17</v>
      </c>
      <c r="D272" t="s">
        <v>23</v>
      </c>
      <c r="E272" t="s">
        <v>95</v>
      </c>
      <c r="F272" t="s">
        <v>105</v>
      </c>
      <c r="G272" t="s">
        <v>121</v>
      </c>
      <c r="H272" t="s">
        <v>234</v>
      </c>
      <c r="J272">
        <v>0</v>
      </c>
      <c r="K272">
        <v>1</v>
      </c>
      <c r="L272">
        <v>67.5</v>
      </c>
      <c r="M272">
        <v>47.937235809999997</v>
      </c>
      <c r="N272">
        <v>0.41599678000000001</v>
      </c>
      <c r="O272">
        <v>2.0950346999999998</v>
      </c>
      <c r="P272">
        <v>89.8125</v>
      </c>
      <c r="Q272">
        <v>34.754706650000003</v>
      </c>
      <c r="R272">
        <v>2.3065078999999999E-2</v>
      </c>
      <c r="S272">
        <v>2.4791666700000001</v>
      </c>
      <c r="T272">
        <v>-22.3125</v>
      </c>
      <c r="U272">
        <v>22.3125</v>
      </c>
      <c r="V272">
        <v>13.18252916</v>
      </c>
      <c r="W272">
        <v>13.18252916</v>
      </c>
      <c r="X272">
        <v>0.39293170100000002</v>
      </c>
      <c r="Y272">
        <v>0.39293170100000002</v>
      </c>
      <c r="Z272">
        <v>-0.38413197000000032</v>
      </c>
      <c r="AA272">
        <v>0.38413197000000032</v>
      </c>
    </row>
    <row r="273" spans="1:27" x14ac:dyDescent="0.25">
      <c r="A273" t="s">
        <v>22</v>
      </c>
      <c r="B273" t="s">
        <v>923</v>
      </c>
      <c r="C273">
        <v>15</v>
      </c>
      <c r="D273" t="s">
        <v>23</v>
      </c>
      <c r="E273" t="s">
        <v>95</v>
      </c>
      <c r="F273" t="s">
        <v>103</v>
      </c>
      <c r="G273" t="s">
        <v>103</v>
      </c>
      <c r="H273" t="s">
        <v>103</v>
      </c>
      <c r="J273">
        <v>0</v>
      </c>
      <c r="K273">
        <v>6</v>
      </c>
      <c r="L273">
        <v>98.291666669999998</v>
      </c>
      <c r="M273">
        <v>30.315130790000001</v>
      </c>
      <c r="N273">
        <v>5.0803484000000003E-2</v>
      </c>
      <c r="O273">
        <v>0.42866070000000001</v>
      </c>
      <c r="P273">
        <v>98.291666669999998</v>
      </c>
      <c r="Q273">
        <v>30.315130790000001</v>
      </c>
      <c r="R273">
        <v>5.0803484000000003E-2</v>
      </c>
      <c r="S273">
        <v>0.42866070000000001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</row>
    <row r="274" spans="1:27" x14ac:dyDescent="0.25">
      <c r="A274" t="s">
        <v>22</v>
      </c>
      <c r="B274" t="s">
        <v>923</v>
      </c>
      <c r="C274">
        <v>15</v>
      </c>
      <c r="D274" t="s">
        <v>23</v>
      </c>
      <c r="E274" t="s">
        <v>95</v>
      </c>
      <c r="F274" t="s">
        <v>103</v>
      </c>
      <c r="G274" t="s">
        <v>103</v>
      </c>
      <c r="H274" t="s">
        <v>103</v>
      </c>
      <c r="J274">
        <v>0</v>
      </c>
      <c r="K274">
        <v>6</v>
      </c>
      <c r="L274">
        <v>98.291666669999998</v>
      </c>
      <c r="M274">
        <v>30.315130790000001</v>
      </c>
      <c r="N274">
        <v>5.0803484000000003E-2</v>
      </c>
      <c r="O274">
        <v>0.42866070000000001</v>
      </c>
      <c r="P274">
        <v>98.291666669999998</v>
      </c>
      <c r="Q274">
        <v>30.315130790000001</v>
      </c>
      <c r="R274">
        <v>5.0803484000000003E-2</v>
      </c>
      <c r="S274">
        <v>0.42866070000000001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</row>
    <row r="275" spans="1:27" x14ac:dyDescent="0.25">
      <c r="A275" t="s">
        <v>22</v>
      </c>
      <c r="B275" t="s">
        <v>923</v>
      </c>
      <c r="C275">
        <v>15</v>
      </c>
      <c r="D275" t="s">
        <v>23</v>
      </c>
      <c r="E275" t="s">
        <v>95</v>
      </c>
      <c r="F275" t="s">
        <v>103</v>
      </c>
      <c r="G275" t="s">
        <v>103</v>
      </c>
      <c r="H275" t="s">
        <v>103</v>
      </c>
      <c r="J275">
        <v>0</v>
      </c>
      <c r="K275">
        <v>6</v>
      </c>
      <c r="L275">
        <v>98.291666669999998</v>
      </c>
      <c r="M275">
        <v>30.315130790000001</v>
      </c>
      <c r="N275">
        <v>5.0803484000000003E-2</v>
      </c>
      <c r="O275">
        <v>0.42866070000000001</v>
      </c>
      <c r="P275">
        <v>98.291666669999998</v>
      </c>
      <c r="Q275">
        <v>30.315130790000001</v>
      </c>
      <c r="R275">
        <v>5.0803484000000003E-2</v>
      </c>
      <c r="S275">
        <v>0.42866070000000001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</row>
    <row r="276" spans="1:27" x14ac:dyDescent="0.25">
      <c r="A276" t="s">
        <v>22</v>
      </c>
      <c r="B276" t="s">
        <v>923</v>
      </c>
      <c r="C276">
        <v>15</v>
      </c>
      <c r="D276" t="s">
        <v>23</v>
      </c>
      <c r="E276" t="s">
        <v>95</v>
      </c>
      <c r="F276" t="s">
        <v>103</v>
      </c>
      <c r="G276" t="s">
        <v>103</v>
      </c>
      <c r="H276" t="s">
        <v>103</v>
      </c>
      <c r="J276">
        <v>0</v>
      </c>
      <c r="K276">
        <v>6</v>
      </c>
      <c r="L276">
        <v>98.291666669999998</v>
      </c>
      <c r="M276">
        <v>30.315130790000001</v>
      </c>
      <c r="N276">
        <v>5.0803484000000003E-2</v>
      </c>
      <c r="O276">
        <v>0.42866070000000001</v>
      </c>
      <c r="P276">
        <v>98.291666669999998</v>
      </c>
      <c r="Q276">
        <v>30.315130790000001</v>
      </c>
      <c r="R276">
        <v>5.0803484000000003E-2</v>
      </c>
      <c r="S276">
        <v>0.42866070000000001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</row>
    <row r="277" spans="1:27" x14ac:dyDescent="0.25">
      <c r="A277" t="s">
        <v>22</v>
      </c>
      <c r="B277" t="s">
        <v>923</v>
      </c>
      <c r="C277">
        <v>15</v>
      </c>
      <c r="D277" t="s">
        <v>23</v>
      </c>
      <c r="E277" t="s">
        <v>95</v>
      </c>
      <c r="F277" t="s">
        <v>103</v>
      </c>
      <c r="G277" t="s">
        <v>103</v>
      </c>
      <c r="H277" t="s">
        <v>103</v>
      </c>
      <c r="J277">
        <v>0</v>
      </c>
      <c r="K277">
        <v>6</v>
      </c>
      <c r="L277">
        <v>98.291666669999998</v>
      </c>
      <c r="M277">
        <v>30.315130790000001</v>
      </c>
      <c r="N277">
        <v>5.0803484000000003E-2</v>
      </c>
      <c r="O277">
        <v>0.42866070000000001</v>
      </c>
      <c r="P277">
        <v>98.291666669999998</v>
      </c>
      <c r="Q277">
        <v>30.315130790000001</v>
      </c>
      <c r="R277">
        <v>5.0803484000000003E-2</v>
      </c>
      <c r="S277">
        <v>0.42866070000000001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</row>
    <row r="278" spans="1:27" x14ac:dyDescent="0.25">
      <c r="A278" t="s">
        <v>22</v>
      </c>
      <c r="B278" t="s">
        <v>923</v>
      </c>
      <c r="C278">
        <v>15</v>
      </c>
      <c r="D278" t="s">
        <v>23</v>
      </c>
      <c r="E278" t="s">
        <v>95</v>
      </c>
      <c r="F278" t="s">
        <v>103</v>
      </c>
      <c r="G278" t="s">
        <v>103</v>
      </c>
      <c r="H278" t="s">
        <v>103</v>
      </c>
      <c r="J278">
        <v>0</v>
      </c>
      <c r="K278">
        <v>6</v>
      </c>
      <c r="L278">
        <v>98.291666669999998</v>
      </c>
      <c r="M278">
        <v>30.315130790000001</v>
      </c>
      <c r="N278">
        <v>5.0803484000000003E-2</v>
      </c>
      <c r="O278">
        <v>0.42866070000000001</v>
      </c>
      <c r="P278">
        <v>98.291666669999998</v>
      </c>
      <c r="Q278">
        <v>30.315130790000001</v>
      </c>
      <c r="R278">
        <v>5.0803484000000003E-2</v>
      </c>
      <c r="S278">
        <v>0.42866070000000001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</row>
    <row r="279" spans="1:27" x14ac:dyDescent="0.25">
      <c r="A279" t="s">
        <v>22</v>
      </c>
      <c r="B279" t="s">
        <v>923</v>
      </c>
      <c r="C279">
        <v>16</v>
      </c>
      <c r="D279" t="s">
        <v>23</v>
      </c>
      <c r="E279" t="s">
        <v>95</v>
      </c>
      <c r="F279" t="s">
        <v>103</v>
      </c>
      <c r="G279" t="s">
        <v>103</v>
      </c>
      <c r="H279" t="s">
        <v>248</v>
      </c>
      <c r="J279">
        <v>0</v>
      </c>
      <c r="K279">
        <v>4</v>
      </c>
      <c r="L279">
        <v>98.291666669999998</v>
      </c>
      <c r="M279">
        <v>30.315130790000001</v>
      </c>
      <c r="N279">
        <v>5.0803484000000003E-2</v>
      </c>
      <c r="O279">
        <v>0.42866070000000001</v>
      </c>
      <c r="P279">
        <v>83.92307692</v>
      </c>
      <c r="Q279">
        <v>44.319135699999997</v>
      </c>
      <c r="R279">
        <v>5.9548609999999997E-3</v>
      </c>
      <c r="S279">
        <v>0.18017928</v>
      </c>
      <c r="T279">
        <v>14.36858975</v>
      </c>
      <c r="U279">
        <v>14.36858975</v>
      </c>
      <c r="V279">
        <v>-14.004004910000001</v>
      </c>
      <c r="W279">
        <v>14.004004910000001</v>
      </c>
      <c r="X279">
        <v>4.4848622999999997E-2</v>
      </c>
      <c r="Y279">
        <v>4.4848622999999997E-2</v>
      </c>
      <c r="Z279">
        <v>0.24848142000000001</v>
      </c>
      <c r="AA279">
        <v>0.24848142000000001</v>
      </c>
    </row>
    <row r="280" spans="1:27" x14ac:dyDescent="0.25">
      <c r="A280" t="s">
        <v>22</v>
      </c>
      <c r="B280" t="s">
        <v>923</v>
      </c>
      <c r="C280">
        <v>16</v>
      </c>
      <c r="D280" t="s">
        <v>23</v>
      </c>
      <c r="E280" t="s">
        <v>95</v>
      </c>
      <c r="F280" t="s">
        <v>103</v>
      </c>
      <c r="G280" t="s">
        <v>103</v>
      </c>
      <c r="H280" t="s">
        <v>248</v>
      </c>
      <c r="J280">
        <v>0</v>
      </c>
      <c r="K280">
        <v>4</v>
      </c>
      <c r="L280">
        <v>98.291666669999998</v>
      </c>
      <c r="M280">
        <v>30.315130790000001</v>
      </c>
      <c r="N280">
        <v>5.0803484000000003E-2</v>
      </c>
      <c r="O280">
        <v>0.42866070000000001</v>
      </c>
      <c r="P280">
        <v>83.92307692</v>
      </c>
      <c r="Q280">
        <v>44.319135699999997</v>
      </c>
      <c r="R280">
        <v>5.9548609999999997E-3</v>
      </c>
      <c r="S280">
        <v>0.18017928</v>
      </c>
      <c r="T280">
        <v>14.36858975</v>
      </c>
      <c r="U280">
        <v>14.36858975</v>
      </c>
      <c r="V280">
        <v>-14.004004910000001</v>
      </c>
      <c r="W280">
        <v>14.004004910000001</v>
      </c>
      <c r="X280">
        <v>4.4848622999999997E-2</v>
      </c>
      <c r="Y280">
        <v>4.4848622999999997E-2</v>
      </c>
      <c r="Z280">
        <v>0.24848142000000001</v>
      </c>
      <c r="AA280">
        <v>0.24848142000000001</v>
      </c>
    </row>
    <row r="281" spans="1:27" x14ac:dyDescent="0.25">
      <c r="A281" t="s">
        <v>22</v>
      </c>
      <c r="B281" t="s">
        <v>923</v>
      </c>
      <c r="C281">
        <v>16</v>
      </c>
      <c r="D281" t="s">
        <v>23</v>
      </c>
      <c r="E281" t="s">
        <v>95</v>
      </c>
      <c r="F281" t="s">
        <v>103</v>
      </c>
      <c r="G281" t="s">
        <v>103</v>
      </c>
      <c r="H281" t="s">
        <v>248</v>
      </c>
      <c r="J281">
        <v>0</v>
      </c>
      <c r="K281">
        <v>4</v>
      </c>
      <c r="L281">
        <v>98.291666669999998</v>
      </c>
      <c r="M281">
        <v>30.315130790000001</v>
      </c>
      <c r="N281">
        <v>5.0803484000000003E-2</v>
      </c>
      <c r="O281">
        <v>0.42866070000000001</v>
      </c>
      <c r="P281">
        <v>83.92307692</v>
      </c>
      <c r="Q281">
        <v>44.319135699999997</v>
      </c>
      <c r="R281">
        <v>5.9548609999999997E-3</v>
      </c>
      <c r="S281">
        <v>0.18017928</v>
      </c>
      <c r="T281">
        <v>14.36858975</v>
      </c>
      <c r="U281">
        <v>14.36858975</v>
      </c>
      <c r="V281">
        <v>-14.004004910000001</v>
      </c>
      <c r="W281">
        <v>14.004004910000001</v>
      </c>
      <c r="X281">
        <v>4.4848622999999997E-2</v>
      </c>
      <c r="Y281">
        <v>4.4848622999999997E-2</v>
      </c>
      <c r="Z281">
        <v>0.24848142000000001</v>
      </c>
      <c r="AA281">
        <v>0.24848142000000001</v>
      </c>
    </row>
    <row r="282" spans="1:27" x14ac:dyDescent="0.25">
      <c r="A282" t="s">
        <v>22</v>
      </c>
      <c r="B282" t="s">
        <v>923</v>
      </c>
      <c r="C282">
        <v>16</v>
      </c>
      <c r="D282" t="s">
        <v>23</v>
      </c>
      <c r="E282" t="s">
        <v>95</v>
      </c>
      <c r="F282" t="s">
        <v>103</v>
      </c>
      <c r="G282" t="s">
        <v>103</v>
      </c>
      <c r="H282" t="s">
        <v>248</v>
      </c>
      <c r="J282">
        <v>0</v>
      </c>
      <c r="K282">
        <v>4</v>
      </c>
      <c r="L282">
        <v>98.291666669999998</v>
      </c>
      <c r="M282">
        <v>30.315130790000001</v>
      </c>
      <c r="N282">
        <v>5.0803484000000003E-2</v>
      </c>
      <c r="O282">
        <v>0.42866070000000001</v>
      </c>
      <c r="P282">
        <v>83.92307692</v>
      </c>
      <c r="Q282">
        <v>44.319135699999997</v>
      </c>
      <c r="R282">
        <v>5.9548609999999997E-3</v>
      </c>
      <c r="S282">
        <v>0.18017928</v>
      </c>
      <c r="T282">
        <v>14.36858975</v>
      </c>
      <c r="U282">
        <v>14.36858975</v>
      </c>
      <c r="V282">
        <v>-14.004004910000001</v>
      </c>
      <c r="W282">
        <v>14.004004910000001</v>
      </c>
      <c r="X282">
        <v>4.4848622999999997E-2</v>
      </c>
      <c r="Y282">
        <v>4.4848622999999997E-2</v>
      </c>
      <c r="Z282">
        <v>0.24848142000000001</v>
      </c>
      <c r="AA282">
        <v>0.24848142000000001</v>
      </c>
    </row>
    <row r="283" spans="1:27" x14ac:dyDescent="0.25">
      <c r="A283" t="s">
        <v>22</v>
      </c>
      <c r="B283" t="s">
        <v>924</v>
      </c>
      <c r="C283">
        <v>15</v>
      </c>
      <c r="D283" t="s">
        <v>23</v>
      </c>
      <c r="E283" t="s">
        <v>95</v>
      </c>
      <c r="F283" t="s">
        <v>111</v>
      </c>
      <c r="G283" t="s">
        <v>121</v>
      </c>
      <c r="H283" t="s">
        <v>112</v>
      </c>
      <c r="J283">
        <v>1</v>
      </c>
      <c r="K283">
        <v>1</v>
      </c>
      <c r="L283">
        <v>94.97142857</v>
      </c>
      <c r="M283">
        <v>24.31591813</v>
      </c>
      <c r="N283">
        <v>0.122951111</v>
      </c>
      <c r="O283">
        <v>0.39050790000000002</v>
      </c>
      <c r="P283">
        <v>65.09375</v>
      </c>
      <c r="Q283">
        <v>37.895352600000002</v>
      </c>
      <c r="R283">
        <v>2.2882677779999998</v>
      </c>
      <c r="S283">
        <v>2.2111774</v>
      </c>
      <c r="T283">
        <v>29.87767857</v>
      </c>
      <c r="U283">
        <v>29.87767857</v>
      </c>
      <c r="V283">
        <v>-13.579434470000001</v>
      </c>
      <c r="W283">
        <v>13.579434470000001</v>
      </c>
      <c r="X283">
        <v>-2.1653166669999999</v>
      </c>
      <c r="Y283">
        <v>2.1653166669999999</v>
      </c>
      <c r="Z283">
        <v>-1.8206694999999999</v>
      </c>
      <c r="AA283">
        <v>1.8206694999999999</v>
      </c>
    </row>
    <row r="284" spans="1:27" x14ac:dyDescent="0.25">
      <c r="A284" t="s">
        <v>22</v>
      </c>
      <c r="B284" t="s">
        <v>924</v>
      </c>
      <c r="C284">
        <v>16</v>
      </c>
      <c r="D284" t="s">
        <v>23</v>
      </c>
      <c r="E284" t="s">
        <v>95</v>
      </c>
      <c r="F284" t="s">
        <v>111</v>
      </c>
      <c r="G284" t="s">
        <v>121</v>
      </c>
      <c r="H284" t="s">
        <v>239</v>
      </c>
      <c r="J284">
        <v>1</v>
      </c>
      <c r="K284">
        <v>1</v>
      </c>
      <c r="L284">
        <v>94.97142857</v>
      </c>
      <c r="M284">
        <v>24.31591813</v>
      </c>
      <c r="N284">
        <v>0.122951111</v>
      </c>
      <c r="O284">
        <v>0.39050790000000002</v>
      </c>
      <c r="P284">
        <v>100.45454549999999</v>
      </c>
      <c r="Q284">
        <v>26.754810689999999</v>
      </c>
      <c r="R284">
        <v>0.75829999999999997</v>
      </c>
      <c r="S284">
        <v>0.40907861000000001</v>
      </c>
      <c r="T284">
        <v>-5.4831169299999996</v>
      </c>
      <c r="U284">
        <v>5.4831169299999996</v>
      </c>
      <c r="V284">
        <v>-2.4388925600000002</v>
      </c>
      <c r="W284">
        <v>2.4388925600000002</v>
      </c>
      <c r="X284">
        <v>-0.63534888899999997</v>
      </c>
      <c r="Y284">
        <v>0.63534888899999997</v>
      </c>
      <c r="Z284">
        <v>-1.857070999999999E-2</v>
      </c>
      <c r="AA284">
        <v>1.857070999999999E-2</v>
      </c>
    </row>
    <row r="285" spans="1:27" x14ac:dyDescent="0.25">
      <c r="A285" t="s">
        <v>22</v>
      </c>
      <c r="B285" t="s">
        <v>924</v>
      </c>
      <c r="C285">
        <v>17</v>
      </c>
      <c r="D285" t="s">
        <v>23</v>
      </c>
      <c r="E285" t="s">
        <v>95</v>
      </c>
      <c r="F285" t="s">
        <v>111</v>
      </c>
      <c r="G285" t="s">
        <v>121</v>
      </c>
      <c r="H285" t="s">
        <v>248</v>
      </c>
      <c r="J285">
        <v>1</v>
      </c>
      <c r="K285">
        <v>5</v>
      </c>
      <c r="L285">
        <v>94.97142857</v>
      </c>
      <c r="M285">
        <v>24.31591813</v>
      </c>
      <c r="N285">
        <v>0.122951111</v>
      </c>
      <c r="O285">
        <v>0.39050790000000002</v>
      </c>
      <c r="P285">
        <v>83.92307692</v>
      </c>
      <c r="Q285">
        <v>44.319135699999997</v>
      </c>
      <c r="R285">
        <v>5.9548609999999997E-3</v>
      </c>
      <c r="S285">
        <v>0.18017928</v>
      </c>
      <c r="T285">
        <v>11.048351650000001</v>
      </c>
      <c r="U285">
        <v>11.048351650000001</v>
      </c>
      <c r="V285">
        <v>-20.00321757</v>
      </c>
      <c r="W285">
        <v>20.00321757</v>
      </c>
      <c r="X285">
        <v>0.11699625</v>
      </c>
      <c r="Y285">
        <v>0.11699625</v>
      </c>
      <c r="Z285">
        <v>0.21032862000000002</v>
      </c>
      <c r="AA285">
        <v>0.21032862000000002</v>
      </c>
    </row>
    <row r="286" spans="1:27" x14ac:dyDescent="0.25">
      <c r="A286" t="s">
        <v>22</v>
      </c>
      <c r="B286" t="s">
        <v>924</v>
      </c>
      <c r="C286">
        <v>17</v>
      </c>
      <c r="D286" t="s">
        <v>23</v>
      </c>
      <c r="E286" t="s">
        <v>95</v>
      </c>
      <c r="F286" t="s">
        <v>111</v>
      </c>
      <c r="G286" t="s">
        <v>121</v>
      </c>
      <c r="H286" t="s">
        <v>248</v>
      </c>
      <c r="J286">
        <v>1</v>
      </c>
      <c r="K286">
        <v>5</v>
      </c>
      <c r="L286">
        <v>94.97142857</v>
      </c>
      <c r="M286">
        <v>24.31591813</v>
      </c>
      <c r="N286">
        <v>0.122951111</v>
      </c>
      <c r="O286">
        <v>0.39050790000000002</v>
      </c>
      <c r="P286">
        <v>83.92307692</v>
      </c>
      <c r="Q286">
        <v>44.319135699999997</v>
      </c>
      <c r="R286">
        <v>5.9548609999999997E-3</v>
      </c>
      <c r="S286">
        <v>0.18017928</v>
      </c>
      <c r="T286">
        <v>11.048351650000001</v>
      </c>
      <c r="U286">
        <v>11.048351650000001</v>
      </c>
      <c r="V286">
        <v>-20.00321757</v>
      </c>
      <c r="W286">
        <v>20.00321757</v>
      </c>
      <c r="X286">
        <v>0.11699625</v>
      </c>
      <c r="Y286">
        <v>0.11699625</v>
      </c>
      <c r="Z286">
        <v>0.21032862000000002</v>
      </c>
      <c r="AA286">
        <v>0.21032862000000002</v>
      </c>
    </row>
    <row r="287" spans="1:27" x14ac:dyDescent="0.25">
      <c r="A287" t="s">
        <v>22</v>
      </c>
      <c r="B287" t="s">
        <v>924</v>
      </c>
      <c r="C287">
        <v>17</v>
      </c>
      <c r="D287" t="s">
        <v>23</v>
      </c>
      <c r="E287" t="s">
        <v>95</v>
      </c>
      <c r="F287" t="s">
        <v>111</v>
      </c>
      <c r="G287" t="s">
        <v>121</v>
      </c>
      <c r="H287" t="s">
        <v>248</v>
      </c>
      <c r="J287">
        <v>1</v>
      </c>
      <c r="K287">
        <v>5</v>
      </c>
      <c r="L287">
        <v>94.97142857</v>
      </c>
      <c r="M287">
        <v>24.31591813</v>
      </c>
      <c r="N287">
        <v>0.122951111</v>
      </c>
      <c r="O287">
        <v>0.39050790000000002</v>
      </c>
      <c r="P287">
        <v>83.92307692</v>
      </c>
      <c r="Q287">
        <v>44.319135699999997</v>
      </c>
      <c r="R287">
        <v>5.9548609999999997E-3</v>
      </c>
      <c r="S287">
        <v>0.18017928</v>
      </c>
      <c r="T287">
        <v>11.048351650000001</v>
      </c>
      <c r="U287">
        <v>11.048351650000001</v>
      </c>
      <c r="V287">
        <v>-20.00321757</v>
      </c>
      <c r="W287">
        <v>20.00321757</v>
      </c>
      <c r="X287">
        <v>0.11699625</v>
      </c>
      <c r="Y287">
        <v>0.11699625</v>
      </c>
      <c r="Z287">
        <v>0.21032862000000002</v>
      </c>
      <c r="AA287">
        <v>0.21032862000000002</v>
      </c>
    </row>
    <row r="288" spans="1:27" x14ac:dyDescent="0.25">
      <c r="A288" t="s">
        <v>22</v>
      </c>
      <c r="B288" t="s">
        <v>924</v>
      </c>
      <c r="C288">
        <v>17</v>
      </c>
      <c r="D288" t="s">
        <v>23</v>
      </c>
      <c r="E288" t="s">
        <v>95</v>
      </c>
      <c r="F288" t="s">
        <v>111</v>
      </c>
      <c r="G288" t="s">
        <v>121</v>
      </c>
      <c r="H288" t="s">
        <v>248</v>
      </c>
      <c r="J288">
        <v>1</v>
      </c>
      <c r="K288">
        <v>5</v>
      </c>
      <c r="L288">
        <v>94.97142857</v>
      </c>
      <c r="M288">
        <v>24.31591813</v>
      </c>
      <c r="N288">
        <v>0.122951111</v>
      </c>
      <c r="O288">
        <v>0.39050790000000002</v>
      </c>
      <c r="P288">
        <v>83.92307692</v>
      </c>
      <c r="Q288">
        <v>44.319135699999997</v>
      </c>
      <c r="R288">
        <v>5.9548609999999997E-3</v>
      </c>
      <c r="S288">
        <v>0.18017928</v>
      </c>
      <c r="T288">
        <v>11.048351650000001</v>
      </c>
      <c r="U288">
        <v>11.048351650000001</v>
      </c>
      <c r="V288">
        <v>-20.00321757</v>
      </c>
      <c r="W288">
        <v>20.00321757</v>
      </c>
      <c r="X288">
        <v>0.11699625</v>
      </c>
      <c r="Y288">
        <v>0.11699625</v>
      </c>
      <c r="Z288">
        <v>0.21032862000000002</v>
      </c>
      <c r="AA288">
        <v>0.21032862000000002</v>
      </c>
    </row>
    <row r="289" spans="1:27" x14ac:dyDescent="0.25">
      <c r="A289" t="s">
        <v>22</v>
      </c>
      <c r="B289" t="s">
        <v>924</v>
      </c>
      <c r="C289">
        <v>17</v>
      </c>
      <c r="D289" t="s">
        <v>23</v>
      </c>
      <c r="E289" t="s">
        <v>95</v>
      </c>
      <c r="F289" t="s">
        <v>111</v>
      </c>
      <c r="G289" t="s">
        <v>121</v>
      </c>
      <c r="H289" t="s">
        <v>248</v>
      </c>
      <c r="J289">
        <v>1</v>
      </c>
      <c r="K289">
        <v>5</v>
      </c>
      <c r="L289">
        <v>94.97142857</v>
      </c>
      <c r="M289">
        <v>24.31591813</v>
      </c>
      <c r="N289">
        <v>0.122951111</v>
      </c>
      <c r="O289">
        <v>0.39050790000000002</v>
      </c>
      <c r="P289">
        <v>83.92307692</v>
      </c>
      <c r="Q289">
        <v>44.319135699999997</v>
      </c>
      <c r="R289">
        <v>5.9548609999999997E-3</v>
      </c>
      <c r="S289">
        <v>0.18017928</v>
      </c>
      <c r="T289">
        <v>11.048351650000001</v>
      </c>
      <c r="U289">
        <v>11.048351650000001</v>
      </c>
      <c r="V289">
        <v>-20.00321757</v>
      </c>
      <c r="W289">
        <v>20.00321757</v>
      </c>
      <c r="X289">
        <v>0.11699625</v>
      </c>
      <c r="Y289">
        <v>0.11699625</v>
      </c>
      <c r="Z289">
        <v>0.21032862000000002</v>
      </c>
      <c r="AA289">
        <v>0.21032862000000002</v>
      </c>
    </row>
    <row r="290" spans="1:27" x14ac:dyDescent="0.25">
      <c r="A290" t="s">
        <v>22</v>
      </c>
      <c r="B290" t="s">
        <v>925</v>
      </c>
      <c r="C290">
        <v>15</v>
      </c>
      <c r="D290" t="s">
        <v>23</v>
      </c>
      <c r="E290" t="s">
        <v>95</v>
      </c>
      <c r="F290" t="s">
        <v>112</v>
      </c>
      <c r="G290" t="s">
        <v>103</v>
      </c>
      <c r="H290" t="s">
        <v>103</v>
      </c>
      <c r="J290">
        <v>0</v>
      </c>
      <c r="K290">
        <v>3</v>
      </c>
      <c r="L290">
        <v>65.09375</v>
      </c>
      <c r="M290">
        <v>37.895352600000002</v>
      </c>
      <c r="N290">
        <v>2.2882677779999998</v>
      </c>
      <c r="O290">
        <v>2.2111774</v>
      </c>
      <c r="P290">
        <v>98.291666669999998</v>
      </c>
      <c r="Q290">
        <v>30.315130790000001</v>
      </c>
      <c r="R290">
        <v>5.0803484000000003E-2</v>
      </c>
      <c r="S290">
        <v>0.42866070000000001</v>
      </c>
      <c r="T290">
        <v>-33.197916669999998</v>
      </c>
      <c r="U290">
        <v>33.197916669999998</v>
      </c>
      <c r="V290">
        <v>7.5802218100000003</v>
      </c>
      <c r="W290">
        <v>7.5802218100000003</v>
      </c>
      <c r="X290">
        <v>2.237464294</v>
      </c>
      <c r="Y290">
        <v>2.237464294</v>
      </c>
      <c r="Z290">
        <v>1.7825167</v>
      </c>
      <c r="AA290">
        <v>1.7825167</v>
      </c>
    </row>
    <row r="291" spans="1:27" x14ac:dyDescent="0.25">
      <c r="A291" t="s">
        <v>22</v>
      </c>
      <c r="B291" t="s">
        <v>925</v>
      </c>
      <c r="C291">
        <v>15</v>
      </c>
      <c r="D291" t="s">
        <v>23</v>
      </c>
      <c r="E291" t="s">
        <v>95</v>
      </c>
      <c r="F291" t="s">
        <v>112</v>
      </c>
      <c r="G291" t="s">
        <v>103</v>
      </c>
      <c r="H291" t="s">
        <v>103</v>
      </c>
      <c r="J291">
        <v>0</v>
      </c>
      <c r="K291">
        <v>3</v>
      </c>
      <c r="L291">
        <v>65.09375</v>
      </c>
      <c r="M291">
        <v>37.895352600000002</v>
      </c>
      <c r="N291">
        <v>2.2882677779999998</v>
      </c>
      <c r="O291">
        <v>2.2111774</v>
      </c>
      <c r="P291">
        <v>98.291666669999998</v>
      </c>
      <c r="Q291">
        <v>30.315130790000001</v>
      </c>
      <c r="R291">
        <v>5.0803484000000003E-2</v>
      </c>
      <c r="S291">
        <v>0.42866070000000001</v>
      </c>
      <c r="T291">
        <v>-33.197916669999998</v>
      </c>
      <c r="U291">
        <v>33.197916669999998</v>
      </c>
      <c r="V291">
        <v>7.5802218100000003</v>
      </c>
      <c r="W291">
        <v>7.5802218100000003</v>
      </c>
      <c r="X291">
        <v>2.237464294</v>
      </c>
      <c r="Y291">
        <v>2.237464294</v>
      </c>
      <c r="Z291">
        <v>1.7825167</v>
      </c>
      <c r="AA291">
        <v>1.7825167</v>
      </c>
    </row>
    <row r="292" spans="1:27" x14ac:dyDescent="0.25">
      <c r="A292" t="s">
        <v>22</v>
      </c>
      <c r="B292" t="s">
        <v>925</v>
      </c>
      <c r="C292">
        <v>15</v>
      </c>
      <c r="D292" t="s">
        <v>23</v>
      </c>
      <c r="E292" t="s">
        <v>95</v>
      </c>
      <c r="F292" t="s">
        <v>112</v>
      </c>
      <c r="G292" t="s">
        <v>103</v>
      </c>
      <c r="H292" t="s">
        <v>103</v>
      </c>
      <c r="J292">
        <v>0</v>
      </c>
      <c r="K292">
        <v>3</v>
      </c>
      <c r="L292">
        <v>65.09375</v>
      </c>
      <c r="M292">
        <v>37.895352600000002</v>
      </c>
      <c r="N292">
        <v>2.2882677779999998</v>
      </c>
      <c r="O292">
        <v>2.2111774</v>
      </c>
      <c r="P292">
        <v>98.291666669999998</v>
      </c>
      <c r="Q292">
        <v>30.315130790000001</v>
      </c>
      <c r="R292">
        <v>5.0803484000000003E-2</v>
      </c>
      <c r="S292">
        <v>0.42866070000000001</v>
      </c>
      <c r="T292">
        <v>-33.197916669999998</v>
      </c>
      <c r="U292">
        <v>33.197916669999998</v>
      </c>
      <c r="V292">
        <v>7.5802218100000003</v>
      </c>
      <c r="W292">
        <v>7.5802218100000003</v>
      </c>
      <c r="X292">
        <v>2.237464294</v>
      </c>
      <c r="Y292">
        <v>2.237464294</v>
      </c>
      <c r="Z292">
        <v>1.7825167</v>
      </c>
      <c r="AA292">
        <v>1.7825167</v>
      </c>
    </row>
    <row r="293" spans="1:27" x14ac:dyDescent="0.25">
      <c r="A293" t="s">
        <v>22</v>
      </c>
      <c r="B293" t="s">
        <v>925</v>
      </c>
      <c r="C293">
        <v>16</v>
      </c>
      <c r="D293" t="s">
        <v>23</v>
      </c>
      <c r="E293" t="s">
        <v>95</v>
      </c>
      <c r="F293" t="s">
        <v>112</v>
      </c>
      <c r="G293" t="s">
        <v>103</v>
      </c>
      <c r="H293" t="s">
        <v>113</v>
      </c>
      <c r="J293">
        <v>0</v>
      </c>
      <c r="K293">
        <v>2</v>
      </c>
      <c r="L293">
        <v>65.09375</v>
      </c>
      <c r="M293">
        <v>37.895352600000002</v>
      </c>
      <c r="N293">
        <v>2.2882677779999998</v>
      </c>
      <c r="O293">
        <v>2.2111774</v>
      </c>
      <c r="P293">
        <v>83.757575759999995</v>
      </c>
      <c r="Q293">
        <v>22.60997987</v>
      </c>
      <c r="R293">
        <v>0.72884000000000004</v>
      </c>
      <c r="S293">
        <v>0.21301339999999999</v>
      </c>
      <c r="T293">
        <v>-18.663825760000002</v>
      </c>
      <c r="U293">
        <v>18.663825760000002</v>
      </c>
      <c r="V293">
        <v>15.285372730000001</v>
      </c>
      <c r="W293">
        <v>15.285372730000001</v>
      </c>
      <c r="X293">
        <v>1.5594277780000001</v>
      </c>
      <c r="Y293">
        <v>1.5594277780000001</v>
      </c>
      <c r="Z293">
        <v>1.9981640000000001</v>
      </c>
      <c r="AA293">
        <v>1.9981640000000001</v>
      </c>
    </row>
    <row r="294" spans="1:27" x14ac:dyDescent="0.25">
      <c r="A294" t="s">
        <v>22</v>
      </c>
      <c r="B294" t="s">
        <v>925</v>
      </c>
      <c r="C294">
        <v>16</v>
      </c>
      <c r="D294" t="s">
        <v>23</v>
      </c>
      <c r="E294" t="s">
        <v>95</v>
      </c>
      <c r="F294" t="s">
        <v>112</v>
      </c>
      <c r="G294" t="s">
        <v>103</v>
      </c>
      <c r="H294" t="s">
        <v>113</v>
      </c>
      <c r="J294">
        <v>0</v>
      </c>
      <c r="K294">
        <v>2</v>
      </c>
      <c r="L294">
        <v>65.09375</v>
      </c>
      <c r="M294">
        <v>37.895352600000002</v>
      </c>
      <c r="N294">
        <v>2.2882677779999998</v>
      </c>
      <c r="O294">
        <v>2.2111774</v>
      </c>
      <c r="P294">
        <v>83.757575759999995</v>
      </c>
      <c r="Q294">
        <v>22.60997987</v>
      </c>
      <c r="R294">
        <v>0.72884000000000004</v>
      </c>
      <c r="S294">
        <v>0.21301339999999999</v>
      </c>
      <c r="T294">
        <v>-18.663825760000002</v>
      </c>
      <c r="U294">
        <v>18.663825760000002</v>
      </c>
      <c r="V294">
        <v>15.285372730000001</v>
      </c>
      <c r="W294">
        <v>15.285372730000001</v>
      </c>
      <c r="X294">
        <v>1.5594277780000001</v>
      </c>
      <c r="Y294">
        <v>1.5594277780000001</v>
      </c>
      <c r="Z294">
        <v>1.9981640000000001</v>
      </c>
      <c r="AA294">
        <v>1.9981640000000001</v>
      </c>
    </row>
    <row r="295" spans="1:27" x14ac:dyDescent="0.25">
      <c r="A295" t="s">
        <v>22</v>
      </c>
      <c r="B295" t="s">
        <v>925</v>
      </c>
      <c r="C295">
        <v>17</v>
      </c>
      <c r="D295" t="s">
        <v>23</v>
      </c>
      <c r="E295" t="s">
        <v>95</v>
      </c>
      <c r="F295" t="s">
        <v>112</v>
      </c>
      <c r="G295" t="s">
        <v>103</v>
      </c>
      <c r="H295" t="s">
        <v>247</v>
      </c>
      <c r="J295">
        <v>0</v>
      </c>
      <c r="K295">
        <v>1</v>
      </c>
      <c r="L295">
        <v>65.09375</v>
      </c>
      <c r="M295">
        <v>37.895352600000002</v>
      </c>
      <c r="N295">
        <v>2.2882677779999998</v>
      </c>
      <c r="O295">
        <v>2.2111774</v>
      </c>
      <c r="P295">
        <v>65.791044779999993</v>
      </c>
      <c r="Q295">
        <v>22.94519201</v>
      </c>
      <c r="R295">
        <v>8.1320334999999994E-2</v>
      </c>
      <c r="S295">
        <v>0.17285655</v>
      </c>
      <c r="T295">
        <v>-0.69729478</v>
      </c>
      <c r="U295">
        <v>0.69729478</v>
      </c>
      <c r="V295">
        <v>14.950160589999999</v>
      </c>
      <c r="W295">
        <v>14.950160589999999</v>
      </c>
      <c r="X295">
        <v>2.2069474429999998</v>
      </c>
      <c r="Y295">
        <v>2.2069474429999998</v>
      </c>
      <c r="Z295">
        <v>2.0383208499999999</v>
      </c>
      <c r="AA295">
        <v>2.0383208499999999</v>
      </c>
    </row>
    <row r="296" spans="1:27" x14ac:dyDescent="0.25">
      <c r="A296" t="s">
        <v>22</v>
      </c>
      <c r="B296" t="s">
        <v>925</v>
      </c>
      <c r="C296">
        <v>18</v>
      </c>
      <c r="D296" t="s">
        <v>23</v>
      </c>
      <c r="E296" t="s">
        <v>95</v>
      </c>
      <c r="F296" t="s">
        <v>112</v>
      </c>
      <c r="G296" t="s">
        <v>103</v>
      </c>
      <c r="H296" t="s">
        <v>248</v>
      </c>
      <c r="J296">
        <v>0</v>
      </c>
      <c r="K296">
        <v>3</v>
      </c>
      <c r="L296">
        <v>65.09375</v>
      </c>
      <c r="M296">
        <v>37.895352600000002</v>
      </c>
      <c r="N296">
        <v>2.2882677779999998</v>
      </c>
      <c r="O296">
        <v>2.2111774</v>
      </c>
      <c r="P296">
        <v>83.92307692</v>
      </c>
      <c r="Q296">
        <v>44.319135699999997</v>
      </c>
      <c r="R296">
        <v>5.9548609999999997E-3</v>
      </c>
      <c r="S296">
        <v>0.18017928</v>
      </c>
      <c r="T296">
        <v>-18.82932692</v>
      </c>
      <c r="U296">
        <v>18.82932692</v>
      </c>
      <c r="V296">
        <v>-6.4237830999999996</v>
      </c>
      <c r="W296">
        <v>6.4237830999999996</v>
      </c>
      <c r="X296">
        <v>2.2823129170000001</v>
      </c>
      <c r="Y296">
        <v>2.2823129170000001</v>
      </c>
      <c r="Z296">
        <v>2.03099812</v>
      </c>
      <c r="AA296">
        <v>2.03099812</v>
      </c>
    </row>
    <row r="297" spans="1:27" x14ac:dyDescent="0.25">
      <c r="A297" t="s">
        <v>22</v>
      </c>
      <c r="B297" t="s">
        <v>925</v>
      </c>
      <c r="C297">
        <v>18</v>
      </c>
      <c r="D297" t="s">
        <v>23</v>
      </c>
      <c r="E297" t="s">
        <v>95</v>
      </c>
      <c r="F297" t="s">
        <v>112</v>
      </c>
      <c r="G297" t="s">
        <v>103</v>
      </c>
      <c r="H297" t="s">
        <v>248</v>
      </c>
      <c r="J297">
        <v>0</v>
      </c>
      <c r="K297">
        <v>3</v>
      </c>
      <c r="L297">
        <v>65.09375</v>
      </c>
      <c r="M297">
        <v>37.895352600000002</v>
      </c>
      <c r="N297">
        <v>2.2882677779999998</v>
      </c>
      <c r="O297">
        <v>2.2111774</v>
      </c>
      <c r="P297">
        <v>83.92307692</v>
      </c>
      <c r="Q297">
        <v>44.319135699999997</v>
      </c>
      <c r="R297">
        <v>5.9548609999999997E-3</v>
      </c>
      <c r="S297">
        <v>0.18017928</v>
      </c>
      <c r="T297">
        <v>-18.82932692</v>
      </c>
      <c r="U297">
        <v>18.82932692</v>
      </c>
      <c r="V297">
        <v>-6.4237830999999996</v>
      </c>
      <c r="W297">
        <v>6.4237830999999996</v>
      </c>
      <c r="X297">
        <v>2.2823129170000001</v>
      </c>
      <c r="Y297">
        <v>2.2823129170000001</v>
      </c>
      <c r="Z297">
        <v>2.03099812</v>
      </c>
      <c r="AA297">
        <v>2.03099812</v>
      </c>
    </row>
    <row r="298" spans="1:27" x14ac:dyDescent="0.25">
      <c r="A298" t="s">
        <v>22</v>
      </c>
      <c r="B298" t="s">
        <v>925</v>
      </c>
      <c r="C298">
        <v>18</v>
      </c>
      <c r="D298" t="s">
        <v>23</v>
      </c>
      <c r="E298" t="s">
        <v>95</v>
      </c>
      <c r="F298" t="s">
        <v>112</v>
      </c>
      <c r="G298" t="s">
        <v>103</v>
      </c>
      <c r="H298" t="s">
        <v>248</v>
      </c>
      <c r="J298">
        <v>0</v>
      </c>
      <c r="K298">
        <v>3</v>
      </c>
      <c r="L298">
        <v>65.09375</v>
      </c>
      <c r="M298">
        <v>37.895352600000002</v>
      </c>
      <c r="N298">
        <v>2.2882677779999998</v>
      </c>
      <c r="O298">
        <v>2.2111774</v>
      </c>
      <c r="P298">
        <v>83.92307692</v>
      </c>
      <c r="Q298">
        <v>44.319135699999997</v>
      </c>
      <c r="R298">
        <v>5.9548609999999997E-3</v>
      </c>
      <c r="S298">
        <v>0.18017928</v>
      </c>
      <c r="T298">
        <v>-18.82932692</v>
      </c>
      <c r="U298">
        <v>18.82932692</v>
      </c>
      <c r="V298">
        <v>-6.4237830999999996</v>
      </c>
      <c r="W298">
        <v>6.4237830999999996</v>
      </c>
      <c r="X298">
        <v>2.2823129170000001</v>
      </c>
      <c r="Y298">
        <v>2.2823129170000001</v>
      </c>
      <c r="Z298">
        <v>2.03099812</v>
      </c>
      <c r="AA298">
        <v>2.03099812</v>
      </c>
    </row>
    <row r="299" spans="1:27" x14ac:dyDescent="0.25">
      <c r="A299" t="s">
        <v>24</v>
      </c>
      <c r="B299" t="s">
        <v>926</v>
      </c>
      <c r="C299">
        <v>15</v>
      </c>
      <c r="D299" t="s">
        <v>25</v>
      </c>
      <c r="E299" t="s">
        <v>95</v>
      </c>
      <c r="F299" t="s">
        <v>105</v>
      </c>
      <c r="G299" t="s">
        <v>121</v>
      </c>
      <c r="H299" t="s">
        <v>111</v>
      </c>
      <c r="J299">
        <v>0</v>
      </c>
      <c r="K299">
        <v>1</v>
      </c>
      <c r="L299">
        <v>67.5</v>
      </c>
      <c r="M299">
        <v>47.937235809999997</v>
      </c>
      <c r="N299">
        <v>0.41599678000000001</v>
      </c>
      <c r="O299">
        <v>2.0950346999999998</v>
      </c>
      <c r="P299">
        <v>94.97142857</v>
      </c>
      <c r="Q299">
        <v>24.31591813</v>
      </c>
      <c r="R299">
        <v>0.122951111</v>
      </c>
      <c r="S299">
        <v>0.39050790000000002</v>
      </c>
      <c r="T299">
        <v>-27.47142857</v>
      </c>
      <c r="U299">
        <v>27.47142857</v>
      </c>
      <c r="V299">
        <v>23.621317680000001</v>
      </c>
      <c r="W299">
        <v>23.621317680000001</v>
      </c>
      <c r="X299">
        <v>0.29304566900000001</v>
      </c>
      <c r="Y299">
        <v>0.29304566900000001</v>
      </c>
      <c r="Z299">
        <v>1.7045267999999998</v>
      </c>
      <c r="AA299">
        <v>1.7045267999999998</v>
      </c>
    </row>
    <row r="300" spans="1:27" x14ac:dyDescent="0.25">
      <c r="A300" t="s">
        <v>24</v>
      </c>
      <c r="B300" t="s">
        <v>926</v>
      </c>
      <c r="C300">
        <v>16</v>
      </c>
      <c r="D300" t="s">
        <v>25</v>
      </c>
      <c r="E300" t="s">
        <v>95</v>
      </c>
      <c r="F300" t="s">
        <v>105</v>
      </c>
      <c r="G300" t="s">
        <v>121</v>
      </c>
      <c r="H300" t="s">
        <v>104</v>
      </c>
      <c r="J300">
        <v>0</v>
      </c>
      <c r="K300">
        <v>1</v>
      </c>
      <c r="L300">
        <v>67.5</v>
      </c>
      <c r="M300">
        <v>47.937235809999997</v>
      </c>
      <c r="N300">
        <v>0.41599678000000001</v>
      </c>
      <c r="O300">
        <v>2.0950346999999998</v>
      </c>
      <c r="P300">
        <v>113.9375</v>
      </c>
      <c r="Q300">
        <v>33.375507550000002</v>
      </c>
      <c r="R300">
        <v>2.4262999999999999</v>
      </c>
      <c r="S300">
        <v>0.40692159999999999</v>
      </c>
      <c r="T300">
        <v>-46.4375</v>
      </c>
      <c r="U300">
        <v>46.4375</v>
      </c>
      <c r="V300">
        <v>14.561728260000001</v>
      </c>
      <c r="W300">
        <v>14.561728260000001</v>
      </c>
      <c r="X300">
        <v>-2.0103032199999999</v>
      </c>
      <c r="Y300">
        <v>2.0103032199999999</v>
      </c>
      <c r="Z300">
        <v>1.6881130999999998</v>
      </c>
      <c r="AA300">
        <v>1.6881130999999998</v>
      </c>
    </row>
    <row r="301" spans="1:27" x14ac:dyDescent="0.25">
      <c r="A301" t="s">
        <v>24</v>
      </c>
      <c r="B301" t="s">
        <v>927</v>
      </c>
      <c r="C301">
        <v>15</v>
      </c>
      <c r="D301" t="s">
        <v>25</v>
      </c>
      <c r="E301" t="s">
        <v>95</v>
      </c>
      <c r="F301" t="s">
        <v>112</v>
      </c>
      <c r="G301" t="s">
        <v>112</v>
      </c>
      <c r="H301" t="s">
        <v>112</v>
      </c>
      <c r="J301">
        <v>0</v>
      </c>
      <c r="K301">
        <v>1</v>
      </c>
      <c r="L301">
        <v>65.09375</v>
      </c>
      <c r="M301">
        <v>37.895352600000002</v>
      </c>
      <c r="N301">
        <v>2.2882677779999998</v>
      </c>
      <c r="O301">
        <v>2.2111774</v>
      </c>
      <c r="P301">
        <v>65.09375</v>
      </c>
      <c r="Q301">
        <v>37.895352600000002</v>
      </c>
      <c r="R301">
        <v>2.2882677779999998</v>
      </c>
      <c r="S301">
        <v>2.2111774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</row>
    <row r="302" spans="1:27" x14ac:dyDescent="0.25">
      <c r="A302" t="s">
        <v>26</v>
      </c>
      <c r="B302" t="s">
        <v>928</v>
      </c>
      <c r="C302">
        <v>15</v>
      </c>
      <c r="D302" t="s">
        <v>27</v>
      </c>
      <c r="E302" t="s">
        <v>95</v>
      </c>
      <c r="F302" t="s">
        <v>105</v>
      </c>
      <c r="G302" t="s">
        <v>102</v>
      </c>
      <c r="H302" t="s">
        <v>102</v>
      </c>
      <c r="J302">
        <v>0</v>
      </c>
      <c r="K302">
        <v>1</v>
      </c>
      <c r="L302">
        <v>67.5</v>
      </c>
      <c r="M302">
        <v>47.937235809999997</v>
      </c>
      <c r="N302">
        <v>0.41599678000000001</v>
      </c>
      <c r="O302">
        <v>2.0950346999999998</v>
      </c>
      <c r="P302">
        <v>84.740740740000007</v>
      </c>
      <c r="Q302">
        <v>29.167014049999999</v>
      </c>
      <c r="R302">
        <v>1.1169849999999999</v>
      </c>
      <c r="S302">
        <v>1.1571499000000001</v>
      </c>
      <c r="T302">
        <v>-17.24074074</v>
      </c>
      <c r="U302">
        <v>17.24074074</v>
      </c>
      <c r="V302">
        <v>18.770221759999998</v>
      </c>
      <c r="W302">
        <v>18.770221759999998</v>
      </c>
      <c r="X302">
        <v>-0.70098822000000005</v>
      </c>
      <c r="Y302">
        <v>0.70098822000000005</v>
      </c>
      <c r="Z302">
        <v>0.93788479999999974</v>
      </c>
      <c r="AA302">
        <v>0.93788479999999974</v>
      </c>
    </row>
    <row r="303" spans="1:27" x14ac:dyDescent="0.25">
      <c r="A303" t="s">
        <v>26</v>
      </c>
      <c r="B303" t="s">
        <v>928</v>
      </c>
      <c r="C303">
        <v>16</v>
      </c>
      <c r="D303" t="s">
        <v>27</v>
      </c>
      <c r="E303" t="s">
        <v>95</v>
      </c>
      <c r="F303" t="s">
        <v>105</v>
      </c>
      <c r="G303" t="s">
        <v>102</v>
      </c>
      <c r="H303" t="s">
        <v>111</v>
      </c>
      <c r="J303">
        <v>0</v>
      </c>
      <c r="K303">
        <v>1</v>
      </c>
      <c r="L303">
        <v>67.5</v>
      </c>
      <c r="M303">
        <v>47.937235809999997</v>
      </c>
      <c r="N303">
        <v>0.41599678000000001</v>
      </c>
      <c r="O303">
        <v>2.0950346999999998</v>
      </c>
      <c r="P303">
        <v>94.97142857</v>
      </c>
      <c r="Q303">
        <v>24.31591813</v>
      </c>
      <c r="R303">
        <v>0.122951111</v>
      </c>
      <c r="S303">
        <v>0.39050790000000002</v>
      </c>
      <c r="T303">
        <v>-27.47142857</v>
      </c>
      <c r="U303">
        <v>27.47142857</v>
      </c>
      <c r="V303">
        <v>23.621317680000001</v>
      </c>
      <c r="W303">
        <v>23.621317680000001</v>
      </c>
      <c r="X303">
        <v>0.29304566900000001</v>
      </c>
      <c r="Y303">
        <v>0.29304566900000001</v>
      </c>
      <c r="Z303">
        <v>1.7045267999999998</v>
      </c>
      <c r="AA303">
        <v>1.7045267999999998</v>
      </c>
    </row>
    <row r="304" spans="1:27" x14ac:dyDescent="0.25">
      <c r="A304" t="s">
        <v>26</v>
      </c>
      <c r="B304" t="s">
        <v>928</v>
      </c>
      <c r="C304">
        <v>17</v>
      </c>
      <c r="D304" t="s">
        <v>27</v>
      </c>
      <c r="E304" t="s">
        <v>95</v>
      </c>
      <c r="F304" t="s">
        <v>105</v>
      </c>
      <c r="G304" t="s">
        <v>102</v>
      </c>
      <c r="H304" t="s">
        <v>242</v>
      </c>
      <c r="J304">
        <v>0</v>
      </c>
      <c r="K304">
        <v>1</v>
      </c>
      <c r="L304">
        <v>67.5</v>
      </c>
      <c r="M304">
        <v>47.937235809999997</v>
      </c>
      <c r="N304">
        <v>0.41599678000000001</v>
      </c>
      <c r="O304">
        <v>2.0950346999999998</v>
      </c>
      <c r="P304">
        <v>139.375</v>
      </c>
      <c r="Q304">
        <v>23.713465920000001</v>
      </c>
      <c r="R304" t="s">
        <v>114</v>
      </c>
      <c r="S304" t="s">
        <v>114</v>
      </c>
      <c r="T304">
        <v>-71.875</v>
      </c>
      <c r="U304">
        <v>71.875</v>
      </c>
      <c r="V304">
        <v>24.22376989</v>
      </c>
      <c r="W304">
        <v>24.22376989</v>
      </c>
      <c r="X304" t="s">
        <v>114</v>
      </c>
      <c r="Y304" t="s">
        <v>114</v>
      </c>
      <c r="Z304" t="s">
        <v>114</v>
      </c>
      <c r="AA304" t="s">
        <v>114</v>
      </c>
    </row>
    <row r="305" spans="1:27" x14ac:dyDescent="0.25">
      <c r="A305" t="s">
        <v>26</v>
      </c>
      <c r="B305" t="s">
        <v>929</v>
      </c>
      <c r="C305">
        <v>15</v>
      </c>
      <c r="D305" t="s">
        <v>27</v>
      </c>
      <c r="E305" t="s">
        <v>95</v>
      </c>
      <c r="F305" t="s">
        <v>110</v>
      </c>
      <c r="G305" t="s">
        <v>111</v>
      </c>
      <c r="H305" t="s">
        <v>111</v>
      </c>
      <c r="J305">
        <v>0</v>
      </c>
      <c r="K305">
        <v>1</v>
      </c>
      <c r="L305">
        <v>73.260869569999997</v>
      </c>
      <c r="M305">
        <v>34.453830549999999</v>
      </c>
      <c r="N305">
        <v>1.058333333</v>
      </c>
      <c r="O305">
        <v>0.90897070000000002</v>
      </c>
      <c r="P305">
        <v>94.97142857</v>
      </c>
      <c r="Q305">
        <v>24.31591813</v>
      </c>
      <c r="R305">
        <v>0.122951111</v>
      </c>
      <c r="S305">
        <v>0.39050790000000002</v>
      </c>
      <c r="T305">
        <v>-21.710559</v>
      </c>
      <c r="U305">
        <v>21.710559</v>
      </c>
      <c r="V305">
        <v>10.137912419999999</v>
      </c>
      <c r="W305">
        <v>10.137912419999999</v>
      </c>
      <c r="X305">
        <v>0.93538222199999999</v>
      </c>
      <c r="Y305">
        <v>0.93538222199999999</v>
      </c>
      <c r="Z305">
        <v>0.5184628</v>
      </c>
      <c r="AA305">
        <v>0.5184628</v>
      </c>
    </row>
    <row r="306" spans="1:27" x14ac:dyDescent="0.25">
      <c r="A306" t="s">
        <v>26</v>
      </c>
      <c r="B306" t="s">
        <v>929</v>
      </c>
      <c r="C306">
        <v>16</v>
      </c>
      <c r="D306" t="s">
        <v>27</v>
      </c>
      <c r="E306" t="s">
        <v>95</v>
      </c>
      <c r="F306" t="s">
        <v>110</v>
      </c>
      <c r="G306" t="s">
        <v>111</v>
      </c>
      <c r="H306" t="s">
        <v>242</v>
      </c>
      <c r="J306">
        <v>0</v>
      </c>
      <c r="K306">
        <v>8</v>
      </c>
      <c r="L306">
        <v>73.260869569999997</v>
      </c>
      <c r="M306">
        <v>34.453830549999999</v>
      </c>
      <c r="N306">
        <v>1.058333333</v>
      </c>
      <c r="O306">
        <v>0.90897070000000002</v>
      </c>
      <c r="P306">
        <v>139.375</v>
      </c>
      <c r="Q306">
        <v>23.713465920000001</v>
      </c>
      <c r="R306" t="s">
        <v>114</v>
      </c>
      <c r="S306" t="s">
        <v>114</v>
      </c>
      <c r="T306">
        <v>-66.114130430000003</v>
      </c>
      <c r="U306">
        <v>66.114130430000003</v>
      </c>
      <c r="V306">
        <v>10.74036463</v>
      </c>
      <c r="W306">
        <v>10.74036463</v>
      </c>
      <c r="X306" t="s">
        <v>114</v>
      </c>
      <c r="Y306" t="s">
        <v>114</v>
      </c>
      <c r="Z306" t="s">
        <v>114</v>
      </c>
      <c r="AA306" t="s">
        <v>114</v>
      </c>
    </row>
    <row r="307" spans="1:27" x14ac:dyDescent="0.25">
      <c r="A307" t="s">
        <v>26</v>
      </c>
      <c r="B307" t="s">
        <v>929</v>
      </c>
      <c r="C307">
        <v>16</v>
      </c>
      <c r="D307" t="s">
        <v>27</v>
      </c>
      <c r="E307" t="s">
        <v>95</v>
      </c>
      <c r="F307" t="s">
        <v>110</v>
      </c>
      <c r="G307" t="s">
        <v>111</v>
      </c>
      <c r="H307" t="s">
        <v>242</v>
      </c>
      <c r="J307">
        <v>0</v>
      </c>
      <c r="K307">
        <v>8</v>
      </c>
      <c r="L307">
        <v>73.260869569999997</v>
      </c>
      <c r="M307">
        <v>34.453830549999999</v>
      </c>
      <c r="N307">
        <v>1.058333333</v>
      </c>
      <c r="O307">
        <v>0.90897070000000002</v>
      </c>
      <c r="P307">
        <v>139.375</v>
      </c>
      <c r="Q307">
        <v>23.713465920000001</v>
      </c>
      <c r="R307" t="s">
        <v>114</v>
      </c>
      <c r="S307" t="s">
        <v>114</v>
      </c>
      <c r="T307">
        <v>-66.114130430000003</v>
      </c>
      <c r="U307">
        <v>66.114130430000003</v>
      </c>
      <c r="V307">
        <v>10.74036463</v>
      </c>
      <c r="W307">
        <v>10.74036463</v>
      </c>
      <c r="X307" t="s">
        <v>114</v>
      </c>
      <c r="Y307" t="s">
        <v>114</v>
      </c>
      <c r="Z307" t="s">
        <v>114</v>
      </c>
      <c r="AA307" t="s">
        <v>114</v>
      </c>
    </row>
    <row r="308" spans="1:27" x14ac:dyDescent="0.25">
      <c r="A308" t="s">
        <v>26</v>
      </c>
      <c r="B308" t="s">
        <v>929</v>
      </c>
      <c r="C308">
        <v>16</v>
      </c>
      <c r="D308" t="s">
        <v>27</v>
      </c>
      <c r="E308" t="s">
        <v>95</v>
      </c>
      <c r="F308" t="s">
        <v>110</v>
      </c>
      <c r="G308" t="s">
        <v>111</v>
      </c>
      <c r="H308" t="s">
        <v>242</v>
      </c>
      <c r="J308">
        <v>0</v>
      </c>
      <c r="K308">
        <v>8</v>
      </c>
      <c r="L308">
        <v>73.260869569999997</v>
      </c>
      <c r="M308">
        <v>34.453830549999999</v>
      </c>
      <c r="N308">
        <v>1.058333333</v>
      </c>
      <c r="O308">
        <v>0.90897070000000002</v>
      </c>
      <c r="P308">
        <v>139.375</v>
      </c>
      <c r="Q308">
        <v>23.713465920000001</v>
      </c>
      <c r="R308" t="s">
        <v>114</v>
      </c>
      <c r="S308" t="s">
        <v>114</v>
      </c>
      <c r="T308">
        <v>-66.114130430000003</v>
      </c>
      <c r="U308">
        <v>66.114130430000003</v>
      </c>
      <c r="V308">
        <v>10.74036463</v>
      </c>
      <c r="W308">
        <v>10.74036463</v>
      </c>
      <c r="X308" t="s">
        <v>114</v>
      </c>
      <c r="Y308" t="s">
        <v>114</v>
      </c>
      <c r="Z308" t="s">
        <v>114</v>
      </c>
      <c r="AA308" t="s">
        <v>114</v>
      </c>
    </row>
    <row r="309" spans="1:27" x14ac:dyDescent="0.25">
      <c r="A309" t="s">
        <v>26</v>
      </c>
      <c r="B309" t="s">
        <v>929</v>
      </c>
      <c r="C309">
        <v>16</v>
      </c>
      <c r="D309" t="s">
        <v>27</v>
      </c>
      <c r="E309" t="s">
        <v>95</v>
      </c>
      <c r="F309" t="s">
        <v>110</v>
      </c>
      <c r="G309" t="s">
        <v>111</v>
      </c>
      <c r="H309" t="s">
        <v>242</v>
      </c>
      <c r="J309">
        <v>0</v>
      </c>
      <c r="K309">
        <v>8</v>
      </c>
      <c r="L309">
        <v>73.260869569999997</v>
      </c>
      <c r="M309">
        <v>34.453830549999999</v>
      </c>
      <c r="N309">
        <v>1.058333333</v>
      </c>
      <c r="O309">
        <v>0.90897070000000002</v>
      </c>
      <c r="P309">
        <v>139.375</v>
      </c>
      <c r="Q309">
        <v>23.713465920000001</v>
      </c>
      <c r="R309" t="s">
        <v>114</v>
      </c>
      <c r="S309" t="s">
        <v>114</v>
      </c>
      <c r="T309">
        <v>-66.114130430000003</v>
      </c>
      <c r="U309">
        <v>66.114130430000003</v>
      </c>
      <c r="V309">
        <v>10.74036463</v>
      </c>
      <c r="W309">
        <v>10.74036463</v>
      </c>
      <c r="X309" t="s">
        <v>114</v>
      </c>
      <c r="Y309" t="s">
        <v>114</v>
      </c>
      <c r="Z309" t="s">
        <v>114</v>
      </c>
      <c r="AA309" t="s">
        <v>114</v>
      </c>
    </row>
    <row r="310" spans="1:27" x14ac:dyDescent="0.25">
      <c r="A310" t="s">
        <v>26</v>
      </c>
      <c r="B310" t="s">
        <v>929</v>
      </c>
      <c r="C310">
        <v>16</v>
      </c>
      <c r="D310" t="s">
        <v>27</v>
      </c>
      <c r="E310" t="s">
        <v>95</v>
      </c>
      <c r="F310" t="s">
        <v>110</v>
      </c>
      <c r="G310" t="s">
        <v>111</v>
      </c>
      <c r="H310" t="s">
        <v>242</v>
      </c>
      <c r="J310">
        <v>0</v>
      </c>
      <c r="K310">
        <v>8</v>
      </c>
      <c r="L310">
        <v>73.260869569999997</v>
      </c>
      <c r="M310">
        <v>34.453830549999999</v>
      </c>
      <c r="N310">
        <v>1.058333333</v>
      </c>
      <c r="O310">
        <v>0.90897070000000002</v>
      </c>
      <c r="P310">
        <v>139.375</v>
      </c>
      <c r="Q310">
        <v>23.713465920000001</v>
      </c>
      <c r="R310" t="s">
        <v>114</v>
      </c>
      <c r="S310" t="s">
        <v>114</v>
      </c>
      <c r="T310">
        <v>-66.114130430000003</v>
      </c>
      <c r="U310">
        <v>66.114130430000003</v>
      </c>
      <c r="V310">
        <v>10.74036463</v>
      </c>
      <c r="W310">
        <v>10.74036463</v>
      </c>
      <c r="X310" t="s">
        <v>114</v>
      </c>
      <c r="Y310" t="s">
        <v>114</v>
      </c>
      <c r="Z310" t="s">
        <v>114</v>
      </c>
      <c r="AA310" t="s">
        <v>114</v>
      </c>
    </row>
    <row r="311" spans="1:27" x14ac:dyDescent="0.25">
      <c r="A311" t="s">
        <v>26</v>
      </c>
      <c r="B311" t="s">
        <v>929</v>
      </c>
      <c r="C311">
        <v>16</v>
      </c>
      <c r="D311" t="s">
        <v>27</v>
      </c>
      <c r="E311" t="s">
        <v>95</v>
      </c>
      <c r="F311" t="s">
        <v>110</v>
      </c>
      <c r="G311" t="s">
        <v>111</v>
      </c>
      <c r="H311" t="s">
        <v>242</v>
      </c>
      <c r="J311">
        <v>0</v>
      </c>
      <c r="K311">
        <v>8</v>
      </c>
      <c r="L311">
        <v>73.260869569999997</v>
      </c>
      <c r="M311">
        <v>34.453830549999999</v>
      </c>
      <c r="N311">
        <v>1.058333333</v>
      </c>
      <c r="O311">
        <v>0.90897070000000002</v>
      </c>
      <c r="P311">
        <v>139.375</v>
      </c>
      <c r="Q311">
        <v>23.713465920000001</v>
      </c>
      <c r="R311" t="s">
        <v>114</v>
      </c>
      <c r="S311" t="s">
        <v>114</v>
      </c>
      <c r="T311">
        <v>-66.114130430000003</v>
      </c>
      <c r="U311">
        <v>66.114130430000003</v>
      </c>
      <c r="V311">
        <v>10.74036463</v>
      </c>
      <c r="W311">
        <v>10.74036463</v>
      </c>
      <c r="X311" t="s">
        <v>114</v>
      </c>
      <c r="Y311" t="s">
        <v>114</v>
      </c>
      <c r="Z311" t="s">
        <v>114</v>
      </c>
      <c r="AA311" t="s">
        <v>114</v>
      </c>
    </row>
    <row r="312" spans="1:27" x14ac:dyDescent="0.25">
      <c r="A312" t="s">
        <v>26</v>
      </c>
      <c r="B312" t="s">
        <v>929</v>
      </c>
      <c r="C312">
        <v>16</v>
      </c>
      <c r="D312" t="s">
        <v>27</v>
      </c>
      <c r="E312" t="s">
        <v>95</v>
      </c>
      <c r="F312" t="s">
        <v>110</v>
      </c>
      <c r="G312" t="s">
        <v>111</v>
      </c>
      <c r="H312" t="s">
        <v>242</v>
      </c>
      <c r="J312">
        <v>0</v>
      </c>
      <c r="K312">
        <v>8</v>
      </c>
      <c r="L312">
        <v>73.260869569999997</v>
      </c>
      <c r="M312">
        <v>34.453830549999999</v>
      </c>
      <c r="N312">
        <v>1.058333333</v>
      </c>
      <c r="O312">
        <v>0.90897070000000002</v>
      </c>
      <c r="P312">
        <v>139.375</v>
      </c>
      <c r="Q312">
        <v>23.713465920000001</v>
      </c>
      <c r="R312" t="s">
        <v>114</v>
      </c>
      <c r="S312" t="s">
        <v>114</v>
      </c>
      <c r="T312">
        <v>-66.114130430000003</v>
      </c>
      <c r="U312">
        <v>66.114130430000003</v>
      </c>
      <c r="V312">
        <v>10.74036463</v>
      </c>
      <c r="W312">
        <v>10.74036463</v>
      </c>
      <c r="X312" t="s">
        <v>114</v>
      </c>
      <c r="Y312" t="s">
        <v>114</v>
      </c>
      <c r="Z312" t="s">
        <v>114</v>
      </c>
      <c r="AA312" t="s">
        <v>114</v>
      </c>
    </row>
    <row r="313" spans="1:27" x14ac:dyDescent="0.25">
      <c r="A313" t="s">
        <v>26</v>
      </c>
      <c r="B313" t="s">
        <v>929</v>
      </c>
      <c r="C313">
        <v>16</v>
      </c>
      <c r="D313" t="s">
        <v>27</v>
      </c>
      <c r="E313" t="s">
        <v>95</v>
      </c>
      <c r="F313" t="s">
        <v>110</v>
      </c>
      <c r="G313" t="s">
        <v>111</v>
      </c>
      <c r="H313" t="s">
        <v>242</v>
      </c>
      <c r="J313">
        <v>0</v>
      </c>
      <c r="K313">
        <v>8</v>
      </c>
      <c r="L313">
        <v>73.260869569999997</v>
      </c>
      <c r="M313">
        <v>34.453830549999999</v>
      </c>
      <c r="N313">
        <v>1.058333333</v>
      </c>
      <c r="O313">
        <v>0.90897070000000002</v>
      </c>
      <c r="P313">
        <v>139.375</v>
      </c>
      <c r="Q313">
        <v>23.713465920000001</v>
      </c>
      <c r="R313" t="s">
        <v>114</v>
      </c>
      <c r="S313" t="s">
        <v>114</v>
      </c>
      <c r="T313">
        <v>-66.114130430000003</v>
      </c>
      <c r="U313">
        <v>66.114130430000003</v>
      </c>
      <c r="V313">
        <v>10.74036463</v>
      </c>
      <c r="W313">
        <v>10.74036463</v>
      </c>
      <c r="X313" t="s">
        <v>114</v>
      </c>
      <c r="Y313" t="s">
        <v>114</v>
      </c>
      <c r="Z313" t="s">
        <v>114</v>
      </c>
      <c r="AA313" t="s">
        <v>114</v>
      </c>
    </row>
    <row r="314" spans="1:27" x14ac:dyDescent="0.25">
      <c r="A314" t="s">
        <v>26</v>
      </c>
      <c r="B314" t="s">
        <v>930</v>
      </c>
      <c r="C314">
        <v>15</v>
      </c>
      <c r="D314" t="s">
        <v>27</v>
      </c>
      <c r="E314" t="s">
        <v>95</v>
      </c>
      <c r="F314" t="s">
        <v>111</v>
      </c>
      <c r="G314" t="s">
        <v>102</v>
      </c>
      <c r="H314" t="s">
        <v>244</v>
      </c>
      <c r="J314">
        <v>0</v>
      </c>
      <c r="K314">
        <v>1</v>
      </c>
      <c r="L314">
        <v>94.97142857</v>
      </c>
      <c r="M314">
        <v>24.31591813</v>
      </c>
      <c r="N314">
        <v>0.122951111</v>
      </c>
      <c r="O314">
        <v>0.39050790000000002</v>
      </c>
      <c r="P314">
        <v>75</v>
      </c>
      <c r="Q314">
        <v>28.80614499</v>
      </c>
      <c r="R314">
        <v>2.3860428570000001</v>
      </c>
      <c r="S314">
        <v>0.26400832000000002</v>
      </c>
      <c r="T314">
        <v>19.97142857</v>
      </c>
      <c r="U314">
        <v>19.97142857</v>
      </c>
      <c r="V314">
        <v>-4.4902268599999999</v>
      </c>
      <c r="W314">
        <v>4.4902268599999999</v>
      </c>
      <c r="X314">
        <v>-2.2630917460000002</v>
      </c>
      <c r="Y314">
        <v>2.2630917460000002</v>
      </c>
      <c r="Z314">
        <v>0.12649958</v>
      </c>
      <c r="AA314">
        <v>0.12649958</v>
      </c>
    </row>
    <row r="315" spans="1:27" x14ac:dyDescent="0.25">
      <c r="A315" t="s">
        <v>26</v>
      </c>
      <c r="B315" t="s">
        <v>930</v>
      </c>
      <c r="C315">
        <v>16</v>
      </c>
      <c r="D315" t="s">
        <v>27</v>
      </c>
      <c r="E315" t="s">
        <v>95</v>
      </c>
      <c r="F315" t="s">
        <v>111</v>
      </c>
      <c r="G315" t="s">
        <v>102</v>
      </c>
      <c r="H315" t="s">
        <v>236</v>
      </c>
      <c r="J315">
        <v>0</v>
      </c>
      <c r="K315">
        <v>1</v>
      </c>
      <c r="L315">
        <v>94.97142857</v>
      </c>
      <c r="M315">
        <v>24.31591813</v>
      </c>
      <c r="N315">
        <v>0.122951111</v>
      </c>
      <c r="O315">
        <v>0.39050790000000002</v>
      </c>
      <c r="P315">
        <v>113.33333330000001</v>
      </c>
      <c r="Q315">
        <v>26.41632581</v>
      </c>
      <c r="R315">
        <v>1.6844570160000001</v>
      </c>
      <c r="S315">
        <v>8.9285710000000004E-2</v>
      </c>
      <c r="T315">
        <v>-18.361904729999999</v>
      </c>
      <c r="U315">
        <v>18.361904729999999</v>
      </c>
      <c r="V315">
        <v>-2.10040768</v>
      </c>
      <c r="W315">
        <v>2.10040768</v>
      </c>
      <c r="X315">
        <v>-1.561505905</v>
      </c>
      <c r="Y315">
        <v>1.561505905</v>
      </c>
      <c r="Z315">
        <v>0.30122219</v>
      </c>
      <c r="AA315">
        <v>0.30122219</v>
      </c>
    </row>
    <row r="316" spans="1:27" x14ac:dyDescent="0.25">
      <c r="A316" t="s">
        <v>26</v>
      </c>
      <c r="B316" t="s">
        <v>930</v>
      </c>
      <c r="C316">
        <v>17</v>
      </c>
      <c r="D316" t="s">
        <v>27</v>
      </c>
      <c r="E316" t="s">
        <v>95</v>
      </c>
      <c r="F316" t="s">
        <v>111</v>
      </c>
      <c r="G316" t="s">
        <v>102</v>
      </c>
      <c r="H316" t="s">
        <v>102</v>
      </c>
      <c r="J316">
        <v>0</v>
      </c>
      <c r="K316">
        <v>1</v>
      </c>
      <c r="L316">
        <v>94.97142857</v>
      </c>
      <c r="M316">
        <v>24.31591813</v>
      </c>
      <c r="N316">
        <v>0.122951111</v>
      </c>
      <c r="O316">
        <v>0.39050790000000002</v>
      </c>
      <c r="P316">
        <v>84.740740740000007</v>
      </c>
      <c r="Q316">
        <v>29.167014049999999</v>
      </c>
      <c r="R316">
        <v>1.1169849999999999</v>
      </c>
      <c r="S316">
        <v>1.1571499000000001</v>
      </c>
      <c r="T316">
        <v>10.230687830000001</v>
      </c>
      <c r="U316">
        <v>10.230687830000001</v>
      </c>
      <c r="V316">
        <v>-4.8510959199999997</v>
      </c>
      <c r="W316">
        <v>4.8510959199999997</v>
      </c>
      <c r="X316">
        <v>-0.994033889</v>
      </c>
      <c r="Y316">
        <v>0.994033889</v>
      </c>
      <c r="Z316">
        <v>-0.76664200000000005</v>
      </c>
      <c r="AA316">
        <v>0.76664200000000005</v>
      </c>
    </row>
    <row r="317" spans="1:27" x14ac:dyDescent="0.25">
      <c r="A317" t="s">
        <v>26</v>
      </c>
      <c r="B317" t="s">
        <v>930</v>
      </c>
      <c r="C317">
        <v>18</v>
      </c>
      <c r="D317" t="s">
        <v>27</v>
      </c>
      <c r="E317" t="s">
        <v>95</v>
      </c>
      <c r="F317" t="s">
        <v>111</v>
      </c>
      <c r="G317" t="s">
        <v>102</v>
      </c>
      <c r="H317" t="s">
        <v>242</v>
      </c>
      <c r="J317">
        <v>0</v>
      </c>
      <c r="K317">
        <v>3</v>
      </c>
      <c r="L317">
        <v>94.97142857</v>
      </c>
      <c r="M317">
        <v>24.31591813</v>
      </c>
      <c r="N317">
        <v>0.122951111</v>
      </c>
      <c r="O317">
        <v>0.39050790000000002</v>
      </c>
      <c r="P317">
        <v>139.375</v>
      </c>
      <c r="Q317">
        <v>23.713465920000001</v>
      </c>
      <c r="R317" t="s">
        <v>114</v>
      </c>
      <c r="S317" t="s">
        <v>114</v>
      </c>
      <c r="T317">
        <v>-44.40357143</v>
      </c>
      <c r="U317">
        <v>44.40357143</v>
      </c>
      <c r="V317">
        <v>0.60245221000000004</v>
      </c>
      <c r="W317">
        <v>0.60245221000000004</v>
      </c>
      <c r="X317" t="s">
        <v>114</v>
      </c>
      <c r="Y317" t="s">
        <v>114</v>
      </c>
      <c r="Z317" t="s">
        <v>114</v>
      </c>
      <c r="AA317" t="s">
        <v>114</v>
      </c>
    </row>
    <row r="318" spans="1:27" x14ac:dyDescent="0.25">
      <c r="A318" t="s">
        <v>26</v>
      </c>
      <c r="B318" t="s">
        <v>930</v>
      </c>
      <c r="C318">
        <v>18</v>
      </c>
      <c r="D318" t="s">
        <v>27</v>
      </c>
      <c r="E318" t="s">
        <v>95</v>
      </c>
      <c r="F318" t="s">
        <v>111</v>
      </c>
      <c r="G318" t="s">
        <v>102</v>
      </c>
      <c r="H318" t="s">
        <v>242</v>
      </c>
      <c r="J318">
        <v>0</v>
      </c>
      <c r="K318">
        <v>3</v>
      </c>
      <c r="L318">
        <v>94.97142857</v>
      </c>
      <c r="M318">
        <v>24.31591813</v>
      </c>
      <c r="N318">
        <v>0.122951111</v>
      </c>
      <c r="O318">
        <v>0.39050790000000002</v>
      </c>
      <c r="P318">
        <v>139.375</v>
      </c>
      <c r="Q318">
        <v>23.713465920000001</v>
      </c>
      <c r="R318" t="s">
        <v>114</v>
      </c>
      <c r="S318" t="s">
        <v>114</v>
      </c>
      <c r="T318">
        <v>-44.40357143</v>
      </c>
      <c r="U318">
        <v>44.40357143</v>
      </c>
      <c r="V318">
        <v>0.60245221000000004</v>
      </c>
      <c r="W318">
        <v>0.60245221000000004</v>
      </c>
      <c r="X318" t="s">
        <v>114</v>
      </c>
      <c r="Y318" t="s">
        <v>114</v>
      </c>
      <c r="Z318" t="s">
        <v>114</v>
      </c>
      <c r="AA318" t="s">
        <v>114</v>
      </c>
    </row>
    <row r="319" spans="1:27" x14ac:dyDescent="0.25">
      <c r="A319" t="s">
        <v>26</v>
      </c>
      <c r="B319" t="s">
        <v>930</v>
      </c>
      <c r="C319">
        <v>18</v>
      </c>
      <c r="D319" t="s">
        <v>27</v>
      </c>
      <c r="E319" t="s">
        <v>95</v>
      </c>
      <c r="F319" t="s">
        <v>111</v>
      </c>
      <c r="G319" t="s">
        <v>102</v>
      </c>
      <c r="H319" t="s">
        <v>242</v>
      </c>
      <c r="J319">
        <v>0</v>
      </c>
      <c r="K319">
        <v>3</v>
      </c>
      <c r="L319">
        <v>94.97142857</v>
      </c>
      <c r="M319">
        <v>24.31591813</v>
      </c>
      <c r="N319">
        <v>0.122951111</v>
      </c>
      <c r="O319">
        <v>0.39050790000000002</v>
      </c>
      <c r="P319">
        <v>139.375</v>
      </c>
      <c r="Q319">
        <v>23.713465920000001</v>
      </c>
      <c r="R319" t="s">
        <v>114</v>
      </c>
      <c r="S319" t="s">
        <v>114</v>
      </c>
      <c r="T319">
        <v>-44.40357143</v>
      </c>
      <c r="U319">
        <v>44.40357143</v>
      </c>
      <c r="V319">
        <v>0.60245221000000004</v>
      </c>
      <c r="W319">
        <v>0.60245221000000004</v>
      </c>
      <c r="X319" t="s">
        <v>114</v>
      </c>
      <c r="Y319" t="s">
        <v>114</v>
      </c>
      <c r="Z319" t="s">
        <v>114</v>
      </c>
      <c r="AA319" t="s">
        <v>114</v>
      </c>
    </row>
    <row r="320" spans="1:27" x14ac:dyDescent="0.25">
      <c r="A320" t="s">
        <v>28</v>
      </c>
      <c r="B320" t="s">
        <v>931</v>
      </c>
      <c r="C320">
        <v>15</v>
      </c>
      <c r="D320" t="s">
        <v>29</v>
      </c>
      <c r="E320" t="s">
        <v>94</v>
      </c>
      <c r="F320" t="s">
        <v>113</v>
      </c>
      <c r="G320" t="s">
        <v>113</v>
      </c>
      <c r="H320" t="s">
        <v>113</v>
      </c>
      <c r="J320">
        <v>0</v>
      </c>
      <c r="K320">
        <v>2</v>
      </c>
      <c r="L320">
        <v>83.757575759999995</v>
      </c>
      <c r="M320">
        <v>22.60997987</v>
      </c>
      <c r="N320">
        <v>0.72884000000000004</v>
      </c>
      <c r="O320">
        <v>0.21301339999999999</v>
      </c>
      <c r="P320">
        <v>83.757575759999995</v>
      </c>
      <c r="Q320">
        <v>22.60997987</v>
      </c>
      <c r="R320">
        <v>0.72884000000000004</v>
      </c>
      <c r="S320">
        <v>0.21301339999999999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</row>
    <row r="321" spans="1:27" x14ac:dyDescent="0.25">
      <c r="A321" t="s">
        <v>28</v>
      </c>
      <c r="B321" t="s">
        <v>931</v>
      </c>
      <c r="C321">
        <v>15</v>
      </c>
      <c r="D321" t="s">
        <v>29</v>
      </c>
      <c r="E321" t="s">
        <v>94</v>
      </c>
      <c r="F321" t="s">
        <v>113</v>
      </c>
      <c r="G321" t="s">
        <v>113</v>
      </c>
      <c r="H321" t="s">
        <v>113</v>
      </c>
      <c r="J321">
        <v>0</v>
      </c>
      <c r="K321">
        <v>2</v>
      </c>
      <c r="L321">
        <v>83.757575759999995</v>
      </c>
      <c r="M321">
        <v>22.60997987</v>
      </c>
      <c r="N321">
        <v>0.72884000000000004</v>
      </c>
      <c r="O321">
        <v>0.21301339999999999</v>
      </c>
      <c r="P321">
        <v>83.757575759999995</v>
      </c>
      <c r="Q321">
        <v>22.60997987</v>
      </c>
      <c r="R321">
        <v>0.72884000000000004</v>
      </c>
      <c r="S321">
        <v>0.21301339999999999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</row>
    <row r="322" spans="1:27" x14ac:dyDescent="0.25">
      <c r="A322" t="s">
        <v>28</v>
      </c>
      <c r="B322" t="s">
        <v>931</v>
      </c>
      <c r="C322">
        <v>16</v>
      </c>
      <c r="D322" t="s">
        <v>29</v>
      </c>
      <c r="E322" t="s">
        <v>94</v>
      </c>
      <c r="F322" t="s">
        <v>113</v>
      </c>
      <c r="G322" t="s">
        <v>113</v>
      </c>
      <c r="H322" t="s">
        <v>248</v>
      </c>
      <c r="J322">
        <v>0</v>
      </c>
      <c r="K322">
        <v>12</v>
      </c>
      <c r="L322">
        <v>83.757575759999995</v>
      </c>
      <c r="M322">
        <v>22.60997987</v>
      </c>
      <c r="N322">
        <v>0.72884000000000004</v>
      </c>
      <c r="O322">
        <v>0.21301339999999999</v>
      </c>
      <c r="P322">
        <v>83.92307692</v>
      </c>
      <c r="Q322">
        <v>44.319135699999997</v>
      </c>
      <c r="R322">
        <v>5.9548609999999997E-3</v>
      </c>
      <c r="S322">
        <v>0.18017928</v>
      </c>
      <c r="T322">
        <v>-0.16550116000000001</v>
      </c>
      <c r="U322">
        <v>0.16550116000000001</v>
      </c>
      <c r="V322">
        <v>-21.70915583</v>
      </c>
      <c r="W322">
        <v>21.70915583</v>
      </c>
      <c r="X322">
        <v>0.72288513899999995</v>
      </c>
      <c r="Y322">
        <v>0.72288513899999995</v>
      </c>
      <c r="Z322">
        <v>3.2834119999999994E-2</v>
      </c>
      <c r="AA322">
        <v>3.2834119999999994E-2</v>
      </c>
    </row>
    <row r="323" spans="1:27" x14ac:dyDescent="0.25">
      <c r="A323" t="s">
        <v>28</v>
      </c>
      <c r="B323" t="s">
        <v>931</v>
      </c>
      <c r="C323">
        <v>16</v>
      </c>
      <c r="D323" t="s">
        <v>29</v>
      </c>
      <c r="E323" t="s">
        <v>94</v>
      </c>
      <c r="F323" t="s">
        <v>113</v>
      </c>
      <c r="G323" t="s">
        <v>113</v>
      </c>
      <c r="H323" t="s">
        <v>248</v>
      </c>
      <c r="J323">
        <v>0</v>
      </c>
      <c r="K323">
        <v>12</v>
      </c>
      <c r="L323">
        <v>83.757575759999995</v>
      </c>
      <c r="M323">
        <v>22.60997987</v>
      </c>
      <c r="N323">
        <v>0.72884000000000004</v>
      </c>
      <c r="O323">
        <v>0.21301339999999999</v>
      </c>
      <c r="P323">
        <v>83.92307692</v>
      </c>
      <c r="Q323">
        <v>44.319135699999997</v>
      </c>
      <c r="R323">
        <v>5.9548609999999997E-3</v>
      </c>
      <c r="S323">
        <v>0.18017928</v>
      </c>
      <c r="T323">
        <v>-0.16550116000000001</v>
      </c>
      <c r="U323">
        <v>0.16550116000000001</v>
      </c>
      <c r="V323">
        <v>-21.70915583</v>
      </c>
      <c r="W323">
        <v>21.70915583</v>
      </c>
      <c r="X323">
        <v>0.72288513899999995</v>
      </c>
      <c r="Y323">
        <v>0.72288513899999995</v>
      </c>
      <c r="Z323">
        <v>3.2834119999999994E-2</v>
      </c>
      <c r="AA323">
        <v>3.2834119999999994E-2</v>
      </c>
    </row>
    <row r="324" spans="1:27" x14ac:dyDescent="0.25">
      <c r="A324" t="s">
        <v>28</v>
      </c>
      <c r="B324" t="s">
        <v>931</v>
      </c>
      <c r="C324">
        <v>16</v>
      </c>
      <c r="D324" t="s">
        <v>29</v>
      </c>
      <c r="E324" t="s">
        <v>94</v>
      </c>
      <c r="F324" t="s">
        <v>113</v>
      </c>
      <c r="G324" t="s">
        <v>113</v>
      </c>
      <c r="H324" t="s">
        <v>248</v>
      </c>
      <c r="J324">
        <v>0</v>
      </c>
      <c r="K324">
        <v>12</v>
      </c>
      <c r="L324">
        <v>83.757575759999995</v>
      </c>
      <c r="M324">
        <v>22.60997987</v>
      </c>
      <c r="N324">
        <v>0.72884000000000004</v>
      </c>
      <c r="O324">
        <v>0.21301339999999999</v>
      </c>
      <c r="P324">
        <v>83.92307692</v>
      </c>
      <c r="Q324">
        <v>44.319135699999997</v>
      </c>
      <c r="R324">
        <v>5.9548609999999997E-3</v>
      </c>
      <c r="S324">
        <v>0.18017928</v>
      </c>
      <c r="T324">
        <v>-0.16550116000000001</v>
      </c>
      <c r="U324">
        <v>0.16550116000000001</v>
      </c>
      <c r="V324">
        <v>-21.70915583</v>
      </c>
      <c r="W324">
        <v>21.70915583</v>
      </c>
      <c r="X324">
        <v>0.72288513899999995</v>
      </c>
      <c r="Y324">
        <v>0.72288513899999995</v>
      </c>
      <c r="Z324">
        <v>3.2834119999999994E-2</v>
      </c>
      <c r="AA324">
        <v>3.2834119999999994E-2</v>
      </c>
    </row>
    <row r="325" spans="1:27" x14ac:dyDescent="0.25">
      <c r="A325" t="s">
        <v>28</v>
      </c>
      <c r="B325" t="s">
        <v>931</v>
      </c>
      <c r="C325">
        <v>16</v>
      </c>
      <c r="D325" t="s">
        <v>29</v>
      </c>
      <c r="E325" t="s">
        <v>94</v>
      </c>
      <c r="F325" t="s">
        <v>113</v>
      </c>
      <c r="G325" t="s">
        <v>113</v>
      </c>
      <c r="H325" t="s">
        <v>248</v>
      </c>
      <c r="J325">
        <v>0</v>
      </c>
      <c r="K325">
        <v>12</v>
      </c>
      <c r="L325">
        <v>83.757575759999995</v>
      </c>
      <c r="M325">
        <v>22.60997987</v>
      </c>
      <c r="N325">
        <v>0.72884000000000004</v>
      </c>
      <c r="O325">
        <v>0.21301339999999999</v>
      </c>
      <c r="P325">
        <v>83.92307692</v>
      </c>
      <c r="Q325">
        <v>44.319135699999997</v>
      </c>
      <c r="R325">
        <v>5.9548609999999997E-3</v>
      </c>
      <c r="S325">
        <v>0.18017928</v>
      </c>
      <c r="T325">
        <v>-0.16550116000000001</v>
      </c>
      <c r="U325">
        <v>0.16550116000000001</v>
      </c>
      <c r="V325">
        <v>-21.70915583</v>
      </c>
      <c r="W325">
        <v>21.70915583</v>
      </c>
      <c r="X325">
        <v>0.72288513899999995</v>
      </c>
      <c r="Y325">
        <v>0.72288513899999995</v>
      </c>
      <c r="Z325">
        <v>3.2834119999999994E-2</v>
      </c>
      <c r="AA325">
        <v>3.2834119999999994E-2</v>
      </c>
    </row>
    <row r="326" spans="1:27" x14ac:dyDescent="0.25">
      <c r="A326" t="s">
        <v>28</v>
      </c>
      <c r="B326" t="s">
        <v>931</v>
      </c>
      <c r="C326">
        <v>16</v>
      </c>
      <c r="D326" t="s">
        <v>29</v>
      </c>
      <c r="E326" t="s">
        <v>94</v>
      </c>
      <c r="F326" t="s">
        <v>113</v>
      </c>
      <c r="G326" t="s">
        <v>113</v>
      </c>
      <c r="H326" t="s">
        <v>248</v>
      </c>
      <c r="J326">
        <v>0</v>
      </c>
      <c r="K326">
        <v>12</v>
      </c>
      <c r="L326">
        <v>83.757575759999995</v>
      </c>
      <c r="M326">
        <v>22.60997987</v>
      </c>
      <c r="N326">
        <v>0.72884000000000004</v>
      </c>
      <c r="O326">
        <v>0.21301339999999999</v>
      </c>
      <c r="P326">
        <v>83.92307692</v>
      </c>
      <c r="Q326">
        <v>44.319135699999997</v>
      </c>
      <c r="R326">
        <v>5.9548609999999997E-3</v>
      </c>
      <c r="S326">
        <v>0.18017928</v>
      </c>
      <c r="T326">
        <v>-0.16550116000000001</v>
      </c>
      <c r="U326">
        <v>0.16550116000000001</v>
      </c>
      <c r="V326">
        <v>-21.70915583</v>
      </c>
      <c r="W326">
        <v>21.70915583</v>
      </c>
      <c r="X326">
        <v>0.72288513899999995</v>
      </c>
      <c r="Y326">
        <v>0.72288513899999995</v>
      </c>
      <c r="Z326">
        <v>3.2834119999999994E-2</v>
      </c>
      <c r="AA326">
        <v>3.2834119999999994E-2</v>
      </c>
    </row>
    <row r="327" spans="1:27" x14ac:dyDescent="0.25">
      <c r="A327" t="s">
        <v>28</v>
      </c>
      <c r="B327" t="s">
        <v>931</v>
      </c>
      <c r="C327">
        <v>16</v>
      </c>
      <c r="D327" t="s">
        <v>29</v>
      </c>
      <c r="E327" t="s">
        <v>94</v>
      </c>
      <c r="F327" t="s">
        <v>113</v>
      </c>
      <c r="G327" t="s">
        <v>113</v>
      </c>
      <c r="H327" t="s">
        <v>248</v>
      </c>
      <c r="J327">
        <v>0</v>
      </c>
      <c r="K327">
        <v>12</v>
      </c>
      <c r="L327">
        <v>83.757575759999995</v>
      </c>
      <c r="M327">
        <v>22.60997987</v>
      </c>
      <c r="N327">
        <v>0.72884000000000004</v>
      </c>
      <c r="O327">
        <v>0.21301339999999999</v>
      </c>
      <c r="P327">
        <v>83.92307692</v>
      </c>
      <c r="Q327">
        <v>44.319135699999997</v>
      </c>
      <c r="R327">
        <v>5.9548609999999997E-3</v>
      </c>
      <c r="S327">
        <v>0.18017928</v>
      </c>
      <c r="T327">
        <v>-0.16550116000000001</v>
      </c>
      <c r="U327">
        <v>0.16550116000000001</v>
      </c>
      <c r="V327">
        <v>-21.70915583</v>
      </c>
      <c r="W327">
        <v>21.70915583</v>
      </c>
      <c r="X327">
        <v>0.72288513899999995</v>
      </c>
      <c r="Y327">
        <v>0.72288513899999995</v>
      </c>
      <c r="Z327">
        <v>3.2834119999999994E-2</v>
      </c>
      <c r="AA327">
        <v>3.2834119999999994E-2</v>
      </c>
    </row>
    <row r="328" spans="1:27" x14ac:dyDescent="0.25">
      <c r="A328" t="s">
        <v>28</v>
      </c>
      <c r="B328" t="s">
        <v>931</v>
      </c>
      <c r="C328">
        <v>16</v>
      </c>
      <c r="D328" t="s">
        <v>29</v>
      </c>
      <c r="E328" t="s">
        <v>94</v>
      </c>
      <c r="F328" t="s">
        <v>113</v>
      </c>
      <c r="G328" t="s">
        <v>113</v>
      </c>
      <c r="H328" t="s">
        <v>248</v>
      </c>
      <c r="J328">
        <v>0</v>
      </c>
      <c r="K328">
        <v>12</v>
      </c>
      <c r="L328">
        <v>83.757575759999995</v>
      </c>
      <c r="M328">
        <v>22.60997987</v>
      </c>
      <c r="N328">
        <v>0.72884000000000004</v>
      </c>
      <c r="O328">
        <v>0.21301339999999999</v>
      </c>
      <c r="P328">
        <v>83.92307692</v>
      </c>
      <c r="Q328">
        <v>44.319135699999997</v>
      </c>
      <c r="R328">
        <v>5.9548609999999997E-3</v>
      </c>
      <c r="S328">
        <v>0.18017928</v>
      </c>
      <c r="T328">
        <v>-0.16550116000000001</v>
      </c>
      <c r="U328">
        <v>0.16550116000000001</v>
      </c>
      <c r="V328">
        <v>-21.70915583</v>
      </c>
      <c r="W328">
        <v>21.70915583</v>
      </c>
      <c r="X328">
        <v>0.72288513899999995</v>
      </c>
      <c r="Y328">
        <v>0.72288513899999995</v>
      </c>
      <c r="Z328">
        <v>3.2834119999999994E-2</v>
      </c>
      <c r="AA328">
        <v>3.2834119999999994E-2</v>
      </c>
    </row>
    <row r="329" spans="1:27" x14ac:dyDescent="0.25">
      <c r="A329" t="s">
        <v>28</v>
      </c>
      <c r="B329" t="s">
        <v>931</v>
      </c>
      <c r="C329">
        <v>16</v>
      </c>
      <c r="D329" t="s">
        <v>29</v>
      </c>
      <c r="E329" t="s">
        <v>94</v>
      </c>
      <c r="F329" t="s">
        <v>113</v>
      </c>
      <c r="G329" t="s">
        <v>113</v>
      </c>
      <c r="H329" t="s">
        <v>248</v>
      </c>
      <c r="J329">
        <v>0</v>
      </c>
      <c r="K329">
        <v>12</v>
      </c>
      <c r="L329">
        <v>83.757575759999995</v>
      </c>
      <c r="M329">
        <v>22.60997987</v>
      </c>
      <c r="N329">
        <v>0.72884000000000004</v>
      </c>
      <c r="O329">
        <v>0.21301339999999999</v>
      </c>
      <c r="P329">
        <v>83.92307692</v>
      </c>
      <c r="Q329">
        <v>44.319135699999997</v>
      </c>
      <c r="R329">
        <v>5.9548609999999997E-3</v>
      </c>
      <c r="S329">
        <v>0.18017928</v>
      </c>
      <c r="T329">
        <v>-0.16550116000000001</v>
      </c>
      <c r="U329">
        <v>0.16550116000000001</v>
      </c>
      <c r="V329">
        <v>-21.70915583</v>
      </c>
      <c r="W329">
        <v>21.70915583</v>
      </c>
      <c r="X329">
        <v>0.72288513899999995</v>
      </c>
      <c r="Y329">
        <v>0.72288513899999995</v>
      </c>
      <c r="Z329">
        <v>3.2834119999999994E-2</v>
      </c>
      <c r="AA329">
        <v>3.2834119999999994E-2</v>
      </c>
    </row>
    <row r="330" spans="1:27" x14ac:dyDescent="0.25">
      <c r="A330" t="s">
        <v>28</v>
      </c>
      <c r="B330" t="s">
        <v>931</v>
      </c>
      <c r="C330">
        <v>16</v>
      </c>
      <c r="D330" t="s">
        <v>29</v>
      </c>
      <c r="E330" t="s">
        <v>94</v>
      </c>
      <c r="F330" t="s">
        <v>113</v>
      </c>
      <c r="G330" t="s">
        <v>113</v>
      </c>
      <c r="H330" t="s">
        <v>248</v>
      </c>
      <c r="J330">
        <v>0</v>
      </c>
      <c r="K330">
        <v>12</v>
      </c>
      <c r="L330">
        <v>83.757575759999995</v>
      </c>
      <c r="M330">
        <v>22.60997987</v>
      </c>
      <c r="N330">
        <v>0.72884000000000004</v>
      </c>
      <c r="O330">
        <v>0.21301339999999999</v>
      </c>
      <c r="P330">
        <v>83.92307692</v>
      </c>
      <c r="Q330">
        <v>44.319135699999997</v>
      </c>
      <c r="R330">
        <v>5.9548609999999997E-3</v>
      </c>
      <c r="S330">
        <v>0.18017928</v>
      </c>
      <c r="T330">
        <v>-0.16550116000000001</v>
      </c>
      <c r="U330">
        <v>0.16550116000000001</v>
      </c>
      <c r="V330">
        <v>-21.70915583</v>
      </c>
      <c r="W330">
        <v>21.70915583</v>
      </c>
      <c r="X330">
        <v>0.72288513899999995</v>
      </c>
      <c r="Y330">
        <v>0.72288513899999995</v>
      </c>
      <c r="Z330">
        <v>3.2834119999999994E-2</v>
      </c>
      <c r="AA330">
        <v>3.2834119999999994E-2</v>
      </c>
    </row>
    <row r="331" spans="1:27" x14ac:dyDescent="0.25">
      <c r="A331" t="s">
        <v>28</v>
      </c>
      <c r="B331" t="s">
        <v>931</v>
      </c>
      <c r="C331">
        <v>16</v>
      </c>
      <c r="D331" t="s">
        <v>29</v>
      </c>
      <c r="E331" t="s">
        <v>94</v>
      </c>
      <c r="F331" t="s">
        <v>113</v>
      </c>
      <c r="G331" t="s">
        <v>113</v>
      </c>
      <c r="H331" t="s">
        <v>248</v>
      </c>
      <c r="J331">
        <v>0</v>
      </c>
      <c r="K331">
        <v>12</v>
      </c>
      <c r="L331">
        <v>83.757575759999995</v>
      </c>
      <c r="M331">
        <v>22.60997987</v>
      </c>
      <c r="N331">
        <v>0.72884000000000004</v>
      </c>
      <c r="O331">
        <v>0.21301339999999999</v>
      </c>
      <c r="P331">
        <v>83.92307692</v>
      </c>
      <c r="Q331">
        <v>44.319135699999997</v>
      </c>
      <c r="R331">
        <v>5.9548609999999997E-3</v>
      </c>
      <c r="S331">
        <v>0.18017928</v>
      </c>
      <c r="T331">
        <v>-0.16550116000000001</v>
      </c>
      <c r="U331">
        <v>0.16550116000000001</v>
      </c>
      <c r="V331">
        <v>-21.70915583</v>
      </c>
      <c r="W331">
        <v>21.70915583</v>
      </c>
      <c r="X331">
        <v>0.72288513899999995</v>
      </c>
      <c r="Y331">
        <v>0.72288513899999995</v>
      </c>
      <c r="Z331">
        <v>3.2834119999999994E-2</v>
      </c>
      <c r="AA331">
        <v>3.2834119999999994E-2</v>
      </c>
    </row>
    <row r="332" spans="1:27" x14ac:dyDescent="0.25">
      <c r="A332" t="s">
        <v>28</v>
      </c>
      <c r="B332" t="s">
        <v>931</v>
      </c>
      <c r="C332">
        <v>16</v>
      </c>
      <c r="D332" t="s">
        <v>29</v>
      </c>
      <c r="E332" t="s">
        <v>94</v>
      </c>
      <c r="F332" t="s">
        <v>113</v>
      </c>
      <c r="G332" t="s">
        <v>113</v>
      </c>
      <c r="H332" t="s">
        <v>248</v>
      </c>
      <c r="J332">
        <v>0</v>
      </c>
      <c r="K332">
        <v>12</v>
      </c>
      <c r="L332">
        <v>83.757575759999995</v>
      </c>
      <c r="M332">
        <v>22.60997987</v>
      </c>
      <c r="N332">
        <v>0.72884000000000004</v>
      </c>
      <c r="O332">
        <v>0.21301339999999999</v>
      </c>
      <c r="P332">
        <v>83.92307692</v>
      </c>
      <c r="Q332">
        <v>44.319135699999997</v>
      </c>
      <c r="R332">
        <v>5.9548609999999997E-3</v>
      </c>
      <c r="S332">
        <v>0.18017928</v>
      </c>
      <c r="T332">
        <v>-0.16550116000000001</v>
      </c>
      <c r="U332">
        <v>0.16550116000000001</v>
      </c>
      <c r="V332">
        <v>-21.70915583</v>
      </c>
      <c r="W332">
        <v>21.70915583</v>
      </c>
      <c r="X332">
        <v>0.72288513899999995</v>
      </c>
      <c r="Y332">
        <v>0.72288513899999995</v>
      </c>
      <c r="Z332">
        <v>3.2834119999999994E-2</v>
      </c>
      <c r="AA332">
        <v>3.2834119999999994E-2</v>
      </c>
    </row>
    <row r="333" spans="1:27" x14ac:dyDescent="0.25">
      <c r="A333" t="s">
        <v>28</v>
      </c>
      <c r="B333" t="s">
        <v>931</v>
      </c>
      <c r="C333">
        <v>16</v>
      </c>
      <c r="D333" t="s">
        <v>29</v>
      </c>
      <c r="E333" t="s">
        <v>94</v>
      </c>
      <c r="F333" t="s">
        <v>113</v>
      </c>
      <c r="G333" t="s">
        <v>113</v>
      </c>
      <c r="H333" t="s">
        <v>248</v>
      </c>
      <c r="J333">
        <v>0</v>
      </c>
      <c r="K333">
        <v>12</v>
      </c>
      <c r="L333">
        <v>83.757575759999995</v>
      </c>
      <c r="M333">
        <v>22.60997987</v>
      </c>
      <c r="N333">
        <v>0.72884000000000004</v>
      </c>
      <c r="O333">
        <v>0.21301339999999999</v>
      </c>
      <c r="P333">
        <v>83.92307692</v>
      </c>
      <c r="Q333">
        <v>44.319135699999997</v>
      </c>
      <c r="R333">
        <v>5.9548609999999997E-3</v>
      </c>
      <c r="S333">
        <v>0.18017928</v>
      </c>
      <c r="T333">
        <v>-0.16550116000000001</v>
      </c>
      <c r="U333">
        <v>0.16550116000000001</v>
      </c>
      <c r="V333">
        <v>-21.70915583</v>
      </c>
      <c r="W333">
        <v>21.70915583</v>
      </c>
      <c r="X333">
        <v>0.72288513899999995</v>
      </c>
      <c r="Y333">
        <v>0.72288513899999995</v>
      </c>
      <c r="Z333">
        <v>3.2834119999999994E-2</v>
      </c>
      <c r="AA333">
        <v>3.2834119999999994E-2</v>
      </c>
    </row>
    <row r="334" spans="1:27" x14ac:dyDescent="0.25">
      <c r="A334" t="s">
        <v>28</v>
      </c>
      <c r="B334" t="s">
        <v>931</v>
      </c>
      <c r="C334">
        <v>17</v>
      </c>
      <c r="D334" t="s">
        <v>29</v>
      </c>
      <c r="E334" t="s">
        <v>94</v>
      </c>
      <c r="F334" t="s">
        <v>113</v>
      </c>
      <c r="G334" t="s">
        <v>113</v>
      </c>
      <c r="H334" t="s">
        <v>247</v>
      </c>
      <c r="J334">
        <v>0</v>
      </c>
      <c r="K334">
        <v>1</v>
      </c>
      <c r="L334">
        <v>83.757575759999995</v>
      </c>
      <c r="M334">
        <v>22.60997987</v>
      </c>
      <c r="N334">
        <v>0.72884000000000004</v>
      </c>
      <c r="O334">
        <v>0.21301339999999999</v>
      </c>
      <c r="P334">
        <v>65.791044779999993</v>
      </c>
      <c r="Q334">
        <v>22.94519201</v>
      </c>
      <c r="R334">
        <v>8.1320334999999994E-2</v>
      </c>
      <c r="S334">
        <v>0.17285655</v>
      </c>
      <c r="T334">
        <v>17.966530980000002</v>
      </c>
      <c r="U334">
        <v>17.966530980000002</v>
      </c>
      <c r="V334">
        <v>-0.33521213999999999</v>
      </c>
      <c r="W334">
        <v>0.33521213999999999</v>
      </c>
      <c r="X334">
        <v>0.64751966500000002</v>
      </c>
      <c r="Y334">
        <v>0.64751966500000002</v>
      </c>
      <c r="Z334">
        <v>4.0156849999999994E-2</v>
      </c>
      <c r="AA334">
        <v>4.0156849999999994E-2</v>
      </c>
    </row>
    <row r="335" spans="1:27" x14ac:dyDescent="0.25">
      <c r="A335" t="s">
        <v>28</v>
      </c>
      <c r="B335" t="s">
        <v>931</v>
      </c>
      <c r="C335">
        <v>18</v>
      </c>
      <c r="D335" t="s">
        <v>29</v>
      </c>
      <c r="E335" t="s">
        <v>94</v>
      </c>
      <c r="F335" t="s">
        <v>113</v>
      </c>
      <c r="G335" t="s">
        <v>113</v>
      </c>
      <c r="H335" t="s">
        <v>239</v>
      </c>
      <c r="J335">
        <v>0</v>
      </c>
      <c r="K335">
        <v>1</v>
      </c>
      <c r="L335">
        <v>83.757575759999995</v>
      </c>
      <c r="M335">
        <v>22.60997987</v>
      </c>
      <c r="N335">
        <v>0.72884000000000004</v>
      </c>
      <c r="O335">
        <v>0.21301339999999999</v>
      </c>
      <c r="P335">
        <v>100.45454549999999</v>
      </c>
      <c r="Q335">
        <v>26.754810689999999</v>
      </c>
      <c r="R335">
        <v>0.75829999999999997</v>
      </c>
      <c r="S335">
        <v>0.40907861000000001</v>
      </c>
      <c r="T335">
        <v>-16.69696974</v>
      </c>
      <c r="U335">
        <v>16.69696974</v>
      </c>
      <c r="V335">
        <v>-4.1448308200000001</v>
      </c>
      <c r="W335">
        <v>4.1448308200000001</v>
      </c>
      <c r="X335">
        <v>-2.946E-2</v>
      </c>
      <c r="Y335">
        <v>2.946E-2</v>
      </c>
      <c r="Z335">
        <v>-0.19606521000000002</v>
      </c>
      <c r="AA335">
        <v>0.19606521000000002</v>
      </c>
    </row>
    <row r="336" spans="1:27" x14ac:dyDescent="0.25">
      <c r="A336" t="s">
        <v>28</v>
      </c>
      <c r="B336" t="s">
        <v>932</v>
      </c>
      <c r="C336">
        <v>15</v>
      </c>
      <c r="D336" t="s">
        <v>29</v>
      </c>
      <c r="E336" t="s">
        <v>94</v>
      </c>
      <c r="F336" t="s">
        <v>103</v>
      </c>
      <c r="G336" t="s">
        <v>102</v>
      </c>
      <c r="H336" t="s">
        <v>102</v>
      </c>
      <c r="J336">
        <v>0</v>
      </c>
      <c r="K336">
        <v>1</v>
      </c>
      <c r="L336">
        <v>98.291666669999998</v>
      </c>
      <c r="M336">
        <v>30.315130790000001</v>
      </c>
      <c r="N336">
        <v>5.0803484000000003E-2</v>
      </c>
      <c r="O336">
        <v>0.42866070000000001</v>
      </c>
      <c r="P336">
        <v>84.740740740000007</v>
      </c>
      <c r="Q336">
        <v>29.167014049999999</v>
      </c>
      <c r="R336">
        <v>1.1169849999999999</v>
      </c>
      <c r="S336">
        <v>1.1571499000000001</v>
      </c>
      <c r="T336">
        <v>13.55092593</v>
      </c>
      <c r="U336">
        <v>13.55092593</v>
      </c>
      <c r="V336">
        <v>1.1481167400000001</v>
      </c>
      <c r="W336">
        <v>1.1481167400000001</v>
      </c>
      <c r="X336">
        <v>-1.0661815160000001</v>
      </c>
      <c r="Y336">
        <v>1.0661815160000001</v>
      </c>
      <c r="Z336">
        <v>-0.72848920000000006</v>
      </c>
      <c r="AA336">
        <v>0.72848920000000006</v>
      </c>
    </row>
    <row r="337" spans="1:27" x14ac:dyDescent="0.25">
      <c r="A337" t="s">
        <v>28</v>
      </c>
      <c r="B337" t="s">
        <v>932</v>
      </c>
      <c r="C337">
        <v>16</v>
      </c>
      <c r="D337" t="s">
        <v>29</v>
      </c>
      <c r="E337" t="s">
        <v>94</v>
      </c>
      <c r="F337" t="s">
        <v>103</v>
      </c>
      <c r="G337" t="s">
        <v>102</v>
      </c>
      <c r="H337" t="s">
        <v>103</v>
      </c>
      <c r="J337">
        <v>0</v>
      </c>
      <c r="K337">
        <v>2</v>
      </c>
      <c r="L337">
        <v>98.291666669999998</v>
      </c>
      <c r="M337">
        <v>30.315130790000001</v>
      </c>
      <c r="N337">
        <v>5.0803484000000003E-2</v>
      </c>
      <c r="O337">
        <v>0.42866070000000001</v>
      </c>
      <c r="P337">
        <v>98.291666669999998</v>
      </c>
      <c r="Q337">
        <v>30.315130790000001</v>
      </c>
      <c r="R337">
        <v>5.0803484000000003E-2</v>
      </c>
      <c r="S337">
        <v>0.42866070000000001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</row>
    <row r="338" spans="1:27" x14ac:dyDescent="0.25">
      <c r="A338" t="s">
        <v>28</v>
      </c>
      <c r="B338" t="s">
        <v>932</v>
      </c>
      <c r="C338">
        <v>16</v>
      </c>
      <c r="D338" t="s">
        <v>29</v>
      </c>
      <c r="E338" t="s">
        <v>94</v>
      </c>
      <c r="F338" t="s">
        <v>103</v>
      </c>
      <c r="G338" t="s">
        <v>102</v>
      </c>
      <c r="H338" t="s">
        <v>103</v>
      </c>
      <c r="J338">
        <v>0</v>
      </c>
      <c r="K338">
        <v>2</v>
      </c>
      <c r="L338">
        <v>98.291666669999998</v>
      </c>
      <c r="M338">
        <v>30.315130790000001</v>
      </c>
      <c r="N338">
        <v>5.0803484000000003E-2</v>
      </c>
      <c r="O338">
        <v>0.42866070000000001</v>
      </c>
      <c r="P338">
        <v>98.291666669999998</v>
      </c>
      <c r="Q338">
        <v>30.315130790000001</v>
      </c>
      <c r="R338">
        <v>5.0803484000000003E-2</v>
      </c>
      <c r="S338">
        <v>0.42866070000000001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</row>
    <row r="339" spans="1:27" x14ac:dyDescent="0.25">
      <c r="A339" t="s">
        <v>28</v>
      </c>
      <c r="B339" t="s">
        <v>933</v>
      </c>
      <c r="C339">
        <v>15</v>
      </c>
      <c r="D339" t="s">
        <v>29</v>
      </c>
      <c r="E339" t="s">
        <v>94</v>
      </c>
      <c r="F339" t="s">
        <v>111</v>
      </c>
      <c r="G339" t="s">
        <v>121</v>
      </c>
      <c r="H339" t="s">
        <v>247</v>
      </c>
      <c r="J339">
        <v>0</v>
      </c>
      <c r="K339">
        <v>1</v>
      </c>
      <c r="L339">
        <v>94.97142857</v>
      </c>
      <c r="M339">
        <v>24.31591813</v>
      </c>
      <c r="N339">
        <v>0.122951111</v>
      </c>
      <c r="O339">
        <v>0.39050790000000002</v>
      </c>
      <c r="P339">
        <v>65.791044779999993</v>
      </c>
      <c r="Q339">
        <v>22.94519201</v>
      </c>
      <c r="R339">
        <v>8.1320334999999994E-2</v>
      </c>
      <c r="S339">
        <v>0.17285655</v>
      </c>
      <c r="T339">
        <v>29.18038379</v>
      </c>
      <c r="U339">
        <v>29.18038379</v>
      </c>
      <c r="V339">
        <v>1.37072612</v>
      </c>
      <c r="W339">
        <v>1.37072612</v>
      </c>
      <c r="X339">
        <v>4.1630776000000001E-2</v>
      </c>
      <c r="Y339">
        <v>4.1630776000000001E-2</v>
      </c>
      <c r="Z339">
        <v>0.21765135000000002</v>
      </c>
      <c r="AA339">
        <v>0.21765135000000002</v>
      </c>
    </row>
    <row r="340" spans="1:27" x14ac:dyDescent="0.25">
      <c r="A340" t="s">
        <v>28</v>
      </c>
      <c r="B340" t="s">
        <v>933</v>
      </c>
      <c r="C340">
        <v>16</v>
      </c>
      <c r="D340" t="s">
        <v>29</v>
      </c>
      <c r="E340" t="s">
        <v>94</v>
      </c>
      <c r="F340" t="s">
        <v>111</v>
      </c>
      <c r="G340" t="s">
        <v>121</v>
      </c>
      <c r="H340" t="s">
        <v>113</v>
      </c>
      <c r="J340">
        <v>0</v>
      </c>
      <c r="K340">
        <v>3</v>
      </c>
      <c r="L340">
        <v>94.97142857</v>
      </c>
      <c r="M340">
        <v>24.31591813</v>
      </c>
      <c r="N340">
        <v>0.122951111</v>
      </c>
      <c r="O340">
        <v>0.39050790000000002</v>
      </c>
      <c r="P340">
        <v>83.757575759999995</v>
      </c>
      <c r="Q340">
        <v>22.60997987</v>
      </c>
      <c r="R340">
        <v>0.72884000000000004</v>
      </c>
      <c r="S340">
        <v>0.21301339999999999</v>
      </c>
      <c r="T340">
        <v>11.213852810000001</v>
      </c>
      <c r="U340">
        <v>11.213852810000001</v>
      </c>
      <c r="V340">
        <v>1.7059382599999999</v>
      </c>
      <c r="W340">
        <v>1.7059382599999999</v>
      </c>
      <c r="X340">
        <v>-0.60588888900000004</v>
      </c>
      <c r="Y340">
        <v>0.60588888900000004</v>
      </c>
      <c r="Z340">
        <v>0.17749450000000003</v>
      </c>
      <c r="AA340">
        <v>0.17749450000000003</v>
      </c>
    </row>
    <row r="341" spans="1:27" x14ac:dyDescent="0.25">
      <c r="A341" t="s">
        <v>28</v>
      </c>
      <c r="B341" t="s">
        <v>933</v>
      </c>
      <c r="C341">
        <v>16</v>
      </c>
      <c r="D341" t="s">
        <v>29</v>
      </c>
      <c r="E341" t="s">
        <v>94</v>
      </c>
      <c r="F341" t="s">
        <v>111</v>
      </c>
      <c r="G341" t="s">
        <v>121</v>
      </c>
      <c r="H341" t="s">
        <v>113</v>
      </c>
      <c r="J341">
        <v>0</v>
      </c>
      <c r="K341">
        <v>3</v>
      </c>
      <c r="L341">
        <v>94.97142857</v>
      </c>
      <c r="M341">
        <v>24.31591813</v>
      </c>
      <c r="N341">
        <v>0.122951111</v>
      </c>
      <c r="O341">
        <v>0.39050790000000002</v>
      </c>
      <c r="P341">
        <v>83.757575759999995</v>
      </c>
      <c r="Q341">
        <v>22.60997987</v>
      </c>
      <c r="R341">
        <v>0.72884000000000004</v>
      </c>
      <c r="S341">
        <v>0.21301339999999999</v>
      </c>
      <c r="T341">
        <v>11.213852810000001</v>
      </c>
      <c r="U341">
        <v>11.213852810000001</v>
      </c>
      <c r="V341">
        <v>1.7059382599999999</v>
      </c>
      <c r="W341">
        <v>1.7059382599999999</v>
      </c>
      <c r="X341">
        <v>-0.60588888900000004</v>
      </c>
      <c r="Y341">
        <v>0.60588888900000004</v>
      </c>
      <c r="Z341">
        <v>0.17749450000000003</v>
      </c>
      <c r="AA341">
        <v>0.17749450000000003</v>
      </c>
    </row>
    <row r="342" spans="1:27" x14ac:dyDescent="0.25">
      <c r="A342" t="s">
        <v>28</v>
      </c>
      <c r="B342" t="s">
        <v>933</v>
      </c>
      <c r="C342">
        <v>16</v>
      </c>
      <c r="D342" t="s">
        <v>29</v>
      </c>
      <c r="E342" t="s">
        <v>94</v>
      </c>
      <c r="F342" t="s">
        <v>111</v>
      </c>
      <c r="G342" t="s">
        <v>121</v>
      </c>
      <c r="H342" t="s">
        <v>113</v>
      </c>
      <c r="J342">
        <v>0</v>
      </c>
      <c r="K342">
        <v>3</v>
      </c>
      <c r="L342">
        <v>94.97142857</v>
      </c>
      <c r="M342">
        <v>24.31591813</v>
      </c>
      <c r="N342">
        <v>0.122951111</v>
      </c>
      <c r="O342">
        <v>0.39050790000000002</v>
      </c>
      <c r="P342">
        <v>83.757575759999995</v>
      </c>
      <c r="Q342">
        <v>22.60997987</v>
      </c>
      <c r="R342">
        <v>0.72884000000000004</v>
      </c>
      <c r="S342">
        <v>0.21301339999999999</v>
      </c>
      <c r="T342">
        <v>11.213852810000001</v>
      </c>
      <c r="U342">
        <v>11.213852810000001</v>
      </c>
      <c r="V342">
        <v>1.7059382599999999</v>
      </c>
      <c r="W342">
        <v>1.7059382599999999</v>
      </c>
      <c r="X342">
        <v>-0.60588888900000004</v>
      </c>
      <c r="Y342">
        <v>0.60588888900000004</v>
      </c>
      <c r="Z342">
        <v>0.17749450000000003</v>
      </c>
      <c r="AA342">
        <v>0.17749450000000003</v>
      </c>
    </row>
    <row r="343" spans="1:27" x14ac:dyDescent="0.25">
      <c r="A343" t="s">
        <v>28</v>
      </c>
      <c r="B343" t="s">
        <v>933</v>
      </c>
      <c r="C343">
        <v>17</v>
      </c>
      <c r="D343" t="s">
        <v>29</v>
      </c>
      <c r="E343" t="s">
        <v>94</v>
      </c>
      <c r="F343" t="s">
        <v>111</v>
      </c>
      <c r="G343" t="s">
        <v>121</v>
      </c>
      <c r="H343" t="s">
        <v>248</v>
      </c>
      <c r="J343">
        <v>0</v>
      </c>
      <c r="K343">
        <v>1</v>
      </c>
      <c r="L343">
        <v>94.97142857</v>
      </c>
      <c r="M343">
        <v>24.31591813</v>
      </c>
      <c r="N343">
        <v>0.122951111</v>
      </c>
      <c r="O343">
        <v>0.39050790000000002</v>
      </c>
      <c r="P343">
        <v>83.92307692</v>
      </c>
      <c r="Q343">
        <v>44.319135699999997</v>
      </c>
      <c r="R343">
        <v>5.9548609999999997E-3</v>
      </c>
      <c r="S343">
        <v>0.18017928</v>
      </c>
      <c r="T343">
        <v>11.048351650000001</v>
      </c>
      <c r="U343">
        <v>11.048351650000001</v>
      </c>
      <c r="V343">
        <v>-20.00321757</v>
      </c>
      <c r="W343">
        <v>20.00321757</v>
      </c>
      <c r="X343">
        <v>0.11699625</v>
      </c>
      <c r="Y343">
        <v>0.11699625</v>
      </c>
      <c r="Z343">
        <v>0.21032862000000002</v>
      </c>
      <c r="AA343">
        <v>0.21032862000000002</v>
      </c>
    </row>
    <row r="344" spans="1:27" x14ac:dyDescent="0.25">
      <c r="A344" t="s">
        <v>28</v>
      </c>
      <c r="B344" t="s">
        <v>934</v>
      </c>
      <c r="C344">
        <v>15</v>
      </c>
      <c r="D344" t="s">
        <v>29</v>
      </c>
      <c r="E344" t="s">
        <v>94</v>
      </c>
      <c r="F344" t="s">
        <v>112</v>
      </c>
      <c r="G344" t="s">
        <v>121</v>
      </c>
      <c r="H344" t="s">
        <v>103</v>
      </c>
      <c r="J344">
        <v>0</v>
      </c>
      <c r="K344">
        <v>4</v>
      </c>
      <c r="L344">
        <v>65.09375</v>
      </c>
      <c r="M344">
        <v>37.895352600000002</v>
      </c>
      <c r="N344">
        <v>2.2882677779999998</v>
      </c>
      <c r="O344">
        <v>2.2111774</v>
      </c>
      <c r="P344">
        <v>98.291666669999998</v>
      </c>
      <c r="Q344">
        <v>30.315130790000001</v>
      </c>
      <c r="R344">
        <v>5.0803484000000003E-2</v>
      </c>
      <c r="S344">
        <v>0.42866070000000001</v>
      </c>
      <c r="T344">
        <v>-33.197916669999998</v>
      </c>
      <c r="U344">
        <v>33.197916669999998</v>
      </c>
      <c r="V344">
        <v>7.5802218100000003</v>
      </c>
      <c r="W344">
        <v>7.5802218100000003</v>
      </c>
      <c r="X344">
        <v>2.237464294</v>
      </c>
      <c r="Y344">
        <v>2.237464294</v>
      </c>
      <c r="Z344">
        <v>1.7825167</v>
      </c>
      <c r="AA344">
        <v>1.7825167</v>
      </c>
    </row>
    <row r="345" spans="1:27" x14ac:dyDescent="0.25">
      <c r="A345" t="s">
        <v>28</v>
      </c>
      <c r="B345" t="s">
        <v>934</v>
      </c>
      <c r="C345">
        <v>15</v>
      </c>
      <c r="D345" t="s">
        <v>29</v>
      </c>
      <c r="E345" t="s">
        <v>94</v>
      </c>
      <c r="F345" t="s">
        <v>112</v>
      </c>
      <c r="G345" t="s">
        <v>121</v>
      </c>
      <c r="H345" t="s">
        <v>103</v>
      </c>
      <c r="J345">
        <v>0</v>
      </c>
      <c r="K345">
        <v>4</v>
      </c>
      <c r="L345">
        <v>65.09375</v>
      </c>
      <c r="M345">
        <v>37.895352600000002</v>
      </c>
      <c r="N345">
        <v>2.2882677779999998</v>
      </c>
      <c r="O345">
        <v>2.2111774</v>
      </c>
      <c r="P345">
        <v>98.291666669999998</v>
      </c>
      <c r="Q345">
        <v>30.315130790000001</v>
      </c>
      <c r="R345">
        <v>5.0803484000000003E-2</v>
      </c>
      <c r="S345">
        <v>0.42866070000000001</v>
      </c>
      <c r="T345">
        <v>-33.197916669999998</v>
      </c>
      <c r="U345">
        <v>33.197916669999998</v>
      </c>
      <c r="V345">
        <v>7.5802218100000003</v>
      </c>
      <c r="W345">
        <v>7.5802218100000003</v>
      </c>
      <c r="X345">
        <v>2.237464294</v>
      </c>
      <c r="Y345">
        <v>2.237464294</v>
      </c>
      <c r="Z345">
        <v>1.7825167</v>
      </c>
      <c r="AA345">
        <v>1.7825167</v>
      </c>
    </row>
    <row r="346" spans="1:27" x14ac:dyDescent="0.25">
      <c r="A346" t="s">
        <v>28</v>
      </c>
      <c r="B346" t="s">
        <v>934</v>
      </c>
      <c r="C346">
        <v>15</v>
      </c>
      <c r="D346" t="s">
        <v>29</v>
      </c>
      <c r="E346" t="s">
        <v>94</v>
      </c>
      <c r="F346" t="s">
        <v>112</v>
      </c>
      <c r="G346" t="s">
        <v>121</v>
      </c>
      <c r="H346" t="s">
        <v>103</v>
      </c>
      <c r="J346">
        <v>0</v>
      </c>
      <c r="K346">
        <v>4</v>
      </c>
      <c r="L346">
        <v>65.09375</v>
      </c>
      <c r="M346">
        <v>37.895352600000002</v>
      </c>
      <c r="N346">
        <v>2.2882677779999998</v>
      </c>
      <c r="O346">
        <v>2.2111774</v>
      </c>
      <c r="P346">
        <v>98.291666669999998</v>
      </c>
      <c r="Q346">
        <v>30.315130790000001</v>
      </c>
      <c r="R346">
        <v>5.0803484000000003E-2</v>
      </c>
      <c r="S346">
        <v>0.42866070000000001</v>
      </c>
      <c r="T346">
        <v>-33.197916669999998</v>
      </c>
      <c r="U346">
        <v>33.197916669999998</v>
      </c>
      <c r="V346">
        <v>7.5802218100000003</v>
      </c>
      <c r="W346">
        <v>7.5802218100000003</v>
      </c>
      <c r="X346">
        <v>2.237464294</v>
      </c>
      <c r="Y346">
        <v>2.237464294</v>
      </c>
      <c r="Z346">
        <v>1.7825167</v>
      </c>
      <c r="AA346">
        <v>1.7825167</v>
      </c>
    </row>
    <row r="347" spans="1:27" x14ac:dyDescent="0.25">
      <c r="A347" t="s">
        <v>28</v>
      </c>
      <c r="B347" t="s">
        <v>934</v>
      </c>
      <c r="C347">
        <v>15</v>
      </c>
      <c r="D347" t="s">
        <v>29</v>
      </c>
      <c r="E347" t="s">
        <v>94</v>
      </c>
      <c r="F347" t="s">
        <v>112</v>
      </c>
      <c r="G347" t="s">
        <v>121</v>
      </c>
      <c r="H347" t="s">
        <v>103</v>
      </c>
      <c r="J347">
        <v>0</v>
      </c>
      <c r="K347">
        <v>4</v>
      </c>
      <c r="L347">
        <v>65.09375</v>
      </c>
      <c r="M347">
        <v>37.895352600000002</v>
      </c>
      <c r="N347">
        <v>2.2882677779999998</v>
      </c>
      <c r="O347">
        <v>2.2111774</v>
      </c>
      <c r="P347">
        <v>98.291666669999998</v>
      </c>
      <c r="Q347">
        <v>30.315130790000001</v>
      </c>
      <c r="R347">
        <v>5.0803484000000003E-2</v>
      </c>
      <c r="S347">
        <v>0.42866070000000001</v>
      </c>
      <c r="T347">
        <v>-33.197916669999998</v>
      </c>
      <c r="U347">
        <v>33.197916669999998</v>
      </c>
      <c r="V347">
        <v>7.5802218100000003</v>
      </c>
      <c r="W347">
        <v>7.5802218100000003</v>
      </c>
      <c r="X347">
        <v>2.237464294</v>
      </c>
      <c r="Y347">
        <v>2.237464294</v>
      </c>
      <c r="Z347">
        <v>1.7825167</v>
      </c>
      <c r="AA347">
        <v>1.7825167</v>
      </c>
    </row>
    <row r="348" spans="1:27" x14ac:dyDescent="0.25">
      <c r="A348" t="s">
        <v>28</v>
      </c>
      <c r="B348" t="s">
        <v>934</v>
      </c>
      <c r="C348">
        <v>16</v>
      </c>
      <c r="D348" t="s">
        <v>29</v>
      </c>
      <c r="E348" t="s">
        <v>94</v>
      </c>
      <c r="F348" t="s">
        <v>112</v>
      </c>
      <c r="G348" t="s">
        <v>121</v>
      </c>
      <c r="H348" t="s">
        <v>113</v>
      </c>
      <c r="J348">
        <v>0</v>
      </c>
      <c r="K348">
        <v>6</v>
      </c>
      <c r="L348">
        <v>65.09375</v>
      </c>
      <c r="M348">
        <v>37.895352600000002</v>
      </c>
      <c r="N348">
        <v>2.2882677779999998</v>
      </c>
      <c r="O348">
        <v>2.2111774</v>
      </c>
      <c r="P348">
        <v>83.757575759999995</v>
      </c>
      <c r="Q348">
        <v>22.60997987</v>
      </c>
      <c r="R348">
        <v>0.72884000000000004</v>
      </c>
      <c r="S348">
        <v>0.21301339999999999</v>
      </c>
      <c r="T348">
        <v>-18.663825760000002</v>
      </c>
      <c r="U348">
        <v>18.663825760000002</v>
      </c>
      <c r="V348">
        <v>15.285372730000001</v>
      </c>
      <c r="W348">
        <v>15.285372730000001</v>
      </c>
      <c r="X348">
        <v>1.5594277780000001</v>
      </c>
      <c r="Y348">
        <v>1.5594277780000001</v>
      </c>
      <c r="Z348">
        <v>1.9981640000000001</v>
      </c>
      <c r="AA348">
        <v>1.9981640000000001</v>
      </c>
    </row>
    <row r="349" spans="1:27" x14ac:dyDescent="0.25">
      <c r="A349" t="s">
        <v>28</v>
      </c>
      <c r="B349" t="s">
        <v>934</v>
      </c>
      <c r="C349">
        <v>16</v>
      </c>
      <c r="D349" t="s">
        <v>29</v>
      </c>
      <c r="E349" t="s">
        <v>94</v>
      </c>
      <c r="F349" t="s">
        <v>112</v>
      </c>
      <c r="G349" t="s">
        <v>121</v>
      </c>
      <c r="H349" t="s">
        <v>113</v>
      </c>
      <c r="J349">
        <v>0</v>
      </c>
      <c r="K349">
        <v>6</v>
      </c>
      <c r="L349">
        <v>65.09375</v>
      </c>
      <c r="M349">
        <v>37.895352600000002</v>
      </c>
      <c r="N349">
        <v>2.2882677779999998</v>
      </c>
      <c r="O349">
        <v>2.2111774</v>
      </c>
      <c r="P349">
        <v>83.757575759999995</v>
      </c>
      <c r="Q349">
        <v>22.60997987</v>
      </c>
      <c r="R349">
        <v>0.72884000000000004</v>
      </c>
      <c r="S349">
        <v>0.21301339999999999</v>
      </c>
      <c r="T349">
        <v>-18.663825760000002</v>
      </c>
      <c r="U349">
        <v>18.663825760000002</v>
      </c>
      <c r="V349">
        <v>15.285372730000001</v>
      </c>
      <c r="W349">
        <v>15.285372730000001</v>
      </c>
      <c r="X349">
        <v>1.5594277780000001</v>
      </c>
      <c r="Y349">
        <v>1.5594277780000001</v>
      </c>
      <c r="Z349">
        <v>1.9981640000000001</v>
      </c>
      <c r="AA349">
        <v>1.9981640000000001</v>
      </c>
    </row>
    <row r="350" spans="1:27" x14ac:dyDescent="0.25">
      <c r="A350" t="s">
        <v>28</v>
      </c>
      <c r="B350" t="s">
        <v>934</v>
      </c>
      <c r="C350">
        <v>16</v>
      </c>
      <c r="D350" t="s">
        <v>29</v>
      </c>
      <c r="E350" t="s">
        <v>94</v>
      </c>
      <c r="F350" t="s">
        <v>112</v>
      </c>
      <c r="G350" t="s">
        <v>121</v>
      </c>
      <c r="H350" t="s">
        <v>113</v>
      </c>
      <c r="J350">
        <v>0</v>
      </c>
      <c r="K350">
        <v>6</v>
      </c>
      <c r="L350">
        <v>65.09375</v>
      </c>
      <c r="M350">
        <v>37.895352600000002</v>
      </c>
      <c r="N350">
        <v>2.2882677779999998</v>
      </c>
      <c r="O350">
        <v>2.2111774</v>
      </c>
      <c r="P350">
        <v>83.757575759999995</v>
      </c>
      <c r="Q350">
        <v>22.60997987</v>
      </c>
      <c r="R350">
        <v>0.72884000000000004</v>
      </c>
      <c r="S350">
        <v>0.21301339999999999</v>
      </c>
      <c r="T350">
        <v>-18.663825760000002</v>
      </c>
      <c r="U350">
        <v>18.663825760000002</v>
      </c>
      <c r="V350">
        <v>15.285372730000001</v>
      </c>
      <c r="W350">
        <v>15.285372730000001</v>
      </c>
      <c r="X350">
        <v>1.5594277780000001</v>
      </c>
      <c r="Y350">
        <v>1.5594277780000001</v>
      </c>
      <c r="Z350">
        <v>1.9981640000000001</v>
      </c>
      <c r="AA350">
        <v>1.9981640000000001</v>
      </c>
    </row>
    <row r="351" spans="1:27" x14ac:dyDescent="0.25">
      <c r="A351" t="s">
        <v>28</v>
      </c>
      <c r="B351" t="s">
        <v>934</v>
      </c>
      <c r="C351">
        <v>16</v>
      </c>
      <c r="D351" t="s">
        <v>29</v>
      </c>
      <c r="E351" t="s">
        <v>94</v>
      </c>
      <c r="F351" t="s">
        <v>112</v>
      </c>
      <c r="G351" t="s">
        <v>121</v>
      </c>
      <c r="H351" t="s">
        <v>113</v>
      </c>
      <c r="J351">
        <v>0</v>
      </c>
      <c r="K351">
        <v>6</v>
      </c>
      <c r="L351">
        <v>65.09375</v>
      </c>
      <c r="M351">
        <v>37.895352600000002</v>
      </c>
      <c r="N351">
        <v>2.2882677779999998</v>
      </c>
      <c r="O351">
        <v>2.2111774</v>
      </c>
      <c r="P351">
        <v>83.757575759999995</v>
      </c>
      <c r="Q351">
        <v>22.60997987</v>
      </c>
      <c r="R351">
        <v>0.72884000000000004</v>
      </c>
      <c r="S351">
        <v>0.21301339999999999</v>
      </c>
      <c r="T351">
        <v>-18.663825760000002</v>
      </c>
      <c r="U351">
        <v>18.663825760000002</v>
      </c>
      <c r="V351">
        <v>15.285372730000001</v>
      </c>
      <c r="W351">
        <v>15.285372730000001</v>
      </c>
      <c r="X351">
        <v>1.5594277780000001</v>
      </c>
      <c r="Y351">
        <v>1.5594277780000001</v>
      </c>
      <c r="Z351">
        <v>1.9981640000000001</v>
      </c>
      <c r="AA351">
        <v>1.9981640000000001</v>
      </c>
    </row>
    <row r="352" spans="1:27" x14ac:dyDescent="0.25">
      <c r="A352" t="s">
        <v>28</v>
      </c>
      <c r="B352" t="s">
        <v>934</v>
      </c>
      <c r="C352">
        <v>16</v>
      </c>
      <c r="D352" t="s">
        <v>29</v>
      </c>
      <c r="E352" t="s">
        <v>94</v>
      </c>
      <c r="F352" t="s">
        <v>112</v>
      </c>
      <c r="G352" t="s">
        <v>121</v>
      </c>
      <c r="H352" t="s">
        <v>113</v>
      </c>
      <c r="J352">
        <v>0</v>
      </c>
      <c r="K352">
        <v>6</v>
      </c>
      <c r="L352">
        <v>65.09375</v>
      </c>
      <c r="M352">
        <v>37.895352600000002</v>
      </c>
      <c r="N352">
        <v>2.2882677779999998</v>
      </c>
      <c r="O352">
        <v>2.2111774</v>
      </c>
      <c r="P352">
        <v>83.757575759999995</v>
      </c>
      <c r="Q352">
        <v>22.60997987</v>
      </c>
      <c r="R352">
        <v>0.72884000000000004</v>
      </c>
      <c r="S352">
        <v>0.21301339999999999</v>
      </c>
      <c r="T352">
        <v>-18.663825760000002</v>
      </c>
      <c r="U352">
        <v>18.663825760000002</v>
      </c>
      <c r="V352">
        <v>15.285372730000001</v>
      </c>
      <c r="W352">
        <v>15.285372730000001</v>
      </c>
      <c r="X352">
        <v>1.5594277780000001</v>
      </c>
      <c r="Y352">
        <v>1.5594277780000001</v>
      </c>
      <c r="Z352">
        <v>1.9981640000000001</v>
      </c>
      <c r="AA352">
        <v>1.9981640000000001</v>
      </c>
    </row>
    <row r="353" spans="1:27" x14ac:dyDescent="0.25">
      <c r="A353" t="s">
        <v>28</v>
      </c>
      <c r="B353" t="s">
        <v>934</v>
      </c>
      <c r="C353">
        <v>16</v>
      </c>
      <c r="D353" t="s">
        <v>29</v>
      </c>
      <c r="E353" t="s">
        <v>94</v>
      </c>
      <c r="F353" t="s">
        <v>112</v>
      </c>
      <c r="G353" t="s">
        <v>121</v>
      </c>
      <c r="H353" t="s">
        <v>113</v>
      </c>
      <c r="J353">
        <v>0</v>
      </c>
      <c r="K353">
        <v>6</v>
      </c>
      <c r="L353">
        <v>65.09375</v>
      </c>
      <c r="M353">
        <v>37.895352600000002</v>
      </c>
      <c r="N353">
        <v>2.2882677779999998</v>
      </c>
      <c r="O353">
        <v>2.2111774</v>
      </c>
      <c r="P353">
        <v>83.757575759999995</v>
      </c>
      <c r="Q353">
        <v>22.60997987</v>
      </c>
      <c r="R353">
        <v>0.72884000000000004</v>
      </c>
      <c r="S353">
        <v>0.21301339999999999</v>
      </c>
      <c r="T353">
        <v>-18.663825760000002</v>
      </c>
      <c r="U353">
        <v>18.663825760000002</v>
      </c>
      <c r="V353">
        <v>15.285372730000001</v>
      </c>
      <c r="W353">
        <v>15.285372730000001</v>
      </c>
      <c r="X353">
        <v>1.5594277780000001</v>
      </c>
      <c r="Y353">
        <v>1.5594277780000001</v>
      </c>
      <c r="Z353">
        <v>1.9981640000000001</v>
      </c>
      <c r="AA353">
        <v>1.9981640000000001</v>
      </c>
    </row>
    <row r="354" spans="1:27" x14ac:dyDescent="0.25">
      <c r="A354" t="s">
        <v>28</v>
      </c>
      <c r="B354" t="s">
        <v>934</v>
      </c>
      <c r="C354">
        <v>17</v>
      </c>
      <c r="D354" t="s">
        <v>29</v>
      </c>
      <c r="E354" t="s">
        <v>94</v>
      </c>
      <c r="F354" t="s">
        <v>112</v>
      </c>
      <c r="G354" t="s">
        <v>121</v>
      </c>
      <c r="H354" t="s">
        <v>248</v>
      </c>
      <c r="J354">
        <v>0</v>
      </c>
      <c r="K354">
        <v>3</v>
      </c>
      <c r="L354">
        <v>65.09375</v>
      </c>
      <c r="M354">
        <v>37.895352600000002</v>
      </c>
      <c r="N354">
        <v>2.2882677779999998</v>
      </c>
      <c r="O354">
        <v>2.2111774</v>
      </c>
      <c r="P354">
        <v>83.92307692</v>
      </c>
      <c r="Q354">
        <v>44.319135699999997</v>
      </c>
      <c r="R354">
        <v>5.9548609999999997E-3</v>
      </c>
      <c r="S354">
        <v>0.18017928</v>
      </c>
      <c r="T354">
        <v>-18.82932692</v>
      </c>
      <c r="U354">
        <v>18.82932692</v>
      </c>
      <c r="V354">
        <v>-6.4237830999999996</v>
      </c>
      <c r="W354">
        <v>6.4237830999999996</v>
      </c>
      <c r="X354">
        <v>2.2823129170000001</v>
      </c>
      <c r="Y354">
        <v>2.2823129170000001</v>
      </c>
      <c r="Z354">
        <v>2.03099812</v>
      </c>
      <c r="AA354">
        <v>2.03099812</v>
      </c>
    </row>
    <row r="355" spans="1:27" x14ac:dyDescent="0.25">
      <c r="A355" t="s">
        <v>28</v>
      </c>
      <c r="B355" t="s">
        <v>934</v>
      </c>
      <c r="C355">
        <v>17</v>
      </c>
      <c r="D355" t="s">
        <v>29</v>
      </c>
      <c r="E355" t="s">
        <v>94</v>
      </c>
      <c r="F355" t="s">
        <v>112</v>
      </c>
      <c r="G355" t="s">
        <v>121</v>
      </c>
      <c r="H355" t="s">
        <v>248</v>
      </c>
      <c r="J355">
        <v>0</v>
      </c>
      <c r="K355">
        <v>3</v>
      </c>
      <c r="L355">
        <v>65.09375</v>
      </c>
      <c r="M355">
        <v>37.895352600000002</v>
      </c>
      <c r="N355">
        <v>2.2882677779999998</v>
      </c>
      <c r="O355">
        <v>2.2111774</v>
      </c>
      <c r="P355">
        <v>83.92307692</v>
      </c>
      <c r="Q355">
        <v>44.319135699999997</v>
      </c>
      <c r="R355">
        <v>5.9548609999999997E-3</v>
      </c>
      <c r="S355">
        <v>0.18017928</v>
      </c>
      <c r="T355">
        <v>-18.82932692</v>
      </c>
      <c r="U355">
        <v>18.82932692</v>
      </c>
      <c r="V355">
        <v>-6.4237830999999996</v>
      </c>
      <c r="W355">
        <v>6.4237830999999996</v>
      </c>
      <c r="X355">
        <v>2.2823129170000001</v>
      </c>
      <c r="Y355">
        <v>2.2823129170000001</v>
      </c>
      <c r="Z355">
        <v>2.03099812</v>
      </c>
      <c r="AA355">
        <v>2.03099812</v>
      </c>
    </row>
    <row r="356" spans="1:27" x14ac:dyDescent="0.25">
      <c r="A356" t="s">
        <v>28</v>
      </c>
      <c r="B356" t="s">
        <v>934</v>
      </c>
      <c r="C356">
        <v>17</v>
      </c>
      <c r="D356" t="s">
        <v>29</v>
      </c>
      <c r="E356" t="s">
        <v>94</v>
      </c>
      <c r="F356" t="s">
        <v>112</v>
      </c>
      <c r="G356" t="s">
        <v>121</v>
      </c>
      <c r="H356" t="s">
        <v>248</v>
      </c>
      <c r="J356">
        <v>0</v>
      </c>
      <c r="K356">
        <v>3</v>
      </c>
      <c r="L356">
        <v>65.09375</v>
      </c>
      <c r="M356">
        <v>37.895352600000002</v>
      </c>
      <c r="N356">
        <v>2.2882677779999998</v>
      </c>
      <c r="O356">
        <v>2.2111774</v>
      </c>
      <c r="P356">
        <v>83.92307692</v>
      </c>
      <c r="Q356">
        <v>44.319135699999997</v>
      </c>
      <c r="R356">
        <v>5.9548609999999997E-3</v>
      </c>
      <c r="S356">
        <v>0.18017928</v>
      </c>
      <c r="T356">
        <v>-18.82932692</v>
      </c>
      <c r="U356">
        <v>18.82932692</v>
      </c>
      <c r="V356">
        <v>-6.4237830999999996</v>
      </c>
      <c r="W356">
        <v>6.4237830999999996</v>
      </c>
      <c r="X356">
        <v>2.2823129170000001</v>
      </c>
      <c r="Y356">
        <v>2.2823129170000001</v>
      </c>
      <c r="Z356">
        <v>2.03099812</v>
      </c>
      <c r="AA356">
        <v>2.03099812</v>
      </c>
    </row>
    <row r="357" spans="1:27" x14ac:dyDescent="0.25">
      <c r="A357" t="s">
        <v>30</v>
      </c>
      <c r="B357" t="s">
        <v>935</v>
      </c>
      <c r="C357">
        <v>15</v>
      </c>
      <c r="D357" t="s">
        <v>31</v>
      </c>
      <c r="E357" t="s">
        <v>95</v>
      </c>
      <c r="F357" t="s">
        <v>113</v>
      </c>
      <c r="G357" t="s">
        <v>121</v>
      </c>
      <c r="H357" t="s">
        <v>113</v>
      </c>
      <c r="J357">
        <v>0</v>
      </c>
      <c r="K357">
        <v>1</v>
      </c>
      <c r="L357">
        <v>83.757575759999995</v>
      </c>
      <c r="M357">
        <v>22.60997987</v>
      </c>
      <c r="N357">
        <v>0.72884000000000004</v>
      </c>
      <c r="O357">
        <v>0.21301339999999999</v>
      </c>
      <c r="P357">
        <v>83.757575759999995</v>
      </c>
      <c r="Q357">
        <v>22.60997987</v>
      </c>
      <c r="R357">
        <v>0.72884000000000004</v>
      </c>
      <c r="S357">
        <v>0.21301339999999999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</row>
    <row r="358" spans="1:27" ht="15.75" customHeight="1" x14ac:dyDescent="0.25">
      <c r="A358" t="s">
        <v>30</v>
      </c>
      <c r="B358" t="s">
        <v>935</v>
      </c>
      <c r="C358">
        <v>16</v>
      </c>
      <c r="D358" t="s">
        <v>31</v>
      </c>
      <c r="E358" t="s">
        <v>95</v>
      </c>
      <c r="F358" t="s">
        <v>113</v>
      </c>
      <c r="G358" t="s">
        <v>121</v>
      </c>
      <c r="H358" t="s">
        <v>103</v>
      </c>
      <c r="J358">
        <v>0</v>
      </c>
      <c r="K358">
        <v>2</v>
      </c>
      <c r="L358">
        <v>83.757575759999995</v>
      </c>
      <c r="M358">
        <v>22.60997987</v>
      </c>
      <c r="N358">
        <v>0.72884000000000004</v>
      </c>
      <c r="O358">
        <v>0.21301339999999999</v>
      </c>
      <c r="P358">
        <v>98.291666669999998</v>
      </c>
      <c r="Q358">
        <v>30.315130790000001</v>
      </c>
      <c r="R358">
        <v>5.0803484000000003E-2</v>
      </c>
      <c r="S358">
        <v>0.42866070000000001</v>
      </c>
      <c r="T358">
        <v>-14.53409091</v>
      </c>
      <c r="U358">
        <v>14.53409091</v>
      </c>
      <c r="V358">
        <v>-7.7051509200000003</v>
      </c>
      <c r="W358">
        <v>7.7051509200000003</v>
      </c>
      <c r="X358">
        <v>0.67803651600000003</v>
      </c>
      <c r="Y358">
        <v>0.67803651600000003</v>
      </c>
      <c r="Z358">
        <v>-0.21564730000000001</v>
      </c>
      <c r="AA358">
        <v>0.21564730000000001</v>
      </c>
    </row>
    <row r="359" spans="1:27" ht="15.75" customHeight="1" x14ac:dyDescent="0.25">
      <c r="A359" t="s">
        <v>30</v>
      </c>
      <c r="B359" t="s">
        <v>935</v>
      </c>
      <c r="C359">
        <v>16</v>
      </c>
      <c r="D359" t="s">
        <v>31</v>
      </c>
      <c r="E359" t="s">
        <v>95</v>
      </c>
      <c r="F359" t="s">
        <v>113</v>
      </c>
      <c r="G359" t="s">
        <v>121</v>
      </c>
      <c r="H359" t="s">
        <v>103</v>
      </c>
      <c r="J359">
        <v>0</v>
      </c>
      <c r="K359">
        <v>2</v>
      </c>
      <c r="L359">
        <v>83.757575759999995</v>
      </c>
      <c r="M359">
        <v>22.60997987</v>
      </c>
      <c r="N359">
        <v>0.72884000000000004</v>
      </c>
      <c r="O359">
        <v>0.21301339999999999</v>
      </c>
      <c r="P359">
        <v>98.291666669999998</v>
      </c>
      <c r="Q359">
        <v>30.315130790000001</v>
      </c>
      <c r="R359">
        <v>5.0803484000000003E-2</v>
      </c>
      <c r="S359">
        <v>0.42866070000000001</v>
      </c>
      <c r="T359">
        <v>-14.53409091</v>
      </c>
      <c r="U359">
        <v>14.53409091</v>
      </c>
      <c r="V359">
        <v>-7.7051509200000003</v>
      </c>
      <c r="W359">
        <v>7.7051509200000003</v>
      </c>
      <c r="X359">
        <v>0.67803651600000003</v>
      </c>
      <c r="Y359">
        <v>0.67803651600000003</v>
      </c>
      <c r="Z359">
        <v>-0.21564730000000001</v>
      </c>
      <c r="AA359">
        <v>0.21564730000000001</v>
      </c>
    </row>
    <row r="360" spans="1:27" x14ac:dyDescent="0.25">
      <c r="A360" t="s">
        <v>30</v>
      </c>
      <c r="B360" t="s">
        <v>935</v>
      </c>
      <c r="C360">
        <v>17</v>
      </c>
      <c r="D360" t="s">
        <v>31</v>
      </c>
      <c r="E360" t="s">
        <v>95</v>
      </c>
      <c r="F360" t="s">
        <v>113</v>
      </c>
      <c r="G360" t="s">
        <v>121</v>
      </c>
      <c r="H360" t="s">
        <v>248</v>
      </c>
      <c r="J360">
        <v>0</v>
      </c>
      <c r="K360">
        <v>9</v>
      </c>
      <c r="L360">
        <v>83.757575759999995</v>
      </c>
      <c r="M360">
        <v>22.60997987</v>
      </c>
      <c r="N360">
        <v>0.72884000000000004</v>
      </c>
      <c r="O360">
        <v>0.21301339999999999</v>
      </c>
      <c r="P360">
        <v>83.92307692</v>
      </c>
      <c r="Q360">
        <v>44.319135699999997</v>
      </c>
      <c r="R360">
        <v>5.9548609999999997E-3</v>
      </c>
      <c r="S360">
        <v>0.18017928</v>
      </c>
      <c r="T360">
        <v>-0.16550116000000001</v>
      </c>
      <c r="U360">
        <v>0.16550116000000001</v>
      </c>
      <c r="V360">
        <v>-21.70915583</v>
      </c>
      <c r="W360">
        <v>21.70915583</v>
      </c>
      <c r="X360">
        <v>0.72288513899999995</v>
      </c>
      <c r="Y360">
        <v>0.72288513899999995</v>
      </c>
      <c r="Z360">
        <v>3.2834119999999994E-2</v>
      </c>
      <c r="AA360">
        <v>3.2834119999999994E-2</v>
      </c>
    </row>
    <row r="361" spans="1:27" x14ac:dyDescent="0.25">
      <c r="A361" t="s">
        <v>30</v>
      </c>
      <c r="B361" t="s">
        <v>935</v>
      </c>
      <c r="C361">
        <v>17</v>
      </c>
      <c r="D361" t="s">
        <v>31</v>
      </c>
      <c r="E361" t="s">
        <v>95</v>
      </c>
      <c r="F361" t="s">
        <v>113</v>
      </c>
      <c r="G361" t="s">
        <v>121</v>
      </c>
      <c r="H361" t="s">
        <v>248</v>
      </c>
      <c r="J361">
        <v>0</v>
      </c>
      <c r="K361">
        <v>9</v>
      </c>
      <c r="L361">
        <v>83.757575759999995</v>
      </c>
      <c r="M361">
        <v>22.60997987</v>
      </c>
      <c r="N361">
        <v>0.72884000000000004</v>
      </c>
      <c r="O361">
        <v>0.21301339999999999</v>
      </c>
      <c r="P361">
        <v>83.92307692</v>
      </c>
      <c r="Q361">
        <v>44.319135699999997</v>
      </c>
      <c r="R361">
        <v>5.9548609999999997E-3</v>
      </c>
      <c r="S361">
        <v>0.18017928</v>
      </c>
      <c r="T361">
        <v>-0.16550116000000001</v>
      </c>
      <c r="U361">
        <v>0.16550116000000001</v>
      </c>
      <c r="V361">
        <v>-21.70915583</v>
      </c>
      <c r="W361">
        <v>21.70915583</v>
      </c>
      <c r="X361">
        <v>0.72288513899999995</v>
      </c>
      <c r="Y361">
        <v>0.72288513899999995</v>
      </c>
      <c r="Z361">
        <v>3.2834119999999994E-2</v>
      </c>
      <c r="AA361">
        <v>3.2834119999999994E-2</v>
      </c>
    </row>
    <row r="362" spans="1:27" x14ac:dyDescent="0.25">
      <c r="A362" t="s">
        <v>30</v>
      </c>
      <c r="B362" t="s">
        <v>935</v>
      </c>
      <c r="C362">
        <v>17</v>
      </c>
      <c r="D362" t="s">
        <v>31</v>
      </c>
      <c r="E362" t="s">
        <v>95</v>
      </c>
      <c r="F362" t="s">
        <v>113</v>
      </c>
      <c r="G362" t="s">
        <v>121</v>
      </c>
      <c r="H362" t="s">
        <v>248</v>
      </c>
      <c r="J362">
        <v>0</v>
      </c>
      <c r="K362">
        <v>9</v>
      </c>
      <c r="L362">
        <v>83.757575759999995</v>
      </c>
      <c r="M362">
        <v>22.60997987</v>
      </c>
      <c r="N362">
        <v>0.72884000000000004</v>
      </c>
      <c r="O362">
        <v>0.21301339999999999</v>
      </c>
      <c r="P362">
        <v>83.92307692</v>
      </c>
      <c r="Q362">
        <v>44.319135699999997</v>
      </c>
      <c r="R362">
        <v>5.9548609999999997E-3</v>
      </c>
      <c r="S362">
        <v>0.18017928</v>
      </c>
      <c r="T362">
        <v>-0.16550116000000001</v>
      </c>
      <c r="U362">
        <v>0.16550116000000001</v>
      </c>
      <c r="V362">
        <v>-21.70915583</v>
      </c>
      <c r="W362">
        <v>21.70915583</v>
      </c>
      <c r="X362">
        <v>0.72288513899999995</v>
      </c>
      <c r="Y362">
        <v>0.72288513899999995</v>
      </c>
      <c r="Z362">
        <v>3.2834119999999994E-2</v>
      </c>
      <c r="AA362">
        <v>3.2834119999999994E-2</v>
      </c>
    </row>
    <row r="363" spans="1:27" x14ac:dyDescent="0.25">
      <c r="A363" t="s">
        <v>30</v>
      </c>
      <c r="B363" t="s">
        <v>935</v>
      </c>
      <c r="C363">
        <v>17</v>
      </c>
      <c r="D363" t="s">
        <v>31</v>
      </c>
      <c r="E363" t="s">
        <v>95</v>
      </c>
      <c r="F363" t="s">
        <v>113</v>
      </c>
      <c r="G363" t="s">
        <v>121</v>
      </c>
      <c r="H363" t="s">
        <v>248</v>
      </c>
      <c r="J363">
        <v>0</v>
      </c>
      <c r="K363">
        <v>9</v>
      </c>
      <c r="L363">
        <v>83.757575759999995</v>
      </c>
      <c r="M363">
        <v>22.60997987</v>
      </c>
      <c r="N363">
        <v>0.72884000000000004</v>
      </c>
      <c r="O363">
        <v>0.21301339999999999</v>
      </c>
      <c r="P363">
        <v>83.92307692</v>
      </c>
      <c r="Q363">
        <v>44.319135699999997</v>
      </c>
      <c r="R363">
        <v>5.9548609999999997E-3</v>
      </c>
      <c r="S363">
        <v>0.18017928</v>
      </c>
      <c r="T363">
        <v>-0.16550116000000001</v>
      </c>
      <c r="U363">
        <v>0.16550116000000001</v>
      </c>
      <c r="V363">
        <v>-21.70915583</v>
      </c>
      <c r="W363">
        <v>21.70915583</v>
      </c>
      <c r="X363">
        <v>0.72288513899999995</v>
      </c>
      <c r="Y363">
        <v>0.72288513899999995</v>
      </c>
      <c r="Z363">
        <v>3.2834119999999994E-2</v>
      </c>
      <c r="AA363">
        <v>3.2834119999999994E-2</v>
      </c>
    </row>
    <row r="364" spans="1:27" x14ac:dyDescent="0.25">
      <c r="A364" t="s">
        <v>30</v>
      </c>
      <c r="B364" t="s">
        <v>935</v>
      </c>
      <c r="C364">
        <v>17</v>
      </c>
      <c r="D364" t="s">
        <v>31</v>
      </c>
      <c r="E364" t="s">
        <v>95</v>
      </c>
      <c r="F364" t="s">
        <v>113</v>
      </c>
      <c r="G364" t="s">
        <v>121</v>
      </c>
      <c r="H364" t="s">
        <v>248</v>
      </c>
      <c r="J364">
        <v>0</v>
      </c>
      <c r="K364">
        <v>9</v>
      </c>
      <c r="L364">
        <v>83.757575759999995</v>
      </c>
      <c r="M364">
        <v>22.60997987</v>
      </c>
      <c r="N364">
        <v>0.72884000000000004</v>
      </c>
      <c r="O364">
        <v>0.21301339999999999</v>
      </c>
      <c r="P364">
        <v>83.92307692</v>
      </c>
      <c r="Q364">
        <v>44.319135699999997</v>
      </c>
      <c r="R364">
        <v>5.9548609999999997E-3</v>
      </c>
      <c r="S364">
        <v>0.18017928</v>
      </c>
      <c r="T364">
        <v>-0.16550116000000001</v>
      </c>
      <c r="U364">
        <v>0.16550116000000001</v>
      </c>
      <c r="V364">
        <v>-21.70915583</v>
      </c>
      <c r="W364">
        <v>21.70915583</v>
      </c>
      <c r="X364">
        <v>0.72288513899999995</v>
      </c>
      <c r="Y364">
        <v>0.72288513899999995</v>
      </c>
      <c r="Z364">
        <v>3.2834119999999994E-2</v>
      </c>
      <c r="AA364">
        <v>3.2834119999999994E-2</v>
      </c>
    </row>
    <row r="365" spans="1:27" x14ac:dyDescent="0.25">
      <c r="A365" t="s">
        <v>30</v>
      </c>
      <c r="B365" t="s">
        <v>935</v>
      </c>
      <c r="C365">
        <v>17</v>
      </c>
      <c r="D365" t="s">
        <v>31</v>
      </c>
      <c r="E365" t="s">
        <v>95</v>
      </c>
      <c r="F365" t="s">
        <v>113</v>
      </c>
      <c r="G365" t="s">
        <v>121</v>
      </c>
      <c r="H365" t="s">
        <v>248</v>
      </c>
      <c r="J365">
        <v>0</v>
      </c>
      <c r="K365">
        <v>9</v>
      </c>
      <c r="L365">
        <v>83.757575759999995</v>
      </c>
      <c r="M365">
        <v>22.60997987</v>
      </c>
      <c r="N365">
        <v>0.72884000000000004</v>
      </c>
      <c r="O365">
        <v>0.21301339999999999</v>
      </c>
      <c r="P365">
        <v>83.92307692</v>
      </c>
      <c r="Q365">
        <v>44.319135699999997</v>
      </c>
      <c r="R365">
        <v>5.9548609999999997E-3</v>
      </c>
      <c r="S365">
        <v>0.18017928</v>
      </c>
      <c r="T365">
        <v>-0.16550116000000001</v>
      </c>
      <c r="U365">
        <v>0.16550116000000001</v>
      </c>
      <c r="V365">
        <v>-21.70915583</v>
      </c>
      <c r="W365">
        <v>21.70915583</v>
      </c>
      <c r="X365">
        <v>0.72288513899999995</v>
      </c>
      <c r="Y365">
        <v>0.72288513899999995</v>
      </c>
      <c r="Z365">
        <v>3.2834119999999994E-2</v>
      </c>
      <c r="AA365">
        <v>3.2834119999999994E-2</v>
      </c>
    </row>
    <row r="366" spans="1:27" x14ac:dyDescent="0.25">
      <c r="A366" t="s">
        <v>30</v>
      </c>
      <c r="B366" t="s">
        <v>935</v>
      </c>
      <c r="C366">
        <v>17</v>
      </c>
      <c r="D366" t="s">
        <v>31</v>
      </c>
      <c r="E366" t="s">
        <v>95</v>
      </c>
      <c r="F366" t="s">
        <v>113</v>
      </c>
      <c r="G366" t="s">
        <v>121</v>
      </c>
      <c r="H366" t="s">
        <v>248</v>
      </c>
      <c r="J366">
        <v>0</v>
      </c>
      <c r="K366">
        <v>9</v>
      </c>
      <c r="L366">
        <v>83.757575759999995</v>
      </c>
      <c r="M366">
        <v>22.60997987</v>
      </c>
      <c r="N366">
        <v>0.72884000000000004</v>
      </c>
      <c r="O366">
        <v>0.21301339999999999</v>
      </c>
      <c r="P366">
        <v>83.92307692</v>
      </c>
      <c r="Q366">
        <v>44.319135699999997</v>
      </c>
      <c r="R366">
        <v>5.9548609999999997E-3</v>
      </c>
      <c r="S366">
        <v>0.18017928</v>
      </c>
      <c r="T366">
        <v>-0.16550116000000001</v>
      </c>
      <c r="U366">
        <v>0.16550116000000001</v>
      </c>
      <c r="V366">
        <v>-21.70915583</v>
      </c>
      <c r="W366">
        <v>21.70915583</v>
      </c>
      <c r="X366">
        <v>0.72288513899999995</v>
      </c>
      <c r="Y366">
        <v>0.72288513899999995</v>
      </c>
      <c r="Z366">
        <v>3.2834119999999994E-2</v>
      </c>
      <c r="AA366">
        <v>3.2834119999999994E-2</v>
      </c>
    </row>
    <row r="367" spans="1:27" x14ac:dyDescent="0.25">
      <c r="A367" t="s">
        <v>30</v>
      </c>
      <c r="B367" t="s">
        <v>935</v>
      </c>
      <c r="C367">
        <v>17</v>
      </c>
      <c r="D367" t="s">
        <v>31</v>
      </c>
      <c r="E367" t="s">
        <v>95</v>
      </c>
      <c r="F367" t="s">
        <v>113</v>
      </c>
      <c r="G367" t="s">
        <v>121</v>
      </c>
      <c r="H367" t="s">
        <v>248</v>
      </c>
      <c r="J367">
        <v>0</v>
      </c>
      <c r="K367">
        <v>9</v>
      </c>
      <c r="L367">
        <v>83.757575759999995</v>
      </c>
      <c r="M367">
        <v>22.60997987</v>
      </c>
      <c r="N367">
        <v>0.72884000000000004</v>
      </c>
      <c r="O367">
        <v>0.21301339999999999</v>
      </c>
      <c r="P367">
        <v>83.92307692</v>
      </c>
      <c r="Q367">
        <v>44.319135699999997</v>
      </c>
      <c r="R367">
        <v>5.9548609999999997E-3</v>
      </c>
      <c r="S367">
        <v>0.18017928</v>
      </c>
      <c r="T367">
        <v>-0.16550116000000001</v>
      </c>
      <c r="U367">
        <v>0.16550116000000001</v>
      </c>
      <c r="V367">
        <v>-21.70915583</v>
      </c>
      <c r="W367">
        <v>21.70915583</v>
      </c>
      <c r="X367">
        <v>0.72288513899999995</v>
      </c>
      <c r="Y367">
        <v>0.72288513899999995</v>
      </c>
      <c r="Z367">
        <v>3.2834119999999994E-2</v>
      </c>
      <c r="AA367">
        <v>3.2834119999999994E-2</v>
      </c>
    </row>
    <row r="368" spans="1:27" x14ac:dyDescent="0.25">
      <c r="A368" t="s">
        <v>30</v>
      </c>
      <c r="B368" t="s">
        <v>935</v>
      </c>
      <c r="C368">
        <v>17</v>
      </c>
      <c r="D368" t="s">
        <v>31</v>
      </c>
      <c r="E368" t="s">
        <v>95</v>
      </c>
      <c r="F368" t="s">
        <v>113</v>
      </c>
      <c r="G368" t="s">
        <v>121</v>
      </c>
      <c r="H368" t="s">
        <v>248</v>
      </c>
      <c r="J368">
        <v>0</v>
      </c>
      <c r="K368">
        <v>9</v>
      </c>
      <c r="L368">
        <v>83.757575759999995</v>
      </c>
      <c r="M368">
        <v>22.60997987</v>
      </c>
      <c r="N368">
        <v>0.72884000000000004</v>
      </c>
      <c r="O368">
        <v>0.21301339999999999</v>
      </c>
      <c r="P368">
        <v>83.92307692</v>
      </c>
      <c r="Q368">
        <v>44.319135699999997</v>
      </c>
      <c r="R368">
        <v>5.9548609999999997E-3</v>
      </c>
      <c r="S368">
        <v>0.18017928</v>
      </c>
      <c r="T368">
        <v>-0.16550116000000001</v>
      </c>
      <c r="U368">
        <v>0.16550116000000001</v>
      </c>
      <c r="V368">
        <v>-21.70915583</v>
      </c>
      <c r="W368">
        <v>21.70915583</v>
      </c>
      <c r="X368">
        <v>0.72288513899999995</v>
      </c>
      <c r="Y368">
        <v>0.72288513899999995</v>
      </c>
      <c r="Z368">
        <v>3.2834119999999994E-2</v>
      </c>
      <c r="AA368">
        <v>3.2834119999999994E-2</v>
      </c>
    </row>
    <row r="369" spans="1:27" x14ac:dyDescent="0.25">
      <c r="A369" t="s">
        <v>30</v>
      </c>
      <c r="B369" t="s">
        <v>935</v>
      </c>
      <c r="C369">
        <v>18</v>
      </c>
      <c r="D369" t="s">
        <v>31</v>
      </c>
      <c r="E369" t="s">
        <v>95</v>
      </c>
      <c r="F369" t="s">
        <v>113</v>
      </c>
      <c r="G369" t="s">
        <v>121</v>
      </c>
      <c r="H369" t="s">
        <v>111</v>
      </c>
      <c r="J369">
        <v>0</v>
      </c>
      <c r="K369">
        <v>1</v>
      </c>
      <c r="L369">
        <v>83.757575759999995</v>
      </c>
      <c r="M369">
        <v>22.60997987</v>
      </c>
      <c r="N369">
        <v>0.72884000000000004</v>
      </c>
      <c r="O369">
        <v>0.21301339999999999</v>
      </c>
      <c r="P369">
        <v>94.97142857</v>
      </c>
      <c r="Q369">
        <v>24.31591813</v>
      </c>
      <c r="R369">
        <v>0.122951111</v>
      </c>
      <c r="S369">
        <v>0.39050790000000002</v>
      </c>
      <c r="T369">
        <v>-11.213852810000001</v>
      </c>
      <c r="U369">
        <v>11.213852810000001</v>
      </c>
      <c r="V369">
        <v>-1.7059382599999999</v>
      </c>
      <c r="W369">
        <v>1.7059382599999999</v>
      </c>
      <c r="X369">
        <v>0.60588888900000004</v>
      </c>
      <c r="Y369">
        <v>0.60588888900000004</v>
      </c>
      <c r="Z369">
        <v>-0.17749450000000003</v>
      </c>
      <c r="AA369">
        <v>0.17749450000000003</v>
      </c>
    </row>
    <row r="370" spans="1:27" x14ac:dyDescent="0.25">
      <c r="A370" t="s">
        <v>30</v>
      </c>
      <c r="B370" t="s">
        <v>936</v>
      </c>
      <c r="C370">
        <v>15</v>
      </c>
      <c r="D370" t="s">
        <v>31</v>
      </c>
      <c r="E370" t="s">
        <v>95</v>
      </c>
      <c r="F370" t="s">
        <v>103</v>
      </c>
      <c r="G370" t="s">
        <v>113</v>
      </c>
      <c r="H370" t="s">
        <v>113</v>
      </c>
      <c r="J370">
        <v>0</v>
      </c>
      <c r="K370">
        <v>3</v>
      </c>
      <c r="L370">
        <v>98.291666669999998</v>
      </c>
      <c r="M370">
        <v>30.315130790000001</v>
      </c>
      <c r="N370">
        <v>5.0803484000000003E-2</v>
      </c>
      <c r="O370">
        <v>0.42866070000000001</v>
      </c>
      <c r="P370">
        <v>83.757575759999995</v>
      </c>
      <c r="Q370">
        <v>22.60997987</v>
      </c>
      <c r="R370">
        <v>0.72884000000000004</v>
      </c>
      <c r="S370">
        <v>0.21301339999999999</v>
      </c>
      <c r="T370">
        <v>14.53409091</v>
      </c>
      <c r="U370">
        <v>14.53409091</v>
      </c>
      <c r="V370">
        <v>7.7051509200000003</v>
      </c>
      <c r="W370">
        <v>7.7051509200000003</v>
      </c>
      <c r="X370">
        <v>-0.67803651600000003</v>
      </c>
      <c r="Y370">
        <v>0.67803651600000003</v>
      </c>
      <c r="Z370">
        <v>0.21564730000000001</v>
      </c>
      <c r="AA370">
        <v>0.21564730000000001</v>
      </c>
    </row>
    <row r="371" spans="1:27" x14ac:dyDescent="0.25">
      <c r="A371" t="s">
        <v>30</v>
      </c>
      <c r="B371" t="s">
        <v>936</v>
      </c>
      <c r="C371">
        <v>15</v>
      </c>
      <c r="D371" t="s">
        <v>31</v>
      </c>
      <c r="E371" t="s">
        <v>95</v>
      </c>
      <c r="F371" t="s">
        <v>103</v>
      </c>
      <c r="G371" t="s">
        <v>113</v>
      </c>
      <c r="H371" t="s">
        <v>113</v>
      </c>
      <c r="J371">
        <v>0</v>
      </c>
      <c r="K371">
        <v>3</v>
      </c>
      <c r="L371">
        <v>98.291666669999998</v>
      </c>
      <c r="M371">
        <v>30.315130790000001</v>
      </c>
      <c r="N371">
        <v>5.0803484000000003E-2</v>
      </c>
      <c r="O371">
        <v>0.42866070000000001</v>
      </c>
      <c r="P371">
        <v>83.757575759999995</v>
      </c>
      <c r="Q371">
        <v>22.60997987</v>
      </c>
      <c r="R371">
        <v>0.72884000000000004</v>
      </c>
      <c r="S371">
        <v>0.21301339999999999</v>
      </c>
      <c r="T371">
        <v>14.53409091</v>
      </c>
      <c r="U371">
        <v>14.53409091</v>
      </c>
      <c r="V371">
        <v>7.7051509200000003</v>
      </c>
      <c r="W371">
        <v>7.7051509200000003</v>
      </c>
      <c r="X371">
        <v>-0.67803651600000003</v>
      </c>
      <c r="Y371">
        <v>0.67803651600000003</v>
      </c>
      <c r="Z371">
        <v>0.21564730000000001</v>
      </c>
      <c r="AA371">
        <v>0.21564730000000001</v>
      </c>
    </row>
    <row r="372" spans="1:27" x14ac:dyDescent="0.25">
      <c r="A372" t="s">
        <v>30</v>
      </c>
      <c r="B372" t="s">
        <v>936</v>
      </c>
      <c r="C372">
        <v>15</v>
      </c>
      <c r="D372" t="s">
        <v>31</v>
      </c>
      <c r="E372" t="s">
        <v>95</v>
      </c>
      <c r="F372" t="s">
        <v>103</v>
      </c>
      <c r="G372" t="s">
        <v>113</v>
      </c>
      <c r="H372" t="s">
        <v>113</v>
      </c>
      <c r="J372">
        <v>0</v>
      </c>
      <c r="K372">
        <v>3</v>
      </c>
      <c r="L372">
        <v>98.291666669999998</v>
      </c>
      <c r="M372">
        <v>30.315130790000001</v>
      </c>
      <c r="N372">
        <v>5.0803484000000003E-2</v>
      </c>
      <c r="O372">
        <v>0.42866070000000001</v>
      </c>
      <c r="P372">
        <v>83.757575759999995</v>
      </c>
      <c r="Q372">
        <v>22.60997987</v>
      </c>
      <c r="R372">
        <v>0.72884000000000004</v>
      </c>
      <c r="S372">
        <v>0.21301339999999999</v>
      </c>
      <c r="T372">
        <v>14.53409091</v>
      </c>
      <c r="U372">
        <v>14.53409091</v>
      </c>
      <c r="V372">
        <v>7.7051509200000003</v>
      </c>
      <c r="W372">
        <v>7.7051509200000003</v>
      </c>
      <c r="X372">
        <v>-0.67803651600000003</v>
      </c>
      <c r="Y372">
        <v>0.67803651600000003</v>
      </c>
      <c r="Z372">
        <v>0.21564730000000001</v>
      </c>
      <c r="AA372">
        <v>0.21564730000000001</v>
      </c>
    </row>
    <row r="373" spans="1:27" x14ac:dyDescent="0.25">
      <c r="A373" t="s">
        <v>30</v>
      </c>
      <c r="B373" t="s">
        <v>936</v>
      </c>
      <c r="C373">
        <v>16</v>
      </c>
      <c r="D373" t="s">
        <v>31</v>
      </c>
      <c r="E373" t="s">
        <v>95</v>
      </c>
      <c r="F373" t="s">
        <v>103</v>
      </c>
      <c r="G373" t="s">
        <v>113</v>
      </c>
      <c r="H373" t="s">
        <v>247</v>
      </c>
      <c r="J373">
        <v>0</v>
      </c>
      <c r="K373">
        <v>1</v>
      </c>
      <c r="L373">
        <v>98.291666669999998</v>
      </c>
      <c r="M373">
        <v>30.315130790000001</v>
      </c>
      <c r="N373">
        <v>5.0803484000000003E-2</v>
      </c>
      <c r="O373">
        <v>0.42866070000000001</v>
      </c>
      <c r="P373">
        <v>65.791044779999993</v>
      </c>
      <c r="Q373">
        <v>22.94519201</v>
      </c>
      <c r="R373">
        <v>8.1320334999999994E-2</v>
      </c>
      <c r="S373">
        <v>0.17285655</v>
      </c>
      <c r="T373">
        <v>32.500621889999998</v>
      </c>
      <c r="U373">
        <v>32.500621889999998</v>
      </c>
      <c r="V373">
        <v>7.36993878</v>
      </c>
      <c r="W373">
        <v>7.36993878</v>
      </c>
      <c r="X373">
        <v>-3.0516851000000001E-2</v>
      </c>
      <c r="Y373">
        <v>3.0516851000000001E-2</v>
      </c>
      <c r="Z373">
        <v>0.25580415000000001</v>
      </c>
      <c r="AA373">
        <v>0.25580415000000001</v>
      </c>
    </row>
    <row r="374" spans="1:27" x14ac:dyDescent="0.25">
      <c r="A374" t="s">
        <v>30</v>
      </c>
      <c r="B374" t="s">
        <v>936</v>
      </c>
      <c r="C374">
        <v>17</v>
      </c>
      <c r="D374" t="s">
        <v>31</v>
      </c>
      <c r="E374" t="s">
        <v>95</v>
      </c>
      <c r="F374" t="s">
        <v>103</v>
      </c>
      <c r="G374" t="s">
        <v>113</v>
      </c>
      <c r="H374" t="s">
        <v>111</v>
      </c>
      <c r="J374">
        <v>0</v>
      </c>
      <c r="K374">
        <v>1</v>
      </c>
      <c r="L374">
        <v>98.291666669999998</v>
      </c>
      <c r="M374">
        <v>30.315130790000001</v>
      </c>
      <c r="N374">
        <v>5.0803484000000003E-2</v>
      </c>
      <c r="O374">
        <v>0.42866070000000001</v>
      </c>
      <c r="P374">
        <v>94.97142857</v>
      </c>
      <c r="Q374">
        <v>24.31591813</v>
      </c>
      <c r="R374">
        <v>0.122951111</v>
      </c>
      <c r="S374">
        <v>0.39050790000000002</v>
      </c>
      <c r="T374">
        <v>3.3202381000000001</v>
      </c>
      <c r="U374">
        <v>3.3202381000000001</v>
      </c>
      <c r="V374">
        <v>5.9992126600000004</v>
      </c>
      <c r="W374">
        <v>5.9992126600000004</v>
      </c>
      <c r="X374">
        <v>-7.2147627000000006E-2</v>
      </c>
      <c r="Y374">
        <v>7.2147627000000006E-2</v>
      </c>
      <c r="Z374">
        <v>3.8152799999999987E-2</v>
      </c>
      <c r="AA374">
        <v>3.8152799999999987E-2</v>
      </c>
    </row>
    <row r="375" spans="1:27" x14ac:dyDescent="0.25">
      <c r="A375" t="s">
        <v>30</v>
      </c>
      <c r="B375" t="s">
        <v>936</v>
      </c>
      <c r="C375">
        <v>18</v>
      </c>
      <c r="D375" t="s">
        <v>31</v>
      </c>
      <c r="E375" t="s">
        <v>95</v>
      </c>
      <c r="F375" t="s">
        <v>103</v>
      </c>
      <c r="G375" t="s">
        <v>113</v>
      </c>
      <c r="H375" t="s">
        <v>234</v>
      </c>
      <c r="J375">
        <v>0</v>
      </c>
      <c r="K375">
        <v>1</v>
      </c>
      <c r="L375">
        <v>98.291666669999998</v>
      </c>
      <c r="M375">
        <v>30.315130790000001</v>
      </c>
      <c r="N375">
        <v>5.0803484000000003E-2</v>
      </c>
      <c r="O375">
        <v>0.42866070000000001</v>
      </c>
      <c r="P375">
        <v>89.8125</v>
      </c>
      <c r="Q375">
        <v>34.754706650000003</v>
      </c>
      <c r="R375">
        <v>2.3065078999999999E-2</v>
      </c>
      <c r="S375">
        <v>2.4791666700000001</v>
      </c>
      <c r="T375">
        <v>8.4791666699999997</v>
      </c>
      <c r="U375">
        <v>8.4791666699999997</v>
      </c>
      <c r="V375">
        <v>-4.4395758599999997</v>
      </c>
      <c r="W375">
        <v>4.4395758599999997</v>
      </c>
      <c r="X375">
        <v>2.7738405000000001E-2</v>
      </c>
      <c r="Y375">
        <v>2.7738405000000001E-2</v>
      </c>
      <c r="Z375">
        <v>-2.0505059700000001</v>
      </c>
      <c r="AA375">
        <v>2.0505059700000001</v>
      </c>
    </row>
    <row r="376" spans="1:27" x14ac:dyDescent="0.25">
      <c r="A376" t="s">
        <v>30</v>
      </c>
      <c r="B376" t="s">
        <v>936</v>
      </c>
      <c r="C376">
        <v>19</v>
      </c>
      <c r="D376" t="s">
        <v>31</v>
      </c>
      <c r="E376" t="s">
        <v>95</v>
      </c>
      <c r="F376" t="s">
        <v>103</v>
      </c>
      <c r="G376" t="s">
        <v>113</v>
      </c>
      <c r="H376" t="s">
        <v>241</v>
      </c>
      <c r="J376">
        <v>0</v>
      </c>
      <c r="K376">
        <v>1</v>
      </c>
      <c r="L376">
        <v>98.291666669999998</v>
      </c>
      <c r="M376">
        <v>30.315130790000001</v>
      </c>
      <c r="N376">
        <v>5.0803484000000003E-2</v>
      </c>
      <c r="O376">
        <v>0.42866070000000001</v>
      </c>
      <c r="P376">
        <v>114</v>
      </c>
      <c r="Q376">
        <v>30.43077242</v>
      </c>
      <c r="R376">
        <v>0.53383111100000002</v>
      </c>
      <c r="S376">
        <v>0.28333332999999999</v>
      </c>
      <c r="T376">
        <v>-15.70833333</v>
      </c>
      <c r="U376">
        <v>15.70833333</v>
      </c>
      <c r="V376">
        <v>-0.11564163</v>
      </c>
      <c r="W376">
        <v>0.11564163</v>
      </c>
      <c r="X376">
        <v>-0.48302762700000001</v>
      </c>
      <c r="Y376">
        <v>0.48302762700000001</v>
      </c>
      <c r="Z376">
        <v>0.14532737000000001</v>
      </c>
      <c r="AA376">
        <v>0.14532737000000001</v>
      </c>
    </row>
    <row r="377" spans="1:27" x14ac:dyDescent="0.25">
      <c r="A377" t="s">
        <v>30</v>
      </c>
      <c r="B377" t="s">
        <v>937</v>
      </c>
      <c r="C377">
        <v>15</v>
      </c>
      <c r="D377" t="s">
        <v>31</v>
      </c>
      <c r="E377" t="s">
        <v>95</v>
      </c>
      <c r="F377" t="s">
        <v>112</v>
      </c>
      <c r="G377" t="s">
        <v>103</v>
      </c>
      <c r="H377" t="s">
        <v>114</v>
      </c>
      <c r="J377">
        <v>0</v>
      </c>
      <c r="K377" t="s">
        <v>114</v>
      </c>
      <c r="L377">
        <v>65.09375</v>
      </c>
      <c r="M377">
        <v>37.895352600000002</v>
      </c>
      <c r="N377">
        <v>2.2882677779999998</v>
      </c>
      <c r="O377">
        <v>2.2111774</v>
      </c>
      <c r="P377" t="s">
        <v>114</v>
      </c>
      <c r="Q377" t="s">
        <v>114</v>
      </c>
      <c r="R377" t="s">
        <v>114</v>
      </c>
      <c r="S377" t="s">
        <v>114</v>
      </c>
      <c r="T377" t="s">
        <v>114</v>
      </c>
      <c r="U377" t="s">
        <v>114</v>
      </c>
      <c r="V377" t="s">
        <v>114</v>
      </c>
      <c r="W377" t="s">
        <v>114</v>
      </c>
      <c r="X377" t="s">
        <v>114</v>
      </c>
      <c r="Y377" t="s">
        <v>114</v>
      </c>
      <c r="Z377" t="s">
        <v>114</v>
      </c>
      <c r="AA377" t="s">
        <v>114</v>
      </c>
    </row>
    <row r="378" spans="1:27" x14ac:dyDescent="0.25">
      <c r="A378" t="s">
        <v>32</v>
      </c>
      <c r="B378" t="s">
        <v>938</v>
      </c>
      <c r="C378">
        <v>15</v>
      </c>
      <c r="D378" t="s">
        <v>33</v>
      </c>
      <c r="E378" t="s">
        <v>94</v>
      </c>
      <c r="F378" t="s">
        <v>105</v>
      </c>
      <c r="G378" t="s">
        <v>121</v>
      </c>
      <c r="H378" t="s">
        <v>247</v>
      </c>
      <c r="J378">
        <v>0</v>
      </c>
      <c r="K378">
        <v>2</v>
      </c>
      <c r="L378">
        <v>67.5</v>
      </c>
      <c r="M378">
        <v>47.937235809999997</v>
      </c>
      <c r="N378">
        <v>0.41599678000000001</v>
      </c>
      <c r="O378">
        <v>2.0950346999999998</v>
      </c>
      <c r="P378">
        <v>65.791044779999993</v>
      </c>
      <c r="Q378">
        <v>22.94519201</v>
      </c>
      <c r="R378">
        <v>8.1320334999999994E-2</v>
      </c>
      <c r="S378">
        <v>0.17285655</v>
      </c>
      <c r="T378">
        <v>1.70895522</v>
      </c>
      <c r="U378">
        <v>1.70895522</v>
      </c>
      <c r="V378">
        <v>24.992043800000001</v>
      </c>
      <c r="W378">
        <v>24.992043800000001</v>
      </c>
      <c r="X378">
        <v>0.33467644499999999</v>
      </c>
      <c r="Y378">
        <v>0.33467644499999999</v>
      </c>
      <c r="Z378">
        <v>1.9221781499999997</v>
      </c>
      <c r="AA378">
        <v>1.9221781499999997</v>
      </c>
    </row>
    <row r="379" spans="1:27" x14ac:dyDescent="0.25">
      <c r="A379" t="s">
        <v>32</v>
      </c>
      <c r="B379" t="s">
        <v>938</v>
      </c>
      <c r="C379">
        <v>15</v>
      </c>
      <c r="D379" t="s">
        <v>33</v>
      </c>
      <c r="E379" t="s">
        <v>94</v>
      </c>
      <c r="F379" t="s">
        <v>105</v>
      </c>
      <c r="G379" t="s">
        <v>121</v>
      </c>
      <c r="H379" t="s">
        <v>247</v>
      </c>
      <c r="J379">
        <v>0</v>
      </c>
      <c r="K379">
        <v>2</v>
      </c>
      <c r="L379">
        <v>67.5</v>
      </c>
      <c r="M379">
        <v>47.937235809999997</v>
      </c>
      <c r="N379">
        <v>0.41599678000000001</v>
      </c>
      <c r="O379">
        <v>2.0950346999999998</v>
      </c>
      <c r="P379">
        <v>65.791044779999993</v>
      </c>
      <c r="Q379">
        <v>22.94519201</v>
      </c>
      <c r="R379">
        <v>8.1320334999999994E-2</v>
      </c>
      <c r="S379">
        <v>0.17285655</v>
      </c>
      <c r="T379">
        <v>1.70895522</v>
      </c>
      <c r="U379">
        <v>1.70895522</v>
      </c>
      <c r="V379">
        <v>24.992043800000001</v>
      </c>
      <c r="W379">
        <v>24.992043800000001</v>
      </c>
      <c r="X379">
        <v>0.33467644499999999</v>
      </c>
      <c r="Y379">
        <v>0.33467644499999999</v>
      </c>
      <c r="Z379">
        <v>1.9221781499999997</v>
      </c>
      <c r="AA379">
        <v>1.9221781499999997</v>
      </c>
    </row>
    <row r="380" spans="1:27" x14ac:dyDescent="0.25">
      <c r="A380" t="s">
        <v>32</v>
      </c>
      <c r="B380" t="s">
        <v>938</v>
      </c>
      <c r="C380">
        <v>16</v>
      </c>
      <c r="D380" t="s">
        <v>33</v>
      </c>
      <c r="E380" t="s">
        <v>94</v>
      </c>
      <c r="F380" t="s">
        <v>105</v>
      </c>
      <c r="G380" t="s">
        <v>121</v>
      </c>
      <c r="H380" t="s">
        <v>249</v>
      </c>
      <c r="J380">
        <v>0</v>
      </c>
      <c r="K380">
        <v>1</v>
      </c>
      <c r="L380">
        <v>67.5</v>
      </c>
      <c r="M380">
        <v>47.937235809999997</v>
      </c>
      <c r="N380">
        <v>0.41599678000000001</v>
      </c>
      <c r="O380">
        <v>2.0950346999999998</v>
      </c>
      <c r="P380">
        <v>81.666666669999998</v>
      </c>
      <c r="Q380">
        <v>48.056268459999998</v>
      </c>
      <c r="R380">
        <v>0.120291364</v>
      </c>
      <c r="S380" t="s">
        <v>114</v>
      </c>
      <c r="T380">
        <v>-14.16666667</v>
      </c>
      <c r="U380">
        <v>14.16666667</v>
      </c>
      <c r="V380">
        <v>-0.11903265</v>
      </c>
      <c r="W380">
        <v>0.11903265</v>
      </c>
      <c r="X380">
        <v>0.295705416</v>
      </c>
      <c r="Y380">
        <v>0.295705416</v>
      </c>
      <c r="Z380" t="s">
        <v>114</v>
      </c>
      <c r="AA380" t="s">
        <v>114</v>
      </c>
    </row>
    <row r="381" spans="1:27" x14ac:dyDescent="0.25">
      <c r="A381" t="s">
        <v>34</v>
      </c>
      <c r="B381" t="s">
        <v>939</v>
      </c>
      <c r="C381">
        <v>15</v>
      </c>
      <c r="D381" t="s">
        <v>35</v>
      </c>
      <c r="E381" t="s">
        <v>94</v>
      </c>
      <c r="F381" t="s">
        <v>112</v>
      </c>
      <c r="G381" t="s">
        <v>112</v>
      </c>
      <c r="H381" t="s">
        <v>112</v>
      </c>
      <c r="J381">
        <v>0</v>
      </c>
      <c r="K381">
        <v>1</v>
      </c>
      <c r="L381">
        <v>65.09375</v>
      </c>
      <c r="M381">
        <v>37.895352600000002</v>
      </c>
      <c r="N381">
        <v>2.2882677779999998</v>
      </c>
      <c r="O381">
        <v>2.2111774</v>
      </c>
      <c r="P381">
        <v>65.09375</v>
      </c>
      <c r="Q381">
        <v>37.895352600000002</v>
      </c>
      <c r="R381">
        <v>2.2882677779999998</v>
      </c>
      <c r="S381">
        <v>2.2111774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</row>
    <row r="382" spans="1:27" x14ac:dyDescent="0.25">
      <c r="A382" t="s">
        <v>36</v>
      </c>
      <c r="B382" t="s">
        <v>940</v>
      </c>
      <c r="C382">
        <v>15</v>
      </c>
      <c r="D382" t="s">
        <v>37</v>
      </c>
      <c r="E382" t="s">
        <v>95</v>
      </c>
      <c r="F382" t="s">
        <v>110</v>
      </c>
      <c r="G382" t="s">
        <v>121</v>
      </c>
      <c r="H382" t="s">
        <v>110</v>
      </c>
      <c r="J382">
        <v>0</v>
      </c>
      <c r="K382">
        <v>1</v>
      </c>
      <c r="L382">
        <v>73.260869569999997</v>
      </c>
      <c r="M382">
        <v>34.453830549999999</v>
      </c>
      <c r="N382">
        <v>1.058333333</v>
      </c>
      <c r="O382">
        <v>0.90897070000000002</v>
      </c>
      <c r="P382">
        <v>73.260869569999997</v>
      </c>
      <c r="Q382">
        <v>34.453830549999999</v>
      </c>
      <c r="R382">
        <v>1.058333333</v>
      </c>
      <c r="S382">
        <v>0.90897070000000002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</row>
    <row r="383" spans="1:27" x14ac:dyDescent="0.25">
      <c r="A383" t="s">
        <v>36</v>
      </c>
      <c r="B383" t="s">
        <v>941</v>
      </c>
      <c r="C383">
        <v>15</v>
      </c>
      <c r="D383" t="s">
        <v>37</v>
      </c>
      <c r="E383" t="s">
        <v>95</v>
      </c>
      <c r="F383" t="s">
        <v>104</v>
      </c>
      <c r="G383" t="s">
        <v>121</v>
      </c>
      <c r="H383" t="s">
        <v>104</v>
      </c>
      <c r="J383">
        <v>0</v>
      </c>
      <c r="K383">
        <v>1</v>
      </c>
      <c r="L383">
        <v>113.9375</v>
      </c>
      <c r="M383">
        <v>33.375507550000002</v>
      </c>
      <c r="N383">
        <v>2.4262999999999999</v>
      </c>
      <c r="O383">
        <v>0.40692159999999999</v>
      </c>
      <c r="P383">
        <v>113.9375</v>
      </c>
      <c r="Q383">
        <v>33.375507550000002</v>
      </c>
      <c r="R383">
        <v>2.4262999999999999</v>
      </c>
      <c r="S383">
        <v>0.40692159999999999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</row>
    <row r="384" spans="1:27" x14ac:dyDescent="0.25">
      <c r="A384" t="s">
        <v>36</v>
      </c>
      <c r="B384" t="s">
        <v>941</v>
      </c>
      <c r="C384">
        <v>16</v>
      </c>
      <c r="D384" t="s">
        <v>37</v>
      </c>
      <c r="E384" t="s">
        <v>95</v>
      </c>
      <c r="F384" t="s">
        <v>104</v>
      </c>
      <c r="G384" t="s">
        <v>121</v>
      </c>
      <c r="H384" t="s">
        <v>111</v>
      </c>
      <c r="J384">
        <v>0</v>
      </c>
      <c r="K384">
        <v>1</v>
      </c>
      <c r="L384">
        <v>113.9375</v>
      </c>
      <c r="M384">
        <v>33.375507550000002</v>
      </c>
      <c r="N384">
        <v>2.4262999999999999</v>
      </c>
      <c r="O384">
        <v>0.40692159999999999</v>
      </c>
      <c r="P384">
        <v>94.97142857</v>
      </c>
      <c r="Q384">
        <v>24.31591813</v>
      </c>
      <c r="R384">
        <v>0.122951111</v>
      </c>
      <c r="S384">
        <v>0.39050790000000002</v>
      </c>
      <c r="T384">
        <v>18.96607143</v>
      </c>
      <c r="U384">
        <v>18.96607143</v>
      </c>
      <c r="V384">
        <v>9.05958942</v>
      </c>
      <c r="W384">
        <v>9.05958942</v>
      </c>
      <c r="X384">
        <v>2.303348889</v>
      </c>
      <c r="Y384">
        <v>2.303348889</v>
      </c>
      <c r="Z384">
        <v>1.6413699999999976E-2</v>
      </c>
      <c r="AA384">
        <v>1.6413699999999976E-2</v>
      </c>
    </row>
    <row r="385" spans="1:27" x14ac:dyDescent="0.25">
      <c r="A385" t="s">
        <v>36</v>
      </c>
      <c r="B385" t="s">
        <v>941</v>
      </c>
      <c r="C385">
        <v>17</v>
      </c>
      <c r="D385" t="s">
        <v>37</v>
      </c>
      <c r="E385" t="s">
        <v>95</v>
      </c>
      <c r="F385" t="s">
        <v>104</v>
      </c>
      <c r="G385" t="s">
        <v>121</v>
      </c>
      <c r="H385" t="s">
        <v>162</v>
      </c>
      <c r="J385">
        <v>0</v>
      </c>
      <c r="K385">
        <v>1</v>
      </c>
      <c r="L385">
        <v>113.9375</v>
      </c>
      <c r="M385">
        <v>33.375507550000002</v>
      </c>
      <c r="N385">
        <v>2.4262999999999999</v>
      </c>
      <c r="O385">
        <v>0.40692159999999999</v>
      </c>
      <c r="P385">
        <v>82.53846154</v>
      </c>
      <c r="Q385">
        <v>35.660530039999998</v>
      </c>
      <c r="R385">
        <v>3.3754499999999998</v>
      </c>
      <c r="S385" t="s">
        <v>114</v>
      </c>
      <c r="T385">
        <v>31.39903846</v>
      </c>
      <c r="U385">
        <v>31.39903846</v>
      </c>
      <c r="V385">
        <v>-2.2850224899999998</v>
      </c>
      <c r="W385">
        <v>2.2850224899999998</v>
      </c>
      <c r="X385">
        <v>-0.94915000000000005</v>
      </c>
      <c r="Y385">
        <v>0.94915000000000005</v>
      </c>
      <c r="Z385" t="s">
        <v>114</v>
      </c>
      <c r="AA385" t="s">
        <v>114</v>
      </c>
    </row>
    <row r="386" spans="1:27" x14ac:dyDescent="0.25">
      <c r="A386" t="s">
        <v>38</v>
      </c>
      <c r="B386" t="s">
        <v>942</v>
      </c>
      <c r="C386">
        <v>2</v>
      </c>
      <c r="D386" t="s">
        <v>11</v>
      </c>
      <c r="E386" t="s">
        <v>95</v>
      </c>
      <c r="F386" t="s">
        <v>113</v>
      </c>
      <c r="G386" t="s">
        <v>103</v>
      </c>
      <c r="H386" t="s">
        <v>103</v>
      </c>
      <c r="J386">
        <v>0</v>
      </c>
      <c r="K386">
        <v>3</v>
      </c>
      <c r="L386">
        <v>83.757575759999995</v>
      </c>
      <c r="M386">
        <v>22.60997987</v>
      </c>
      <c r="N386">
        <v>0.72884000000000004</v>
      </c>
      <c r="O386">
        <v>0.21301339999999999</v>
      </c>
      <c r="P386">
        <v>98.291666669999998</v>
      </c>
      <c r="Q386">
        <v>30.315130790000001</v>
      </c>
      <c r="R386">
        <v>5.0803484000000003E-2</v>
      </c>
      <c r="S386">
        <v>0.42866070000000001</v>
      </c>
      <c r="T386">
        <v>-14.53409091</v>
      </c>
      <c r="U386">
        <v>14.53409091</v>
      </c>
      <c r="V386">
        <v>-7.7051509200000003</v>
      </c>
      <c r="W386">
        <v>7.7051509200000003</v>
      </c>
      <c r="X386">
        <v>0.67803651600000003</v>
      </c>
      <c r="Y386">
        <v>0.67803651600000003</v>
      </c>
      <c r="Z386">
        <v>-0.21564730000000001</v>
      </c>
      <c r="AA386">
        <v>0.21564730000000001</v>
      </c>
    </row>
    <row r="387" spans="1:27" x14ac:dyDescent="0.25">
      <c r="A387" t="s">
        <v>38</v>
      </c>
      <c r="B387" t="s">
        <v>942</v>
      </c>
      <c r="C387">
        <v>2</v>
      </c>
      <c r="D387" t="s">
        <v>11</v>
      </c>
      <c r="E387" t="s">
        <v>95</v>
      </c>
      <c r="F387" t="s">
        <v>113</v>
      </c>
      <c r="G387" t="s">
        <v>103</v>
      </c>
      <c r="H387" t="s">
        <v>103</v>
      </c>
      <c r="J387">
        <v>0</v>
      </c>
      <c r="K387">
        <v>3</v>
      </c>
      <c r="L387">
        <v>83.757575759999995</v>
      </c>
      <c r="M387">
        <v>22.60997987</v>
      </c>
      <c r="N387">
        <v>0.72884000000000004</v>
      </c>
      <c r="O387">
        <v>0.21301339999999999</v>
      </c>
      <c r="P387">
        <v>98.291666669999998</v>
      </c>
      <c r="Q387">
        <v>30.315130790000001</v>
      </c>
      <c r="R387">
        <v>5.0803484000000003E-2</v>
      </c>
      <c r="S387">
        <v>0.42866070000000001</v>
      </c>
      <c r="T387">
        <v>-14.53409091</v>
      </c>
      <c r="U387">
        <v>14.53409091</v>
      </c>
      <c r="V387">
        <v>-7.7051509200000003</v>
      </c>
      <c r="W387">
        <v>7.7051509200000003</v>
      </c>
      <c r="X387">
        <v>0.67803651600000003</v>
      </c>
      <c r="Y387">
        <v>0.67803651600000003</v>
      </c>
      <c r="Z387">
        <v>-0.21564730000000001</v>
      </c>
      <c r="AA387">
        <v>0.21564730000000001</v>
      </c>
    </row>
    <row r="388" spans="1:27" x14ac:dyDescent="0.25">
      <c r="A388" t="s">
        <v>38</v>
      </c>
      <c r="B388" t="s">
        <v>942</v>
      </c>
      <c r="C388">
        <v>2</v>
      </c>
      <c r="D388" t="s">
        <v>11</v>
      </c>
      <c r="E388" t="s">
        <v>95</v>
      </c>
      <c r="F388" t="s">
        <v>113</v>
      </c>
      <c r="G388" t="s">
        <v>103</v>
      </c>
      <c r="H388" t="s">
        <v>103</v>
      </c>
      <c r="J388">
        <v>0</v>
      </c>
      <c r="K388">
        <v>3</v>
      </c>
      <c r="L388">
        <v>83.757575759999995</v>
      </c>
      <c r="M388">
        <v>22.60997987</v>
      </c>
      <c r="N388">
        <v>0.72884000000000004</v>
      </c>
      <c r="O388">
        <v>0.21301339999999999</v>
      </c>
      <c r="P388">
        <v>98.291666669999998</v>
      </c>
      <c r="Q388">
        <v>30.315130790000001</v>
      </c>
      <c r="R388">
        <v>5.0803484000000003E-2</v>
      </c>
      <c r="S388">
        <v>0.42866070000000001</v>
      </c>
      <c r="T388">
        <v>-14.53409091</v>
      </c>
      <c r="U388">
        <v>14.53409091</v>
      </c>
      <c r="V388">
        <v>-7.7051509200000003</v>
      </c>
      <c r="W388">
        <v>7.7051509200000003</v>
      </c>
      <c r="X388">
        <v>0.67803651600000003</v>
      </c>
      <c r="Y388">
        <v>0.67803651600000003</v>
      </c>
      <c r="Z388">
        <v>-0.21564730000000001</v>
      </c>
      <c r="AA388">
        <v>0.21564730000000001</v>
      </c>
    </row>
    <row r="389" spans="1:27" x14ac:dyDescent="0.25">
      <c r="A389" t="s">
        <v>38</v>
      </c>
      <c r="B389" t="s">
        <v>943</v>
      </c>
      <c r="C389">
        <v>2</v>
      </c>
      <c r="D389" t="s">
        <v>11</v>
      </c>
      <c r="E389" t="s">
        <v>95</v>
      </c>
      <c r="F389" t="s">
        <v>103</v>
      </c>
      <c r="G389" t="s">
        <v>103</v>
      </c>
      <c r="H389" t="s">
        <v>103</v>
      </c>
      <c r="J389">
        <v>0</v>
      </c>
      <c r="K389">
        <v>7</v>
      </c>
      <c r="L389">
        <v>98.291666669999998</v>
      </c>
      <c r="M389">
        <v>30.315130790000001</v>
      </c>
      <c r="N389">
        <v>5.0803484000000003E-2</v>
      </c>
      <c r="O389">
        <v>0.42866070000000001</v>
      </c>
      <c r="P389">
        <v>98.291666669999998</v>
      </c>
      <c r="Q389">
        <v>30.315130790000001</v>
      </c>
      <c r="R389">
        <v>5.0803484000000003E-2</v>
      </c>
      <c r="S389">
        <v>0.42866070000000001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</row>
    <row r="390" spans="1:27" x14ac:dyDescent="0.25">
      <c r="A390" t="s">
        <v>38</v>
      </c>
      <c r="B390" t="s">
        <v>943</v>
      </c>
      <c r="C390">
        <v>2</v>
      </c>
      <c r="D390" t="s">
        <v>11</v>
      </c>
      <c r="E390" t="s">
        <v>95</v>
      </c>
      <c r="F390" t="s">
        <v>103</v>
      </c>
      <c r="G390" t="s">
        <v>103</v>
      </c>
      <c r="H390" t="s">
        <v>103</v>
      </c>
      <c r="J390">
        <v>0</v>
      </c>
      <c r="K390">
        <v>7</v>
      </c>
      <c r="L390">
        <v>98.291666669999998</v>
      </c>
      <c r="M390">
        <v>30.315130790000001</v>
      </c>
      <c r="N390">
        <v>5.0803484000000003E-2</v>
      </c>
      <c r="O390">
        <v>0.42866070000000001</v>
      </c>
      <c r="P390">
        <v>98.291666669999998</v>
      </c>
      <c r="Q390">
        <v>30.315130790000001</v>
      </c>
      <c r="R390">
        <v>5.0803484000000003E-2</v>
      </c>
      <c r="S390">
        <v>0.42866070000000001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</row>
    <row r="391" spans="1:27" x14ac:dyDescent="0.25">
      <c r="A391" t="s">
        <v>38</v>
      </c>
      <c r="B391" t="s">
        <v>943</v>
      </c>
      <c r="C391">
        <v>2</v>
      </c>
      <c r="D391" t="s">
        <v>11</v>
      </c>
      <c r="E391" t="s">
        <v>95</v>
      </c>
      <c r="F391" t="s">
        <v>103</v>
      </c>
      <c r="G391" t="s">
        <v>103</v>
      </c>
      <c r="H391" t="s">
        <v>103</v>
      </c>
      <c r="J391">
        <v>0</v>
      </c>
      <c r="K391">
        <v>7</v>
      </c>
      <c r="L391">
        <v>98.291666669999998</v>
      </c>
      <c r="M391">
        <v>30.315130790000001</v>
      </c>
      <c r="N391">
        <v>5.0803484000000003E-2</v>
      </c>
      <c r="O391">
        <v>0.42866070000000001</v>
      </c>
      <c r="P391">
        <v>98.291666669999998</v>
      </c>
      <c r="Q391">
        <v>30.315130790000001</v>
      </c>
      <c r="R391">
        <v>5.0803484000000003E-2</v>
      </c>
      <c r="S391">
        <v>0.42866070000000001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</row>
    <row r="392" spans="1:27" x14ac:dyDescent="0.25">
      <c r="A392" t="s">
        <v>38</v>
      </c>
      <c r="B392" t="s">
        <v>943</v>
      </c>
      <c r="C392">
        <v>2</v>
      </c>
      <c r="D392" t="s">
        <v>11</v>
      </c>
      <c r="E392" t="s">
        <v>95</v>
      </c>
      <c r="F392" t="s">
        <v>103</v>
      </c>
      <c r="G392" t="s">
        <v>103</v>
      </c>
      <c r="H392" t="s">
        <v>103</v>
      </c>
      <c r="J392">
        <v>0</v>
      </c>
      <c r="K392">
        <v>7</v>
      </c>
      <c r="L392">
        <v>98.291666669999998</v>
      </c>
      <c r="M392">
        <v>30.315130790000001</v>
      </c>
      <c r="N392">
        <v>5.0803484000000003E-2</v>
      </c>
      <c r="O392">
        <v>0.42866070000000001</v>
      </c>
      <c r="P392">
        <v>98.291666669999998</v>
      </c>
      <c r="Q392">
        <v>30.315130790000001</v>
      </c>
      <c r="R392">
        <v>5.0803484000000003E-2</v>
      </c>
      <c r="S392">
        <v>0.42866070000000001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</row>
    <row r="393" spans="1:27" x14ac:dyDescent="0.25">
      <c r="A393" t="s">
        <v>38</v>
      </c>
      <c r="B393" t="s">
        <v>943</v>
      </c>
      <c r="C393">
        <v>2</v>
      </c>
      <c r="D393" t="s">
        <v>11</v>
      </c>
      <c r="E393" t="s">
        <v>95</v>
      </c>
      <c r="F393" t="s">
        <v>103</v>
      </c>
      <c r="G393" t="s">
        <v>103</v>
      </c>
      <c r="H393" t="s">
        <v>103</v>
      </c>
      <c r="J393">
        <v>0</v>
      </c>
      <c r="K393">
        <v>7</v>
      </c>
      <c r="L393">
        <v>98.291666669999998</v>
      </c>
      <c r="M393">
        <v>30.315130790000001</v>
      </c>
      <c r="N393">
        <v>5.0803484000000003E-2</v>
      </c>
      <c r="O393">
        <v>0.42866070000000001</v>
      </c>
      <c r="P393">
        <v>98.291666669999998</v>
      </c>
      <c r="Q393">
        <v>30.315130790000001</v>
      </c>
      <c r="R393">
        <v>5.0803484000000003E-2</v>
      </c>
      <c r="S393">
        <v>0.42866070000000001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</row>
    <row r="394" spans="1:27" x14ac:dyDescent="0.25">
      <c r="A394" t="s">
        <v>38</v>
      </c>
      <c r="B394" t="s">
        <v>943</v>
      </c>
      <c r="C394">
        <v>2</v>
      </c>
      <c r="D394" t="s">
        <v>11</v>
      </c>
      <c r="E394" t="s">
        <v>95</v>
      </c>
      <c r="F394" t="s">
        <v>103</v>
      </c>
      <c r="G394" t="s">
        <v>103</v>
      </c>
      <c r="H394" t="s">
        <v>103</v>
      </c>
      <c r="J394">
        <v>0</v>
      </c>
      <c r="K394">
        <v>7</v>
      </c>
      <c r="L394">
        <v>98.291666669999998</v>
      </c>
      <c r="M394">
        <v>30.315130790000001</v>
      </c>
      <c r="N394">
        <v>5.0803484000000003E-2</v>
      </c>
      <c r="O394">
        <v>0.42866070000000001</v>
      </c>
      <c r="P394">
        <v>98.291666669999998</v>
      </c>
      <c r="Q394">
        <v>30.315130790000001</v>
      </c>
      <c r="R394">
        <v>5.0803484000000003E-2</v>
      </c>
      <c r="S394">
        <v>0.42866070000000001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</row>
    <row r="395" spans="1:27" x14ac:dyDescent="0.25">
      <c r="A395" t="s">
        <v>38</v>
      </c>
      <c r="B395" t="s">
        <v>943</v>
      </c>
      <c r="C395">
        <v>2</v>
      </c>
      <c r="D395" t="s">
        <v>11</v>
      </c>
      <c r="E395" t="s">
        <v>95</v>
      </c>
      <c r="F395" t="s">
        <v>103</v>
      </c>
      <c r="G395" t="s">
        <v>103</v>
      </c>
      <c r="H395" t="s">
        <v>103</v>
      </c>
      <c r="J395">
        <v>0</v>
      </c>
      <c r="K395">
        <v>7</v>
      </c>
      <c r="L395">
        <v>98.291666669999998</v>
      </c>
      <c r="M395">
        <v>30.315130790000001</v>
      </c>
      <c r="N395">
        <v>5.0803484000000003E-2</v>
      </c>
      <c r="O395">
        <v>0.42866070000000001</v>
      </c>
      <c r="P395">
        <v>98.291666669999998</v>
      </c>
      <c r="Q395">
        <v>30.315130790000001</v>
      </c>
      <c r="R395">
        <v>5.0803484000000003E-2</v>
      </c>
      <c r="S395">
        <v>0.42866070000000001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</row>
    <row r="396" spans="1:27" x14ac:dyDescent="0.25">
      <c r="A396" t="s">
        <v>38</v>
      </c>
      <c r="B396" t="s">
        <v>943</v>
      </c>
      <c r="C396">
        <v>2</v>
      </c>
      <c r="D396" t="s">
        <v>11</v>
      </c>
      <c r="E396" t="s">
        <v>95</v>
      </c>
      <c r="F396" t="s">
        <v>103</v>
      </c>
      <c r="G396" t="s">
        <v>103</v>
      </c>
      <c r="H396" t="s">
        <v>113</v>
      </c>
      <c r="J396">
        <v>0</v>
      </c>
      <c r="K396">
        <v>2</v>
      </c>
      <c r="L396">
        <v>98.291666669999998</v>
      </c>
      <c r="M396">
        <v>30.315130790000001</v>
      </c>
      <c r="N396">
        <v>5.0803484000000003E-2</v>
      </c>
      <c r="O396">
        <v>0.42866070000000001</v>
      </c>
      <c r="P396">
        <v>83.757575759999995</v>
      </c>
      <c r="Q396">
        <v>22.60997987</v>
      </c>
      <c r="R396">
        <v>0.72884000000000004</v>
      </c>
      <c r="S396">
        <v>0.21301339999999999</v>
      </c>
      <c r="T396">
        <v>14.53409091</v>
      </c>
      <c r="U396">
        <v>14.53409091</v>
      </c>
      <c r="V396">
        <v>7.7051509200000003</v>
      </c>
      <c r="W396">
        <v>7.7051509200000003</v>
      </c>
      <c r="X396">
        <v>-0.67803651600000003</v>
      </c>
      <c r="Y396">
        <v>0.67803651600000003</v>
      </c>
      <c r="Z396">
        <v>0.21564730000000001</v>
      </c>
      <c r="AA396">
        <v>0.21564730000000001</v>
      </c>
    </row>
    <row r="397" spans="1:27" x14ac:dyDescent="0.25">
      <c r="A397" t="s">
        <v>38</v>
      </c>
      <c r="B397" t="s">
        <v>943</v>
      </c>
      <c r="C397">
        <v>2</v>
      </c>
      <c r="D397" t="s">
        <v>11</v>
      </c>
      <c r="E397" t="s">
        <v>95</v>
      </c>
      <c r="F397" t="s">
        <v>103</v>
      </c>
      <c r="G397" t="s">
        <v>103</v>
      </c>
      <c r="H397" t="s">
        <v>113</v>
      </c>
      <c r="J397">
        <v>0</v>
      </c>
      <c r="K397">
        <v>2</v>
      </c>
      <c r="L397">
        <v>98.291666669999998</v>
      </c>
      <c r="M397">
        <v>30.315130790000001</v>
      </c>
      <c r="N397">
        <v>5.0803484000000003E-2</v>
      </c>
      <c r="O397">
        <v>0.42866070000000001</v>
      </c>
      <c r="P397">
        <v>83.757575759999995</v>
      </c>
      <c r="Q397">
        <v>22.60997987</v>
      </c>
      <c r="R397">
        <v>0.72884000000000004</v>
      </c>
      <c r="S397">
        <v>0.21301339999999999</v>
      </c>
      <c r="T397">
        <v>14.53409091</v>
      </c>
      <c r="U397">
        <v>14.53409091</v>
      </c>
      <c r="V397">
        <v>7.7051509200000003</v>
      </c>
      <c r="W397">
        <v>7.7051509200000003</v>
      </c>
      <c r="X397">
        <v>-0.67803651600000003</v>
      </c>
      <c r="Y397">
        <v>0.67803651600000003</v>
      </c>
      <c r="Z397">
        <v>0.21564730000000001</v>
      </c>
      <c r="AA397">
        <v>0.21564730000000001</v>
      </c>
    </row>
    <row r="398" spans="1:27" x14ac:dyDescent="0.25">
      <c r="A398" t="s">
        <v>38</v>
      </c>
      <c r="B398" t="s">
        <v>944</v>
      </c>
      <c r="C398">
        <v>2</v>
      </c>
      <c r="D398" t="s">
        <v>11</v>
      </c>
      <c r="E398" t="s">
        <v>95</v>
      </c>
      <c r="F398" t="s">
        <v>111</v>
      </c>
      <c r="G398" t="s">
        <v>103</v>
      </c>
      <c r="H398" t="s">
        <v>103</v>
      </c>
      <c r="J398">
        <v>0</v>
      </c>
      <c r="K398">
        <v>2</v>
      </c>
      <c r="L398">
        <v>94.97142857</v>
      </c>
      <c r="M398">
        <v>24.31591813</v>
      </c>
      <c r="N398">
        <v>0.122951111</v>
      </c>
      <c r="O398">
        <v>0.39050790000000002</v>
      </c>
      <c r="P398">
        <v>98.291666669999998</v>
      </c>
      <c r="Q398">
        <v>30.315130790000001</v>
      </c>
      <c r="R398">
        <v>5.0803484000000003E-2</v>
      </c>
      <c r="S398">
        <v>0.42866070000000001</v>
      </c>
      <c r="T398">
        <v>-3.3202381000000001</v>
      </c>
      <c r="U398">
        <v>3.3202381000000001</v>
      </c>
      <c r="V398">
        <v>-5.9992126600000004</v>
      </c>
      <c r="W398">
        <v>5.9992126600000004</v>
      </c>
      <c r="X398">
        <v>7.2147627000000006E-2</v>
      </c>
      <c r="Y398">
        <v>7.2147627000000006E-2</v>
      </c>
      <c r="Z398">
        <v>-3.8152799999999987E-2</v>
      </c>
      <c r="AA398">
        <v>3.8152799999999987E-2</v>
      </c>
    </row>
    <row r="399" spans="1:27" x14ac:dyDescent="0.25">
      <c r="A399" t="s">
        <v>38</v>
      </c>
      <c r="B399" t="s">
        <v>944</v>
      </c>
      <c r="C399">
        <v>2</v>
      </c>
      <c r="D399" t="s">
        <v>11</v>
      </c>
      <c r="E399" t="s">
        <v>95</v>
      </c>
      <c r="F399" t="s">
        <v>111</v>
      </c>
      <c r="G399" t="s">
        <v>103</v>
      </c>
      <c r="H399" t="s">
        <v>103</v>
      </c>
      <c r="J399">
        <v>0</v>
      </c>
      <c r="K399">
        <v>2</v>
      </c>
      <c r="L399">
        <v>94.97142857</v>
      </c>
      <c r="M399">
        <v>24.31591813</v>
      </c>
      <c r="N399">
        <v>0.122951111</v>
      </c>
      <c r="O399">
        <v>0.39050790000000002</v>
      </c>
      <c r="P399">
        <v>98.291666669999998</v>
      </c>
      <c r="Q399">
        <v>30.315130790000001</v>
      </c>
      <c r="R399">
        <v>5.0803484000000003E-2</v>
      </c>
      <c r="S399">
        <v>0.42866070000000001</v>
      </c>
      <c r="T399">
        <v>-3.3202381000000001</v>
      </c>
      <c r="U399">
        <v>3.3202381000000001</v>
      </c>
      <c r="V399">
        <v>-5.9992126600000004</v>
      </c>
      <c r="W399">
        <v>5.9992126600000004</v>
      </c>
      <c r="X399">
        <v>7.2147627000000006E-2</v>
      </c>
      <c r="Y399">
        <v>7.2147627000000006E-2</v>
      </c>
      <c r="Z399">
        <v>-3.8152799999999987E-2</v>
      </c>
      <c r="AA399">
        <v>3.8152799999999987E-2</v>
      </c>
    </row>
    <row r="400" spans="1:27" x14ac:dyDescent="0.25">
      <c r="A400" t="s">
        <v>39</v>
      </c>
      <c r="B400" t="s">
        <v>945</v>
      </c>
      <c r="C400">
        <v>2</v>
      </c>
      <c r="D400" t="s">
        <v>15</v>
      </c>
      <c r="E400" t="s">
        <v>94</v>
      </c>
      <c r="F400" t="s">
        <v>102</v>
      </c>
      <c r="G400" t="s">
        <v>102</v>
      </c>
      <c r="H400" t="s">
        <v>235</v>
      </c>
      <c r="J400">
        <v>0</v>
      </c>
      <c r="K400">
        <v>1</v>
      </c>
      <c r="L400">
        <v>84.740740740000007</v>
      </c>
      <c r="M400">
        <v>29.167014049999999</v>
      </c>
      <c r="N400">
        <v>1.1169849999999999</v>
      </c>
      <c r="O400">
        <v>1.1571499000000001</v>
      </c>
      <c r="P400">
        <v>132.27272730000001</v>
      </c>
      <c r="Q400">
        <v>20.180448590000001</v>
      </c>
      <c r="R400">
        <v>3.7813451999999997E-2</v>
      </c>
      <c r="S400">
        <v>0.41404401000000002</v>
      </c>
      <c r="T400">
        <v>-47.53198656</v>
      </c>
      <c r="U400">
        <v>47.53198656</v>
      </c>
      <c r="V400">
        <v>8.9865654599999996</v>
      </c>
      <c r="W400">
        <v>8.9865654599999996</v>
      </c>
      <c r="X400">
        <v>1.0791715479999999</v>
      </c>
      <c r="Y400">
        <v>1.0791715479999999</v>
      </c>
      <c r="Z400">
        <v>0.74310589000000005</v>
      </c>
      <c r="AA400">
        <v>0.74310589000000005</v>
      </c>
    </row>
    <row r="401" spans="1:27" x14ac:dyDescent="0.25">
      <c r="A401" t="s">
        <v>39</v>
      </c>
      <c r="B401" t="s">
        <v>945</v>
      </c>
      <c r="C401">
        <v>2</v>
      </c>
      <c r="D401" t="s">
        <v>15</v>
      </c>
      <c r="E401" t="s">
        <v>94</v>
      </c>
      <c r="F401" t="s">
        <v>102</v>
      </c>
      <c r="G401" t="s">
        <v>102</v>
      </c>
      <c r="H401" t="s">
        <v>113</v>
      </c>
      <c r="J401">
        <v>0</v>
      </c>
      <c r="K401">
        <v>2</v>
      </c>
      <c r="L401">
        <v>84.740740740000007</v>
      </c>
      <c r="M401">
        <v>29.167014049999999</v>
      </c>
      <c r="N401">
        <v>1.1169849999999999</v>
      </c>
      <c r="O401">
        <v>1.1571499000000001</v>
      </c>
      <c r="P401">
        <v>83.757575759999995</v>
      </c>
      <c r="Q401">
        <v>22.60997987</v>
      </c>
      <c r="R401">
        <v>0.72884000000000004</v>
      </c>
      <c r="S401">
        <v>0.21301339999999999</v>
      </c>
      <c r="T401">
        <v>0.98316497999999997</v>
      </c>
      <c r="U401">
        <v>0.98316497999999997</v>
      </c>
      <c r="V401">
        <v>6.5570341799999996</v>
      </c>
      <c r="W401">
        <v>6.5570341799999996</v>
      </c>
      <c r="X401">
        <v>0.38814500000000002</v>
      </c>
      <c r="Y401">
        <v>0.38814500000000002</v>
      </c>
      <c r="Z401">
        <v>0.94413650000000005</v>
      </c>
      <c r="AA401">
        <v>0.94413650000000005</v>
      </c>
    </row>
    <row r="402" spans="1:27" x14ac:dyDescent="0.25">
      <c r="A402" t="s">
        <v>39</v>
      </c>
      <c r="B402" t="s">
        <v>945</v>
      </c>
      <c r="C402">
        <v>2</v>
      </c>
      <c r="D402" t="s">
        <v>15</v>
      </c>
      <c r="E402" t="s">
        <v>94</v>
      </c>
      <c r="F402" t="s">
        <v>102</v>
      </c>
      <c r="G402" t="s">
        <v>102</v>
      </c>
      <c r="H402" t="s">
        <v>113</v>
      </c>
      <c r="J402">
        <v>0</v>
      </c>
      <c r="K402">
        <v>2</v>
      </c>
      <c r="L402">
        <v>84.740740740000007</v>
      </c>
      <c r="M402">
        <v>29.167014049999999</v>
      </c>
      <c r="N402">
        <v>1.1169849999999999</v>
      </c>
      <c r="O402">
        <v>1.1571499000000001</v>
      </c>
      <c r="P402">
        <v>83.757575759999995</v>
      </c>
      <c r="Q402">
        <v>22.60997987</v>
      </c>
      <c r="R402">
        <v>0.72884000000000004</v>
      </c>
      <c r="S402">
        <v>0.21301339999999999</v>
      </c>
      <c r="T402">
        <v>0.98316497999999997</v>
      </c>
      <c r="U402">
        <v>0.98316497999999997</v>
      </c>
      <c r="V402">
        <v>6.5570341799999996</v>
      </c>
      <c r="W402">
        <v>6.5570341799999996</v>
      </c>
      <c r="X402">
        <v>0.38814500000000002</v>
      </c>
      <c r="Y402">
        <v>0.38814500000000002</v>
      </c>
      <c r="Z402">
        <v>0.94413650000000005</v>
      </c>
      <c r="AA402">
        <v>0.94413650000000005</v>
      </c>
    </row>
    <row r="403" spans="1:27" x14ac:dyDescent="0.25">
      <c r="A403" t="s">
        <v>39</v>
      </c>
      <c r="B403" t="s">
        <v>945</v>
      </c>
      <c r="C403">
        <v>2</v>
      </c>
      <c r="D403" t="s">
        <v>15</v>
      </c>
      <c r="E403" t="s">
        <v>94</v>
      </c>
      <c r="F403" t="s">
        <v>102</v>
      </c>
      <c r="G403" t="s">
        <v>102</v>
      </c>
      <c r="H403" t="s">
        <v>103</v>
      </c>
      <c r="J403">
        <v>0</v>
      </c>
      <c r="K403">
        <v>3</v>
      </c>
      <c r="L403">
        <v>84.740740740000007</v>
      </c>
      <c r="M403">
        <v>29.167014049999999</v>
      </c>
      <c r="N403">
        <v>1.1169849999999999</v>
      </c>
      <c r="O403">
        <v>1.1571499000000001</v>
      </c>
      <c r="P403">
        <v>98.291666669999998</v>
      </c>
      <c r="Q403">
        <v>30.315130790000001</v>
      </c>
      <c r="R403">
        <v>5.0803484000000003E-2</v>
      </c>
      <c r="S403">
        <v>0.42866070000000001</v>
      </c>
      <c r="T403">
        <v>-13.55092593</v>
      </c>
      <c r="U403">
        <v>13.55092593</v>
      </c>
      <c r="V403">
        <v>-1.1481167400000001</v>
      </c>
      <c r="W403">
        <v>1.1481167400000001</v>
      </c>
      <c r="X403">
        <v>1.0661815160000001</v>
      </c>
      <c r="Y403">
        <v>1.0661815160000001</v>
      </c>
      <c r="Z403">
        <v>0.72848920000000006</v>
      </c>
      <c r="AA403">
        <v>0.72848920000000006</v>
      </c>
    </row>
    <row r="404" spans="1:27" x14ac:dyDescent="0.25">
      <c r="A404" t="s">
        <v>39</v>
      </c>
      <c r="B404" t="s">
        <v>945</v>
      </c>
      <c r="C404">
        <v>2</v>
      </c>
      <c r="D404" t="s">
        <v>15</v>
      </c>
      <c r="E404" t="s">
        <v>94</v>
      </c>
      <c r="F404" t="s">
        <v>102</v>
      </c>
      <c r="G404" t="s">
        <v>102</v>
      </c>
      <c r="H404" t="s">
        <v>103</v>
      </c>
      <c r="J404">
        <v>0</v>
      </c>
      <c r="K404">
        <v>3</v>
      </c>
      <c r="L404">
        <v>84.740740740000007</v>
      </c>
      <c r="M404">
        <v>29.167014049999999</v>
      </c>
      <c r="N404">
        <v>1.1169849999999999</v>
      </c>
      <c r="O404">
        <v>1.1571499000000001</v>
      </c>
      <c r="P404">
        <v>98.291666669999998</v>
      </c>
      <c r="Q404">
        <v>30.315130790000001</v>
      </c>
      <c r="R404">
        <v>5.0803484000000003E-2</v>
      </c>
      <c r="S404">
        <v>0.42866070000000001</v>
      </c>
      <c r="T404">
        <v>-13.55092593</v>
      </c>
      <c r="U404">
        <v>13.55092593</v>
      </c>
      <c r="V404">
        <v>-1.1481167400000001</v>
      </c>
      <c r="W404">
        <v>1.1481167400000001</v>
      </c>
      <c r="X404">
        <v>1.0661815160000001</v>
      </c>
      <c r="Y404">
        <v>1.0661815160000001</v>
      </c>
      <c r="Z404">
        <v>0.72848920000000006</v>
      </c>
      <c r="AA404">
        <v>0.72848920000000006</v>
      </c>
    </row>
    <row r="405" spans="1:27" x14ac:dyDescent="0.25">
      <c r="A405" t="s">
        <v>39</v>
      </c>
      <c r="B405" t="s">
        <v>945</v>
      </c>
      <c r="C405">
        <v>2</v>
      </c>
      <c r="D405" t="s">
        <v>15</v>
      </c>
      <c r="E405" t="s">
        <v>94</v>
      </c>
      <c r="F405" t="s">
        <v>102</v>
      </c>
      <c r="G405" t="s">
        <v>102</v>
      </c>
      <c r="H405" t="s">
        <v>103</v>
      </c>
      <c r="J405">
        <v>0</v>
      </c>
      <c r="K405">
        <v>3</v>
      </c>
      <c r="L405">
        <v>84.740740740000007</v>
      </c>
      <c r="M405">
        <v>29.167014049999999</v>
      </c>
      <c r="N405">
        <v>1.1169849999999999</v>
      </c>
      <c r="O405">
        <v>1.1571499000000001</v>
      </c>
      <c r="P405">
        <v>98.291666669999998</v>
      </c>
      <c r="Q405">
        <v>30.315130790000001</v>
      </c>
      <c r="R405">
        <v>5.0803484000000003E-2</v>
      </c>
      <c r="S405">
        <v>0.42866070000000001</v>
      </c>
      <c r="T405">
        <v>-13.55092593</v>
      </c>
      <c r="U405">
        <v>13.55092593</v>
      </c>
      <c r="V405">
        <v>-1.1481167400000001</v>
      </c>
      <c r="W405">
        <v>1.1481167400000001</v>
      </c>
      <c r="X405">
        <v>1.0661815160000001</v>
      </c>
      <c r="Y405">
        <v>1.0661815160000001</v>
      </c>
      <c r="Z405">
        <v>0.72848920000000006</v>
      </c>
      <c r="AA405">
        <v>0.72848920000000006</v>
      </c>
    </row>
    <row r="406" spans="1:27" x14ac:dyDescent="0.25">
      <c r="A406" t="s">
        <v>39</v>
      </c>
      <c r="B406" t="s">
        <v>945</v>
      </c>
      <c r="C406">
        <v>2</v>
      </c>
      <c r="D406" t="s">
        <v>15</v>
      </c>
      <c r="E406" t="s">
        <v>94</v>
      </c>
      <c r="F406" t="s">
        <v>102</v>
      </c>
      <c r="G406" t="s">
        <v>102</v>
      </c>
      <c r="H406" t="s">
        <v>233</v>
      </c>
      <c r="J406">
        <v>0</v>
      </c>
      <c r="K406">
        <v>1</v>
      </c>
      <c r="L406">
        <v>84.740740740000007</v>
      </c>
      <c r="M406">
        <v>29.167014049999999</v>
      </c>
      <c r="N406">
        <v>1.1169849999999999</v>
      </c>
      <c r="O406">
        <v>1.1571499000000001</v>
      </c>
      <c r="P406">
        <v>106.0540541</v>
      </c>
      <c r="Q406">
        <v>52.690533369999997</v>
      </c>
      <c r="R406">
        <v>7.6058968000000005E-2</v>
      </c>
      <c r="S406">
        <v>0.44888888999999998</v>
      </c>
      <c r="T406">
        <v>-21.313313359999999</v>
      </c>
      <c r="U406">
        <v>21.313313359999999</v>
      </c>
      <c r="V406">
        <v>-23.523519319999998</v>
      </c>
      <c r="W406">
        <v>23.523519319999998</v>
      </c>
      <c r="X406">
        <v>1.040926032</v>
      </c>
      <c r="Y406">
        <v>1.040926032</v>
      </c>
      <c r="Z406">
        <v>0.70826101000000008</v>
      </c>
      <c r="AA406">
        <v>0.70826101000000008</v>
      </c>
    </row>
    <row r="407" spans="1:27" x14ac:dyDescent="0.25">
      <c r="A407" t="s">
        <v>39</v>
      </c>
      <c r="B407" t="s">
        <v>945</v>
      </c>
      <c r="C407">
        <v>2</v>
      </c>
      <c r="D407" t="s">
        <v>15</v>
      </c>
      <c r="E407" t="s">
        <v>94</v>
      </c>
      <c r="F407" t="s">
        <v>102</v>
      </c>
      <c r="G407" t="s">
        <v>102</v>
      </c>
      <c r="H407" t="s">
        <v>104</v>
      </c>
      <c r="J407">
        <v>0</v>
      </c>
      <c r="K407">
        <v>1</v>
      </c>
      <c r="L407">
        <v>84.740740740000007</v>
      </c>
      <c r="M407">
        <v>29.167014049999999</v>
      </c>
      <c r="N407">
        <v>1.1169849999999999</v>
      </c>
      <c r="O407">
        <v>1.1571499000000001</v>
      </c>
      <c r="P407">
        <v>113.9375</v>
      </c>
      <c r="Q407">
        <v>33.375507550000002</v>
      </c>
      <c r="R407">
        <v>2.4262999999999999</v>
      </c>
      <c r="S407">
        <v>0.40692159999999999</v>
      </c>
      <c r="T407">
        <v>-29.19675926</v>
      </c>
      <c r="U407">
        <v>29.19675926</v>
      </c>
      <c r="V407">
        <v>-4.2084935000000003</v>
      </c>
      <c r="W407">
        <v>4.2084935000000003</v>
      </c>
      <c r="X407">
        <v>-1.309315</v>
      </c>
      <c r="Y407">
        <v>1.309315</v>
      </c>
      <c r="Z407">
        <v>0.75022830000000007</v>
      </c>
      <c r="AA407">
        <v>0.75022830000000007</v>
      </c>
    </row>
    <row r="408" spans="1:27" x14ac:dyDescent="0.25">
      <c r="A408" t="s">
        <v>39</v>
      </c>
      <c r="B408" t="s">
        <v>946</v>
      </c>
      <c r="C408">
        <v>2</v>
      </c>
      <c r="D408" t="s">
        <v>15</v>
      </c>
      <c r="E408" t="s">
        <v>94</v>
      </c>
      <c r="F408" t="s">
        <v>113</v>
      </c>
      <c r="G408" t="s">
        <v>113</v>
      </c>
      <c r="H408" t="s">
        <v>113</v>
      </c>
      <c r="J408">
        <v>0</v>
      </c>
      <c r="K408">
        <v>5</v>
      </c>
      <c r="L408">
        <v>83.757575759999995</v>
      </c>
      <c r="M408">
        <v>22.60997987</v>
      </c>
      <c r="N408">
        <v>0.72884000000000004</v>
      </c>
      <c r="O408">
        <v>0.21301339999999999</v>
      </c>
      <c r="P408">
        <v>83.757575759999995</v>
      </c>
      <c r="Q408">
        <v>22.60997987</v>
      </c>
      <c r="R408">
        <v>0.72884000000000004</v>
      </c>
      <c r="S408">
        <v>0.21301339999999999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</row>
    <row r="409" spans="1:27" x14ac:dyDescent="0.25">
      <c r="A409" t="s">
        <v>39</v>
      </c>
      <c r="B409" t="s">
        <v>946</v>
      </c>
      <c r="C409">
        <v>2</v>
      </c>
      <c r="D409" t="s">
        <v>15</v>
      </c>
      <c r="E409" t="s">
        <v>94</v>
      </c>
      <c r="F409" t="s">
        <v>113</v>
      </c>
      <c r="G409" t="s">
        <v>113</v>
      </c>
      <c r="H409" t="s">
        <v>113</v>
      </c>
      <c r="J409">
        <v>0</v>
      </c>
      <c r="K409">
        <v>5</v>
      </c>
      <c r="L409">
        <v>83.757575759999995</v>
      </c>
      <c r="M409">
        <v>22.60997987</v>
      </c>
      <c r="N409">
        <v>0.72884000000000004</v>
      </c>
      <c r="O409">
        <v>0.21301339999999999</v>
      </c>
      <c r="P409">
        <v>83.757575759999995</v>
      </c>
      <c r="Q409">
        <v>22.60997987</v>
      </c>
      <c r="R409">
        <v>0.72884000000000004</v>
      </c>
      <c r="S409">
        <v>0.21301339999999999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</row>
    <row r="410" spans="1:27" x14ac:dyDescent="0.25">
      <c r="A410" t="s">
        <v>39</v>
      </c>
      <c r="B410" t="s">
        <v>946</v>
      </c>
      <c r="C410">
        <v>2</v>
      </c>
      <c r="D410" t="s">
        <v>15</v>
      </c>
      <c r="E410" t="s">
        <v>94</v>
      </c>
      <c r="F410" t="s">
        <v>113</v>
      </c>
      <c r="G410" t="s">
        <v>113</v>
      </c>
      <c r="H410" t="s">
        <v>113</v>
      </c>
      <c r="J410">
        <v>0</v>
      </c>
      <c r="K410">
        <v>5</v>
      </c>
      <c r="L410">
        <v>83.757575759999995</v>
      </c>
      <c r="M410">
        <v>22.60997987</v>
      </c>
      <c r="N410">
        <v>0.72884000000000004</v>
      </c>
      <c r="O410">
        <v>0.21301339999999999</v>
      </c>
      <c r="P410">
        <v>83.757575759999995</v>
      </c>
      <c r="Q410">
        <v>22.60997987</v>
      </c>
      <c r="R410">
        <v>0.72884000000000004</v>
      </c>
      <c r="S410">
        <v>0.21301339999999999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</row>
    <row r="411" spans="1:27" x14ac:dyDescent="0.25">
      <c r="A411" t="s">
        <v>39</v>
      </c>
      <c r="B411" t="s">
        <v>946</v>
      </c>
      <c r="C411">
        <v>2</v>
      </c>
      <c r="D411" t="s">
        <v>15</v>
      </c>
      <c r="E411" t="s">
        <v>94</v>
      </c>
      <c r="F411" t="s">
        <v>113</v>
      </c>
      <c r="G411" t="s">
        <v>113</v>
      </c>
      <c r="H411" t="s">
        <v>113</v>
      </c>
      <c r="J411">
        <v>0</v>
      </c>
      <c r="K411">
        <v>5</v>
      </c>
      <c r="L411">
        <v>83.757575759999995</v>
      </c>
      <c r="M411">
        <v>22.60997987</v>
      </c>
      <c r="N411">
        <v>0.72884000000000004</v>
      </c>
      <c r="O411">
        <v>0.21301339999999999</v>
      </c>
      <c r="P411">
        <v>83.757575759999995</v>
      </c>
      <c r="Q411">
        <v>22.60997987</v>
      </c>
      <c r="R411">
        <v>0.72884000000000004</v>
      </c>
      <c r="S411">
        <v>0.21301339999999999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</row>
    <row r="412" spans="1:27" x14ac:dyDescent="0.25">
      <c r="A412" t="s">
        <v>39</v>
      </c>
      <c r="B412" t="s">
        <v>946</v>
      </c>
      <c r="C412">
        <v>2</v>
      </c>
      <c r="D412" t="s">
        <v>15</v>
      </c>
      <c r="E412" t="s">
        <v>94</v>
      </c>
      <c r="F412" t="s">
        <v>113</v>
      </c>
      <c r="G412" t="s">
        <v>113</v>
      </c>
      <c r="H412" t="s">
        <v>113</v>
      </c>
      <c r="J412">
        <v>0</v>
      </c>
      <c r="K412">
        <v>5</v>
      </c>
      <c r="L412">
        <v>83.757575759999995</v>
      </c>
      <c r="M412">
        <v>22.60997987</v>
      </c>
      <c r="N412">
        <v>0.72884000000000004</v>
      </c>
      <c r="O412">
        <v>0.21301339999999999</v>
      </c>
      <c r="P412">
        <v>83.757575759999995</v>
      </c>
      <c r="Q412">
        <v>22.60997987</v>
      </c>
      <c r="R412">
        <v>0.72884000000000004</v>
      </c>
      <c r="S412">
        <v>0.21301339999999999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</row>
    <row r="413" spans="1:27" x14ac:dyDescent="0.25">
      <c r="A413" t="s">
        <v>39</v>
      </c>
      <c r="B413" t="s">
        <v>946</v>
      </c>
      <c r="C413">
        <v>2</v>
      </c>
      <c r="D413" t="s">
        <v>15</v>
      </c>
      <c r="E413" t="s">
        <v>94</v>
      </c>
      <c r="F413" t="s">
        <v>113</v>
      </c>
      <c r="G413" t="s">
        <v>113</v>
      </c>
      <c r="H413" t="s">
        <v>233</v>
      </c>
      <c r="J413">
        <v>0</v>
      </c>
      <c r="K413">
        <v>4</v>
      </c>
      <c r="L413">
        <v>83.757575759999995</v>
      </c>
      <c r="M413">
        <v>22.60997987</v>
      </c>
      <c r="N413">
        <v>0.72884000000000004</v>
      </c>
      <c r="O413">
        <v>0.21301339999999999</v>
      </c>
      <c r="P413">
        <v>106.0540541</v>
      </c>
      <c r="Q413">
        <v>52.690533369999997</v>
      </c>
      <c r="R413">
        <v>7.6058968000000005E-2</v>
      </c>
      <c r="S413">
        <v>0.44888888999999998</v>
      </c>
      <c r="T413">
        <v>-22.29647834</v>
      </c>
      <c r="U413">
        <v>22.29647834</v>
      </c>
      <c r="V413">
        <v>-30.080553500000001</v>
      </c>
      <c r="W413">
        <v>30.080553500000001</v>
      </c>
      <c r="X413">
        <v>0.65278103200000004</v>
      </c>
      <c r="Y413">
        <v>0.65278103200000004</v>
      </c>
      <c r="Z413">
        <v>-0.23587548999999999</v>
      </c>
      <c r="AA413">
        <v>0.23587548999999999</v>
      </c>
    </row>
    <row r="414" spans="1:27" x14ac:dyDescent="0.25">
      <c r="A414" t="s">
        <v>39</v>
      </c>
      <c r="B414" t="s">
        <v>946</v>
      </c>
      <c r="C414">
        <v>2</v>
      </c>
      <c r="D414" t="s">
        <v>15</v>
      </c>
      <c r="E414" t="s">
        <v>94</v>
      </c>
      <c r="F414" t="s">
        <v>113</v>
      </c>
      <c r="G414" t="s">
        <v>113</v>
      </c>
      <c r="H414" t="s">
        <v>233</v>
      </c>
      <c r="J414">
        <v>0</v>
      </c>
      <c r="K414">
        <v>4</v>
      </c>
      <c r="L414">
        <v>83.757575759999995</v>
      </c>
      <c r="M414">
        <v>22.60997987</v>
      </c>
      <c r="N414">
        <v>0.72884000000000004</v>
      </c>
      <c r="O414">
        <v>0.21301339999999999</v>
      </c>
      <c r="P414">
        <v>106.0540541</v>
      </c>
      <c r="Q414">
        <v>52.690533369999997</v>
      </c>
      <c r="R414">
        <v>7.6058968000000005E-2</v>
      </c>
      <c r="S414">
        <v>0.44888888999999998</v>
      </c>
      <c r="T414">
        <v>-22.29647834</v>
      </c>
      <c r="U414">
        <v>22.29647834</v>
      </c>
      <c r="V414">
        <v>-30.080553500000001</v>
      </c>
      <c r="W414">
        <v>30.080553500000001</v>
      </c>
      <c r="X414">
        <v>0.65278103200000004</v>
      </c>
      <c r="Y414">
        <v>0.65278103200000004</v>
      </c>
      <c r="Z414">
        <v>-0.23587548999999999</v>
      </c>
      <c r="AA414">
        <v>0.23587548999999999</v>
      </c>
    </row>
    <row r="415" spans="1:27" x14ac:dyDescent="0.25">
      <c r="A415" t="s">
        <v>39</v>
      </c>
      <c r="B415" t="s">
        <v>946</v>
      </c>
      <c r="C415">
        <v>2</v>
      </c>
      <c r="D415" t="s">
        <v>15</v>
      </c>
      <c r="E415" t="s">
        <v>94</v>
      </c>
      <c r="F415" t="s">
        <v>113</v>
      </c>
      <c r="G415" t="s">
        <v>113</v>
      </c>
      <c r="H415" t="s">
        <v>233</v>
      </c>
      <c r="J415">
        <v>0</v>
      </c>
      <c r="K415">
        <v>4</v>
      </c>
      <c r="L415">
        <v>83.757575759999995</v>
      </c>
      <c r="M415">
        <v>22.60997987</v>
      </c>
      <c r="N415">
        <v>0.72884000000000004</v>
      </c>
      <c r="O415">
        <v>0.21301339999999999</v>
      </c>
      <c r="P415">
        <v>106.0540541</v>
      </c>
      <c r="Q415">
        <v>52.690533369999997</v>
      </c>
      <c r="R415">
        <v>7.6058968000000005E-2</v>
      </c>
      <c r="S415">
        <v>0.44888888999999998</v>
      </c>
      <c r="T415">
        <v>-22.29647834</v>
      </c>
      <c r="U415">
        <v>22.29647834</v>
      </c>
      <c r="V415">
        <v>-30.080553500000001</v>
      </c>
      <c r="W415">
        <v>30.080553500000001</v>
      </c>
      <c r="X415">
        <v>0.65278103200000004</v>
      </c>
      <c r="Y415">
        <v>0.65278103200000004</v>
      </c>
      <c r="Z415">
        <v>-0.23587548999999999</v>
      </c>
      <c r="AA415">
        <v>0.23587548999999999</v>
      </c>
    </row>
    <row r="416" spans="1:27" x14ac:dyDescent="0.25">
      <c r="A416" t="s">
        <v>39</v>
      </c>
      <c r="B416" t="s">
        <v>946</v>
      </c>
      <c r="C416">
        <v>2</v>
      </c>
      <c r="D416" t="s">
        <v>15</v>
      </c>
      <c r="E416" t="s">
        <v>94</v>
      </c>
      <c r="F416" t="s">
        <v>113</v>
      </c>
      <c r="G416" t="s">
        <v>113</v>
      </c>
      <c r="H416" t="s">
        <v>233</v>
      </c>
      <c r="J416">
        <v>0</v>
      </c>
      <c r="K416">
        <v>4</v>
      </c>
      <c r="L416">
        <v>83.757575759999995</v>
      </c>
      <c r="M416">
        <v>22.60997987</v>
      </c>
      <c r="N416">
        <v>0.72884000000000004</v>
      </c>
      <c r="O416">
        <v>0.21301339999999999</v>
      </c>
      <c r="P416">
        <v>106.0540541</v>
      </c>
      <c r="Q416">
        <v>52.690533369999997</v>
      </c>
      <c r="R416">
        <v>7.6058968000000005E-2</v>
      </c>
      <c r="S416">
        <v>0.44888888999999998</v>
      </c>
      <c r="T416">
        <v>-22.29647834</v>
      </c>
      <c r="U416">
        <v>22.29647834</v>
      </c>
      <c r="V416">
        <v>-30.080553500000001</v>
      </c>
      <c r="W416">
        <v>30.080553500000001</v>
      </c>
      <c r="X416">
        <v>0.65278103200000004</v>
      </c>
      <c r="Y416">
        <v>0.65278103200000004</v>
      </c>
      <c r="Z416">
        <v>-0.23587548999999999</v>
      </c>
      <c r="AA416">
        <v>0.23587548999999999</v>
      </c>
    </row>
    <row r="417" spans="1:27" x14ac:dyDescent="0.25">
      <c r="A417" t="s">
        <v>39</v>
      </c>
      <c r="B417" t="s">
        <v>946</v>
      </c>
      <c r="C417">
        <v>2</v>
      </c>
      <c r="D417" t="s">
        <v>15</v>
      </c>
      <c r="E417" t="s">
        <v>94</v>
      </c>
      <c r="F417" t="s">
        <v>113</v>
      </c>
      <c r="G417" t="s">
        <v>113</v>
      </c>
      <c r="H417" t="s">
        <v>234</v>
      </c>
      <c r="J417">
        <v>0</v>
      </c>
      <c r="K417">
        <v>1</v>
      </c>
      <c r="L417">
        <v>83.757575759999995</v>
      </c>
      <c r="M417">
        <v>22.60997987</v>
      </c>
      <c r="N417">
        <v>0.72884000000000004</v>
      </c>
      <c r="O417">
        <v>0.21301339999999999</v>
      </c>
      <c r="P417">
        <v>89.8125</v>
      </c>
      <c r="Q417">
        <v>34.754706650000003</v>
      </c>
      <c r="R417">
        <v>2.3065078999999999E-2</v>
      </c>
      <c r="S417">
        <v>2.4791666700000001</v>
      </c>
      <c r="T417">
        <v>-6.0549242400000001</v>
      </c>
      <c r="U417">
        <v>6.0549242400000001</v>
      </c>
      <c r="V417">
        <v>-12.144726779999999</v>
      </c>
      <c r="W417">
        <v>12.144726779999999</v>
      </c>
      <c r="X417">
        <v>0.70577492100000006</v>
      </c>
      <c r="Y417">
        <v>0.70577492100000006</v>
      </c>
      <c r="Z417">
        <v>-2.2661532700000002</v>
      </c>
      <c r="AA417">
        <v>2.2661532700000002</v>
      </c>
    </row>
    <row r="418" spans="1:27" x14ac:dyDescent="0.25">
      <c r="A418" t="s">
        <v>39</v>
      </c>
      <c r="B418" t="s">
        <v>947</v>
      </c>
      <c r="C418">
        <v>2</v>
      </c>
      <c r="D418" t="s">
        <v>15</v>
      </c>
      <c r="E418" t="s">
        <v>94</v>
      </c>
      <c r="F418" t="s">
        <v>103</v>
      </c>
      <c r="G418" t="s">
        <v>103</v>
      </c>
      <c r="H418" t="s">
        <v>103</v>
      </c>
      <c r="J418">
        <v>0</v>
      </c>
      <c r="K418">
        <v>3</v>
      </c>
      <c r="L418">
        <v>98.291666669999998</v>
      </c>
      <c r="M418">
        <v>30.315130790000001</v>
      </c>
      <c r="N418">
        <v>5.0803484000000003E-2</v>
      </c>
      <c r="O418">
        <v>0.42866070000000001</v>
      </c>
      <c r="P418">
        <v>98.291666669999998</v>
      </c>
      <c r="Q418">
        <v>30.315130790000001</v>
      </c>
      <c r="R418">
        <v>5.0803484000000003E-2</v>
      </c>
      <c r="S418">
        <v>0.42866070000000001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</row>
    <row r="419" spans="1:27" x14ac:dyDescent="0.25">
      <c r="A419" t="s">
        <v>39</v>
      </c>
      <c r="B419" t="s">
        <v>947</v>
      </c>
      <c r="C419">
        <v>2</v>
      </c>
      <c r="D419" t="s">
        <v>15</v>
      </c>
      <c r="E419" t="s">
        <v>94</v>
      </c>
      <c r="F419" t="s">
        <v>103</v>
      </c>
      <c r="G419" t="s">
        <v>103</v>
      </c>
      <c r="H419" t="s">
        <v>103</v>
      </c>
      <c r="J419">
        <v>0</v>
      </c>
      <c r="K419">
        <v>3</v>
      </c>
      <c r="L419">
        <v>98.291666669999998</v>
      </c>
      <c r="M419">
        <v>30.315130790000001</v>
      </c>
      <c r="N419">
        <v>5.0803484000000003E-2</v>
      </c>
      <c r="O419">
        <v>0.42866070000000001</v>
      </c>
      <c r="P419">
        <v>98.291666669999998</v>
      </c>
      <c r="Q419">
        <v>30.315130790000001</v>
      </c>
      <c r="R419">
        <v>5.0803484000000003E-2</v>
      </c>
      <c r="S419">
        <v>0.42866070000000001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</row>
    <row r="420" spans="1:27" x14ac:dyDescent="0.25">
      <c r="A420" t="s">
        <v>39</v>
      </c>
      <c r="B420" t="s">
        <v>947</v>
      </c>
      <c r="C420">
        <v>2</v>
      </c>
      <c r="D420" t="s">
        <v>15</v>
      </c>
      <c r="E420" t="s">
        <v>94</v>
      </c>
      <c r="F420" t="s">
        <v>103</v>
      </c>
      <c r="G420" t="s">
        <v>103</v>
      </c>
      <c r="H420" t="s">
        <v>103</v>
      </c>
      <c r="J420">
        <v>0</v>
      </c>
      <c r="K420">
        <v>3</v>
      </c>
      <c r="L420">
        <v>98.291666669999998</v>
      </c>
      <c r="M420">
        <v>30.315130790000001</v>
      </c>
      <c r="N420">
        <v>5.0803484000000003E-2</v>
      </c>
      <c r="O420">
        <v>0.42866070000000001</v>
      </c>
      <c r="P420">
        <v>98.291666669999998</v>
      </c>
      <c r="Q420">
        <v>30.315130790000001</v>
      </c>
      <c r="R420">
        <v>5.0803484000000003E-2</v>
      </c>
      <c r="S420">
        <v>0.42866070000000001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</row>
    <row r="421" spans="1:27" x14ac:dyDescent="0.25">
      <c r="A421" t="s">
        <v>39</v>
      </c>
      <c r="B421" t="s">
        <v>947</v>
      </c>
      <c r="C421">
        <v>2</v>
      </c>
      <c r="D421" t="s">
        <v>15</v>
      </c>
      <c r="E421" t="s">
        <v>94</v>
      </c>
      <c r="F421" t="s">
        <v>103</v>
      </c>
      <c r="G421" t="s">
        <v>103</v>
      </c>
      <c r="H421" t="s">
        <v>104</v>
      </c>
      <c r="J421">
        <v>0</v>
      </c>
      <c r="K421">
        <v>1</v>
      </c>
      <c r="L421">
        <v>98.291666669999998</v>
      </c>
      <c r="M421">
        <v>30.315130790000001</v>
      </c>
      <c r="N421">
        <v>5.0803484000000003E-2</v>
      </c>
      <c r="O421">
        <v>0.42866070000000001</v>
      </c>
      <c r="P421">
        <v>113.9375</v>
      </c>
      <c r="Q421">
        <v>33.375507550000002</v>
      </c>
      <c r="R421">
        <v>2.4262999999999999</v>
      </c>
      <c r="S421">
        <v>0.40692159999999999</v>
      </c>
      <c r="T421">
        <v>-15.64583333</v>
      </c>
      <c r="U421">
        <v>15.64583333</v>
      </c>
      <c r="V421">
        <v>-3.06037676</v>
      </c>
      <c r="W421">
        <v>3.06037676</v>
      </c>
      <c r="X421">
        <v>-2.3754965160000001</v>
      </c>
      <c r="Y421">
        <v>2.3754965160000001</v>
      </c>
      <c r="Z421">
        <v>2.1739100000000011E-2</v>
      </c>
      <c r="AA421">
        <v>2.1739100000000011E-2</v>
      </c>
    </row>
    <row r="422" spans="1:27" x14ac:dyDescent="0.25">
      <c r="A422" t="s">
        <v>39</v>
      </c>
      <c r="B422" t="s">
        <v>947</v>
      </c>
      <c r="C422">
        <v>2</v>
      </c>
      <c r="D422" t="s">
        <v>15</v>
      </c>
      <c r="E422" t="s">
        <v>94</v>
      </c>
      <c r="F422" t="s">
        <v>103</v>
      </c>
      <c r="G422" t="s">
        <v>103</v>
      </c>
      <c r="H422" t="s">
        <v>113</v>
      </c>
      <c r="J422">
        <v>0</v>
      </c>
      <c r="K422">
        <v>4</v>
      </c>
      <c r="L422">
        <v>98.291666669999998</v>
      </c>
      <c r="M422">
        <v>30.315130790000001</v>
      </c>
      <c r="N422">
        <v>5.0803484000000003E-2</v>
      </c>
      <c r="O422">
        <v>0.42866070000000001</v>
      </c>
      <c r="P422">
        <v>83.757575759999995</v>
      </c>
      <c r="Q422">
        <v>22.60997987</v>
      </c>
      <c r="R422">
        <v>0.72884000000000004</v>
      </c>
      <c r="S422">
        <v>0.21301339999999999</v>
      </c>
      <c r="T422">
        <v>14.53409091</v>
      </c>
      <c r="U422">
        <v>14.53409091</v>
      </c>
      <c r="V422">
        <v>7.7051509200000003</v>
      </c>
      <c r="W422">
        <v>7.7051509200000003</v>
      </c>
      <c r="X422">
        <v>-0.67803651600000003</v>
      </c>
      <c r="Y422">
        <v>0.67803651600000003</v>
      </c>
      <c r="Z422">
        <v>0.21564730000000001</v>
      </c>
      <c r="AA422">
        <v>0.21564730000000001</v>
      </c>
    </row>
    <row r="423" spans="1:27" x14ac:dyDescent="0.25">
      <c r="A423" t="s">
        <v>39</v>
      </c>
      <c r="B423" t="s">
        <v>947</v>
      </c>
      <c r="C423">
        <v>2</v>
      </c>
      <c r="D423" t="s">
        <v>15</v>
      </c>
      <c r="E423" t="s">
        <v>94</v>
      </c>
      <c r="F423" t="s">
        <v>103</v>
      </c>
      <c r="G423" t="s">
        <v>103</v>
      </c>
      <c r="H423" t="s">
        <v>113</v>
      </c>
      <c r="J423">
        <v>0</v>
      </c>
      <c r="K423">
        <v>4</v>
      </c>
      <c r="L423">
        <v>98.291666669999998</v>
      </c>
      <c r="M423">
        <v>30.315130790000001</v>
      </c>
      <c r="N423">
        <v>5.0803484000000003E-2</v>
      </c>
      <c r="O423">
        <v>0.42866070000000001</v>
      </c>
      <c r="P423">
        <v>83.757575759999995</v>
      </c>
      <c r="Q423">
        <v>22.60997987</v>
      </c>
      <c r="R423">
        <v>0.72884000000000004</v>
      </c>
      <c r="S423">
        <v>0.21301339999999999</v>
      </c>
      <c r="T423">
        <v>14.53409091</v>
      </c>
      <c r="U423">
        <v>14.53409091</v>
      </c>
      <c r="V423">
        <v>7.7051509200000003</v>
      </c>
      <c r="W423">
        <v>7.7051509200000003</v>
      </c>
      <c r="X423">
        <v>-0.67803651600000003</v>
      </c>
      <c r="Y423">
        <v>0.67803651600000003</v>
      </c>
      <c r="Z423">
        <v>0.21564730000000001</v>
      </c>
      <c r="AA423">
        <v>0.21564730000000001</v>
      </c>
    </row>
    <row r="424" spans="1:27" x14ac:dyDescent="0.25">
      <c r="A424" t="s">
        <v>39</v>
      </c>
      <c r="B424" t="s">
        <v>947</v>
      </c>
      <c r="C424">
        <v>2</v>
      </c>
      <c r="D424" t="s">
        <v>15</v>
      </c>
      <c r="E424" t="s">
        <v>94</v>
      </c>
      <c r="F424" t="s">
        <v>103</v>
      </c>
      <c r="G424" t="s">
        <v>103</v>
      </c>
      <c r="H424" t="s">
        <v>113</v>
      </c>
      <c r="J424">
        <v>0</v>
      </c>
      <c r="K424">
        <v>4</v>
      </c>
      <c r="L424">
        <v>98.291666669999998</v>
      </c>
      <c r="M424">
        <v>30.315130790000001</v>
      </c>
      <c r="N424">
        <v>5.0803484000000003E-2</v>
      </c>
      <c r="O424">
        <v>0.42866070000000001</v>
      </c>
      <c r="P424">
        <v>83.757575759999995</v>
      </c>
      <c r="Q424">
        <v>22.60997987</v>
      </c>
      <c r="R424">
        <v>0.72884000000000004</v>
      </c>
      <c r="S424">
        <v>0.21301339999999999</v>
      </c>
      <c r="T424">
        <v>14.53409091</v>
      </c>
      <c r="U424">
        <v>14.53409091</v>
      </c>
      <c r="V424">
        <v>7.7051509200000003</v>
      </c>
      <c r="W424">
        <v>7.7051509200000003</v>
      </c>
      <c r="X424">
        <v>-0.67803651600000003</v>
      </c>
      <c r="Y424">
        <v>0.67803651600000003</v>
      </c>
      <c r="Z424">
        <v>0.21564730000000001</v>
      </c>
      <c r="AA424">
        <v>0.21564730000000001</v>
      </c>
    </row>
    <row r="425" spans="1:27" x14ac:dyDescent="0.25">
      <c r="A425" t="s">
        <v>39</v>
      </c>
      <c r="B425" t="s">
        <v>947</v>
      </c>
      <c r="C425">
        <v>2</v>
      </c>
      <c r="D425" t="s">
        <v>15</v>
      </c>
      <c r="E425" t="s">
        <v>94</v>
      </c>
      <c r="F425" t="s">
        <v>103</v>
      </c>
      <c r="G425" t="s">
        <v>103</v>
      </c>
      <c r="H425" t="s">
        <v>113</v>
      </c>
      <c r="J425">
        <v>0</v>
      </c>
      <c r="K425">
        <v>4</v>
      </c>
      <c r="L425">
        <v>98.291666669999998</v>
      </c>
      <c r="M425">
        <v>30.315130790000001</v>
      </c>
      <c r="N425">
        <v>5.0803484000000003E-2</v>
      </c>
      <c r="O425">
        <v>0.42866070000000001</v>
      </c>
      <c r="P425">
        <v>83.757575759999995</v>
      </c>
      <c r="Q425">
        <v>22.60997987</v>
      </c>
      <c r="R425">
        <v>0.72884000000000004</v>
      </c>
      <c r="S425">
        <v>0.21301339999999999</v>
      </c>
      <c r="T425">
        <v>14.53409091</v>
      </c>
      <c r="U425">
        <v>14.53409091</v>
      </c>
      <c r="V425">
        <v>7.7051509200000003</v>
      </c>
      <c r="W425">
        <v>7.7051509200000003</v>
      </c>
      <c r="X425">
        <v>-0.67803651600000003</v>
      </c>
      <c r="Y425">
        <v>0.67803651600000003</v>
      </c>
      <c r="Z425">
        <v>0.21564730000000001</v>
      </c>
      <c r="AA425">
        <v>0.21564730000000001</v>
      </c>
    </row>
    <row r="426" spans="1:27" x14ac:dyDescent="0.25">
      <c r="A426" t="s">
        <v>39</v>
      </c>
      <c r="B426" t="s">
        <v>948</v>
      </c>
      <c r="C426">
        <v>2</v>
      </c>
      <c r="D426" t="s">
        <v>15</v>
      </c>
      <c r="E426" t="s">
        <v>94</v>
      </c>
      <c r="F426" t="s">
        <v>111</v>
      </c>
      <c r="G426" t="s">
        <v>104</v>
      </c>
      <c r="H426" t="s">
        <v>236</v>
      </c>
      <c r="J426">
        <v>0</v>
      </c>
      <c r="K426">
        <v>1</v>
      </c>
      <c r="L426">
        <v>94.97142857</v>
      </c>
      <c r="M426">
        <v>24.31591813</v>
      </c>
      <c r="N426">
        <v>0.122951111</v>
      </c>
      <c r="O426">
        <v>0.39050790000000002</v>
      </c>
      <c r="P426">
        <v>113.33333330000001</v>
      </c>
      <c r="Q426">
        <v>26.41632581</v>
      </c>
      <c r="R426">
        <v>1.6844570160000001</v>
      </c>
      <c r="S426">
        <v>8.9285710000000004E-2</v>
      </c>
      <c r="T426">
        <v>-18.361904729999999</v>
      </c>
      <c r="U426">
        <v>18.361904729999999</v>
      </c>
      <c r="V426">
        <v>-2.10040768</v>
      </c>
      <c r="W426">
        <v>2.10040768</v>
      </c>
      <c r="X426">
        <v>-1.561505905</v>
      </c>
      <c r="Y426">
        <v>1.561505905</v>
      </c>
      <c r="Z426">
        <v>0.30122219</v>
      </c>
      <c r="AA426">
        <v>0.30122219</v>
      </c>
    </row>
    <row r="427" spans="1:27" x14ac:dyDescent="0.25">
      <c r="A427" t="s">
        <v>39</v>
      </c>
      <c r="B427" t="s">
        <v>948</v>
      </c>
      <c r="C427">
        <v>2</v>
      </c>
      <c r="D427" t="s">
        <v>15</v>
      </c>
      <c r="E427" t="s">
        <v>94</v>
      </c>
      <c r="F427" t="s">
        <v>111</v>
      </c>
      <c r="G427" t="s">
        <v>104</v>
      </c>
      <c r="H427" t="s">
        <v>103</v>
      </c>
      <c r="J427">
        <v>0</v>
      </c>
      <c r="K427">
        <v>1</v>
      </c>
      <c r="L427">
        <v>94.97142857</v>
      </c>
      <c r="M427">
        <v>24.31591813</v>
      </c>
      <c r="N427">
        <v>0.122951111</v>
      </c>
      <c r="O427">
        <v>0.39050790000000002</v>
      </c>
      <c r="P427">
        <v>98.291666669999998</v>
      </c>
      <c r="Q427">
        <v>30.315130790000001</v>
      </c>
      <c r="R427">
        <v>5.0803484000000003E-2</v>
      </c>
      <c r="S427">
        <v>0.42866070000000001</v>
      </c>
      <c r="T427">
        <v>-3.3202381000000001</v>
      </c>
      <c r="U427">
        <v>3.3202381000000001</v>
      </c>
      <c r="V427">
        <v>-5.9992126600000004</v>
      </c>
      <c r="W427">
        <v>5.9992126600000004</v>
      </c>
      <c r="X427">
        <v>7.2147627000000006E-2</v>
      </c>
      <c r="Y427">
        <v>7.2147627000000006E-2</v>
      </c>
      <c r="Z427">
        <v>-3.8152799999999987E-2</v>
      </c>
      <c r="AA427">
        <v>3.8152799999999987E-2</v>
      </c>
    </row>
    <row r="428" spans="1:27" x14ac:dyDescent="0.25">
      <c r="A428" t="s">
        <v>39</v>
      </c>
      <c r="B428" t="s">
        <v>948</v>
      </c>
      <c r="C428">
        <v>2</v>
      </c>
      <c r="D428" t="s">
        <v>15</v>
      </c>
      <c r="E428" t="s">
        <v>94</v>
      </c>
      <c r="F428" t="s">
        <v>111</v>
      </c>
      <c r="G428" t="s">
        <v>104</v>
      </c>
      <c r="H428" t="s">
        <v>104</v>
      </c>
      <c r="J428">
        <v>0</v>
      </c>
      <c r="K428">
        <v>1</v>
      </c>
      <c r="L428">
        <v>94.97142857</v>
      </c>
      <c r="M428">
        <v>24.31591813</v>
      </c>
      <c r="N428">
        <v>0.122951111</v>
      </c>
      <c r="O428">
        <v>0.39050790000000002</v>
      </c>
      <c r="P428">
        <v>113.9375</v>
      </c>
      <c r="Q428">
        <v>33.375507550000002</v>
      </c>
      <c r="R428">
        <v>2.4262999999999999</v>
      </c>
      <c r="S428">
        <v>0.40692159999999999</v>
      </c>
      <c r="T428">
        <v>-18.96607143</v>
      </c>
      <c r="U428">
        <v>18.96607143</v>
      </c>
      <c r="V428">
        <v>-9.05958942</v>
      </c>
      <c r="W428">
        <v>9.05958942</v>
      </c>
      <c r="X428">
        <v>-2.303348889</v>
      </c>
      <c r="Y428">
        <v>2.303348889</v>
      </c>
      <c r="Z428">
        <v>-1.6413699999999976E-2</v>
      </c>
      <c r="AA428">
        <v>1.6413699999999976E-2</v>
      </c>
    </row>
    <row r="429" spans="1:27" x14ac:dyDescent="0.25">
      <c r="A429" t="s">
        <v>39</v>
      </c>
      <c r="B429" t="s">
        <v>949</v>
      </c>
      <c r="C429">
        <v>2</v>
      </c>
      <c r="D429" t="s">
        <v>15</v>
      </c>
      <c r="E429" t="s">
        <v>94</v>
      </c>
      <c r="F429" t="s">
        <v>104</v>
      </c>
      <c r="G429" t="s">
        <v>104</v>
      </c>
      <c r="H429" t="s">
        <v>104</v>
      </c>
      <c r="J429">
        <v>0</v>
      </c>
      <c r="K429">
        <v>3</v>
      </c>
      <c r="L429">
        <v>113.9375</v>
      </c>
      <c r="M429">
        <v>33.375507550000002</v>
      </c>
      <c r="N429">
        <v>2.4262999999999999</v>
      </c>
      <c r="O429">
        <v>0.40692159999999999</v>
      </c>
      <c r="P429">
        <v>113.9375</v>
      </c>
      <c r="Q429">
        <v>33.375507550000002</v>
      </c>
      <c r="R429">
        <v>2.4262999999999999</v>
      </c>
      <c r="S429">
        <v>0.40692159999999999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</row>
    <row r="430" spans="1:27" x14ac:dyDescent="0.25">
      <c r="A430" t="s">
        <v>39</v>
      </c>
      <c r="B430" t="s">
        <v>949</v>
      </c>
      <c r="C430">
        <v>2</v>
      </c>
      <c r="D430" t="s">
        <v>15</v>
      </c>
      <c r="E430" t="s">
        <v>94</v>
      </c>
      <c r="F430" t="s">
        <v>104</v>
      </c>
      <c r="G430" t="s">
        <v>104</v>
      </c>
      <c r="H430" t="s">
        <v>104</v>
      </c>
      <c r="J430">
        <v>0</v>
      </c>
      <c r="K430">
        <v>3</v>
      </c>
      <c r="L430">
        <v>113.9375</v>
      </c>
      <c r="M430">
        <v>33.375507550000002</v>
      </c>
      <c r="N430">
        <v>2.4262999999999999</v>
      </c>
      <c r="O430">
        <v>0.40692159999999999</v>
      </c>
      <c r="P430">
        <v>113.9375</v>
      </c>
      <c r="Q430">
        <v>33.375507550000002</v>
      </c>
      <c r="R430">
        <v>2.4262999999999999</v>
      </c>
      <c r="S430">
        <v>0.40692159999999999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</row>
    <row r="431" spans="1:27" x14ac:dyDescent="0.25">
      <c r="A431" t="s">
        <v>39</v>
      </c>
      <c r="B431" t="s">
        <v>949</v>
      </c>
      <c r="C431">
        <v>2</v>
      </c>
      <c r="D431" t="s">
        <v>15</v>
      </c>
      <c r="E431" t="s">
        <v>94</v>
      </c>
      <c r="F431" t="s">
        <v>104</v>
      </c>
      <c r="G431" t="s">
        <v>104</v>
      </c>
      <c r="H431" t="s">
        <v>104</v>
      </c>
      <c r="J431">
        <v>0</v>
      </c>
      <c r="K431">
        <v>3</v>
      </c>
      <c r="L431">
        <v>113.9375</v>
      </c>
      <c r="M431">
        <v>33.375507550000002</v>
      </c>
      <c r="N431">
        <v>2.4262999999999999</v>
      </c>
      <c r="O431">
        <v>0.40692159999999999</v>
      </c>
      <c r="P431">
        <v>113.9375</v>
      </c>
      <c r="Q431">
        <v>33.375507550000002</v>
      </c>
      <c r="R431">
        <v>2.4262999999999999</v>
      </c>
      <c r="S431">
        <v>0.40692159999999999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</row>
    <row r="432" spans="1:27" x14ac:dyDescent="0.25">
      <c r="A432" t="s">
        <v>39</v>
      </c>
      <c r="B432" t="s">
        <v>949</v>
      </c>
      <c r="C432">
        <v>2</v>
      </c>
      <c r="D432" t="s">
        <v>15</v>
      </c>
      <c r="E432" t="s">
        <v>94</v>
      </c>
      <c r="F432" t="s">
        <v>104</v>
      </c>
      <c r="G432" t="s">
        <v>104</v>
      </c>
      <c r="H432" t="s">
        <v>113</v>
      </c>
      <c r="J432">
        <v>0</v>
      </c>
      <c r="K432">
        <v>1</v>
      </c>
      <c r="L432">
        <v>113.9375</v>
      </c>
      <c r="M432">
        <v>33.375507550000002</v>
      </c>
      <c r="N432">
        <v>2.4262999999999999</v>
      </c>
      <c r="O432">
        <v>0.40692159999999999</v>
      </c>
      <c r="P432">
        <v>83.757575759999995</v>
      </c>
      <c r="Q432">
        <v>22.60997987</v>
      </c>
      <c r="R432">
        <v>0.72884000000000004</v>
      </c>
      <c r="S432">
        <v>0.21301339999999999</v>
      </c>
      <c r="T432">
        <v>30.179924239999998</v>
      </c>
      <c r="U432">
        <v>30.179924239999998</v>
      </c>
      <c r="V432">
        <v>10.76552768</v>
      </c>
      <c r="W432">
        <v>10.76552768</v>
      </c>
      <c r="X432">
        <v>1.69746</v>
      </c>
      <c r="Y432">
        <v>1.69746</v>
      </c>
      <c r="Z432">
        <v>0.1939082</v>
      </c>
      <c r="AA432">
        <v>0.1939082</v>
      </c>
    </row>
    <row r="433" spans="1:27" x14ac:dyDescent="0.25">
      <c r="A433" t="s">
        <v>40</v>
      </c>
      <c r="B433" t="s">
        <v>950</v>
      </c>
      <c r="C433">
        <v>2</v>
      </c>
      <c r="D433" t="s">
        <v>17</v>
      </c>
      <c r="E433" t="s">
        <v>95</v>
      </c>
      <c r="F433" t="s">
        <v>113</v>
      </c>
      <c r="G433" t="s">
        <v>113</v>
      </c>
      <c r="H433" t="s">
        <v>113</v>
      </c>
      <c r="J433">
        <v>0</v>
      </c>
      <c r="K433">
        <v>1</v>
      </c>
      <c r="L433">
        <v>83.757575759999995</v>
      </c>
      <c r="M433">
        <v>22.60997987</v>
      </c>
      <c r="N433">
        <v>0.72884000000000004</v>
      </c>
      <c r="O433">
        <v>0.21301339999999999</v>
      </c>
      <c r="P433">
        <v>83.757575759999995</v>
      </c>
      <c r="Q433">
        <v>22.60997987</v>
      </c>
      <c r="R433">
        <v>0.72884000000000004</v>
      </c>
      <c r="S433">
        <v>0.21301339999999999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</row>
    <row r="434" spans="1:27" x14ac:dyDescent="0.25">
      <c r="A434" t="s">
        <v>40</v>
      </c>
      <c r="B434" t="s">
        <v>950</v>
      </c>
      <c r="C434">
        <v>2</v>
      </c>
      <c r="D434" t="s">
        <v>17</v>
      </c>
      <c r="E434" t="s">
        <v>95</v>
      </c>
      <c r="F434" t="s">
        <v>113</v>
      </c>
      <c r="G434" t="s">
        <v>113</v>
      </c>
      <c r="H434" t="s">
        <v>103</v>
      </c>
      <c r="J434">
        <v>0</v>
      </c>
      <c r="K434">
        <v>2</v>
      </c>
      <c r="L434">
        <v>83.757575759999995</v>
      </c>
      <c r="M434">
        <v>22.60997987</v>
      </c>
      <c r="N434">
        <v>0.72884000000000004</v>
      </c>
      <c r="O434">
        <v>0.21301339999999999</v>
      </c>
      <c r="P434">
        <v>98.291666669999998</v>
      </c>
      <c r="Q434">
        <v>30.315130790000001</v>
      </c>
      <c r="R434">
        <v>5.0803484000000003E-2</v>
      </c>
      <c r="S434">
        <v>0.42866070000000001</v>
      </c>
      <c r="T434">
        <v>-14.53409091</v>
      </c>
      <c r="U434">
        <v>14.53409091</v>
      </c>
      <c r="V434">
        <v>-7.7051509200000003</v>
      </c>
      <c r="W434">
        <v>7.7051509200000003</v>
      </c>
      <c r="X434">
        <v>0.67803651600000003</v>
      </c>
      <c r="Y434">
        <v>0.67803651600000003</v>
      </c>
      <c r="Z434">
        <v>-0.21564730000000001</v>
      </c>
      <c r="AA434">
        <v>0.21564730000000001</v>
      </c>
    </row>
    <row r="435" spans="1:27" x14ac:dyDescent="0.25">
      <c r="A435" t="s">
        <v>40</v>
      </c>
      <c r="B435" t="s">
        <v>950</v>
      </c>
      <c r="C435">
        <v>2</v>
      </c>
      <c r="D435" t="s">
        <v>17</v>
      </c>
      <c r="E435" t="s">
        <v>95</v>
      </c>
      <c r="F435" t="s">
        <v>113</v>
      </c>
      <c r="G435" t="s">
        <v>113</v>
      </c>
      <c r="H435" t="s">
        <v>103</v>
      </c>
      <c r="J435">
        <v>0</v>
      </c>
      <c r="K435">
        <v>2</v>
      </c>
      <c r="L435">
        <v>83.757575759999995</v>
      </c>
      <c r="M435">
        <v>22.60997987</v>
      </c>
      <c r="N435">
        <v>0.72884000000000004</v>
      </c>
      <c r="O435">
        <v>0.21301339999999999</v>
      </c>
      <c r="P435">
        <v>98.291666669999998</v>
      </c>
      <c r="Q435">
        <v>30.315130790000001</v>
      </c>
      <c r="R435">
        <v>5.0803484000000003E-2</v>
      </c>
      <c r="S435">
        <v>0.42866070000000001</v>
      </c>
      <c r="T435">
        <v>-14.53409091</v>
      </c>
      <c r="U435">
        <v>14.53409091</v>
      </c>
      <c r="V435">
        <v>-7.7051509200000003</v>
      </c>
      <c r="W435">
        <v>7.7051509200000003</v>
      </c>
      <c r="X435">
        <v>0.67803651600000003</v>
      </c>
      <c r="Y435">
        <v>0.67803651600000003</v>
      </c>
      <c r="Z435">
        <v>-0.21564730000000001</v>
      </c>
      <c r="AA435">
        <v>0.21564730000000001</v>
      </c>
    </row>
    <row r="436" spans="1:27" x14ac:dyDescent="0.25">
      <c r="A436" t="s">
        <v>40</v>
      </c>
      <c r="B436" t="s">
        <v>951</v>
      </c>
      <c r="C436">
        <v>2</v>
      </c>
      <c r="D436" t="s">
        <v>17</v>
      </c>
      <c r="E436" t="s">
        <v>95</v>
      </c>
      <c r="F436" t="s">
        <v>103</v>
      </c>
      <c r="G436" t="s">
        <v>103</v>
      </c>
      <c r="H436" t="s">
        <v>103</v>
      </c>
      <c r="J436">
        <v>0</v>
      </c>
      <c r="K436">
        <v>6</v>
      </c>
      <c r="L436">
        <v>98.291666669999998</v>
      </c>
      <c r="M436">
        <v>30.315130790000001</v>
      </c>
      <c r="N436">
        <v>5.0803484000000003E-2</v>
      </c>
      <c r="O436">
        <v>0.42866070000000001</v>
      </c>
      <c r="P436">
        <v>98.291666669999998</v>
      </c>
      <c r="Q436">
        <v>30.315130790000001</v>
      </c>
      <c r="R436">
        <v>5.0803484000000003E-2</v>
      </c>
      <c r="S436">
        <v>0.42866070000000001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</row>
    <row r="437" spans="1:27" x14ac:dyDescent="0.25">
      <c r="A437" t="s">
        <v>40</v>
      </c>
      <c r="B437" t="s">
        <v>951</v>
      </c>
      <c r="C437">
        <v>2</v>
      </c>
      <c r="D437" t="s">
        <v>17</v>
      </c>
      <c r="E437" t="s">
        <v>95</v>
      </c>
      <c r="F437" t="s">
        <v>103</v>
      </c>
      <c r="G437" t="s">
        <v>103</v>
      </c>
      <c r="H437" t="s">
        <v>103</v>
      </c>
      <c r="J437">
        <v>0</v>
      </c>
      <c r="K437">
        <v>6</v>
      </c>
      <c r="L437">
        <v>98.291666669999998</v>
      </c>
      <c r="M437">
        <v>30.315130790000001</v>
      </c>
      <c r="N437">
        <v>5.0803484000000003E-2</v>
      </c>
      <c r="O437">
        <v>0.42866070000000001</v>
      </c>
      <c r="P437">
        <v>98.291666669999998</v>
      </c>
      <c r="Q437">
        <v>30.315130790000001</v>
      </c>
      <c r="R437">
        <v>5.0803484000000003E-2</v>
      </c>
      <c r="S437">
        <v>0.42866070000000001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</row>
    <row r="438" spans="1:27" x14ac:dyDescent="0.25">
      <c r="A438" t="s">
        <v>40</v>
      </c>
      <c r="B438" t="s">
        <v>951</v>
      </c>
      <c r="C438">
        <v>2</v>
      </c>
      <c r="D438" t="s">
        <v>17</v>
      </c>
      <c r="E438" t="s">
        <v>95</v>
      </c>
      <c r="F438" t="s">
        <v>103</v>
      </c>
      <c r="G438" t="s">
        <v>103</v>
      </c>
      <c r="H438" t="s">
        <v>103</v>
      </c>
      <c r="J438">
        <v>0</v>
      </c>
      <c r="K438">
        <v>6</v>
      </c>
      <c r="L438">
        <v>98.291666669999998</v>
      </c>
      <c r="M438">
        <v>30.315130790000001</v>
      </c>
      <c r="N438">
        <v>5.0803484000000003E-2</v>
      </c>
      <c r="O438">
        <v>0.42866070000000001</v>
      </c>
      <c r="P438">
        <v>98.291666669999998</v>
      </c>
      <c r="Q438">
        <v>30.315130790000001</v>
      </c>
      <c r="R438">
        <v>5.0803484000000003E-2</v>
      </c>
      <c r="S438">
        <v>0.42866070000000001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</row>
    <row r="439" spans="1:27" x14ac:dyDescent="0.25">
      <c r="A439" t="s">
        <v>40</v>
      </c>
      <c r="B439" t="s">
        <v>951</v>
      </c>
      <c r="C439">
        <v>2</v>
      </c>
      <c r="D439" t="s">
        <v>17</v>
      </c>
      <c r="E439" t="s">
        <v>95</v>
      </c>
      <c r="F439" t="s">
        <v>103</v>
      </c>
      <c r="G439" t="s">
        <v>103</v>
      </c>
      <c r="H439" t="s">
        <v>103</v>
      </c>
      <c r="J439">
        <v>0</v>
      </c>
      <c r="K439">
        <v>6</v>
      </c>
      <c r="L439">
        <v>98.291666669999998</v>
      </c>
      <c r="M439">
        <v>30.315130790000001</v>
      </c>
      <c r="N439">
        <v>5.0803484000000003E-2</v>
      </c>
      <c r="O439">
        <v>0.42866070000000001</v>
      </c>
      <c r="P439">
        <v>98.291666669999998</v>
      </c>
      <c r="Q439">
        <v>30.315130790000001</v>
      </c>
      <c r="R439">
        <v>5.0803484000000003E-2</v>
      </c>
      <c r="S439">
        <v>0.42866070000000001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</row>
    <row r="440" spans="1:27" x14ac:dyDescent="0.25">
      <c r="A440" t="s">
        <v>40</v>
      </c>
      <c r="B440" t="s">
        <v>951</v>
      </c>
      <c r="C440">
        <v>2</v>
      </c>
      <c r="D440" t="s">
        <v>17</v>
      </c>
      <c r="E440" t="s">
        <v>95</v>
      </c>
      <c r="F440" t="s">
        <v>103</v>
      </c>
      <c r="G440" t="s">
        <v>103</v>
      </c>
      <c r="H440" t="s">
        <v>103</v>
      </c>
      <c r="J440">
        <v>0</v>
      </c>
      <c r="K440">
        <v>6</v>
      </c>
      <c r="L440">
        <v>98.291666669999998</v>
      </c>
      <c r="M440">
        <v>30.315130790000001</v>
      </c>
      <c r="N440">
        <v>5.0803484000000003E-2</v>
      </c>
      <c r="O440">
        <v>0.42866070000000001</v>
      </c>
      <c r="P440">
        <v>98.291666669999998</v>
      </c>
      <c r="Q440">
        <v>30.315130790000001</v>
      </c>
      <c r="R440">
        <v>5.0803484000000003E-2</v>
      </c>
      <c r="S440">
        <v>0.42866070000000001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</row>
    <row r="441" spans="1:27" x14ac:dyDescent="0.25">
      <c r="A441" t="s">
        <v>40</v>
      </c>
      <c r="B441" t="s">
        <v>951</v>
      </c>
      <c r="C441">
        <v>2</v>
      </c>
      <c r="D441" t="s">
        <v>17</v>
      </c>
      <c r="E441" t="s">
        <v>95</v>
      </c>
      <c r="F441" t="s">
        <v>103</v>
      </c>
      <c r="G441" t="s">
        <v>103</v>
      </c>
      <c r="H441" t="s">
        <v>103</v>
      </c>
      <c r="J441">
        <v>0</v>
      </c>
      <c r="K441">
        <v>6</v>
      </c>
      <c r="L441">
        <v>98.291666669999998</v>
      </c>
      <c r="M441">
        <v>30.315130790000001</v>
      </c>
      <c r="N441">
        <v>5.0803484000000003E-2</v>
      </c>
      <c r="O441">
        <v>0.42866070000000001</v>
      </c>
      <c r="P441">
        <v>98.291666669999998</v>
      </c>
      <c r="Q441">
        <v>30.315130790000001</v>
      </c>
      <c r="R441">
        <v>5.0803484000000003E-2</v>
      </c>
      <c r="S441">
        <v>0.42866070000000001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</row>
    <row r="442" spans="1:27" x14ac:dyDescent="0.25">
      <c r="A442" t="s">
        <v>40</v>
      </c>
      <c r="B442" t="s">
        <v>952</v>
      </c>
      <c r="C442">
        <v>2</v>
      </c>
      <c r="D442" t="s">
        <v>17</v>
      </c>
      <c r="E442" t="s">
        <v>95</v>
      </c>
      <c r="F442" t="s">
        <v>112</v>
      </c>
      <c r="G442" t="s">
        <v>103</v>
      </c>
      <c r="H442" t="s">
        <v>103</v>
      </c>
      <c r="I442" t="s">
        <v>243</v>
      </c>
      <c r="J442">
        <v>1</v>
      </c>
      <c r="K442">
        <v>7</v>
      </c>
      <c r="L442">
        <v>65.09375</v>
      </c>
      <c r="M442">
        <v>37.895352600000002</v>
      </c>
      <c r="N442">
        <v>2.2882677779999998</v>
      </c>
      <c r="O442">
        <v>2.2111774</v>
      </c>
      <c r="P442">
        <v>98.291666669999998</v>
      </c>
      <c r="Q442">
        <v>30.315130790000001</v>
      </c>
      <c r="R442">
        <v>5.0803484000000003E-2</v>
      </c>
      <c r="S442">
        <v>0.42866070000000001</v>
      </c>
      <c r="T442">
        <v>-33.197916669999998</v>
      </c>
      <c r="U442">
        <v>33.197916669999998</v>
      </c>
      <c r="V442">
        <v>7.5802218100000003</v>
      </c>
      <c r="W442">
        <v>7.5802218100000003</v>
      </c>
      <c r="X442">
        <v>2.237464294</v>
      </c>
      <c r="Y442">
        <v>2.237464294</v>
      </c>
      <c r="Z442">
        <v>1.7825167</v>
      </c>
      <c r="AA442">
        <v>1.7825167</v>
      </c>
    </row>
    <row r="443" spans="1:27" x14ac:dyDescent="0.25">
      <c r="A443" t="s">
        <v>40</v>
      </c>
      <c r="B443" t="s">
        <v>952</v>
      </c>
      <c r="C443">
        <v>2</v>
      </c>
      <c r="D443" t="s">
        <v>17</v>
      </c>
      <c r="E443" t="s">
        <v>95</v>
      </c>
      <c r="F443" t="s">
        <v>112</v>
      </c>
      <c r="G443" t="s">
        <v>103</v>
      </c>
      <c r="H443" t="s">
        <v>103</v>
      </c>
      <c r="I443" t="s">
        <v>243</v>
      </c>
      <c r="J443">
        <v>1</v>
      </c>
      <c r="K443">
        <v>7</v>
      </c>
      <c r="L443">
        <v>65.09375</v>
      </c>
      <c r="M443">
        <v>37.895352600000002</v>
      </c>
      <c r="N443">
        <v>2.2882677779999998</v>
      </c>
      <c r="O443">
        <v>2.2111774</v>
      </c>
      <c r="P443">
        <v>98.291666669999998</v>
      </c>
      <c r="Q443">
        <v>30.315130790000001</v>
      </c>
      <c r="R443">
        <v>5.0803484000000003E-2</v>
      </c>
      <c r="S443">
        <v>0.42866070000000001</v>
      </c>
      <c r="T443">
        <v>-33.197916669999998</v>
      </c>
      <c r="U443">
        <v>33.197916669999998</v>
      </c>
      <c r="V443">
        <v>7.5802218100000003</v>
      </c>
      <c r="W443">
        <v>7.5802218100000003</v>
      </c>
      <c r="X443">
        <v>2.237464294</v>
      </c>
      <c r="Y443">
        <v>2.237464294</v>
      </c>
      <c r="Z443">
        <v>1.7825167</v>
      </c>
      <c r="AA443">
        <v>1.7825167</v>
      </c>
    </row>
    <row r="444" spans="1:27" x14ac:dyDescent="0.25">
      <c r="A444" t="s">
        <v>40</v>
      </c>
      <c r="B444" t="s">
        <v>952</v>
      </c>
      <c r="C444">
        <v>2</v>
      </c>
      <c r="D444" t="s">
        <v>17</v>
      </c>
      <c r="E444" t="s">
        <v>95</v>
      </c>
      <c r="F444" t="s">
        <v>112</v>
      </c>
      <c r="G444" t="s">
        <v>103</v>
      </c>
      <c r="H444" t="s">
        <v>103</v>
      </c>
      <c r="I444" t="s">
        <v>243</v>
      </c>
      <c r="J444">
        <v>1</v>
      </c>
      <c r="K444">
        <v>7</v>
      </c>
      <c r="L444">
        <v>65.09375</v>
      </c>
      <c r="M444">
        <v>37.895352600000002</v>
      </c>
      <c r="N444">
        <v>2.2882677779999998</v>
      </c>
      <c r="O444">
        <v>2.2111774</v>
      </c>
      <c r="P444">
        <v>98.291666669999998</v>
      </c>
      <c r="Q444">
        <v>30.315130790000001</v>
      </c>
      <c r="R444">
        <v>5.0803484000000003E-2</v>
      </c>
      <c r="S444">
        <v>0.42866070000000001</v>
      </c>
      <c r="T444">
        <v>-33.197916669999998</v>
      </c>
      <c r="U444">
        <v>33.197916669999998</v>
      </c>
      <c r="V444">
        <v>7.5802218100000003</v>
      </c>
      <c r="W444">
        <v>7.5802218100000003</v>
      </c>
      <c r="X444">
        <v>2.237464294</v>
      </c>
      <c r="Y444">
        <v>2.237464294</v>
      </c>
      <c r="Z444">
        <v>1.7825167</v>
      </c>
      <c r="AA444">
        <v>1.7825167</v>
      </c>
    </row>
    <row r="445" spans="1:27" x14ac:dyDescent="0.25">
      <c r="A445" t="s">
        <v>40</v>
      </c>
      <c r="B445" t="s">
        <v>952</v>
      </c>
      <c r="C445">
        <v>2</v>
      </c>
      <c r="D445" t="s">
        <v>17</v>
      </c>
      <c r="E445" t="s">
        <v>95</v>
      </c>
      <c r="F445" t="s">
        <v>112</v>
      </c>
      <c r="G445" t="s">
        <v>103</v>
      </c>
      <c r="H445" t="s">
        <v>103</v>
      </c>
      <c r="I445" t="s">
        <v>243</v>
      </c>
      <c r="J445">
        <v>1</v>
      </c>
      <c r="K445">
        <v>7</v>
      </c>
      <c r="L445">
        <v>65.09375</v>
      </c>
      <c r="M445">
        <v>37.895352600000002</v>
      </c>
      <c r="N445">
        <v>2.2882677779999998</v>
      </c>
      <c r="O445">
        <v>2.2111774</v>
      </c>
      <c r="P445">
        <v>98.291666669999998</v>
      </c>
      <c r="Q445">
        <v>30.315130790000001</v>
      </c>
      <c r="R445">
        <v>5.0803484000000003E-2</v>
      </c>
      <c r="S445">
        <v>0.42866070000000001</v>
      </c>
      <c r="T445">
        <v>-33.197916669999998</v>
      </c>
      <c r="U445">
        <v>33.197916669999998</v>
      </c>
      <c r="V445">
        <v>7.5802218100000003</v>
      </c>
      <c r="W445">
        <v>7.5802218100000003</v>
      </c>
      <c r="X445">
        <v>2.237464294</v>
      </c>
      <c r="Y445">
        <v>2.237464294</v>
      </c>
      <c r="Z445">
        <v>1.7825167</v>
      </c>
      <c r="AA445">
        <v>1.7825167</v>
      </c>
    </row>
    <row r="446" spans="1:27" x14ac:dyDescent="0.25">
      <c r="A446" t="s">
        <v>40</v>
      </c>
      <c r="B446" t="s">
        <v>952</v>
      </c>
      <c r="C446">
        <v>2</v>
      </c>
      <c r="D446" t="s">
        <v>17</v>
      </c>
      <c r="E446" t="s">
        <v>95</v>
      </c>
      <c r="F446" t="s">
        <v>112</v>
      </c>
      <c r="G446" t="s">
        <v>103</v>
      </c>
      <c r="H446" t="s">
        <v>103</v>
      </c>
      <c r="I446" t="s">
        <v>243</v>
      </c>
      <c r="J446">
        <v>1</v>
      </c>
      <c r="K446">
        <v>7</v>
      </c>
      <c r="L446">
        <v>65.09375</v>
      </c>
      <c r="M446">
        <v>37.895352600000002</v>
      </c>
      <c r="N446">
        <v>2.2882677779999998</v>
      </c>
      <c r="O446">
        <v>2.2111774</v>
      </c>
      <c r="P446">
        <v>98.291666669999998</v>
      </c>
      <c r="Q446">
        <v>30.315130790000001</v>
      </c>
      <c r="R446">
        <v>5.0803484000000003E-2</v>
      </c>
      <c r="S446">
        <v>0.42866070000000001</v>
      </c>
      <c r="T446">
        <v>-33.197916669999998</v>
      </c>
      <c r="U446">
        <v>33.197916669999998</v>
      </c>
      <c r="V446">
        <v>7.5802218100000003</v>
      </c>
      <c r="W446">
        <v>7.5802218100000003</v>
      </c>
      <c r="X446">
        <v>2.237464294</v>
      </c>
      <c r="Y446">
        <v>2.237464294</v>
      </c>
      <c r="Z446">
        <v>1.7825167</v>
      </c>
      <c r="AA446">
        <v>1.7825167</v>
      </c>
    </row>
    <row r="447" spans="1:27" x14ac:dyDescent="0.25">
      <c r="A447" t="s">
        <v>40</v>
      </c>
      <c r="B447" t="s">
        <v>952</v>
      </c>
      <c r="C447">
        <v>2</v>
      </c>
      <c r="D447" t="s">
        <v>17</v>
      </c>
      <c r="E447" t="s">
        <v>95</v>
      </c>
      <c r="F447" t="s">
        <v>112</v>
      </c>
      <c r="G447" t="s">
        <v>103</v>
      </c>
      <c r="H447" t="s">
        <v>103</v>
      </c>
      <c r="I447" t="s">
        <v>243</v>
      </c>
      <c r="J447">
        <v>1</v>
      </c>
      <c r="K447">
        <v>7</v>
      </c>
      <c r="L447">
        <v>65.09375</v>
      </c>
      <c r="M447">
        <v>37.895352600000002</v>
      </c>
      <c r="N447">
        <v>2.2882677779999998</v>
      </c>
      <c r="O447">
        <v>2.2111774</v>
      </c>
      <c r="P447">
        <v>98.291666669999998</v>
      </c>
      <c r="Q447">
        <v>30.315130790000001</v>
      </c>
      <c r="R447">
        <v>5.0803484000000003E-2</v>
      </c>
      <c r="S447">
        <v>0.42866070000000001</v>
      </c>
      <c r="T447">
        <v>-33.197916669999998</v>
      </c>
      <c r="U447">
        <v>33.197916669999998</v>
      </c>
      <c r="V447">
        <v>7.5802218100000003</v>
      </c>
      <c r="W447">
        <v>7.5802218100000003</v>
      </c>
      <c r="X447">
        <v>2.237464294</v>
      </c>
      <c r="Y447">
        <v>2.237464294</v>
      </c>
      <c r="Z447">
        <v>1.7825167</v>
      </c>
      <c r="AA447">
        <v>1.7825167</v>
      </c>
    </row>
    <row r="448" spans="1:27" x14ac:dyDescent="0.25">
      <c r="A448" t="s">
        <v>40</v>
      </c>
      <c r="B448" t="s">
        <v>952</v>
      </c>
      <c r="C448">
        <v>2</v>
      </c>
      <c r="D448" t="s">
        <v>17</v>
      </c>
      <c r="E448" t="s">
        <v>95</v>
      </c>
      <c r="F448" t="s">
        <v>112</v>
      </c>
      <c r="G448" t="s">
        <v>103</v>
      </c>
      <c r="H448" t="s">
        <v>103</v>
      </c>
      <c r="I448" t="s">
        <v>243</v>
      </c>
      <c r="J448">
        <v>1</v>
      </c>
      <c r="K448">
        <v>7</v>
      </c>
      <c r="L448">
        <v>65.09375</v>
      </c>
      <c r="M448">
        <v>37.895352600000002</v>
      </c>
      <c r="N448">
        <v>2.2882677779999998</v>
      </c>
      <c r="O448">
        <v>2.2111774</v>
      </c>
      <c r="P448">
        <v>98.291666669999998</v>
      </c>
      <c r="Q448">
        <v>30.315130790000001</v>
      </c>
      <c r="R448">
        <v>5.0803484000000003E-2</v>
      </c>
      <c r="S448">
        <v>0.42866070000000001</v>
      </c>
      <c r="T448">
        <v>-33.197916669999998</v>
      </c>
      <c r="U448">
        <v>33.197916669999998</v>
      </c>
      <c r="V448">
        <v>7.5802218100000003</v>
      </c>
      <c r="W448">
        <v>7.5802218100000003</v>
      </c>
      <c r="X448">
        <v>2.237464294</v>
      </c>
      <c r="Y448">
        <v>2.237464294</v>
      </c>
      <c r="Z448">
        <v>1.7825167</v>
      </c>
      <c r="AA448">
        <v>1.7825167</v>
      </c>
    </row>
    <row r="449" spans="1:27" x14ac:dyDescent="0.25">
      <c r="A449" t="s">
        <v>40</v>
      </c>
      <c r="B449" t="s">
        <v>952</v>
      </c>
      <c r="C449">
        <v>2</v>
      </c>
      <c r="D449" t="s">
        <v>17</v>
      </c>
      <c r="E449" t="s">
        <v>95</v>
      </c>
      <c r="F449" t="s">
        <v>112</v>
      </c>
      <c r="G449" t="s">
        <v>103</v>
      </c>
      <c r="H449" t="s">
        <v>113</v>
      </c>
      <c r="J449">
        <v>1</v>
      </c>
      <c r="K449">
        <v>5</v>
      </c>
      <c r="L449">
        <v>65.09375</v>
      </c>
      <c r="M449">
        <v>37.895352600000002</v>
      </c>
      <c r="N449">
        <v>2.2882677779999998</v>
      </c>
      <c r="O449">
        <v>2.2111774</v>
      </c>
      <c r="P449">
        <v>83.757575759999995</v>
      </c>
      <c r="Q449">
        <v>22.60997987</v>
      </c>
      <c r="R449">
        <v>0.72884000000000004</v>
      </c>
      <c r="S449">
        <v>0.21301339999999999</v>
      </c>
      <c r="T449">
        <v>-18.663825760000002</v>
      </c>
      <c r="U449">
        <v>18.663825760000002</v>
      </c>
      <c r="V449">
        <v>15.285372730000001</v>
      </c>
      <c r="W449">
        <v>15.285372730000001</v>
      </c>
      <c r="X449">
        <v>1.5594277780000001</v>
      </c>
      <c r="Y449">
        <v>1.5594277780000001</v>
      </c>
      <c r="Z449">
        <v>1.9981640000000001</v>
      </c>
      <c r="AA449">
        <v>1.9981640000000001</v>
      </c>
    </row>
    <row r="450" spans="1:27" x14ac:dyDescent="0.25">
      <c r="A450" t="s">
        <v>40</v>
      </c>
      <c r="B450" t="s">
        <v>952</v>
      </c>
      <c r="C450">
        <v>2</v>
      </c>
      <c r="D450" t="s">
        <v>17</v>
      </c>
      <c r="E450" t="s">
        <v>95</v>
      </c>
      <c r="F450" t="s">
        <v>112</v>
      </c>
      <c r="G450" t="s">
        <v>103</v>
      </c>
      <c r="H450" t="s">
        <v>113</v>
      </c>
      <c r="J450">
        <v>1</v>
      </c>
      <c r="K450">
        <v>5</v>
      </c>
      <c r="L450">
        <v>65.09375</v>
      </c>
      <c r="M450">
        <v>37.895352600000002</v>
      </c>
      <c r="N450">
        <v>2.2882677779999998</v>
      </c>
      <c r="O450">
        <v>2.2111774</v>
      </c>
      <c r="P450">
        <v>83.757575759999995</v>
      </c>
      <c r="Q450">
        <v>22.60997987</v>
      </c>
      <c r="R450">
        <v>0.72884000000000004</v>
      </c>
      <c r="S450">
        <v>0.21301339999999999</v>
      </c>
      <c r="T450">
        <v>-18.663825760000002</v>
      </c>
      <c r="U450">
        <v>18.663825760000002</v>
      </c>
      <c r="V450">
        <v>15.285372730000001</v>
      </c>
      <c r="W450">
        <v>15.285372730000001</v>
      </c>
      <c r="X450">
        <v>1.5594277780000001</v>
      </c>
      <c r="Y450">
        <v>1.5594277780000001</v>
      </c>
      <c r="Z450">
        <v>1.9981640000000001</v>
      </c>
      <c r="AA450">
        <v>1.9981640000000001</v>
      </c>
    </row>
    <row r="451" spans="1:27" x14ac:dyDescent="0.25">
      <c r="A451" t="s">
        <v>40</v>
      </c>
      <c r="B451" t="s">
        <v>952</v>
      </c>
      <c r="C451">
        <v>2</v>
      </c>
      <c r="D451" t="s">
        <v>17</v>
      </c>
      <c r="E451" t="s">
        <v>95</v>
      </c>
      <c r="F451" t="s">
        <v>112</v>
      </c>
      <c r="G451" t="s">
        <v>103</v>
      </c>
      <c r="H451" t="s">
        <v>113</v>
      </c>
      <c r="J451">
        <v>1</v>
      </c>
      <c r="K451">
        <v>5</v>
      </c>
      <c r="L451">
        <v>65.09375</v>
      </c>
      <c r="M451">
        <v>37.895352600000002</v>
      </c>
      <c r="N451">
        <v>2.2882677779999998</v>
      </c>
      <c r="O451">
        <v>2.2111774</v>
      </c>
      <c r="P451">
        <v>83.757575759999995</v>
      </c>
      <c r="Q451">
        <v>22.60997987</v>
      </c>
      <c r="R451">
        <v>0.72884000000000004</v>
      </c>
      <c r="S451">
        <v>0.21301339999999999</v>
      </c>
      <c r="T451">
        <v>-18.663825760000002</v>
      </c>
      <c r="U451">
        <v>18.663825760000002</v>
      </c>
      <c r="V451">
        <v>15.285372730000001</v>
      </c>
      <c r="W451">
        <v>15.285372730000001</v>
      </c>
      <c r="X451">
        <v>1.5594277780000001</v>
      </c>
      <c r="Y451">
        <v>1.5594277780000001</v>
      </c>
      <c r="Z451">
        <v>1.9981640000000001</v>
      </c>
      <c r="AA451">
        <v>1.9981640000000001</v>
      </c>
    </row>
    <row r="452" spans="1:27" x14ac:dyDescent="0.25">
      <c r="A452" t="s">
        <v>40</v>
      </c>
      <c r="B452" t="s">
        <v>952</v>
      </c>
      <c r="C452">
        <v>2</v>
      </c>
      <c r="D452" t="s">
        <v>17</v>
      </c>
      <c r="E452" t="s">
        <v>95</v>
      </c>
      <c r="F452" t="s">
        <v>112</v>
      </c>
      <c r="G452" t="s">
        <v>103</v>
      </c>
      <c r="H452" t="s">
        <v>113</v>
      </c>
      <c r="J452">
        <v>1</v>
      </c>
      <c r="K452">
        <v>5</v>
      </c>
      <c r="L452">
        <v>65.09375</v>
      </c>
      <c r="M452">
        <v>37.895352600000002</v>
      </c>
      <c r="N452">
        <v>2.2882677779999998</v>
      </c>
      <c r="O452">
        <v>2.2111774</v>
      </c>
      <c r="P452">
        <v>83.757575759999995</v>
      </c>
      <c r="Q452">
        <v>22.60997987</v>
      </c>
      <c r="R452">
        <v>0.72884000000000004</v>
      </c>
      <c r="S452">
        <v>0.21301339999999999</v>
      </c>
      <c r="T452">
        <v>-18.663825760000002</v>
      </c>
      <c r="U452">
        <v>18.663825760000002</v>
      </c>
      <c r="V452">
        <v>15.285372730000001</v>
      </c>
      <c r="W452">
        <v>15.285372730000001</v>
      </c>
      <c r="X452">
        <v>1.5594277780000001</v>
      </c>
      <c r="Y452">
        <v>1.5594277780000001</v>
      </c>
      <c r="Z452">
        <v>1.9981640000000001</v>
      </c>
      <c r="AA452">
        <v>1.9981640000000001</v>
      </c>
    </row>
    <row r="453" spans="1:27" x14ac:dyDescent="0.25">
      <c r="A453" t="s">
        <v>40</v>
      </c>
      <c r="B453" t="s">
        <v>952</v>
      </c>
      <c r="C453">
        <v>2</v>
      </c>
      <c r="D453" t="s">
        <v>17</v>
      </c>
      <c r="E453" t="s">
        <v>95</v>
      </c>
      <c r="F453" t="s">
        <v>112</v>
      </c>
      <c r="G453" t="s">
        <v>103</v>
      </c>
      <c r="H453" t="s">
        <v>113</v>
      </c>
      <c r="J453">
        <v>1</v>
      </c>
      <c r="K453">
        <v>5</v>
      </c>
      <c r="L453">
        <v>65.09375</v>
      </c>
      <c r="M453">
        <v>37.895352600000002</v>
      </c>
      <c r="N453">
        <v>2.2882677779999998</v>
      </c>
      <c r="O453">
        <v>2.2111774</v>
      </c>
      <c r="P453">
        <v>83.757575759999995</v>
      </c>
      <c r="Q453">
        <v>22.60997987</v>
      </c>
      <c r="R453">
        <v>0.72884000000000004</v>
      </c>
      <c r="S453">
        <v>0.21301339999999999</v>
      </c>
      <c r="T453">
        <v>-18.663825760000002</v>
      </c>
      <c r="U453">
        <v>18.663825760000002</v>
      </c>
      <c r="V453">
        <v>15.285372730000001</v>
      </c>
      <c r="W453">
        <v>15.285372730000001</v>
      </c>
      <c r="X453">
        <v>1.5594277780000001</v>
      </c>
      <c r="Y453">
        <v>1.5594277780000001</v>
      </c>
      <c r="Z453">
        <v>1.9981640000000001</v>
      </c>
      <c r="AA453">
        <v>1.9981640000000001</v>
      </c>
    </row>
    <row r="454" spans="1:27" x14ac:dyDescent="0.25">
      <c r="A454" t="s">
        <v>41</v>
      </c>
      <c r="B454" t="s">
        <v>953</v>
      </c>
      <c r="C454">
        <v>2</v>
      </c>
      <c r="D454" t="s">
        <v>19</v>
      </c>
      <c r="E454" t="s">
        <v>94</v>
      </c>
      <c r="F454" t="s">
        <v>105</v>
      </c>
      <c r="G454" t="s">
        <v>104</v>
      </c>
      <c r="H454" t="s">
        <v>104</v>
      </c>
      <c r="J454">
        <v>0</v>
      </c>
      <c r="K454">
        <v>3</v>
      </c>
      <c r="L454">
        <v>67.5</v>
      </c>
      <c r="M454">
        <v>47.937235809999997</v>
      </c>
      <c r="N454">
        <v>0.41599678000000001</v>
      </c>
      <c r="O454">
        <v>2.0950346999999998</v>
      </c>
      <c r="P454">
        <v>113.9375</v>
      </c>
      <c r="Q454">
        <v>33.375507550000002</v>
      </c>
      <c r="R454">
        <v>2.4262999999999999</v>
      </c>
      <c r="S454">
        <v>0.40692159999999999</v>
      </c>
      <c r="T454">
        <v>-46.4375</v>
      </c>
      <c r="U454">
        <v>46.4375</v>
      </c>
      <c r="V454">
        <v>14.561728260000001</v>
      </c>
      <c r="W454">
        <v>14.561728260000001</v>
      </c>
      <c r="X454">
        <v>-2.0103032199999999</v>
      </c>
      <c r="Y454">
        <v>2.0103032199999999</v>
      </c>
      <c r="Z454">
        <v>1.6881130999999998</v>
      </c>
      <c r="AA454">
        <v>1.6881130999999998</v>
      </c>
    </row>
    <row r="455" spans="1:27" x14ac:dyDescent="0.25">
      <c r="A455" t="s">
        <v>41</v>
      </c>
      <c r="B455" t="s">
        <v>953</v>
      </c>
      <c r="C455">
        <v>2</v>
      </c>
      <c r="D455" t="s">
        <v>19</v>
      </c>
      <c r="E455" t="s">
        <v>94</v>
      </c>
      <c r="F455" t="s">
        <v>105</v>
      </c>
      <c r="G455" t="s">
        <v>104</v>
      </c>
      <c r="H455" t="s">
        <v>104</v>
      </c>
      <c r="J455">
        <v>0</v>
      </c>
      <c r="K455">
        <v>3</v>
      </c>
      <c r="L455">
        <v>67.5</v>
      </c>
      <c r="M455">
        <v>47.937235809999997</v>
      </c>
      <c r="N455">
        <v>0.41599678000000001</v>
      </c>
      <c r="O455">
        <v>2.0950346999999998</v>
      </c>
      <c r="P455">
        <v>113.9375</v>
      </c>
      <c r="Q455">
        <v>33.375507550000002</v>
      </c>
      <c r="R455">
        <v>2.4262999999999999</v>
      </c>
      <c r="S455">
        <v>0.40692159999999999</v>
      </c>
      <c r="T455">
        <v>-46.4375</v>
      </c>
      <c r="U455">
        <v>46.4375</v>
      </c>
      <c r="V455">
        <v>14.561728260000001</v>
      </c>
      <c r="W455">
        <v>14.561728260000001</v>
      </c>
      <c r="X455">
        <v>-2.0103032199999999</v>
      </c>
      <c r="Y455">
        <v>2.0103032199999999</v>
      </c>
      <c r="Z455">
        <v>1.6881130999999998</v>
      </c>
      <c r="AA455">
        <v>1.6881130999999998</v>
      </c>
    </row>
    <row r="456" spans="1:27" x14ac:dyDescent="0.25">
      <c r="A456" t="s">
        <v>41</v>
      </c>
      <c r="B456" t="s">
        <v>953</v>
      </c>
      <c r="C456">
        <v>2</v>
      </c>
      <c r="D456" t="s">
        <v>19</v>
      </c>
      <c r="E456" t="s">
        <v>94</v>
      </c>
      <c r="F456" t="s">
        <v>105</v>
      </c>
      <c r="G456" t="s">
        <v>104</v>
      </c>
      <c r="H456" t="s">
        <v>104</v>
      </c>
      <c r="J456">
        <v>0</v>
      </c>
      <c r="K456">
        <v>3</v>
      </c>
      <c r="L456">
        <v>67.5</v>
      </c>
      <c r="M456">
        <v>47.937235809999997</v>
      </c>
      <c r="N456">
        <v>0.41599678000000001</v>
      </c>
      <c r="O456">
        <v>2.0950346999999998</v>
      </c>
      <c r="P456">
        <v>113.9375</v>
      </c>
      <c r="Q456">
        <v>33.375507550000002</v>
      </c>
      <c r="R456">
        <v>2.4262999999999999</v>
      </c>
      <c r="S456">
        <v>0.40692159999999999</v>
      </c>
      <c r="T456">
        <v>-46.4375</v>
      </c>
      <c r="U456">
        <v>46.4375</v>
      </c>
      <c r="V456">
        <v>14.561728260000001</v>
      </c>
      <c r="W456">
        <v>14.561728260000001</v>
      </c>
      <c r="X456">
        <v>-2.0103032199999999</v>
      </c>
      <c r="Y456">
        <v>2.0103032199999999</v>
      </c>
      <c r="Z456">
        <v>1.6881130999999998</v>
      </c>
      <c r="AA456">
        <v>1.6881130999999998</v>
      </c>
    </row>
    <row r="457" spans="1:27" x14ac:dyDescent="0.25">
      <c r="A457" t="s">
        <v>41</v>
      </c>
      <c r="B457" t="s">
        <v>953</v>
      </c>
      <c r="C457">
        <v>2</v>
      </c>
      <c r="D457" t="s">
        <v>19</v>
      </c>
      <c r="E457" t="s">
        <v>94</v>
      </c>
      <c r="F457" t="s">
        <v>105</v>
      </c>
      <c r="G457" t="s">
        <v>104</v>
      </c>
      <c r="H457" t="s">
        <v>113</v>
      </c>
      <c r="J457">
        <v>0</v>
      </c>
      <c r="K457">
        <v>1</v>
      </c>
      <c r="L457">
        <v>67.5</v>
      </c>
      <c r="M457">
        <v>47.937235809999997</v>
      </c>
      <c r="N457">
        <v>0.41599678000000001</v>
      </c>
      <c r="O457">
        <v>2.0950346999999998</v>
      </c>
      <c r="P457">
        <v>83.757575759999995</v>
      </c>
      <c r="Q457">
        <v>22.60997987</v>
      </c>
      <c r="R457">
        <v>0.72884000000000004</v>
      </c>
      <c r="S457">
        <v>0.21301339999999999</v>
      </c>
      <c r="T457">
        <v>-16.257575760000002</v>
      </c>
      <c r="U457">
        <v>16.257575760000002</v>
      </c>
      <c r="V457">
        <v>25.327255940000001</v>
      </c>
      <c r="W457">
        <v>25.327255940000001</v>
      </c>
      <c r="X457">
        <v>-0.31284321999999998</v>
      </c>
      <c r="Y457">
        <v>0.31284321999999998</v>
      </c>
      <c r="Z457">
        <v>1.8820212999999999</v>
      </c>
      <c r="AA457">
        <v>1.8820212999999999</v>
      </c>
    </row>
    <row r="458" spans="1:27" x14ac:dyDescent="0.25">
      <c r="A458" t="s">
        <v>41</v>
      </c>
      <c r="B458" t="s">
        <v>953</v>
      </c>
      <c r="C458">
        <v>2</v>
      </c>
      <c r="D458" t="s">
        <v>19</v>
      </c>
      <c r="E458" t="s">
        <v>94</v>
      </c>
      <c r="F458" t="s">
        <v>105</v>
      </c>
      <c r="G458" t="s">
        <v>104</v>
      </c>
      <c r="H458" t="s">
        <v>237</v>
      </c>
      <c r="J458">
        <v>0</v>
      </c>
      <c r="K458">
        <v>1</v>
      </c>
      <c r="L458">
        <v>67.5</v>
      </c>
      <c r="M458">
        <v>47.937235809999997</v>
      </c>
      <c r="N458">
        <v>0.41599678000000001</v>
      </c>
      <c r="O458">
        <v>2.0950346999999998</v>
      </c>
      <c r="P458">
        <v>83.888888890000004</v>
      </c>
      <c r="Q458">
        <v>31.026943280000001</v>
      </c>
      <c r="R458">
        <v>0.53083999999999998</v>
      </c>
      <c r="S458">
        <v>0.24845418999999999</v>
      </c>
      <c r="T458">
        <v>-16.38888889</v>
      </c>
      <c r="U458">
        <v>16.38888889</v>
      </c>
      <c r="V458">
        <v>16.91029253</v>
      </c>
      <c r="W458">
        <v>16.91029253</v>
      </c>
      <c r="X458">
        <v>-0.11484322</v>
      </c>
      <c r="Y458">
        <v>0.11484322</v>
      </c>
      <c r="Z458">
        <v>1.8465805099999999</v>
      </c>
      <c r="AA458">
        <v>1.8465805099999999</v>
      </c>
    </row>
    <row r="459" spans="1:27" x14ac:dyDescent="0.25">
      <c r="A459" t="s">
        <v>41</v>
      </c>
      <c r="B459" t="s">
        <v>953</v>
      </c>
      <c r="C459">
        <v>2</v>
      </c>
      <c r="D459" t="s">
        <v>19</v>
      </c>
      <c r="E459" t="s">
        <v>94</v>
      </c>
      <c r="F459" t="s">
        <v>105</v>
      </c>
      <c r="G459" t="s">
        <v>104</v>
      </c>
      <c r="H459" t="s">
        <v>239</v>
      </c>
      <c r="J459">
        <v>0</v>
      </c>
      <c r="K459">
        <v>1</v>
      </c>
      <c r="L459">
        <v>67.5</v>
      </c>
      <c r="M459">
        <v>47.937235809999997</v>
      </c>
      <c r="N459">
        <v>0.41599678000000001</v>
      </c>
      <c r="O459">
        <v>2.0950346999999998</v>
      </c>
      <c r="P459">
        <v>100.45454549999999</v>
      </c>
      <c r="Q459">
        <v>26.754810689999999</v>
      </c>
      <c r="R459">
        <v>0.75829999999999997</v>
      </c>
      <c r="S459">
        <v>0.40907861000000001</v>
      </c>
      <c r="T459">
        <v>-32.954545500000002</v>
      </c>
      <c r="U459">
        <v>32.954545500000002</v>
      </c>
      <c r="V459">
        <v>21.182425120000001</v>
      </c>
      <c r="W459">
        <v>21.182425120000001</v>
      </c>
      <c r="X459">
        <v>-0.34230322000000002</v>
      </c>
      <c r="Y459">
        <v>0.34230322000000002</v>
      </c>
      <c r="Z459">
        <v>1.6859560899999999</v>
      </c>
      <c r="AA459">
        <v>1.6859560899999999</v>
      </c>
    </row>
    <row r="460" spans="1:27" x14ac:dyDescent="0.25">
      <c r="A460" t="s">
        <v>41</v>
      </c>
      <c r="B460" t="s">
        <v>954</v>
      </c>
      <c r="C460">
        <v>2</v>
      </c>
      <c r="D460" t="s">
        <v>19</v>
      </c>
      <c r="E460" t="s">
        <v>94</v>
      </c>
      <c r="F460" t="s">
        <v>113</v>
      </c>
      <c r="G460" t="s">
        <v>104</v>
      </c>
      <c r="H460" t="s">
        <v>237</v>
      </c>
      <c r="J460">
        <v>0</v>
      </c>
      <c r="K460">
        <v>1</v>
      </c>
      <c r="L460">
        <v>83.757575759999995</v>
      </c>
      <c r="M460">
        <v>22.60997987</v>
      </c>
      <c r="N460">
        <v>0.72884000000000004</v>
      </c>
      <c r="O460">
        <v>0.21301339999999999</v>
      </c>
      <c r="P460">
        <v>83.888888890000004</v>
      </c>
      <c r="Q460">
        <v>31.026943280000001</v>
      </c>
      <c r="R460">
        <v>0.53083999999999998</v>
      </c>
      <c r="S460">
        <v>0.24845418999999999</v>
      </c>
      <c r="T460">
        <v>-0.13131313</v>
      </c>
      <c r="U460">
        <v>0.13131313</v>
      </c>
      <c r="V460">
        <v>-8.4169634099999993</v>
      </c>
      <c r="W460">
        <v>8.4169634099999993</v>
      </c>
      <c r="X460">
        <v>0.19800000000000001</v>
      </c>
      <c r="Y460">
        <v>0.19800000000000001</v>
      </c>
      <c r="Z460">
        <v>-3.544079E-2</v>
      </c>
      <c r="AA460">
        <v>3.544079E-2</v>
      </c>
    </row>
    <row r="461" spans="1:27" x14ac:dyDescent="0.25">
      <c r="A461" t="s">
        <v>41</v>
      </c>
      <c r="B461" t="s">
        <v>954</v>
      </c>
      <c r="C461">
        <v>2</v>
      </c>
      <c r="D461" t="s">
        <v>19</v>
      </c>
      <c r="E461" t="s">
        <v>94</v>
      </c>
      <c r="F461" t="s">
        <v>113</v>
      </c>
      <c r="G461" t="s">
        <v>104</v>
      </c>
      <c r="H461" t="s">
        <v>113</v>
      </c>
      <c r="J461">
        <v>0</v>
      </c>
      <c r="K461">
        <v>7</v>
      </c>
      <c r="L461">
        <v>83.757575759999995</v>
      </c>
      <c r="M461">
        <v>22.60997987</v>
      </c>
      <c r="N461">
        <v>0.72884000000000004</v>
      </c>
      <c r="O461">
        <v>0.21301339999999999</v>
      </c>
      <c r="P461">
        <v>83.757575759999995</v>
      </c>
      <c r="Q461">
        <v>22.60997987</v>
      </c>
      <c r="R461">
        <v>0.72884000000000004</v>
      </c>
      <c r="S461">
        <v>0.21301339999999999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</row>
    <row r="462" spans="1:27" x14ac:dyDescent="0.25">
      <c r="A462" t="s">
        <v>41</v>
      </c>
      <c r="B462" t="s">
        <v>954</v>
      </c>
      <c r="C462">
        <v>2</v>
      </c>
      <c r="D462" t="s">
        <v>19</v>
      </c>
      <c r="E462" t="s">
        <v>94</v>
      </c>
      <c r="F462" t="s">
        <v>113</v>
      </c>
      <c r="G462" t="s">
        <v>104</v>
      </c>
      <c r="H462" t="s">
        <v>113</v>
      </c>
      <c r="J462">
        <v>0</v>
      </c>
      <c r="K462">
        <v>7</v>
      </c>
      <c r="L462">
        <v>83.757575759999995</v>
      </c>
      <c r="M462">
        <v>22.60997987</v>
      </c>
      <c r="N462">
        <v>0.72884000000000004</v>
      </c>
      <c r="O462">
        <v>0.21301339999999999</v>
      </c>
      <c r="P462">
        <v>83.757575759999995</v>
      </c>
      <c r="Q462">
        <v>22.60997987</v>
      </c>
      <c r="R462">
        <v>0.72884000000000004</v>
      </c>
      <c r="S462">
        <v>0.21301339999999999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</row>
    <row r="463" spans="1:27" x14ac:dyDescent="0.25">
      <c r="A463" t="s">
        <v>41</v>
      </c>
      <c r="B463" t="s">
        <v>954</v>
      </c>
      <c r="C463">
        <v>2</v>
      </c>
      <c r="D463" t="s">
        <v>19</v>
      </c>
      <c r="E463" t="s">
        <v>94</v>
      </c>
      <c r="F463" t="s">
        <v>113</v>
      </c>
      <c r="G463" t="s">
        <v>104</v>
      </c>
      <c r="H463" t="s">
        <v>113</v>
      </c>
      <c r="J463">
        <v>0</v>
      </c>
      <c r="K463">
        <v>7</v>
      </c>
      <c r="L463">
        <v>83.757575759999995</v>
      </c>
      <c r="M463">
        <v>22.60997987</v>
      </c>
      <c r="N463">
        <v>0.72884000000000004</v>
      </c>
      <c r="O463">
        <v>0.21301339999999999</v>
      </c>
      <c r="P463">
        <v>83.757575759999995</v>
      </c>
      <c r="Q463">
        <v>22.60997987</v>
      </c>
      <c r="R463">
        <v>0.72884000000000004</v>
      </c>
      <c r="S463">
        <v>0.21301339999999999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</row>
    <row r="464" spans="1:27" x14ac:dyDescent="0.25">
      <c r="A464" t="s">
        <v>41</v>
      </c>
      <c r="B464" t="s">
        <v>954</v>
      </c>
      <c r="C464">
        <v>2</v>
      </c>
      <c r="D464" t="s">
        <v>19</v>
      </c>
      <c r="E464" t="s">
        <v>94</v>
      </c>
      <c r="F464" t="s">
        <v>113</v>
      </c>
      <c r="G464" t="s">
        <v>104</v>
      </c>
      <c r="H464" t="s">
        <v>113</v>
      </c>
      <c r="J464">
        <v>0</v>
      </c>
      <c r="K464">
        <v>7</v>
      </c>
      <c r="L464">
        <v>83.757575759999995</v>
      </c>
      <c r="M464">
        <v>22.60997987</v>
      </c>
      <c r="N464">
        <v>0.72884000000000004</v>
      </c>
      <c r="O464">
        <v>0.21301339999999999</v>
      </c>
      <c r="P464">
        <v>83.757575759999995</v>
      </c>
      <c r="Q464">
        <v>22.60997987</v>
      </c>
      <c r="R464">
        <v>0.72884000000000004</v>
      </c>
      <c r="S464">
        <v>0.21301339999999999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</row>
    <row r="465" spans="1:27" x14ac:dyDescent="0.25">
      <c r="A465" t="s">
        <v>41</v>
      </c>
      <c r="B465" t="s">
        <v>954</v>
      </c>
      <c r="C465">
        <v>2</v>
      </c>
      <c r="D465" t="s">
        <v>19</v>
      </c>
      <c r="E465" t="s">
        <v>94</v>
      </c>
      <c r="F465" t="s">
        <v>113</v>
      </c>
      <c r="G465" t="s">
        <v>104</v>
      </c>
      <c r="H465" t="s">
        <v>113</v>
      </c>
      <c r="J465">
        <v>0</v>
      </c>
      <c r="K465">
        <v>7</v>
      </c>
      <c r="L465">
        <v>83.757575759999995</v>
      </c>
      <c r="M465">
        <v>22.60997987</v>
      </c>
      <c r="N465">
        <v>0.72884000000000004</v>
      </c>
      <c r="O465">
        <v>0.21301339999999999</v>
      </c>
      <c r="P465">
        <v>83.757575759999995</v>
      </c>
      <c r="Q465">
        <v>22.60997987</v>
      </c>
      <c r="R465">
        <v>0.72884000000000004</v>
      </c>
      <c r="S465">
        <v>0.21301339999999999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</row>
    <row r="466" spans="1:27" x14ac:dyDescent="0.25">
      <c r="A466" t="s">
        <v>41</v>
      </c>
      <c r="B466" t="s">
        <v>954</v>
      </c>
      <c r="C466">
        <v>2</v>
      </c>
      <c r="D466" t="s">
        <v>19</v>
      </c>
      <c r="E466" t="s">
        <v>94</v>
      </c>
      <c r="F466" t="s">
        <v>113</v>
      </c>
      <c r="G466" t="s">
        <v>104</v>
      </c>
      <c r="H466" t="s">
        <v>113</v>
      </c>
      <c r="J466">
        <v>0</v>
      </c>
      <c r="K466">
        <v>7</v>
      </c>
      <c r="L466">
        <v>83.757575759999995</v>
      </c>
      <c r="M466">
        <v>22.60997987</v>
      </c>
      <c r="N466">
        <v>0.72884000000000004</v>
      </c>
      <c r="O466">
        <v>0.21301339999999999</v>
      </c>
      <c r="P466">
        <v>83.757575759999995</v>
      </c>
      <c r="Q466">
        <v>22.60997987</v>
      </c>
      <c r="R466">
        <v>0.72884000000000004</v>
      </c>
      <c r="S466">
        <v>0.21301339999999999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</row>
    <row r="467" spans="1:27" x14ac:dyDescent="0.25">
      <c r="A467" t="s">
        <v>41</v>
      </c>
      <c r="B467" t="s">
        <v>954</v>
      </c>
      <c r="C467">
        <v>2</v>
      </c>
      <c r="D467" t="s">
        <v>19</v>
      </c>
      <c r="E467" t="s">
        <v>94</v>
      </c>
      <c r="F467" t="s">
        <v>113</v>
      </c>
      <c r="G467" t="s">
        <v>104</v>
      </c>
      <c r="H467" t="s">
        <v>113</v>
      </c>
      <c r="J467">
        <v>0</v>
      </c>
      <c r="K467">
        <v>7</v>
      </c>
      <c r="L467">
        <v>83.757575759999995</v>
      </c>
      <c r="M467">
        <v>22.60997987</v>
      </c>
      <c r="N467">
        <v>0.72884000000000004</v>
      </c>
      <c r="O467">
        <v>0.21301339999999999</v>
      </c>
      <c r="P467">
        <v>83.757575759999995</v>
      </c>
      <c r="Q467">
        <v>22.60997987</v>
      </c>
      <c r="R467">
        <v>0.72884000000000004</v>
      </c>
      <c r="S467">
        <v>0.21301339999999999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</row>
    <row r="468" spans="1:27" x14ac:dyDescent="0.25">
      <c r="A468" t="s">
        <v>41</v>
      </c>
      <c r="B468" t="s">
        <v>954</v>
      </c>
      <c r="C468">
        <v>2</v>
      </c>
      <c r="D468" t="s">
        <v>19</v>
      </c>
      <c r="E468" t="s">
        <v>94</v>
      </c>
      <c r="F468" t="s">
        <v>113</v>
      </c>
      <c r="G468" t="s">
        <v>104</v>
      </c>
      <c r="H468" t="s">
        <v>104</v>
      </c>
      <c r="J468">
        <v>0</v>
      </c>
      <c r="K468">
        <v>1</v>
      </c>
      <c r="L468">
        <v>83.757575759999995</v>
      </c>
      <c r="M468">
        <v>22.60997987</v>
      </c>
      <c r="N468">
        <v>0.72884000000000004</v>
      </c>
      <c r="O468">
        <v>0.21301339999999999</v>
      </c>
      <c r="P468">
        <v>113.9375</v>
      </c>
      <c r="Q468">
        <v>33.375507550000002</v>
      </c>
      <c r="R468">
        <v>2.4262999999999999</v>
      </c>
      <c r="S468">
        <v>0.40692159999999999</v>
      </c>
      <c r="T468">
        <v>-30.179924239999998</v>
      </c>
      <c r="U468">
        <v>30.179924239999998</v>
      </c>
      <c r="V468">
        <v>-10.76552768</v>
      </c>
      <c r="W468">
        <v>10.76552768</v>
      </c>
      <c r="X468">
        <v>-1.69746</v>
      </c>
      <c r="Y468">
        <v>1.69746</v>
      </c>
      <c r="Z468">
        <v>-0.1939082</v>
      </c>
      <c r="AA468">
        <v>0.1939082</v>
      </c>
    </row>
    <row r="469" spans="1:27" x14ac:dyDescent="0.25">
      <c r="A469" t="s">
        <v>41</v>
      </c>
      <c r="B469" t="s">
        <v>954</v>
      </c>
      <c r="C469">
        <v>2</v>
      </c>
      <c r="D469" t="s">
        <v>19</v>
      </c>
      <c r="E469" t="s">
        <v>94</v>
      </c>
      <c r="F469" t="s">
        <v>113</v>
      </c>
      <c r="G469" t="s">
        <v>104</v>
      </c>
      <c r="H469" t="s">
        <v>238</v>
      </c>
      <c r="J469">
        <v>0</v>
      </c>
      <c r="K469">
        <v>1</v>
      </c>
      <c r="L469">
        <v>83.757575759999995</v>
      </c>
      <c r="M469">
        <v>22.60997987</v>
      </c>
      <c r="N469">
        <v>0.72884000000000004</v>
      </c>
      <c r="O469">
        <v>0.21301339999999999</v>
      </c>
      <c r="P469">
        <v>87.5</v>
      </c>
      <c r="Q469">
        <v>29.478311600000001</v>
      </c>
      <c r="R469">
        <v>3.0797751000000002E-2</v>
      </c>
      <c r="S469">
        <v>0.12931835</v>
      </c>
      <c r="T469">
        <v>-3.7424242400000001</v>
      </c>
      <c r="U469">
        <v>3.7424242400000001</v>
      </c>
      <c r="V469">
        <v>-6.8683317300000004</v>
      </c>
      <c r="W469">
        <v>6.8683317300000004</v>
      </c>
      <c r="X469">
        <v>0.698042249</v>
      </c>
      <c r="Y469">
        <v>0.698042249</v>
      </c>
      <c r="Z469">
        <v>8.3695049999999993E-2</v>
      </c>
      <c r="AA469">
        <v>8.3695049999999993E-2</v>
      </c>
    </row>
    <row r="470" spans="1:27" x14ac:dyDescent="0.25">
      <c r="A470" t="s">
        <v>41</v>
      </c>
      <c r="B470" t="s">
        <v>955</v>
      </c>
      <c r="C470">
        <v>2</v>
      </c>
      <c r="D470" t="s">
        <v>19</v>
      </c>
      <c r="E470" t="s">
        <v>94</v>
      </c>
      <c r="F470" t="s">
        <v>103</v>
      </c>
      <c r="G470" t="s">
        <v>113</v>
      </c>
      <c r="H470" t="s">
        <v>103</v>
      </c>
      <c r="J470">
        <v>0</v>
      </c>
      <c r="K470">
        <v>2</v>
      </c>
      <c r="L470">
        <v>98.291666669999998</v>
      </c>
      <c r="M470">
        <v>30.315130790000001</v>
      </c>
      <c r="N470">
        <v>5.0803484000000003E-2</v>
      </c>
      <c r="O470">
        <v>0.42866070000000001</v>
      </c>
      <c r="P470">
        <v>98.291666669999998</v>
      </c>
      <c r="Q470">
        <v>30.315130790000001</v>
      </c>
      <c r="R470">
        <v>5.0803484000000003E-2</v>
      </c>
      <c r="S470">
        <v>0.42866070000000001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</row>
    <row r="471" spans="1:27" x14ac:dyDescent="0.25">
      <c r="A471" t="s">
        <v>41</v>
      </c>
      <c r="B471" t="s">
        <v>955</v>
      </c>
      <c r="C471">
        <v>2</v>
      </c>
      <c r="D471" t="s">
        <v>19</v>
      </c>
      <c r="E471" t="s">
        <v>94</v>
      </c>
      <c r="F471" t="s">
        <v>103</v>
      </c>
      <c r="G471" t="s">
        <v>113</v>
      </c>
      <c r="H471" t="s">
        <v>103</v>
      </c>
      <c r="J471">
        <v>0</v>
      </c>
      <c r="K471">
        <v>2</v>
      </c>
      <c r="L471">
        <v>98.291666669999998</v>
      </c>
      <c r="M471">
        <v>30.315130790000001</v>
      </c>
      <c r="N471">
        <v>5.0803484000000003E-2</v>
      </c>
      <c r="O471">
        <v>0.42866070000000001</v>
      </c>
      <c r="P471">
        <v>98.291666669999998</v>
      </c>
      <c r="Q471">
        <v>30.315130790000001</v>
      </c>
      <c r="R471">
        <v>5.0803484000000003E-2</v>
      </c>
      <c r="S471">
        <v>0.42866070000000001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</row>
    <row r="472" spans="1:27" x14ac:dyDescent="0.25">
      <c r="A472" t="s">
        <v>41</v>
      </c>
      <c r="B472" t="s">
        <v>955</v>
      </c>
      <c r="C472">
        <v>2</v>
      </c>
      <c r="D472" t="s">
        <v>19</v>
      </c>
      <c r="E472" t="s">
        <v>94</v>
      </c>
      <c r="F472" t="s">
        <v>103</v>
      </c>
      <c r="G472" t="s">
        <v>113</v>
      </c>
      <c r="H472" t="s">
        <v>113</v>
      </c>
      <c r="J472">
        <v>0</v>
      </c>
      <c r="K472">
        <v>3</v>
      </c>
      <c r="L472">
        <v>98.291666669999998</v>
      </c>
      <c r="M472">
        <v>30.315130790000001</v>
      </c>
      <c r="N472">
        <v>5.0803484000000003E-2</v>
      </c>
      <c r="O472">
        <v>0.42866070000000001</v>
      </c>
      <c r="P472">
        <v>83.757575759999995</v>
      </c>
      <c r="Q472">
        <v>22.60997987</v>
      </c>
      <c r="R472">
        <v>0.72884000000000004</v>
      </c>
      <c r="S472">
        <v>0.21301339999999999</v>
      </c>
      <c r="T472">
        <v>14.53409091</v>
      </c>
      <c r="U472">
        <v>14.53409091</v>
      </c>
      <c r="V472">
        <v>7.7051509200000003</v>
      </c>
      <c r="W472">
        <v>7.7051509200000003</v>
      </c>
      <c r="X472">
        <v>-0.67803651600000003</v>
      </c>
      <c r="Y472">
        <v>0.67803651600000003</v>
      </c>
      <c r="Z472">
        <v>0.21564730000000001</v>
      </c>
      <c r="AA472">
        <v>0.21564730000000001</v>
      </c>
    </row>
    <row r="473" spans="1:27" x14ac:dyDescent="0.25">
      <c r="A473" t="s">
        <v>41</v>
      </c>
      <c r="B473" t="s">
        <v>955</v>
      </c>
      <c r="C473">
        <v>2</v>
      </c>
      <c r="D473" t="s">
        <v>19</v>
      </c>
      <c r="E473" t="s">
        <v>94</v>
      </c>
      <c r="F473" t="s">
        <v>103</v>
      </c>
      <c r="G473" t="s">
        <v>113</v>
      </c>
      <c r="H473" t="s">
        <v>113</v>
      </c>
      <c r="J473">
        <v>0</v>
      </c>
      <c r="K473">
        <v>3</v>
      </c>
      <c r="L473">
        <v>98.291666669999998</v>
      </c>
      <c r="M473">
        <v>30.315130790000001</v>
      </c>
      <c r="N473">
        <v>5.0803484000000003E-2</v>
      </c>
      <c r="O473">
        <v>0.42866070000000001</v>
      </c>
      <c r="P473">
        <v>83.757575759999995</v>
      </c>
      <c r="Q473">
        <v>22.60997987</v>
      </c>
      <c r="R473">
        <v>0.72884000000000004</v>
      </c>
      <c r="S473">
        <v>0.21301339999999999</v>
      </c>
      <c r="T473">
        <v>14.53409091</v>
      </c>
      <c r="U473">
        <v>14.53409091</v>
      </c>
      <c r="V473">
        <v>7.7051509200000003</v>
      </c>
      <c r="W473">
        <v>7.7051509200000003</v>
      </c>
      <c r="X473">
        <v>-0.67803651600000003</v>
      </c>
      <c r="Y473">
        <v>0.67803651600000003</v>
      </c>
      <c r="Z473">
        <v>0.21564730000000001</v>
      </c>
      <c r="AA473">
        <v>0.21564730000000001</v>
      </c>
    </row>
    <row r="474" spans="1:27" x14ac:dyDescent="0.25">
      <c r="A474" t="s">
        <v>41</v>
      </c>
      <c r="B474" t="s">
        <v>955</v>
      </c>
      <c r="C474">
        <v>2</v>
      </c>
      <c r="D474" t="s">
        <v>19</v>
      </c>
      <c r="E474" t="s">
        <v>94</v>
      </c>
      <c r="F474" t="s">
        <v>103</v>
      </c>
      <c r="G474" t="s">
        <v>113</v>
      </c>
      <c r="H474" t="s">
        <v>113</v>
      </c>
      <c r="J474">
        <v>0</v>
      </c>
      <c r="K474">
        <v>3</v>
      </c>
      <c r="L474">
        <v>98.291666669999998</v>
      </c>
      <c r="M474">
        <v>30.315130790000001</v>
      </c>
      <c r="N474">
        <v>5.0803484000000003E-2</v>
      </c>
      <c r="O474">
        <v>0.42866070000000001</v>
      </c>
      <c r="P474">
        <v>83.757575759999995</v>
      </c>
      <c r="Q474">
        <v>22.60997987</v>
      </c>
      <c r="R474">
        <v>0.72884000000000004</v>
      </c>
      <c r="S474">
        <v>0.21301339999999999</v>
      </c>
      <c r="T474">
        <v>14.53409091</v>
      </c>
      <c r="U474">
        <v>14.53409091</v>
      </c>
      <c r="V474">
        <v>7.7051509200000003</v>
      </c>
      <c r="W474">
        <v>7.7051509200000003</v>
      </c>
      <c r="X474">
        <v>-0.67803651600000003</v>
      </c>
      <c r="Y474">
        <v>0.67803651600000003</v>
      </c>
      <c r="Z474">
        <v>0.21564730000000001</v>
      </c>
      <c r="AA474">
        <v>0.21564730000000001</v>
      </c>
    </row>
    <row r="475" spans="1:27" x14ac:dyDescent="0.25">
      <c r="A475" t="s">
        <v>42</v>
      </c>
      <c r="B475" t="s">
        <v>956</v>
      </c>
      <c r="C475">
        <v>2</v>
      </c>
      <c r="D475" t="s">
        <v>21</v>
      </c>
      <c r="E475" t="s">
        <v>94</v>
      </c>
      <c r="F475" t="s">
        <v>105</v>
      </c>
      <c r="G475" t="s">
        <v>121</v>
      </c>
      <c r="H475" t="s">
        <v>242</v>
      </c>
      <c r="J475">
        <v>0</v>
      </c>
      <c r="K475">
        <v>6</v>
      </c>
      <c r="L475">
        <v>67.5</v>
      </c>
      <c r="M475">
        <v>47.937235809999997</v>
      </c>
      <c r="N475">
        <v>0.41599678000000001</v>
      </c>
      <c r="O475">
        <v>2.0950346999999998</v>
      </c>
      <c r="P475">
        <v>139.375</v>
      </c>
      <c r="Q475">
        <v>23.713465920000001</v>
      </c>
      <c r="R475" t="s">
        <v>114</v>
      </c>
      <c r="S475" t="s">
        <v>114</v>
      </c>
      <c r="T475">
        <v>-71.875</v>
      </c>
      <c r="U475">
        <v>71.875</v>
      </c>
      <c r="V475">
        <v>24.22376989</v>
      </c>
      <c r="W475">
        <v>24.22376989</v>
      </c>
      <c r="X475" t="s">
        <v>114</v>
      </c>
      <c r="Y475" t="s">
        <v>114</v>
      </c>
      <c r="Z475" t="s">
        <v>114</v>
      </c>
      <c r="AA475" t="s">
        <v>114</v>
      </c>
    </row>
    <row r="476" spans="1:27" x14ac:dyDescent="0.25">
      <c r="A476" t="s">
        <v>42</v>
      </c>
      <c r="B476" t="s">
        <v>956</v>
      </c>
      <c r="C476">
        <v>2</v>
      </c>
      <c r="D476" t="s">
        <v>21</v>
      </c>
      <c r="E476" t="s">
        <v>94</v>
      </c>
      <c r="F476" t="s">
        <v>105</v>
      </c>
      <c r="G476" t="s">
        <v>121</v>
      </c>
      <c r="H476" t="s">
        <v>242</v>
      </c>
      <c r="J476">
        <v>0</v>
      </c>
      <c r="K476">
        <v>6</v>
      </c>
      <c r="L476">
        <v>67.5</v>
      </c>
      <c r="M476">
        <v>47.937235809999997</v>
      </c>
      <c r="N476">
        <v>0.41599678000000001</v>
      </c>
      <c r="O476">
        <v>2.0950346999999998</v>
      </c>
      <c r="P476">
        <v>139.375</v>
      </c>
      <c r="Q476">
        <v>23.713465920000001</v>
      </c>
      <c r="R476" t="s">
        <v>114</v>
      </c>
      <c r="S476" t="s">
        <v>114</v>
      </c>
      <c r="T476">
        <v>-71.875</v>
      </c>
      <c r="U476">
        <v>71.875</v>
      </c>
      <c r="V476">
        <v>24.22376989</v>
      </c>
      <c r="W476">
        <v>24.22376989</v>
      </c>
      <c r="X476" t="s">
        <v>114</v>
      </c>
      <c r="Y476" t="s">
        <v>114</v>
      </c>
      <c r="Z476" t="s">
        <v>114</v>
      </c>
      <c r="AA476" t="s">
        <v>114</v>
      </c>
    </row>
    <row r="477" spans="1:27" x14ac:dyDescent="0.25">
      <c r="A477" t="s">
        <v>42</v>
      </c>
      <c r="B477" t="s">
        <v>956</v>
      </c>
      <c r="C477">
        <v>2</v>
      </c>
      <c r="D477" t="s">
        <v>21</v>
      </c>
      <c r="E477" t="s">
        <v>94</v>
      </c>
      <c r="F477" t="s">
        <v>105</v>
      </c>
      <c r="G477" t="s">
        <v>121</v>
      </c>
      <c r="H477" t="s">
        <v>242</v>
      </c>
      <c r="J477">
        <v>0</v>
      </c>
      <c r="K477">
        <v>6</v>
      </c>
      <c r="L477">
        <v>67.5</v>
      </c>
      <c r="M477">
        <v>47.937235809999997</v>
      </c>
      <c r="N477">
        <v>0.41599678000000001</v>
      </c>
      <c r="O477">
        <v>2.0950346999999998</v>
      </c>
      <c r="P477">
        <v>139.375</v>
      </c>
      <c r="Q477">
        <v>23.713465920000001</v>
      </c>
      <c r="R477" t="s">
        <v>114</v>
      </c>
      <c r="S477" t="s">
        <v>114</v>
      </c>
      <c r="T477">
        <v>-71.875</v>
      </c>
      <c r="U477">
        <v>71.875</v>
      </c>
      <c r="V477">
        <v>24.22376989</v>
      </c>
      <c r="W477">
        <v>24.22376989</v>
      </c>
      <c r="X477" t="s">
        <v>114</v>
      </c>
      <c r="Y477" t="s">
        <v>114</v>
      </c>
      <c r="Z477" t="s">
        <v>114</v>
      </c>
      <c r="AA477" t="s">
        <v>114</v>
      </c>
    </row>
    <row r="478" spans="1:27" x14ac:dyDescent="0.25">
      <c r="A478" t="s">
        <v>42</v>
      </c>
      <c r="B478" t="s">
        <v>956</v>
      </c>
      <c r="C478">
        <v>2</v>
      </c>
      <c r="D478" t="s">
        <v>21</v>
      </c>
      <c r="E478" t="s">
        <v>94</v>
      </c>
      <c r="F478" t="s">
        <v>105</v>
      </c>
      <c r="G478" t="s">
        <v>121</v>
      </c>
      <c r="H478" t="s">
        <v>242</v>
      </c>
      <c r="J478">
        <v>0</v>
      </c>
      <c r="K478">
        <v>6</v>
      </c>
      <c r="L478">
        <v>67.5</v>
      </c>
      <c r="M478">
        <v>47.937235809999997</v>
      </c>
      <c r="N478">
        <v>0.41599678000000001</v>
      </c>
      <c r="O478">
        <v>2.0950346999999998</v>
      </c>
      <c r="P478">
        <v>139.375</v>
      </c>
      <c r="Q478">
        <v>23.713465920000001</v>
      </c>
      <c r="R478" t="s">
        <v>114</v>
      </c>
      <c r="S478" t="s">
        <v>114</v>
      </c>
      <c r="T478">
        <v>-71.875</v>
      </c>
      <c r="U478">
        <v>71.875</v>
      </c>
      <c r="V478">
        <v>24.22376989</v>
      </c>
      <c r="W478">
        <v>24.22376989</v>
      </c>
      <c r="X478" t="s">
        <v>114</v>
      </c>
      <c r="Y478" t="s">
        <v>114</v>
      </c>
      <c r="Z478" t="s">
        <v>114</v>
      </c>
      <c r="AA478" t="s">
        <v>114</v>
      </c>
    </row>
    <row r="479" spans="1:27" x14ac:dyDescent="0.25">
      <c r="A479" t="s">
        <v>42</v>
      </c>
      <c r="B479" t="s">
        <v>956</v>
      </c>
      <c r="C479">
        <v>2</v>
      </c>
      <c r="D479" t="s">
        <v>21</v>
      </c>
      <c r="E479" t="s">
        <v>94</v>
      </c>
      <c r="F479" t="s">
        <v>105</v>
      </c>
      <c r="G479" t="s">
        <v>121</v>
      </c>
      <c r="H479" t="s">
        <v>242</v>
      </c>
      <c r="J479">
        <v>0</v>
      </c>
      <c r="K479">
        <v>6</v>
      </c>
      <c r="L479">
        <v>67.5</v>
      </c>
      <c r="M479">
        <v>47.937235809999997</v>
      </c>
      <c r="N479">
        <v>0.41599678000000001</v>
      </c>
      <c r="O479">
        <v>2.0950346999999998</v>
      </c>
      <c r="P479">
        <v>139.375</v>
      </c>
      <c r="Q479">
        <v>23.713465920000001</v>
      </c>
      <c r="R479" t="s">
        <v>114</v>
      </c>
      <c r="S479" t="s">
        <v>114</v>
      </c>
      <c r="T479">
        <v>-71.875</v>
      </c>
      <c r="U479">
        <v>71.875</v>
      </c>
      <c r="V479">
        <v>24.22376989</v>
      </c>
      <c r="W479">
        <v>24.22376989</v>
      </c>
      <c r="X479" t="s">
        <v>114</v>
      </c>
      <c r="Y479" t="s">
        <v>114</v>
      </c>
      <c r="Z479" t="s">
        <v>114</v>
      </c>
      <c r="AA479" t="s">
        <v>114</v>
      </c>
    </row>
    <row r="480" spans="1:27" x14ac:dyDescent="0.25">
      <c r="A480" t="s">
        <v>42</v>
      </c>
      <c r="B480" t="s">
        <v>956</v>
      </c>
      <c r="C480">
        <v>2</v>
      </c>
      <c r="D480" t="s">
        <v>21</v>
      </c>
      <c r="E480" t="s">
        <v>94</v>
      </c>
      <c r="F480" t="s">
        <v>105</v>
      </c>
      <c r="G480" t="s">
        <v>121</v>
      </c>
      <c r="H480" t="s">
        <v>242</v>
      </c>
      <c r="J480">
        <v>0</v>
      </c>
      <c r="K480">
        <v>6</v>
      </c>
      <c r="L480">
        <v>67.5</v>
      </c>
      <c r="M480">
        <v>47.937235809999997</v>
      </c>
      <c r="N480">
        <v>0.41599678000000001</v>
      </c>
      <c r="O480">
        <v>2.0950346999999998</v>
      </c>
      <c r="P480">
        <v>139.375</v>
      </c>
      <c r="Q480">
        <v>23.713465920000001</v>
      </c>
      <c r="R480" t="s">
        <v>114</v>
      </c>
      <c r="S480" t="s">
        <v>114</v>
      </c>
      <c r="T480">
        <v>-71.875</v>
      </c>
      <c r="U480">
        <v>71.875</v>
      </c>
      <c r="V480">
        <v>24.22376989</v>
      </c>
      <c r="W480">
        <v>24.22376989</v>
      </c>
      <c r="X480" t="s">
        <v>114</v>
      </c>
      <c r="Y480" t="s">
        <v>114</v>
      </c>
      <c r="Z480" t="s">
        <v>114</v>
      </c>
      <c r="AA480" t="s">
        <v>114</v>
      </c>
    </row>
    <row r="481" spans="1:27" x14ac:dyDescent="0.25">
      <c r="A481" t="s">
        <v>42</v>
      </c>
      <c r="B481" t="s">
        <v>957</v>
      </c>
      <c r="C481">
        <v>2</v>
      </c>
      <c r="D481" t="s">
        <v>21</v>
      </c>
      <c r="E481" t="s">
        <v>94</v>
      </c>
      <c r="F481" t="s">
        <v>110</v>
      </c>
      <c r="G481" t="s">
        <v>113</v>
      </c>
      <c r="H481" t="s">
        <v>104</v>
      </c>
      <c r="J481">
        <v>0</v>
      </c>
      <c r="K481">
        <v>2</v>
      </c>
      <c r="L481">
        <v>73.260869569999997</v>
      </c>
      <c r="M481">
        <v>34.453830549999999</v>
      </c>
      <c r="N481">
        <v>1.058333333</v>
      </c>
      <c r="O481">
        <v>0.90897070000000002</v>
      </c>
      <c r="P481">
        <v>113.9375</v>
      </c>
      <c r="Q481">
        <v>33.375507550000002</v>
      </c>
      <c r="R481">
        <v>2.4262999999999999</v>
      </c>
      <c r="S481">
        <v>0.40692159999999999</v>
      </c>
      <c r="T481">
        <v>-40.676630430000003</v>
      </c>
      <c r="U481">
        <v>40.676630430000003</v>
      </c>
      <c r="V481">
        <v>1.0783229999999999</v>
      </c>
      <c r="W481">
        <v>1.0783229999999999</v>
      </c>
      <c r="X481">
        <v>-1.3679666669999999</v>
      </c>
      <c r="Y481">
        <v>1.3679666669999999</v>
      </c>
      <c r="Z481">
        <v>0.50204910000000003</v>
      </c>
      <c r="AA481">
        <v>0.50204910000000003</v>
      </c>
    </row>
    <row r="482" spans="1:27" x14ac:dyDescent="0.25">
      <c r="A482" t="s">
        <v>42</v>
      </c>
      <c r="B482" t="s">
        <v>957</v>
      </c>
      <c r="C482">
        <v>2</v>
      </c>
      <c r="D482" t="s">
        <v>21</v>
      </c>
      <c r="E482" t="s">
        <v>94</v>
      </c>
      <c r="F482" t="s">
        <v>110</v>
      </c>
      <c r="G482" t="s">
        <v>113</v>
      </c>
      <c r="H482" t="s">
        <v>104</v>
      </c>
      <c r="J482">
        <v>0</v>
      </c>
      <c r="K482">
        <v>2</v>
      </c>
      <c r="L482">
        <v>73.260869569999997</v>
      </c>
      <c r="M482">
        <v>34.453830549999999</v>
      </c>
      <c r="N482">
        <v>1.058333333</v>
      </c>
      <c r="O482">
        <v>0.90897070000000002</v>
      </c>
      <c r="P482">
        <v>113.9375</v>
      </c>
      <c r="Q482">
        <v>33.375507550000002</v>
      </c>
      <c r="R482">
        <v>2.4262999999999999</v>
      </c>
      <c r="S482">
        <v>0.40692159999999999</v>
      </c>
      <c r="T482">
        <v>-40.676630430000003</v>
      </c>
      <c r="U482">
        <v>40.676630430000003</v>
      </c>
      <c r="V482">
        <v>1.0783229999999999</v>
      </c>
      <c r="W482">
        <v>1.0783229999999999</v>
      </c>
      <c r="X482">
        <v>-1.3679666669999999</v>
      </c>
      <c r="Y482">
        <v>1.3679666669999999</v>
      </c>
      <c r="Z482">
        <v>0.50204910000000003</v>
      </c>
      <c r="AA482">
        <v>0.50204910000000003</v>
      </c>
    </row>
    <row r="483" spans="1:27" x14ac:dyDescent="0.25">
      <c r="A483" t="s">
        <v>42</v>
      </c>
      <c r="B483" t="s">
        <v>957</v>
      </c>
      <c r="C483">
        <v>2</v>
      </c>
      <c r="D483" t="s">
        <v>21</v>
      </c>
      <c r="E483" t="s">
        <v>94</v>
      </c>
      <c r="F483" t="s">
        <v>110</v>
      </c>
      <c r="G483" t="s">
        <v>113</v>
      </c>
      <c r="H483" t="s">
        <v>242</v>
      </c>
      <c r="J483">
        <v>0</v>
      </c>
      <c r="K483">
        <v>5</v>
      </c>
      <c r="L483">
        <v>73.260869569999997</v>
      </c>
      <c r="M483">
        <v>34.453830549999999</v>
      </c>
      <c r="N483">
        <v>1.058333333</v>
      </c>
      <c r="O483">
        <v>0.90897070000000002</v>
      </c>
      <c r="P483">
        <v>139.375</v>
      </c>
      <c r="Q483">
        <v>23.713465920000001</v>
      </c>
      <c r="R483" t="s">
        <v>114</v>
      </c>
      <c r="S483" t="s">
        <v>114</v>
      </c>
      <c r="T483">
        <v>-66.114130430000003</v>
      </c>
      <c r="U483">
        <v>66.114130430000003</v>
      </c>
      <c r="V483">
        <v>10.74036463</v>
      </c>
      <c r="W483">
        <v>10.74036463</v>
      </c>
      <c r="X483" t="s">
        <v>114</v>
      </c>
      <c r="Y483" t="s">
        <v>114</v>
      </c>
      <c r="Z483" t="s">
        <v>114</v>
      </c>
      <c r="AA483" t="s">
        <v>114</v>
      </c>
    </row>
    <row r="484" spans="1:27" x14ac:dyDescent="0.25">
      <c r="A484" t="s">
        <v>42</v>
      </c>
      <c r="B484" t="s">
        <v>957</v>
      </c>
      <c r="C484">
        <v>2</v>
      </c>
      <c r="D484" t="s">
        <v>21</v>
      </c>
      <c r="E484" t="s">
        <v>94</v>
      </c>
      <c r="F484" t="s">
        <v>110</v>
      </c>
      <c r="G484" t="s">
        <v>113</v>
      </c>
      <c r="H484" t="s">
        <v>242</v>
      </c>
      <c r="J484">
        <v>0</v>
      </c>
      <c r="K484">
        <v>5</v>
      </c>
      <c r="L484">
        <v>73.260869569999997</v>
      </c>
      <c r="M484">
        <v>34.453830549999999</v>
      </c>
      <c r="N484">
        <v>1.058333333</v>
      </c>
      <c r="O484">
        <v>0.90897070000000002</v>
      </c>
      <c r="P484">
        <v>139.375</v>
      </c>
      <c r="Q484">
        <v>23.713465920000001</v>
      </c>
      <c r="R484" t="s">
        <v>114</v>
      </c>
      <c r="S484" t="s">
        <v>114</v>
      </c>
      <c r="T484">
        <v>-66.114130430000003</v>
      </c>
      <c r="U484">
        <v>66.114130430000003</v>
      </c>
      <c r="V484">
        <v>10.74036463</v>
      </c>
      <c r="W484">
        <v>10.74036463</v>
      </c>
      <c r="X484" t="s">
        <v>114</v>
      </c>
      <c r="Y484" t="s">
        <v>114</v>
      </c>
      <c r="Z484" t="s">
        <v>114</v>
      </c>
      <c r="AA484" t="s">
        <v>114</v>
      </c>
    </row>
    <row r="485" spans="1:27" x14ac:dyDescent="0.25">
      <c r="A485" t="s">
        <v>42</v>
      </c>
      <c r="B485" t="s">
        <v>957</v>
      </c>
      <c r="C485">
        <v>2</v>
      </c>
      <c r="D485" t="s">
        <v>21</v>
      </c>
      <c r="E485" t="s">
        <v>94</v>
      </c>
      <c r="F485" t="s">
        <v>110</v>
      </c>
      <c r="G485" t="s">
        <v>113</v>
      </c>
      <c r="H485" t="s">
        <v>242</v>
      </c>
      <c r="J485">
        <v>0</v>
      </c>
      <c r="K485">
        <v>5</v>
      </c>
      <c r="L485">
        <v>73.260869569999997</v>
      </c>
      <c r="M485">
        <v>34.453830549999999</v>
      </c>
      <c r="N485">
        <v>1.058333333</v>
      </c>
      <c r="O485">
        <v>0.90897070000000002</v>
      </c>
      <c r="P485">
        <v>139.375</v>
      </c>
      <c r="Q485">
        <v>23.713465920000001</v>
      </c>
      <c r="R485" t="s">
        <v>114</v>
      </c>
      <c r="S485" t="s">
        <v>114</v>
      </c>
      <c r="T485">
        <v>-66.114130430000003</v>
      </c>
      <c r="U485">
        <v>66.114130430000003</v>
      </c>
      <c r="V485">
        <v>10.74036463</v>
      </c>
      <c r="W485">
        <v>10.74036463</v>
      </c>
      <c r="X485" t="s">
        <v>114</v>
      </c>
      <c r="Y485" t="s">
        <v>114</v>
      </c>
      <c r="Z485" t="s">
        <v>114</v>
      </c>
      <c r="AA485" t="s">
        <v>114</v>
      </c>
    </row>
    <row r="486" spans="1:27" x14ac:dyDescent="0.25">
      <c r="A486" t="s">
        <v>42</v>
      </c>
      <c r="B486" t="s">
        <v>957</v>
      </c>
      <c r="C486">
        <v>2</v>
      </c>
      <c r="D486" t="s">
        <v>21</v>
      </c>
      <c r="E486" t="s">
        <v>94</v>
      </c>
      <c r="F486" t="s">
        <v>110</v>
      </c>
      <c r="G486" t="s">
        <v>113</v>
      </c>
      <c r="H486" t="s">
        <v>242</v>
      </c>
      <c r="J486">
        <v>0</v>
      </c>
      <c r="K486">
        <v>5</v>
      </c>
      <c r="L486">
        <v>73.260869569999997</v>
      </c>
      <c r="M486">
        <v>34.453830549999999</v>
      </c>
      <c r="N486">
        <v>1.058333333</v>
      </c>
      <c r="O486">
        <v>0.90897070000000002</v>
      </c>
      <c r="P486">
        <v>139.375</v>
      </c>
      <c r="Q486">
        <v>23.713465920000001</v>
      </c>
      <c r="R486" t="s">
        <v>114</v>
      </c>
      <c r="S486" t="s">
        <v>114</v>
      </c>
      <c r="T486">
        <v>-66.114130430000003</v>
      </c>
      <c r="U486">
        <v>66.114130430000003</v>
      </c>
      <c r="V486">
        <v>10.74036463</v>
      </c>
      <c r="W486">
        <v>10.74036463</v>
      </c>
      <c r="X486" t="s">
        <v>114</v>
      </c>
      <c r="Y486" t="s">
        <v>114</v>
      </c>
      <c r="Z486" t="s">
        <v>114</v>
      </c>
      <c r="AA486" t="s">
        <v>114</v>
      </c>
    </row>
    <row r="487" spans="1:27" x14ac:dyDescent="0.25">
      <c r="A487" t="s">
        <v>42</v>
      </c>
      <c r="B487" t="s">
        <v>957</v>
      </c>
      <c r="C487">
        <v>2</v>
      </c>
      <c r="D487" t="s">
        <v>21</v>
      </c>
      <c r="E487" t="s">
        <v>94</v>
      </c>
      <c r="F487" t="s">
        <v>110</v>
      </c>
      <c r="G487" t="s">
        <v>113</v>
      </c>
      <c r="H487" t="s">
        <v>242</v>
      </c>
      <c r="J487">
        <v>0</v>
      </c>
      <c r="K487">
        <v>5</v>
      </c>
      <c r="L487">
        <v>73.260869569999997</v>
      </c>
      <c r="M487">
        <v>34.453830549999999</v>
      </c>
      <c r="N487">
        <v>1.058333333</v>
      </c>
      <c r="O487">
        <v>0.90897070000000002</v>
      </c>
      <c r="P487">
        <v>139.375</v>
      </c>
      <c r="Q487">
        <v>23.713465920000001</v>
      </c>
      <c r="R487" t="s">
        <v>114</v>
      </c>
      <c r="S487" t="s">
        <v>114</v>
      </c>
      <c r="T487">
        <v>-66.114130430000003</v>
      </c>
      <c r="U487">
        <v>66.114130430000003</v>
      </c>
      <c r="V487">
        <v>10.74036463</v>
      </c>
      <c r="W487">
        <v>10.74036463</v>
      </c>
      <c r="X487" t="s">
        <v>114</v>
      </c>
      <c r="Y487" t="s">
        <v>114</v>
      </c>
      <c r="Z487" t="s">
        <v>114</v>
      </c>
      <c r="AA487" t="s">
        <v>114</v>
      </c>
    </row>
    <row r="488" spans="1:27" x14ac:dyDescent="0.25">
      <c r="A488" t="s">
        <v>42</v>
      </c>
      <c r="B488" t="s">
        <v>957</v>
      </c>
      <c r="C488">
        <v>2</v>
      </c>
      <c r="D488" t="s">
        <v>21</v>
      </c>
      <c r="E488" t="s">
        <v>94</v>
      </c>
      <c r="F488" t="s">
        <v>110</v>
      </c>
      <c r="G488" t="s">
        <v>113</v>
      </c>
      <c r="H488" t="s">
        <v>113</v>
      </c>
      <c r="J488">
        <v>0</v>
      </c>
      <c r="K488">
        <v>2</v>
      </c>
      <c r="L488">
        <v>73.260869569999997</v>
      </c>
      <c r="M488">
        <v>34.453830549999999</v>
      </c>
      <c r="N488">
        <v>1.058333333</v>
      </c>
      <c r="O488">
        <v>0.90897070000000002</v>
      </c>
      <c r="P488">
        <v>83.757575759999995</v>
      </c>
      <c r="Q488">
        <v>22.60997987</v>
      </c>
      <c r="R488">
        <v>0.72884000000000004</v>
      </c>
      <c r="S488">
        <v>0.21301339999999999</v>
      </c>
      <c r="T488">
        <v>-10.496706189999999</v>
      </c>
      <c r="U488">
        <v>10.496706189999999</v>
      </c>
      <c r="V488">
        <v>11.843850679999999</v>
      </c>
      <c r="W488">
        <v>11.843850679999999</v>
      </c>
      <c r="X488">
        <v>0.329493333</v>
      </c>
      <c r="Y488">
        <v>0.329493333</v>
      </c>
      <c r="Z488">
        <v>0.6959573</v>
      </c>
      <c r="AA488">
        <v>0.6959573</v>
      </c>
    </row>
    <row r="489" spans="1:27" x14ac:dyDescent="0.25">
      <c r="A489" t="s">
        <v>42</v>
      </c>
      <c r="B489" t="s">
        <v>957</v>
      </c>
      <c r="C489">
        <v>2</v>
      </c>
      <c r="D489" t="s">
        <v>21</v>
      </c>
      <c r="E489" t="s">
        <v>94</v>
      </c>
      <c r="F489" t="s">
        <v>110</v>
      </c>
      <c r="G489" t="s">
        <v>113</v>
      </c>
      <c r="H489" t="s">
        <v>113</v>
      </c>
      <c r="J489">
        <v>0</v>
      </c>
      <c r="K489">
        <v>2</v>
      </c>
      <c r="L489">
        <v>73.260869569999997</v>
      </c>
      <c r="M489">
        <v>34.453830549999999</v>
      </c>
      <c r="N489">
        <v>1.058333333</v>
      </c>
      <c r="O489">
        <v>0.90897070000000002</v>
      </c>
      <c r="P489">
        <v>83.757575759999995</v>
      </c>
      <c r="Q489">
        <v>22.60997987</v>
      </c>
      <c r="R489">
        <v>0.72884000000000004</v>
      </c>
      <c r="S489">
        <v>0.21301339999999999</v>
      </c>
      <c r="T489">
        <v>-10.496706189999999</v>
      </c>
      <c r="U489">
        <v>10.496706189999999</v>
      </c>
      <c r="V489">
        <v>11.843850679999999</v>
      </c>
      <c r="W489">
        <v>11.843850679999999</v>
      </c>
      <c r="X489">
        <v>0.329493333</v>
      </c>
      <c r="Y489">
        <v>0.329493333</v>
      </c>
      <c r="Z489">
        <v>0.6959573</v>
      </c>
      <c r="AA489">
        <v>0.6959573</v>
      </c>
    </row>
    <row r="490" spans="1:27" x14ac:dyDescent="0.25">
      <c r="A490" t="s">
        <v>42</v>
      </c>
      <c r="B490" t="s">
        <v>958</v>
      </c>
      <c r="C490">
        <v>2</v>
      </c>
      <c r="D490" t="s">
        <v>21</v>
      </c>
      <c r="E490" t="s">
        <v>94</v>
      </c>
      <c r="F490" t="s">
        <v>111</v>
      </c>
      <c r="G490" t="s">
        <v>110</v>
      </c>
      <c r="H490" t="s">
        <v>113</v>
      </c>
      <c r="J490">
        <v>0</v>
      </c>
      <c r="K490">
        <v>1</v>
      </c>
      <c r="L490">
        <v>94.97142857</v>
      </c>
      <c r="M490">
        <v>24.31591813</v>
      </c>
      <c r="N490">
        <v>0.122951111</v>
      </c>
      <c r="O490">
        <v>0.39050790000000002</v>
      </c>
      <c r="P490">
        <v>83.757575759999995</v>
      </c>
      <c r="Q490">
        <v>22.60997987</v>
      </c>
      <c r="R490">
        <v>0.72884000000000004</v>
      </c>
      <c r="S490">
        <v>0.21301339999999999</v>
      </c>
      <c r="T490">
        <v>11.213852810000001</v>
      </c>
      <c r="U490">
        <v>11.213852810000001</v>
      </c>
      <c r="V490">
        <v>1.7059382599999999</v>
      </c>
      <c r="W490">
        <v>1.7059382599999999</v>
      </c>
      <c r="X490">
        <v>-0.60588888900000004</v>
      </c>
      <c r="Y490">
        <v>0.60588888900000004</v>
      </c>
      <c r="Z490">
        <v>0.17749450000000003</v>
      </c>
      <c r="AA490">
        <v>0.17749450000000003</v>
      </c>
    </row>
    <row r="491" spans="1:27" x14ac:dyDescent="0.25">
      <c r="A491" t="s">
        <v>42</v>
      </c>
      <c r="B491" t="s">
        <v>958</v>
      </c>
      <c r="C491">
        <v>2</v>
      </c>
      <c r="D491" t="s">
        <v>21</v>
      </c>
      <c r="E491" t="s">
        <v>94</v>
      </c>
      <c r="F491" t="s">
        <v>111</v>
      </c>
      <c r="G491" t="s">
        <v>110</v>
      </c>
      <c r="H491" t="s">
        <v>110</v>
      </c>
      <c r="J491">
        <v>0</v>
      </c>
      <c r="K491">
        <v>1</v>
      </c>
      <c r="L491">
        <v>94.97142857</v>
      </c>
      <c r="M491">
        <v>24.31591813</v>
      </c>
      <c r="N491">
        <v>0.122951111</v>
      </c>
      <c r="O491">
        <v>0.39050790000000002</v>
      </c>
      <c r="P491">
        <v>73.260869569999997</v>
      </c>
      <c r="Q491">
        <v>34.453830549999999</v>
      </c>
      <c r="R491">
        <v>1.058333333</v>
      </c>
      <c r="S491">
        <v>0.90897070000000002</v>
      </c>
      <c r="T491">
        <v>21.710559</v>
      </c>
      <c r="U491">
        <v>21.710559</v>
      </c>
      <c r="V491">
        <v>-10.137912419999999</v>
      </c>
      <c r="W491">
        <v>10.137912419999999</v>
      </c>
      <c r="X491">
        <v>-0.93538222199999999</v>
      </c>
      <c r="Y491">
        <v>0.93538222199999999</v>
      </c>
      <c r="Z491">
        <v>-0.5184628</v>
      </c>
      <c r="AA491">
        <v>0.5184628</v>
      </c>
    </row>
    <row r="492" spans="1:27" x14ac:dyDescent="0.25">
      <c r="A492" t="s">
        <v>42</v>
      </c>
      <c r="B492" t="s">
        <v>959</v>
      </c>
      <c r="C492">
        <v>2</v>
      </c>
      <c r="D492" t="s">
        <v>21</v>
      </c>
      <c r="E492" t="s">
        <v>94</v>
      </c>
      <c r="F492" t="s">
        <v>104</v>
      </c>
      <c r="G492" t="s">
        <v>121</v>
      </c>
      <c r="H492" t="s">
        <v>110</v>
      </c>
      <c r="J492">
        <v>1</v>
      </c>
      <c r="K492">
        <v>2</v>
      </c>
      <c r="L492">
        <v>113.9375</v>
      </c>
      <c r="M492">
        <v>33.375507550000002</v>
      </c>
      <c r="N492">
        <v>2.4262999999999999</v>
      </c>
      <c r="O492">
        <v>0.40692159999999999</v>
      </c>
      <c r="P492">
        <v>73.260869569999997</v>
      </c>
      <c r="Q492">
        <v>34.453830549999999</v>
      </c>
      <c r="R492">
        <v>1.058333333</v>
      </c>
      <c r="S492">
        <v>0.90897070000000002</v>
      </c>
      <c r="T492">
        <v>40.676630430000003</v>
      </c>
      <c r="U492">
        <v>40.676630430000003</v>
      </c>
      <c r="V492">
        <v>-1.0783229999999999</v>
      </c>
      <c r="W492">
        <v>1.0783229999999999</v>
      </c>
      <c r="X492">
        <v>1.3679666669999999</v>
      </c>
      <c r="Y492">
        <v>1.3679666669999999</v>
      </c>
      <c r="Z492">
        <v>-0.50204910000000003</v>
      </c>
      <c r="AA492">
        <v>0.50204910000000003</v>
      </c>
    </row>
    <row r="493" spans="1:27" x14ac:dyDescent="0.25">
      <c r="A493" t="s">
        <v>42</v>
      </c>
      <c r="B493" t="s">
        <v>959</v>
      </c>
      <c r="C493">
        <v>2</v>
      </c>
      <c r="D493" t="s">
        <v>21</v>
      </c>
      <c r="E493" t="s">
        <v>94</v>
      </c>
      <c r="F493" t="s">
        <v>104</v>
      </c>
      <c r="G493" t="s">
        <v>121</v>
      </c>
      <c r="H493" t="s">
        <v>110</v>
      </c>
      <c r="J493">
        <v>1</v>
      </c>
      <c r="K493">
        <v>2</v>
      </c>
      <c r="L493">
        <v>113.9375</v>
      </c>
      <c r="M493">
        <v>33.375507550000002</v>
      </c>
      <c r="N493">
        <v>2.4262999999999999</v>
      </c>
      <c r="O493">
        <v>0.40692159999999999</v>
      </c>
      <c r="P493">
        <v>73.260869569999997</v>
      </c>
      <c r="Q493">
        <v>34.453830549999999</v>
      </c>
      <c r="R493">
        <v>1.058333333</v>
      </c>
      <c r="S493">
        <v>0.90897070000000002</v>
      </c>
      <c r="T493">
        <v>40.676630430000003</v>
      </c>
      <c r="U493">
        <v>40.676630430000003</v>
      </c>
      <c r="V493">
        <v>-1.0783229999999999</v>
      </c>
      <c r="W493">
        <v>1.0783229999999999</v>
      </c>
      <c r="X493">
        <v>1.3679666669999999</v>
      </c>
      <c r="Y493">
        <v>1.3679666669999999</v>
      </c>
      <c r="Z493">
        <v>-0.50204910000000003</v>
      </c>
      <c r="AA493">
        <v>0.50204910000000003</v>
      </c>
    </row>
    <row r="494" spans="1:27" x14ac:dyDescent="0.25">
      <c r="A494" t="s">
        <v>42</v>
      </c>
      <c r="B494" t="s">
        <v>959</v>
      </c>
      <c r="C494">
        <v>2</v>
      </c>
      <c r="D494" t="s">
        <v>21</v>
      </c>
      <c r="E494" t="s">
        <v>94</v>
      </c>
      <c r="F494" t="s">
        <v>104</v>
      </c>
      <c r="G494" t="s">
        <v>121</v>
      </c>
      <c r="H494" t="s">
        <v>240</v>
      </c>
      <c r="J494">
        <v>1</v>
      </c>
      <c r="K494">
        <v>2</v>
      </c>
      <c r="L494">
        <v>113.9375</v>
      </c>
      <c r="M494">
        <v>33.375507550000002</v>
      </c>
      <c r="N494">
        <v>2.4262999999999999</v>
      </c>
      <c r="O494">
        <v>0.40692159999999999</v>
      </c>
      <c r="P494">
        <v>104.83333330000001</v>
      </c>
      <c r="Q494">
        <v>43.798647680000002</v>
      </c>
      <c r="R494">
        <v>7.7741939999999999E-3</v>
      </c>
      <c r="S494" t="s">
        <v>114</v>
      </c>
      <c r="T494">
        <v>9.1041667000000004</v>
      </c>
      <c r="U494">
        <v>9.1041667000000004</v>
      </c>
      <c r="V494">
        <v>-10.42314013</v>
      </c>
      <c r="W494">
        <v>10.42314013</v>
      </c>
      <c r="X494">
        <v>2.4185258059999999</v>
      </c>
      <c r="Y494">
        <v>2.4185258059999999</v>
      </c>
      <c r="Z494" t="s">
        <v>114</v>
      </c>
      <c r="AA494" t="s">
        <v>114</v>
      </c>
    </row>
    <row r="495" spans="1:27" x14ac:dyDescent="0.25">
      <c r="A495" t="s">
        <v>42</v>
      </c>
      <c r="B495" t="s">
        <v>959</v>
      </c>
      <c r="C495">
        <v>2</v>
      </c>
      <c r="D495" t="s">
        <v>21</v>
      </c>
      <c r="E495" t="s">
        <v>94</v>
      </c>
      <c r="F495" t="s">
        <v>104</v>
      </c>
      <c r="G495" t="s">
        <v>121</v>
      </c>
      <c r="H495" t="s">
        <v>240</v>
      </c>
      <c r="J495">
        <v>1</v>
      </c>
      <c r="K495">
        <v>2</v>
      </c>
      <c r="L495">
        <v>113.9375</v>
      </c>
      <c r="M495">
        <v>33.375507550000002</v>
      </c>
      <c r="N495">
        <v>2.4262999999999999</v>
      </c>
      <c r="O495">
        <v>0.40692159999999999</v>
      </c>
      <c r="P495">
        <v>104.83333330000001</v>
      </c>
      <c r="Q495">
        <v>43.798647680000002</v>
      </c>
      <c r="R495">
        <v>7.7741939999999999E-3</v>
      </c>
      <c r="S495" t="s">
        <v>114</v>
      </c>
      <c r="T495">
        <v>9.1041667000000004</v>
      </c>
      <c r="U495">
        <v>9.1041667000000004</v>
      </c>
      <c r="V495">
        <v>-10.42314013</v>
      </c>
      <c r="W495">
        <v>10.42314013</v>
      </c>
      <c r="X495">
        <v>2.4185258059999999</v>
      </c>
      <c r="Y495">
        <v>2.4185258059999999</v>
      </c>
      <c r="Z495" t="s">
        <v>114</v>
      </c>
      <c r="AA495" t="s">
        <v>114</v>
      </c>
    </row>
    <row r="496" spans="1:27" x14ac:dyDescent="0.25">
      <c r="A496" t="s">
        <v>42</v>
      </c>
      <c r="B496" t="s">
        <v>959</v>
      </c>
      <c r="C496">
        <v>2</v>
      </c>
      <c r="D496" t="s">
        <v>21</v>
      </c>
      <c r="E496" t="s">
        <v>94</v>
      </c>
      <c r="F496" t="s">
        <v>104</v>
      </c>
      <c r="G496" t="s">
        <v>121</v>
      </c>
      <c r="H496" t="s">
        <v>241</v>
      </c>
      <c r="J496">
        <v>1</v>
      </c>
      <c r="K496">
        <v>1</v>
      </c>
      <c r="L496">
        <v>113.9375</v>
      </c>
      <c r="M496">
        <v>33.375507550000002</v>
      </c>
      <c r="N496">
        <v>2.4262999999999999</v>
      </c>
      <c r="O496">
        <v>0.40692159999999999</v>
      </c>
      <c r="P496">
        <v>114</v>
      </c>
      <c r="Q496">
        <v>30.43077242</v>
      </c>
      <c r="R496">
        <v>0.53383111100000002</v>
      </c>
      <c r="S496">
        <v>0.28333332999999999</v>
      </c>
      <c r="T496">
        <v>-6.25E-2</v>
      </c>
      <c r="U496">
        <v>6.25E-2</v>
      </c>
      <c r="V496">
        <v>2.9447351300000002</v>
      </c>
      <c r="W496">
        <v>2.9447351300000002</v>
      </c>
      <c r="X496">
        <v>1.8924688890000001</v>
      </c>
      <c r="Y496">
        <v>1.8924688890000001</v>
      </c>
      <c r="Z496">
        <v>0.12358827</v>
      </c>
      <c r="AA496">
        <v>0.12358827</v>
      </c>
    </row>
    <row r="497" spans="1:27" x14ac:dyDescent="0.25">
      <c r="A497" t="s">
        <v>43</v>
      </c>
      <c r="B497" t="s">
        <v>960</v>
      </c>
      <c r="C497">
        <v>2</v>
      </c>
      <c r="D497" t="s">
        <v>23</v>
      </c>
      <c r="E497" t="s">
        <v>94</v>
      </c>
      <c r="F497" t="s">
        <v>105</v>
      </c>
      <c r="G497" t="s">
        <v>104</v>
      </c>
      <c r="H497" t="s">
        <v>104</v>
      </c>
      <c r="J497">
        <v>0</v>
      </c>
      <c r="K497">
        <v>1</v>
      </c>
      <c r="L497">
        <v>67.5</v>
      </c>
      <c r="M497">
        <v>47.937235809999997</v>
      </c>
      <c r="N497">
        <v>0.41599678000000001</v>
      </c>
      <c r="O497">
        <v>2.0950346999999998</v>
      </c>
      <c r="P497">
        <v>113.9375</v>
      </c>
      <c r="Q497">
        <v>33.375507550000002</v>
      </c>
      <c r="R497">
        <v>2.4262999999999999</v>
      </c>
      <c r="S497">
        <v>0.40692159999999999</v>
      </c>
      <c r="T497">
        <v>-46.4375</v>
      </c>
      <c r="U497">
        <v>46.4375</v>
      </c>
      <c r="V497">
        <v>14.561728260000001</v>
      </c>
      <c r="W497">
        <v>14.561728260000001</v>
      </c>
      <c r="X497">
        <v>-2.0103032199999999</v>
      </c>
      <c r="Y497">
        <v>2.0103032199999999</v>
      </c>
      <c r="Z497">
        <v>1.6881130999999998</v>
      </c>
      <c r="AA497">
        <v>1.6881130999999998</v>
      </c>
    </row>
    <row r="498" spans="1:27" x14ac:dyDescent="0.25">
      <c r="A498" t="s">
        <v>43</v>
      </c>
      <c r="B498" t="s">
        <v>961</v>
      </c>
      <c r="C498">
        <v>2</v>
      </c>
      <c r="D498" t="s">
        <v>23</v>
      </c>
      <c r="E498" t="s">
        <v>94</v>
      </c>
      <c r="F498" t="s">
        <v>110</v>
      </c>
      <c r="G498" t="s">
        <v>110</v>
      </c>
      <c r="H498" t="s">
        <v>110</v>
      </c>
      <c r="J498">
        <v>0</v>
      </c>
      <c r="K498">
        <v>1</v>
      </c>
      <c r="L498">
        <v>73.260869569999997</v>
      </c>
      <c r="M498">
        <v>34.453830549999999</v>
      </c>
      <c r="N498">
        <v>1.058333333</v>
      </c>
      <c r="O498">
        <v>0.90897070000000002</v>
      </c>
      <c r="P498">
        <v>73.260869569999997</v>
      </c>
      <c r="Q498">
        <v>34.453830549999999</v>
      </c>
      <c r="R498">
        <v>1.058333333</v>
      </c>
      <c r="S498">
        <v>0.90897070000000002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</row>
    <row r="499" spans="1:27" x14ac:dyDescent="0.25">
      <c r="A499" t="s">
        <v>43</v>
      </c>
      <c r="B499" t="s">
        <v>962</v>
      </c>
      <c r="C499">
        <v>2</v>
      </c>
      <c r="D499" t="s">
        <v>23</v>
      </c>
      <c r="E499" t="s">
        <v>94</v>
      </c>
      <c r="F499" t="s">
        <v>111</v>
      </c>
      <c r="G499" t="s">
        <v>121</v>
      </c>
      <c r="H499" t="s">
        <v>114</v>
      </c>
      <c r="J499">
        <v>0</v>
      </c>
      <c r="K499" t="s">
        <v>114</v>
      </c>
      <c r="L499">
        <v>94.97142857</v>
      </c>
      <c r="M499">
        <v>24.31591813</v>
      </c>
      <c r="N499">
        <v>0.122951111</v>
      </c>
      <c r="O499">
        <v>0.39050790000000002</v>
      </c>
      <c r="P499" t="s">
        <v>114</v>
      </c>
      <c r="Q499" t="s">
        <v>114</v>
      </c>
      <c r="R499" t="s">
        <v>114</v>
      </c>
      <c r="S499" t="s">
        <v>114</v>
      </c>
      <c r="T499" t="s">
        <v>114</v>
      </c>
      <c r="U499" t="s">
        <v>114</v>
      </c>
      <c r="V499" t="s">
        <v>114</v>
      </c>
      <c r="W499" t="s">
        <v>114</v>
      </c>
      <c r="X499" t="s">
        <v>114</v>
      </c>
      <c r="Y499" t="s">
        <v>114</v>
      </c>
      <c r="Z499" t="s">
        <v>114</v>
      </c>
      <c r="AA499" t="s">
        <v>114</v>
      </c>
    </row>
    <row r="500" spans="1:27" x14ac:dyDescent="0.25">
      <c r="A500" t="s">
        <v>43</v>
      </c>
      <c r="B500" t="s">
        <v>963</v>
      </c>
      <c r="C500">
        <v>2</v>
      </c>
      <c r="D500" t="s">
        <v>23</v>
      </c>
      <c r="E500" t="s">
        <v>94</v>
      </c>
      <c r="F500" t="s">
        <v>104</v>
      </c>
      <c r="G500" t="s">
        <v>104</v>
      </c>
      <c r="H500" t="s">
        <v>104</v>
      </c>
      <c r="J500">
        <v>0</v>
      </c>
      <c r="K500">
        <v>1</v>
      </c>
      <c r="L500">
        <v>113.9375</v>
      </c>
      <c r="M500">
        <v>33.375507550000002</v>
      </c>
      <c r="N500">
        <v>2.4262999999999999</v>
      </c>
      <c r="O500">
        <v>0.40692159999999999</v>
      </c>
      <c r="P500">
        <v>113.9375</v>
      </c>
      <c r="Q500">
        <v>33.375507550000002</v>
      </c>
      <c r="R500">
        <v>2.4262999999999999</v>
      </c>
      <c r="S500">
        <v>0.40692159999999999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</row>
    <row r="501" spans="1:27" x14ac:dyDescent="0.25">
      <c r="A501" t="s">
        <v>43</v>
      </c>
      <c r="B501" t="s">
        <v>963</v>
      </c>
      <c r="C501">
        <v>2</v>
      </c>
      <c r="D501" t="s">
        <v>23</v>
      </c>
      <c r="E501" t="s">
        <v>94</v>
      </c>
      <c r="F501" t="s">
        <v>104</v>
      </c>
      <c r="G501" t="s">
        <v>104</v>
      </c>
      <c r="H501" t="s">
        <v>808</v>
      </c>
      <c r="J501">
        <v>0</v>
      </c>
      <c r="K501">
        <v>1</v>
      </c>
      <c r="L501">
        <v>113.9375</v>
      </c>
      <c r="M501">
        <v>33.375507550000002</v>
      </c>
      <c r="N501">
        <v>2.4262999999999999</v>
      </c>
      <c r="O501">
        <v>0.40692159999999999</v>
      </c>
      <c r="P501">
        <v>102.79166669999999</v>
      </c>
      <c r="Q501">
        <v>27.057373470000002</v>
      </c>
      <c r="R501">
        <v>6.3567849939999999</v>
      </c>
      <c r="S501" t="s">
        <v>114</v>
      </c>
      <c r="T501">
        <v>11.1458333</v>
      </c>
      <c r="U501">
        <v>11.1458333</v>
      </c>
      <c r="V501">
        <v>6.3181340800000001</v>
      </c>
      <c r="W501">
        <v>6.3181340800000001</v>
      </c>
      <c r="X501">
        <v>-3.930484994</v>
      </c>
      <c r="Y501">
        <v>3.930484994</v>
      </c>
      <c r="Z501" t="s">
        <v>114</v>
      </c>
      <c r="AA501" t="s">
        <v>114</v>
      </c>
    </row>
    <row r="502" spans="1:27" x14ac:dyDescent="0.25">
      <c r="A502" t="s">
        <v>44</v>
      </c>
      <c r="B502" t="s">
        <v>964</v>
      </c>
      <c r="C502">
        <v>2</v>
      </c>
      <c r="D502" t="s">
        <v>25</v>
      </c>
      <c r="E502" t="s">
        <v>95</v>
      </c>
      <c r="F502" t="s">
        <v>102</v>
      </c>
      <c r="G502" t="s">
        <v>102</v>
      </c>
      <c r="H502" t="s">
        <v>102</v>
      </c>
      <c r="J502">
        <v>0</v>
      </c>
      <c r="K502">
        <v>1</v>
      </c>
      <c r="L502">
        <v>84.740740740000007</v>
      </c>
      <c r="M502">
        <v>29.167014049999999</v>
      </c>
      <c r="N502">
        <v>1.1169849999999999</v>
      </c>
      <c r="O502">
        <v>1.1571499000000001</v>
      </c>
      <c r="P502">
        <v>84.740740740000007</v>
      </c>
      <c r="Q502">
        <v>29.167014049999999</v>
      </c>
      <c r="R502">
        <v>1.1169849999999999</v>
      </c>
      <c r="S502">
        <v>1.1571499000000001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</row>
    <row r="503" spans="1:27" x14ac:dyDescent="0.25">
      <c r="A503" t="s">
        <v>44</v>
      </c>
      <c r="B503" t="s">
        <v>965</v>
      </c>
      <c r="C503">
        <v>2</v>
      </c>
      <c r="D503" t="s">
        <v>25</v>
      </c>
      <c r="E503" t="s">
        <v>95</v>
      </c>
      <c r="F503" t="s">
        <v>110</v>
      </c>
      <c r="G503" t="s">
        <v>121</v>
      </c>
      <c r="H503" t="s">
        <v>114</v>
      </c>
      <c r="I503" t="s">
        <v>162</v>
      </c>
      <c r="J503">
        <v>1</v>
      </c>
      <c r="K503">
        <v>0</v>
      </c>
      <c r="L503">
        <v>73.260869569999997</v>
      </c>
      <c r="M503">
        <v>34.453830549999999</v>
      </c>
      <c r="N503">
        <v>1.058333333</v>
      </c>
      <c r="O503">
        <v>0.90897070000000002</v>
      </c>
      <c r="P503" t="s">
        <v>114</v>
      </c>
      <c r="Q503" t="s">
        <v>114</v>
      </c>
      <c r="R503" t="s">
        <v>114</v>
      </c>
      <c r="S503" t="s">
        <v>114</v>
      </c>
      <c r="T503" t="s">
        <v>114</v>
      </c>
      <c r="U503" t="s">
        <v>114</v>
      </c>
      <c r="V503" t="s">
        <v>114</v>
      </c>
      <c r="W503" t="s">
        <v>114</v>
      </c>
      <c r="X503" t="s">
        <v>114</v>
      </c>
      <c r="Y503" t="s">
        <v>114</v>
      </c>
      <c r="Z503" t="s">
        <v>114</v>
      </c>
      <c r="AA503" t="s">
        <v>114</v>
      </c>
    </row>
    <row r="504" spans="1:27" x14ac:dyDescent="0.25">
      <c r="A504" t="s">
        <v>44</v>
      </c>
      <c r="B504" t="s">
        <v>966</v>
      </c>
      <c r="C504">
        <v>2</v>
      </c>
      <c r="D504" t="s">
        <v>25</v>
      </c>
      <c r="E504" t="s">
        <v>95</v>
      </c>
      <c r="F504" t="s">
        <v>104</v>
      </c>
      <c r="G504" t="s">
        <v>112</v>
      </c>
      <c r="H504" t="s">
        <v>112</v>
      </c>
      <c r="J504">
        <v>0</v>
      </c>
      <c r="K504">
        <v>1</v>
      </c>
      <c r="L504">
        <v>113.9375</v>
      </c>
      <c r="M504">
        <v>33.375507550000002</v>
      </c>
      <c r="N504">
        <v>2.4262999999999999</v>
      </c>
      <c r="O504">
        <v>0.40692159999999999</v>
      </c>
      <c r="P504">
        <v>65.09375</v>
      </c>
      <c r="Q504">
        <v>37.895352600000002</v>
      </c>
      <c r="R504">
        <v>2.2882677779999998</v>
      </c>
      <c r="S504">
        <v>2.2111774</v>
      </c>
      <c r="T504">
        <v>48.84375</v>
      </c>
      <c r="U504">
        <v>48.84375</v>
      </c>
      <c r="V504">
        <v>-4.5198450499999998</v>
      </c>
      <c r="W504">
        <v>4.5198450499999998</v>
      </c>
      <c r="X504">
        <v>0.13803222200000001</v>
      </c>
      <c r="Y504">
        <v>0.13803222200000001</v>
      </c>
      <c r="Z504">
        <v>-1.8042558</v>
      </c>
      <c r="AA504">
        <v>1.8042558</v>
      </c>
    </row>
    <row r="505" spans="1:27" x14ac:dyDescent="0.25">
      <c r="A505" t="s">
        <v>44</v>
      </c>
      <c r="B505" t="s">
        <v>966</v>
      </c>
      <c r="C505">
        <v>2</v>
      </c>
      <c r="D505" t="s">
        <v>25</v>
      </c>
      <c r="E505" t="s">
        <v>95</v>
      </c>
      <c r="F505" t="s">
        <v>104</v>
      </c>
      <c r="G505" t="s">
        <v>112</v>
      </c>
      <c r="H505" t="s">
        <v>162</v>
      </c>
      <c r="J505">
        <v>0</v>
      </c>
      <c r="K505">
        <v>1</v>
      </c>
      <c r="L505">
        <v>113.9375</v>
      </c>
      <c r="M505">
        <v>33.375507550000002</v>
      </c>
      <c r="N505">
        <v>2.4262999999999999</v>
      </c>
      <c r="O505">
        <v>0.40692159999999999</v>
      </c>
      <c r="P505">
        <v>82.53846154</v>
      </c>
      <c r="Q505">
        <v>35.660530039999998</v>
      </c>
      <c r="R505">
        <v>3.3754499999999998</v>
      </c>
      <c r="S505" t="s">
        <v>114</v>
      </c>
      <c r="T505">
        <v>31.39903846</v>
      </c>
      <c r="U505">
        <v>31.39903846</v>
      </c>
      <c r="V505">
        <v>-2.2850224899999998</v>
      </c>
      <c r="W505">
        <v>2.2850224899999998</v>
      </c>
      <c r="X505">
        <v>-0.94915000000000005</v>
      </c>
      <c r="Y505">
        <v>0.94915000000000005</v>
      </c>
      <c r="Z505" t="s">
        <v>114</v>
      </c>
      <c r="AA505" t="s">
        <v>114</v>
      </c>
    </row>
    <row r="506" spans="1:27" x14ac:dyDescent="0.25">
      <c r="A506" t="s">
        <v>44</v>
      </c>
      <c r="B506" t="s">
        <v>966</v>
      </c>
      <c r="C506">
        <v>2</v>
      </c>
      <c r="D506" t="s">
        <v>25</v>
      </c>
      <c r="E506" t="s">
        <v>95</v>
      </c>
      <c r="F506" t="s">
        <v>104</v>
      </c>
      <c r="G506" t="s">
        <v>112</v>
      </c>
      <c r="H506" t="s">
        <v>113</v>
      </c>
      <c r="J506">
        <v>0</v>
      </c>
      <c r="K506">
        <v>1</v>
      </c>
      <c r="L506">
        <v>113.9375</v>
      </c>
      <c r="M506">
        <v>33.375507550000002</v>
      </c>
      <c r="N506">
        <v>2.4262999999999999</v>
      </c>
      <c r="O506">
        <v>0.40692159999999999</v>
      </c>
      <c r="P506">
        <v>83.757575759999995</v>
      </c>
      <c r="Q506">
        <v>22.60997987</v>
      </c>
      <c r="R506">
        <v>0.72884000000000004</v>
      </c>
      <c r="S506">
        <v>0.21301339999999999</v>
      </c>
      <c r="T506">
        <v>30.179924239999998</v>
      </c>
      <c r="U506">
        <v>30.179924239999998</v>
      </c>
      <c r="V506">
        <v>10.76552768</v>
      </c>
      <c r="W506">
        <v>10.76552768</v>
      </c>
      <c r="X506">
        <v>1.69746</v>
      </c>
      <c r="Y506">
        <v>1.69746</v>
      </c>
      <c r="Z506">
        <v>0.1939082</v>
      </c>
      <c r="AA506">
        <v>0.1939082</v>
      </c>
    </row>
    <row r="507" spans="1:27" x14ac:dyDescent="0.25">
      <c r="A507" t="s">
        <v>44</v>
      </c>
      <c r="B507" t="s">
        <v>967</v>
      </c>
      <c r="C507">
        <v>2</v>
      </c>
      <c r="D507" t="s">
        <v>25</v>
      </c>
      <c r="E507" t="s">
        <v>95</v>
      </c>
      <c r="F507" t="s">
        <v>112</v>
      </c>
      <c r="G507" t="s">
        <v>121</v>
      </c>
      <c r="H507" t="s">
        <v>114</v>
      </c>
      <c r="J507">
        <v>0</v>
      </c>
      <c r="K507" t="s">
        <v>114</v>
      </c>
      <c r="L507">
        <v>65.09375</v>
      </c>
      <c r="M507">
        <v>37.895352600000002</v>
      </c>
      <c r="N507">
        <v>2.2882677779999998</v>
      </c>
      <c r="O507">
        <v>2.2111774</v>
      </c>
      <c r="P507" t="s">
        <v>114</v>
      </c>
      <c r="Q507" t="s">
        <v>114</v>
      </c>
      <c r="R507" t="s">
        <v>114</v>
      </c>
      <c r="S507" t="s">
        <v>114</v>
      </c>
      <c r="T507" t="s">
        <v>114</v>
      </c>
      <c r="U507" t="s">
        <v>114</v>
      </c>
      <c r="V507" t="s">
        <v>114</v>
      </c>
      <c r="W507" t="s">
        <v>114</v>
      </c>
      <c r="X507" t="s">
        <v>114</v>
      </c>
      <c r="Y507" t="s">
        <v>114</v>
      </c>
      <c r="Z507" t="s">
        <v>114</v>
      </c>
      <c r="AA507" t="s">
        <v>114</v>
      </c>
    </row>
    <row r="508" spans="1:27" x14ac:dyDescent="0.25">
      <c r="A508" t="s">
        <v>45</v>
      </c>
      <c r="B508" t="s">
        <v>968</v>
      </c>
      <c r="C508">
        <v>2</v>
      </c>
      <c r="D508" t="s">
        <v>27</v>
      </c>
      <c r="E508" t="s">
        <v>95</v>
      </c>
      <c r="F508" t="s">
        <v>102</v>
      </c>
      <c r="G508" t="s">
        <v>113</v>
      </c>
      <c r="H508" t="s">
        <v>113</v>
      </c>
      <c r="J508">
        <v>0</v>
      </c>
      <c r="K508">
        <v>2</v>
      </c>
      <c r="L508">
        <v>84.740740740000007</v>
      </c>
      <c r="M508">
        <v>29.167014049999999</v>
      </c>
      <c r="N508">
        <v>1.1169849999999999</v>
      </c>
      <c r="O508">
        <v>1.1571499000000001</v>
      </c>
      <c r="P508">
        <v>83.757575759999995</v>
      </c>
      <c r="Q508">
        <v>22.60997987</v>
      </c>
      <c r="R508">
        <v>0.72884000000000004</v>
      </c>
      <c r="S508">
        <v>0.21301339999999999</v>
      </c>
      <c r="T508">
        <v>0.98316497999999997</v>
      </c>
      <c r="U508">
        <v>0.98316497999999997</v>
      </c>
      <c r="V508">
        <v>6.5570341799999996</v>
      </c>
      <c r="W508">
        <v>6.5570341799999996</v>
      </c>
      <c r="X508">
        <v>0.38814500000000002</v>
      </c>
      <c r="Y508">
        <v>0.38814500000000002</v>
      </c>
      <c r="Z508">
        <v>0.94413650000000005</v>
      </c>
      <c r="AA508">
        <v>0.94413650000000005</v>
      </c>
    </row>
    <row r="509" spans="1:27" x14ac:dyDescent="0.25">
      <c r="A509" t="s">
        <v>45</v>
      </c>
      <c r="B509" t="s">
        <v>968</v>
      </c>
      <c r="C509">
        <v>2</v>
      </c>
      <c r="D509" t="s">
        <v>27</v>
      </c>
      <c r="E509" t="s">
        <v>95</v>
      </c>
      <c r="F509" t="s">
        <v>102</v>
      </c>
      <c r="G509" t="s">
        <v>113</v>
      </c>
      <c r="H509" t="s">
        <v>113</v>
      </c>
      <c r="J509">
        <v>0</v>
      </c>
      <c r="K509">
        <v>2</v>
      </c>
      <c r="L509">
        <v>84.740740740000007</v>
      </c>
      <c r="M509">
        <v>29.167014049999999</v>
      </c>
      <c r="N509">
        <v>1.1169849999999999</v>
      </c>
      <c r="O509">
        <v>1.1571499000000001</v>
      </c>
      <c r="P509">
        <v>83.757575759999995</v>
      </c>
      <c r="Q509">
        <v>22.60997987</v>
      </c>
      <c r="R509">
        <v>0.72884000000000004</v>
      </c>
      <c r="S509">
        <v>0.21301339999999999</v>
      </c>
      <c r="T509">
        <v>0.98316497999999997</v>
      </c>
      <c r="U509">
        <v>0.98316497999999997</v>
      </c>
      <c r="V509">
        <v>6.5570341799999996</v>
      </c>
      <c r="W509">
        <v>6.5570341799999996</v>
      </c>
      <c r="X509">
        <v>0.38814500000000002</v>
      </c>
      <c r="Y509">
        <v>0.38814500000000002</v>
      </c>
      <c r="Z509">
        <v>0.94413650000000005</v>
      </c>
      <c r="AA509">
        <v>0.94413650000000005</v>
      </c>
    </row>
    <row r="510" spans="1:27" x14ac:dyDescent="0.25">
      <c r="A510" t="s">
        <v>45</v>
      </c>
      <c r="B510" t="s">
        <v>969</v>
      </c>
      <c r="C510">
        <v>2</v>
      </c>
      <c r="D510" t="s">
        <v>27</v>
      </c>
      <c r="E510" t="s">
        <v>95</v>
      </c>
      <c r="F510" t="s">
        <v>105</v>
      </c>
      <c r="G510" t="s">
        <v>113</v>
      </c>
      <c r="H510" t="s">
        <v>113</v>
      </c>
      <c r="J510">
        <v>0</v>
      </c>
      <c r="K510">
        <v>6</v>
      </c>
      <c r="L510">
        <v>67.5</v>
      </c>
      <c r="M510">
        <v>47.937235809999997</v>
      </c>
      <c r="N510">
        <v>0.41599678000000001</v>
      </c>
      <c r="O510">
        <v>2.0950346999999998</v>
      </c>
      <c r="P510">
        <v>83.757575759999995</v>
      </c>
      <c r="Q510">
        <v>22.60997987</v>
      </c>
      <c r="R510">
        <v>0.72884000000000004</v>
      </c>
      <c r="S510">
        <v>0.21301339999999999</v>
      </c>
      <c r="T510">
        <v>-16.257575760000002</v>
      </c>
      <c r="U510">
        <v>16.257575760000002</v>
      </c>
      <c r="V510">
        <v>25.327255940000001</v>
      </c>
      <c r="W510">
        <v>25.327255940000001</v>
      </c>
      <c r="X510">
        <v>-0.31284321999999998</v>
      </c>
      <c r="Y510">
        <v>0.31284321999999998</v>
      </c>
      <c r="Z510">
        <v>1.8820212999999999</v>
      </c>
      <c r="AA510">
        <v>1.8820212999999999</v>
      </c>
    </row>
    <row r="511" spans="1:27" x14ac:dyDescent="0.25">
      <c r="A511" t="s">
        <v>45</v>
      </c>
      <c r="B511" t="s">
        <v>969</v>
      </c>
      <c r="C511">
        <v>2</v>
      </c>
      <c r="D511" t="s">
        <v>27</v>
      </c>
      <c r="E511" t="s">
        <v>95</v>
      </c>
      <c r="F511" t="s">
        <v>105</v>
      </c>
      <c r="G511" t="s">
        <v>113</v>
      </c>
      <c r="H511" t="s">
        <v>113</v>
      </c>
      <c r="J511">
        <v>0</v>
      </c>
      <c r="K511">
        <v>6</v>
      </c>
      <c r="L511">
        <v>67.5</v>
      </c>
      <c r="M511">
        <v>47.937235809999997</v>
      </c>
      <c r="N511">
        <v>0.41599678000000001</v>
      </c>
      <c r="O511">
        <v>2.0950346999999998</v>
      </c>
      <c r="P511">
        <v>83.757575759999995</v>
      </c>
      <c r="Q511">
        <v>22.60997987</v>
      </c>
      <c r="R511">
        <v>0.72884000000000004</v>
      </c>
      <c r="S511">
        <v>0.21301339999999999</v>
      </c>
      <c r="T511">
        <v>-16.257575760000002</v>
      </c>
      <c r="U511">
        <v>16.257575760000002</v>
      </c>
      <c r="V511">
        <v>25.327255940000001</v>
      </c>
      <c r="W511">
        <v>25.327255940000001</v>
      </c>
      <c r="X511">
        <v>-0.31284321999999998</v>
      </c>
      <c r="Y511">
        <v>0.31284321999999998</v>
      </c>
      <c r="Z511">
        <v>1.8820212999999999</v>
      </c>
      <c r="AA511">
        <v>1.8820212999999999</v>
      </c>
    </row>
    <row r="512" spans="1:27" x14ac:dyDescent="0.25">
      <c r="A512" t="s">
        <v>45</v>
      </c>
      <c r="B512" t="s">
        <v>969</v>
      </c>
      <c r="C512">
        <v>2</v>
      </c>
      <c r="D512" t="s">
        <v>27</v>
      </c>
      <c r="E512" t="s">
        <v>95</v>
      </c>
      <c r="F512" t="s">
        <v>105</v>
      </c>
      <c r="G512" t="s">
        <v>113</v>
      </c>
      <c r="H512" t="s">
        <v>113</v>
      </c>
      <c r="J512">
        <v>0</v>
      </c>
      <c r="K512">
        <v>6</v>
      </c>
      <c r="L512">
        <v>67.5</v>
      </c>
      <c r="M512">
        <v>47.937235809999997</v>
      </c>
      <c r="N512">
        <v>0.41599678000000001</v>
      </c>
      <c r="O512">
        <v>2.0950346999999998</v>
      </c>
      <c r="P512">
        <v>83.757575759999995</v>
      </c>
      <c r="Q512">
        <v>22.60997987</v>
      </c>
      <c r="R512">
        <v>0.72884000000000004</v>
      </c>
      <c r="S512">
        <v>0.21301339999999999</v>
      </c>
      <c r="T512">
        <v>-16.257575760000002</v>
      </c>
      <c r="U512">
        <v>16.257575760000002</v>
      </c>
      <c r="V512">
        <v>25.327255940000001</v>
      </c>
      <c r="W512">
        <v>25.327255940000001</v>
      </c>
      <c r="X512">
        <v>-0.31284321999999998</v>
      </c>
      <c r="Y512">
        <v>0.31284321999999998</v>
      </c>
      <c r="Z512">
        <v>1.8820212999999999</v>
      </c>
      <c r="AA512">
        <v>1.8820212999999999</v>
      </c>
    </row>
    <row r="513" spans="1:27" x14ac:dyDescent="0.25">
      <c r="A513" t="s">
        <v>45</v>
      </c>
      <c r="B513" t="s">
        <v>969</v>
      </c>
      <c r="C513">
        <v>2</v>
      </c>
      <c r="D513" t="s">
        <v>27</v>
      </c>
      <c r="E513" t="s">
        <v>95</v>
      </c>
      <c r="F513" t="s">
        <v>105</v>
      </c>
      <c r="G513" t="s">
        <v>113</v>
      </c>
      <c r="H513" t="s">
        <v>113</v>
      </c>
      <c r="J513">
        <v>0</v>
      </c>
      <c r="K513">
        <v>6</v>
      </c>
      <c r="L513">
        <v>67.5</v>
      </c>
      <c r="M513">
        <v>47.937235809999997</v>
      </c>
      <c r="N513">
        <v>0.41599678000000001</v>
      </c>
      <c r="O513">
        <v>2.0950346999999998</v>
      </c>
      <c r="P513">
        <v>83.757575759999995</v>
      </c>
      <c r="Q513">
        <v>22.60997987</v>
      </c>
      <c r="R513">
        <v>0.72884000000000004</v>
      </c>
      <c r="S513">
        <v>0.21301339999999999</v>
      </c>
      <c r="T513">
        <v>-16.257575760000002</v>
      </c>
      <c r="U513">
        <v>16.257575760000002</v>
      </c>
      <c r="V513">
        <v>25.327255940000001</v>
      </c>
      <c r="W513">
        <v>25.327255940000001</v>
      </c>
      <c r="X513">
        <v>-0.31284321999999998</v>
      </c>
      <c r="Y513">
        <v>0.31284321999999998</v>
      </c>
      <c r="Z513">
        <v>1.8820212999999999</v>
      </c>
      <c r="AA513">
        <v>1.8820212999999999</v>
      </c>
    </row>
    <row r="514" spans="1:27" x14ac:dyDescent="0.25">
      <c r="A514" t="s">
        <v>45</v>
      </c>
      <c r="B514" t="s">
        <v>969</v>
      </c>
      <c r="C514">
        <v>2</v>
      </c>
      <c r="D514" t="s">
        <v>27</v>
      </c>
      <c r="E514" t="s">
        <v>95</v>
      </c>
      <c r="F514" t="s">
        <v>105</v>
      </c>
      <c r="G514" t="s">
        <v>113</v>
      </c>
      <c r="H514" t="s">
        <v>113</v>
      </c>
      <c r="J514">
        <v>0</v>
      </c>
      <c r="K514">
        <v>6</v>
      </c>
      <c r="L514">
        <v>67.5</v>
      </c>
      <c r="M514">
        <v>47.937235809999997</v>
      </c>
      <c r="N514">
        <v>0.41599678000000001</v>
      </c>
      <c r="O514">
        <v>2.0950346999999998</v>
      </c>
      <c r="P514">
        <v>83.757575759999995</v>
      </c>
      <c r="Q514">
        <v>22.60997987</v>
      </c>
      <c r="R514">
        <v>0.72884000000000004</v>
      </c>
      <c r="S514">
        <v>0.21301339999999999</v>
      </c>
      <c r="T514">
        <v>-16.257575760000002</v>
      </c>
      <c r="U514">
        <v>16.257575760000002</v>
      </c>
      <c r="V514">
        <v>25.327255940000001</v>
      </c>
      <c r="W514">
        <v>25.327255940000001</v>
      </c>
      <c r="X514">
        <v>-0.31284321999999998</v>
      </c>
      <c r="Y514">
        <v>0.31284321999999998</v>
      </c>
      <c r="Z514">
        <v>1.8820212999999999</v>
      </c>
      <c r="AA514">
        <v>1.8820212999999999</v>
      </c>
    </row>
    <row r="515" spans="1:27" x14ac:dyDescent="0.25">
      <c r="A515" t="s">
        <v>45</v>
      </c>
      <c r="B515" t="s">
        <v>969</v>
      </c>
      <c r="C515">
        <v>2</v>
      </c>
      <c r="D515" t="s">
        <v>27</v>
      </c>
      <c r="E515" t="s">
        <v>95</v>
      </c>
      <c r="F515" t="s">
        <v>105</v>
      </c>
      <c r="G515" t="s">
        <v>113</v>
      </c>
      <c r="H515" t="s">
        <v>113</v>
      </c>
      <c r="J515">
        <v>0</v>
      </c>
      <c r="K515">
        <v>6</v>
      </c>
      <c r="L515">
        <v>67.5</v>
      </c>
      <c r="M515">
        <v>47.937235809999997</v>
      </c>
      <c r="N515">
        <v>0.41599678000000001</v>
      </c>
      <c r="O515">
        <v>2.0950346999999998</v>
      </c>
      <c r="P515">
        <v>83.757575759999995</v>
      </c>
      <c r="Q515">
        <v>22.60997987</v>
      </c>
      <c r="R515">
        <v>0.72884000000000004</v>
      </c>
      <c r="S515">
        <v>0.21301339999999999</v>
      </c>
      <c r="T515">
        <v>-16.257575760000002</v>
      </c>
      <c r="U515">
        <v>16.257575760000002</v>
      </c>
      <c r="V515">
        <v>25.327255940000001</v>
      </c>
      <c r="W515">
        <v>25.327255940000001</v>
      </c>
      <c r="X515">
        <v>-0.31284321999999998</v>
      </c>
      <c r="Y515">
        <v>0.31284321999999998</v>
      </c>
      <c r="Z515">
        <v>1.8820212999999999</v>
      </c>
      <c r="AA515">
        <v>1.8820212999999999</v>
      </c>
    </row>
    <row r="516" spans="1:27" x14ac:dyDescent="0.25">
      <c r="A516" t="s">
        <v>45</v>
      </c>
      <c r="B516" t="s">
        <v>970</v>
      </c>
      <c r="C516">
        <v>2</v>
      </c>
      <c r="D516" t="s">
        <v>27</v>
      </c>
      <c r="E516" t="s">
        <v>95</v>
      </c>
      <c r="F516" t="s">
        <v>112</v>
      </c>
      <c r="G516" t="s">
        <v>121</v>
      </c>
      <c r="H516" t="s">
        <v>113</v>
      </c>
      <c r="J516">
        <v>0</v>
      </c>
      <c r="K516">
        <v>8</v>
      </c>
      <c r="L516">
        <v>65.09375</v>
      </c>
      <c r="M516">
        <v>37.895352600000002</v>
      </c>
      <c r="N516">
        <v>2.2882677779999998</v>
      </c>
      <c r="O516">
        <v>2.2111774</v>
      </c>
      <c r="P516">
        <v>83.757575759999995</v>
      </c>
      <c r="Q516">
        <v>22.60997987</v>
      </c>
      <c r="R516">
        <v>0.72884000000000004</v>
      </c>
      <c r="S516">
        <v>0.21301339999999999</v>
      </c>
      <c r="T516">
        <v>-18.663825760000002</v>
      </c>
      <c r="U516">
        <v>18.663825760000002</v>
      </c>
      <c r="V516">
        <v>15.285372730000001</v>
      </c>
      <c r="W516">
        <v>15.285372730000001</v>
      </c>
      <c r="X516">
        <v>1.5594277780000001</v>
      </c>
      <c r="Y516">
        <v>1.5594277780000001</v>
      </c>
      <c r="Z516">
        <v>1.9981640000000001</v>
      </c>
      <c r="AA516">
        <v>1.9981640000000001</v>
      </c>
    </row>
    <row r="517" spans="1:27" x14ac:dyDescent="0.25">
      <c r="A517" t="s">
        <v>45</v>
      </c>
      <c r="B517" t="s">
        <v>970</v>
      </c>
      <c r="C517">
        <v>2</v>
      </c>
      <c r="D517" t="s">
        <v>27</v>
      </c>
      <c r="E517" t="s">
        <v>95</v>
      </c>
      <c r="F517" t="s">
        <v>112</v>
      </c>
      <c r="G517" t="s">
        <v>121</v>
      </c>
      <c r="H517" t="s">
        <v>113</v>
      </c>
      <c r="J517">
        <v>0</v>
      </c>
      <c r="K517">
        <v>8</v>
      </c>
      <c r="L517">
        <v>65.09375</v>
      </c>
      <c r="M517">
        <v>37.895352600000002</v>
      </c>
      <c r="N517">
        <v>2.2882677779999998</v>
      </c>
      <c r="O517">
        <v>2.2111774</v>
      </c>
      <c r="P517">
        <v>83.757575759999995</v>
      </c>
      <c r="Q517">
        <v>22.60997987</v>
      </c>
      <c r="R517">
        <v>0.72884000000000004</v>
      </c>
      <c r="S517">
        <v>0.21301339999999999</v>
      </c>
      <c r="T517">
        <v>-18.663825760000002</v>
      </c>
      <c r="U517">
        <v>18.663825760000002</v>
      </c>
      <c r="V517">
        <v>15.285372730000001</v>
      </c>
      <c r="W517">
        <v>15.285372730000001</v>
      </c>
      <c r="X517">
        <v>1.5594277780000001</v>
      </c>
      <c r="Y517">
        <v>1.5594277780000001</v>
      </c>
      <c r="Z517">
        <v>1.9981640000000001</v>
      </c>
      <c r="AA517">
        <v>1.9981640000000001</v>
      </c>
    </row>
    <row r="518" spans="1:27" x14ac:dyDescent="0.25">
      <c r="A518" t="s">
        <v>45</v>
      </c>
      <c r="B518" t="s">
        <v>970</v>
      </c>
      <c r="C518">
        <v>2</v>
      </c>
      <c r="D518" t="s">
        <v>27</v>
      </c>
      <c r="E518" t="s">
        <v>95</v>
      </c>
      <c r="F518" t="s">
        <v>112</v>
      </c>
      <c r="G518" t="s">
        <v>121</v>
      </c>
      <c r="H518" t="s">
        <v>113</v>
      </c>
      <c r="J518">
        <v>0</v>
      </c>
      <c r="K518">
        <v>8</v>
      </c>
      <c r="L518">
        <v>65.09375</v>
      </c>
      <c r="M518">
        <v>37.895352600000002</v>
      </c>
      <c r="N518">
        <v>2.2882677779999998</v>
      </c>
      <c r="O518">
        <v>2.2111774</v>
      </c>
      <c r="P518">
        <v>83.757575759999995</v>
      </c>
      <c r="Q518">
        <v>22.60997987</v>
      </c>
      <c r="R518">
        <v>0.72884000000000004</v>
      </c>
      <c r="S518">
        <v>0.21301339999999999</v>
      </c>
      <c r="T518">
        <v>-18.663825760000002</v>
      </c>
      <c r="U518">
        <v>18.663825760000002</v>
      </c>
      <c r="V518">
        <v>15.285372730000001</v>
      </c>
      <c r="W518">
        <v>15.285372730000001</v>
      </c>
      <c r="X518">
        <v>1.5594277780000001</v>
      </c>
      <c r="Y518">
        <v>1.5594277780000001</v>
      </c>
      <c r="Z518">
        <v>1.9981640000000001</v>
      </c>
      <c r="AA518">
        <v>1.9981640000000001</v>
      </c>
    </row>
    <row r="519" spans="1:27" x14ac:dyDescent="0.25">
      <c r="A519" t="s">
        <v>45</v>
      </c>
      <c r="B519" t="s">
        <v>970</v>
      </c>
      <c r="C519">
        <v>2</v>
      </c>
      <c r="D519" t="s">
        <v>27</v>
      </c>
      <c r="E519" t="s">
        <v>95</v>
      </c>
      <c r="F519" t="s">
        <v>112</v>
      </c>
      <c r="G519" t="s">
        <v>121</v>
      </c>
      <c r="H519" t="s">
        <v>113</v>
      </c>
      <c r="J519">
        <v>0</v>
      </c>
      <c r="K519">
        <v>8</v>
      </c>
      <c r="L519">
        <v>65.09375</v>
      </c>
      <c r="M519">
        <v>37.895352600000002</v>
      </c>
      <c r="N519">
        <v>2.2882677779999998</v>
      </c>
      <c r="O519">
        <v>2.2111774</v>
      </c>
      <c r="P519">
        <v>83.757575759999995</v>
      </c>
      <c r="Q519">
        <v>22.60997987</v>
      </c>
      <c r="R519">
        <v>0.72884000000000004</v>
      </c>
      <c r="S519">
        <v>0.21301339999999999</v>
      </c>
      <c r="T519">
        <v>-18.663825760000002</v>
      </c>
      <c r="U519">
        <v>18.663825760000002</v>
      </c>
      <c r="V519">
        <v>15.285372730000001</v>
      </c>
      <c r="W519">
        <v>15.285372730000001</v>
      </c>
      <c r="X519">
        <v>1.5594277780000001</v>
      </c>
      <c r="Y519">
        <v>1.5594277780000001</v>
      </c>
      <c r="Z519">
        <v>1.9981640000000001</v>
      </c>
      <c r="AA519">
        <v>1.9981640000000001</v>
      </c>
    </row>
    <row r="520" spans="1:27" x14ac:dyDescent="0.25">
      <c r="A520" t="s">
        <v>45</v>
      </c>
      <c r="B520" t="s">
        <v>970</v>
      </c>
      <c r="C520">
        <v>2</v>
      </c>
      <c r="D520" t="s">
        <v>27</v>
      </c>
      <c r="E520" t="s">
        <v>95</v>
      </c>
      <c r="F520" t="s">
        <v>112</v>
      </c>
      <c r="G520" t="s">
        <v>121</v>
      </c>
      <c r="H520" t="s">
        <v>113</v>
      </c>
      <c r="J520">
        <v>0</v>
      </c>
      <c r="K520">
        <v>8</v>
      </c>
      <c r="L520">
        <v>65.09375</v>
      </c>
      <c r="M520">
        <v>37.895352600000002</v>
      </c>
      <c r="N520">
        <v>2.2882677779999998</v>
      </c>
      <c r="O520">
        <v>2.2111774</v>
      </c>
      <c r="P520">
        <v>83.757575759999995</v>
      </c>
      <c r="Q520">
        <v>22.60997987</v>
      </c>
      <c r="R520">
        <v>0.72884000000000004</v>
      </c>
      <c r="S520">
        <v>0.21301339999999999</v>
      </c>
      <c r="T520">
        <v>-18.663825760000002</v>
      </c>
      <c r="U520">
        <v>18.663825760000002</v>
      </c>
      <c r="V520">
        <v>15.285372730000001</v>
      </c>
      <c r="W520">
        <v>15.285372730000001</v>
      </c>
      <c r="X520">
        <v>1.5594277780000001</v>
      </c>
      <c r="Y520">
        <v>1.5594277780000001</v>
      </c>
      <c r="Z520">
        <v>1.9981640000000001</v>
      </c>
      <c r="AA520">
        <v>1.9981640000000001</v>
      </c>
    </row>
    <row r="521" spans="1:27" x14ac:dyDescent="0.25">
      <c r="A521" t="s">
        <v>45</v>
      </c>
      <c r="B521" t="s">
        <v>970</v>
      </c>
      <c r="C521">
        <v>2</v>
      </c>
      <c r="D521" t="s">
        <v>27</v>
      </c>
      <c r="E521" t="s">
        <v>95</v>
      </c>
      <c r="F521" t="s">
        <v>112</v>
      </c>
      <c r="G521" t="s">
        <v>121</v>
      </c>
      <c r="H521" t="s">
        <v>113</v>
      </c>
      <c r="J521">
        <v>0</v>
      </c>
      <c r="K521">
        <v>8</v>
      </c>
      <c r="L521">
        <v>65.09375</v>
      </c>
      <c r="M521">
        <v>37.895352600000002</v>
      </c>
      <c r="N521">
        <v>2.2882677779999998</v>
      </c>
      <c r="O521">
        <v>2.2111774</v>
      </c>
      <c r="P521">
        <v>83.757575759999995</v>
      </c>
      <c r="Q521">
        <v>22.60997987</v>
      </c>
      <c r="R521">
        <v>0.72884000000000004</v>
      </c>
      <c r="S521">
        <v>0.21301339999999999</v>
      </c>
      <c r="T521">
        <v>-18.663825760000002</v>
      </c>
      <c r="U521">
        <v>18.663825760000002</v>
      </c>
      <c r="V521">
        <v>15.285372730000001</v>
      </c>
      <c r="W521">
        <v>15.285372730000001</v>
      </c>
      <c r="X521">
        <v>1.5594277780000001</v>
      </c>
      <c r="Y521">
        <v>1.5594277780000001</v>
      </c>
      <c r="Z521">
        <v>1.9981640000000001</v>
      </c>
      <c r="AA521">
        <v>1.9981640000000001</v>
      </c>
    </row>
    <row r="522" spans="1:27" x14ac:dyDescent="0.25">
      <c r="A522" t="s">
        <v>45</v>
      </c>
      <c r="B522" t="s">
        <v>970</v>
      </c>
      <c r="C522">
        <v>2</v>
      </c>
      <c r="D522" t="s">
        <v>27</v>
      </c>
      <c r="E522" t="s">
        <v>95</v>
      </c>
      <c r="F522" t="s">
        <v>112</v>
      </c>
      <c r="G522" t="s">
        <v>121</v>
      </c>
      <c r="H522" t="s">
        <v>113</v>
      </c>
      <c r="J522">
        <v>0</v>
      </c>
      <c r="K522">
        <v>8</v>
      </c>
      <c r="L522">
        <v>65.09375</v>
      </c>
      <c r="M522">
        <v>37.895352600000002</v>
      </c>
      <c r="N522">
        <v>2.2882677779999998</v>
      </c>
      <c r="O522">
        <v>2.2111774</v>
      </c>
      <c r="P522">
        <v>83.757575759999995</v>
      </c>
      <c r="Q522">
        <v>22.60997987</v>
      </c>
      <c r="R522">
        <v>0.72884000000000004</v>
      </c>
      <c r="S522">
        <v>0.21301339999999999</v>
      </c>
      <c r="T522">
        <v>-18.663825760000002</v>
      </c>
      <c r="U522">
        <v>18.663825760000002</v>
      </c>
      <c r="V522">
        <v>15.285372730000001</v>
      </c>
      <c r="W522">
        <v>15.285372730000001</v>
      </c>
      <c r="X522">
        <v>1.5594277780000001</v>
      </c>
      <c r="Y522">
        <v>1.5594277780000001</v>
      </c>
      <c r="Z522">
        <v>1.9981640000000001</v>
      </c>
      <c r="AA522">
        <v>1.9981640000000001</v>
      </c>
    </row>
    <row r="523" spans="1:27" x14ac:dyDescent="0.25">
      <c r="A523" t="s">
        <v>45</v>
      </c>
      <c r="B523" t="s">
        <v>970</v>
      </c>
      <c r="C523">
        <v>2</v>
      </c>
      <c r="D523" t="s">
        <v>27</v>
      </c>
      <c r="E523" t="s">
        <v>95</v>
      </c>
      <c r="F523" t="s">
        <v>112</v>
      </c>
      <c r="G523" t="s">
        <v>121</v>
      </c>
      <c r="H523" t="s">
        <v>113</v>
      </c>
      <c r="J523">
        <v>0</v>
      </c>
      <c r="K523">
        <v>8</v>
      </c>
      <c r="L523">
        <v>65.09375</v>
      </c>
      <c r="M523">
        <v>37.895352600000002</v>
      </c>
      <c r="N523">
        <v>2.2882677779999998</v>
      </c>
      <c r="O523">
        <v>2.2111774</v>
      </c>
      <c r="P523">
        <v>83.757575759999995</v>
      </c>
      <c r="Q523">
        <v>22.60997987</v>
      </c>
      <c r="R523">
        <v>0.72884000000000004</v>
      </c>
      <c r="S523">
        <v>0.21301339999999999</v>
      </c>
      <c r="T523">
        <v>-18.663825760000002</v>
      </c>
      <c r="U523">
        <v>18.663825760000002</v>
      </c>
      <c r="V523">
        <v>15.285372730000001</v>
      </c>
      <c r="W523">
        <v>15.285372730000001</v>
      </c>
      <c r="X523">
        <v>1.5594277780000001</v>
      </c>
      <c r="Y523">
        <v>1.5594277780000001</v>
      </c>
      <c r="Z523">
        <v>1.9981640000000001</v>
      </c>
      <c r="AA523">
        <v>1.9981640000000001</v>
      </c>
    </row>
    <row r="524" spans="1:27" x14ac:dyDescent="0.25">
      <c r="A524" t="s">
        <v>45</v>
      </c>
      <c r="B524" t="s">
        <v>970</v>
      </c>
      <c r="C524">
        <v>2</v>
      </c>
      <c r="D524" t="s">
        <v>27</v>
      </c>
      <c r="E524" t="s">
        <v>95</v>
      </c>
      <c r="F524" t="s">
        <v>112</v>
      </c>
      <c r="G524" t="s">
        <v>121</v>
      </c>
      <c r="H524" t="s">
        <v>103</v>
      </c>
      <c r="J524">
        <v>0</v>
      </c>
      <c r="K524">
        <v>1</v>
      </c>
      <c r="L524">
        <v>65.09375</v>
      </c>
      <c r="M524">
        <v>37.895352600000002</v>
      </c>
      <c r="N524">
        <v>2.2882677779999998</v>
      </c>
      <c r="O524">
        <v>2.2111774</v>
      </c>
      <c r="P524">
        <v>98.291666669999998</v>
      </c>
      <c r="Q524">
        <v>30.315130790000001</v>
      </c>
      <c r="R524">
        <v>5.0803484000000003E-2</v>
      </c>
      <c r="S524">
        <v>0.42866070000000001</v>
      </c>
      <c r="T524">
        <v>-33.197916669999998</v>
      </c>
      <c r="U524">
        <v>33.197916669999998</v>
      </c>
      <c r="V524">
        <v>7.5802218100000003</v>
      </c>
      <c r="W524">
        <v>7.5802218100000003</v>
      </c>
      <c r="X524">
        <v>2.237464294</v>
      </c>
      <c r="Y524">
        <v>2.237464294</v>
      </c>
      <c r="Z524">
        <v>1.7825167</v>
      </c>
      <c r="AA524">
        <v>1.7825167</v>
      </c>
    </row>
    <row r="525" spans="1:27" x14ac:dyDescent="0.25">
      <c r="A525" t="s">
        <v>46</v>
      </c>
      <c r="B525" t="s">
        <v>971</v>
      </c>
      <c r="C525">
        <v>2</v>
      </c>
      <c r="D525" t="s">
        <v>29</v>
      </c>
      <c r="E525" t="s">
        <v>95</v>
      </c>
      <c r="F525" t="s">
        <v>102</v>
      </c>
      <c r="G525" t="s">
        <v>121</v>
      </c>
      <c r="H525" t="s">
        <v>114</v>
      </c>
      <c r="J525">
        <v>0</v>
      </c>
      <c r="K525" t="s">
        <v>114</v>
      </c>
      <c r="L525">
        <v>84.740740740000007</v>
      </c>
      <c r="M525">
        <v>29.167014049999999</v>
      </c>
      <c r="N525">
        <v>1.1169849999999999</v>
      </c>
      <c r="O525">
        <v>1.1571499000000001</v>
      </c>
      <c r="P525" t="s">
        <v>114</v>
      </c>
      <c r="Q525" t="s">
        <v>114</v>
      </c>
      <c r="R525" t="s">
        <v>114</v>
      </c>
      <c r="S525" t="s">
        <v>114</v>
      </c>
      <c r="T525" t="s">
        <v>114</v>
      </c>
      <c r="U525" t="s">
        <v>114</v>
      </c>
      <c r="V525" t="s">
        <v>114</v>
      </c>
      <c r="W525" t="s">
        <v>114</v>
      </c>
      <c r="X525" t="s">
        <v>114</v>
      </c>
      <c r="Y525" t="s">
        <v>114</v>
      </c>
      <c r="Z525" t="s">
        <v>114</v>
      </c>
      <c r="AA525" t="s">
        <v>114</v>
      </c>
    </row>
    <row r="526" spans="1:27" x14ac:dyDescent="0.25">
      <c r="A526" t="s">
        <v>46</v>
      </c>
      <c r="B526" t="s">
        <v>972</v>
      </c>
      <c r="C526">
        <v>2</v>
      </c>
      <c r="D526" t="s">
        <v>29</v>
      </c>
      <c r="E526" t="s">
        <v>95</v>
      </c>
      <c r="F526" t="s">
        <v>110</v>
      </c>
      <c r="G526" t="s">
        <v>113</v>
      </c>
      <c r="H526" t="s">
        <v>113</v>
      </c>
      <c r="J526">
        <v>0</v>
      </c>
      <c r="K526">
        <v>3</v>
      </c>
      <c r="L526">
        <v>73.260869569999997</v>
      </c>
      <c r="M526">
        <v>34.453830549999999</v>
      </c>
      <c r="N526">
        <v>1.058333333</v>
      </c>
      <c r="O526">
        <v>0.90897070000000002</v>
      </c>
      <c r="P526">
        <v>83.757575759999995</v>
      </c>
      <c r="Q526">
        <v>22.60997987</v>
      </c>
      <c r="R526">
        <v>0.72884000000000004</v>
      </c>
      <c r="S526">
        <v>0.21301339999999999</v>
      </c>
      <c r="T526">
        <v>-10.496706189999999</v>
      </c>
      <c r="U526">
        <v>10.496706189999999</v>
      </c>
      <c r="V526">
        <v>11.843850679999999</v>
      </c>
      <c r="W526">
        <v>11.843850679999999</v>
      </c>
      <c r="X526">
        <v>0.329493333</v>
      </c>
      <c r="Y526">
        <v>0.329493333</v>
      </c>
      <c r="Z526">
        <v>0.6959573</v>
      </c>
      <c r="AA526">
        <v>0.6959573</v>
      </c>
    </row>
    <row r="527" spans="1:27" x14ac:dyDescent="0.25">
      <c r="A527" t="s">
        <v>46</v>
      </c>
      <c r="B527" t="s">
        <v>972</v>
      </c>
      <c r="C527">
        <v>2</v>
      </c>
      <c r="D527" t="s">
        <v>29</v>
      </c>
      <c r="E527" t="s">
        <v>95</v>
      </c>
      <c r="F527" t="s">
        <v>110</v>
      </c>
      <c r="G527" t="s">
        <v>113</v>
      </c>
      <c r="H527" t="s">
        <v>113</v>
      </c>
      <c r="J527">
        <v>0</v>
      </c>
      <c r="K527">
        <v>3</v>
      </c>
      <c r="L527">
        <v>73.260869569999997</v>
      </c>
      <c r="M527">
        <v>34.453830549999999</v>
      </c>
      <c r="N527">
        <v>1.058333333</v>
      </c>
      <c r="O527">
        <v>0.90897070000000002</v>
      </c>
      <c r="P527">
        <v>83.757575759999995</v>
      </c>
      <c r="Q527">
        <v>22.60997987</v>
      </c>
      <c r="R527">
        <v>0.72884000000000004</v>
      </c>
      <c r="S527">
        <v>0.21301339999999999</v>
      </c>
      <c r="T527">
        <v>-10.496706189999999</v>
      </c>
      <c r="U527">
        <v>10.496706189999999</v>
      </c>
      <c r="V527">
        <v>11.843850679999999</v>
      </c>
      <c r="W527">
        <v>11.843850679999999</v>
      </c>
      <c r="X527">
        <v>0.329493333</v>
      </c>
      <c r="Y527">
        <v>0.329493333</v>
      </c>
      <c r="Z527">
        <v>0.6959573</v>
      </c>
      <c r="AA527">
        <v>0.6959573</v>
      </c>
    </row>
    <row r="528" spans="1:27" x14ac:dyDescent="0.25">
      <c r="A528" t="s">
        <v>46</v>
      </c>
      <c r="B528" t="s">
        <v>972</v>
      </c>
      <c r="C528">
        <v>2</v>
      </c>
      <c r="D528" t="s">
        <v>29</v>
      </c>
      <c r="E528" t="s">
        <v>95</v>
      </c>
      <c r="F528" t="s">
        <v>110</v>
      </c>
      <c r="G528" t="s">
        <v>113</v>
      </c>
      <c r="H528" t="s">
        <v>113</v>
      </c>
      <c r="J528">
        <v>0</v>
      </c>
      <c r="K528">
        <v>3</v>
      </c>
      <c r="L528">
        <v>73.260869569999997</v>
      </c>
      <c r="M528">
        <v>34.453830549999999</v>
      </c>
      <c r="N528">
        <v>1.058333333</v>
      </c>
      <c r="O528">
        <v>0.90897070000000002</v>
      </c>
      <c r="P528">
        <v>83.757575759999995</v>
      </c>
      <c r="Q528">
        <v>22.60997987</v>
      </c>
      <c r="R528">
        <v>0.72884000000000004</v>
      </c>
      <c r="S528">
        <v>0.21301339999999999</v>
      </c>
      <c r="T528">
        <v>-10.496706189999999</v>
      </c>
      <c r="U528">
        <v>10.496706189999999</v>
      </c>
      <c r="V528">
        <v>11.843850679999999</v>
      </c>
      <c r="W528">
        <v>11.843850679999999</v>
      </c>
      <c r="X528">
        <v>0.329493333</v>
      </c>
      <c r="Y528">
        <v>0.329493333</v>
      </c>
      <c r="Z528">
        <v>0.6959573</v>
      </c>
      <c r="AA528">
        <v>0.6959573</v>
      </c>
    </row>
    <row r="529" spans="1:27" x14ac:dyDescent="0.25">
      <c r="A529" t="s">
        <v>46</v>
      </c>
      <c r="B529" t="s">
        <v>973</v>
      </c>
      <c r="C529">
        <v>2</v>
      </c>
      <c r="D529" t="s">
        <v>29</v>
      </c>
      <c r="E529" t="s">
        <v>95</v>
      </c>
      <c r="F529" t="s">
        <v>112</v>
      </c>
      <c r="G529" t="s">
        <v>121</v>
      </c>
      <c r="H529" t="s">
        <v>114</v>
      </c>
      <c r="J529">
        <v>0</v>
      </c>
      <c r="K529" t="s">
        <v>114</v>
      </c>
      <c r="L529">
        <v>65.09375</v>
      </c>
      <c r="M529">
        <v>37.895352600000002</v>
      </c>
      <c r="N529">
        <v>2.2882677779999998</v>
      </c>
      <c r="O529">
        <v>2.2111774</v>
      </c>
      <c r="P529" t="s">
        <v>114</v>
      </c>
      <c r="Q529" t="s">
        <v>114</v>
      </c>
      <c r="R529" t="s">
        <v>114</v>
      </c>
      <c r="S529" t="s">
        <v>114</v>
      </c>
      <c r="T529" t="s">
        <v>114</v>
      </c>
      <c r="U529" t="s">
        <v>114</v>
      </c>
      <c r="V529" t="s">
        <v>114</v>
      </c>
      <c r="W529" t="s">
        <v>114</v>
      </c>
      <c r="X529" t="s">
        <v>114</v>
      </c>
      <c r="Y529" t="s">
        <v>114</v>
      </c>
      <c r="Z529" t="s">
        <v>114</v>
      </c>
      <c r="AA529" t="s">
        <v>114</v>
      </c>
    </row>
    <row r="530" spans="1:27" x14ac:dyDescent="0.25">
      <c r="A530" t="s">
        <v>47</v>
      </c>
      <c r="B530" t="s">
        <v>974</v>
      </c>
      <c r="C530">
        <v>2</v>
      </c>
      <c r="D530" t="s">
        <v>31</v>
      </c>
      <c r="E530" t="s">
        <v>94</v>
      </c>
      <c r="F530" t="s">
        <v>112</v>
      </c>
      <c r="G530" t="s">
        <v>112</v>
      </c>
      <c r="H530" t="s">
        <v>112</v>
      </c>
      <c r="J530">
        <v>0</v>
      </c>
      <c r="K530">
        <v>1</v>
      </c>
      <c r="L530">
        <v>65.09375</v>
      </c>
      <c r="M530">
        <v>37.895352600000002</v>
      </c>
      <c r="N530">
        <v>2.2882677779999998</v>
      </c>
      <c r="O530">
        <v>2.2111774</v>
      </c>
      <c r="P530">
        <v>65.09375</v>
      </c>
      <c r="Q530">
        <v>37.895352600000002</v>
      </c>
      <c r="R530">
        <v>2.2882677779999998</v>
      </c>
      <c r="S530">
        <v>2.2111774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</row>
    <row r="531" spans="1:27" x14ac:dyDescent="0.25">
      <c r="A531" t="s">
        <v>47</v>
      </c>
      <c r="B531" t="s">
        <v>974</v>
      </c>
      <c r="C531">
        <v>2</v>
      </c>
      <c r="D531" t="s">
        <v>31</v>
      </c>
      <c r="E531" t="s">
        <v>94</v>
      </c>
      <c r="F531" t="s">
        <v>112</v>
      </c>
      <c r="G531" t="s">
        <v>112</v>
      </c>
      <c r="H531" t="s">
        <v>113</v>
      </c>
      <c r="J531">
        <v>0</v>
      </c>
      <c r="K531">
        <v>1</v>
      </c>
      <c r="L531">
        <v>65.09375</v>
      </c>
      <c r="M531">
        <v>37.895352600000002</v>
      </c>
      <c r="N531">
        <v>2.2882677779999998</v>
      </c>
      <c r="O531">
        <v>2.2111774</v>
      </c>
      <c r="P531">
        <v>83.757575759999995</v>
      </c>
      <c r="Q531">
        <v>22.60997987</v>
      </c>
      <c r="R531">
        <v>0.72884000000000004</v>
      </c>
      <c r="S531">
        <v>0.21301339999999999</v>
      </c>
      <c r="T531">
        <v>-18.663825760000002</v>
      </c>
      <c r="U531">
        <v>18.663825760000002</v>
      </c>
      <c r="V531">
        <v>15.285372730000001</v>
      </c>
      <c r="W531">
        <v>15.285372730000001</v>
      </c>
      <c r="X531">
        <v>1.5594277780000001</v>
      </c>
      <c r="Y531">
        <v>1.5594277780000001</v>
      </c>
      <c r="Z531">
        <v>1.9981640000000001</v>
      </c>
      <c r="AA531">
        <v>1.9981640000000001</v>
      </c>
    </row>
    <row r="532" spans="1:27" x14ac:dyDescent="0.25">
      <c r="A532" t="s">
        <v>48</v>
      </c>
      <c r="B532" t="s">
        <v>975</v>
      </c>
      <c r="C532">
        <v>2</v>
      </c>
      <c r="D532" t="s">
        <v>33</v>
      </c>
      <c r="E532" t="s">
        <v>95</v>
      </c>
      <c r="F532" t="s">
        <v>105</v>
      </c>
      <c r="G532" t="s">
        <v>104</v>
      </c>
      <c r="H532" t="s">
        <v>103</v>
      </c>
      <c r="J532">
        <v>0</v>
      </c>
      <c r="K532">
        <v>1</v>
      </c>
      <c r="L532">
        <v>67.5</v>
      </c>
      <c r="M532">
        <v>47.937235809999997</v>
      </c>
      <c r="N532">
        <v>0.41599678000000001</v>
      </c>
      <c r="O532">
        <v>2.0950346999999998</v>
      </c>
      <c r="P532">
        <v>98.291666669999998</v>
      </c>
      <c r="Q532">
        <v>30.315130790000001</v>
      </c>
      <c r="R532">
        <v>5.0803484000000003E-2</v>
      </c>
      <c r="S532">
        <v>0.42866070000000001</v>
      </c>
      <c r="T532">
        <v>-30.791666670000001</v>
      </c>
      <c r="U532">
        <v>30.791666670000001</v>
      </c>
      <c r="V532">
        <v>17.622105019999999</v>
      </c>
      <c r="W532">
        <v>17.622105019999999</v>
      </c>
      <c r="X532">
        <v>0.365193296</v>
      </c>
      <c r="Y532">
        <v>0.365193296</v>
      </c>
      <c r="Z532">
        <v>1.6663739999999998</v>
      </c>
      <c r="AA532">
        <v>1.6663739999999998</v>
      </c>
    </row>
    <row r="533" spans="1:27" x14ac:dyDescent="0.25">
      <c r="A533" t="s">
        <v>48</v>
      </c>
      <c r="B533" t="s">
        <v>975</v>
      </c>
      <c r="C533">
        <v>2</v>
      </c>
      <c r="D533" t="s">
        <v>33</v>
      </c>
      <c r="E533" t="s">
        <v>95</v>
      </c>
      <c r="F533" t="s">
        <v>105</v>
      </c>
      <c r="G533" t="s">
        <v>104</v>
      </c>
      <c r="H533" t="s">
        <v>104</v>
      </c>
      <c r="J533">
        <v>0</v>
      </c>
      <c r="K533">
        <v>2</v>
      </c>
      <c r="L533">
        <v>67.5</v>
      </c>
      <c r="M533">
        <v>47.937235809999997</v>
      </c>
      <c r="N533">
        <v>0.41599678000000001</v>
      </c>
      <c r="O533">
        <v>2.0950346999999998</v>
      </c>
      <c r="P533">
        <v>113.9375</v>
      </c>
      <c r="Q533">
        <v>33.375507550000002</v>
      </c>
      <c r="R533">
        <v>2.4262999999999999</v>
      </c>
      <c r="S533">
        <v>0.40692159999999999</v>
      </c>
      <c r="T533">
        <v>-46.4375</v>
      </c>
      <c r="U533">
        <v>46.4375</v>
      </c>
      <c r="V533">
        <v>14.561728260000001</v>
      </c>
      <c r="W533">
        <v>14.561728260000001</v>
      </c>
      <c r="X533">
        <v>-2.0103032199999999</v>
      </c>
      <c r="Y533">
        <v>2.0103032199999999</v>
      </c>
      <c r="Z533">
        <v>1.6881130999999998</v>
      </c>
      <c r="AA533">
        <v>1.6881130999999998</v>
      </c>
    </row>
    <row r="534" spans="1:27" x14ac:dyDescent="0.25">
      <c r="A534" t="s">
        <v>48</v>
      </c>
      <c r="B534" t="s">
        <v>975</v>
      </c>
      <c r="C534">
        <v>2</v>
      </c>
      <c r="D534" t="s">
        <v>33</v>
      </c>
      <c r="E534" t="s">
        <v>95</v>
      </c>
      <c r="F534" t="s">
        <v>105</v>
      </c>
      <c r="G534" t="s">
        <v>104</v>
      </c>
      <c r="H534" t="s">
        <v>104</v>
      </c>
      <c r="J534">
        <v>0</v>
      </c>
      <c r="K534">
        <v>2</v>
      </c>
      <c r="L534">
        <v>67.5</v>
      </c>
      <c r="M534">
        <v>47.937235809999997</v>
      </c>
      <c r="N534">
        <v>0.41599678000000001</v>
      </c>
      <c r="O534">
        <v>2.0950346999999998</v>
      </c>
      <c r="P534">
        <v>113.9375</v>
      </c>
      <c r="Q534">
        <v>33.375507550000002</v>
      </c>
      <c r="R534">
        <v>2.4262999999999999</v>
      </c>
      <c r="S534">
        <v>0.40692159999999999</v>
      </c>
      <c r="T534">
        <v>-46.4375</v>
      </c>
      <c r="U534">
        <v>46.4375</v>
      </c>
      <c r="V534">
        <v>14.561728260000001</v>
      </c>
      <c r="W534">
        <v>14.561728260000001</v>
      </c>
      <c r="X534">
        <v>-2.0103032199999999</v>
      </c>
      <c r="Y534">
        <v>2.0103032199999999</v>
      </c>
      <c r="Z534">
        <v>1.6881130999999998</v>
      </c>
      <c r="AA534">
        <v>1.6881130999999998</v>
      </c>
    </row>
    <row r="535" spans="1:27" x14ac:dyDescent="0.25">
      <c r="A535" t="s">
        <v>48</v>
      </c>
      <c r="B535" t="s">
        <v>976</v>
      </c>
      <c r="C535">
        <v>2</v>
      </c>
      <c r="D535" t="s">
        <v>33</v>
      </c>
      <c r="E535" t="s">
        <v>95</v>
      </c>
      <c r="F535" t="s">
        <v>111</v>
      </c>
      <c r="G535" t="s">
        <v>113</v>
      </c>
      <c r="H535" t="s">
        <v>113</v>
      </c>
      <c r="J535">
        <v>0</v>
      </c>
      <c r="K535">
        <v>1</v>
      </c>
      <c r="L535">
        <v>94.97142857</v>
      </c>
      <c r="M535">
        <v>24.31591813</v>
      </c>
      <c r="N535">
        <v>0.122951111</v>
      </c>
      <c r="O535">
        <v>0.39050790000000002</v>
      </c>
      <c r="P535">
        <v>83.757575759999995</v>
      </c>
      <c r="Q535">
        <v>22.60997987</v>
      </c>
      <c r="R535">
        <v>0.72884000000000004</v>
      </c>
      <c r="S535">
        <v>0.21301339999999999</v>
      </c>
      <c r="T535">
        <v>11.213852810000001</v>
      </c>
      <c r="U535">
        <v>11.213852810000001</v>
      </c>
      <c r="V535">
        <v>1.7059382599999999</v>
      </c>
      <c r="W535">
        <v>1.7059382599999999</v>
      </c>
      <c r="X535">
        <v>-0.60588888900000004</v>
      </c>
      <c r="Y535">
        <v>0.60588888900000004</v>
      </c>
      <c r="Z535">
        <v>0.17749450000000003</v>
      </c>
      <c r="AA535">
        <v>0.17749450000000003</v>
      </c>
    </row>
    <row r="536" spans="1:27" x14ac:dyDescent="0.25">
      <c r="A536" t="s">
        <v>48</v>
      </c>
      <c r="B536" t="s">
        <v>976</v>
      </c>
      <c r="C536">
        <v>2</v>
      </c>
      <c r="D536" t="s">
        <v>33</v>
      </c>
      <c r="E536" t="s">
        <v>95</v>
      </c>
      <c r="F536" t="s">
        <v>111</v>
      </c>
      <c r="G536" t="s">
        <v>113</v>
      </c>
      <c r="H536" t="s">
        <v>241</v>
      </c>
      <c r="J536">
        <v>0</v>
      </c>
      <c r="K536">
        <v>1</v>
      </c>
      <c r="L536">
        <v>94.97142857</v>
      </c>
      <c r="M536">
        <v>24.31591813</v>
      </c>
      <c r="N536">
        <v>0.122951111</v>
      </c>
      <c r="O536">
        <v>0.39050790000000002</v>
      </c>
      <c r="P536">
        <v>114</v>
      </c>
      <c r="Q536">
        <v>30.43077242</v>
      </c>
      <c r="R536">
        <v>0.53383111100000002</v>
      </c>
      <c r="S536">
        <v>0.28333332999999999</v>
      </c>
      <c r="T536">
        <v>-19.02857143</v>
      </c>
      <c r="U536">
        <v>19.02857143</v>
      </c>
      <c r="V536">
        <v>-6.1148542900000002</v>
      </c>
      <c r="W536">
        <v>6.1148542900000002</v>
      </c>
      <c r="X536">
        <v>-0.41088000000000002</v>
      </c>
      <c r="Y536">
        <v>0.41088000000000002</v>
      </c>
      <c r="Z536">
        <v>0.10717457000000002</v>
      </c>
      <c r="AA536">
        <v>0.10717457000000002</v>
      </c>
    </row>
    <row r="537" spans="1:27" x14ac:dyDescent="0.25">
      <c r="A537" t="s">
        <v>48</v>
      </c>
      <c r="B537" t="s">
        <v>977</v>
      </c>
      <c r="C537">
        <v>2</v>
      </c>
      <c r="D537" t="s">
        <v>33</v>
      </c>
      <c r="E537" t="s">
        <v>95</v>
      </c>
      <c r="F537" t="s">
        <v>104</v>
      </c>
      <c r="G537" t="s">
        <v>121</v>
      </c>
      <c r="H537" t="s">
        <v>113</v>
      </c>
      <c r="J537">
        <v>0</v>
      </c>
      <c r="K537">
        <v>5</v>
      </c>
      <c r="L537">
        <v>113.9375</v>
      </c>
      <c r="M537">
        <v>33.375507550000002</v>
      </c>
      <c r="N537">
        <v>2.4262999999999999</v>
      </c>
      <c r="O537">
        <v>0.40692159999999999</v>
      </c>
      <c r="P537">
        <v>83.757575759999995</v>
      </c>
      <c r="Q537">
        <v>22.60997987</v>
      </c>
      <c r="R537">
        <v>0.72884000000000004</v>
      </c>
      <c r="S537">
        <v>0.21301339999999999</v>
      </c>
      <c r="T537">
        <v>30.179924239999998</v>
      </c>
      <c r="U537">
        <v>30.179924239999998</v>
      </c>
      <c r="V537">
        <v>10.76552768</v>
      </c>
      <c r="W537">
        <v>10.76552768</v>
      </c>
      <c r="X537">
        <v>1.69746</v>
      </c>
      <c r="Y537">
        <v>1.69746</v>
      </c>
      <c r="Z537">
        <v>0.1939082</v>
      </c>
      <c r="AA537">
        <v>0.1939082</v>
      </c>
    </row>
    <row r="538" spans="1:27" x14ac:dyDescent="0.25">
      <c r="A538" t="s">
        <v>48</v>
      </c>
      <c r="B538" t="s">
        <v>977</v>
      </c>
      <c r="C538">
        <v>2</v>
      </c>
      <c r="D538" t="s">
        <v>33</v>
      </c>
      <c r="E538" t="s">
        <v>95</v>
      </c>
      <c r="F538" t="s">
        <v>104</v>
      </c>
      <c r="G538" t="s">
        <v>121</v>
      </c>
      <c r="H538" t="s">
        <v>113</v>
      </c>
      <c r="J538">
        <v>0</v>
      </c>
      <c r="K538">
        <v>5</v>
      </c>
      <c r="L538">
        <v>113.9375</v>
      </c>
      <c r="M538">
        <v>33.375507550000002</v>
      </c>
      <c r="N538">
        <v>2.4262999999999999</v>
      </c>
      <c r="O538">
        <v>0.40692159999999999</v>
      </c>
      <c r="P538">
        <v>83.757575759999995</v>
      </c>
      <c r="Q538">
        <v>22.60997987</v>
      </c>
      <c r="R538">
        <v>0.72884000000000004</v>
      </c>
      <c r="S538">
        <v>0.21301339999999999</v>
      </c>
      <c r="T538">
        <v>30.179924239999998</v>
      </c>
      <c r="U538">
        <v>30.179924239999998</v>
      </c>
      <c r="V538">
        <v>10.76552768</v>
      </c>
      <c r="W538">
        <v>10.76552768</v>
      </c>
      <c r="X538">
        <v>1.69746</v>
      </c>
      <c r="Y538">
        <v>1.69746</v>
      </c>
      <c r="Z538">
        <v>0.1939082</v>
      </c>
      <c r="AA538">
        <v>0.1939082</v>
      </c>
    </row>
    <row r="539" spans="1:27" x14ac:dyDescent="0.25">
      <c r="A539" t="s">
        <v>48</v>
      </c>
      <c r="B539" t="s">
        <v>977</v>
      </c>
      <c r="C539">
        <v>2</v>
      </c>
      <c r="D539" t="s">
        <v>33</v>
      </c>
      <c r="E539" t="s">
        <v>95</v>
      </c>
      <c r="F539" t="s">
        <v>104</v>
      </c>
      <c r="G539" t="s">
        <v>121</v>
      </c>
      <c r="H539" t="s">
        <v>113</v>
      </c>
      <c r="J539">
        <v>0</v>
      </c>
      <c r="K539">
        <v>5</v>
      </c>
      <c r="L539">
        <v>113.9375</v>
      </c>
      <c r="M539">
        <v>33.375507550000002</v>
      </c>
      <c r="N539">
        <v>2.4262999999999999</v>
      </c>
      <c r="O539">
        <v>0.40692159999999999</v>
      </c>
      <c r="P539">
        <v>83.757575759999995</v>
      </c>
      <c r="Q539">
        <v>22.60997987</v>
      </c>
      <c r="R539">
        <v>0.72884000000000004</v>
      </c>
      <c r="S539">
        <v>0.21301339999999999</v>
      </c>
      <c r="T539">
        <v>30.179924239999998</v>
      </c>
      <c r="U539">
        <v>30.179924239999998</v>
      </c>
      <c r="V539">
        <v>10.76552768</v>
      </c>
      <c r="W539">
        <v>10.76552768</v>
      </c>
      <c r="X539">
        <v>1.69746</v>
      </c>
      <c r="Y539">
        <v>1.69746</v>
      </c>
      <c r="Z539">
        <v>0.1939082</v>
      </c>
      <c r="AA539">
        <v>0.1939082</v>
      </c>
    </row>
    <row r="540" spans="1:27" x14ac:dyDescent="0.25">
      <c r="A540" t="s">
        <v>48</v>
      </c>
      <c r="B540" t="s">
        <v>977</v>
      </c>
      <c r="C540">
        <v>2</v>
      </c>
      <c r="D540" t="s">
        <v>33</v>
      </c>
      <c r="E540" t="s">
        <v>95</v>
      </c>
      <c r="F540" t="s">
        <v>104</v>
      </c>
      <c r="G540" t="s">
        <v>121</v>
      </c>
      <c r="H540" t="s">
        <v>113</v>
      </c>
      <c r="J540">
        <v>0</v>
      </c>
      <c r="K540">
        <v>5</v>
      </c>
      <c r="L540">
        <v>113.9375</v>
      </c>
      <c r="M540">
        <v>33.375507550000002</v>
      </c>
      <c r="N540">
        <v>2.4262999999999999</v>
      </c>
      <c r="O540">
        <v>0.40692159999999999</v>
      </c>
      <c r="P540">
        <v>83.757575759999995</v>
      </c>
      <c r="Q540">
        <v>22.60997987</v>
      </c>
      <c r="R540">
        <v>0.72884000000000004</v>
      </c>
      <c r="S540">
        <v>0.21301339999999999</v>
      </c>
      <c r="T540">
        <v>30.179924239999998</v>
      </c>
      <c r="U540">
        <v>30.179924239999998</v>
      </c>
      <c r="V540">
        <v>10.76552768</v>
      </c>
      <c r="W540">
        <v>10.76552768</v>
      </c>
      <c r="X540">
        <v>1.69746</v>
      </c>
      <c r="Y540">
        <v>1.69746</v>
      </c>
      <c r="Z540">
        <v>0.1939082</v>
      </c>
      <c r="AA540">
        <v>0.1939082</v>
      </c>
    </row>
    <row r="541" spans="1:27" x14ac:dyDescent="0.25">
      <c r="A541" t="s">
        <v>48</v>
      </c>
      <c r="B541" t="s">
        <v>977</v>
      </c>
      <c r="C541">
        <v>2</v>
      </c>
      <c r="D541" t="s">
        <v>33</v>
      </c>
      <c r="E541" t="s">
        <v>95</v>
      </c>
      <c r="F541" t="s">
        <v>104</v>
      </c>
      <c r="G541" t="s">
        <v>121</v>
      </c>
      <c r="H541" t="s">
        <v>113</v>
      </c>
      <c r="J541">
        <v>0</v>
      </c>
      <c r="K541">
        <v>5</v>
      </c>
      <c r="L541">
        <v>113.9375</v>
      </c>
      <c r="M541">
        <v>33.375507550000002</v>
      </c>
      <c r="N541">
        <v>2.4262999999999999</v>
      </c>
      <c r="O541">
        <v>0.40692159999999999</v>
      </c>
      <c r="P541">
        <v>83.757575759999995</v>
      </c>
      <c r="Q541">
        <v>22.60997987</v>
      </c>
      <c r="R541">
        <v>0.72884000000000004</v>
      </c>
      <c r="S541">
        <v>0.21301339999999999</v>
      </c>
      <c r="T541">
        <v>30.179924239999998</v>
      </c>
      <c r="U541">
        <v>30.179924239999998</v>
      </c>
      <c r="V541">
        <v>10.76552768</v>
      </c>
      <c r="W541">
        <v>10.76552768</v>
      </c>
      <c r="X541">
        <v>1.69746</v>
      </c>
      <c r="Y541">
        <v>1.69746</v>
      </c>
      <c r="Z541">
        <v>0.1939082</v>
      </c>
      <c r="AA541">
        <v>0.1939082</v>
      </c>
    </row>
    <row r="542" spans="1:27" x14ac:dyDescent="0.25">
      <c r="A542" t="s">
        <v>48</v>
      </c>
      <c r="B542" t="s">
        <v>977</v>
      </c>
      <c r="C542">
        <v>2</v>
      </c>
      <c r="D542" t="s">
        <v>33</v>
      </c>
      <c r="E542" t="s">
        <v>95</v>
      </c>
      <c r="F542" t="s">
        <v>104</v>
      </c>
      <c r="G542" t="s">
        <v>121</v>
      </c>
      <c r="H542" t="s">
        <v>104</v>
      </c>
      <c r="J542">
        <v>0</v>
      </c>
      <c r="K542">
        <v>2</v>
      </c>
      <c r="L542">
        <v>113.9375</v>
      </c>
      <c r="M542">
        <v>33.375507550000002</v>
      </c>
      <c r="N542">
        <v>2.4262999999999999</v>
      </c>
      <c r="O542">
        <v>0.40692159999999999</v>
      </c>
      <c r="P542">
        <v>113.9375</v>
      </c>
      <c r="Q542">
        <v>33.375507550000002</v>
      </c>
      <c r="R542">
        <v>2.4262999999999999</v>
      </c>
      <c r="S542">
        <v>0.40692159999999999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</row>
    <row r="543" spans="1:27" x14ac:dyDescent="0.25">
      <c r="A543" t="s">
        <v>48</v>
      </c>
      <c r="B543" t="s">
        <v>977</v>
      </c>
      <c r="C543">
        <v>2</v>
      </c>
      <c r="D543" t="s">
        <v>33</v>
      </c>
      <c r="E543" t="s">
        <v>95</v>
      </c>
      <c r="F543" t="s">
        <v>104</v>
      </c>
      <c r="G543" t="s">
        <v>121</v>
      </c>
      <c r="H543" t="s">
        <v>104</v>
      </c>
      <c r="J543">
        <v>0</v>
      </c>
      <c r="K543">
        <v>2</v>
      </c>
      <c r="L543">
        <v>113.9375</v>
      </c>
      <c r="M543">
        <v>33.375507550000002</v>
      </c>
      <c r="N543">
        <v>2.4262999999999999</v>
      </c>
      <c r="O543">
        <v>0.40692159999999999</v>
      </c>
      <c r="P543">
        <v>113.9375</v>
      </c>
      <c r="Q543">
        <v>33.375507550000002</v>
      </c>
      <c r="R543">
        <v>2.4262999999999999</v>
      </c>
      <c r="S543">
        <v>0.40692159999999999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</row>
    <row r="544" spans="1:27" x14ac:dyDescent="0.25">
      <c r="A544" t="s">
        <v>48</v>
      </c>
      <c r="B544" t="s">
        <v>977</v>
      </c>
      <c r="C544">
        <v>2</v>
      </c>
      <c r="D544" t="s">
        <v>33</v>
      </c>
      <c r="E544" t="s">
        <v>95</v>
      </c>
      <c r="F544" t="s">
        <v>104</v>
      </c>
      <c r="G544" t="s">
        <v>121</v>
      </c>
      <c r="H544" t="s">
        <v>103</v>
      </c>
      <c r="J544">
        <v>0</v>
      </c>
      <c r="K544">
        <v>1</v>
      </c>
      <c r="L544">
        <v>113.9375</v>
      </c>
      <c r="M544">
        <v>33.375507550000002</v>
      </c>
      <c r="N544">
        <v>2.4262999999999999</v>
      </c>
      <c r="O544">
        <v>0.40692159999999999</v>
      </c>
      <c r="P544">
        <v>98.291666669999998</v>
      </c>
      <c r="Q544">
        <v>30.315130790000001</v>
      </c>
      <c r="R544">
        <v>5.0803484000000003E-2</v>
      </c>
      <c r="S544">
        <v>0.42866070000000001</v>
      </c>
      <c r="T544">
        <v>15.64583333</v>
      </c>
      <c r="U544">
        <v>15.64583333</v>
      </c>
      <c r="V544">
        <v>3.06037676</v>
      </c>
      <c r="W544">
        <v>3.06037676</v>
      </c>
      <c r="X544">
        <v>2.3754965160000001</v>
      </c>
      <c r="Y544">
        <v>2.3754965160000001</v>
      </c>
      <c r="Z544">
        <v>-2.1739100000000011E-2</v>
      </c>
      <c r="AA544">
        <v>2.1739100000000011E-2</v>
      </c>
    </row>
    <row r="545" spans="1:27" x14ac:dyDescent="0.25">
      <c r="A545" t="s">
        <v>49</v>
      </c>
      <c r="B545" t="s">
        <v>978</v>
      </c>
      <c r="C545">
        <v>2</v>
      </c>
      <c r="D545" t="s">
        <v>35</v>
      </c>
      <c r="E545" t="s">
        <v>94</v>
      </c>
      <c r="F545" t="s">
        <v>102</v>
      </c>
      <c r="G545" t="s">
        <v>112</v>
      </c>
      <c r="H545" t="s">
        <v>112</v>
      </c>
      <c r="J545">
        <v>0</v>
      </c>
      <c r="K545">
        <v>1</v>
      </c>
      <c r="L545">
        <v>84.740740740000007</v>
      </c>
      <c r="M545">
        <v>29.167014049999999</v>
      </c>
      <c r="N545">
        <v>1.1169849999999999</v>
      </c>
      <c r="O545">
        <v>1.1571499000000001</v>
      </c>
      <c r="P545">
        <v>65.09375</v>
      </c>
      <c r="Q545">
        <v>37.895352600000002</v>
      </c>
      <c r="R545">
        <v>2.2882677779999998</v>
      </c>
      <c r="S545">
        <v>2.2111774</v>
      </c>
      <c r="T545">
        <v>19.64699074</v>
      </c>
      <c r="U545">
        <v>19.64699074</v>
      </c>
      <c r="V545">
        <v>-8.7283385500000001</v>
      </c>
      <c r="W545">
        <v>8.7283385500000001</v>
      </c>
      <c r="X545">
        <v>-1.1712827779999999</v>
      </c>
      <c r="Y545">
        <v>1.1712827779999999</v>
      </c>
      <c r="Z545">
        <v>-1.0540274999999999</v>
      </c>
      <c r="AA545">
        <v>1.0540274999999999</v>
      </c>
    </row>
    <row r="546" spans="1:27" x14ac:dyDescent="0.25">
      <c r="A546" t="s">
        <v>49</v>
      </c>
      <c r="B546" t="s">
        <v>978</v>
      </c>
      <c r="C546">
        <v>2</v>
      </c>
      <c r="D546" t="s">
        <v>35</v>
      </c>
      <c r="E546" t="s">
        <v>94</v>
      </c>
      <c r="F546" t="s">
        <v>102</v>
      </c>
      <c r="G546" t="s">
        <v>112</v>
      </c>
      <c r="H546" t="s">
        <v>104</v>
      </c>
      <c r="J546">
        <v>0</v>
      </c>
      <c r="K546">
        <v>5</v>
      </c>
      <c r="L546">
        <v>84.740740740000007</v>
      </c>
      <c r="M546">
        <v>29.167014049999999</v>
      </c>
      <c r="N546">
        <v>1.1169849999999999</v>
      </c>
      <c r="O546">
        <v>1.1571499000000001</v>
      </c>
      <c r="P546">
        <v>113.9375</v>
      </c>
      <c r="Q546">
        <v>33.375507550000002</v>
      </c>
      <c r="R546">
        <v>2.4262999999999999</v>
      </c>
      <c r="S546">
        <v>0.40692159999999999</v>
      </c>
      <c r="T546">
        <v>-29.19675926</v>
      </c>
      <c r="U546">
        <v>29.19675926</v>
      </c>
      <c r="V546">
        <v>-4.2084935000000003</v>
      </c>
      <c r="W546">
        <v>4.2084935000000003</v>
      </c>
      <c r="X546">
        <v>-1.309315</v>
      </c>
      <c r="Y546">
        <v>1.309315</v>
      </c>
      <c r="Z546">
        <v>0.75022830000000007</v>
      </c>
      <c r="AA546">
        <v>0.75022830000000007</v>
      </c>
    </row>
    <row r="547" spans="1:27" x14ac:dyDescent="0.25">
      <c r="A547" t="s">
        <v>49</v>
      </c>
      <c r="B547" t="s">
        <v>978</v>
      </c>
      <c r="C547">
        <v>2</v>
      </c>
      <c r="D547" t="s">
        <v>35</v>
      </c>
      <c r="E547" t="s">
        <v>94</v>
      </c>
      <c r="F547" t="s">
        <v>102</v>
      </c>
      <c r="G547" t="s">
        <v>112</v>
      </c>
      <c r="H547" t="s">
        <v>104</v>
      </c>
      <c r="J547">
        <v>0</v>
      </c>
      <c r="K547">
        <v>5</v>
      </c>
      <c r="L547">
        <v>84.740740740000007</v>
      </c>
      <c r="M547">
        <v>29.167014049999999</v>
      </c>
      <c r="N547">
        <v>1.1169849999999999</v>
      </c>
      <c r="O547">
        <v>1.1571499000000001</v>
      </c>
      <c r="P547">
        <v>113.9375</v>
      </c>
      <c r="Q547">
        <v>33.375507550000002</v>
      </c>
      <c r="R547">
        <v>2.4262999999999999</v>
      </c>
      <c r="S547">
        <v>0.40692159999999999</v>
      </c>
      <c r="T547">
        <v>-29.19675926</v>
      </c>
      <c r="U547">
        <v>29.19675926</v>
      </c>
      <c r="V547">
        <v>-4.2084935000000003</v>
      </c>
      <c r="W547">
        <v>4.2084935000000003</v>
      </c>
      <c r="X547">
        <v>-1.309315</v>
      </c>
      <c r="Y547">
        <v>1.309315</v>
      </c>
      <c r="Z547">
        <v>0.75022830000000007</v>
      </c>
      <c r="AA547">
        <v>0.75022830000000007</v>
      </c>
    </row>
    <row r="548" spans="1:27" x14ac:dyDescent="0.25">
      <c r="A548" t="s">
        <v>49</v>
      </c>
      <c r="B548" t="s">
        <v>978</v>
      </c>
      <c r="C548">
        <v>2</v>
      </c>
      <c r="D548" t="s">
        <v>35</v>
      </c>
      <c r="E548" t="s">
        <v>94</v>
      </c>
      <c r="F548" t="s">
        <v>102</v>
      </c>
      <c r="G548" t="s">
        <v>112</v>
      </c>
      <c r="H548" t="s">
        <v>104</v>
      </c>
      <c r="J548">
        <v>0</v>
      </c>
      <c r="K548">
        <v>5</v>
      </c>
      <c r="L548">
        <v>84.740740740000007</v>
      </c>
      <c r="M548">
        <v>29.167014049999999</v>
      </c>
      <c r="N548">
        <v>1.1169849999999999</v>
      </c>
      <c r="O548">
        <v>1.1571499000000001</v>
      </c>
      <c r="P548">
        <v>113.9375</v>
      </c>
      <c r="Q548">
        <v>33.375507550000002</v>
      </c>
      <c r="R548">
        <v>2.4262999999999999</v>
      </c>
      <c r="S548">
        <v>0.40692159999999999</v>
      </c>
      <c r="T548">
        <v>-29.19675926</v>
      </c>
      <c r="U548">
        <v>29.19675926</v>
      </c>
      <c r="V548">
        <v>-4.2084935000000003</v>
      </c>
      <c r="W548">
        <v>4.2084935000000003</v>
      </c>
      <c r="X548">
        <v>-1.309315</v>
      </c>
      <c r="Y548">
        <v>1.309315</v>
      </c>
      <c r="Z548">
        <v>0.75022830000000007</v>
      </c>
      <c r="AA548">
        <v>0.75022830000000007</v>
      </c>
    </row>
    <row r="549" spans="1:27" x14ac:dyDescent="0.25">
      <c r="A549" t="s">
        <v>49</v>
      </c>
      <c r="B549" t="s">
        <v>978</v>
      </c>
      <c r="C549">
        <v>2</v>
      </c>
      <c r="D549" t="s">
        <v>35</v>
      </c>
      <c r="E549" t="s">
        <v>94</v>
      </c>
      <c r="F549" t="s">
        <v>102</v>
      </c>
      <c r="G549" t="s">
        <v>112</v>
      </c>
      <c r="H549" t="s">
        <v>104</v>
      </c>
      <c r="J549">
        <v>0</v>
      </c>
      <c r="K549">
        <v>5</v>
      </c>
      <c r="L549">
        <v>84.740740740000007</v>
      </c>
      <c r="M549">
        <v>29.167014049999999</v>
      </c>
      <c r="N549">
        <v>1.1169849999999999</v>
      </c>
      <c r="O549">
        <v>1.1571499000000001</v>
      </c>
      <c r="P549">
        <v>113.9375</v>
      </c>
      <c r="Q549">
        <v>33.375507550000002</v>
      </c>
      <c r="R549">
        <v>2.4262999999999999</v>
      </c>
      <c r="S549">
        <v>0.40692159999999999</v>
      </c>
      <c r="T549">
        <v>-29.19675926</v>
      </c>
      <c r="U549">
        <v>29.19675926</v>
      </c>
      <c r="V549">
        <v>-4.2084935000000003</v>
      </c>
      <c r="W549">
        <v>4.2084935000000003</v>
      </c>
      <c r="X549">
        <v>-1.309315</v>
      </c>
      <c r="Y549">
        <v>1.309315</v>
      </c>
      <c r="Z549">
        <v>0.75022830000000007</v>
      </c>
      <c r="AA549">
        <v>0.75022830000000007</v>
      </c>
    </row>
    <row r="550" spans="1:27" x14ac:dyDescent="0.25">
      <c r="A550" t="s">
        <v>49</v>
      </c>
      <c r="B550" t="s">
        <v>978</v>
      </c>
      <c r="C550">
        <v>2</v>
      </c>
      <c r="D550" t="s">
        <v>35</v>
      </c>
      <c r="E550" t="s">
        <v>94</v>
      </c>
      <c r="F550" t="s">
        <v>102</v>
      </c>
      <c r="G550" t="s">
        <v>112</v>
      </c>
      <c r="H550" t="s">
        <v>104</v>
      </c>
      <c r="J550">
        <v>0</v>
      </c>
      <c r="K550">
        <v>5</v>
      </c>
      <c r="L550">
        <v>84.740740740000007</v>
      </c>
      <c r="M550">
        <v>29.167014049999999</v>
      </c>
      <c r="N550">
        <v>1.1169849999999999</v>
      </c>
      <c r="O550">
        <v>1.1571499000000001</v>
      </c>
      <c r="P550">
        <v>113.9375</v>
      </c>
      <c r="Q550">
        <v>33.375507550000002</v>
      </c>
      <c r="R550">
        <v>2.4262999999999999</v>
      </c>
      <c r="S550">
        <v>0.40692159999999999</v>
      </c>
      <c r="T550">
        <v>-29.19675926</v>
      </c>
      <c r="U550">
        <v>29.19675926</v>
      </c>
      <c r="V550">
        <v>-4.2084935000000003</v>
      </c>
      <c r="W550">
        <v>4.2084935000000003</v>
      </c>
      <c r="X550">
        <v>-1.309315</v>
      </c>
      <c r="Y550">
        <v>1.309315</v>
      </c>
      <c r="Z550">
        <v>0.75022830000000007</v>
      </c>
      <c r="AA550">
        <v>0.75022830000000007</v>
      </c>
    </row>
    <row r="551" spans="1:27" x14ac:dyDescent="0.25">
      <c r="A551" t="s">
        <v>49</v>
      </c>
      <c r="B551" t="s">
        <v>979</v>
      </c>
      <c r="C551">
        <v>2</v>
      </c>
      <c r="D551" t="s">
        <v>35</v>
      </c>
      <c r="E551" t="s">
        <v>94</v>
      </c>
      <c r="F551" t="s">
        <v>112</v>
      </c>
      <c r="G551" t="s">
        <v>112</v>
      </c>
      <c r="H551" t="s">
        <v>112</v>
      </c>
      <c r="J551">
        <v>0</v>
      </c>
      <c r="K551">
        <v>1</v>
      </c>
      <c r="L551">
        <v>65.09375</v>
      </c>
      <c r="M551">
        <v>37.895352600000002</v>
      </c>
      <c r="N551">
        <v>2.2882677779999998</v>
      </c>
      <c r="O551">
        <v>2.2111774</v>
      </c>
      <c r="P551">
        <v>65.09375</v>
      </c>
      <c r="Q551">
        <v>37.895352600000002</v>
      </c>
      <c r="R551">
        <v>2.2882677779999998</v>
      </c>
      <c r="S551">
        <v>2.2111774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</row>
    <row r="552" spans="1:27" x14ac:dyDescent="0.25">
      <c r="A552" t="s">
        <v>49</v>
      </c>
      <c r="B552" t="s">
        <v>979</v>
      </c>
      <c r="C552">
        <v>2</v>
      </c>
      <c r="D552" t="s">
        <v>35</v>
      </c>
      <c r="E552" t="s">
        <v>94</v>
      </c>
      <c r="F552" t="s">
        <v>112</v>
      </c>
      <c r="G552" t="s">
        <v>112</v>
      </c>
      <c r="H552" t="s">
        <v>103</v>
      </c>
      <c r="J552">
        <v>0</v>
      </c>
      <c r="K552">
        <v>1</v>
      </c>
      <c r="L552">
        <v>65.09375</v>
      </c>
      <c r="M552">
        <v>37.895352600000002</v>
      </c>
      <c r="N552">
        <v>2.2882677779999998</v>
      </c>
      <c r="O552">
        <v>2.2111774</v>
      </c>
      <c r="P552">
        <v>98.291666669999998</v>
      </c>
      <c r="Q552">
        <v>30.315130790000001</v>
      </c>
      <c r="R552">
        <v>5.0803484000000003E-2</v>
      </c>
      <c r="S552">
        <v>0.42866070000000001</v>
      </c>
      <c r="T552">
        <v>-33.197916669999998</v>
      </c>
      <c r="U552">
        <v>33.197916669999998</v>
      </c>
      <c r="V552">
        <v>7.5802218100000003</v>
      </c>
      <c r="W552">
        <v>7.5802218100000003</v>
      </c>
      <c r="X552">
        <v>2.237464294</v>
      </c>
      <c r="Y552">
        <v>2.237464294</v>
      </c>
      <c r="Z552">
        <v>1.7825167</v>
      </c>
      <c r="AA552">
        <v>1.7825167</v>
      </c>
    </row>
    <row r="553" spans="1:27" x14ac:dyDescent="0.25">
      <c r="A553" t="s">
        <v>79</v>
      </c>
      <c r="B553" t="s">
        <v>980</v>
      </c>
      <c r="C553">
        <v>6</v>
      </c>
      <c r="D553" t="s">
        <v>11</v>
      </c>
      <c r="E553" t="s">
        <v>95</v>
      </c>
      <c r="F553" t="s">
        <v>113</v>
      </c>
      <c r="G553" t="s">
        <v>113</v>
      </c>
      <c r="H553" t="s">
        <v>113</v>
      </c>
      <c r="J553">
        <v>0</v>
      </c>
      <c r="K553">
        <v>4</v>
      </c>
      <c r="L553">
        <v>83.757575759999995</v>
      </c>
      <c r="M553">
        <v>22.60997987</v>
      </c>
      <c r="N553">
        <v>0.72884000000000004</v>
      </c>
      <c r="O553">
        <v>0.21301339999999999</v>
      </c>
      <c r="P553">
        <v>83.757575759999995</v>
      </c>
      <c r="Q553">
        <v>22.60997987</v>
      </c>
      <c r="R553">
        <v>0.72884000000000004</v>
      </c>
      <c r="S553">
        <v>0.21301339999999999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</row>
    <row r="554" spans="1:27" x14ac:dyDescent="0.25">
      <c r="A554" t="s">
        <v>79</v>
      </c>
      <c r="B554" t="s">
        <v>980</v>
      </c>
      <c r="C554">
        <v>6</v>
      </c>
      <c r="D554" t="s">
        <v>11</v>
      </c>
      <c r="E554" t="s">
        <v>95</v>
      </c>
      <c r="F554" t="s">
        <v>113</v>
      </c>
      <c r="G554" t="s">
        <v>113</v>
      </c>
      <c r="H554" t="s">
        <v>113</v>
      </c>
      <c r="J554">
        <v>0</v>
      </c>
      <c r="K554">
        <v>4</v>
      </c>
      <c r="L554">
        <v>83.757575759999995</v>
      </c>
      <c r="M554">
        <v>22.60997987</v>
      </c>
      <c r="N554">
        <v>0.72884000000000004</v>
      </c>
      <c r="O554">
        <v>0.21301339999999999</v>
      </c>
      <c r="P554">
        <v>83.757575759999995</v>
      </c>
      <c r="Q554">
        <v>22.60997987</v>
      </c>
      <c r="R554">
        <v>0.72884000000000004</v>
      </c>
      <c r="S554">
        <v>0.21301339999999999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</row>
    <row r="555" spans="1:27" x14ac:dyDescent="0.25">
      <c r="A555" t="s">
        <v>79</v>
      </c>
      <c r="B555" t="s">
        <v>980</v>
      </c>
      <c r="C555">
        <v>6</v>
      </c>
      <c r="D555" t="s">
        <v>11</v>
      </c>
      <c r="E555" t="s">
        <v>95</v>
      </c>
      <c r="F555" t="s">
        <v>113</v>
      </c>
      <c r="G555" t="s">
        <v>113</v>
      </c>
      <c r="H555" t="s">
        <v>113</v>
      </c>
      <c r="J555">
        <v>0</v>
      </c>
      <c r="K555">
        <v>4</v>
      </c>
      <c r="L555">
        <v>83.757575759999995</v>
      </c>
      <c r="M555">
        <v>22.60997987</v>
      </c>
      <c r="N555">
        <v>0.72884000000000004</v>
      </c>
      <c r="O555">
        <v>0.21301339999999999</v>
      </c>
      <c r="P555">
        <v>83.757575759999995</v>
      </c>
      <c r="Q555">
        <v>22.60997987</v>
      </c>
      <c r="R555">
        <v>0.72884000000000004</v>
      </c>
      <c r="S555">
        <v>0.21301339999999999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</row>
    <row r="556" spans="1:27" x14ac:dyDescent="0.25">
      <c r="A556" t="s">
        <v>79</v>
      </c>
      <c r="B556" t="s">
        <v>980</v>
      </c>
      <c r="C556">
        <v>6</v>
      </c>
      <c r="D556" t="s">
        <v>11</v>
      </c>
      <c r="E556" t="s">
        <v>95</v>
      </c>
      <c r="F556" t="s">
        <v>113</v>
      </c>
      <c r="G556" t="s">
        <v>113</v>
      </c>
      <c r="H556" t="s">
        <v>113</v>
      </c>
      <c r="J556">
        <v>0</v>
      </c>
      <c r="K556">
        <v>4</v>
      </c>
      <c r="L556">
        <v>83.757575759999995</v>
      </c>
      <c r="M556">
        <v>22.60997987</v>
      </c>
      <c r="N556">
        <v>0.72884000000000004</v>
      </c>
      <c r="O556">
        <v>0.21301339999999999</v>
      </c>
      <c r="P556">
        <v>83.757575759999995</v>
      </c>
      <c r="Q556">
        <v>22.60997987</v>
      </c>
      <c r="R556">
        <v>0.72884000000000004</v>
      </c>
      <c r="S556">
        <v>0.21301339999999999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</row>
    <row r="557" spans="1:27" x14ac:dyDescent="0.25">
      <c r="A557" t="s">
        <v>79</v>
      </c>
      <c r="B557" t="s">
        <v>981</v>
      </c>
      <c r="C557">
        <v>6</v>
      </c>
      <c r="D557" t="s">
        <v>11</v>
      </c>
      <c r="E557" t="s">
        <v>95</v>
      </c>
      <c r="F557" t="s">
        <v>103</v>
      </c>
      <c r="G557" t="s">
        <v>113</v>
      </c>
      <c r="H557" t="s">
        <v>113</v>
      </c>
      <c r="J557">
        <v>0</v>
      </c>
      <c r="K557">
        <v>7</v>
      </c>
      <c r="L557">
        <v>98.291666669999998</v>
      </c>
      <c r="M557">
        <v>30.315130790000001</v>
      </c>
      <c r="N557">
        <v>5.0803484000000003E-2</v>
      </c>
      <c r="O557">
        <v>0.42866070000000001</v>
      </c>
      <c r="P557">
        <v>83.757575759999995</v>
      </c>
      <c r="Q557">
        <v>22.60997987</v>
      </c>
      <c r="R557">
        <v>0.72884000000000004</v>
      </c>
      <c r="S557">
        <v>0.21301339999999999</v>
      </c>
      <c r="T557">
        <v>14.53409091</v>
      </c>
      <c r="U557">
        <v>14.53409091</v>
      </c>
      <c r="V557">
        <v>7.7051509200000003</v>
      </c>
      <c r="W557">
        <v>7.7051509200000003</v>
      </c>
      <c r="X557">
        <v>-0.67803651600000003</v>
      </c>
      <c r="Y557">
        <v>0.67803651600000003</v>
      </c>
      <c r="Z557">
        <v>0.21564730000000001</v>
      </c>
      <c r="AA557">
        <v>0.21564730000000001</v>
      </c>
    </row>
    <row r="558" spans="1:27" x14ac:dyDescent="0.25">
      <c r="A558" t="s">
        <v>79</v>
      </c>
      <c r="B558" t="s">
        <v>981</v>
      </c>
      <c r="C558">
        <v>6</v>
      </c>
      <c r="D558" t="s">
        <v>11</v>
      </c>
      <c r="E558" t="s">
        <v>95</v>
      </c>
      <c r="F558" t="s">
        <v>103</v>
      </c>
      <c r="G558" t="s">
        <v>113</v>
      </c>
      <c r="H558" t="s">
        <v>113</v>
      </c>
      <c r="J558">
        <v>0</v>
      </c>
      <c r="K558">
        <v>7</v>
      </c>
      <c r="L558">
        <v>98.291666669999998</v>
      </c>
      <c r="M558">
        <v>30.315130790000001</v>
      </c>
      <c r="N558">
        <v>5.0803484000000003E-2</v>
      </c>
      <c r="O558">
        <v>0.42866070000000001</v>
      </c>
      <c r="P558">
        <v>83.757575759999995</v>
      </c>
      <c r="Q558">
        <v>22.60997987</v>
      </c>
      <c r="R558">
        <v>0.72884000000000004</v>
      </c>
      <c r="S558">
        <v>0.21301339999999999</v>
      </c>
      <c r="T558">
        <v>14.53409091</v>
      </c>
      <c r="U558">
        <v>14.53409091</v>
      </c>
      <c r="V558">
        <v>7.7051509200000003</v>
      </c>
      <c r="W558">
        <v>7.7051509200000003</v>
      </c>
      <c r="X558">
        <v>-0.67803651600000003</v>
      </c>
      <c r="Y558">
        <v>0.67803651600000003</v>
      </c>
      <c r="Z558">
        <v>0.21564730000000001</v>
      </c>
      <c r="AA558">
        <v>0.21564730000000001</v>
      </c>
    </row>
    <row r="559" spans="1:27" x14ac:dyDescent="0.25">
      <c r="A559" t="s">
        <v>79</v>
      </c>
      <c r="B559" t="s">
        <v>981</v>
      </c>
      <c r="C559">
        <v>6</v>
      </c>
      <c r="D559" t="s">
        <v>11</v>
      </c>
      <c r="E559" t="s">
        <v>95</v>
      </c>
      <c r="F559" t="s">
        <v>103</v>
      </c>
      <c r="G559" t="s">
        <v>113</v>
      </c>
      <c r="H559" t="s">
        <v>113</v>
      </c>
      <c r="J559">
        <v>0</v>
      </c>
      <c r="K559">
        <v>7</v>
      </c>
      <c r="L559">
        <v>98.291666669999998</v>
      </c>
      <c r="M559">
        <v>30.315130790000001</v>
      </c>
      <c r="N559">
        <v>5.0803484000000003E-2</v>
      </c>
      <c r="O559">
        <v>0.42866070000000001</v>
      </c>
      <c r="P559">
        <v>83.757575759999995</v>
      </c>
      <c r="Q559">
        <v>22.60997987</v>
      </c>
      <c r="R559">
        <v>0.72884000000000004</v>
      </c>
      <c r="S559">
        <v>0.21301339999999999</v>
      </c>
      <c r="T559">
        <v>14.53409091</v>
      </c>
      <c r="U559">
        <v>14.53409091</v>
      </c>
      <c r="V559">
        <v>7.7051509200000003</v>
      </c>
      <c r="W559">
        <v>7.7051509200000003</v>
      </c>
      <c r="X559">
        <v>-0.67803651600000003</v>
      </c>
      <c r="Y559">
        <v>0.67803651600000003</v>
      </c>
      <c r="Z559">
        <v>0.21564730000000001</v>
      </c>
      <c r="AA559">
        <v>0.21564730000000001</v>
      </c>
    </row>
    <row r="560" spans="1:27" x14ac:dyDescent="0.25">
      <c r="A560" t="s">
        <v>79</v>
      </c>
      <c r="B560" t="s">
        <v>981</v>
      </c>
      <c r="C560">
        <v>6</v>
      </c>
      <c r="D560" t="s">
        <v>11</v>
      </c>
      <c r="E560" t="s">
        <v>95</v>
      </c>
      <c r="F560" t="s">
        <v>103</v>
      </c>
      <c r="G560" t="s">
        <v>113</v>
      </c>
      <c r="H560" t="s">
        <v>113</v>
      </c>
      <c r="J560">
        <v>0</v>
      </c>
      <c r="K560">
        <v>7</v>
      </c>
      <c r="L560">
        <v>98.291666669999998</v>
      </c>
      <c r="M560">
        <v>30.315130790000001</v>
      </c>
      <c r="N560">
        <v>5.0803484000000003E-2</v>
      </c>
      <c r="O560">
        <v>0.42866070000000001</v>
      </c>
      <c r="P560">
        <v>83.757575759999995</v>
      </c>
      <c r="Q560">
        <v>22.60997987</v>
      </c>
      <c r="R560">
        <v>0.72884000000000004</v>
      </c>
      <c r="S560">
        <v>0.21301339999999999</v>
      </c>
      <c r="T560">
        <v>14.53409091</v>
      </c>
      <c r="U560">
        <v>14.53409091</v>
      </c>
      <c r="V560">
        <v>7.7051509200000003</v>
      </c>
      <c r="W560">
        <v>7.7051509200000003</v>
      </c>
      <c r="X560">
        <v>-0.67803651600000003</v>
      </c>
      <c r="Y560">
        <v>0.67803651600000003</v>
      </c>
      <c r="Z560">
        <v>0.21564730000000001</v>
      </c>
      <c r="AA560">
        <v>0.21564730000000001</v>
      </c>
    </row>
    <row r="561" spans="1:27" x14ac:dyDescent="0.25">
      <c r="A561" t="s">
        <v>79</v>
      </c>
      <c r="B561" t="s">
        <v>981</v>
      </c>
      <c r="C561">
        <v>6</v>
      </c>
      <c r="D561" t="s">
        <v>11</v>
      </c>
      <c r="E561" t="s">
        <v>95</v>
      </c>
      <c r="F561" t="s">
        <v>103</v>
      </c>
      <c r="G561" t="s">
        <v>113</v>
      </c>
      <c r="H561" t="s">
        <v>113</v>
      </c>
      <c r="J561">
        <v>0</v>
      </c>
      <c r="K561">
        <v>7</v>
      </c>
      <c r="L561">
        <v>98.291666669999998</v>
      </c>
      <c r="M561">
        <v>30.315130790000001</v>
      </c>
      <c r="N561">
        <v>5.0803484000000003E-2</v>
      </c>
      <c r="O561">
        <v>0.42866070000000001</v>
      </c>
      <c r="P561">
        <v>83.757575759999995</v>
      </c>
      <c r="Q561">
        <v>22.60997987</v>
      </c>
      <c r="R561">
        <v>0.72884000000000004</v>
      </c>
      <c r="S561">
        <v>0.21301339999999999</v>
      </c>
      <c r="T561">
        <v>14.53409091</v>
      </c>
      <c r="U561">
        <v>14.53409091</v>
      </c>
      <c r="V561">
        <v>7.7051509200000003</v>
      </c>
      <c r="W561">
        <v>7.7051509200000003</v>
      </c>
      <c r="X561">
        <v>-0.67803651600000003</v>
      </c>
      <c r="Y561">
        <v>0.67803651600000003</v>
      </c>
      <c r="Z561">
        <v>0.21564730000000001</v>
      </c>
      <c r="AA561">
        <v>0.21564730000000001</v>
      </c>
    </row>
    <row r="562" spans="1:27" x14ac:dyDescent="0.25">
      <c r="A562" t="s">
        <v>79</v>
      </c>
      <c r="B562" t="s">
        <v>981</v>
      </c>
      <c r="C562">
        <v>6</v>
      </c>
      <c r="D562" t="s">
        <v>11</v>
      </c>
      <c r="E562" t="s">
        <v>95</v>
      </c>
      <c r="F562" t="s">
        <v>103</v>
      </c>
      <c r="G562" t="s">
        <v>113</v>
      </c>
      <c r="H562" t="s">
        <v>113</v>
      </c>
      <c r="J562">
        <v>0</v>
      </c>
      <c r="K562">
        <v>7</v>
      </c>
      <c r="L562">
        <v>98.291666669999998</v>
      </c>
      <c r="M562">
        <v>30.315130790000001</v>
      </c>
      <c r="N562">
        <v>5.0803484000000003E-2</v>
      </c>
      <c r="O562">
        <v>0.42866070000000001</v>
      </c>
      <c r="P562">
        <v>83.757575759999995</v>
      </c>
      <c r="Q562">
        <v>22.60997987</v>
      </c>
      <c r="R562">
        <v>0.72884000000000004</v>
      </c>
      <c r="S562">
        <v>0.21301339999999999</v>
      </c>
      <c r="T562">
        <v>14.53409091</v>
      </c>
      <c r="U562">
        <v>14.53409091</v>
      </c>
      <c r="V562">
        <v>7.7051509200000003</v>
      </c>
      <c r="W562">
        <v>7.7051509200000003</v>
      </c>
      <c r="X562">
        <v>-0.67803651600000003</v>
      </c>
      <c r="Y562">
        <v>0.67803651600000003</v>
      </c>
      <c r="Z562">
        <v>0.21564730000000001</v>
      </c>
      <c r="AA562">
        <v>0.21564730000000001</v>
      </c>
    </row>
    <row r="563" spans="1:27" x14ac:dyDescent="0.25">
      <c r="A563" t="s">
        <v>79</v>
      </c>
      <c r="B563" t="s">
        <v>981</v>
      </c>
      <c r="C563">
        <v>6</v>
      </c>
      <c r="D563" t="s">
        <v>11</v>
      </c>
      <c r="E563" t="s">
        <v>95</v>
      </c>
      <c r="F563" t="s">
        <v>103</v>
      </c>
      <c r="G563" t="s">
        <v>113</v>
      </c>
      <c r="H563" t="s">
        <v>113</v>
      </c>
      <c r="J563">
        <v>0</v>
      </c>
      <c r="K563">
        <v>7</v>
      </c>
      <c r="L563">
        <v>98.291666669999998</v>
      </c>
      <c r="M563">
        <v>30.315130790000001</v>
      </c>
      <c r="N563">
        <v>5.0803484000000003E-2</v>
      </c>
      <c r="O563">
        <v>0.42866070000000001</v>
      </c>
      <c r="P563">
        <v>83.757575759999995</v>
      </c>
      <c r="Q563">
        <v>22.60997987</v>
      </c>
      <c r="R563">
        <v>0.72884000000000004</v>
      </c>
      <c r="S563">
        <v>0.21301339999999999</v>
      </c>
      <c r="T563">
        <v>14.53409091</v>
      </c>
      <c r="U563">
        <v>14.53409091</v>
      </c>
      <c r="V563">
        <v>7.7051509200000003</v>
      </c>
      <c r="W563">
        <v>7.7051509200000003</v>
      </c>
      <c r="X563">
        <v>-0.67803651600000003</v>
      </c>
      <c r="Y563">
        <v>0.67803651600000003</v>
      </c>
      <c r="Z563">
        <v>0.21564730000000001</v>
      </c>
      <c r="AA563">
        <v>0.21564730000000001</v>
      </c>
    </row>
    <row r="564" spans="1:27" x14ac:dyDescent="0.25">
      <c r="A564" t="s">
        <v>79</v>
      </c>
      <c r="B564" t="s">
        <v>981</v>
      </c>
      <c r="C564">
        <v>6</v>
      </c>
      <c r="D564" t="s">
        <v>11</v>
      </c>
      <c r="E564" t="s">
        <v>95</v>
      </c>
      <c r="F564" t="s">
        <v>103</v>
      </c>
      <c r="G564" t="s">
        <v>113</v>
      </c>
      <c r="H564" t="s">
        <v>103</v>
      </c>
      <c r="J564">
        <v>0</v>
      </c>
      <c r="K564">
        <v>4</v>
      </c>
      <c r="L564">
        <v>98.291666669999998</v>
      </c>
      <c r="M564">
        <v>30.315130790000001</v>
      </c>
      <c r="N564">
        <v>5.0803484000000003E-2</v>
      </c>
      <c r="O564">
        <v>0.42866070000000001</v>
      </c>
      <c r="P564">
        <v>98.291666669999998</v>
      </c>
      <c r="Q564">
        <v>30.315130790000001</v>
      </c>
      <c r="R564">
        <v>5.0803484000000003E-2</v>
      </c>
      <c r="S564">
        <v>0.42866070000000001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</row>
    <row r="565" spans="1:27" x14ac:dyDescent="0.25">
      <c r="A565" t="s">
        <v>79</v>
      </c>
      <c r="B565" t="s">
        <v>981</v>
      </c>
      <c r="C565">
        <v>6</v>
      </c>
      <c r="D565" t="s">
        <v>11</v>
      </c>
      <c r="E565" t="s">
        <v>95</v>
      </c>
      <c r="F565" t="s">
        <v>103</v>
      </c>
      <c r="G565" t="s">
        <v>113</v>
      </c>
      <c r="H565" t="s">
        <v>103</v>
      </c>
      <c r="J565">
        <v>0</v>
      </c>
      <c r="K565">
        <v>4</v>
      </c>
      <c r="L565">
        <v>98.291666669999998</v>
      </c>
      <c r="M565">
        <v>30.315130790000001</v>
      </c>
      <c r="N565">
        <v>5.0803484000000003E-2</v>
      </c>
      <c r="O565">
        <v>0.42866070000000001</v>
      </c>
      <c r="P565">
        <v>98.291666669999998</v>
      </c>
      <c r="Q565">
        <v>30.315130790000001</v>
      </c>
      <c r="R565">
        <v>5.0803484000000003E-2</v>
      </c>
      <c r="S565">
        <v>0.42866070000000001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</row>
    <row r="566" spans="1:27" x14ac:dyDescent="0.25">
      <c r="A566" t="s">
        <v>79</v>
      </c>
      <c r="B566" t="s">
        <v>981</v>
      </c>
      <c r="C566">
        <v>6</v>
      </c>
      <c r="D566" t="s">
        <v>11</v>
      </c>
      <c r="E566" t="s">
        <v>95</v>
      </c>
      <c r="F566" t="s">
        <v>103</v>
      </c>
      <c r="G566" t="s">
        <v>113</v>
      </c>
      <c r="H566" t="s">
        <v>103</v>
      </c>
      <c r="J566">
        <v>0</v>
      </c>
      <c r="K566">
        <v>4</v>
      </c>
      <c r="L566">
        <v>98.291666669999998</v>
      </c>
      <c r="M566">
        <v>30.315130790000001</v>
      </c>
      <c r="N566">
        <v>5.0803484000000003E-2</v>
      </c>
      <c r="O566">
        <v>0.42866070000000001</v>
      </c>
      <c r="P566">
        <v>98.291666669999998</v>
      </c>
      <c r="Q566">
        <v>30.315130790000001</v>
      </c>
      <c r="R566">
        <v>5.0803484000000003E-2</v>
      </c>
      <c r="S566">
        <v>0.42866070000000001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</row>
    <row r="567" spans="1:27" x14ac:dyDescent="0.25">
      <c r="A567" t="s">
        <v>79</v>
      </c>
      <c r="B567" t="s">
        <v>981</v>
      </c>
      <c r="C567">
        <v>6</v>
      </c>
      <c r="D567" t="s">
        <v>11</v>
      </c>
      <c r="E567" t="s">
        <v>95</v>
      </c>
      <c r="F567" t="s">
        <v>103</v>
      </c>
      <c r="G567" t="s">
        <v>113</v>
      </c>
      <c r="H567" t="s">
        <v>103</v>
      </c>
      <c r="J567">
        <v>0</v>
      </c>
      <c r="K567">
        <v>4</v>
      </c>
      <c r="L567">
        <v>98.291666669999998</v>
      </c>
      <c r="M567">
        <v>30.315130790000001</v>
      </c>
      <c r="N567">
        <v>5.0803484000000003E-2</v>
      </c>
      <c r="O567">
        <v>0.42866070000000001</v>
      </c>
      <c r="P567">
        <v>98.291666669999998</v>
      </c>
      <c r="Q567">
        <v>30.315130790000001</v>
      </c>
      <c r="R567">
        <v>5.0803484000000003E-2</v>
      </c>
      <c r="S567">
        <v>0.42866070000000001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</row>
    <row r="568" spans="1:27" x14ac:dyDescent="0.25">
      <c r="A568" t="s">
        <v>79</v>
      </c>
      <c r="B568" t="s">
        <v>982</v>
      </c>
      <c r="C568">
        <v>6</v>
      </c>
      <c r="D568" t="s">
        <v>11</v>
      </c>
      <c r="E568" t="s">
        <v>95</v>
      </c>
      <c r="F568" t="s">
        <v>111</v>
      </c>
      <c r="G568" t="s">
        <v>113</v>
      </c>
      <c r="H568" t="s">
        <v>234</v>
      </c>
      <c r="J568">
        <v>0</v>
      </c>
      <c r="K568">
        <v>1</v>
      </c>
      <c r="L568">
        <v>94.97142857</v>
      </c>
      <c r="M568">
        <v>24.31591813</v>
      </c>
      <c r="N568">
        <v>0.122951111</v>
      </c>
      <c r="O568">
        <v>0.39050790000000002</v>
      </c>
      <c r="P568">
        <v>89.8125</v>
      </c>
      <c r="Q568">
        <v>34.754706650000003</v>
      </c>
      <c r="R568">
        <v>2.3065078999999999E-2</v>
      </c>
      <c r="S568">
        <v>2.4791666700000001</v>
      </c>
      <c r="T568">
        <v>5.1589285699999996</v>
      </c>
      <c r="U568">
        <v>5.1589285699999996</v>
      </c>
      <c r="V568">
        <v>-10.438788519999999</v>
      </c>
      <c r="W568">
        <v>10.438788519999999</v>
      </c>
      <c r="X568">
        <v>9.9886032E-2</v>
      </c>
      <c r="Y568">
        <v>9.9886032E-2</v>
      </c>
      <c r="Z568">
        <v>-2.0886587700000003</v>
      </c>
      <c r="AA568">
        <v>2.0886587700000003</v>
      </c>
    </row>
    <row r="569" spans="1:27" x14ac:dyDescent="0.25">
      <c r="A569" t="s">
        <v>79</v>
      </c>
      <c r="B569" t="s">
        <v>982</v>
      </c>
      <c r="C569">
        <v>6</v>
      </c>
      <c r="D569" t="s">
        <v>11</v>
      </c>
      <c r="E569" t="s">
        <v>95</v>
      </c>
      <c r="F569" t="s">
        <v>111</v>
      </c>
      <c r="G569" t="s">
        <v>113</v>
      </c>
      <c r="H569" t="s">
        <v>113</v>
      </c>
      <c r="J569">
        <v>0</v>
      </c>
      <c r="K569">
        <v>5</v>
      </c>
      <c r="L569">
        <v>94.97142857</v>
      </c>
      <c r="M569">
        <v>24.31591813</v>
      </c>
      <c r="N569">
        <v>0.122951111</v>
      </c>
      <c r="O569">
        <v>0.39050790000000002</v>
      </c>
      <c r="P569">
        <v>83.757575759999995</v>
      </c>
      <c r="Q569">
        <v>22.60997987</v>
      </c>
      <c r="R569">
        <v>0.72884000000000004</v>
      </c>
      <c r="S569">
        <v>0.21301339999999999</v>
      </c>
      <c r="T569">
        <v>11.213852810000001</v>
      </c>
      <c r="U569">
        <v>11.213852810000001</v>
      </c>
      <c r="V569">
        <v>1.7059382599999999</v>
      </c>
      <c r="W569">
        <v>1.7059382599999999</v>
      </c>
      <c r="X569">
        <v>-0.60588888900000004</v>
      </c>
      <c r="Y569">
        <v>0.60588888900000004</v>
      </c>
      <c r="Z569">
        <v>0.17749450000000003</v>
      </c>
      <c r="AA569">
        <v>0.17749450000000003</v>
      </c>
    </row>
    <row r="570" spans="1:27" x14ac:dyDescent="0.25">
      <c r="A570" t="s">
        <v>79</v>
      </c>
      <c r="B570" t="s">
        <v>982</v>
      </c>
      <c r="C570">
        <v>6</v>
      </c>
      <c r="D570" t="s">
        <v>11</v>
      </c>
      <c r="E570" t="s">
        <v>95</v>
      </c>
      <c r="F570" t="s">
        <v>111</v>
      </c>
      <c r="G570" t="s">
        <v>113</v>
      </c>
      <c r="H570" t="s">
        <v>113</v>
      </c>
      <c r="J570">
        <v>0</v>
      </c>
      <c r="K570">
        <v>5</v>
      </c>
      <c r="L570">
        <v>94.97142857</v>
      </c>
      <c r="M570">
        <v>24.31591813</v>
      </c>
      <c r="N570">
        <v>0.122951111</v>
      </c>
      <c r="O570">
        <v>0.39050790000000002</v>
      </c>
      <c r="P570">
        <v>83.757575759999995</v>
      </c>
      <c r="Q570">
        <v>22.60997987</v>
      </c>
      <c r="R570">
        <v>0.72884000000000004</v>
      </c>
      <c r="S570">
        <v>0.21301339999999999</v>
      </c>
      <c r="T570">
        <v>11.213852810000001</v>
      </c>
      <c r="U570">
        <v>11.213852810000001</v>
      </c>
      <c r="V570">
        <v>1.7059382599999999</v>
      </c>
      <c r="W570">
        <v>1.7059382599999999</v>
      </c>
      <c r="X570">
        <v>-0.60588888900000004</v>
      </c>
      <c r="Y570">
        <v>0.60588888900000004</v>
      </c>
      <c r="Z570">
        <v>0.17749450000000003</v>
      </c>
      <c r="AA570">
        <v>0.17749450000000003</v>
      </c>
    </row>
    <row r="571" spans="1:27" x14ac:dyDescent="0.25">
      <c r="A571" t="s">
        <v>79</v>
      </c>
      <c r="B571" t="s">
        <v>982</v>
      </c>
      <c r="C571">
        <v>6</v>
      </c>
      <c r="D571" t="s">
        <v>11</v>
      </c>
      <c r="E571" t="s">
        <v>95</v>
      </c>
      <c r="F571" t="s">
        <v>111</v>
      </c>
      <c r="G571" t="s">
        <v>113</v>
      </c>
      <c r="H571" t="s">
        <v>113</v>
      </c>
      <c r="J571">
        <v>0</v>
      </c>
      <c r="K571">
        <v>5</v>
      </c>
      <c r="L571">
        <v>94.97142857</v>
      </c>
      <c r="M571">
        <v>24.31591813</v>
      </c>
      <c r="N571">
        <v>0.122951111</v>
      </c>
      <c r="O571">
        <v>0.39050790000000002</v>
      </c>
      <c r="P571">
        <v>83.757575759999995</v>
      </c>
      <c r="Q571">
        <v>22.60997987</v>
      </c>
      <c r="R571">
        <v>0.72884000000000004</v>
      </c>
      <c r="S571">
        <v>0.21301339999999999</v>
      </c>
      <c r="T571">
        <v>11.213852810000001</v>
      </c>
      <c r="U571">
        <v>11.213852810000001</v>
      </c>
      <c r="V571">
        <v>1.7059382599999999</v>
      </c>
      <c r="W571">
        <v>1.7059382599999999</v>
      </c>
      <c r="X571">
        <v>-0.60588888900000004</v>
      </c>
      <c r="Y571">
        <v>0.60588888900000004</v>
      </c>
      <c r="Z571">
        <v>0.17749450000000003</v>
      </c>
      <c r="AA571">
        <v>0.17749450000000003</v>
      </c>
    </row>
    <row r="572" spans="1:27" x14ac:dyDescent="0.25">
      <c r="A572" t="s">
        <v>79</v>
      </c>
      <c r="B572" t="s">
        <v>982</v>
      </c>
      <c r="C572">
        <v>6</v>
      </c>
      <c r="D572" t="s">
        <v>11</v>
      </c>
      <c r="E572" t="s">
        <v>95</v>
      </c>
      <c r="F572" t="s">
        <v>111</v>
      </c>
      <c r="G572" t="s">
        <v>113</v>
      </c>
      <c r="H572" t="s">
        <v>113</v>
      </c>
      <c r="J572">
        <v>0</v>
      </c>
      <c r="K572">
        <v>5</v>
      </c>
      <c r="L572">
        <v>94.97142857</v>
      </c>
      <c r="M572">
        <v>24.31591813</v>
      </c>
      <c r="N572">
        <v>0.122951111</v>
      </c>
      <c r="O572">
        <v>0.39050790000000002</v>
      </c>
      <c r="P572">
        <v>83.757575759999995</v>
      </c>
      <c r="Q572">
        <v>22.60997987</v>
      </c>
      <c r="R572">
        <v>0.72884000000000004</v>
      </c>
      <c r="S572">
        <v>0.21301339999999999</v>
      </c>
      <c r="T572">
        <v>11.213852810000001</v>
      </c>
      <c r="U572">
        <v>11.213852810000001</v>
      </c>
      <c r="V572">
        <v>1.7059382599999999</v>
      </c>
      <c r="W572">
        <v>1.7059382599999999</v>
      </c>
      <c r="X572">
        <v>-0.60588888900000004</v>
      </c>
      <c r="Y572">
        <v>0.60588888900000004</v>
      </c>
      <c r="Z572">
        <v>0.17749450000000003</v>
      </c>
      <c r="AA572">
        <v>0.17749450000000003</v>
      </c>
    </row>
    <row r="573" spans="1:27" x14ac:dyDescent="0.25">
      <c r="A573" t="s">
        <v>79</v>
      </c>
      <c r="B573" t="s">
        <v>982</v>
      </c>
      <c r="C573">
        <v>6</v>
      </c>
      <c r="D573" t="s">
        <v>11</v>
      </c>
      <c r="E573" t="s">
        <v>95</v>
      </c>
      <c r="F573" t="s">
        <v>111</v>
      </c>
      <c r="G573" t="s">
        <v>113</v>
      </c>
      <c r="H573" t="s">
        <v>113</v>
      </c>
      <c r="J573">
        <v>0</v>
      </c>
      <c r="K573">
        <v>5</v>
      </c>
      <c r="L573">
        <v>94.97142857</v>
      </c>
      <c r="M573">
        <v>24.31591813</v>
      </c>
      <c r="N573">
        <v>0.122951111</v>
      </c>
      <c r="O573">
        <v>0.39050790000000002</v>
      </c>
      <c r="P573">
        <v>83.757575759999995</v>
      </c>
      <c r="Q573">
        <v>22.60997987</v>
      </c>
      <c r="R573">
        <v>0.72884000000000004</v>
      </c>
      <c r="S573">
        <v>0.21301339999999999</v>
      </c>
      <c r="T573">
        <v>11.213852810000001</v>
      </c>
      <c r="U573">
        <v>11.213852810000001</v>
      </c>
      <c r="V573">
        <v>1.7059382599999999</v>
      </c>
      <c r="W573">
        <v>1.7059382599999999</v>
      </c>
      <c r="X573">
        <v>-0.60588888900000004</v>
      </c>
      <c r="Y573">
        <v>0.60588888900000004</v>
      </c>
      <c r="Z573">
        <v>0.17749450000000003</v>
      </c>
      <c r="AA573">
        <v>0.17749450000000003</v>
      </c>
    </row>
    <row r="574" spans="1:27" x14ac:dyDescent="0.25">
      <c r="A574" t="s">
        <v>79</v>
      </c>
      <c r="B574" t="s">
        <v>982</v>
      </c>
      <c r="C574">
        <v>6</v>
      </c>
      <c r="D574" t="s">
        <v>11</v>
      </c>
      <c r="E574" t="s">
        <v>95</v>
      </c>
      <c r="F574" t="s">
        <v>111</v>
      </c>
      <c r="G574" t="s">
        <v>113</v>
      </c>
      <c r="H574" t="s">
        <v>103</v>
      </c>
      <c r="J574">
        <v>0</v>
      </c>
      <c r="K574">
        <v>1</v>
      </c>
      <c r="L574">
        <v>94.97142857</v>
      </c>
      <c r="M574">
        <v>24.31591813</v>
      </c>
      <c r="N574">
        <v>0.122951111</v>
      </c>
      <c r="O574">
        <v>0.39050790000000002</v>
      </c>
      <c r="P574">
        <v>98.291666669999998</v>
      </c>
      <c r="Q574">
        <v>30.315130790000001</v>
      </c>
      <c r="R574">
        <v>5.0803484000000003E-2</v>
      </c>
      <c r="S574">
        <v>0.42866070000000001</v>
      </c>
      <c r="T574">
        <v>-3.3202381000000001</v>
      </c>
      <c r="U574">
        <v>3.3202381000000001</v>
      </c>
      <c r="V574">
        <v>-5.9992126600000004</v>
      </c>
      <c r="W574">
        <v>5.9992126600000004</v>
      </c>
      <c r="X574">
        <v>7.2147627000000006E-2</v>
      </c>
      <c r="Y574">
        <v>7.2147627000000006E-2</v>
      </c>
      <c r="Z574">
        <v>-3.8152799999999987E-2</v>
      </c>
      <c r="AA574">
        <v>3.8152799999999987E-2</v>
      </c>
    </row>
    <row r="575" spans="1:27" x14ac:dyDescent="0.25">
      <c r="A575" t="s">
        <v>80</v>
      </c>
      <c r="B575" t="s">
        <v>983</v>
      </c>
      <c r="C575">
        <v>6</v>
      </c>
      <c r="D575" t="s">
        <v>15</v>
      </c>
      <c r="E575" t="s">
        <v>95</v>
      </c>
      <c r="F575" t="s">
        <v>105</v>
      </c>
      <c r="G575" t="s">
        <v>121</v>
      </c>
      <c r="H575" t="s">
        <v>113</v>
      </c>
      <c r="J575">
        <v>0</v>
      </c>
      <c r="K575">
        <v>1</v>
      </c>
      <c r="L575">
        <v>67.5</v>
      </c>
      <c r="M575">
        <v>47.937235809999997</v>
      </c>
      <c r="N575">
        <v>0.41599678000000001</v>
      </c>
      <c r="O575">
        <v>2.0950346999999998</v>
      </c>
      <c r="P575">
        <v>83.757575759999995</v>
      </c>
      <c r="Q575">
        <v>22.60997987</v>
      </c>
      <c r="R575">
        <v>0.72884000000000004</v>
      </c>
      <c r="S575">
        <v>0.21301339999999999</v>
      </c>
      <c r="T575">
        <v>-16.257575760000002</v>
      </c>
      <c r="U575">
        <v>16.257575760000002</v>
      </c>
      <c r="V575">
        <v>25.327255940000001</v>
      </c>
      <c r="W575">
        <v>25.327255940000001</v>
      </c>
      <c r="X575">
        <v>-0.31284321999999998</v>
      </c>
      <c r="Y575">
        <v>0.31284321999999998</v>
      </c>
      <c r="Z575">
        <v>1.8820212999999999</v>
      </c>
      <c r="AA575">
        <v>1.8820212999999999</v>
      </c>
    </row>
    <row r="576" spans="1:27" x14ac:dyDescent="0.25">
      <c r="A576" t="s">
        <v>80</v>
      </c>
      <c r="B576" t="s">
        <v>983</v>
      </c>
      <c r="C576">
        <v>6</v>
      </c>
      <c r="D576" t="s">
        <v>15</v>
      </c>
      <c r="E576" t="s">
        <v>95</v>
      </c>
      <c r="F576" t="s">
        <v>105</v>
      </c>
      <c r="G576" t="s">
        <v>121</v>
      </c>
      <c r="H576" t="s">
        <v>103</v>
      </c>
      <c r="J576">
        <v>0</v>
      </c>
      <c r="K576">
        <v>9</v>
      </c>
      <c r="L576">
        <v>67.5</v>
      </c>
      <c r="M576">
        <v>47.937235809999997</v>
      </c>
      <c r="N576">
        <v>0.41599678000000001</v>
      </c>
      <c r="O576">
        <v>2.0950346999999998</v>
      </c>
      <c r="P576">
        <v>98.291666669999998</v>
      </c>
      <c r="Q576">
        <v>30.315130790000001</v>
      </c>
      <c r="R576">
        <v>5.0803484000000003E-2</v>
      </c>
      <c r="S576">
        <v>0.42866070000000001</v>
      </c>
      <c r="T576">
        <v>-30.791666670000001</v>
      </c>
      <c r="U576">
        <v>30.791666670000001</v>
      </c>
      <c r="V576">
        <v>17.622105019999999</v>
      </c>
      <c r="W576">
        <v>17.622105019999999</v>
      </c>
      <c r="X576">
        <v>0.365193296</v>
      </c>
      <c r="Y576">
        <v>0.365193296</v>
      </c>
      <c r="Z576">
        <v>1.6663739999999998</v>
      </c>
      <c r="AA576">
        <v>1.6663739999999998</v>
      </c>
    </row>
    <row r="577" spans="1:27" x14ac:dyDescent="0.25">
      <c r="A577" t="s">
        <v>80</v>
      </c>
      <c r="B577" t="s">
        <v>983</v>
      </c>
      <c r="C577">
        <v>6</v>
      </c>
      <c r="D577" t="s">
        <v>15</v>
      </c>
      <c r="E577" t="s">
        <v>95</v>
      </c>
      <c r="F577" t="s">
        <v>105</v>
      </c>
      <c r="G577" t="s">
        <v>121</v>
      </c>
      <c r="H577" t="s">
        <v>103</v>
      </c>
      <c r="J577">
        <v>0</v>
      </c>
      <c r="K577">
        <v>9</v>
      </c>
      <c r="L577">
        <v>67.5</v>
      </c>
      <c r="M577">
        <v>47.937235809999997</v>
      </c>
      <c r="N577">
        <v>0.41599678000000001</v>
      </c>
      <c r="O577">
        <v>2.0950346999999998</v>
      </c>
      <c r="P577">
        <v>98.291666669999998</v>
      </c>
      <c r="Q577">
        <v>30.315130790000001</v>
      </c>
      <c r="R577">
        <v>5.0803484000000003E-2</v>
      </c>
      <c r="S577">
        <v>0.42866070000000001</v>
      </c>
      <c r="T577">
        <v>-30.791666670000001</v>
      </c>
      <c r="U577">
        <v>30.791666670000001</v>
      </c>
      <c r="V577">
        <v>17.622105019999999</v>
      </c>
      <c r="W577">
        <v>17.622105019999999</v>
      </c>
      <c r="X577">
        <v>0.365193296</v>
      </c>
      <c r="Y577">
        <v>0.365193296</v>
      </c>
      <c r="Z577">
        <v>1.6663739999999998</v>
      </c>
      <c r="AA577">
        <v>1.6663739999999998</v>
      </c>
    </row>
    <row r="578" spans="1:27" x14ac:dyDescent="0.25">
      <c r="A578" t="s">
        <v>80</v>
      </c>
      <c r="B578" t="s">
        <v>983</v>
      </c>
      <c r="C578">
        <v>6</v>
      </c>
      <c r="D578" t="s">
        <v>15</v>
      </c>
      <c r="E578" t="s">
        <v>95</v>
      </c>
      <c r="F578" t="s">
        <v>105</v>
      </c>
      <c r="G578" t="s">
        <v>121</v>
      </c>
      <c r="H578" t="s">
        <v>103</v>
      </c>
      <c r="J578">
        <v>0</v>
      </c>
      <c r="K578">
        <v>9</v>
      </c>
      <c r="L578">
        <v>67.5</v>
      </c>
      <c r="M578">
        <v>47.937235809999997</v>
      </c>
      <c r="N578">
        <v>0.41599678000000001</v>
      </c>
      <c r="O578">
        <v>2.0950346999999998</v>
      </c>
      <c r="P578">
        <v>98.291666669999998</v>
      </c>
      <c r="Q578">
        <v>30.315130790000001</v>
      </c>
      <c r="R578">
        <v>5.0803484000000003E-2</v>
      </c>
      <c r="S578">
        <v>0.42866070000000001</v>
      </c>
      <c r="T578">
        <v>-30.791666670000001</v>
      </c>
      <c r="U578">
        <v>30.791666670000001</v>
      </c>
      <c r="V578">
        <v>17.622105019999999</v>
      </c>
      <c r="W578">
        <v>17.622105019999999</v>
      </c>
      <c r="X578">
        <v>0.365193296</v>
      </c>
      <c r="Y578">
        <v>0.365193296</v>
      </c>
      <c r="Z578">
        <v>1.6663739999999998</v>
      </c>
      <c r="AA578">
        <v>1.6663739999999998</v>
      </c>
    </row>
    <row r="579" spans="1:27" x14ac:dyDescent="0.25">
      <c r="A579" t="s">
        <v>80</v>
      </c>
      <c r="B579" t="s">
        <v>983</v>
      </c>
      <c r="C579">
        <v>6</v>
      </c>
      <c r="D579" t="s">
        <v>15</v>
      </c>
      <c r="E579" t="s">
        <v>95</v>
      </c>
      <c r="F579" t="s">
        <v>105</v>
      </c>
      <c r="G579" t="s">
        <v>121</v>
      </c>
      <c r="H579" t="s">
        <v>103</v>
      </c>
      <c r="J579">
        <v>0</v>
      </c>
      <c r="K579">
        <v>9</v>
      </c>
      <c r="L579">
        <v>67.5</v>
      </c>
      <c r="M579">
        <v>47.937235809999997</v>
      </c>
      <c r="N579">
        <v>0.41599678000000001</v>
      </c>
      <c r="O579">
        <v>2.0950346999999998</v>
      </c>
      <c r="P579">
        <v>98.291666669999998</v>
      </c>
      <c r="Q579">
        <v>30.315130790000001</v>
      </c>
      <c r="R579">
        <v>5.0803484000000003E-2</v>
      </c>
      <c r="S579">
        <v>0.42866070000000001</v>
      </c>
      <c r="T579">
        <v>-30.791666670000001</v>
      </c>
      <c r="U579">
        <v>30.791666670000001</v>
      </c>
      <c r="V579">
        <v>17.622105019999999</v>
      </c>
      <c r="W579">
        <v>17.622105019999999</v>
      </c>
      <c r="X579">
        <v>0.365193296</v>
      </c>
      <c r="Y579">
        <v>0.365193296</v>
      </c>
      <c r="Z579">
        <v>1.6663739999999998</v>
      </c>
      <c r="AA579">
        <v>1.6663739999999998</v>
      </c>
    </row>
    <row r="580" spans="1:27" x14ac:dyDescent="0.25">
      <c r="A580" t="s">
        <v>80</v>
      </c>
      <c r="B580" t="s">
        <v>983</v>
      </c>
      <c r="C580">
        <v>6</v>
      </c>
      <c r="D580" t="s">
        <v>15</v>
      </c>
      <c r="E580" t="s">
        <v>95</v>
      </c>
      <c r="F580" t="s">
        <v>105</v>
      </c>
      <c r="G580" t="s">
        <v>121</v>
      </c>
      <c r="H580" t="s">
        <v>103</v>
      </c>
      <c r="J580">
        <v>0</v>
      </c>
      <c r="K580">
        <v>9</v>
      </c>
      <c r="L580">
        <v>67.5</v>
      </c>
      <c r="M580">
        <v>47.937235809999997</v>
      </c>
      <c r="N580">
        <v>0.41599678000000001</v>
      </c>
      <c r="O580">
        <v>2.0950346999999998</v>
      </c>
      <c r="P580">
        <v>98.291666669999998</v>
      </c>
      <c r="Q580">
        <v>30.315130790000001</v>
      </c>
      <c r="R580">
        <v>5.0803484000000003E-2</v>
      </c>
      <c r="S580">
        <v>0.42866070000000001</v>
      </c>
      <c r="T580">
        <v>-30.791666670000001</v>
      </c>
      <c r="U580">
        <v>30.791666670000001</v>
      </c>
      <c r="V580">
        <v>17.622105019999999</v>
      </c>
      <c r="W580">
        <v>17.622105019999999</v>
      </c>
      <c r="X580">
        <v>0.365193296</v>
      </c>
      <c r="Y580">
        <v>0.365193296</v>
      </c>
      <c r="Z580">
        <v>1.6663739999999998</v>
      </c>
      <c r="AA580">
        <v>1.6663739999999998</v>
      </c>
    </row>
    <row r="581" spans="1:27" x14ac:dyDescent="0.25">
      <c r="A581" t="s">
        <v>80</v>
      </c>
      <c r="B581" t="s">
        <v>983</v>
      </c>
      <c r="C581">
        <v>6</v>
      </c>
      <c r="D581" t="s">
        <v>15</v>
      </c>
      <c r="E581" t="s">
        <v>95</v>
      </c>
      <c r="F581" t="s">
        <v>105</v>
      </c>
      <c r="G581" t="s">
        <v>121</v>
      </c>
      <c r="H581" t="s">
        <v>103</v>
      </c>
      <c r="J581">
        <v>0</v>
      </c>
      <c r="K581">
        <v>9</v>
      </c>
      <c r="L581">
        <v>67.5</v>
      </c>
      <c r="M581">
        <v>47.937235809999997</v>
      </c>
      <c r="N581">
        <v>0.41599678000000001</v>
      </c>
      <c r="O581">
        <v>2.0950346999999998</v>
      </c>
      <c r="P581">
        <v>98.291666669999998</v>
      </c>
      <c r="Q581">
        <v>30.315130790000001</v>
      </c>
      <c r="R581">
        <v>5.0803484000000003E-2</v>
      </c>
      <c r="S581">
        <v>0.42866070000000001</v>
      </c>
      <c r="T581">
        <v>-30.791666670000001</v>
      </c>
      <c r="U581">
        <v>30.791666670000001</v>
      </c>
      <c r="V581">
        <v>17.622105019999999</v>
      </c>
      <c r="W581">
        <v>17.622105019999999</v>
      </c>
      <c r="X581">
        <v>0.365193296</v>
      </c>
      <c r="Y581">
        <v>0.365193296</v>
      </c>
      <c r="Z581">
        <v>1.6663739999999998</v>
      </c>
      <c r="AA581">
        <v>1.6663739999999998</v>
      </c>
    </row>
    <row r="582" spans="1:27" x14ac:dyDescent="0.25">
      <c r="A582" t="s">
        <v>80</v>
      </c>
      <c r="B582" t="s">
        <v>983</v>
      </c>
      <c r="C582">
        <v>6</v>
      </c>
      <c r="D582" t="s">
        <v>15</v>
      </c>
      <c r="E582" t="s">
        <v>95</v>
      </c>
      <c r="F582" t="s">
        <v>105</v>
      </c>
      <c r="G582" t="s">
        <v>121</v>
      </c>
      <c r="H582" t="s">
        <v>103</v>
      </c>
      <c r="J582">
        <v>0</v>
      </c>
      <c r="K582">
        <v>9</v>
      </c>
      <c r="L582">
        <v>67.5</v>
      </c>
      <c r="M582">
        <v>47.937235809999997</v>
      </c>
      <c r="N582">
        <v>0.41599678000000001</v>
      </c>
      <c r="O582">
        <v>2.0950346999999998</v>
      </c>
      <c r="P582">
        <v>98.291666669999998</v>
      </c>
      <c r="Q582">
        <v>30.315130790000001</v>
      </c>
      <c r="R582">
        <v>5.0803484000000003E-2</v>
      </c>
      <c r="S582">
        <v>0.42866070000000001</v>
      </c>
      <c r="T582">
        <v>-30.791666670000001</v>
      </c>
      <c r="U582">
        <v>30.791666670000001</v>
      </c>
      <c r="V582">
        <v>17.622105019999999</v>
      </c>
      <c r="W582">
        <v>17.622105019999999</v>
      </c>
      <c r="X582">
        <v>0.365193296</v>
      </c>
      <c r="Y582">
        <v>0.365193296</v>
      </c>
      <c r="Z582">
        <v>1.6663739999999998</v>
      </c>
      <c r="AA582">
        <v>1.6663739999999998</v>
      </c>
    </row>
    <row r="583" spans="1:27" x14ac:dyDescent="0.25">
      <c r="A583" t="s">
        <v>80</v>
      </c>
      <c r="B583" t="s">
        <v>983</v>
      </c>
      <c r="C583">
        <v>6</v>
      </c>
      <c r="D583" t="s">
        <v>15</v>
      </c>
      <c r="E583" t="s">
        <v>95</v>
      </c>
      <c r="F583" t="s">
        <v>105</v>
      </c>
      <c r="G583" t="s">
        <v>121</v>
      </c>
      <c r="H583" t="s">
        <v>103</v>
      </c>
      <c r="J583">
        <v>0</v>
      </c>
      <c r="K583">
        <v>9</v>
      </c>
      <c r="L583">
        <v>67.5</v>
      </c>
      <c r="M583">
        <v>47.937235809999997</v>
      </c>
      <c r="N583">
        <v>0.41599678000000001</v>
      </c>
      <c r="O583">
        <v>2.0950346999999998</v>
      </c>
      <c r="P583">
        <v>98.291666669999998</v>
      </c>
      <c r="Q583">
        <v>30.315130790000001</v>
      </c>
      <c r="R583">
        <v>5.0803484000000003E-2</v>
      </c>
      <c r="S583">
        <v>0.42866070000000001</v>
      </c>
      <c r="T583">
        <v>-30.791666670000001</v>
      </c>
      <c r="U583">
        <v>30.791666670000001</v>
      </c>
      <c r="V583">
        <v>17.622105019999999</v>
      </c>
      <c r="W583">
        <v>17.622105019999999</v>
      </c>
      <c r="X583">
        <v>0.365193296</v>
      </c>
      <c r="Y583">
        <v>0.365193296</v>
      </c>
      <c r="Z583">
        <v>1.6663739999999998</v>
      </c>
      <c r="AA583">
        <v>1.6663739999999998</v>
      </c>
    </row>
    <row r="584" spans="1:27" x14ac:dyDescent="0.25">
      <c r="A584" t="s">
        <v>80</v>
      </c>
      <c r="B584" t="s">
        <v>983</v>
      </c>
      <c r="C584">
        <v>6</v>
      </c>
      <c r="D584" t="s">
        <v>15</v>
      </c>
      <c r="E584" t="s">
        <v>95</v>
      </c>
      <c r="F584" t="s">
        <v>105</v>
      </c>
      <c r="G584" t="s">
        <v>121</v>
      </c>
      <c r="H584" t="s">
        <v>103</v>
      </c>
      <c r="J584">
        <v>0</v>
      </c>
      <c r="K584">
        <v>9</v>
      </c>
      <c r="L584">
        <v>67.5</v>
      </c>
      <c r="M584">
        <v>47.937235809999997</v>
      </c>
      <c r="N584">
        <v>0.41599678000000001</v>
      </c>
      <c r="O584">
        <v>2.0950346999999998</v>
      </c>
      <c r="P584">
        <v>98.291666669999998</v>
      </c>
      <c r="Q584">
        <v>30.315130790000001</v>
      </c>
      <c r="R584">
        <v>5.0803484000000003E-2</v>
      </c>
      <c r="S584">
        <v>0.42866070000000001</v>
      </c>
      <c r="T584">
        <v>-30.791666670000001</v>
      </c>
      <c r="U584">
        <v>30.791666670000001</v>
      </c>
      <c r="V584">
        <v>17.622105019999999</v>
      </c>
      <c r="W584">
        <v>17.622105019999999</v>
      </c>
      <c r="X584">
        <v>0.365193296</v>
      </c>
      <c r="Y584">
        <v>0.365193296</v>
      </c>
      <c r="Z584">
        <v>1.6663739999999998</v>
      </c>
      <c r="AA584">
        <v>1.6663739999999998</v>
      </c>
    </row>
    <row r="585" spans="1:27" x14ac:dyDescent="0.25">
      <c r="A585" t="s">
        <v>80</v>
      </c>
      <c r="B585" t="s">
        <v>984</v>
      </c>
      <c r="C585">
        <v>6</v>
      </c>
      <c r="D585" t="s">
        <v>15</v>
      </c>
      <c r="E585" t="s">
        <v>95</v>
      </c>
      <c r="F585" t="s">
        <v>113</v>
      </c>
      <c r="G585" t="s">
        <v>113</v>
      </c>
      <c r="H585" t="s">
        <v>113</v>
      </c>
      <c r="J585">
        <v>0</v>
      </c>
      <c r="K585">
        <v>6</v>
      </c>
      <c r="L585">
        <v>83.757575759999995</v>
      </c>
      <c r="M585">
        <v>22.60997987</v>
      </c>
      <c r="N585">
        <v>0.72884000000000004</v>
      </c>
      <c r="O585">
        <v>0.21301339999999999</v>
      </c>
      <c r="P585">
        <v>83.757575759999995</v>
      </c>
      <c r="Q585">
        <v>22.60997987</v>
      </c>
      <c r="R585">
        <v>0.72884000000000004</v>
      </c>
      <c r="S585">
        <v>0.21301339999999999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</row>
    <row r="586" spans="1:27" x14ac:dyDescent="0.25">
      <c r="A586" t="s">
        <v>80</v>
      </c>
      <c r="B586" t="s">
        <v>984</v>
      </c>
      <c r="C586">
        <v>6</v>
      </c>
      <c r="D586" t="s">
        <v>15</v>
      </c>
      <c r="E586" t="s">
        <v>95</v>
      </c>
      <c r="F586" t="s">
        <v>113</v>
      </c>
      <c r="G586" t="s">
        <v>113</v>
      </c>
      <c r="H586" t="s">
        <v>113</v>
      </c>
      <c r="J586">
        <v>0</v>
      </c>
      <c r="K586">
        <v>6</v>
      </c>
      <c r="L586">
        <v>83.757575759999995</v>
      </c>
      <c r="M586">
        <v>22.60997987</v>
      </c>
      <c r="N586">
        <v>0.72884000000000004</v>
      </c>
      <c r="O586">
        <v>0.21301339999999999</v>
      </c>
      <c r="P586">
        <v>83.757575759999995</v>
      </c>
      <c r="Q586">
        <v>22.60997987</v>
      </c>
      <c r="R586">
        <v>0.72884000000000004</v>
      </c>
      <c r="S586">
        <v>0.21301339999999999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</row>
    <row r="587" spans="1:27" x14ac:dyDescent="0.25">
      <c r="A587" t="s">
        <v>80</v>
      </c>
      <c r="B587" t="s">
        <v>984</v>
      </c>
      <c r="C587">
        <v>6</v>
      </c>
      <c r="D587" t="s">
        <v>15</v>
      </c>
      <c r="E587" t="s">
        <v>95</v>
      </c>
      <c r="F587" t="s">
        <v>113</v>
      </c>
      <c r="G587" t="s">
        <v>113</v>
      </c>
      <c r="H587" t="s">
        <v>113</v>
      </c>
      <c r="J587">
        <v>0</v>
      </c>
      <c r="K587">
        <v>6</v>
      </c>
      <c r="L587">
        <v>83.757575759999995</v>
      </c>
      <c r="M587">
        <v>22.60997987</v>
      </c>
      <c r="N587">
        <v>0.72884000000000004</v>
      </c>
      <c r="O587">
        <v>0.21301339999999999</v>
      </c>
      <c r="P587">
        <v>83.757575759999995</v>
      </c>
      <c r="Q587">
        <v>22.60997987</v>
      </c>
      <c r="R587">
        <v>0.72884000000000004</v>
      </c>
      <c r="S587">
        <v>0.21301339999999999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</row>
    <row r="588" spans="1:27" x14ac:dyDescent="0.25">
      <c r="A588" t="s">
        <v>80</v>
      </c>
      <c r="B588" t="s">
        <v>984</v>
      </c>
      <c r="C588">
        <v>6</v>
      </c>
      <c r="D588" t="s">
        <v>15</v>
      </c>
      <c r="E588" t="s">
        <v>95</v>
      </c>
      <c r="F588" t="s">
        <v>113</v>
      </c>
      <c r="G588" t="s">
        <v>113</v>
      </c>
      <c r="H588" t="s">
        <v>113</v>
      </c>
      <c r="J588">
        <v>0</v>
      </c>
      <c r="K588">
        <v>6</v>
      </c>
      <c r="L588">
        <v>83.757575759999995</v>
      </c>
      <c r="M588">
        <v>22.60997987</v>
      </c>
      <c r="N588">
        <v>0.72884000000000004</v>
      </c>
      <c r="O588">
        <v>0.21301339999999999</v>
      </c>
      <c r="P588">
        <v>83.757575759999995</v>
      </c>
      <c r="Q588">
        <v>22.60997987</v>
      </c>
      <c r="R588">
        <v>0.72884000000000004</v>
      </c>
      <c r="S588">
        <v>0.21301339999999999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</row>
    <row r="589" spans="1:27" x14ac:dyDescent="0.25">
      <c r="A589" t="s">
        <v>80</v>
      </c>
      <c r="B589" t="s">
        <v>984</v>
      </c>
      <c r="C589">
        <v>6</v>
      </c>
      <c r="D589" t="s">
        <v>15</v>
      </c>
      <c r="E589" t="s">
        <v>95</v>
      </c>
      <c r="F589" t="s">
        <v>113</v>
      </c>
      <c r="G589" t="s">
        <v>113</v>
      </c>
      <c r="H589" t="s">
        <v>113</v>
      </c>
      <c r="J589">
        <v>0</v>
      </c>
      <c r="K589">
        <v>6</v>
      </c>
      <c r="L589">
        <v>83.757575759999995</v>
      </c>
      <c r="M589">
        <v>22.60997987</v>
      </c>
      <c r="N589">
        <v>0.72884000000000004</v>
      </c>
      <c r="O589">
        <v>0.21301339999999999</v>
      </c>
      <c r="P589">
        <v>83.757575759999995</v>
      </c>
      <c r="Q589">
        <v>22.60997987</v>
      </c>
      <c r="R589">
        <v>0.72884000000000004</v>
      </c>
      <c r="S589">
        <v>0.21301339999999999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</row>
    <row r="590" spans="1:27" x14ac:dyDescent="0.25">
      <c r="A590" t="s">
        <v>80</v>
      </c>
      <c r="B590" t="s">
        <v>984</v>
      </c>
      <c r="C590">
        <v>6</v>
      </c>
      <c r="D590" t="s">
        <v>15</v>
      </c>
      <c r="E590" t="s">
        <v>95</v>
      </c>
      <c r="F590" t="s">
        <v>113</v>
      </c>
      <c r="G590" t="s">
        <v>113</v>
      </c>
      <c r="H590" t="s">
        <v>113</v>
      </c>
      <c r="J590">
        <v>0</v>
      </c>
      <c r="K590">
        <v>6</v>
      </c>
      <c r="L590">
        <v>83.757575759999995</v>
      </c>
      <c r="M590">
        <v>22.60997987</v>
      </c>
      <c r="N590">
        <v>0.72884000000000004</v>
      </c>
      <c r="O590">
        <v>0.21301339999999999</v>
      </c>
      <c r="P590">
        <v>83.757575759999995</v>
      </c>
      <c r="Q590">
        <v>22.60997987</v>
      </c>
      <c r="R590">
        <v>0.72884000000000004</v>
      </c>
      <c r="S590">
        <v>0.21301339999999999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</row>
    <row r="591" spans="1:27" x14ac:dyDescent="0.25">
      <c r="A591" t="s">
        <v>80</v>
      </c>
      <c r="B591" t="s">
        <v>985</v>
      </c>
      <c r="C591">
        <v>6</v>
      </c>
      <c r="D591" t="s">
        <v>15</v>
      </c>
      <c r="E591" t="s">
        <v>95</v>
      </c>
      <c r="F591" t="s">
        <v>103</v>
      </c>
      <c r="G591" t="s">
        <v>113</v>
      </c>
      <c r="H591" t="s">
        <v>113</v>
      </c>
      <c r="J591">
        <v>0</v>
      </c>
      <c r="K591">
        <v>1</v>
      </c>
      <c r="L591">
        <v>98.291666669999998</v>
      </c>
      <c r="M591">
        <v>30.315130790000001</v>
      </c>
      <c r="N591">
        <v>5.0803484000000003E-2</v>
      </c>
      <c r="O591">
        <v>0.42866070000000001</v>
      </c>
      <c r="P591">
        <v>83.757575759999995</v>
      </c>
      <c r="Q591">
        <v>22.60997987</v>
      </c>
      <c r="R591">
        <v>0.72884000000000004</v>
      </c>
      <c r="S591">
        <v>0.21301339999999999</v>
      </c>
      <c r="T591">
        <v>14.53409091</v>
      </c>
      <c r="U591">
        <v>14.53409091</v>
      </c>
      <c r="V591">
        <v>7.7051509200000003</v>
      </c>
      <c r="W591">
        <v>7.7051509200000003</v>
      </c>
      <c r="X591">
        <v>-0.67803651600000003</v>
      </c>
      <c r="Y591">
        <v>0.67803651600000003</v>
      </c>
      <c r="Z591">
        <v>0.21564730000000001</v>
      </c>
      <c r="AA591">
        <v>0.21564730000000001</v>
      </c>
    </row>
    <row r="592" spans="1:27" x14ac:dyDescent="0.25">
      <c r="A592" t="s">
        <v>80</v>
      </c>
      <c r="B592" t="s">
        <v>985</v>
      </c>
      <c r="C592">
        <v>6</v>
      </c>
      <c r="D592" t="s">
        <v>15</v>
      </c>
      <c r="E592" t="s">
        <v>95</v>
      </c>
      <c r="F592" t="s">
        <v>103</v>
      </c>
      <c r="G592" t="s">
        <v>113</v>
      </c>
      <c r="H592" t="s">
        <v>103</v>
      </c>
      <c r="J592">
        <v>0</v>
      </c>
      <c r="K592">
        <v>2</v>
      </c>
      <c r="L592">
        <v>98.291666669999998</v>
      </c>
      <c r="M592">
        <v>30.315130790000001</v>
      </c>
      <c r="N592">
        <v>5.0803484000000003E-2</v>
      </c>
      <c r="O592">
        <v>0.42866070000000001</v>
      </c>
      <c r="P592">
        <v>98.291666669999998</v>
      </c>
      <c r="Q592">
        <v>30.315130790000001</v>
      </c>
      <c r="R592">
        <v>5.0803484000000003E-2</v>
      </c>
      <c r="S592">
        <v>0.42866070000000001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</row>
    <row r="593" spans="1:27" x14ac:dyDescent="0.25">
      <c r="A593" t="s">
        <v>80</v>
      </c>
      <c r="B593" t="s">
        <v>985</v>
      </c>
      <c r="C593">
        <v>6</v>
      </c>
      <c r="D593" t="s">
        <v>15</v>
      </c>
      <c r="E593" t="s">
        <v>95</v>
      </c>
      <c r="F593" t="s">
        <v>103</v>
      </c>
      <c r="G593" t="s">
        <v>113</v>
      </c>
      <c r="H593" t="s">
        <v>103</v>
      </c>
      <c r="J593">
        <v>0</v>
      </c>
      <c r="K593">
        <v>2</v>
      </c>
      <c r="L593">
        <v>98.291666669999998</v>
      </c>
      <c r="M593">
        <v>30.315130790000001</v>
      </c>
      <c r="N593">
        <v>5.0803484000000003E-2</v>
      </c>
      <c r="O593">
        <v>0.42866070000000001</v>
      </c>
      <c r="P593">
        <v>98.291666669999998</v>
      </c>
      <c r="Q593">
        <v>30.315130790000001</v>
      </c>
      <c r="R593">
        <v>5.0803484000000003E-2</v>
      </c>
      <c r="S593">
        <v>0.42866070000000001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</row>
    <row r="594" spans="1:27" x14ac:dyDescent="0.25">
      <c r="A594" t="s">
        <v>81</v>
      </c>
      <c r="B594" t="s">
        <v>986</v>
      </c>
      <c r="C594">
        <v>6</v>
      </c>
      <c r="D594" t="s">
        <v>17</v>
      </c>
      <c r="E594" t="s">
        <v>94</v>
      </c>
      <c r="F594" t="s">
        <v>105</v>
      </c>
      <c r="G594" t="s">
        <v>113</v>
      </c>
      <c r="H594" t="s">
        <v>113</v>
      </c>
      <c r="J594">
        <v>0</v>
      </c>
      <c r="K594">
        <v>6</v>
      </c>
      <c r="L594">
        <v>67.5</v>
      </c>
      <c r="M594">
        <v>47.937235809999997</v>
      </c>
      <c r="N594">
        <v>0.41599678000000001</v>
      </c>
      <c r="O594">
        <v>2.0950346999999998</v>
      </c>
      <c r="P594">
        <v>83.757575759999995</v>
      </c>
      <c r="Q594">
        <v>22.60997987</v>
      </c>
      <c r="R594">
        <v>0.72884000000000004</v>
      </c>
      <c r="S594">
        <v>0.21301339999999999</v>
      </c>
      <c r="T594">
        <v>-16.257575760000002</v>
      </c>
      <c r="U594">
        <v>16.257575760000002</v>
      </c>
      <c r="V594">
        <v>25.327255940000001</v>
      </c>
      <c r="W594">
        <v>25.327255940000001</v>
      </c>
      <c r="X594">
        <v>-0.31284321999999998</v>
      </c>
      <c r="Y594">
        <v>0.31284321999999998</v>
      </c>
      <c r="Z594">
        <v>1.8820212999999999</v>
      </c>
      <c r="AA594">
        <v>1.8820212999999999</v>
      </c>
    </row>
    <row r="595" spans="1:27" x14ac:dyDescent="0.25">
      <c r="A595" t="s">
        <v>81</v>
      </c>
      <c r="B595" t="s">
        <v>986</v>
      </c>
      <c r="C595">
        <v>6</v>
      </c>
      <c r="D595" t="s">
        <v>17</v>
      </c>
      <c r="E595" t="s">
        <v>94</v>
      </c>
      <c r="F595" t="s">
        <v>105</v>
      </c>
      <c r="G595" t="s">
        <v>113</v>
      </c>
      <c r="H595" t="s">
        <v>113</v>
      </c>
      <c r="J595">
        <v>0</v>
      </c>
      <c r="K595">
        <v>6</v>
      </c>
      <c r="L595">
        <v>67.5</v>
      </c>
      <c r="M595">
        <v>47.937235809999997</v>
      </c>
      <c r="N595">
        <v>0.41599678000000001</v>
      </c>
      <c r="O595">
        <v>2.0950346999999998</v>
      </c>
      <c r="P595">
        <v>83.757575759999995</v>
      </c>
      <c r="Q595">
        <v>22.60997987</v>
      </c>
      <c r="R595">
        <v>0.72884000000000004</v>
      </c>
      <c r="S595">
        <v>0.21301339999999999</v>
      </c>
      <c r="T595">
        <v>-16.257575760000002</v>
      </c>
      <c r="U595">
        <v>16.257575760000002</v>
      </c>
      <c r="V595">
        <v>25.327255940000001</v>
      </c>
      <c r="W595">
        <v>25.327255940000001</v>
      </c>
      <c r="X595">
        <v>-0.31284321999999998</v>
      </c>
      <c r="Y595">
        <v>0.31284321999999998</v>
      </c>
      <c r="Z595">
        <v>1.8820212999999999</v>
      </c>
      <c r="AA595">
        <v>1.8820212999999999</v>
      </c>
    </row>
    <row r="596" spans="1:27" x14ac:dyDescent="0.25">
      <c r="A596" t="s">
        <v>81</v>
      </c>
      <c r="B596" t="s">
        <v>986</v>
      </c>
      <c r="C596">
        <v>6</v>
      </c>
      <c r="D596" t="s">
        <v>17</v>
      </c>
      <c r="E596" t="s">
        <v>94</v>
      </c>
      <c r="F596" t="s">
        <v>105</v>
      </c>
      <c r="G596" t="s">
        <v>113</v>
      </c>
      <c r="H596" t="s">
        <v>113</v>
      </c>
      <c r="J596">
        <v>0</v>
      </c>
      <c r="K596">
        <v>6</v>
      </c>
      <c r="L596">
        <v>67.5</v>
      </c>
      <c r="M596">
        <v>47.937235809999997</v>
      </c>
      <c r="N596">
        <v>0.41599678000000001</v>
      </c>
      <c r="O596">
        <v>2.0950346999999998</v>
      </c>
      <c r="P596">
        <v>83.757575759999995</v>
      </c>
      <c r="Q596">
        <v>22.60997987</v>
      </c>
      <c r="R596">
        <v>0.72884000000000004</v>
      </c>
      <c r="S596">
        <v>0.21301339999999999</v>
      </c>
      <c r="T596">
        <v>-16.257575760000002</v>
      </c>
      <c r="U596">
        <v>16.257575760000002</v>
      </c>
      <c r="V596">
        <v>25.327255940000001</v>
      </c>
      <c r="W596">
        <v>25.327255940000001</v>
      </c>
      <c r="X596">
        <v>-0.31284321999999998</v>
      </c>
      <c r="Y596">
        <v>0.31284321999999998</v>
      </c>
      <c r="Z596">
        <v>1.8820212999999999</v>
      </c>
      <c r="AA596">
        <v>1.8820212999999999</v>
      </c>
    </row>
    <row r="597" spans="1:27" x14ac:dyDescent="0.25">
      <c r="A597" t="s">
        <v>81</v>
      </c>
      <c r="B597" t="s">
        <v>986</v>
      </c>
      <c r="C597">
        <v>6</v>
      </c>
      <c r="D597" t="s">
        <v>17</v>
      </c>
      <c r="E597" t="s">
        <v>94</v>
      </c>
      <c r="F597" t="s">
        <v>105</v>
      </c>
      <c r="G597" t="s">
        <v>113</v>
      </c>
      <c r="H597" t="s">
        <v>113</v>
      </c>
      <c r="J597">
        <v>0</v>
      </c>
      <c r="K597">
        <v>6</v>
      </c>
      <c r="L597">
        <v>67.5</v>
      </c>
      <c r="M597">
        <v>47.937235809999997</v>
      </c>
      <c r="N597">
        <v>0.41599678000000001</v>
      </c>
      <c r="O597">
        <v>2.0950346999999998</v>
      </c>
      <c r="P597">
        <v>83.757575759999995</v>
      </c>
      <c r="Q597">
        <v>22.60997987</v>
      </c>
      <c r="R597">
        <v>0.72884000000000004</v>
      </c>
      <c r="S597">
        <v>0.21301339999999999</v>
      </c>
      <c r="T597">
        <v>-16.257575760000002</v>
      </c>
      <c r="U597">
        <v>16.257575760000002</v>
      </c>
      <c r="V597">
        <v>25.327255940000001</v>
      </c>
      <c r="W597">
        <v>25.327255940000001</v>
      </c>
      <c r="X597">
        <v>-0.31284321999999998</v>
      </c>
      <c r="Y597">
        <v>0.31284321999999998</v>
      </c>
      <c r="Z597">
        <v>1.8820212999999999</v>
      </c>
      <c r="AA597">
        <v>1.8820212999999999</v>
      </c>
    </row>
    <row r="598" spans="1:27" x14ac:dyDescent="0.25">
      <c r="A598" t="s">
        <v>81</v>
      </c>
      <c r="B598" t="s">
        <v>986</v>
      </c>
      <c r="C598">
        <v>6</v>
      </c>
      <c r="D598" t="s">
        <v>17</v>
      </c>
      <c r="E598" t="s">
        <v>94</v>
      </c>
      <c r="F598" t="s">
        <v>105</v>
      </c>
      <c r="G598" t="s">
        <v>113</v>
      </c>
      <c r="H598" t="s">
        <v>113</v>
      </c>
      <c r="J598">
        <v>0</v>
      </c>
      <c r="K598">
        <v>6</v>
      </c>
      <c r="L598">
        <v>67.5</v>
      </c>
      <c r="M598">
        <v>47.937235809999997</v>
      </c>
      <c r="N598">
        <v>0.41599678000000001</v>
      </c>
      <c r="O598">
        <v>2.0950346999999998</v>
      </c>
      <c r="P598">
        <v>83.757575759999995</v>
      </c>
      <c r="Q598">
        <v>22.60997987</v>
      </c>
      <c r="R598">
        <v>0.72884000000000004</v>
      </c>
      <c r="S598">
        <v>0.21301339999999999</v>
      </c>
      <c r="T598">
        <v>-16.257575760000002</v>
      </c>
      <c r="U598">
        <v>16.257575760000002</v>
      </c>
      <c r="V598">
        <v>25.327255940000001</v>
      </c>
      <c r="W598">
        <v>25.327255940000001</v>
      </c>
      <c r="X598">
        <v>-0.31284321999999998</v>
      </c>
      <c r="Y598">
        <v>0.31284321999999998</v>
      </c>
      <c r="Z598">
        <v>1.8820212999999999</v>
      </c>
      <c r="AA598">
        <v>1.8820212999999999</v>
      </c>
    </row>
    <row r="599" spans="1:27" x14ac:dyDescent="0.25">
      <c r="A599" t="s">
        <v>81</v>
      </c>
      <c r="B599" t="s">
        <v>986</v>
      </c>
      <c r="C599">
        <v>6</v>
      </c>
      <c r="D599" t="s">
        <v>17</v>
      </c>
      <c r="E599" t="s">
        <v>94</v>
      </c>
      <c r="F599" t="s">
        <v>105</v>
      </c>
      <c r="G599" t="s">
        <v>113</v>
      </c>
      <c r="H599" t="s">
        <v>113</v>
      </c>
      <c r="J599">
        <v>0</v>
      </c>
      <c r="K599">
        <v>6</v>
      </c>
      <c r="L599">
        <v>67.5</v>
      </c>
      <c r="M599">
        <v>47.937235809999997</v>
      </c>
      <c r="N599">
        <v>0.41599678000000001</v>
      </c>
      <c r="O599">
        <v>2.0950346999999998</v>
      </c>
      <c r="P599">
        <v>83.757575759999995</v>
      </c>
      <c r="Q599">
        <v>22.60997987</v>
      </c>
      <c r="R599">
        <v>0.72884000000000004</v>
      </c>
      <c r="S599">
        <v>0.21301339999999999</v>
      </c>
      <c r="T599">
        <v>-16.257575760000002</v>
      </c>
      <c r="U599">
        <v>16.257575760000002</v>
      </c>
      <c r="V599">
        <v>25.327255940000001</v>
      </c>
      <c r="W599">
        <v>25.327255940000001</v>
      </c>
      <c r="X599">
        <v>-0.31284321999999998</v>
      </c>
      <c r="Y599">
        <v>0.31284321999999998</v>
      </c>
      <c r="Z599">
        <v>1.8820212999999999</v>
      </c>
      <c r="AA599">
        <v>1.8820212999999999</v>
      </c>
    </row>
    <row r="600" spans="1:27" x14ac:dyDescent="0.25">
      <c r="A600" t="s">
        <v>81</v>
      </c>
      <c r="B600" t="s">
        <v>987</v>
      </c>
      <c r="C600">
        <v>6</v>
      </c>
      <c r="D600" t="s">
        <v>17</v>
      </c>
      <c r="E600" t="s">
        <v>94</v>
      </c>
      <c r="F600" t="s">
        <v>113</v>
      </c>
      <c r="G600" t="s">
        <v>113</v>
      </c>
      <c r="H600" t="s">
        <v>113</v>
      </c>
      <c r="J600">
        <v>0</v>
      </c>
      <c r="K600">
        <v>6</v>
      </c>
      <c r="L600">
        <v>83.757575759999995</v>
      </c>
      <c r="M600">
        <v>22.60997987</v>
      </c>
      <c r="N600">
        <v>0.72884000000000004</v>
      </c>
      <c r="O600">
        <v>0.21301339999999999</v>
      </c>
      <c r="P600">
        <v>83.757575759999995</v>
      </c>
      <c r="Q600">
        <v>22.60997987</v>
      </c>
      <c r="R600">
        <v>0.72884000000000004</v>
      </c>
      <c r="S600">
        <v>0.21301339999999999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</row>
    <row r="601" spans="1:27" x14ac:dyDescent="0.25">
      <c r="A601" t="s">
        <v>81</v>
      </c>
      <c r="B601" t="s">
        <v>987</v>
      </c>
      <c r="C601">
        <v>6</v>
      </c>
      <c r="D601" t="s">
        <v>17</v>
      </c>
      <c r="E601" t="s">
        <v>94</v>
      </c>
      <c r="F601" t="s">
        <v>113</v>
      </c>
      <c r="G601" t="s">
        <v>113</v>
      </c>
      <c r="H601" t="s">
        <v>113</v>
      </c>
      <c r="J601">
        <v>0</v>
      </c>
      <c r="K601">
        <v>6</v>
      </c>
      <c r="L601">
        <v>83.757575759999995</v>
      </c>
      <c r="M601">
        <v>22.60997987</v>
      </c>
      <c r="N601">
        <v>0.72884000000000004</v>
      </c>
      <c r="O601">
        <v>0.21301339999999999</v>
      </c>
      <c r="P601">
        <v>83.757575759999995</v>
      </c>
      <c r="Q601">
        <v>22.60997987</v>
      </c>
      <c r="R601">
        <v>0.72884000000000004</v>
      </c>
      <c r="S601">
        <v>0.21301339999999999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</row>
    <row r="602" spans="1:27" x14ac:dyDescent="0.25">
      <c r="A602" t="s">
        <v>81</v>
      </c>
      <c r="B602" t="s">
        <v>987</v>
      </c>
      <c r="C602">
        <v>6</v>
      </c>
      <c r="D602" t="s">
        <v>17</v>
      </c>
      <c r="E602" t="s">
        <v>94</v>
      </c>
      <c r="F602" t="s">
        <v>113</v>
      </c>
      <c r="G602" t="s">
        <v>113</v>
      </c>
      <c r="H602" t="s">
        <v>113</v>
      </c>
      <c r="J602">
        <v>0</v>
      </c>
      <c r="K602">
        <v>6</v>
      </c>
      <c r="L602">
        <v>83.757575759999995</v>
      </c>
      <c r="M602">
        <v>22.60997987</v>
      </c>
      <c r="N602">
        <v>0.72884000000000004</v>
      </c>
      <c r="O602">
        <v>0.21301339999999999</v>
      </c>
      <c r="P602">
        <v>83.757575759999995</v>
      </c>
      <c r="Q602">
        <v>22.60997987</v>
      </c>
      <c r="R602">
        <v>0.72884000000000004</v>
      </c>
      <c r="S602">
        <v>0.21301339999999999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</row>
    <row r="603" spans="1:27" x14ac:dyDescent="0.25">
      <c r="A603" t="s">
        <v>81</v>
      </c>
      <c r="B603" t="s">
        <v>987</v>
      </c>
      <c r="C603">
        <v>6</v>
      </c>
      <c r="D603" t="s">
        <v>17</v>
      </c>
      <c r="E603" t="s">
        <v>94</v>
      </c>
      <c r="F603" t="s">
        <v>113</v>
      </c>
      <c r="G603" t="s">
        <v>113</v>
      </c>
      <c r="H603" t="s">
        <v>113</v>
      </c>
      <c r="J603">
        <v>0</v>
      </c>
      <c r="K603">
        <v>6</v>
      </c>
      <c r="L603">
        <v>83.757575759999995</v>
      </c>
      <c r="M603">
        <v>22.60997987</v>
      </c>
      <c r="N603">
        <v>0.72884000000000004</v>
      </c>
      <c r="O603">
        <v>0.21301339999999999</v>
      </c>
      <c r="P603">
        <v>83.757575759999995</v>
      </c>
      <c r="Q603">
        <v>22.60997987</v>
      </c>
      <c r="R603">
        <v>0.72884000000000004</v>
      </c>
      <c r="S603">
        <v>0.21301339999999999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</row>
    <row r="604" spans="1:27" x14ac:dyDescent="0.25">
      <c r="A604" t="s">
        <v>81</v>
      </c>
      <c r="B604" t="s">
        <v>987</v>
      </c>
      <c r="C604">
        <v>6</v>
      </c>
      <c r="D604" t="s">
        <v>17</v>
      </c>
      <c r="E604" t="s">
        <v>94</v>
      </c>
      <c r="F604" t="s">
        <v>113</v>
      </c>
      <c r="G604" t="s">
        <v>113</v>
      </c>
      <c r="H604" t="s">
        <v>113</v>
      </c>
      <c r="J604">
        <v>0</v>
      </c>
      <c r="K604">
        <v>6</v>
      </c>
      <c r="L604">
        <v>83.757575759999995</v>
      </c>
      <c r="M604">
        <v>22.60997987</v>
      </c>
      <c r="N604">
        <v>0.72884000000000004</v>
      </c>
      <c r="O604">
        <v>0.21301339999999999</v>
      </c>
      <c r="P604">
        <v>83.757575759999995</v>
      </c>
      <c r="Q604">
        <v>22.60997987</v>
      </c>
      <c r="R604">
        <v>0.72884000000000004</v>
      </c>
      <c r="S604">
        <v>0.21301339999999999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</row>
    <row r="605" spans="1:27" x14ac:dyDescent="0.25">
      <c r="A605" t="s">
        <v>81</v>
      </c>
      <c r="B605" t="s">
        <v>987</v>
      </c>
      <c r="C605">
        <v>6</v>
      </c>
      <c r="D605" t="s">
        <v>17</v>
      </c>
      <c r="E605" t="s">
        <v>94</v>
      </c>
      <c r="F605" t="s">
        <v>113</v>
      </c>
      <c r="G605" t="s">
        <v>113</v>
      </c>
      <c r="H605" t="s">
        <v>113</v>
      </c>
      <c r="J605">
        <v>0</v>
      </c>
      <c r="K605">
        <v>6</v>
      </c>
      <c r="L605">
        <v>83.757575759999995</v>
      </c>
      <c r="M605">
        <v>22.60997987</v>
      </c>
      <c r="N605">
        <v>0.72884000000000004</v>
      </c>
      <c r="O605">
        <v>0.21301339999999999</v>
      </c>
      <c r="P605">
        <v>83.757575759999995</v>
      </c>
      <c r="Q605">
        <v>22.60997987</v>
      </c>
      <c r="R605">
        <v>0.72884000000000004</v>
      </c>
      <c r="S605">
        <v>0.21301339999999999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</row>
    <row r="606" spans="1:27" x14ac:dyDescent="0.25">
      <c r="A606" t="s">
        <v>81</v>
      </c>
      <c r="B606" t="s">
        <v>988</v>
      </c>
      <c r="C606">
        <v>6</v>
      </c>
      <c r="D606" t="s">
        <v>17</v>
      </c>
      <c r="E606" t="s">
        <v>94</v>
      </c>
      <c r="F606" t="s">
        <v>103</v>
      </c>
      <c r="G606" t="s">
        <v>113</v>
      </c>
      <c r="H606" t="s">
        <v>113</v>
      </c>
      <c r="J606">
        <v>0</v>
      </c>
      <c r="K606">
        <v>5</v>
      </c>
      <c r="L606">
        <v>98.291666669999998</v>
      </c>
      <c r="M606">
        <v>30.315130790000001</v>
      </c>
      <c r="N606">
        <v>5.0803484000000003E-2</v>
      </c>
      <c r="O606">
        <v>0.42866070000000001</v>
      </c>
      <c r="P606">
        <v>83.757575759999995</v>
      </c>
      <c r="Q606">
        <v>22.60997987</v>
      </c>
      <c r="R606">
        <v>0.72884000000000004</v>
      </c>
      <c r="S606">
        <v>0.21301339999999999</v>
      </c>
      <c r="T606">
        <v>14.53409091</v>
      </c>
      <c r="U606">
        <v>14.53409091</v>
      </c>
      <c r="V606">
        <v>7.7051509200000003</v>
      </c>
      <c r="W606">
        <v>7.7051509200000003</v>
      </c>
      <c r="X606">
        <v>-0.67803651600000003</v>
      </c>
      <c r="Y606">
        <v>0.67803651600000003</v>
      </c>
      <c r="Z606">
        <v>0.21564730000000001</v>
      </c>
      <c r="AA606">
        <v>0.21564730000000001</v>
      </c>
    </row>
    <row r="607" spans="1:27" x14ac:dyDescent="0.25">
      <c r="A607" t="s">
        <v>81</v>
      </c>
      <c r="B607" t="s">
        <v>988</v>
      </c>
      <c r="C607">
        <v>6</v>
      </c>
      <c r="D607" t="s">
        <v>17</v>
      </c>
      <c r="E607" t="s">
        <v>94</v>
      </c>
      <c r="F607" t="s">
        <v>103</v>
      </c>
      <c r="G607" t="s">
        <v>113</v>
      </c>
      <c r="H607" t="s">
        <v>113</v>
      </c>
      <c r="J607">
        <v>0</v>
      </c>
      <c r="K607">
        <v>5</v>
      </c>
      <c r="L607">
        <v>98.291666669999998</v>
      </c>
      <c r="M607">
        <v>30.315130790000001</v>
      </c>
      <c r="N607">
        <v>5.0803484000000003E-2</v>
      </c>
      <c r="O607">
        <v>0.42866070000000001</v>
      </c>
      <c r="P607">
        <v>83.757575759999995</v>
      </c>
      <c r="Q607">
        <v>22.60997987</v>
      </c>
      <c r="R607">
        <v>0.72884000000000004</v>
      </c>
      <c r="S607">
        <v>0.21301339999999999</v>
      </c>
      <c r="T607">
        <v>14.53409091</v>
      </c>
      <c r="U607">
        <v>14.53409091</v>
      </c>
      <c r="V607">
        <v>7.7051509200000003</v>
      </c>
      <c r="W607">
        <v>7.7051509200000003</v>
      </c>
      <c r="X607">
        <v>-0.67803651600000003</v>
      </c>
      <c r="Y607">
        <v>0.67803651600000003</v>
      </c>
      <c r="Z607">
        <v>0.21564730000000001</v>
      </c>
      <c r="AA607">
        <v>0.21564730000000001</v>
      </c>
    </row>
    <row r="608" spans="1:27" x14ac:dyDescent="0.25">
      <c r="A608" t="s">
        <v>81</v>
      </c>
      <c r="B608" t="s">
        <v>988</v>
      </c>
      <c r="C608">
        <v>6</v>
      </c>
      <c r="D608" t="s">
        <v>17</v>
      </c>
      <c r="E608" t="s">
        <v>94</v>
      </c>
      <c r="F608" t="s">
        <v>103</v>
      </c>
      <c r="G608" t="s">
        <v>113</v>
      </c>
      <c r="H608" t="s">
        <v>113</v>
      </c>
      <c r="J608">
        <v>0</v>
      </c>
      <c r="K608">
        <v>5</v>
      </c>
      <c r="L608">
        <v>98.291666669999998</v>
      </c>
      <c r="M608">
        <v>30.315130790000001</v>
      </c>
      <c r="N608">
        <v>5.0803484000000003E-2</v>
      </c>
      <c r="O608">
        <v>0.42866070000000001</v>
      </c>
      <c r="P608">
        <v>83.757575759999995</v>
      </c>
      <c r="Q608">
        <v>22.60997987</v>
      </c>
      <c r="R608">
        <v>0.72884000000000004</v>
      </c>
      <c r="S608">
        <v>0.21301339999999999</v>
      </c>
      <c r="T608">
        <v>14.53409091</v>
      </c>
      <c r="U608">
        <v>14.53409091</v>
      </c>
      <c r="V608">
        <v>7.7051509200000003</v>
      </c>
      <c r="W608">
        <v>7.7051509200000003</v>
      </c>
      <c r="X608">
        <v>-0.67803651600000003</v>
      </c>
      <c r="Y608">
        <v>0.67803651600000003</v>
      </c>
      <c r="Z608">
        <v>0.21564730000000001</v>
      </c>
      <c r="AA608">
        <v>0.21564730000000001</v>
      </c>
    </row>
    <row r="609" spans="1:27" x14ac:dyDescent="0.25">
      <c r="A609" t="s">
        <v>81</v>
      </c>
      <c r="B609" t="s">
        <v>988</v>
      </c>
      <c r="C609">
        <v>6</v>
      </c>
      <c r="D609" t="s">
        <v>17</v>
      </c>
      <c r="E609" t="s">
        <v>94</v>
      </c>
      <c r="F609" t="s">
        <v>103</v>
      </c>
      <c r="G609" t="s">
        <v>113</v>
      </c>
      <c r="H609" t="s">
        <v>113</v>
      </c>
      <c r="J609">
        <v>0</v>
      </c>
      <c r="K609">
        <v>5</v>
      </c>
      <c r="L609">
        <v>98.291666669999998</v>
      </c>
      <c r="M609">
        <v>30.315130790000001</v>
      </c>
      <c r="N609">
        <v>5.0803484000000003E-2</v>
      </c>
      <c r="O609">
        <v>0.42866070000000001</v>
      </c>
      <c r="P609">
        <v>83.757575759999995</v>
      </c>
      <c r="Q609">
        <v>22.60997987</v>
      </c>
      <c r="R609">
        <v>0.72884000000000004</v>
      </c>
      <c r="S609">
        <v>0.21301339999999999</v>
      </c>
      <c r="T609">
        <v>14.53409091</v>
      </c>
      <c r="U609">
        <v>14.53409091</v>
      </c>
      <c r="V609">
        <v>7.7051509200000003</v>
      </c>
      <c r="W609">
        <v>7.7051509200000003</v>
      </c>
      <c r="X609">
        <v>-0.67803651600000003</v>
      </c>
      <c r="Y609">
        <v>0.67803651600000003</v>
      </c>
      <c r="Z609">
        <v>0.21564730000000001</v>
      </c>
      <c r="AA609">
        <v>0.21564730000000001</v>
      </c>
    </row>
    <row r="610" spans="1:27" x14ac:dyDescent="0.25">
      <c r="A610" t="s">
        <v>81</v>
      </c>
      <c r="B610" t="s">
        <v>988</v>
      </c>
      <c r="C610">
        <v>6</v>
      </c>
      <c r="D610" t="s">
        <v>17</v>
      </c>
      <c r="E610" t="s">
        <v>94</v>
      </c>
      <c r="F610" t="s">
        <v>103</v>
      </c>
      <c r="G610" t="s">
        <v>113</v>
      </c>
      <c r="H610" t="s">
        <v>113</v>
      </c>
      <c r="J610">
        <v>0</v>
      </c>
      <c r="K610">
        <v>5</v>
      </c>
      <c r="L610">
        <v>98.291666669999998</v>
      </c>
      <c r="M610">
        <v>30.315130790000001</v>
      </c>
      <c r="N610">
        <v>5.0803484000000003E-2</v>
      </c>
      <c r="O610">
        <v>0.42866070000000001</v>
      </c>
      <c r="P610">
        <v>83.757575759999995</v>
      </c>
      <c r="Q610">
        <v>22.60997987</v>
      </c>
      <c r="R610">
        <v>0.72884000000000004</v>
      </c>
      <c r="S610">
        <v>0.21301339999999999</v>
      </c>
      <c r="T610">
        <v>14.53409091</v>
      </c>
      <c r="U610">
        <v>14.53409091</v>
      </c>
      <c r="V610">
        <v>7.7051509200000003</v>
      </c>
      <c r="W610">
        <v>7.7051509200000003</v>
      </c>
      <c r="X610">
        <v>-0.67803651600000003</v>
      </c>
      <c r="Y610">
        <v>0.67803651600000003</v>
      </c>
      <c r="Z610">
        <v>0.21564730000000001</v>
      </c>
      <c r="AA610">
        <v>0.21564730000000001</v>
      </c>
    </row>
    <row r="611" spans="1:27" x14ac:dyDescent="0.25">
      <c r="A611" t="s">
        <v>81</v>
      </c>
      <c r="B611" t="s">
        <v>988</v>
      </c>
      <c r="C611">
        <v>6</v>
      </c>
      <c r="D611" t="s">
        <v>17</v>
      </c>
      <c r="E611" t="s">
        <v>94</v>
      </c>
      <c r="F611" t="s">
        <v>103</v>
      </c>
      <c r="G611" t="s">
        <v>113</v>
      </c>
      <c r="H611" t="s">
        <v>103</v>
      </c>
      <c r="J611">
        <v>0</v>
      </c>
      <c r="K611">
        <v>1</v>
      </c>
      <c r="L611">
        <v>98.291666669999998</v>
      </c>
      <c r="M611">
        <v>30.315130790000001</v>
      </c>
      <c r="N611">
        <v>5.0803484000000003E-2</v>
      </c>
      <c r="O611">
        <v>0.42866070000000001</v>
      </c>
      <c r="P611">
        <v>98.291666669999998</v>
      </c>
      <c r="Q611">
        <v>30.315130790000001</v>
      </c>
      <c r="R611">
        <v>5.0803484000000003E-2</v>
      </c>
      <c r="S611">
        <v>0.42866070000000001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</row>
    <row r="612" spans="1:27" x14ac:dyDescent="0.25">
      <c r="A612" t="s">
        <v>82</v>
      </c>
      <c r="B612" t="s">
        <v>989</v>
      </c>
      <c r="C612">
        <v>6</v>
      </c>
      <c r="D612" t="s">
        <v>19</v>
      </c>
      <c r="E612" t="s">
        <v>94</v>
      </c>
      <c r="F612" t="s">
        <v>102</v>
      </c>
      <c r="G612" t="s">
        <v>102</v>
      </c>
      <c r="H612" t="s">
        <v>102</v>
      </c>
      <c r="J612">
        <v>0</v>
      </c>
      <c r="K612">
        <v>1</v>
      </c>
      <c r="L612">
        <v>84.740740740000007</v>
      </c>
      <c r="M612">
        <v>29.167014049999999</v>
      </c>
      <c r="N612">
        <v>1.1169849999999999</v>
      </c>
      <c r="O612">
        <v>1.1571499000000001</v>
      </c>
      <c r="P612">
        <v>84.740740740000007</v>
      </c>
      <c r="Q612">
        <v>29.167014049999999</v>
      </c>
      <c r="R612">
        <v>1.1169849999999999</v>
      </c>
      <c r="S612">
        <v>1.1571499000000001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</row>
    <row r="613" spans="1:27" x14ac:dyDescent="0.25">
      <c r="A613" t="s">
        <v>82</v>
      </c>
      <c r="B613" t="s">
        <v>990</v>
      </c>
      <c r="C613">
        <v>6</v>
      </c>
      <c r="D613" t="s">
        <v>19</v>
      </c>
      <c r="E613" t="s">
        <v>94</v>
      </c>
      <c r="F613" t="s">
        <v>113</v>
      </c>
      <c r="G613" t="s">
        <v>113</v>
      </c>
      <c r="H613" t="s">
        <v>113</v>
      </c>
      <c r="J613">
        <v>0</v>
      </c>
      <c r="K613">
        <v>4</v>
      </c>
      <c r="L613">
        <v>83.757575759999995</v>
      </c>
      <c r="M613">
        <v>22.60997987</v>
      </c>
      <c r="N613">
        <v>0.72884000000000004</v>
      </c>
      <c r="O613">
        <v>0.21301339999999999</v>
      </c>
      <c r="P613">
        <v>83.757575759999995</v>
      </c>
      <c r="Q613">
        <v>22.60997987</v>
      </c>
      <c r="R613">
        <v>0.72884000000000004</v>
      </c>
      <c r="S613">
        <v>0.21301339999999999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</row>
    <row r="614" spans="1:27" x14ac:dyDescent="0.25">
      <c r="A614" t="s">
        <v>82</v>
      </c>
      <c r="B614" t="s">
        <v>990</v>
      </c>
      <c r="C614">
        <v>6</v>
      </c>
      <c r="D614" t="s">
        <v>19</v>
      </c>
      <c r="E614" t="s">
        <v>94</v>
      </c>
      <c r="F614" t="s">
        <v>113</v>
      </c>
      <c r="G614" t="s">
        <v>113</v>
      </c>
      <c r="H614" t="s">
        <v>113</v>
      </c>
      <c r="J614">
        <v>0</v>
      </c>
      <c r="K614">
        <v>4</v>
      </c>
      <c r="L614">
        <v>83.757575759999995</v>
      </c>
      <c r="M614">
        <v>22.60997987</v>
      </c>
      <c r="N614">
        <v>0.72884000000000004</v>
      </c>
      <c r="O614">
        <v>0.21301339999999999</v>
      </c>
      <c r="P614">
        <v>83.757575759999995</v>
      </c>
      <c r="Q614">
        <v>22.60997987</v>
      </c>
      <c r="R614">
        <v>0.72884000000000004</v>
      </c>
      <c r="S614">
        <v>0.21301339999999999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</row>
    <row r="615" spans="1:27" x14ac:dyDescent="0.25">
      <c r="A615" t="s">
        <v>82</v>
      </c>
      <c r="B615" t="s">
        <v>990</v>
      </c>
      <c r="C615">
        <v>6</v>
      </c>
      <c r="D615" t="s">
        <v>19</v>
      </c>
      <c r="E615" t="s">
        <v>94</v>
      </c>
      <c r="F615" t="s">
        <v>113</v>
      </c>
      <c r="G615" t="s">
        <v>113</v>
      </c>
      <c r="H615" t="s">
        <v>113</v>
      </c>
      <c r="J615">
        <v>0</v>
      </c>
      <c r="K615">
        <v>4</v>
      </c>
      <c r="L615">
        <v>83.757575759999995</v>
      </c>
      <c r="M615">
        <v>22.60997987</v>
      </c>
      <c r="N615">
        <v>0.72884000000000004</v>
      </c>
      <c r="O615">
        <v>0.21301339999999999</v>
      </c>
      <c r="P615">
        <v>83.757575759999995</v>
      </c>
      <c r="Q615">
        <v>22.60997987</v>
      </c>
      <c r="R615">
        <v>0.72884000000000004</v>
      </c>
      <c r="S615">
        <v>0.21301339999999999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</row>
    <row r="616" spans="1:27" x14ac:dyDescent="0.25">
      <c r="A616" t="s">
        <v>82</v>
      </c>
      <c r="B616" t="s">
        <v>990</v>
      </c>
      <c r="C616">
        <v>6</v>
      </c>
      <c r="D616" t="s">
        <v>19</v>
      </c>
      <c r="E616" t="s">
        <v>94</v>
      </c>
      <c r="F616" t="s">
        <v>113</v>
      </c>
      <c r="G616" t="s">
        <v>113</v>
      </c>
      <c r="H616" t="s">
        <v>113</v>
      </c>
      <c r="J616">
        <v>0</v>
      </c>
      <c r="K616">
        <v>4</v>
      </c>
      <c r="L616">
        <v>83.757575759999995</v>
      </c>
      <c r="M616">
        <v>22.60997987</v>
      </c>
      <c r="N616">
        <v>0.72884000000000004</v>
      </c>
      <c r="O616">
        <v>0.21301339999999999</v>
      </c>
      <c r="P616">
        <v>83.757575759999995</v>
      </c>
      <c r="Q616">
        <v>22.60997987</v>
      </c>
      <c r="R616">
        <v>0.72884000000000004</v>
      </c>
      <c r="S616">
        <v>0.21301339999999999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</row>
    <row r="617" spans="1:27" x14ac:dyDescent="0.25">
      <c r="A617" t="s">
        <v>82</v>
      </c>
      <c r="B617" t="s">
        <v>990</v>
      </c>
      <c r="C617">
        <v>6</v>
      </c>
      <c r="D617" t="s">
        <v>19</v>
      </c>
      <c r="E617" t="s">
        <v>94</v>
      </c>
      <c r="F617" t="s">
        <v>113</v>
      </c>
      <c r="G617" t="s">
        <v>113</v>
      </c>
      <c r="H617" t="s">
        <v>241</v>
      </c>
      <c r="J617">
        <v>0</v>
      </c>
      <c r="K617">
        <v>1</v>
      </c>
      <c r="L617">
        <v>83.757575759999995</v>
      </c>
      <c r="M617">
        <v>22.60997987</v>
      </c>
      <c r="N617">
        <v>0.72884000000000004</v>
      </c>
      <c r="O617">
        <v>0.21301339999999999</v>
      </c>
      <c r="P617">
        <v>114</v>
      </c>
      <c r="Q617">
        <v>30.43077242</v>
      </c>
      <c r="R617">
        <v>0.53383111100000002</v>
      </c>
      <c r="S617">
        <v>0.28333332999999999</v>
      </c>
      <c r="T617">
        <v>-30.242424239999998</v>
      </c>
      <c r="U617">
        <v>30.242424239999998</v>
      </c>
      <c r="V617">
        <v>-7.8207925500000002</v>
      </c>
      <c r="W617">
        <v>7.8207925500000002</v>
      </c>
      <c r="X617">
        <v>0.19500888899999999</v>
      </c>
      <c r="Y617">
        <v>0.19500888899999999</v>
      </c>
      <c r="Z617">
        <v>-7.0319930000000003E-2</v>
      </c>
      <c r="AA617">
        <v>7.0319930000000003E-2</v>
      </c>
    </row>
    <row r="618" spans="1:27" x14ac:dyDescent="0.25">
      <c r="A618" t="s">
        <v>82</v>
      </c>
      <c r="B618" t="s">
        <v>990</v>
      </c>
      <c r="C618">
        <v>6</v>
      </c>
      <c r="D618" t="s">
        <v>19</v>
      </c>
      <c r="E618" t="s">
        <v>94</v>
      </c>
      <c r="F618" t="s">
        <v>113</v>
      </c>
      <c r="G618" t="s">
        <v>113</v>
      </c>
      <c r="H618" t="s">
        <v>808</v>
      </c>
      <c r="J618">
        <v>0</v>
      </c>
      <c r="K618">
        <v>1</v>
      </c>
      <c r="L618">
        <v>83.757575759999995</v>
      </c>
      <c r="M618">
        <v>22.60997987</v>
      </c>
      <c r="N618">
        <v>0.72884000000000004</v>
      </c>
      <c r="O618">
        <v>0.21301339999999999</v>
      </c>
      <c r="P618">
        <v>102.79166669999999</v>
      </c>
      <c r="Q618">
        <v>27.057373470000002</v>
      </c>
      <c r="R618">
        <v>6.3567849939999999</v>
      </c>
      <c r="S618" t="s">
        <v>114</v>
      </c>
      <c r="T618">
        <v>-19.034090939999999</v>
      </c>
      <c r="U618">
        <v>19.034090939999999</v>
      </c>
      <c r="V618">
        <v>-4.4473935999999998</v>
      </c>
      <c r="W618">
        <v>4.4473935999999998</v>
      </c>
      <c r="X618">
        <v>-5.6279449939999999</v>
      </c>
      <c r="Y618">
        <v>5.6279449939999999</v>
      </c>
      <c r="Z618" t="s">
        <v>114</v>
      </c>
      <c r="AA618" t="s">
        <v>114</v>
      </c>
    </row>
    <row r="619" spans="1:27" x14ac:dyDescent="0.25">
      <c r="A619" t="s">
        <v>82</v>
      </c>
      <c r="B619" t="s">
        <v>990</v>
      </c>
      <c r="C619">
        <v>6</v>
      </c>
      <c r="D619" t="s">
        <v>19</v>
      </c>
      <c r="E619" t="s">
        <v>94</v>
      </c>
      <c r="F619" t="s">
        <v>113</v>
      </c>
      <c r="G619" t="s">
        <v>113</v>
      </c>
      <c r="H619" t="s">
        <v>103</v>
      </c>
      <c r="J619">
        <v>0</v>
      </c>
      <c r="K619">
        <v>1</v>
      </c>
      <c r="L619">
        <v>83.757575759999995</v>
      </c>
      <c r="M619">
        <v>22.60997987</v>
      </c>
      <c r="N619">
        <v>0.72884000000000004</v>
      </c>
      <c r="O619">
        <v>0.21301339999999999</v>
      </c>
      <c r="P619">
        <v>98.291666669999998</v>
      </c>
      <c r="Q619">
        <v>30.315130790000001</v>
      </c>
      <c r="R619">
        <v>5.0803484000000003E-2</v>
      </c>
      <c r="S619">
        <v>0.42866070000000001</v>
      </c>
      <c r="T619">
        <v>-14.53409091</v>
      </c>
      <c r="U619">
        <v>14.53409091</v>
      </c>
      <c r="V619">
        <v>-7.7051509200000003</v>
      </c>
      <c r="W619">
        <v>7.7051509200000003</v>
      </c>
      <c r="X619">
        <v>0.67803651600000003</v>
      </c>
      <c r="Y619">
        <v>0.67803651600000003</v>
      </c>
      <c r="Z619">
        <v>-0.21564730000000001</v>
      </c>
      <c r="AA619">
        <v>0.21564730000000001</v>
      </c>
    </row>
    <row r="620" spans="1:27" x14ac:dyDescent="0.25">
      <c r="A620" t="s">
        <v>82</v>
      </c>
      <c r="B620" t="s">
        <v>991</v>
      </c>
      <c r="C620">
        <v>6</v>
      </c>
      <c r="D620" t="s">
        <v>19</v>
      </c>
      <c r="E620" t="s">
        <v>94</v>
      </c>
      <c r="F620" t="s">
        <v>104</v>
      </c>
      <c r="G620" t="s">
        <v>113</v>
      </c>
      <c r="H620" t="s">
        <v>113</v>
      </c>
      <c r="J620">
        <v>0</v>
      </c>
      <c r="K620">
        <v>3</v>
      </c>
      <c r="L620">
        <v>113.9375</v>
      </c>
      <c r="M620">
        <v>33.375507550000002</v>
      </c>
      <c r="N620">
        <v>2.4262999999999999</v>
      </c>
      <c r="O620">
        <v>0.40692159999999999</v>
      </c>
      <c r="P620">
        <v>83.757575759999995</v>
      </c>
      <c r="Q620">
        <v>22.60997987</v>
      </c>
      <c r="R620">
        <v>0.72884000000000004</v>
      </c>
      <c r="S620">
        <v>0.21301339999999999</v>
      </c>
      <c r="T620">
        <v>30.179924239999998</v>
      </c>
      <c r="U620">
        <v>30.179924239999998</v>
      </c>
      <c r="V620">
        <v>10.76552768</v>
      </c>
      <c r="W620">
        <v>10.76552768</v>
      </c>
      <c r="X620">
        <v>1.69746</v>
      </c>
      <c r="Y620">
        <v>1.69746</v>
      </c>
      <c r="Z620">
        <v>0.1939082</v>
      </c>
      <c r="AA620">
        <v>0.1939082</v>
      </c>
    </row>
    <row r="621" spans="1:27" x14ac:dyDescent="0.25">
      <c r="A621" t="s">
        <v>82</v>
      </c>
      <c r="B621" t="s">
        <v>991</v>
      </c>
      <c r="C621">
        <v>6</v>
      </c>
      <c r="D621" t="s">
        <v>19</v>
      </c>
      <c r="E621" t="s">
        <v>94</v>
      </c>
      <c r="F621" t="s">
        <v>104</v>
      </c>
      <c r="G621" t="s">
        <v>113</v>
      </c>
      <c r="H621" t="s">
        <v>113</v>
      </c>
      <c r="J621">
        <v>0</v>
      </c>
      <c r="K621">
        <v>3</v>
      </c>
      <c r="L621">
        <v>113.9375</v>
      </c>
      <c r="M621">
        <v>33.375507550000002</v>
      </c>
      <c r="N621">
        <v>2.4262999999999999</v>
      </c>
      <c r="O621">
        <v>0.40692159999999999</v>
      </c>
      <c r="P621">
        <v>83.757575759999995</v>
      </c>
      <c r="Q621">
        <v>22.60997987</v>
      </c>
      <c r="R621">
        <v>0.72884000000000004</v>
      </c>
      <c r="S621">
        <v>0.21301339999999999</v>
      </c>
      <c r="T621">
        <v>30.179924239999998</v>
      </c>
      <c r="U621">
        <v>30.179924239999998</v>
      </c>
      <c r="V621">
        <v>10.76552768</v>
      </c>
      <c r="W621">
        <v>10.76552768</v>
      </c>
      <c r="X621">
        <v>1.69746</v>
      </c>
      <c r="Y621">
        <v>1.69746</v>
      </c>
      <c r="Z621">
        <v>0.1939082</v>
      </c>
      <c r="AA621">
        <v>0.1939082</v>
      </c>
    </row>
    <row r="622" spans="1:27" x14ac:dyDescent="0.25">
      <c r="A622" t="s">
        <v>82</v>
      </c>
      <c r="B622" t="s">
        <v>991</v>
      </c>
      <c r="C622">
        <v>6</v>
      </c>
      <c r="D622" t="s">
        <v>19</v>
      </c>
      <c r="E622" t="s">
        <v>94</v>
      </c>
      <c r="F622" t="s">
        <v>104</v>
      </c>
      <c r="G622" t="s">
        <v>113</v>
      </c>
      <c r="H622" t="s">
        <v>113</v>
      </c>
      <c r="J622">
        <v>0</v>
      </c>
      <c r="K622">
        <v>3</v>
      </c>
      <c r="L622">
        <v>113.9375</v>
      </c>
      <c r="M622">
        <v>33.375507550000002</v>
      </c>
      <c r="N622">
        <v>2.4262999999999999</v>
      </c>
      <c r="O622">
        <v>0.40692159999999999</v>
      </c>
      <c r="P622">
        <v>83.757575759999995</v>
      </c>
      <c r="Q622">
        <v>22.60997987</v>
      </c>
      <c r="R622">
        <v>0.72884000000000004</v>
      </c>
      <c r="S622">
        <v>0.21301339999999999</v>
      </c>
      <c r="T622">
        <v>30.179924239999998</v>
      </c>
      <c r="U622">
        <v>30.179924239999998</v>
      </c>
      <c r="V622">
        <v>10.76552768</v>
      </c>
      <c r="W622">
        <v>10.76552768</v>
      </c>
      <c r="X622">
        <v>1.69746</v>
      </c>
      <c r="Y622">
        <v>1.69746</v>
      </c>
      <c r="Z622">
        <v>0.1939082</v>
      </c>
      <c r="AA622">
        <v>0.1939082</v>
      </c>
    </row>
    <row r="623" spans="1:27" x14ac:dyDescent="0.25">
      <c r="A623" t="s">
        <v>83</v>
      </c>
      <c r="B623" t="s">
        <v>992</v>
      </c>
      <c r="C623">
        <v>6</v>
      </c>
      <c r="D623" t="s">
        <v>21</v>
      </c>
      <c r="E623" t="s">
        <v>94</v>
      </c>
      <c r="F623" t="s">
        <v>102</v>
      </c>
      <c r="G623" t="s">
        <v>121</v>
      </c>
      <c r="H623" t="s">
        <v>114</v>
      </c>
      <c r="J623">
        <v>0</v>
      </c>
      <c r="K623">
        <v>0</v>
      </c>
      <c r="L623">
        <v>84.740740740000007</v>
      </c>
      <c r="M623">
        <v>29.167014049999999</v>
      </c>
      <c r="N623">
        <v>1.1169849999999999</v>
      </c>
      <c r="O623">
        <v>1.1571499000000001</v>
      </c>
      <c r="P623" t="s">
        <v>114</v>
      </c>
      <c r="Q623" t="s">
        <v>114</v>
      </c>
      <c r="R623" t="s">
        <v>114</v>
      </c>
      <c r="S623" t="s">
        <v>114</v>
      </c>
      <c r="T623" t="s">
        <v>114</v>
      </c>
      <c r="U623" t="s">
        <v>114</v>
      </c>
      <c r="V623" t="s">
        <v>114</v>
      </c>
      <c r="W623" t="s">
        <v>114</v>
      </c>
      <c r="X623" t="s">
        <v>114</v>
      </c>
      <c r="Y623" t="s">
        <v>114</v>
      </c>
      <c r="Z623" t="s">
        <v>114</v>
      </c>
      <c r="AA623" t="s">
        <v>114</v>
      </c>
    </row>
    <row r="624" spans="1:27" x14ac:dyDescent="0.25">
      <c r="A624" t="s">
        <v>83</v>
      </c>
      <c r="B624" t="s">
        <v>993</v>
      </c>
      <c r="C624">
        <v>6</v>
      </c>
      <c r="D624" t="s">
        <v>21</v>
      </c>
      <c r="E624" t="s">
        <v>94</v>
      </c>
      <c r="F624" t="s">
        <v>103</v>
      </c>
      <c r="G624" t="s">
        <v>103</v>
      </c>
      <c r="H624" t="s">
        <v>103</v>
      </c>
      <c r="J624">
        <v>0</v>
      </c>
      <c r="K624">
        <v>2</v>
      </c>
      <c r="L624">
        <v>98.291666669999998</v>
      </c>
      <c r="M624">
        <v>30.315130790000001</v>
      </c>
      <c r="N624">
        <v>5.0803484000000003E-2</v>
      </c>
      <c r="O624">
        <v>0.42866070000000001</v>
      </c>
      <c r="P624">
        <v>98.291666669999998</v>
      </c>
      <c r="Q624">
        <v>30.315130790000001</v>
      </c>
      <c r="R624">
        <v>5.0803484000000003E-2</v>
      </c>
      <c r="S624">
        <v>0.42866070000000001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</row>
    <row r="625" spans="1:27" x14ac:dyDescent="0.25">
      <c r="A625" t="s">
        <v>83</v>
      </c>
      <c r="B625" t="s">
        <v>993</v>
      </c>
      <c r="C625">
        <v>6</v>
      </c>
      <c r="D625" t="s">
        <v>21</v>
      </c>
      <c r="E625" t="s">
        <v>94</v>
      </c>
      <c r="F625" t="s">
        <v>103</v>
      </c>
      <c r="G625" t="s">
        <v>103</v>
      </c>
      <c r="H625" t="s">
        <v>103</v>
      </c>
      <c r="J625">
        <v>0</v>
      </c>
      <c r="K625">
        <v>2</v>
      </c>
      <c r="L625">
        <v>98.291666669999998</v>
      </c>
      <c r="M625">
        <v>30.315130790000001</v>
      </c>
      <c r="N625">
        <v>5.0803484000000003E-2</v>
      </c>
      <c r="O625">
        <v>0.42866070000000001</v>
      </c>
      <c r="P625">
        <v>98.291666669999998</v>
      </c>
      <c r="Q625">
        <v>30.315130790000001</v>
      </c>
      <c r="R625">
        <v>5.0803484000000003E-2</v>
      </c>
      <c r="S625">
        <v>0.42866070000000001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</row>
    <row r="626" spans="1:27" x14ac:dyDescent="0.25">
      <c r="A626" t="s">
        <v>83</v>
      </c>
      <c r="B626" t="s">
        <v>993</v>
      </c>
      <c r="C626">
        <v>6</v>
      </c>
      <c r="D626" t="s">
        <v>21</v>
      </c>
      <c r="E626" t="s">
        <v>94</v>
      </c>
      <c r="F626" t="s">
        <v>103</v>
      </c>
      <c r="G626" t="s">
        <v>103</v>
      </c>
      <c r="H626" t="s">
        <v>246</v>
      </c>
      <c r="J626">
        <v>0</v>
      </c>
      <c r="K626">
        <v>1</v>
      </c>
      <c r="L626">
        <v>98.291666669999998</v>
      </c>
      <c r="M626">
        <v>30.315130790000001</v>
      </c>
      <c r="N626">
        <v>5.0803484000000003E-2</v>
      </c>
      <c r="O626">
        <v>0.42866070000000001</v>
      </c>
      <c r="P626">
        <v>120.25</v>
      </c>
      <c r="Q626">
        <v>30.670450110000001</v>
      </c>
      <c r="R626">
        <v>0.91037498500000003</v>
      </c>
      <c r="S626" t="s">
        <v>114</v>
      </c>
      <c r="T626">
        <v>-21.958333329999999</v>
      </c>
      <c r="U626">
        <v>21.958333329999999</v>
      </c>
      <c r="V626">
        <v>-0.35531931999999999</v>
      </c>
      <c r="W626">
        <v>0.35531931999999999</v>
      </c>
      <c r="X626">
        <v>-0.85957150100000002</v>
      </c>
      <c r="Y626">
        <v>0.85957150100000002</v>
      </c>
      <c r="Z626" t="s">
        <v>114</v>
      </c>
      <c r="AA626" t="s">
        <v>114</v>
      </c>
    </row>
    <row r="627" spans="1:27" x14ac:dyDescent="0.25">
      <c r="A627" t="s">
        <v>83</v>
      </c>
      <c r="B627" t="s">
        <v>993</v>
      </c>
      <c r="C627">
        <v>6</v>
      </c>
      <c r="D627" t="s">
        <v>21</v>
      </c>
      <c r="E627" t="s">
        <v>94</v>
      </c>
      <c r="F627" t="s">
        <v>103</v>
      </c>
      <c r="G627" t="s">
        <v>103</v>
      </c>
      <c r="H627" t="s">
        <v>239</v>
      </c>
      <c r="J627">
        <v>0</v>
      </c>
      <c r="K627">
        <v>1</v>
      </c>
      <c r="L627">
        <v>98.291666669999998</v>
      </c>
      <c r="M627">
        <v>30.315130790000001</v>
      </c>
      <c r="N627">
        <v>5.0803484000000003E-2</v>
      </c>
      <c r="O627">
        <v>0.42866070000000001</v>
      </c>
      <c r="P627">
        <v>100.45454549999999</v>
      </c>
      <c r="Q627">
        <v>26.754810689999999</v>
      </c>
      <c r="R627">
        <v>0.75829999999999997</v>
      </c>
      <c r="S627">
        <v>0.40907861000000001</v>
      </c>
      <c r="T627">
        <v>-2.1628788299999999</v>
      </c>
      <c r="U627">
        <v>2.1628788299999999</v>
      </c>
      <c r="V627">
        <v>3.5603201000000002</v>
      </c>
      <c r="W627">
        <v>3.5603201000000002</v>
      </c>
      <c r="X627">
        <v>-0.70749651599999996</v>
      </c>
      <c r="Y627">
        <v>0.70749651599999996</v>
      </c>
      <c r="Z627">
        <v>1.9582089999999996E-2</v>
      </c>
      <c r="AA627">
        <v>1.9582089999999996E-2</v>
      </c>
    </row>
    <row r="628" spans="1:27" x14ac:dyDescent="0.25">
      <c r="A628" t="s">
        <v>83</v>
      </c>
      <c r="B628" t="s">
        <v>994</v>
      </c>
      <c r="C628">
        <v>6</v>
      </c>
      <c r="D628" t="s">
        <v>21</v>
      </c>
      <c r="E628" t="s">
        <v>94</v>
      </c>
      <c r="F628" t="s">
        <v>111</v>
      </c>
      <c r="G628" t="s">
        <v>121</v>
      </c>
      <c r="H628" t="s">
        <v>114</v>
      </c>
      <c r="J628">
        <v>0</v>
      </c>
      <c r="K628">
        <v>0</v>
      </c>
      <c r="L628">
        <v>94.97142857</v>
      </c>
      <c r="M628">
        <v>24.31591813</v>
      </c>
      <c r="N628">
        <v>0.122951111</v>
      </c>
      <c r="O628">
        <v>0.39050790000000002</v>
      </c>
      <c r="P628" t="s">
        <v>114</v>
      </c>
      <c r="Q628" t="s">
        <v>114</v>
      </c>
      <c r="R628" t="s">
        <v>114</v>
      </c>
      <c r="S628" t="s">
        <v>114</v>
      </c>
      <c r="T628" t="s">
        <v>114</v>
      </c>
      <c r="U628" t="s">
        <v>114</v>
      </c>
      <c r="V628" t="s">
        <v>114</v>
      </c>
      <c r="W628" t="s">
        <v>114</v>
      </c>
      <c r="X628" t="s">
        <v>114</v>
      </c>
      <c r="Y628" t="s">
        <v>114</v>
      </c>
      <c r="Z628" t="s">
        <v>114</v>
      </c>
      <c r="AA628" t="s">
        <v>114</v>
      </c>
    </row>
    <row r="629" spans="1:27" x14ac:dyDescent="0.25">
      <c r="A629" t="s">
        <v>84</v>
      </c>
      <c r="B629" t="s">
        <v>995</v>
      </c>
      <c r="C629">
        <v>6</v>
      </c>
      <c r="D629" t="s">
        <v>23</v>
      </c>
      <c r="E629" t="s">
        <v>95</v>
      </c>
      <c r="F629" t="s">
        <v>102</v>
      </c>
      <c r="G629" t="s">
        <v>121</v>
      </c>
      <c r="H629" t="s">
        <v>254</v>
      </c>
      <c r="J629">
        <v>0</v>
      </c>
      <c r="K629">
        <v>3</v>
      </c>
      <c r="L629">
        <v>84.740740740000007</v>
      </c>
      <c r="M629">
        <v>29.167014049999999</v>
      </c>
      <c r="N629">
        <v>1.1169849999999999</v>
      </c>
      <c r="O629">
        <v>1.1571499000000001</v>
      </c>
      <c r="P629" t="s">
        <v>114</v>
      </c>
      <c r="Q629" t="s">
        <v>114</v>
      </c>
      <c r="R629" t="s">
        <v>114</v>
      </c>
      <c r="S629" t="s">
        <v>114</v>
      </c>
      <c r="T629" t="s">
        <v>114</v>
      </c>
      <c r="U629" t="s">
        <v>114</v>
      </c>
      <c r="V629" t="s">
        <v>114</v>
      </c>
      <c r="W629" t="s">
        <v>114</v>
      </c>
      <c r="X629" t="s">
        <v>114</v>
      </c>
      <c r="Y629" t="s">
        <v>114</v>
      </c>
      <c r="Z629" t="s">
        <v>114</v>
      </c>
      <c r="AA629" t="s">
        <v>114</v>
      </c>
    </row>
    <row r="630" spans="1:27" x14ac:dyDescent="0.25">
      <c r="A630" t="s">
        <v>84</v>
      </c>
      <c r="B630" t="s">
        <v>995</v>
      </c>
      <c r="C630">
        <v>6</v>
      </c>
      <c r="D630" t="s">
        <v>23</v>
      </c>
      <c r="E630" t="s">
        <v>95</v>
      </c>
      <c r="F630" t="s">
        <v>102</v>
      </c>
      <c r="G630" t="s">
        <v>121</v>
      </c>
      <c r="H630" t="s">
        <v>254</v>
      </c>
      <c r="J630">
        <v>0</v>
      </c>
      <c r="K630">
        <v>3</v>
      </c>
      <c r="L630">
        <v>84.740740740000007</v>
      </c>
      <c r="M630">
        <v>29.167014049999999</v>
      </c>
      <c r="N630">
        <v>1.1169849999999999</v>
      </c>
      <c r="O630">
        <v>1.1571499000000001</v>
      </c>
      <c r="P630" t="s">
        <v>114</v>
      </c>
      <c r="Q630" t="s">
        <v>114</v>
      </c>
      <c r="R630" t="s">
        <v>114</v>
      </c>
      <c r="S630" t="s">
        <v>114</v>
      </c>
      <c r="T630" t="s">
        <v>114</v>
      </c>
      <c r="U630" t="s">
        <v>114</v>
      </c>
      <c r="V630" t="s">
        <v>114</v>
      </c>
      <c r="W630" t="s">
        <v>114</v>
      </c>
      <c r="X630" t="s">
        <v>114</v>
      </c>
      <c r="Y630" t="s">
        <v>114</v>
      </c>
      <c r="Z630" t="s">
        <v>114</v>
      </c>
      <c r="AA630" t="s">
        <v>114</v>
      </c>
    </row>
    <row r="631" spans="1:27" x14ac:dyDescent="0.25">
      <c r="A631" t="s">
        <v>84</v>
      </c>
      <c r="B631" t="s">
        <v>995</v>
      </c>
      <c r="C631">
        <v>6</v>
      </c>
      <c r="D631" t="s">
        <v>23</v>
      </c>
      <c r="E631" t="s">
        <v>95</v>
      </c>
      <c r="F631" t="s">
        <v>102</v>
      </c>
      <c r="G631" t="s">
        <v>121</v>
      </c>
      <c r="H631" t="s">
        <v>254</v>
      </c>
      <c r="J631">
        <v>0</v>
      </c>
      <c r="K631">
        <v>3</v>
      </c>
      <c r="L631">
        <v>84.740740740000007</v>
      </c>
      <c r="M631">
        <v>29.167014049999999</v>
      </c>
      <c r="N631">
        <v>1.1169849999999999</v>
      </c>
      <c r="O631">
        <v>1.1571499000000001</v>
      </c>
      <c r="P631" t="s">
        <v>114</v>
      </c>
      <c r="Q631" t="s">
        <v>114</v>
      </c>
      <c r="R631" t="s">
        <v>114</v>
      </c>
      <c r="S631" t="s">
        <v>114</v>
      </c>
      <c r="T631" t="s">
        <v>114</v>
      </c>
      <c r="U631" t="s">
        <v>114</v>
      </c>
      <c r="V631" t="s">
        <v>114</v>
      </c>
      <c r="W631" t="s">
        <v>114</v>
      </c>
      <c r="X631" t="s">
        <v>114</v>
      </c>
      <c r="Y631" t="s">
        <v>114</v>
      </c>
      <c r="Z631" t="s">
        <v>114</v>
      </c>
      <c r="AA631" t="s">
        <v>114</v>
      </c>
    </row>
    <row r="632" spans="1:27" x14ac:dyDescent="0.25">
      <c r="A632" t="s">
        <v>84</v>
      </c>
      <c r="B632" t="s">
        <v>995</v>
      </c>
      <c r="C632">
        <v>6</v>
      </c>
      <c r="D632" t="s">
        <v>23</v>
      </c>
      <c r="E632" t="s">
        <v>95</v>
      </c>
      <c r="F632" t="s">
        <v>102</v>
      </c>
      <c r="G632" t="s">
        <v>121</v>
      </c>
      <c r="H632" t="s">
        <v>248</v>
      </c>
      <c r="J632">
        <v>0</v>
      </c>
      <c r="K632">
        <v>1</v>
      </c>
      <c r="L632">
        <v>84.740740740000007</v>
      </c>
      <c r="M632">
        <v>29.167014049999999</v>
      </c>
      <c r="N632">
        <v>1.1169849999999999</v>
      </c>
      <c r="O632">
        <v>1.1571499000000001</v>
      </c>
      <c r="P632">
        <v>83.92307692</v>
      </c>
      <c r="Q632">
        <v>44.319135699999997</v>
      </c>
      <c r="R632">
        <v>5.9548609999999997E-3</v>
      </c>
      <c r="S632">
        <v>0.18017928</v>
      </c>
      <c r="T632">
        <v>0.81766382000000004</v>
      </c>
      <c r="U632">
        <v>0.81766382000000004</v>
      </c>
      <c r="V632">
        <v>-15.15212165</v>
      </c>
      <c r="W632">
        <v>15.15212165</v>
      </c>
      <c r="X632">
        <v>1.1110301389999999</v>
      </c>
      <c r="Y632">
        <v>1.1110301389999999</v>
      </c>
      <c r="Z632">
        <v>0.97697062000000012</v>
      </c>
      <c r="AA632">
        <v>0.97697062000000012</v>
      </c>
    </row>
    <row r="633" spans="1:27" x14ac:dyDescent="0.25">
      <c r="A633" t="s">
        <v>84</v>
      </c>
      <c r="B633" t="s">
        <v>995</v>
      </c>
      <c r="C633">
        <v>6</v>
      </c>
      <c r="D633" t="s">
        <v>23</v>
      </c>
      <c r="E633" t="s">
        <v>95</v>
      </c>
      <c r="F633" t="s">
        <v>102</v>
      </c>
      <c r="G633" t="s">
        <v>121</v>
      </c>
      <c r="H633" t="s">
        <v>233</v>
      </c>
      <c r="J633">
        <v>0</v>
      </c>
      <c r="K633">
        <v>1</v>
      </c>
      <c r="L633">
        <v>84.740740740000007</v>
      </c>
      <c r="M633">
        <v>29.167014049999999</v>
      </c>
      <c r="N633">
        <v>1.1169849999999999</v>
      </c>
      <c r="O633">
        <v>1.1571499000000001</v>
      </c>
      <c r="P633">
        <v>106.0540541</v>
      </c>
      <c r="Q633">
        <v>52.690533369999997</v>
      </c>
      <c r="R633">
        <v>7.6058968000000005E-2</v>
      </c>
      <c r="S633">
        <v>0.44888888999999998</v>
      </c>
      <c r="T633">
        <v>-21.313313359999999</v>
      </c>
      <c r="U633">
        <v>21.313313359999999</v>
      </c>
      <c r="V633">
        <v>-23.523519319999998</v>
      </c>
      <c r="W633">
        <v>23.523519319999998</v>
      </c>
      <c r="X633">
        <v>1.040926032</v>
      </c>
      <c r="Y633">
        <v>1.040926032</v>
      </c>
      <c r="Z633">
        <v>0.70826101000000008</v>
      </c>
      <c r="AA633">
        <v>0.70826101000000008</v>
      </c>
    </row>
    <row r="634" spans="1:27" x14ac:dyDescent="0.25">
      <c r="A634" t="s">
        <v>84</v>
      </c>
      <c r="B634" t="s">
        <v>995</v>
      </c>
      <c r="C634">
        <v>6</v>
      </c>
      <c r="D634" t="s">
        <v>23</v>
      </c>
      <c r="E634" t="s">
        <v>95</v>
      </c>
      <c r="F634" t="s">
        <v>102</v>
      </c>
      <c r="G634" t="s">
        <v>121</v>
      </c>
      <c r="H634" t="s">
        <v>103</v>
      </c>
      <c r="J634">
        <v>0</v>
      </c>
      <c r="K634">
        <v>5</v>
      </c>
      <c r="L634">
        <v>84.740740740000007</v>
      </c>
      <c r="M634">
        <v>29.167014049999999</v>
      </c>
      <c r="N634">
        <v>1.1169849999999999</v>
      </c>
      <c r="O634">
        <v>1.1571499000000001</v>
      </c>
      <c r="P634">
        <v>98.291666669999998</v>
      </c>
      <c r="Q634">
        <v>30.315130790000001</v>
      </c>
      <c r="R634">
        <v>5.0803484000000003E-2</v>
      </c>
      <c r="S634">
        <v>0.42866070000000001</v>
      </c>
      <c r="T634">
        <v>-13.55092593</v>
      </c>
      <c r="U634">
        <v>13.55092593</v>
      </c>
      <c r="V634">
        <v>-1.1481167400000001</v>
      </c>
      <c r="W634">
        <v>1.1481167400000001</v>
      </c>
      <c r="X634">
        <v>1.0661815160000001</v>
      </c>
      <c r="Y634">
        <v>1.0661815160000001</v>
      </c>
      <c r="Z634">
        <v>0.72848920000000006</v>
      </c>
      <c r="AA634">
        <v>0.72848920000000006</v>
      </c>
    </row>
    <row r="635" spans="1:27" x14ac:dyDescent="0.25">
      <c r="A635" t="s">
        <v>84</v>
      </c>
      <c r="B635" t="s">
        <v>995</v>
      </c>
      <c r="C635">
        <v>6</v>
      </c>
      <c r="D635" t="s">
        <v>23</v>
      </c>
      <c r="E635" t="s">
        <v>95</v>
      </c>
      <c r="F635" t="s">
        <v>102</v>
      </c>
      <c r="G635" t="s">
        <v>121</v>
      </c>
      <c r="H635" t="s">
        <v>103</v>
      </c>
      <c r="J635">
        <v>0</v>
      </c>
      <c r="K635">
        <v>5</v>
      </c>
      <c r="L635">
        <v>84.740740740000007</v>
      </c>
      <c r="M635">
        <v>29.167014049999999</v>
      </c>
      <c r="N635">
        <v>1.1169849999999999</v>
      </c>
      <c r="O635">
        <v>1.1571499000000001</v>
      </c>
      <c r="P635">
        <v>98.291666669999998</v>
      </c>
      <c r="Q635">
        <v>30.315130790000001</v>
      </c>
      <c r="R635">
        <v>5.0803484000000003E-2</v>
      </c>
      <c r="S635">
        <v>0.42866070000000001</v>
      </c>
      <c r="T635">
        <v>-13.55092593</v>
      </c>
      <c r="U635">
        <v>13.55092593</v>
      </c>
      <c r="V635">
        <v>-1.1481167400000001</v>
      </c>
      <c r="W635">
        <v>1.1481167400000001</v>
      </c>
      <c r="X635">
        <v>1.0661815160000001</v>
      </c>
      <c r="Y635">
        <v>1.0661815160000001</v>
      </c>
      <c r="Z635">
        <v>0.72848920000000006</v>
      </c>
      <c r="AA635">
        <v>0.72848920000000006</v>
      </c>
    </row>
    <row r="636" spans="1:27" x14ac:dyDescent="0.25">
      <c r="A636" t="s">
        <v>84</v>
      </c>
      <c r="B636" t="s">
        <v>995</v>
      </c>
      <c r="C636">
        <v>6</v>
      </c>
      <c r="D636" t="s">
        <v>23</v>
      </c>
      <c r="E636" t="s">
        <v>95</v>
      </c>
      <c r="F636" t="s">
        <v>102</v>
      </c>
      <c r="G636" t="s">
        <v>121</v>
      </c>
      <c r="H636" t="s">
        <v>103</v>
      </c>
      <c r="J636">
        <v>0</v>
      </c>
      <c r="K636">
        <v>5</v>
      </c>
      <c r="L636">
        <v>84.740740740000007</v>
      </c>
      <c r="M636">
        <v>29.167014049999999</v>
      </c>
      <c r="N636">
        <v>1.1169849999999999</v>
      </c>
      <c r="O636">
        <v>1.1571499000000001</v>
      </c>
      <c r="P636">
        <v>98.291666669999998</v>
      </c>
      <c r="Q636">
        <v>30.315130790000001</v>
      </c>
      <c r="R636">
        <v>5.0803484000000003E-2</v>
      </c>
      <c r="S636">
        <v>0.42866070000000001</v>
      </c>
      <c r="T636">
        <v>-13.55092593</v>
      </c>
      <c r="U636">
        <v>13.55092593</v>
      </c>
      <c r="V636">
        <v>-1.1481167400000001</v>
      </c>
      <c r="W636">
        <v>1.1481167400000001</v>
      </c>
      <c r="X636">
        <v>1.0661815160000001</v>
      </c>
      <c r="Y636">
        <v>1.0661815160000001</v>
      </c>
      <c r="Z636">
        <v>0.72848920000000006</v>
      </c>
      <c r="AA636">
        <v>0.72848920000000006</v>
      </c>
    </row>
    <row r="637" spans="1:27" x14ac:dyDescent="0.25">
      <c r="A637" t="s">
        <v>84</v>
      </c>
      <c r="B637" t="s">
        <v>995</v>
      </c>
      <c r="C637">
        <v>6</v>
      </c>
      <c r="D637" t="s">
        <v>23</v>
      </c>
      <c r="E637" t="s">
        <v>95</v>
      </c>
      <c r="F637" t="s">
        <v>102</v>
      </c>
      <c r="G637" t="s">
        <v>121</v>
      </c>
      <c r="H637" t="s">
        <v>103</v>
      </c>
      <c r="J637">
        <v>0</v>
      </c>
      <c r="K637">
        <v>5</v>
      </c>
      <c r="L637">
        <v>84.740740740000007</v>
      </c>
      <c r="M637">
        <v>29.167014049999999</v>
      </c>
      <c r="N637">
        <v>1.1169849999999999</v>
      </c>
      <c r="O637">
        <v>1.1571499000000001</v>
      </c>
      <c r="P637">
        <v>98.291666669999998</v>
      </c>
      <c r="Q637">
        <v>30.315130790000001</v>
      </c>
      <c r="R637">
        <v>5.0803484000000003E-2</v>
      </c>
      <c r="S637">
        <v>0.42866070000000001</v>
      </c>
      <c r="T637">
        <v>-13.55092593</v>
      </c>
      <c r="U637">
        <v>13.55092593</v>
      </c>
      <c r="V637">
        <v>-1.1481167400000001</v>
      </c>
      <c r="W637">
        <v>1.1481167400000001</v>
      </c>
      <c r="X637">
        <v>1.0661815160000001</v>
      </c>
      <c r="Y637">
        <v>1.0661815160000001</v>
      </c>
      <c r="Z637">
        <v>0.72848920000000006</v>
      </c>
      <c r="AA637">
        <v>0.72848920000000006</v>
      </c>
    </row>
    <row r="638" spans="1:27" x14ac:dyDescent="0.25">
      <c r="A638" t="s">
        <v>84</v>
      </c>
      <c r="B638" t="s">
        <v>995</v>
      </c>
      <c r="C638">
        <v>6</v>
      </c>
      <c r="D638" t="s">
        <v>23</v>
      </c>
      <c r="E638" t="s">
        <v>95</v>
      </c>
      <c r="F638" t="s">
        <v>102</v>
      </c>
      <c r="G638" t="s">
        <v>121</v>
      </c>
      <c r="H638" t="s">
        <v>103</v>
      </c>
      <c r="J638">
        <v>0</v>
      </c>
      <c r="K638">
        <v>5</v>
      </c>
      <c r="L638">
        <v>84.740740740000007</v>
      </c>
      <c r="M638">
        <v>29.167014049999999</v>
      </c>
      <c r="N638">
        <v>1.1169849999999999</v>
      </c>
      <c r="O638">
        <v>1.1571499000000001</v>
      </c>
      <c r="P638">
        <v>98.291666669999998</v>
      </c>
      <c r="Q638">
        <v>30.315130790000001</v>
      </c>
      <c r="R638">
        <v>5.0803484000000003E-2</v>
      </c>
      <c r="S638">
        <v>0.42866070000000001</v>
      </c>
      <c r="T638">
        <v>-13.55092593</v>
      </c>
      <c r="U638">
        <v>13.55092593</v>
      </c>
      <c r="V638">
        <v>-1.1481167400000001</v>
      </c>
      <c r="W638">
        <v>1.1481167400000001</v>
      </c>
      <c r="X638">
        <v>1.0661815160000001</v>
      </c>
      <c r="Y638">
        <v>1.0661815160000001</v>
      </c>
      <c r="Z638">
        <v>0.72848920000000006</v>
      </c>
      <c r="AA638">
        <v>0.72848920000000006</v>
      </c>
    </row>
    <row r="639" spans="1:27" x14ac:dyDescent="0.25">
      <c r="A639" t="s">
        <v>84</v>
      </c>
      <c r="B639" t="s">
        <v>996</v>
      </c>
      <c r="C639">
        <v>6</v>
      </c>
      <c r="D639" t="s">
        <v>23</v>
      </c>
      <c r="E639" t="s">
        <v>95</v>
      </c>
      <c r="F639" t="s">
        <v>105</v>
      </c>
      <c r="G639" t="s">
        <v>103</v>
      </c>
      <c r="H639" t="s">
        <v>114</v>
      </c>
      <c r="J639">
        <v>0</v>
      </c>
      <c r="K639" t="s">
        <v>114</v>
      </c>
      <c r="L639">
        <v>67.5</v>
      </c>
      <c r="M639">
        <v>47.937235809999997</v>
      </c>
      <c r="N639">
        <v>0.41599678000000001</v>
      </c>
      <c r="O639">
        <v>2.0950346999999998</v>
      </c>
      <c r="P639" t="s">
        <v>114</v>
      </c>
      <c r="Q639" t="s">
        <v>114</v>
      </c>
      <c r="R639" t="s">
        <v>114</v>
      </c>
      <c r="S639" t="s">
        <v>114</v>
      </c>
      <c r="T639" t="s">
        <v>114</v>
      </c>
      <c r="U639" t="s">
        <v>114</v>
      </c>
      <c r="V639" t="s">
        <v>114</v>
      </c>
      <c r="W639" t="s">
        <v>114</v>
      </c>
      <c r="X639" t="s">
        <v>114</v>
      </c>
      <c r="Y639" t="s">
        <v>114</v>
      </c>
      <c r="Z639" t="s">
        <v>114</v>
      </c>
      <c r="AA639" t="s">
        <v>114</v>
      </c>
    </row>
    <row r="640" spans="1:27" x14ac:dyDescent="0.25">
      <c r="A640" t="s">
        <v>84</v>
      </c>
      <c r="B640" t="s">
        <v>997</v>
      </c>
      <c r="C640">
        <v>6</v>
      </c>
      <c r="D640" t="s">
        <v>23</v>
      </c>
      <c r="E640" t="s">
        <v>95</v>
      </c>
      <c r="F640" t="s">
        <v>111</v>
      </c>
      <c r="G640" t="s">
        <v>103</v>
      </c>
      <c r="H640" t="s">
        <v>103</v>
      </c>
      <c r="J640">
        <v>0</v>
      </c>
      <c r="K640">
        <v>2</v>
      </c>
      <c r="L640">
        <v>94.97142857</v>
      </c>
      <c r="M640">
        <v>24.31591813</v>
      </c>
      <c r="N640">
        <v>0.122951111</v>
      </c>
      <c r="O640">
        <v>0.39050790000000002</v>
      </c>
      <c r="P640">
        <v>98.291666669999998</v>
      </c>
      <c r="Q640">
        <v>30.315130790000001</v>
      </c>
      <c r="R640">
        <v>5.0803484000000003E-2</v>
      </c>
      <c r="S640">
        <v>0.42866070000000001</v>
      </c>
      <c r="T640">
        <v>-3.3202381000000001</v>
      </c>
      <c r="U640">
        <v>3.3202381000000001</v>
      </c>
      <c r="V640">
        <v>-5.9992126600000004</v>
      </c>
      <c r="W640">
        <v>5.9992126600000004</v>
      </c>
      <c r="X640">
        <v>7.2147627000000006E-2</v>
      </c>
      <c r="Y640">
        <v>7.2147627000000006E-2</v>
      </c>
      <c r="Z640">
        <v>-3.8152799999999987E-2</v>
      </c>
      <c r="AA640">
        <v>3.8152799999999987E-2</v>
      </c>
    </row>
    <row r="641" spans="1:27" x14ac:dyDescent="0.25">
      <c r="A641" t="s">
        <v>84</v>
      </c>
      <c r="B641" t="s">
        <v>997</v>
      </c>
      <c r="C641">
        <v>6</v>
      </c>
      <c r="D641" t="s">
        <v>23</v>
      </c>
      <c r="E641" t="s">
        <v>95</v>
      </c>
      <c r="F641" t="s">
        <v>111</v>
      </c>
      <c r="G641" t="s">
        <v>103</v>
      </c>
      <c r="H641" t="s">
        <v>103</v>
      </c>
      <c r="J641">
        <v>0</v>
      </c>
      <c r="K641">
        <v>2</v>
      </c>
      <c r="L641">
        <v>94.97142857</v>
      </c>
      <c r="M641">
        <v>24.31591813</v>
      </c>
      <c r="N641">
        <v>0.122951111</v>
      </c>
      <c r="O641">
        <v>0.39050790000000002</v>
      </c>
      <c r="P641">
        <v>98.291666669999998</v>
      </c>
      <c r="Q641">
        <v>30.315130790000001</v>
      </c>
      <c r="R641">
        <v>5.0803484000000003E-2</v>
      </c>
      <c r="S641">
        <v>0.42866070000000001</v>
      </c>
      <c r="T641">
        <v>-3.3202381000000001</v>
      </c>
      <c r="U641">
        <v>3.3202381000000001</v>
      </c>
      <c r="V641">
        <v>-5.9992126600000004</v>
      </c>
      <c r="W641">
        <v>5.9992126600000004</v>
      </c>
      <c r="X641">
        <v>7.2147627000000006E-2</v>
      </c>
      <c r="Y641">
        <v>7.2147627000000006E-2</v>
      </c>
      <c r="Z641">
        <v>-3.8152799999999987E-2</v>
      </c>
      <c r="AA641">
        <v>3.8152799999999987E-2</v>
      </c>
    </row>
    <row r="642" spans="1:27" x14ac:dyDescent="0.25">
      <c r="A642" t="s">
        <v>84</v>
      </c>
      <c r="B642" t="s">
        <v>997</v>
      </c>
      <c r="C642">
        <v>6</v>
      </c>
      <c r="D642" t="s">
        <v>23</v>
      </c>
      <c r="E642" t="s">
        <v>95</v>
      </c>
      <c r="F642" t="s">
        <v>111</v>
      </c>
      <c r="G642" t="s">
        <v>103</v>
      </c>
      <c r="H642" t="s">
        <v>247</v>
      </c>
      <c r="J642">
        <v>0</v>
      </c>
      <c r="K642">
        <v>1</v>
      </c>
      <c r="L642">
        <v>94.97142857</v>
      </c>
      <c r="M642">
        <v>24.31591813</v>
      </c>
      <c r="N642">
        <v>0.122951111</v>
      </c>
      <c r="O642">
        <v>0.39050790000000002</v>
      </c>
      <c r="P642">
        <v>65.791044779999993</v>
      </c>
      <c r="Q642">
        <v>22.94519201</v>
      </c>
      <c r="R642">
        <v>8.1320334999999994E-2</v>
      </c>
      <c r="S642">
        <v>0.17285655</v>
      </c>
      <c r="T642">
        <v>29.18038379</v>
      </c>
      <c r="U642">
        <v>29.18038379</v>
      </c>
      <c r="V642">
        <v>1.37072612</v>
      </c>
      <c r="W642">
        <v>1.37072612</v>
      </c>
      <c r="X642">
        <v>4.1630776000000001E-2</v>
      </c>
      <c r="Y642">
        <v>4.1630776000000001E-2</v>
      </c>
      <c r="Z642">
        <v>0.21765135000000002</v>
      </c>
      <c r="AA642">
        <v>0.21765135000000002</v>
      </c>
    </row>
    <row r="643" spans="1:27" x14ac:dyDescent="0.25">
      <c r="A643" t="s">
        <v>84</v>
      </c>
      <c r="B643" t="s">
        <v>997</v>
      </c>
      <c r="C643">
        <v>6</v>
      </c>
      <c r="D643" t="s">
        <v>23</v>
      </c>
      <c r="E643" t="s">
        <v>95</v>
      </c>
      <c r="F643" t="s">
        <v>111</v>
      </c>
      <c r="G643" t="s">
        <v>103</v>
      </c>
      <c r="H643" t="s">
        <v>233</v>
      </c>
      <c r="J643">
        <v>0</v>
      </c>
      <c r="K643">
        <v>1</v>
      </c>
      <c r="L643">
        <v>94.97142857</v>
      </c>
      <c r="M643">
        <v>24.31591813</v>
      </c>
      <c r="N643">
        <v>0.122951111</v>
      </c>
      <c r="O643">
        <v>0.39050790000000002</v>
      </c>
      <c r="P643">
        <v>106.0540541</v>
      </c>
      <c r="Q643">
        <v>52.690533369999997</v>
      </c>
      <c r="R643">
        <v>7.6058968000000005E-2</v>
      </c>
      <c r="S643">
        <v>0.44888888999999998</v>
      </c>
      <c r="T643">
        <v>-11.08262553</v>
      </c>
      <c r="U643">
        <v>11.08262553</v>
      </c>
      <c r="V643">
        <v>-28.374615240000001</v>
      </c>
      <c r="W643">
        <v>28.374615240000001</v>
      </c>
      <c r="X643">
        <v>4.6892142999999997E-2</v>
      </c>
      <c r="Y643">
        <v>4.6892142999999997E-2</v>
      </c>
      <c r="Z643">
        <v>-5.8380989999999966E-2</v>
      </c>
      <c r="AA643">
        <v>5.8380989999999966E-2</v>
      </c>
    </row>
    <row r="644" spans="1:27" x14ac:dyDescent="0.25">
      <c r="A644" t="s">
        <v>84</v>
      </c>
      <c r="B644" t="s">
        <v>997</v>
      </c>
      <c r="C644">
        <v>6</v>
      </c>
      <c r="D644" t="s">
        <v>23</v>
      </c>
      <c r="E644" t="s">
        <v>95</v>
      </c>
      <c r="F644" t="s">
        <v>111</v>
      </c>
      <c r="G644" t="s">
        <v>103</v>
      </c>
      <c r="H644" t="s">
        <v>808</v>
      </c>
      <c r="J644">
        <v>0</v>
      </c>
      <c r="K644">
        <v>1</v>
      </c>
      <c r="L644">
        <v>94.97142857</v>
      </c>
      <c r="M644">
        <v>24.31591813</v>
      </c>
      <c r="N644">
        <v>0.122951111</v>
      </c>
      <c r="O644">
        <v>0.39050790000000002</v>
      </c>
      <c r="P644">
        <v>102.79166669999999</v>
      </c>
      <c r="Q644">
        <v>27.057373470000002</v>
      </c>
      <c r="R644">
        <v>6.3567849939999999</v>
      </c>
      <c r="S644" t="s">
        <v>114</v>
      </c>
      <c r="T644">
        <v>-7.8202381299999999</v>
      </c>
      <c r="U644">
        <v>7.8202381299999999</v>
      </c>
      <c r="V644">
        <v>-2.7414553399999999</v>
      </c>
      <c r="W644">
        <v>2.7414553399999999</v>
      </c>
      <c r="X644">
        <v>-6.233833883</v>
      </c>
      <c r="Y644">
        <v>6.233833883</v>
      </c>
      <c r="Z644" t="s">
        <v>114</v>
      </c>
      <c r="AA644" t="s">
        <v>114</v>
      </c>
    </row>
    <row r="645" spans="1:27" x14ac:dyDescent="0.25">
      <c r="A645" t="s">
        <v>84</v>
      </c>
      <c r="B645" t="s">
        <v>998</v>
      </c>
      <c r="C645">
        <v>6</v>
      </c>
      <c r="D645" t="s">
        <v>23</v>
      </c>
      <c r="E645" t="s">
        <v>95</v>
      </c>
      <c r="F645" t="s">
        <v>112</v>
      </c>
      <c r="G645" t="s">
        <v>103</v>
      </c>
      <c r="H645" t="s">
        <v>236</v>
      </c>
      <c r="J645">
        <v>0</v>
      </c>
      <c r="K645">
        <v>1</v>
      </c>
      <c r="L645">
        <v>65.09375</v>
      </c>
      <c r="M645">
        <v>37.895352600000002</v>
      </c>
      <c r="N645">
        <v>2.2882677779999998</v>
      </c>
      <c r="O645">
        <v>2.2111774</v>
      </c>
      <c r="P645">
        <v>113.33333330000001</v>
      </c>
      <c r="Q645">
        <v>26.41632581</v>
      </c>
      <c r="R645">
        <v>1.6844570160000001</v>
      </c>
      <c r="S645">
        <v>8.9285710000000004E-2</v>
      </c>
      <c r="T645">
        <v>-48.2395833</v>
      </c>
      <c r="U645">
        <v>48.2395833</v>
      </c>
      <c r="V645">
        <v>11.479026790000001</v>
      </c>
      <c r="W645">
        <v>11.479026790000001</v>
      </c>
      <c r="X645">
        <v>0.60381076199999995</v>
      </c>
      <c r="Y645">
        <v>0.60381076199999995</v>
      </c>
      <c r="Z645">
        <v>2.12189169</v>
      </c>
      <c r="AA645">
        <v>2.12189169</v>
      </c>
    </row>
    <row r="646" spans="1:27" x14ac:dyDescent="0.25">
      <c r="A646" t="s">
        <v>84</v>
      </c>
      <c r="B646" t="s">
        <v>998</v>
      </c>
      <c r="C646">
        <v>6</v>
      </c>
      <c r="D646" t="s">
        <v>23</v>
      </c>
      <c r="E646" t="s">
        <v>95</v>
      </c>
      <c r="F646" t="s">
        <v>112</v>
      </c>
      <c r="G646" t="s">
        <v>103</v>
      </c>
      <c r="H646" t="s">
        <v>103</v>
      </c>
      <c r="J646">
        <v>0</v>
      </c>
      <c r="K646">
        <v>2</v>
      </c>
      <c r="L646">
        <v>65.09375</v>
      </c>
      <c r="M646">
        <v>37.895352600000002</v>
      </c>
      <c r="N646">
        <v>2.2882677779999998</v>
      </c>
      <c r="O646">
        <v>2.2111774</v>
      </c>
      <c r="P646">
        <v>98.291666669999998</v>
      </c>
      <c r="Q646">
        <v>30.315130790000001</v>
      </c>
      <c r="R646">
        <v>5.0803484000000003E-2</v>
      </c>
      <c r="S646">
        <v>0.42866070000000001</v>
      </c>
      <c r="T646">
        <v>-33.197916669999998</v>
      </c>
      <c r="U646">
        <v>33.197916669999998</v>
      </c>
      <c r="V646">
        <v>7.5802218100000003</v>
      </c>
      <c r="W646">
        <v>7.5802218100000003</v>
      </c>
      <c r="X646">
        <v>2.237464294</v>
      </c>
      <c r="Y646">
        <v>2.237464294</v>
      </c>
      <c r="Z646">
        <v>1.7825167</v>
      </c>
      <c r="AA646">
        <v>1.7825167</v>
      </c>
    </row>
    <row r="647" spans="1:27" x14ac:dyDescent="0.25">
      <c r="A647" t="s">
        <v>84</v>
      </c>
      <c r="B647" t="s">
        <v>998</v>
      </c>
      <c r="C647">
        <v>6</v>
      </c>
      <c r="D647" t="s">
        <v>23</v>
      </c>
      <c r="E647" t="s">
        <v>95</v>
      </c>
      <c r="F647" t="s">
        <v>112</v>
      </c>
      <c r="G647" t="s">
        <v>103</v>
      </c>
      <c r="H647" t="s">
        <v>103</v>
      </c>
      <c r="J647">
        <v>0</v>
      </c>
      <c r="K647">
        <v>2</v>
      </c>
      <c r="L647">
        <v>65.09375</v>
      </c>
      <c r="M647">
        <v>37.895352600000002</v>
      </c>
      <c r="N647">
        <v>2.2882677779999998</v>
      </c>
      <c r="O647">
        <v>2.2111774</v>
      </c>
      <c r="P647">
        <v>98.291666669999998</v>
      </c>
      <c r="Q647">
        <v>30.315130790000001</v>
      </c>
      <c r="R647">
        <v>5.0803484000000003E-2</v>
      </c>
      <c r="S647">
        <v>0.42866070000000001</v>
      </c>
      <c r="T647">
        <v>-33.197916669999998</v>
      </c>
      <c r="U647">
        <v>33.197916669999998</v>
      </c>
      <c r="V647">
        <v>7.5802218100000003</v>
      </c>
      <c r="W647">
        <v>7.5802218100000003</v>
      </c>
      <c r="X647">
        <v>2.237464294</v>
      </c>
      <c r="Y647">
        <v>2.237464294</v>
      </c>
      <c r="Z647">
        <v>1.7825167</v>
      </c>
      <c r="AA647">
        <v>1.7825167</v>
      </c>
    </row>
    <row r="648" spans="1:27" x14ac:dyDescent="0.25">
      <c r="A648" t="s">
        <v>84</v>
      </c>
      <c r="B648" t="s">
        <v>998</v>
      </c>
      <c r="C648">
        <v>6</v>
      </c>
      <c r="D648" t="s">
        <v>23</v>
      </c>
      <c r="E648" t="s">
        <v>95</v>
      </c>
      <c r="F648" t="s">
        <v>112</v>
      </c>
      <c r="G648" t="s">
        <v>103</v>
      </c>
      <c r="H648" t="s">
        <v>808</v>
      </c>
      <c r="J648">
        <v>0</v>
      </c>
      <c r="K648">
        <v>1</v>
      </c>
      <c r="L648">
        <v>65.09375</v>
      </c>
      <c r="M648">
        <v>37.895352600000002</v>
      </c>
      <c r="N648">
        <v>2.2882677779999998</v>
      </c>
      <c r="O648">
        <v>2.2111774</v>
      </c>
      <c r="P648">
        <v>102.79166669999999</v>
      </c>
      <c r="Q648">
        <v>27.057373470000002</v>
      </c>
      <c r="R648">
        <v>6.3567849939999999</v>
      </c>
      <c r="S648" t="s">
        <v>114</v>
      </c>
      <c r="T648">
        <v>-37.6979167</v>
      </c>
      <c r="U648">
        <v>37.6979167</v>
      </c>
      <c r="V648">
        <v>10.837979130000001</v>
      </c>
      <c r="W648">
        <v>10.837979130000001</v>
      </c>
      <c r="X648">
        <v>-4.068517216</v>
      </c>
      <c r="Y648">
        <v>4.068517216</v>
      </c>
      <c r="Z648" t="s">
        <v>114</v>
      </c>
      <c r="AA648" t="s">
        <v>114</v>
      </c>
    </row>
    <row r="649" spans="1:27" x14ac:dyDescent="0.25">
      <c r="A649" t="s">
        <v>84</v>
      </c>
      <c r="B649" t="s">
        <v>998</v>
      </c>
      <c r="C649">
        <v>6</v>
      </c>
      <c r="D649" t="s">
        <v>23</v>
      </c>
      <c r="E649" t="s">
        <v>95</v>
      </c>
      <c r="F649" t="s">
        <v>112</v>
      </c>
      <c r="G649" t="s">
        <v>103</v>
      </c>
      <c r="H649" t="s">
        <v>239</v>
      </c>
      <c r="J649">
        <v>0</v>
      </c>
      <c r="K649">
        <v>2</v>
      </c>
      <c r="L649">
        <v>65.09375</v>
      </c>
      <c r="M649">
        <v>37.895352600000002</v>
      </c>
      <c r="N649">
        <v>2.2882677779999998</v>
      </c>
      <c r="O649">
        <v>2.2111774</v>
      </c>
      <c r="P649">
        <v>100.45454549999999</v>
      </c>
      <c r="Q649">
        <v>26.754810689999999</v>
      </c>
      <c r="R649">
        <v>0.75829999999999997</v>
      </c>
      <c r="S649">
        <v>0.40907861000000001</v>
      </c>
      <c r="T649">
        <v>-35.360795500000002</v>
      </c>
      <c r="U649">
        <v>35.360795500000002</v>
      </c>
      <c r="V649">
        <v>11.14054191</v>
      </c>
      <c r="W649">
        <v>11.14054191</v>
      </c>
      <c r="X649">
        <v>1.5299677780000001</v>
      </c>
      <c r="Y649">
        <v>1.5299677780000001</v>
      </c>
      <c r="Z649">
        <v>1.8020987900000001</v>
      </c>
      <c r="AA649">
        <v>1.8020987900000001</v>
      </c>
    </row>
    <row r="650" spans="1:27" x14ac:dyDescent="0.25">
      <c r="A650" t="s">
        <v>84</v>
      </c>
      <c r="B650" t="s">
        <v>998</v>
      </c>
      <c r="C650">
        <v>6</v>
      </c>
      <c r="D650" t="s">
        <v>23</v>
      </c>
      <c r="E650" t="s">
        <v>95</v>
      </c>
      <c r="F650" t="s">
        <v>112</v>
      </c>
      <c r="G650" t="s">
        <v>103</v>
      </c>
      <c r="H650" t="s">
        <v>239</v>
      </c>
      <c r="J650">
        <v>0</v>
      </c>
      <c r="K650">
        <v>2</v>
      </c>
      <c r="L650">
        <v>65.09375</v>
      </c>
      <c r="M650">
        <v>37.895352600000002</v>
      </c>
      <c r="N650">
        <v>2.2882677779999998</v>
      </c>
      <c r="O650">
        <v>2.2111774</v>
      </c>
      <c r="P650">
        <v>100.45454549999999</v>
      </c>
      <c r="Q650">
        <v>26.754810689999999</v>
      </c>
      <c r="R650">
        <v>0.75829999999999997</v>
      </c>
      <c r="S650">
        <v>0.40907861000000001</v>
      </c>
      <c r="T650">
        <v>-35.360795500000002</v>
      </c>
      <c r="U650">
        <v>35.360795500000002</v>
      </c>
      <c r="V650">
        <v>11.14054191</v>
      </c>
      <c r="W650">
        <v>11.14054191</v>
      </c>
      <c r="X650">
        <v>1.5299677780000001</v>
      </c>
      <c r="Y650">
        <v>1.5299677780000001</v>
      </c>
      <c r="Z650">
        <v>1.8020987900000001</v>
      </c>
      <c r="AA650">
        <v>1.8020987900000001</v>
      </c>
    </row>
    <row r="651" spans="1:27" x14ac:dyDescent="0.25">
      <c r="A651" t="s">
        <v>85</v>
      </c>
      <c r="B651" t="s">
        <v>999</v>
      </c>
      <c r="C651">
        <v>6</v>
      </c>
      <c r="D651" t="s">
        <v>25</v>
      </c>
      <c r="E651" t="s">
        <v>94</v>
      </c>
      <c r="F651" t="s">
        <v>105</v>
      </c>
      <c r="G651" t="s">
        <v>103</v>
      </c>
      <c r="H651" t="s">
        <v>810</v>
      </c>
      <c r="J651">
        <v>0</v>
      </c>
      <c r="K651">
        <v>1</v>
      </c>
      <c r="L651">
        <v>67.5</v>
      </c>
      <c r="M651">
        <v>47.937235809999997</v>
      </c>
      <c r="N651">
        <v>0.41599678000000001</v>
      </c>
      <c r="O651">
        <v>2.0950346999999998</v>
      </c>
      <c r="P651">
        <v>77.055555560000002</v>
      </c>
      <c r="Q651">
        <v>18.389110710000001</v>
      </c>
      <c r="R651">
        <v>1.5559800079999999</v>
      </c>
      <c r="S651" t="s">
        <v>114</v>
      </c>
      <c r="T651">
        <v>-9.5555555600000002</v>
      </c>
      <c r="U651">
        <v>9.5555555600000002</v>
      </c>
      <c r="V651">
        <v>29.5481251</v>
      </c>
      <c r="W651">
        <v>29.5481251</v>
      </c>
      <c r="X651">
        <v>-1.139983228</v>
      </c>
      <c r="Y651">
        <v>1.139983228</v>
      </c>
      <c r="Z651" t="s">
        <v>114</v>
      </c>
      <c r="AA651" t="s">
        <v>114</v>
      </c>
    </row>
    <row r="652" spans="1:27" x14ac:dyDescent="0.25">
      <c r="A652" t="s">
        <v>85</v>
      </c>
      <c r="B652" t="s">
        <v>999</v>
      </c>
      <c r="C652">
        <v>6</v>
      </c>
      <c r="D652" t="s">
        <v>25</v>
      </c>
      <c r="E652" t="s">
        <v>94</v>
      </c>
      <c r="F652" t="s">
        <v>105</v>
      </c>
      <c r="G652" t="s">
        <v>103</v>
      </c>
      <c r="H652" t="s">
        <v>104</v>
      </c>
      <c r="J652">
        <v>0</v>
      </c>
      <c r="K652">
        <v>1</v>
      </c>
      <c r="L652">
        <v>67.5</v>
      </c>
      <c r="M652">
        <v>47.937235809999997</v>
      </c>
      <c r="N652">
        <v>0.41599678000000001</v>
      </c>
      <c r="O652">
        <v>2.0950346999999998</v>
      </c>
      <c r="P652">
        <v>113.9375</v>
      </c>
      <c r="Q652">
        <v>33.375507550000002</v>
      </c>
      <c r="R652">
        <v>2.4262999999999999</v>
      </c>
      <c r="S652">
        <v>0.40692159999999999</v>
      </c>
      <c r="T652">
        <v>-46.4375</v>
      </c>
      <c r="U652">
        <v>46.4375</v>
      </c>
      <c r="V652">
        <v>14.561728260000001</v>
      </c>
      <c r="W652">
        <v>14.561728260000001</v>
      </c>
      <c r="X652">
        <v>-2.0103032199999999</v>
      </c>
      <c r="Y652">
        <v>2.0103032199999999</v>
      </c>
      <c r="Z652">
        <v>1.6881130999999998</v>
      </c>
      <c r="AA652">
        <v>1.6881130999999998</v>
      </c>
    </row>
    <row r="653" spans="1:27" x14ac:dyDescent="0.25">
      <c r="A653" t="s">
        <v>85</v>
      </c>
      <c r="B653" t="s">
        <v>999</v>
      </c>
      <c r="C653">
        <v>6</v>
      </c>
      <c r="D653" t="s">
        <v>25</v>
      </c>
      <c r="E653" t="s">
        <v>94</v>
      </c>
      <c r="F653" t="s">
        <v>105</v>
      </c>
      <c r="G653" t="s">
        <v>103</v>
      </c>
      <c r="H653" t="s">
        <v>110</v>
      </c>
      <c r="J653">
        <v>0</v>
      </c>
      <c r="K653">
        <v>1</v>
      </c>
      <c r="L653">
        <v>67.5</v>
      </c>
      <c r="M653">
        <v>47.937235809999997</v>
      </c>
      <c r="N653">
        <v>0.41599678000000001</v>
      </c>
      <c r="O653">
        <v>2.0950346999999998</v>
      </c>
      <c r="P653">
        <v>73.260869569999997</v>
      </c>
      <c r="Q653">
        <v>34.453830549999999</v>
      </c>
      <c r="R653">
        <v>1.058333333</v>
      </c>
      <c r="S653">
        <v>0.90897070000000002</v>
      </c>
      <c r="T653">
        <v>-5.7608695699999997</v>
      </c>
      <c r="U653">
        <v>5.7608695699999997</v>
      </c>
      <c r="V653">
        <v>13.48340526</v>
      </c>
      <c r="W653">
        <v>13.48340526</v>
      </c>
      <c r="X653">
        <v>-0.64233655300000003</v>
      </c>
      <c r="Y653">
        <v>0.64233655300000003</v>
      </c>
      <c r="Z653">
        <v>1.1860639999999998</v>
      </c>
      <c r="AA653">
        <v>1.1860639999999998</v>
      </c>
    </row>
    <row r="654" spans="1:27" x14ac:dyDescent="0.25">
      <c r="A654" t="s">
        <v>85</v>
      </c>
      <c r="B654" t="s">
        <v>999</v>
      </c>
      <c r="C654">
        <v>6</v>
      </c>
      <c r="D654" t="s">
        <v>25</v>
      </c>
      <c r="E654" t="s">
        <v>94</v>
      </c>
      <c r="F654" t="s">
        <v>105</v>
      </c>
      <c r="G654" t="s">
        <v>103</v>
      </c>
      <c r="H654" t="s">
        <v>103</v>
      </c>
      <c r="J654">
        <v>0</v>
      </c>
      <c r="K654">
        <v>4</v>
      </c>
      <c r="L654">
        <v>67.5</v>
      </c>
      <c r="M654">
        <v>47.937235809999997</v>
      </c>
      <c r="N654">
        <v>0.41599678000000001</v>
      </c>
      <c r="O654">
        <v>2.0950346999999998</v>
      </c>
      <c r="P654">
        <v>98.291666669999998</v>
      </c>
      <c r="Q654">
        <v>30.315130790000001</v>
      </c>
      <c r="R654">
        <v>5.0803484000000003E-2</v>
      </c>
      <c r="S654">
        <v>0.42866070000000001</v>
      </c>
      <c r="T654">
        <v>-30.791666670000001</v>
      </c>
      <c r="U654">
        <v>30.791666670000001</v>
      </c>
      <c r="V654">
        <v>17.622105019999999</v>
      </c>
      <c r="W654">
        <v>17.622105019999999</v>
      </c>
      <c r="X654">
        <v>0.365193296</v>
      </c>
      <c r="Y654">
        <v>0.365193296</v>
      </c>
      <c r="Z654">
        <v>1.6663739999999998</v>
      </c>
      <c r="AA654">
        <v>1.6663739999999998</v>
      </c>
    </row>
    <row r="655" spans="1:27" x14ac:dyDescent="0.25">
      <c r="A655" t="s">
        <v>85</v>
      </c>
      <c r="B655" t="s">
        <v>999</v>
      </c>
      <c r="C655">
        <v>6</v>
      </c>
      <c r="D655" t="s">
        <v>25</v>
      </c>
      <c r="E655" t="s">
        <v>94</v>
      </c>
      <c r="F655" t="s">
        <v>105</v>
      </c>
      <c r="G655" t="s">
        <v>103</v>
      </c>
      <c r="H655" t="s">
        <v>103</v>
      </c>
      <c r="J655">
        <v>0</v>
      </c>
      <c r="K655">
        <v>4</v>
      </c>
      <c r="L655">
        <v>67.5</v>
      </c>
      <c r="M655">
        <v>47.937235809999997</v>
      </c>
      <c r="N655">
        <v>0.41599678000000001</v>
      </c>
      <c r="O655">
        <v>2.0950346999999998</v>
      </c>
      <c r="P655">
        <v>98.291666669999998</v>
      </c>
      <c r="Q655">
        <v>30.315130790000001</v>
      </c>
      <c r="R655">
        <v>5.0803484000000003E-2</v>
      </c>
      <c r="S655">
        <v>0.42866070000000001</v>
      </c>
      <c r="T655">
        <v>-30.791666670000001</v>
      </c>
      <c r="U655">
        <v>30.791666670000001</v>
      </c>
      <c r="V655">
        <v>17.622105019999999</v>
      </c>
      <c r="W655">
        <v>17.622105019999999</v>
      </c>
      <c r="X655">
        <v>0.365193296</v>
      </c>
      <c r="Y655">
        <v>0.365193296</v>
      </c>
      <c r="Z655">
        <v>1.6663739999999998</v>
      </c>
      <c r="AA655">
        <v>1.6663739999999998</v>
      </c>
    </row>
    <row r="656" spans="1:27" x14ac:dyDescent="0.25">
      <c r="A656" t="s">
        <v>85</v>
      </c>
      <c r="B656" t="s">
        <v>999</v>
      </c>
      <c r="C656">
        <v>6</v>
      </c>
      <c r="D656" t="s">
        <v>25</v>
      </c>
      <c r="E656" t="s">
        <v>94</v>
      </c>
      <c r="F656" t="s">
        <v>105</v>
      </c>
      <c r="G656" t="s">
        <v>103</v>
      </c>
      <c r="H656" t="s">
        <v>103</v>
      </c>
      <c r="J656">
        <v>0</v>
      </c>
      <c r="K656">
        <v>4</v>
      </c>
      <c r="L656">
        <v>67.5</v>
      </c>
      <c r="M656">
        <v>47.937235809999997</v>
      </c>
      <c r="N656">
        <v>0.41599678000000001</v>
      </c>
      <c r="O656">
        <v>2.0950346999999998</v>
      </c>
      <c r="P656">
        <v>98.291666669999998</v>
      </c>
      <c r="Q656">
        <v>30.315130790000001</v>
      </c>
      <c r="R656">
        <v>5.0803484000000003E-2</v>
      </c>
      <c r="S656">
        <v>0.42866070000000001</v>
      </c>
      <c r="T656">
        <v>-30.791666670000001</v>
      </c>
      <c r="U656">
        <v>30.791666670000001</v>
      </c>
      <c r="V656">
        <v>17.622105019999999</v>
      </c>
      <c r="W656">
        <v>17.622105019999999</v>
      </c>
      <c r="X656">
        <v>0.365193296</v>
      </c>
      <c r="Y656">
        <v>0.365193296</v>
      </c>
      <c r="Z656">
        <v>1.6663739999999998</v>
      </c>
      <c r="AA656">
        <v>1.6663739999999998</v>
      </c>
    </row>
    <row r="657" spans="1:27" x14ac:dyDescent="0.25">
      <c r="A657" t="s">
        <v>85</v>
      </c>
      <c r="B657" t="s">
        <v>999</v>
      </c>
      <c r="C657">
        <v>6</v>
      </c>
      <c r="D657" t="s">
        <v>25</v>
      </c>
      <c r="E657" t="s">
        <v>94</v>
      </c>
      <c r="F657" t="s">
        <v>105</v>
      </c>
      <c r="G657" t="s">
        <v>103</v>
      </c>
      <c r="H657" t="s">
        <v>103</v>
      </c>
      <c r="J657">
        <v>0</v>
      </c>
      <c r="K657">
        <v>4</v>
      </c>
      <c r="L657">
        <v>67.5</v>
      </c>
      <c r="M657">
        <v>47.937235809999997</v>
      </c>
      <c r="N657">
        <v>0.41599678000000001</v>
      </c>
      <c r="O657">
        <v>2.0950346999999998</v>
      </c>
      <c r="P657">
        <v>98.291666669999998</v>
      </c>
      <c r="Q657">
        <v>30.315130790000001</v>
      </c>
      <c r="R657">
        <v>5.0803484000000003E-2</v>
      </c>
      <c r="S657">
        <v>0.42866070000000001</v>
      </c>
      <c r="T657">
        <v>-30.791666670000001</v>
      </c>
      <c r="U657">
        <v>30.791666670000001</v>
      </c>
      <c r="V657">
        <v>17.622105019999999</v>
      </c>
      <c r="W657">
        <v>17.622105019999999</v>
      </c>
      <c r="X657">
        <v>0.365193296</v>
      </c>
      <c r="Y657">
        <v>0.365193296</v>
      </c>
      <c r="Z657">
        <v>1.6663739999999998</v>
      </c>
      <c r="AA657">
        <v>1.6663739999999998</v>
      </c>
    </row>
    <row r="658" spans="1:27" x14ac:dyDescent="0.25">
      <c r="A658" t="s">
        <v>85</v>
      </c>
      <c r="B658" t="s">
        <v>1000</v>
      </c>
      <c r="C658">
        <v>6</v>
      </c>
      <c r="D658" t="s">
        <v>25</v>
      </c>
      <c r="E658" t="s">
        <v>94</v>
      </c>
      <c r="F658" t="s">
        <v>110</v>
      </c>
      <c r="G658" t="s">
        <v>103</v>
      </c>
      <c r="H658" t="s">
        <v>103</v>
      </c>
      <c r="J658">
        <v>0</v>
      </c>
      <c r="K658">
        <v>9</v>
      </c>
      <c r="L658">
        <v>73.260869569999997</v>
      </c>
      <c r="M658">
        <v>34.453830549999999</v>
      </c>
      <c r="N658">
        <v>1.058333333</v>
      </c>
      <c r="O658">
        <v>0.90897070000000002</v>
      </c>
      <c r="P658">
        <v>98.291666669999998</v>
      </c>
      <c r="Q658">
        <v>30.315130790000001</v>
      </c>
      <c r="R658">
        <v>5.0803484000000003E-2</v>
      </c>
      <c r="S658">
        <v>0.42866070000000001</v>
      </c>
      <c r="T658">
        <v>-25.030797100000001</v>
      </c>
      <c r="U658">
        <v>25.030797100000001</v>
      </c>
      <c r="V658">
        <v>4.1386997599999997</v>
      </c>
      <c r="W658">
        <v>4.1386997599999997</v>
      </c>
      <c r="X658">
        <v>1.007529849</v>
      </c>
      <c r="Y658">
        <v>1.007529849</v>
      </c>
      <c r="Z658">
        <v>0.48031000000000001</v>
      </c>
      <c r="AA658">
        <v>0.48031000000000001</v>
      </c>
    </row>
    <row r="659" spans="1:27" x14ac:dyDescent="0.25">
      <c r="A659" t="s">
        <v>85</v>
      </c>
      <c r="B659" t="s">
        <v>1000</v>
      </c>
      <c r="C659">
        <v>6</v>
      </c>
      <c r="D659" t="s">
        <v>25</v>
      </c>
      <c r="E659" t="s">
        <v>94</v>
      </c>
      <c r="F659" t="s">
        <v>110</v>
      </c>
      <c r="G659" t="s">
        <v>103</v>
      </c>
      <c r="H659" t="s">
        <v>103</v>
      </c>
      <c r="J659">
        <v>0</v>
      </c>
      <c r="K659">
        <v>9</v>
      </c>
      <c r="L659">
        <v>73.260869569999997</v>
      </c>
      <c r="M659">
        <v>34.453830549999999</v>
      </c>
      <c r="N659">
        <v>1.058333333</v>
      </c>
      <c r="O659">
        <v>0.90897070000000002</v>
      </c>
      <c r="P659">
        <v>98.291666669999998</v>
      </c>
      <c r="Q659">
        <v>30.315130790000001</v>
      </c>
      <c r="R659">
        <v>5.0803484000000003E-2</v>
      </c>
      <c r="S659">
        <v>0.42866070000000001</v>
      </c>
      <c r="T659">
        <v>-25.030797100000001</v>
      </c>
      <c r="U659">
        <v>25.030797100000001</v>
      </c>
      <c r="V659">
        <v>4.1386997599999997</v>
      </c>
      <c r="W659">
        <v>4.1386997599999997</v>
      </c>
      <c r="X659">
        <v>1.007529849</v>
      </c>
      <c r="Y659">
        <v>1.007529849</v>
      </c>
      <c r="Z659">
        <v>0.48031000000000001</v>
      </c>
      <c r="AA659">
        <v>0.48031000000000001</v>
      </c>
    </row>
    <row r="660" spans="1:27" x14ac:dyDescent="0.25">
      <c r="A660" t="s">
        <v>85</v>
      </c>
      <c r="B660" t="s">
        <v>1000</v>
      </c>
      <c r="C660">
        <v>6</v>
      </c>
      <c r="D660" t="s">
        <v>25</v>
      </c>
      <c r="E660" t="s">
        <v>94</v>
      </c>
      <c r="F660" t="s">
        <v>110</v>
      </c>
      <c r="G660" t="s">
        <v>103</v>
      </c>
      <c r="H660" t="s">
        <v>103</v>
      </c>
      <c r="J660">
        <v>0</v>
      </c>
      <c r="K660">
        <v>9</v>
      </c>
      <c r="L660">
        <v>73.260869569999997</v>
      </c>
      <c r="M660">
        <v>34.453830549999999</v>
      </c>
      <c r="N660">
        <v>1.058333333</v>
      </c>
      <c r="O660">
        <v>0.90897070000000002</v>
      </c>
      <c r="P660">
        <v>98.291666669999998</v>
      </c>
      <c r="Q660">
        <v>30.315130790000001</v>
      </c>
      <c r="R660">
        <v>5.0803484000000003E-2</v>
      </c>
      <c r="S660">
        <v>0.42866070000000001</v>
      </c>
      <c r="T660">
        <v>-25.030797100000001</v>
      </c>
      <c r="U660">
        <v>25.030797100000001</v>
      </c>
      <c r="V660">
        <v>4.1386997599999997</v>
      </c>
      <c r="W660">
        <v>4.1386997599999997</v>
      </c>
      <c r="X660">
        <v>1.007529849</v>
      </c>
      <c r="Y660">
        <v>1.007529849</v>
      </c>
      <c r="Z660">
        <v>0.48031000000000001</v>
      </c>
      <c r="AA660">
        <v>0.48031000000000001</v>
      </c>
    </row>
    <row r="661" spans="1:27" x14ac:dyDescent="0.25">
      <c r="A661" t="s">
        <v>85</v>
      </c>
      <c r="B661" t="s">
        <v>1000</v>
      </c>
      <c r="C661">
        <v>6</v>
      </c>
      <c r="D661" t="s">
        <v>25</v>
      </c>
      <c r="E661" t="s">
        <v>94</v>
      </c>
      <c r="F661" t="s">
        <v>110</v>
      </c>
      <c r="G661" t="s">
        <v>103</v>
      </c>
      <c r="H661" t="s">
        <v>103</v>
      </c>
      <c r="J661">
        <v>0</v>
      </c>
      <c r="K661">
        <v>9</v>
      </c>
      <c r="L661">
        <v>73.260869569999997</v>
      </c>
      <c r="M661">
        <v>34.453830549999999</v>
      </c>
      <c r="N661">
        <v>1.058333333</v>
      </c>
      <c r="O661">
        <v>0.90897070000000002</v>
      </c>
      <c r="P661">
        <v>98.291666669999998</v>
      </c>
      <c r="Q661">
        <v>30.315130790000001</v>
      </c>
      <c r="R661">
        <v>5.0803484000000003E-2</v>
      </c>
      <c r="S661">
        <v>0.42866070000000001</v>
      </c>
      <c r="T661">
        <v>-25.030797100000001</v>
      </c>
      <c r="U661">
        <v>25.030797100000001</v>
      </c>
      <c r="V661">
        <v>4.1386997599999997</v>
      </c>
      <c r="W661">
        <v>4.1386997599999997</v>
      </c>
      <c r="X661">
        <v>1.007529849</v>
      </c>
      <c r="Y661">
        <v>1.007529849</v>
      </c>
      <c r="Z661">
        <v>0.48031000000000001</v>
      </c>
      <c r="AA661">
        <v>0.48031000000000001</v>
      </c>
    </row>
    <row r="662" spans="1:27" x14ac:dyDescent="0.25">
      <c r="A662" t="s">
        <v>85</v>
      </c>
      <c r="B662" t="s">
        <v>1000</v>
      </c>
      <c r="C662">
        <v>6</v>
      </c>
      <c r="D662" t="s">
        <v>25</v>
      </c>
      <c r="E662" t="s">
        <v>94</v>
      </c>
      <c r="F662" t="s">
        <v>110</v>
      </c>
      <c r="G662" t="s">
        <v>103</v>
      </c>
      <c r="H662" t="s">
        <v>103</v>
      </c>
      <c r="J662">
        <v>0</v>
      </c>
      <c r="K662">
        <v>9</v>
      </c>
      <c r="L662">
        <v>73.260869569999997</v>
      </c>
      <c r="M662">
        <v>34.453830549999999</v>
      </c>
      <c r="N662">
        <v>1.058333333</v>
      </c>
      <c r="O662">
        <v>0.90897070000000002</v>
      </c>
      <c r="P662">
        <v>98.291666669999998</v>
      </c>
      <c r="Q662">
        <v>30.315130790000001</v>
      </c>
      <c r="R662">
        <v>5.0803484000000003E-2</v>
      </c>
      <c r="S662">
        <v>0.42866070000000001</v>
      </c>
      <c r="T662">
        <v>-25.030797100000001</v>
      </c>
      <c r="U662">
        <v>25.030797100000001</v>
      </c>
      <c r="V662">
        <v>4.1386997599999997</v>
      </c>
      <c r="W662">
        <v>4.1386997599999997</v>
      </c>
      <c r="X662">
        <v>1.007529849</v>
      </c>
      <c r="Y662">
        <v>1.007529849</v>
      </c>
      <c r="Z662">
        <v>0.48031000000000001</v>
      </c>
      <c r="AA662">
        <v>0.48031000000000001</v>
      </c>
    </row>
    <row r="663" spans="1:27" x14ac:dyDescent="0.25">
      <c r="A663" t="s">
        <v>85</v>
      </c>
      <c r="B663" t="s">
        <v>1000</v>
      </c>
      <c r="C663">
        <v>6</v>
      </c>
      <c r="D663" t="s">
        <v>25</v>
      </c>
      <c r="E663" t="s">
        <v>94</v>
      </c>
      <c r="F663" t="s">
        <v>110</v>
      </c>
      <c r="G663" t="s">
        <v>103</v>
      </c>
      <c r="H663" t="s">
        <v>103</v>
      </c>
      <c r="J663">
        <v>0</v>
      </c>
      <c r="K663">
        <v>9</v>
      </c>
      <c r="L663">
        <v>73.260869569999997</v>
      </c>
      <c r="M663">
        <v>34.453830549999999</v>
      </c>
      <c r="N663">
        <v>1.058333333</v>
      </c>
      <c r="O663">
        <v>0.90897070000000002</v>
      </c>
      <c r="P663">
        <v>98.291666669999998</v>
      </c>
      <c r="Q663">
        <v>30.315130790000001</v>
      </c>
      <c r="R663">
        <v>5.0803484000000003E-2</v>
      </c>
      <c r="S663">
        <v>0.42866070000000001</v>
      </c>
      <c r="T663">
        <v>-25.030797100000001</v>
      </c>
      <c r="U663">
        <v>25.030797100000001</v>
      </c>
      <c r="V663">
        <v>4.1386997599999997</v>
      </c>
      <c r="W663">
        <v>4.1386997599999997</v>
      </c>
      <c r="X663">
        <v>1.007529849</v>
      </c>
      <c r="Y663">
        <v>1.007529849</v>
      </c>
      <c r="Z663">
        <v>0.48031000000000001</v>
      </c>
      <c r="AA663">
        <v>0.48031000000000001</v>
      </c>
    </row>
    <row r="664" spans="1:27" x14ac:dyDescent="0.25">
      <c r="A664" t="s">
        <v>85</v>
      </c>
      <c r="B664" t="s">
        <v>1000</v>
      </c>
      <c r="C664">
        <v>6</v>
      </c>
      <c r="D664" t="s">
        <v>25</v>
      </c>
      <c r="E664" t="s">
        <v>94</v>
      </c>
      <c r="F664" t="s">
        <v>110</v>
      </c>
      <c r="G664" t="s">
        <v>103</v>
      </c>
      <c r="H664" t="s">
        <v>103</v>
      </c>
      <c r="J664">
        <v>0</v>
      </c>
      <c r="K664">
        <v>9</v>
      </c>
      <c r="L664">
        <v>73.260869569999997</v>
      </c>
      <c r="M664">
        <v>34.453830549999999</v>
      </c>
      <c r="N664">
        <v>1.058333333</v>
      </c>
      <c r="O664">
        <v>0.90897070000000002</v>
      </c>
      <c r="P664">
        <v>98.291666669999998</v>
      </c>
      <c r="Q664">
        <v>30.315130790000001</v>
      </c>
      <c r="R664">
        <v>5.0803484000000003E-2</v>
      </c>
      <c r="S664">
        <v>0.42866070000000001</v>
      </c>
      <c r="T664">
        <v>-25.030797100000001</v>
      </c>
      <c r="U664">
        <v>25.030797100000001</v>
      </c>
      <c r="V664">
        <v>4.1386997599999997</v>
      </c>
      <c r="W664">
        <v>4.1386997599999997</v>
      </c>
      <c r="X664">
        <v>1.007529849</v>
      </c>
      <c r="Y664">
        <v>1.007529849</v>
      </c>
      <c r="Z664">
        <v>0.48031000000000001</v>
      </c>
      <c r="AA664">
        <v>0.48031000000000001</v>
      </c>
    </row>
    <row r="665" spans="1:27" x14ac:dyDescent="0.25">
      <c r="A665" t="s">
        <v>85</v>
      </c>
      <c r="B665" t="s">
        <v>1000</v>
      </c>
      <c r="C665">
        <v>6</v>
      </c>
      <c r="D665" t="s">
        <v>25</v>
      </c>
      <c r="E665" t="s">
        <v>94</v>
      </c>
      <c r="F665" t="s">
        <v>110</v>
      </c>
      <c r="G665" t="s">
        <v>103</v>
      </c>
      <c r="H665" t="s">
        <v>103</v>
      </c>
      <c r="J665">
        <v>0</v>
      </c>
      <c r="K665">
        <v>9</v>
      </c>
      <c r="L665">
        <v>73.260869569999997</v>
      </c>
      <c r="M665">
        <v>34.453830549999999</v>
      </c>
      <c r="N665">
        <v>1.058333333</v>
      </c>
      <c r="O665">
        <v>0.90897070000000002</v>
      </c>
      <c r="P665">
        <v>98.291666669999998</v>
      </c>
      <c r="Q665">
        <v>30.315130790000001</v>
      </c>
      <c r="R665">
        <v>5.0803484000000003E-2</v>
      </c>
      <c r="S665">
        <v>0.42866070000000001</v>
      </c>
      <c r="T665">
        <v>-25.030797100000001</v>
      </c>
      <c r="U665">
        <v>25.030797100000001</v>
      </c>
      <c r="V665">
        <v>4.1386997599999997</v>
      </c>
      <c r="W665">
        <v>4.1386997599999997</v>
      </c>
      <c r="X665">
        <v>1.007529849</v>
      </c>
      <c r="Y665">
        <v>1.007529849</v>
      </c>
      <c r="Z665">
        <v>0.48031000000000001</v>
      </c>
      <c r="AA665">
        <v>0.48031000000000001</v>
      </c>
    </row>
    <row r="666" spans="1:27" x14ac:dyDescent="0.25">
      <c r="A666" t="s">
        <v>85</v>
      </c>
      <c r="B666" t="s">
        <v>1000</v>
      </c>
      <c r="C666">
        <v>6</v>
      </c>
      <c r="D666" t="s">
        <v>25</v>
      </c>
      <c r="E666" t="s">
        <v>94</v>
      </c>
      <c r="F666" t="s">
        <v>110</v>
      </c>
      <c r="G666" t="s">
        <v>103</v>
      </c>
      <c r="H666" t="s">
        <v>103</v>
      </c>
      <c r="J666">
        <v>0</v>
      </c>
      <c r="K666">
        <v>9</v>
      </c>
      <c r="L666">
        <v>73.260869569999997</v>
      </c>
      <c r="M666">
        <v>34.453830549999999</v>
      </c>
      <c r="N666">
        <v>1.058333333</v>
      </c>
      <c r="O666">
        <v>0.90897070000000002</v>
      </c>
      <c r="P666">
        <v>98.291666669999998</v>
      </c>
      <c r="Q666">
        <v>30.315130790000001</v>
      </c>
      <c r="R666">
        <v>5.0803484000000003E-2</v>
      </c>
      <c r="S666">
        <v>0.42866070000000001</v>
      </c>
      <c r="T666">
        <v>-25.030797100000001</v>
      </c>
      <c r="U666">
        <v>25.030797100000001</v>
      </c>
      <c r="V666">
        <v>4.1386997599999997</v>
      </c>
      <c r="W666">
        <v>4.1386997599999997</v>
      </c>
      <c r="X666">
        <v>1.007529849</v>
      </c>
      <c r="Y666">
        <v>1.007529849</v>
      </c>
      <c r="Z666">
        <v>0.48031000000000001</v>
      </c>
      <c r="AA666">
        <v>0.48031000000000001</v>
      </c>
    </row>
    <row r="667" spans="1:27" x14ac:dyDescent="0.25">
      <c r="A667" t="s">
        <v>85</v>
      </c>
      <c r="B667" t="s">
        <v>1000</v>
      </c>
      <c r="C667">
        <v>6</v>
      </c>
      <c r="D667" t="s">
        <v>25</v>
      </c>
      <c r="E667" t="s">
        <v>94</v>
      </c>
      <c r="F667" t="s">
        <v>110</v>
      </c>
      <c r="G667" t="s">
        <v>103</v>
      </c>
      <c r="H667" t="s">
        <v>248</v>
      </c>
      <c r="J667">
        <v>0</v>
      </c>
      <c r="K667">
        <v>4</v>
      </c>
      <c r="L667">
        <v>73.260869569999997</v>
      </c>
      <c r="M667">
        <v>34.453830549999999</v>
      </c>
      <c r="N667">
        <v>1.058333333</v>
      </c>
      <c r="O667">
        <v>0.90897070000000002</v>
      </c>
      <c r="P667">
        <v>83.92307692</v>
      </c>
      <c r="Q667">
        <v>44.319135699999997</v>
      </c>
      <c r="R667">
        <v>5.9548609999999997E-3</v>
      </c>
      <c r="S667">
        <v>0.18017928</v>
      </c>
      <c r="T667">
        <v>-10.662207349999999</v>
      </c>
      <c r="U667">
        <v>10.662207349999999</v>
      </c>
      <c r="V667">
        <v>-9.8653051499999993</v>
      </c>
      <c r="W667">
        <v>9.8653051499999993</v>
      </c>
      <c r="X667">
        <v>1.052378472</v>
      </c>
      <c r="Y667">
        <v>1.052378472</v>
      </c>
      <c r="Z667">
        <v>0.72879142000000008</v>
      </c>
      <c r="AA667">
        <v>0.72879142000000008</v>
      </c>
    </row>
    <row r="668" spans="1:27" x14ac:dyDescent="0.25">
      <c r="A668" t="s">
        <v>85</v>
      </c>
      <c r="B668" t="s">
        <v>1000</v>
      </c>
      <c r="C668">
        <v>6</v>
      </c>
      <c r="D668" t="s">
        <v>25</v>
      </c>
      <c r="E668" t="s">
        <v>94</v>
      </c>
      <c r="F668" t="s">
        <v>110</v>
      </c>
      <c r="G668" t="s">
        <v>103</v>
      </c>
      <c r="H668" t="s">
        <v>248</v>
      </c>
      <c r="J668">
        <v>0</v>
      </c>
      <c r="K668">
        <v>4</v>
      </c>
      <c r="L668">
        <v>73.260869569999997</v>
      </c>
      <c r="M668">
        <v>34.453830549999999</v>
      </c>
      <c r="N668">
        <v>1.058333333</v>
      </c>
      <c r="O668">
        <v>0.90897070000000002</v>
      </c>
      <c r="P668">
        <v>83.92307692</v>
      </c>
      <c r="Q668">
        <v>44.319135699999997</v>
      </c>
      <c r="R668">
        <v>5.9548609999999997E-3</v>
      </c>
      <c r="S668">
        <v>0.18017928</v>
      </c>
      <c r="T668">
        <v>-10.662207349999999</v>
      </c>
      <c r="U668">
        <v>10.662207349999999</v>
      </c>
      <c r="V668">
        <v>-9.8653051499999993</v>
      </c>
      <c r="W668">
        <v>9.8653051499999993</v>
      </c>
      <c r="X668">
        <v>1.052378472</v>
      </c>
      <c r="Y668">
        <v>1.052378472</v>
      </c>
      <c r="Z668">
        <v>0.72879142000000008</v>
      </c>
      <c r="AA668">
        <v>0.72879142000000008</v>
      </c>
    </row>
    <row r="669" spans="1:27" x14ac:dyDescent="0.25">
      <c r="A669" t="s">
        <v>85</v>
      </c>
      <c r="B669" t="s">
        <v>1000</v>
      </c>
      <c r="C669">
        <v>6</v>
      </c>
      <c r="D669" t="s">
        <v>25</v>
      </c>
      <c r="E669" t="s">
        <v>94</v>
      </c>
      <c r="F669" t="s">
        <v>110</v>
      </c>
      <c r="G669" t="s">
        <v>103</v>
      </c>
      <c r="H669" t="s">
        <v>248</v>
      </c>
      <c r="J669">
        <v>0</v>
      </c>
      <c r="K669">
        <v>4</v>
      </c>
      <c r="L669">
        <v>73.260869569999997</v>
      </c>
      <c r="M669">
        <v>34.453830549999999</v>
      </c>
      <c r="N669">
        <v>1.058333333</v>
      </c>
      <c r="O669">
        <v>0.90897070000000002</v>
      </c>
      <c r="P669">
        <v>83.92307692</v>
      </c>
      <c r="Q669">
        <v>44.319135699999997</v>
      </c>
      <c r="R669">
        <v>5.9548609999999997E-3</v>
      </c>
      <c r="S669">
        <v>0.18017928</v>
      </c>
      <c r="T669">
        <v>-10.662207349999999</v>
      </c>
      <c r="U669">
        <v>10.662207349999999</v>
      </c>
      <c r="V669">
        <v>-9.8653051499999993</v>
      </c>
      <c r="W669">
        <v>9.8653051499999993</v>
      </c>
      <c r="X669">
        <v>1.052378472</v>
      </c>
      <c r="Y669">
        <v>1.052378472</v>
      </c>
      <c r="Z669">
        <v>0.72879142000000008</v>
      </c>
      <c r="AA669">
        <v>0.72879142000000008</v>
      </c>
    </row>
    <row r="670" spans="1:27" x14ac:dyDescent="0.25">
      <c r="A670" t="s">
        <v>85</v>
      </c>
      <c r="B670" t="s">
        <v>1000</v>
      </c>
      <c r="C670">
        <v>6</v>
      </c>
      <c r="D670" t="s">
        <v>25</v>
      </c>
      <c r="E670" t="s">
        <v>94</v>
      </c>
      <c r="F670" t="s">
        <v>110</v>
      </c>
      <c r="G670" t="s">
        <v>103</v>
      </c>
      <c r="H670" t="s">
        <v>248</v>
      </c>
      <c r="J670">
        <v>0</v>
      </c>
      <c r="K670">
        <v>4</v>
      </c>
      <c r="L670">
        <v>73.260869569999997</v>
      </c>
      <c r="M670">
        <v>34.453830549999999</v>
      </c>
      <c r="N670">
        <v>1.058333333</v>
      </c>
      <c r="O670">
        <v>0.90897070000000002</v>
      </c>
      <c r="P670">
        <v>83.92307692</v>
      </c>
      <c r="Q670">
        <v>44.319135699999997</v>
      </c>
      <c r="R670">
        <v>5.9548609999999997E-3</v>
      </c>
      <c r="S670">
        <v>0.18017928</v>
      </c>
      <c r="T670">
        <v>-10.662207349999999</v>
      </c>
      <c r="U670">
        <v>10.662207349999999</v>
      </c>
      <c r="V670">
        <v>-9.8653051499999993</v>
      </c>
      <c r="W670">
        <v>9.8653051499999993</v>
      </c>
      <c r="X670">
        <v>1.052378472</v>
      </c>
      <c r="Y670">
        <v>1.052378472</v>
      </c>
      <c r="Z670">
        <v>0.72879142000000008</v>
      </c>
      <c r="AA670">
        <v>0.72879142000000008</v>
      </c>
    </row>
    <row r="671" spans="1:27" x14ac:dyDescent="0.25">
      <c r="A671" t="s">
        <v>85</v>
      </c>
      <c r="B671" t="s">
        <v>1000</v>
      </c>
      <c r="C671">
        <v>6</v>
      </c>
      <c r="D671" t="s">
        <v>25</v>
      </c>
      <c r="E671" t="s">
        <v>94</v>
      </c>
      <c r="F671" t="s">
        <v>110</v>
      </c>
      <c r="G671" t="s">
        <v>103</v>
      </c>
      <c r="H671" t="s">
        <v>233</v>
      </c>
      <c r="J671">
        <v>0</v>
      </c>
      <c r="K671">
        <v>3</v>
      </c>
      <c r="L671">
        <v>73.260869569999997</v>
      </c>
      <c r="M671">
        <v>34.453830549999999</v>
      </c>
      <c r="N671">
        <v>1.058333333</v>
      </c>
      <c r="O671">
        <v>0.90897070000000002</v>
      </c>
      <c r="P671">
        <v>106.0540541</v>
      </c>
      <c r="Q671">
        <v>52.690533369999997</v>
      </c>
      <c r="R671">
        <v>7.6058968000000005E-2</v>
      </c>
      <c r="S671">
        <v>0.44888888999999998</v>
      </c>
      <c r="T671">
        <v>-32.793184529999998</v>
      </c>
      <c r="U671">
        <v>32.793184529999998</v>
      </c>
      <c r="V671">
        <v>-18.236702820000001</v>
      </c>
      <c r="W671">
        <v>18.236702820000001</v>
      </c>
      <c r="X671">
        <v>0.98227436499999998</v>
      </c>
      <c r="Y671">
        <v>0.98227436499999998</v>
      </c>
      <c r="Z671">
        <v>0.46008181000000004</v>
      </c>
      <c r="AA671">
        <v>0.46008181000000004</v>
      </c>
    </row>
    <row r="672" spans="1:27" x14ac:dyDescent="0.25">
      <c r="A672" t="s">
        <v>85</v>
      </c>
      <c r="B672" t="s">
        <v>1000</v>
      </c>
      <c r="C672">
        <v>6</v>
      </c>
      <c r="D672" t="s">
        <v>25</v>
      </c>
      <c r="E672" t="s">
        <v>94</v>
      </c>
      <c r="F672" t="s">
        <v>110</v>
      </c>
      <c r="G672" t="s">
        <v>103</v>
      </c>
      <c r="H672" t="s">
        <v>233</v>
      </c>
      <c r="J672">
        <v>0</v>
      </c>
      <c r="K672">
        <v>3</v>
      </c>
      <c r="L672">
        <v>73.260869569999997</v>
      </c>
      <c r="M672">
        <v>34.453830549999999</v>
      </c>
      <c r="N672">
        <v>1.058333333</v>
      </c>
      <c r="O672">
        <v>0.90897070000000002</v>
      </c>
      <c r="P672">
        <v>106.0540541</v>
      </c>
      <c r="Q672">
        <v>52.690533369999997</v>
      </c>
      <c r="R672">
        <v>7.6058968000000005E-2</v>
      </c>
      <c r="S672">
        <v>0.44888888999999998</v>
      </c>
      <c r="T672">
        <v>-32.793184529999998</v>
      </c>
      <c r="U672">
        <v>32.793184529999998</v>
      </c>
      <c r="V672">
        <v>-18.236702820000001</v>
      </c>
      <c r="W672">
        <v>18.236702820000001</v>
      </c>
      <c r="X672">
        <v>0.98227436499999998</v>
      </c>
      <c r="Y672">
        <v>0.98227436499999998</v>
      </c>
      <c r="Z672">
        <v>0.46008181000000004</v>
      </c>
      <c r="AA672">
        <v>0.46008181000000004</v>
      </c>
    </row>
    <row r="673" spans="1:27" x14ac:dyDescent="0.25">
      <c r="A673" t="s">
        <v>85</v>
      </c>
      <c r="B673" t="s">
        <v>1000</v>
      </c>
      <c r="C673">
        <v>6</v>
      </c>
      <c r="D673" t="s">
        <v>25</v>
      </c>
      <c r="E673" t="s">
        <v>94</v>
      </c>
      <c r="F673" t="s">
        <v>110</v>
      </c>
      <c r="G673" t="s">
        <v>103</v>
      </c>
      <c r="H673" t="s">
        <v>233</v>
      </c>
      <c r="J673">
        <v>0</v>
      </c>
      <c r="K673">
        <v>3</v>
      </c>
      <c r="L673">
        <v>73.260869569999997</v>
      </c>
      <c r="M673">
        <v>34.453830549999999</v>
      </c>
      <c r="N673">
        <v>1.058333333</v>
      </c>
      <c r="O673">
        <v>0.90897070000000002</v>
      </c>
      <c r="P673">
        <v>106.0540541</v>
      </c>
      <c r="Q673">
        <v>52.690533369999997</v>
      </c>
      <c r="R673">
        <v>7.6058968000000005E-2</v>
      </c>
      <c r="S673">
        <v>0.44888888999999998</v>
      </c>
      <c r="T673">
        <v>-32.793184529999998</v>
      </c>
      <c r="U673">
        <v>32.793184529999998</v>
      </c>
      <c r="V673">
        <v>-18.236702820000001</v>
      </c>
      <c r="W673">
        <v>18.236702820000001</v>
      </c>
      <c r="X673">
        <v>0.98227436499999998</v>
      </c>
      <c r="Y673">
        <v>0.98227436499999998</v>
      </c>
      <c r="Z673">
        <v>0.46008181000000004</v>
      </c>
      <c r="AA673">
        <v>0.46008181000000004</v>
      </c>
    </row>
    <row r="674" spans="1:27" x14ac:dyDescent="0.25">
      <c r="A674" t="s">
        <v>85</v>
      </c>
      <c r="B674" t="s">
        <v>1000</v>
      </c>
      <c r="C674">
        <v>6</v>
      </c>
      <c r="D674" t="s">
        <v>25</v>
      </c>
      <c r="E674" t="s">
        <v>94</v>
      </c>
      <c r="F674" t="s">
        <v>110</v>
      </c>
      <c r="G674" t="s">
        <v>103</v>
      </c>
      <c r="H674" t="s">
        <v>110</v>
      </c>
      <c r="J674">
        <v>0</v>
      </c>
      <c r="K674">
        <v>1</v>
      </c>
      <c r="L674">
        <v>73.260869569999997</v>
      </c>
      <c r="M674">
        <v>34.453830549999999</v>
      </c>
      <c r="N674">
        <v>1.058333333</v>
      </c>
      <c r="O674">
        <v>0.90897070000000002</v>
      </c>
      <c r="P674">
        <v>73.260869569999997</v>
      </c>
      <c r="Q674">
        <v>34.453830549999999</v>
      </c>
      <c r="R674">
        <v>1.058333333</v>
      </c>
      <c r="S674">
        <v>0.90897070000000002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</row>
    <row r="675" spans="1:27" x14ac:dyDescent="0.25">
      <c r="A675" t="s">
        <v>86</v>
      </c>
      <c r="B675" t="s">
        <v>1001</v>
      </c>
      <c r="C675">
        <v>6</v>
      </c>
      <c r="D675" t="s">
        <v>27</v>
      </c>
      <c r="E675" t="s">
        <v>94</v>
      </c>
      <c r="F675" t="s">
        <v>110</v>
      </c>
      <c r="G675" t="s">
        <v>121</v>
      </c>
      <c r="H675" t="s">
        <v>246</v>
      </c>
      <c r="J675">
        <v>0</v>
      </c>
      <c r="K675">
        <v>1</v>
      </c>
      <c r="L675">
        <v>73.260869569999997</v>
      </c>
      <c r="M675">
        <v>34.453830549999999</v>
      </c>
      <c r="N675">
        <v>1.058333333</v>
      </c>
      <c r="O675">
        <v>0.90897070000000002</v>
      </c>
      <c r="P675">
        <v>120.25</v>
      </c>
      <c r="Q675">
        <v>30.670450110000001</v>
      </c>
      <c r="R675">
        <v>0.91037498500000003</v>
      </c>
      <c r="S675" t="s">
        <v>114</v>
      </c>
      <c r="T675">
        <v>-46.989130430000003</v>
      </c>
      <c r="U675">
        <v>46.989130430000003</v>
      </c>
      <c r="V675">
        <v>3.7833804400000002</v>
      </c>
      <c r="W675">
        <v>3.7833804400000002</v>
      </c>
      <c r="X675">
        <v>0.14795834799999999</v>
      </c>
      <c r="Y675">
        <v>0.14795834799999999</v>
      </c>
      <c r="Z675" t="s">
        <v>114</v>
      </c>
      <c r="AA675" t="s">
        <v>114</v>
      </c>
    </row>
    <row r="676" spans="1:27" x14ac:dyDescent="0.25">
      <c r="A676" t="s">
        <v>86</v>
      </c>
      <c r="B676" t="s">
        <v>1001</v>
      </c>
      <c r="C676">
        <v>6</v>
      </c>
      <c r="D676" t="s">
        <v>27</v>
      </c>
      <c r="E676" t="s">
        <v>94</v>
      </c>
      <c r="F676" t="s">
        <v>110</v>
      </c>
      <c r="G676" t="s">
        <v>121</v>
      </c>
      <c r="H676" t="s">
        <v>242</v>
      </c>
      <c r="J676">
        <v>0</v>
      </c>
      <c r="K676">
        <v>2</v>
      </c>
      <c r="L676">
        <v>73.260869569999997</v>
      </c>
      <c r="M676">
        <v>34.453830549999999</v>
      </c>
      <c r="N676">
        <v>1.058333333</v>
      </c>
      <c r="O676">
        <v>0.90897070000000002</v>
      </c>
      <c r="P676">
        <v>139.375</v>
      </c>
      <c r="Q676">
        <v>23.713465920000001</v>
      </c>
      <c r="R676" t="s">
        <v>114</v>
      </c>
      <c r="S676" t="s">
        <v>114</v>
      </c>
      <c r="T676">
        <v>-66.114130430000003</v>
      </c>
      <c r="U676">
        <v>66.114130430000003</v>
      </c>
      <c r="V676">
        <v>10.74036463</v>
      </c>
      <c r="W676">
        <v>10.74036463</v>
      </c>
      <c r="X676" t="s">
        <v>114</v>
      </c>
      <c r="Y676" t="s">
        <v>114</v>
      </c>
      <c r="Z676" t="s">
        <v>114</v>
      </c>
      <c r="AA676" t="s">
        <v>114</v>
      </c>
    </row>
    <row r="677" spans="1:27" x14ac:dyDescent="0.25">
      <c r="A677" t="s">
        <v>86</v>
      </c>
      <c r="B677" t="s">
        <v>1001</v>
      </c>
      <c r="C677">
        <v>6</v>
      </c>
      <c r="D677" t="s">
        <v>27</v>
      </c>
      <c r="E677" t="s">
        <v>94</v>
      </c>
      <c r="F677" t="s">
        <v>110</v>
      </c>
      <c r="G677" t="s">
        <v>121</v>
      </c>
      <c r="H677" t="s">
        <v>242</v>
      </c>
      <c r="J677">
        <v>0</v>
      </c>
      <c r="K677">
        <v>2</v>
      </c>
      <c r="L677">
        <v>73.260869569999997</v>
      </c>
      <c r="M677">
        <v>34.453830549999999</v>
      </c>
      <c r="N677">
        <v>1.058333333</v>
      </c>
      <c r="O677">
        <v>0.90897070000000002</v>
      </c>
      <c r="P677">
        <v>139.375</v>
      </c>
      <c r="Q677">
        <v>23.713465920000001</v>
      </c>
      <c r="R677" t="s">
        <v>114</v>
      </c>
      <c r="S677" t="s">
        <v>114</v>
      </c>
      <c r="T677">
        <v>-66.114130430000003</v>
      </c>
      <c r="U677">
        <v>66.114130430000003</v>
      </c>
      <c r="V677">
        <v>10.74036463</v>
      </c>
      <c r="W677">
        <v>10.74036463</v>
      </c>
      <c r="X677" t="s">
        <v>114</v>
      </c>
      <c r="Y677" t="s">
        <v>114</v>
      </c>
      <c r="Z677" t="s">
        <v>114</v>
      </c>
      <c r="AA677" t="s">
        <v>114</v>
      </c>
    </row>
    <row r="678" spans="1:27" x14ac:dyDescent="0.25">
      <c r="A678" t="s">
        <v>86</v>
      </c>
      <c r="B678" t="s">
        <v>1002</v>
      </c>
      <c r="C678">
        <v>6</v>
      </c>
      <c r="D678" t="s">
        <v>27</v>
      </c>
      <c r="E678" t="s">
        <v>94</v>
      </c>
      <c r="F678" t="s">
        <v>112</v>
      </c>
      <c r="G678" t="s">
        <v>110</v>
      </c>
      <c r="H678" t="s">
        <v>110</v>
      </c>
      <c r="J678">
        <v>0</v>
      </c>
      <c r="K678">
        <v>1</v>
      </c>
      <c r="L678">
        <v>65.09375</v>
      </c>
      <c r="M678">
        <v>37.895352600000002</v>
      </c>
      <c r="N678">
        <v>2.2882677779999998</v>
      </c>
      <c r="O678">
        <v>2.2111774</v>
      </c>
      <c r="P678">
        <v>73.260869569999997</v>
      </c>
      <c r="Q678">
        <v>34.453830549999999</v>
      </c>
      <c r="R678">
        <v>1.058333333</v>
      </c>
      <c r="S678">
        <v>0.90897070000000002</v>
      </c>
      <c r="T678">
        <v>-8.1671195700000006</v>
      </c>
      <c r="U678">
        <v>8.1671195700000006</v>
      </c>
      <c r="V678">
        <v>3.4415220500000001</v>
      </c>
      <c r="W678">
        <v>3.4415220500000001</v>
      </c>
      <c r="X678">
        <v>1.229934445</v>
      </c>
      <c r="Y678">
        <v>1.229934445</v>
      </c>
      <c r="Z678">
        <v>1.3022066999999999</v>
      </c>
      <c r="AA678">
        <v>1.3022066999999999</v>
      </c>
    </row>
    <row r="679" spans="1:27" x14ac:dyDescent="0.25">
      <c r="A679" t="s">
        <v>86</v>
      </c>
      <c r="B679" t="s">
        <v>1002</v>
      </c>
      <c r="C679">
        <v>6</v>
      </c>
      <c r="D679" t="s">
        <v>27</v>
      </c>
      <c r="E679" t="s">
        <v>94</v>
      </c>
      <c r="F679" t="s">
        <v>112</v>
      </c>
      <c r="G679" t="s">
        <v>110</v>
      </c>
      <c r="H679" t="s">
        <v>246</v>
      </c>
      <c r="J679">
        <v>0</v>
      </c>
      <c r="K679">
        <v>1</v>
      </c>
      <c r="L679">
        <v>65.09375</v>
      </c>
      <c r="M679">
        <v>37.895352600000002</v>
      </c>
      <c r="N679">
        <v>2.2882677779999998</v>
      </c>
      <c r="O679">
        <v>2.2111774</v>
      </c>
      <c r="P679">
        <v>120.25</v>
      </c>
      <c r="Q679">
        <v>30.670450110000001</v>
      </c>
      <c r="R679">
        <v>0.91037498500000003</v>
      </c>
      <c r="S679" t="s">
        <v>114</v>
      </c>
      <c r="T679">
        <v>-55.15625</v>
      </c>
      <c r="U679">
        <v>55.15625</v>
      </c>
      <c r="V679">
        <v>7.2249024899999998</v>
      </c>
      <c r="W679">
        <v>7.2249024899999998</v>
      </c>
      <c r="X679">
        <v>1.377892793</v>
      </c>
      <c r="Y679">
        <v>1.377892793</v>
      </c>
      <c r="Z679" t="s">
        <v>114</v>
      </c>
      <c r="AA679" t="s">
        <v>114</v>
      </c>
    </row>
    <row r="680" spans="1:27" x14ac:dyDescent="0.25">
      <c r="A680" t="s">
        <v>87</v>
      </c>
      <c r="B680" t="s">
        <v>1003</v>
      </c>
      <c r="C680">
        <v>6</v>
      </c>
      <c r="D680" t="s">
        <v>29</v>
      </c>
      <c r="E680" t="s">
        <v>95</v>
      </c>
      <c r="F680" t="s">
        <v>102</v>
      </c>
      <c r="G680" t="s">
        <v>110</v>
      </c>
      <c r="H680" t="s">
        <v>110</v>
      </c>
      <c r="J680">
        <v>0</v>
      </c>
      <c r="K680">
        <v>3</v>
      </c>
      <c r="L680">
        <v>84.740740740000007</v>
      </c>
      <c r="M680">
        <v>29.167014049999999</v>
      </c>
      <c r="N680">
        <v>1.1169849999999999</v>
      </c>
      <c r="O680">
        <v>1.1571499000000001</v>
      </c>
      <c r="P680">
        <v>73.260869569999997</v>
      </c>
      <c r="Q680">
        <v>34.453830549999999</v>
      </c>
      <c r="R680">
        <v>1.058333333</v>
      </c>
      <c r="S680">
        <v>0.90897070000000002</v>
      </c>
      <c r="T680">
        <v>11.479871169999999</v>
      </c>
      <c r="U680">
        <v>11.479871169999999</v>
      </c>
      <c r="V680">
        <v>-5.2868164999999996</v>
      </c>
      <c r="W680">
        <v>5.2868164999999996</v>
      </c>
      <c r="X680">
        <v>5.8651666999999998E-2</v>
      </c>
      <c r="Y680">
        <v>5.8651666999999998E-2</v>
      </c>
      <c r="Z680">
        <v>0.24817920000000004</v>
      </c>
      <c r="AA680">
        <v>0.24817920000000004</v>
      </c>
    </row>
    <row r="681" spans="1:27" x14ac:dyDescent="0.25">
      <c r="A681" t="s">
        <v>87</v>
      </c>
      <c r="B681" t="s">
        <v>1003</v>
      </c>
      <c r="C681">
        <v>6</v>
      </c>
      <c r="D681" t="s">
        <v>29</v>
      </c>
      <c r="E681" t="s">
        <v>95</v>
      </c>
      <c r="F681" t="s">
        <v>102</v>
      </c>
      <c r="G681" t="s">
        <v>110</v>
      </c>
      <c r="H681" t="s">
        <v>110</v>
      </c>
      <c r="J681">
        <v>0</v>
      </c>
      <c r="K681">
        <v>3</v>
      </c>
      <c r="L681">
        <v>84.740740740000007</v>
      </c>
      <c r="M681">
        <v>29.167014049999999</v>
      </c>
      <c r="N681">
        <v>1.1169849999999999</v>
      </c>
      <c r="O681">
        <v>1.1571499000000001</v>
      </c>
      <c r="P681">
        <v>73.260869569999997</v>
      </c>
      <c r="Q681">
        <v>34.453830549999999</v>
      </c>
      <c r="R681">
        <v>1.058333333</v>
      </c>
      <c r="S681">
        <v>0.90897070000000002</v>
      </c>
      <c r="T681">
        <v>11.479871169999999</v>
      </c>
      <c r="U681">
        <v>11.479871169999999</v>
      </c>
      <c r="V681">
        <v>-5.2868164999999996</v>
      </c>
      <c r="W681">
        <v>5.2868164999999996</v>
      </c>
      <c r="X681">
        <v>5.8651666999999998E-2</v>
      </c>
      <c r="Y681">
        <v>5.8651666999999998E-2</v>
      </c>
      <c r="Z681">
        <v>0.24817920000000004</v>
      </c>
      <c r="AA681">
        <v>0.24817920000000004</v>
      </c>
    </row>
    <row r="682" spans="1:27" x14ac:dyDescent="0.25">
      <c r="A682" t="s">
        <v>87</v>
      </c>
      <c r="B682" t="s">
        <v>1003</v>
      </c>
      <c r="C682">
        <v>6</v>
      </c>
      <c r="D682" t="s">
        <v>29</v>
      </c>
      <c r="E682" t="s">
        <v>95</v>
      </c>
      <c r="F682" t="s">
        <v>102</v>
      </c>
      <c r="G682" t="s">
        <v>110</v>
      </c>
      <c r="H682" t="s">
        <v>110</v>
      </c>
      <c r="J682">
        <v>0</v>
      </c>
      <c r="K682">
        <v>3</v>
      </c>
      <c r="L682">
        <v>84.740740740000007</v>
      </c>
      <c r="M682">
        <v>29.167014049999999</v>
      </c>
      <c r="N682">
        <v>1.1169849999999999</v>
      </c>
      <c r="O682">
        <v>1.1571499000000001</v>
      </c>
      <c r="P682">
        <v>73.260869569999997</v>
      </c>
      <c r="Q682">
        <v>34.453830549999999</v>
      </c>
      <c r="R682">
        <v>1.058333333</v>
      </c>
      <c r="S682">
        <v>0.90897070000000002</v>
      </c>
      <c r="T682">
        <v>11.479871169999999</v>
      </c>
      <c r="U682">
        <v>11.479871169999999</v>
      </c>
      <c r="V682">
        <v>-5.2868164999999996</v>
      </c>
      <c r="W682">
        <v>5.2868164999999996</v>
      </c>
      <c r="X682">
        <v>5.8651666999999998E-2</v>
      </c>
      <c r="Y682">
        <v>5.8651666999999998E-2</v>
      </c>
      <c r="Z682">
        <v>0.24817920000000004</v>
      </c>
      <c r="AA682">
        <v>0.24817920000000004</v>
      </c>
    </row>
    <row r="683" spans="1:27" x14ac:dyDescent="0.25">
      <c r="A683" t="s">
        <v>87</v>
      </c>
      <c r="B683" t="s">
        <v>1003</v>
      </c>
      <c r="C683">
        <v>6</v>
      </c>
      <c r="D683" t="s">
        <v>29</v>
      </c>
      <c r="E683" t="s">
        <v>95</v>
      </c>
      <c r="F683" t="s">
        <v>102</v>
      </c>
      <c r="G683" t="s">
        <v>110</v>
      </c>
      <c r="H683" t="s">
        <v>246</v>
      </c>
      <c r="J683">
        <v>0</v>
      </c>
      <c r="K683">
        <v>1</v>
      </c>
      <c r="L683">
        <v>84.740740740000007</v>
      </c>
      <c r="M683">
        <v>29.167014049999999</v>
      </c>
      <c r="N683">
        <v>1.1169849999999999</v>
      </c>
      <c r="O683">
        <v>1.1571499000000001</v>
      </c>
      <c r="P683">
        <v>120.25</v>
      </c>
      <c r="Q683">
        <v>30.670450110000001</v>
      </c>
      <c r="R683">
        <v>0.91037498500000003</v>
      </c>
      <c r="S683" t="s">
        <v>114</v>
      </c>
      <c r="T683">
        <v>-35.50925926</v>
      </c>
      <c r="U683">
        <v>35.50925926</v>
      </c>
      <c r="V683">
        <v>-1.5034360600000001</v>
      </c>
      <c r="W683">
        <v>1.5034360600000001</v>
      </c>
      <c r="X683">
        <v>0.20661001500000001</v>
      </c>
      <c r="Y683">
        <v>0.20661001500000001</v>
      </c>
      <c r="Z683" t="s">
        <v>114</v>
      </c>
      <c r="AA683" t="s">
        <v>114</v>
      </c>
    </row>
    <row r="684" spans="1:27" ht="14.25" customHeight="1" x14ac:dyDescent="0.25">
      <c r="A684" t="s">
        <v>87</v>
      </c>
      <c r="B684" t="s">
        <v>1003</v>
      </c>
      <c r="C684">
        <v>6</v>
      </c>
      <c r="D684" t="s">
        <v>29</v>
      </c>
      <c r="E684" t="s">
        <v>95</v>
      </c>
      <c r="F684" t="s">
        <v>102</v>
      </c>
      <c r="G684" t="s">
        <v>110</v>
      </c>
      <c r="H684" t="s">
        <v>242</v>
      </c>
      <c r="J684">
        <v>0</v>
      </c>
      <c r="K684">
        <v>2</v>
      </c>
      <c r="L684">
        <v>84.740740740000007</v>
      </c>
      <c r="M684">
        <v>29.167014049999999</v>
      </c>
      <c r="N684">
        <v>1.1169849999999999</v>
      </c>
      <c r="O684">
        <v>1.1571499000000001</v>
      </c>
      <c r="P684">
        <v>139.375</v>
      </c>
      <c r="Q684">
        <v>23.713465920000001</v>
      </c>
      <c r="R684" t="s">
        <v>114</v>
      </c>
      <c r="S684" t="s">
        <v>114</v>
      </c>
      <c r="T684">
        <v>-54.63425926</v>
      </c>
      <c r="U684">
        <v>54.63425926</v>
      </c>
      <c r="V684">
        <v>5.4535481299999997</v>
      </c>
      <c r="W684">
        <v>5.4535481299999997</v>
      </c>
      <c r="X684" t="s">
        <v>114</v>
      </c>
      <c r="Y684" t="s">
        <v>114</v>
      </c>
      <c r="Z684" t="s">
        <v>114</v>
      </c>
      <c r="AA684" t="s">
        <v>114</v>
      </c>
    </row>
    <row r="685" spans="1:27" ht="14.25" customHeight="1" x14ac:dyDescent="0.25">
      <c r="A685" t="s">
        <v>87</v>
      </c>
      <c r="B685" t="s">
        <v>1003</v>
      </c>
      <c r="C685">
        <v>6</v>
      </c>
      <c r="D685" t="s">
        <v>29</v>
      </c>
      <c r="E685" t="s">
        <v>95</v>
      </c>
      <c r="F685" t="s">
        <v>102</v>
      </c>
      <c r="G685" t="s">
        <v>110</v>
      </c>
      <c r="H685" t="s">
        <v>242</v>
      </c>
      <c r="J685">
        <v>0</v>
      </c>
      <c r="K685">
        <v>2</v>
      </c>
      <c r="L685">
        <v>84.740740740000007</v>
      </c>
      <c r="M685">
        <v>29.167014049999999</v>
      </c>
      <c r="N685">
        <v>1.1169849999999999</v>
      </c>
      <c r="O685">
        <v>1.1571499000000001</v>
      </c>
      <c r="P685">
        <v>139.375</v>
      </c>
      <c r="Q685">
        <v>23.713465920000001</v>
      </c>
      <c r="R685" t="s">
        <v>114</v>
      </c>
      <c r="S685" t="s">
        <v>114</v>
      </c>
      <c r="T685">
        <v>-54.63425926</v>
      </c>
      <c r="U685">
        <v>54.63425926</v>
      </c>
      <c r="V685">
        <v>5.4535481299999997</v>
      </c>
      <c r="W685">
        <v>5.4535481299999997</v>
      </c>
      <c r="X685" t="s">
        <v>114</v>
      </c>
      <c r="Y685" t="s">
        <v>114</v>
      </c>
      <c r="Z685" t="s">
        <v>114</v>
      </c>
      <c r="AA685" t="s">
        <v>114</v>
      </c>
    </row>
    <row r="686" spans="1:27" x14ac:dyDescent="0.25">
      <c r="A686" t="s">
        <v>87</v>
      </c>
      <c r="B686" t="s">
        <v>1004</v>
      </c>
      <c r="C686">
        <v>6</v>
      </c>
      <c r="D686" t="s">
        <v>29</v>
      </c>
      <c r="E686" t="s">
        <v>95</v>
      </c>
      <c r="F686" t="s">
        <v>110</v>
      </c>
      <c r="G686" t="s">
        <v>110</v>
      </c>
      <c r="H686" t="s">
        <v>110</v>
      </c>
      <c r="J686">
        <v>0</v>
      </c>
      <c r="K686">
        <v>1</v>
      </c>
      <c r="L686">
        <v>73.260869569999997</v>
      </c>
      <c r="M686">
        <v>34.453830549999999</v>
      </c>
      <c r="N686">
        <v>1.058333333</v>
      </c>
      <c r="O686">
        <v>0.90897070000000002</v>
      </c>
      <c r="P686">
        <v>73.260869569999997</v>
      </c>
      <c r="Q686">
        <v>34.453830549999999</v>
      </c>
      <c r="R686">
        <v>1.058333333</v>
      </c>
      <c r="S686">
        <v>0.90897070000000002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</row>
    <row r="687" spans="1:27" x14ac:dyDescent="0.25">
      <c r="A687" t="s">
        <v>88</v>
      </c>
      <c r="B687" t="s">
        <v>1005</v>
      </c>
      <c r="C687">
        <v>6</v>
      </c>
      <c r="D687" t="s">
        <v>31</v>
      </c>
      <c r="E687" t="s">
        <v>95</v>
      </c>
      <c r="F687" t="s">
        <v>110</v>
      </c>
      <c r="G687" t="s">
        <v>113</v>
      </c>
      <c r="H687" t="s">
        <v>113</v>
      </c>
      <c r="J687">
        <v>0</v>
      </c>
      <c r="K687">
        <v>3</v>
      </c>
      <c r="L687">
        <v>73.260869569999997</v>
      </c>
      <c r="M687">
        <v>34.453830549999999</v>
      </c>
      <c r="N687">
        <v>1.058333333</v>
      </c>
      <c r="O687">
        <v>0.90897070000000002</v>
      </c>
      <c r="P687">
        <v>83.757575759999995</v>
      </c>
      <c r="Q687">
        <v>22.60997987</v>
      </c>
      <c r="R687">
        <v>0.72884000000000004</v>
      </c>
      <c r="S687">
        <v>0.21301339999999999</v>
      </c>
      <c r="T687">
        <v>-10.496706189999999</v>
      </c>
      <c r="U687">
        <v>10.496706189999999</v>
      </c>
      <c r="V687">
        <v>11.843850679999999</v>
      </c>
      <c r="W687">
        <v>11.843850679999999</v>
      </c>
      <c r="X687">
        <v>0.329493333</v>
      </c>
      <c r="Y687">
        <v>0.329493333</v>
      </c>
      <c r="Z687">
        <v>0.6959573</v>
      </c>
      <c r="AA687">
        <v>0.6959573</v>
      </c>
    </row>
    <row r="688" spans="1:27" x14ac:dyDescent="0.25">
      <c r="A688" t="s">
        <v>88</v>
      </c>
      <c r="B688" t="s">
        <v>1005</v>
      </c>
      <c r="C688">
        <v>6</v>
      </c>
      <c r="D688" t="s">
        <v>31</v>
      </c>
      <c r="E688" t="s">
        <v>95</v>
      </c>
      <c r="F688" t="s">
        <v>110</v>
      </c>
      <c r="G688" t="s">
        <v>113</v>
      </c>
      <c r="H688" t="s">
        <v>113</v>
      </c>
      <c r="J688">
        <v>0</v>
      </c>
      <c r="K688">
        <v>3</v>
      </c>
      <c r="L688">
        <v>73.260869569999997</v>
      </c>
      <c r="M688">
        <v>34.453830549999999</v>
      </c>
      <c r="N688">
        <v>1.058333333</v>
      </c>
      <c r="O688">
        <v>0.90897070000000002</v>
      </c>
      <c r="P688">
        <v>83.757575759999995</v>
      </c>
      <c r="Q688">
        <v>22.60997987</v>
      </c>
      <c r="R688">
        <v>0.72884000000000004</v>
      </c>
      <c r="S688">
        <v>0.21301339999999999</v>
      </c>
      <c r="T688">
        <v>-10.496706189999999</v>
      </c>
      <c r="U688">
        <v>10.496706189999999</v>
      </c>
      <c r="V688">
        <v>11.843850679999999</v>
      </c>
      <c r="W688">
        <v>11.843850679999999</v>
      </c>
      <c r="X688">
        <v>0.329493333</v>
      </c>
      <c r="Y688">
        <v>0.329493333</v>
      </c>
      <c r="Z688">
        <v>0.6959573</v>
      </c>
      <c r="AA688">
        <v>0.6959573</v>
      </c>
    </row>
    <row r="689" spans="1:27" x14ac:dyDescent="0.25">
      <c r="A689" t="s">
        <v>88</v>
      </c>
      <c r="B689" t="s">
        <v>1005</v>
      </c>
      <c r="C689">
        <v>6</v>
      </c>
      <c r="D689" t="s">
        <v>31</v>
      </c>
      <c r="E689" t="s">
        <v>95</v>
      </c>
      <c r="F689" t="s">
        <v>110</v>
      </c>
      <c r="G689" t="s">
        <v>113</v>
      </c>
      <c r="H689" t="s">
        <v>113</v>
      </c>
      <c r="J689">
        <v>0</v>
      </c>
      <c r="K689">
        <v>3</v>
      </c>
      <c r="L689">
        <v>73.260869569999997</v>
      </c>
      <c r="M689">
        <v>34.453830549999999</v>
      </c>
      <c r="N689">
        <v>1.058333333</v>
      </c>
      <c r="O689">
        <v>0.90897070000000002</v>
      </c>
      <c r="P689">
        <v>83.757575759999995</v>
      </c>
      <c r="Q689">
        <v>22.60997987</v>
      </c>
      <c r="R689">
        <v>0.72884000000000004</v>
      </c>
      <c r="S689">
        <v>0.21301339999999999</v>
      </c>
      <c r="T689">
        <v>-10.496706189999999</v>
      </c>
      <c r="U689">
        <v>10.496706189999999</v>
      </c>
      <c r="V689">
        <v>11.843850679999999</v>
      </c>
      <c r="W689">
        <v>11.843850679999999</v>
      </c>
      <c r="X689">
        <v>0.329493333</v>
      </c>
      <c r="Y689">
        <v>0.329493333</v>
      </c>
      <c r="Z689">
        <v>0.6959573</v>
      </c>
      <c r="AA689">
        <v>0.6959573</v>
      </c>
    </row>
    <row r="690" spans="1:27" x14ac:dyDescent="0.25">
      <c r="A690" t="s">
        <v>88</v>
      </c>
      <c r="B690" t="s">
        <v>1005</v>
      </c>
      <c r="C690">
        <v>6</v>
      </c>
      <c r="D690" t="s">
        <v>31</v>
      </c>
      <c r="E690" t="s">
        <v>95</v>
      </c>
      <c r="F690" t="s">
        <v>110</v>
      </c>
      <c r="G690" t="s">
        <v>113</v>
      </c>
      <c r="H690" t="s">
        <v>103</v>
      </c>
      <c r="J690">
        <v>0</v>
      </c>
      <c r="K690">
        <v>1</v>
      </c>
      <c r="L690">
        <v>73.260869569999997</v>
      </c>
      <c r="M690">
        <v>34.453830549999999</v>
      </c>
      <c r="N690">
        <v>1.058333333</v>
      </c>
      <c r="O690">
        <v>0.90897070000000002</v>
      </c>
      <c r="P690">
        <v>98.291666669999998</v>
      </c>
      <c r="Q690">
        <v>30.315130790000001</v>
      </c>
      <c r="R690">
        <v>5.0803484000000003E-2</v>
      </c>
      <c r="S690">
        <v>0.42866070000000001</v>
      </c>
      <c r="T690">
        <v>-25.030797100000001</v>
      </c>
      <c r="U690">
        <v>25.030797100000001</v>
      </c>
      <c r="V690">
        <v>4.1386997599999997</v>
      </c>
      <c r="W690">
        <v>4.1386997599999997</v>
      </c>
      <c r="X690">
        <v>1.007529849</v>
      </c>
      <c r="Y690">
        <v>1.007529849</v>
      </c>
      <c r="Z690">
        <v>0.48031000000000001</v>
      </c>
      <c r="AA690">
        <v>0.48031000000000001</v>
      </c>
    </row>
    <row r="691" spans="1:27" x14ac:dyDescent="0.25">
      <c r="A691" t="s">
        <v>88</v>
      </c>
      <c r="B691" t="s">
        <v>1006</v>
      </c>
      <c r="C691">
        <v>6</v>
      </c>
      <c r="D691" t="s">
        <v>31</v>
      </c>
      <c r="E691" t="s">
        <v>95</v>
      </c>
      <c r="F691" t="s">
        <v>112</v>
      </c>
      <c r="G691" t="s">
        <v>113</v>
      </c>
      <c r="H691" t="s">
        <v>113</v>
      </c>
      <c r="J691">
        <v>0</v>
      </c>
      <c r="K691">
        <v>2</v>
      </c>
      <c r="L691">
        <v>65.09375</v>
      </c>
      <c r="M691">
        <v>37.895352600000002</v>
      </c>
      <c r="N691">
        <v>2.2882677779999998</v>
      </c>
      <c r="O691">
        <v>2.2111774</v>
      </c>
      <c r="P691">
        <v>83.757575759999995</v>
      </c>
      <c r="Q691">
        <v>22.60997987</v>
      </c>
      <c r="R691">
        <v>0.72884000000000004</v>
      </c>
      <c r="S691">
        <v>0.21301339999999999</v>
      </c>
      <c r="T691">
        <v>-18.663825760000002</v>
      </c>
      <c r="U691">
        <v>18.663825760000002</v>
      </c>
      <c r="V691">
        <v>15.285372730000001</v>
      </c>
      <c r="W691">
        <v>15.285372730000001</v>
      </c>
      <c r="X691">
        <v>1.5594277780000001</v>
      </c>
      <c r="Y691">
        <v>1.5594277780000001</v>
      </c>
      <c r="Z691">
        <v>1.9981640000000001</v>
      </c>
      <c r="AA691">
        <v>1.9981640000000001</v>
      </c>
    </row>
    <row r="692" spans="1:27" x14ac:dyDescent="0.25">
      <c r="A692" t="s">
        <v>88</v>
      </c>
      <c r="B692" t="s">
        <v>1006</v>
      </c>
      <c r="C692">
        <v>6</v>
      </c>
      <c r="D692" t="s">
        <v>31</v>
      </c>
      <c r="E692" t="s">
        <v>95</v>
      </c>
      <c r="F692" t="s">
        <v>112</v>
      </c>
      <c r="G692" t="s">
        <v>113</v>
      </c>
      <c r="H692" t="s">
        <v>113</v>
      </c>
      <c r="J692">
        <v>0</v>
      </c>
      <c r="K692">
        <v>2</v>
      </c>
      <c r="L692">
        <v>65.09375</v>
      </c>
      <c r="M692">
        <v>37.895352600000002</v>
      </c>
      <c r="N692">
        <v>2.2882677779999998</v>
      </c>
      <c r="O692">
        <v>2.2111774</v>
      </c>
      <c r="P692">
        <v>83.757575759999995</v>
      </c>
      <c r="Q692">
        <v>22.60997987</v>
      </c>
      <c r="R692">
        <v>0.72884000000000004</v>
      </c>
      <c r="S692">
        <v>0.21301339999999999</v>
      </c>
      <c r="T692">
        <v>-18.663825760000002</v>
      </c>
      <c r="U692">
        <v>18.663825760000002</v>
      </c>
      <c r="V692">
        <v>15.285372730000001</v>
      </c>
      <c r="W692">
        <v>15.285372730000001</v>
      </c>
      <c r="X692">
        <v>1.5594277780000001</v>
      </c>
      <c r="Y692">
        <v>1.5594277780000001</v>
      </c>
      <c r="Z692">
        <v>1.9981640000000001</v>
      </c>
      <c r="AA692">
        <v>1.9981640000000001</v>
      </c>
    </row>
    <row r="693" spans="1:27" x14ac:dyDescent="0.25">
      <c r="A693" t="s">
        <v>89</v>
      </c>
      <c r="B693" t="s">
        <v>1007</v>
      </c>
      <c r="C693">
        <v>6</v>
      </c>
      <c r="D693" t="s">
        <v>33</v>
      </c>
      <c r="E693" t="s">
        <v>95</v>
      </c>
      <c r="F693" t="s">
        <v>104</v>
      </c>
      <c r="G693" t="s">
        <v>104</v>
      </c>
      <c r="H693" t="s">
        <v>104</v>
      </c>
      <c r="J693">
        <v>1</v>
      </c>
      <c r="K693">
        <v>1</v>
      </c>
      <c r="L693">
        <v>113.9375</v>
      </c>
      <c r="M693">
        <v>33.375507550000002</v>
      </c>
      <c r="N693">
        <v>2.4262999999999999</v>
      </c>
      <c r="O693">
        <v>0.40692159999999999</v>
      </c>
      <c r="P693">
        <v>113.9375</v>
      </c>
      <c r="Q693">
        <v>33.375507550000002</v>
      </c>
      <c r="R693">
        <v>2.4262999999999999</v>
      </c>
      <c r="S693">
        <v>0.40692159999999999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</row>
    <row r="694" spans="1:27" x14ac:dyDescent="0.25">
      <c r="A694" t="s">
        <v>89</v>
      </c>
      <c r="B694" t="s">
        <v>1007</v>
      </c>
      <c r="C694">
        <v>6</v>
      </c>
      <c r="D694" t="s">
        <v>33</v>
      </c>
      <c r="E694" t="s">
        <v>95</v>
      </c>
      <c r="F694" t="s">
        <v>104</v>
      </c>
      <c r="G694" t="s">
        <v>104</v>
      </c>
      <c r="H694" t="s">
        <v>103</v>
      </c>
      <c r="J694">
        <v>1</v>
      </c>
      <c r="K694">
        <v>1</v>
      </c>
      <c r="L694">
        <v>113.9375</v>
      </c>
      <c r="M694">
        <v>33.375507550000002</v>
      </c>
      <c r="N694">
        <v>2.4262999999999999</v>
      </c>
      <c r="O694">
        <v>0.40692159999999999</v>
      </c>
      <c r="P694">
        <v>98.291666669999998</v>
      </c>
      <c r="Q694">
        <v>30.315130790000001</v>
      </c>
      <c r="R694">
        <v>5.0803484000000003E-2</v>
      </c>
      <c r="S694">
        <v>0.42866070000000001</v>
      </c>
      <c r="T694">
        <v>15.64583333</v>
      </c>
      <c r="U694">
        <v>15.64583333</v>
      </c>
      <c r="V694">
        <v>3.06037676</v>
      </c>
      <c r="W694">
        <v>3.06037676</v>
      </c>
      <c r="X694">
        <v>2.3754965160000001</v>
      </c>
      <c r="Y694">
        <v>2.3754965160000001</v>
      </c>
      <c r="Z694">
        <v>-2.1739100000000011E-2</v>
      </c>
      <c r="AA694">
        <v>2.1739100000000011E-2</v>
      </c>
    </row>
    <row r="695" spans="1:27" x14ac:dyDescent="0.25">
      <c r="A695" t="s">
        <v>89</v>
      </c>
      <c r="B695" t="s">
        <v>1007</v>
      </c>
      <c r="C695">
        <v>6</v>
      </c>
      <c r="D695" t="s">
        <v>33</v>
      </c>
      <c r="E695" t="s">
        <v>95</v>
      </c>
      <c r="F695" t="s">
        <v>104</v>
      </c>
      <c r="G695" t="s">
        <v>104</v>
      </c>
      <c r="H695" t="s">
        <v>246</v>
      </c>
      <c r="J695">
        <v>1</v>
      </c>
      <c r="K695">
        <v>1</v>
      </c>
      <c r="L695">
        <v>113.9375</v>
      </c>
      <c r="M695">
        <v>33.375507550000002</v>
      </c>
      <c r="N695">
        <v>2.4262999999999999</v>
      </c>
      <c r="O695">
        <v>0.40692159999999999</v>
      </c>
      <c r="P695">
        <v>120.25</v>
      </c>
      <c r="Q695">
        <v>30.670450110000001</v>
      </c>
      <c r="R695">
        <v>0.91037498500000003</v>
      </c>
      <c r="S695" t="s">
        <v>114</v>
      </c>
      <c r="T695">
        <v>-6.3125</v>
      </c>
      <c r="U695">
        <v>6.3125</v>
      </c>
      <c r="V695">
        <v>2.70505744</v>
      </c>
      <c r="W695">
        <v>2.70505744</v>
      </c>
      <c r="X695">
        <v>1.5159250150000001</v>
      </c>
      <c r="Y695">
        <v>1.5159250150000001</v>
      </c>
      <c r="Z695" t="s">
        <v>114</v>
      </c>
      <c r="AA695" t="s">
        <v>114</v>
      </c>
    </row>
    <row r="696" spans="1:27" x14ac:dyDescent="0.25">
      <c r="A696" t="s">
        <v>89</v>
      </c>
      <c r="B696" t="s">
        <v>1008</v>
      </c>
      <c r="C696">
        <v>6</v>
      </c>
      <c r="D696" t="s">
        <v>33</v>
      </c>
      <c r="E696" t="s">
        <v>95</v>
      </c>
      <c r="F696" t="s">
        <v>112</v>
      </c>
      <c r="G696" t="s">
        <v>113</v>
      </c>
      <c r="H696" t="s">
        <v>113</v>
      </c>
      <c r="I696" t="s">
        <v>255</v>
      </c>
      <c r="J696">
        <v>0</v>
      </c>
      <c r="K696">
        <v>4</v>
      </c>
      <c r="L696">
        <v>65.09375</v>
      </c>
      <c r="M696">
        <v>37.895352600000002</v>
      </c>
      <c r="N696">
        <v>2.2882677779999998</v>
      </c>
      <c r="O696">
        <v>2.2111774</v>
      </c>
      <c r="P696">
        <v>83.757575759999995</v>
      </c>
      <c r="Q696">
        <v>22.60997987</v>
      </c>
      <c r="R696">
        <v>0.72884000000000004</v>
      </c>
      <c r="S696">
        <v>0.21301339999999999</v>
      </c>
      <c r="T696">
        <v>-18.663825760000002</v>
      </c>
      <c r="U696">
        <v>18.663825760000002</v>
      </c>
      <c r="V696">
        <v>15.285372730000001</v>
      </c>
      <c r="W696">
        <v>15.285372730000001</v>
      </c>
      <c r="X696">
        <v>1.5594277780000001</v>
      </c>
      <c r="Y696">
        <v>1.5594277780000001</v>
      </c>
      <c r="Z696">
        <v>1.9981640000000001</v>
      </c>
      <c r="AA696">
        <v>1.9981640000000001</v>
      </c>
    </row>
    <row r="697" spans="1:27" x14ac:dyDescent="0.25">
      <c r="A697" t="s">
        <v>89</v>
      </c>
      <c r="B697" t="s">
        <v>1008</v>
      </c>
      <c r="C697">
        <v>6</v>
      </c>
      <c r="D697" t="s">
        <v>33</v>
      </c>
      <c r="E697" t="s">
        <v>95</v>
      </c>
      <c r="F697" t="s">
        <v>112</v>
      </c>
      <c r="G697" t="s">
        <v>113</v>
      </c>
      <c r="H697" t="s">
        <v>113</v>
      </c>
      <c r="I697" t="s">
        <v>255</v>
      </c>
      <c r="J697">
        <v>0</v>
      </c>
      <c r="K697">
        <v>4</v>
      </c>
      <c r="L697">
        <v>65.09375</v>
      </c>
      <c r="M697">
        <v>37.895352600000002</v>
      </c>
      <c r="N697">
        <v>2.2882677779999998</v>
      </c>
      <c r="O697">
        <v>2.2111774</v>
      </c>
      <c r="P697">
        <v>83.757575759999995</v>
      </c>
      <c r="Q697">
        <v>22.60997987</v>
      </c>
      <c r="R697">
        <v>0.72884000000000004</v>
      </c>
      <c r="S697">
        <v>0.21301339999999999</v>
      </c>
      <c r="T697">
        <v>-18.663825760000002</v>
      </c>
      <c r="U697">
        <v>18.663825760000002</v>
      </c>
      <c r="V697">
        <v>15.285372730000001</v>
      </c>
      <c r="W697">
        <v>15.285372730000001</v>
      </c>
      <c r="X697">
        <v>1.5594277780000001</v>
      </c>
      <c r="Y697">
        <v>1.5594277780000001</v>
      </c>
      <c r="Z697">
        <v>1.9981640000000001</v>
      </c>
      <c r="AA697">
        <v>1.9981640000000001</v>
      </c>
    </row>
    <row r="698" spans="1:27" x14ac:dyDescent="0.25">
      <c r="A698" t="s">
        <v>89</v>
      </c>
      <c r="B698" t="s">
        <v>1008</v>
      </c>
      <c r="C698">
        <v>6</v>
      </c>
      <c r="D698" t="s">
        <v>33</v>
      </c>
      <c r="E698" t="s">
        <v>95</v>
      </c>
      <c r="F698" t="s">
        <v>112</v>
      </c>
      <c r="G698" t="s">
        <v>113</v>
      </c>
      <c r="H698" t="s">
        <v>113</v>
      </c>
      <c r="I698" t="s">
        <v>255</v>
      </c>
      <c r="J698">
        <v>0</v>
      </c>
      <c r="K698">
        <v>4</v>
      </c>
      <c r="L698">
        <v>65.09375</v>
      </c>
      <c r="M698">
        <v>37.895352600000002</v>
      </c>
      <c r="N698">
        <v>2.2882677779999998</v>
      </c>
      <c r="O698">
        <v>2.2111774</v>
      </c>
      <c r="P698">
        <v>83.757575759999995</v>
      </c>
      <c r="Q698">
        <v>22.60997987</v>
      </c>
      <c r="R698">
        <v>0.72884000000000004</v>
      </c>
      <c r="S698">
        <v>0.21301339999999999</v>
      </c>
      <c r="T698">
        <v>-18.663825760000002</v>
      </c>
      <c r="U698">
        <v>18.663825760000002</v>
      </c>
      <c r="V698">
        <v>15.285372730000001</v>
      </c>
      <c r="W698">
        <v>15.285372730000001</v>
      </c>
      <c r="X698">
        <v>1.5594277780000001</v>
      </c>
      <c r="Y698">
        <v>1.5594277780000001</v>
      </c>
      <c r="Z698">
        <v>1.9981640000000001</v>
      </c>
      <c r="AA698">
        <v>1.9981640000000001</v>
      </c>
    </row>
    <row r="699" spans="1:27" x14ac:dyDescent="0.25">
      <c r="A699" t="s">
        <v>89</v>
      </c>
      <c r="B699" t="s">
        <v>1008</v>
      </c>
      <c r="C699">
        <v>6</v>
      </c>
      <c r="D699" t="s">
        <v>33</v>
      </c>
      <c r="E699" t="s">
        <v>95</v>
      </c>
      <c r="F699" t="s">
        <v>112</v>
      </c>
      <c r="G699" t="s">
        <v>113</v>
      </c>
      <c r="H699" t="s">
        <v>113</v>
      </c>
      <c r="I699" t="s">
        <v>255</v>
      </c>
      <c r="J699">
        <v>0</v>
      </c>
      <c r="K699">
        <v>4</v>
      </c>
      <c r="L699">
        <v>65.09375</v>
      </c>
      <c r="M699">
        <v>37.895352600000002</v>
      </c>
      <c r="N699">
        <v>2.2882677779999998</v>
      </c>
      <c r="O699">
        <v>2.2111774</v>
      </c>
      <c r="P699">
        <v>83.757575759999995</v>
      </c>
      <c r="Q699">
        <v>22.60997987</v>
      </c>
      <c r="R699">
        <v>0.72884000000000004</v>
      </c>
      <c r="S699">
        <v>0.21301339999999999</v>
      </c>
      <c r="T699">
        <v>-18.663825760000002</v>
      </c>
      <c r="U699">
        <v>18.663825760000002</v>
      </c>
      <c r="V699">
        <v>15.285372730000001</v>
      </c>
      <c r="W699">
        <v>15.285372730000001</v>
      </c>
      <c r="X699">
        <v>1.5594277780000001</v>
      </c>
      <c r="Y699">
        <v>1.5594277780000001</v>
      </c>
      <c r="Z699">
        <v>1.9981640000000001</v>
      </c>
      <c r="AA699">
        <v>1.9981640000000001</v>
      </c>
    </row>
    <row r="700" spans="1:27" x14ac:dyDescent="0.25">
      <c r="A700" t="s">
        <v>90</v>
      </c>
      <c r="B700" t="s">
        <v>1009</v>
      </c>
      <c r="C700">
        <v>6</v>
      </c>
      <c r="D700" t="s">
        <v>35</v>
      </c>
      <c r="E700" t="s">
        <v>94</v>
      </c>
      <c r="F700" t="s">
        <v>111</v>
      </c>
      <c r="G700" t="s">
        <v>121</v>
      </c>
      <c r="H700" t="s">
        <v>253</v>
      </c>
      <c r="J700">
        <v>0</v>
      </c>
      <c r="K700">
        <v>3</v>
      </c>
      <c r="L700">
        <v>94.97142857</v>
      </c>
      <c r="M700">
        <v>24.31591813</v>
      </c>
      <c r="N700">
        <v>0.122951111</v>
      </c>
      <c r="O700">
        <v>0.39050790000000002</v>
      </c>
      <c r="P700">
        <v>172.08823530000001</v>
      </c>
      <c r="Q700">
        <v>29.581605960000001</v>
      </c>
      <c r="R700">
        <v>0.24280444400000001</v>
      </c>
      <c r="S700" t="s">
        <v>114</v>
      </c>
      <c r="T700">
        <v>-77.116806729999993</v>
      </c>
      <c r="U700">
        <v>77.116806729999993</v>
      </c>
      <c r="V700">
        <v>-5.2656878300000001</v>
      </c>
      <c r="W700">
        <v>5.2656878300000001</v>
      </c>
      <c r="X700">
        <v>-0.11985333300000001</v>
      </c>
      <c r="Y700">
        <v>0.11985333300000001</v>
      </c>
      <c r="Z700" t="s">
        <v>114</v>
      </c>
      <c r="AA700" t="s">
        <v>114</v>
      </c>
    </row>
    <row r="701" spans="1:27" x14ac:dyDescent="0.25">
      <c r="A701" t="s">
        <v>90</v>
      </c>
      <c r="B701" t="s">
        <v>1009</v>
      </c>
      <c r="C701">
        <v>6</v>
      </c>
      <c r="D701" t="s">
        <v>35</v>
      </c>
      <c r="E701" t="s">
        <v>94</v>
      </c>
      <c r="F701" t="s">
        <v>111</v>
      </c>
      <c r="G701" t="s">
        <v>121</v>
      </c>
      <c r="H701" t="s">
        <v>253</v>
      </c>
      <c r="J701">
        <v>0</v>
      </c>
      <c r="K701">
        <v>3</v>
      </c>
      <c r="L701">
        <v>94.97142857</v>
      </c>
      <c r="M701">
        <v>24.31591813</v>
      </c>
      <c r="N701">
        <v>0.122951111</v>
      </c>
      <c r="O701">
        <v>0.39050790000000002</v>
      </c>
      <c r="P701">
        <v>172.08823530000001</v>
      </c>
      <c r="Q701">
        <v>29.581605960000001</v>
      </c>
      <c r="R701">
        <v>0.24280444400000001</v>
      </c>
      <c r="S701" t="s">
        <v>114</v>
      </c>
      <c r="T701">
        <v>-77.116806729999993</v>
      </c>
      <c r="U701">
        <v>77.116806729999993</v>
      </c>
      <c r="V701">
        <v>-5.2656878300000001</v>
      </c>
      <c r="W701">
        <v>5.2656878300000001</v>
      </c>
      <c r="X701">
        <v>-0.11985333300000001</v>
      </c>
      <c r="Y701">
        <v>0.11985333300000001</v>
      </c>
      <c r="Z701" t="s">
        <v>114</v>
      </c>
      <c r="AA701" t="s">
        <v>114</v>
      </c>
    </row>
    <row r="702" spans="1:27" x14ac:dyDescent="0.25">
      <c r="A702" t="s">
        <v>90</v>
      </c>
      <c r="B702" t="s">
        <v>1009</v>
      </c>
      <c r="C702">
        <v>6</v>
      </c>
      <c r="D702" t="s">
        <v>35</v>
      </c>
      <c r="E702" t="s">
        <v>94</v>
      </c>
      <c r="F702" t="s">
        <v>111</v>
      </c>
      <c r="G702" t="s">
        <v>121</v>
      </c>
      <c r="H702" t="s">
        <v>253</v>
      </c>
      <c r="J702">
        <v>0</v>
      </c>
      <c r="K702">
        <v>3</v>
      </c>
      <c r="L702">
        <v>94.97142857</v>
      </c>
      <c r="M702">
        <v>24.31591813</v>
      </c>
      <c r="N702">
        <v>0.122951111</v>
      </c>
      <c r="O702">
        <v>0.39050790000000002</v>
      </c>
      <c r="P702">
        <v>172.08823530000001</v>
      </c>
      <c r="Q702">
        <v>29.581605960000001</v>
      </c>
      <c r="R702">
        <v>0.24280444400000001</v>
      </c>
      <c r="S702" t="s">
        <v>114</v>
      </c>
      <c r="T702">
        <v>-77.116806729999993</v>
      </c>
      <c r="U702">
        <v>77.116806729999993</v>
      </c>
      <c r="V702">
        <v>-5.2656878300000001</v>
      </c>
      <c r="W702">
        <v>5.2656878300000001</v>
      </c>
      <c r="X702">
        <v>-0.11985333300000001</v>
      </c>
      <c r="Y702">
        <v>0.11985333300000001</v>
      </c>
      <c r="Z702" t="s">
        <v>114</v>
      </c>
      <c r="AA702" t="s">
        <v>114</v>
      </c>
    </row>
    <row r="703" spans="1:27" x14ac:dyDescent="0.25">
      <c r="A703" t="s">
        <v>90</v>
      </c>
      <c r="B703" t="s">
        <v>1009</v>
      </c>
      <c r="C703">
        <v>6</v>
      </c>
      <c r="D703" t="s">
        <v>35</v>
      </c>
      <c r="E703" t="s">
        <v>94</v>
      </c>
      <c r="F703" t="s">
        <v>111</v>
      </c>
      <c r="G703" t="s">
        <v>121</v>
      </c>
      <c r="H703" t="s">
        <v>162</v>
      </c>
      <c r="J703">
        <v>0</v>
      </c>
      <c r="K703">
        <v>1</v>
      </c>
      <c r="L703">
        <v>94.97142857</v>
      </c>
      <c r="M703">
        <v>24.31591813</v>
      </c>
      <c r="N703">
        <v>0.122951111</v>
      </c>
      <c r="O703">
        <v>0.39050790000000002</v>
      </c>
      <c r="P703">
        <v>82.53846154</v>
      </c>
      <c r="Q703">
        <v>35.660530039999998</v>
      </c>
      <c r="R703">
        <v>3.3754499999999998</v>
      </c>
      <c r="S703" t="s">
        <v>114</v>
      </c>
      <c r="T703">
        <v>12.43296703</v>
      </c>
      <c r="U703">
        <v>12.43296703</v>
      </c>
      <c r="V703">
        <v>-11.344611909999999</v>
      </c>
      <c r="W703">
        <v>11.344611909999999</v>
      </c>
      <c r="X703">
        <v>-3.2524988889999999</v>
      </c>
      <c r="Y703">
        <v>3.2524988889999999</v>
      </c>
      <c r="Z703" t="s">
        <v>114</v>
      </c>
      <c r="AA703" t="s">
        <v>114</v>
      </c>
    </row>
    <row r="704" spans="1:27" x14ac:dyDescent="0.25">
      <c r="A704" t="s">
        <v>90</v>
      </c>
      <c r="B704" t="s">
        <v>1010</v>
      </c>
      <c r="C704">
        <v>6</v>
      </c>
      <c r="D704" t="s">
        <v>35</v>
      </c>
      <c r="E704" t="s">
        <v>94</v>
      </c>
      <c r="F704" t="s">
        <v>104</v>
      </c>
      <c r="G704" t="s">
        <v>111</v>
      </c>
      <c r="H704" t="s">
        <v>111</v>
      </c>
      <c r="J704">
        <v>1</v>
      </c>
      <c r="K704">
        <v>1</v>
      </c>
      <c r="L704">
        <v>113.9375</v>
      </c>
      <c r="M704">
        <v>33.375507550000002</v>
      </c>
      <c r="N704">
        <v>2.4262999999999999</v>
      </c>
      <c r="O704">
        <v>0.40692159999999999</v>
      </c>
      <c r="P704">
        <v>94.97142857</v>
      </c>
      <c r="Q704">
        <v>24.31591813</v>
      </c>
      <c r="R704">
        <v>0.122951111</v>
      </c>
      <c r="S704">
        <v>0.39050790000000002</v>
      </c>
      <c r="T704">
        <v>18.96607143</v>
      </c>
      <c r="U704">
        <v>18.96607143</v>
      </c>
      <c r="V704">
        <v>9.05958942</v>
      </c>
      <c r="W704">
        <v>9.05958942</v>
      </c>
      <c r="X704">
        <v>2.303348889</v>
      </c>
      <c r="Y704">
        <v>2.303348889</v>
      </c>
      <c r="Z704">
        <v>1.6413699999999976E-2</v>
      </c>
      <c r="AA704">
        <v>1.6413699999999976E-2</v>
      </c>
    </row>
    <row r="705" spans="1:27" x14ac:dyDescent="0.25">
      <c r="A705" t="s">
        <v>90</v>
      </c>
      <c r="B705" t="s">
        <v>1010</v>
      </c>
      <c r="C705">
        <v>6</v>
      </c>
      <c r="D705" t="s">
        <v>35</v>
      </c>
      <c r="E705" t="s">
        <v>94</v>
      </c>
      <c r="F705" t="s">
        <v>104</v>
      </c>
      <c r="G705" t="s">
        <v>111</v>
      </c>
      <c r="H705" t="s">
        <v>253</v>
      </c>
      <c r="J705">
        <v>1</v>
      </c>
      <c r="K705">
        <v>2</v>
      </c>
      <c r="L705">
        <v>113.9375</v>
      </c>
      <c r="M705">
        <v>33.375507550000002</v>
      </c>
      <c r="N705">
        <v>2.4262999999999999</v>
      </c>
      <c r="O705">
        <v>0.40692159999999999</v>
      </c>
      <c r="P705">
        <v>172.08823530000001</v>
      </c>
      <c r="Q705">
        <v>29.581605960000001</v>
      </c>
      <c r="R705">
        <v>0.24280444400000001</v>
      </c>
      <c r="S705" t="s">
        <v>114</v>
      </c>
      <c r="T705">
        <v>-58.150735300000001</v>
      </c>
      <c r="U705">
        <v>58.150735300000001</v>
      </c>
      <c r="V705">
        <v>3.7939015899999999</v>
      </c>
      <c r="W705">
        <v>3.7939015899999999</v>
      </c>
      <c r="X705">
        <v>2.183495556</v>
      </c>
      <c r="Y705">
        <v>2.183495556</v>
      </c>
      <c r="Z705" t="s">
        <v>114</v>
      </c>
      <c r="AA705" t="s">
        <v>114</v>
      </c>
    </row>
    <row r="706" spans="1:27" x14ac:dyDescent="0.25">
      <c r="A706" t="s">
        <v>90</v>
      </c>
      <c r="B706" t="s">
        <v>1010</v>
      </c>
      <c r="C706">
        <v>6</v>
      </c>
      <c r="D706" t="s">
        <v>35</v>
      </c>
      <c r="E706" t="s">
        <v>94</v>
      </c>
      <c r="F706" t="s">
        <v>104</v>
      </c>
      <c r="G706" t="s">
        <v>111</v>
      </c>
      <c r="H706" t="s">
        <v>253</v>
      </c>
      <c r="J706">
        <v>1</v>
      </c>
      <c r="K706">
        <v>2</v>
      </c>
      <c r="L706">
        <v>113.9375</v>
      </c>
      <c r="M706">
        <v>33.375507550000002</v>
      </c>
      <c r="N706">
        <v>2.4262999999999999</v>
      </c>
      <c r="O706">
        <v>0.40692159999999999</v>
      </c>
      <c r="P706">
        <v>172.08823530000001</v>
      </c>
      <c r="Q706">
        <v>29.581605960000001</v>
      </c>
      <c r="R706">
        <v>0.24280444400000001</v>
      </c>
      <c r="S706" t="s">
        <v>114</v>
      </c>
      <c r="T706">
        <v>-58.150735300000001</v>
      </c>
      <c r="U706">
        <v>58.150735300000001</v>
      </c>
      <c r="V706">
        <v>3.7939015899999999</v>
      </c>
      <c r="W706">
        <v>3.7939015899999999</v>
      </c>
      <c r="X706">
        <v>2.183495556</v>
      </c>
      <c r="Y706">
        <v>2.183495556</v>
      </c>
      <c r="Z706" t="s">
        <v>114</v>
      </c>
      <c r="AA706" t="s">
        <v>114</v>
      </c>
    </row>
    <row r="707" spans="1:27" x14ac:dyDescent="0.25">
      <c r="A707" t="s">
        <v>91</v>
      </c>
      <c r="B707" t="s">
        <v>1011</v>
      </c>
      <c r="C707">
        <v>6</v>
      </c>
      <c r="D707" t="s">
        <v>37</v>
      </c>
      <c r="E707" t="s">
        <v>94</v>
      </c>
      <c r="F707" t="s">
        <v>112</v>
      </c>
      <c r="G707" t="s">
        <v>112</v>
      </c>
      <c r="H707" t="s">
        <v>112</v>
      </c>
      <c r="J707">
        <v>0</v>
      </c>
      <c r="K707">
        <v>1</v>
      </c>
      <c r="L707">
        <v>65.09375</v>
      </c>
      <c r="M707">
        <v>37.895352600000002</v>
      </c>
      <c r="N707">
        <v>2.2882677779999998</v>
      </c>
      <c r="O707">
        <v>2.2111774</v>
      </c>
      <c r="P707">
        <v>65.09375</v>
      </c>
      <c r="Q707">
        <v>37.895352600000002</v>
      </c>
      <c r="R707">
        <v>2.2882677779999998</v>
      </c>
      <c r="S707">
        <v>2.2111774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</row>
    <row r="708" spans="1:27" x14ac:dyDescent="0.25">
      <c r="A708" t="s">
        <v>92</v>
      </c>
      <c r="B708" t="s">
        <v>1012</v>
      </c>
      <c r="C708">
        <v>6</v>
      </c>
      <c r="D708" t="s">
        <v>64</v>
      </c>
      <c r="E708" t="s">
        <v>94</v>
      </c>
      <c r="F708" t="s">
        <v>112</v>
      </c>
      <c r="G708" t="s">
        <v>102</v>
      </c>
      <c r="H708" t="s">
        <v>102</v>
      </c>
      <c r="J708">
        <v>0</v>
      </c>
      <c r="K708">
        <v>2</v>
      </c>
      <c r="L708">
        <v>65.09375</v>
      </c>
      <c r="M708">
        <v>37.895352600000002</v>
      </c>
      <c r="N708">
        <v>2.2882677779999998</v>
      </c>
      <c r="O708">
        <v>2.2111774</v>
      </c>
      <c r="P708">
        <v>84.740740740000007</v>
      </c>
      <c r="Q708">
        <v>29.167014049999999</v>
      </c>
      <c r="R708">
        <v>1.1169849999999999</v>
      </c>
      <c r="S708">
        <v>1.1571499000000001</v>
      </c>
      <c r="T708">
        <v>-19.64699074</v>
      </c>
      <c r="U708">
        <v>19.64699074</v>
      </c>
      <c r="V708">
        <v>8.7283385500000001</v>
      </c>
      <c r="W708">
        <v>8.7283385500000001</v>
      </c>
      <c r="X708">
        <v>1.1712827779999999</v>
      </c>
      <c r="Y708">
        <v>1.1712827779999999</v>
      </c>
      <c r="Z708">
        <v>1.0540274999999999</v>
      </c>
      <c r="AA708">
        <v>1.0540274999999999</v>
      </c>
    </row>
    <row r="709" spans="1:27" x14ac:dyDescent="0.25">
      <c r="A709" t="s">
        <v>92</v>
      </c>
      <c r="B709" t="s">
        <v>1012</v>
      </c>
      <c r="C709">
        <v>6</v>
      </c>
      <c r="D709" t="s">
        <v>64</v>
      </c>
      <c r="E709" t="s">
        <v>94</v>
      </c>
      <c r="F709" t="s">
        <v>112</v>
      </c>
      <c r="G709" t="s">
        <v>102</v>
      </c>
      <c r="H709" t="s">
        <v>102</v>
      </c>
      <c r="J709">
        <v>0</v>
      </c>
      <c r="K709">
        <v>2</v>
      </c>
      <c r="L709">
        <v>65.09375</v>
      </c>
      <c r="M709">
        <v>37.895352600000002</v>
      </c>
      <c r="N709">
        <v>2.2882677779999998</v>
      </c>
      <c r="O709">
        <v>2.2111774</v>
      </c>
      <c r="P709">
        <v>84.740740740000007</v>
      </c>
      <c r="Q709">
        <v>29.167014049999999</v>
      </c>
      <c r="R709">
        <v>1.1169849999999999</v>
      </c>
      <c r="S709">
        <v>1.1571499000000001</v>
      </c>
      <c r="T709">
        <v>-19.64699074</v>
      </c>
      <c r="U709">
        <v>19.64699074</v>
      </c>
      <c r="V709">
        <v>8.7283385500000001</v>
      </c>
      <c r="W709">
        <v>8.7283385500000001</v>
      </c>
      <c r="X709">
        <v>1.1712827779999999</v>
      </c>
      <c r="Y709">
        <v>1.1712827779999999</v>
      </c>
      <c r="Z709">
        <v>1.0540274999999999</v>
      </c>
      <c r="AA709">
        <v>1.0540274999999999</v>
      </c>
    </row>
    <row r="710" spans="1:27" x14ac:dyDescent="0.25">
      <c r="A710" t="s">
        <v>92</v>
      </c>
      <c r="B710" t="s">
        <v>1012</v>
      </c>
      <c r="C710">
        <v>6</v>
      </c>
      <c r="D710" t="s">
        <v>64</v>
      </c>
      <c r="E710" t="s">
        <v>94</v>
      </c>
      <c r="F710" t="s">
        <v>112</v>
      </c>
      <c r="G710" t="s">
        <v>102</v>
      </c>
      <c r="H710" t="s">
        <v>241</v>
      </c>
      <c r="J710">
        <v>0</v>
      </c>
      <c r="K710">
        <v>1</v>
      </c>
      <c r="L710">
        <v>65.09375</v>
      </c>
      <c r="M710">
        <v>37.895352600000002</v>
      </c>
      <c r="N710">
        <v>2.2882677779999998</v>
      </c>
      <c r="O710">
        <v>2.2111774</v>
      </c>
      <c r="P710">
        <v>114</v>
      </c>
      <c r="Q710">
        <v>30.43077242</v>
      </c>
      <c r="R710">
        <v>0.53383111100000002</v>
      </c>
      <c r="S710">
        <v>0.28333332999999999</v>
      </c>
      <c r="T710">
        <v>-48.90625</v>
      </c>
      <c r="U710">
        <v>48.90625</v>
      </c>
      <c r="V710">
        <v>7.4645801799999996</v>
      </c>
      <c r="W710">
        <v>7.4645801799999996</v>
      </c>
      <c r="X710">
        <v>1.754436667</v>
      </c>
      <c r="Y710">
        <v>1.754436667</v>
      </c>
      <c r="Z710">
        <v>1.9278440699999999</v>
      </c>
      <c r="AA710">
        <v>1.9278440699999999</v>
      </c>
    </row>
    <row r="711" spans="1:27" x14ac:dyDescent="0.25">
      <c r="A711" t="s">
        <v>93</v>
      </c>
      <c r="B711" t="s">
        <v>1013</v>
      </c>
      <c r="C711">
        <v>6</v>
      </c>
      <c r="D711" t="s">
        <v>66</v>
      </c>
      <c r="E711" t="s">
        <v>95</v>
      </c>
      <c r="F711" t="s">
        <v>104</v>
      </c>
      <c r="G711" t="s">
        <v>103</v>
      </c>
      <c r="H711" t="s">
        <v>104</v>
      </c>
      <c r="J711">
        <v>0</v>
      </c>
      <c r="K711">
        <v>1</v>
      </c>
      <c r="L711">
        <v>113.9375</v>
      </c>
      <c r="M711">
        <v>33.375507550000002</v>
      </c>
      <c r="N711">
        <v>2.4262999999999999</v>
      </c>
      <c r="O711">
        <v>0.40692159999999999</v>
      </c>
      <c r="P711">
        <v>113.9375</v>
      </c>
      <c r="Q711">
        <v>33.375507550000002</v>
      </c>
      <c r="R711">
        <v>2.4262999999999999</v>
      </c>
      <c r="S711">
        <v>0.40692159999999999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</row>
    <row r="712" spans="1:27" x14ac:dyDescent="0.25">
      <c r="A712" t="s">
        <v>93</v>
      </c>
      <c r="B712" t="s">
        <v>1013</v>
      </c>
      <c r="C712">
        <v>6</v>
      </c>
      <c r="D712" t="s">
        <v>66</v>
      </c>
      <c r="E712" t="s">
        <v>95</v>
      </c>
      <c r="F712" t="s">
        <v>104</v>
      </c>
      <c r="G712" t="s">
        <v>103</v>
      </c>
      <c r="H712" t="s">
        <v>111</v>
      </c>
      <c r="J712">
        <v>0</v>
      </c>
      <c r="K712">
        <v>1</v>
      </c>
      <c r="L712">
        <v>113.9375</v>
      </c>
      <c r="M712">
        <v>33.375507550000002</v>
      </c>
      <c r="N712">
        <v>2.4262999999999999</v>
      </c>
      <c r="O712">
        <v>0.40692159999999999</v>
      </c>
      <c r="P712">
        <v>94.97142857</v>
      </c>
      <c r="Q712">
        <v>24.31591813</v>
      </c>
      <c r="R712">
        <v>0.122951111</v>
      </c>
      <c r="S712">
        <v>0.39050790000000002</v>
      </c>
      <c r="T712">
        <v>18.96607143</v>
      </c>
      <c r="U712">
        <v>18.96607143</v>
      </c>
      <c r="V712">
        <v>9.05958942</v>
      </c>
      <c r="W712">
        <v>9.05958942</v>
      </c>
      <c r="X712">
        <v>2.303348889</v>
      </c>
      <c r="Y712">
        <v>2.303348889</v>
      </c>
      <c r="Z712">
        <v>1.6413699999999976E-2</v>
      </c>
      <c r="AA712">
        <v>1.6413699999999976E-2</v>
      </c>
    </row>
    <row r="713" spans="1:27" x14ac:dyDescent="0.25">
      <c r="A713" t="s">
        <v>93</v>
      </c>
      <c r="B713" t="s">
        <v>1013</v>
      </c>
      <c r="C713">
        <v>6</v>
      </c>
      <c r="D713" t="s">
        <v>66</v>
      </c>
      <c r="E713" t="s">
        <v>95</v>
      </c>
      <c r="F713" t="s">
        <v>104</v>
      </c>
      <c r="G713" t="s">
        <v>103</v>
      </c>
      <c r="H713" t="s">
        <v>103</v>
      </c>
      <c r="J713">
        <v>0</v>
      </c>
      <c r="K713">
        <v>4</v>
      </c>
      <c r="L713">
        <v>113.9375</v>
      </c>
      <c r="M713">
        <v>33.375507550000002</v>
      </c>
      <c r="N713">
        <v>2.4262999999999999</v>
      </c>
      <c r="O713">
        <v>0.40692159999999999</v>
      </c>
      <c r="P713">
        <v>98.291666669999998</v>
      </c>
      <c r="Q713">
        <v>30.315130790000001</v>
      </c>
      <c r="R713">
        <v>5.0803484000000003E-2</v>
      </c>
      <c r="S713">
        <v>0.42866070000000001</v>
      </c>
      <c r="T713">
        <v>15.64583333</v>
      </c>
      <c r="U713">
        <v>15.64583333</v>
      </c>
      <c r="V713">
        <v>3.06037676</v>
      </c>
      <c r="W713">
        <v>3.06037676</v>
      </c>
      <c r="X713">
        <v>2.3754965160000001</v>
      </c>
      <c r="Y713">
        <v>2.3754965160000001</v>
      </c>
      <c r="Z713">
        <v>-2.1739100000000011E-2</v>
      </c>
      <c r="AA713">
        <v>2.1739100000000011E-2</v>
      </c>
    </row>
    <row r="714" spans="1:27" x14ac:dyDescent="0.25">
      <c r="A714" t="s">
        <v>93</v>
      </c>
      <c r="B714" t="s">
        <v>1013</v>
      </c>
      <c r="C714">
        <v>6</v>
      </c>
      <c r="D714" t="s">
        <v>66</v>
      </c>
      <c r="E714" t="s">
        <v>95</v>
      </c>
      <c r="F714" t="s">
        <v>104</v>
      </c>
      <c r="G714" t="s">
        <v>103</v>
      </c>
      <c r="H714" t="s">
        <v>103</v>
      </c>
      <c r="J714">
        <v>0</v>
      </c>
      <c r="K714">
        <v>4</v>
      </c>
      <c r="L714">
        <v>113.9375</v>
      </c>
      <c r="M714">
        <v>33.375507550000002</v>
      </c>
      <c r="N714">
        <v>2.4262999999999999</v>
      </c>
      <c r="O714">
        <v>0.40692159999999999</v>
      </c>
      <c r="P714">
        <v>98.291666669999998</v>
      </c>
      <c r="Q714">
        <v>30.315130790000001</v>
      </c>
      <c r="R714">
        <v>5.0803484000000003E-2</v>
      </c>
      <c r="S714">
        <v>0.42866070000000001</v>
      </c>
      <c r="T714">
        <v>15.64583333</v>
      </c>
      <c r="U714">
        <v>15.64583333</v>
      </c>
      <c r="V714">
        <v>3.06037676</v>
      </c>
      <c r="W714">
        <v>3.06037676</v>
      </c>
      <c r="X714">
        <v>2.3754965160000001</v>
      </c>
      <c r="Y714">
        <v>2.3754965160000001</v>
      </c>
      <c r="Z714">
        <v>-2.1739100000000011E-2</v>
      </c>
      <c r="AA714">
        <v>2.1739100000000011E-2</v>
      </c>
    </row>
    <row r="715" spans="1:27" x14ac:dyDescent="0.25">
      <c r="A715" t="s">
        <v>93</v>
      </c>
      <c r="B715" t="s">
        <v>1013</v>
      </c>
      <c r="C715">
        <v>6</v>
      </c>
      <c r="D715" t="s">
        <v>66</v>
      </c>
      <c r="E715" t="s">
        <v>95</v>
      </c>
      <c r="F715" t="s">
        <v>104</v>
      </c>
      <c r="G715" t="s">
        <v>103</v>
      </c>
      <c r="H715" t="s">
        <v>103</v>
      </c>
      <c r="J715">
        <v>0</v>
      </c>
      <c r="K715">
        <v>4</v>
      </c>
      <c r="L715">
        <v>113.9375</v>
      </c>
      <c r="M715">
        <v>33.375507550000002</v>
      </c>
      <c r="N715">
        <v>2.4262999999999999</v>
      </c>
      <c r="O715">
        <v>0.40692159999999999</v>
      </c>
      <c r="P715">
        <v>98.291666669999998</v>
      </c>
      <c r="Q715">
        <v>30.315130790000001</v>
      </c>
      <c r="R715">
        <v>5.0803484000000003E-2</v>
      </c>
      <c r="S715">
        <v>0.42866070000000001</v>
      </c>
      <c r="T715">
        <v>15.64583333</v>
      </c>
      <c r="U715">
        <v>15.64583333</v>
      </c>
      <c r="V715">
        <v>3.06037676</v>
      </c>
      <c r="W715">
        <v>3.06037676</v>
      </c>
      <c r="X715">
        <v>2.3754965160000001</v>
      </c>
      <c r="Y715">
        <v>2.3754965160000001</v>
      </c>
      <c r="Z715">
        <v>-2.1739100000000011E-2</v>
      </c>
      <c r="AA715">
        <v>2.1739100000000011E-2</v>
      </c>
    </row>
    <row r="716" spans="1:27" x14ac:dyDescent="0.25">
      <c r="A716" t="s">
        <v>93</v>
      </c>
      <c r="B716" t="s">
        <v>1013</v>
      </c>
      <c r="C716">
        <v>6</v>
      </c>
      <c r="D716" t="s">
        <v>66</v>
      </c>
      <c r="E716" t="s">
        <v>95</v>
      </c>
      <c r="F716" t="s">
        <v>104</v>
      </c>
      <c r="G716" t="s">
        <v>103</v>
      </c>
      <c r="H716" t="s">
        <v>103</v>
      </c>
      <c r="J716">
        <v>0</v>
      </c>
      <c r="K716">
        <v>4</v>
      </c>
      <c r="L716">
        <v>113.9375</v>
      </c>
      <c r="M716">
        <v>33.375507550000002</v>
      </c>
      <c r="N716">
        <v>2.4262999999999999</v>
      </c>
      <c r="O716">
        <v>0.40692159999999999</v>
      </c>
      <c r="P716">
        <v>98.291666669999998</v>
      </c>
      <c r="Q716">
        <v>30.315130790000001</v>
      </c>
      <c r="R716">
        <v>5.0803484000000003E-2</v>
      </c>
      <c r="S716">
        <v>0.42866070000000001</v>
      </c>
      <c r="T716">
        <v>15.64583333</v>
      </c>
      <c r="U716">
        <v>15.64583333</v>
      </c>
      <c r="V716">
        <v>3.06037676</v>
      </c>
      <c r="W716">
        <v>3.06037676</v>
      </c>
      <c r="X716">
        <v>2.3754965160000001</v>
      </c>
      <c r="Y716">
        <v>2.3754965160000001</v>
      </c>
      <c r="Z716">
        <v>-2.1739100000000011E-2</v>
      </c>
      <c r="AA716">
        <v>2.1739100000000011E-2</v>
      </c>
    </row>
    <row r="717" spans="1:27" x14ac:dyDescent="0.25">
      <c r="A717" t="s">
        <v>93</v>
      </c>
      <c r="B717" t="s">
        <v>1013</v>
      </c>
      <c r="C717">
        <v>6</v>
      </c>
      <c r="D717" t="s">
        <v>66</v>
      </c>
      <c r="E717" t="s">
        <v>95</v>
      </c>
      <c r="F717" t="s">
        <v>104</v>
      </c>
      <c r="G717" t="s">
        <v>103</v>
      </c>
      <c r="H717" t="s">
        <v>238</v>
      </c>
      <c r="J717">
        <v>0</v>
      </c>
      <c r="K717">
        <v>2</v>
      </c>
      <c r="L717">
        <v>113.9375</v>
      </c>
      <c r="M717">
        <v>33.375507550000002</v>
      </c>
      <c r="N717">
        <v>2.4262999999999999</v>
      </c>
      <c r="O717">
        <v>0.40692159999999999</v>
      </c>
      <c r="P717">
        <v>87.5</v>
      </c>
      <c r="Q717">
        <v>29.478311600000001</v>
      </c>
      <c r="R717">
        <v>3.0797751000000002E-2</v>
      </c>
      <c r="S717">
        <v>0.12931835</v>
      </c>
      <c r="T717">
        <v>26.4375</v>
      </c>
      <c r="U717">
        <v>26.4375</v>
      </c>
      <c r="V717">
        <v>3.89719595</v>
      </c>
      <c r="W717">
        <v>3.89719595</v>
      </c>
      <c r="X717">
        <v>2.3955022490000002</v>
      </c>
      <c r="Y717">
        <v>2.3955022490000002</v>
      </c>
      <c r="Z717">
        <v>0.27760324999999997</v>
      </c>
      <c r="AA717">
        <v>0.27760324999999997</v>
      </c>
    </row>
    <row r="718" spans="1:27" x14ac:dyDescent="0.25">
      <c r="A718" t="s">
        <v>93</v>
      </c>
      <c r="B718" t="s">
        <v>1013</v>
      </c>
      <c r="C718">
        <v>6</v>
      </c>
      <c r="D718" t="s">
        <v>66</v>
      </c>
      <c r="E718" t="s">
        <v>95</v>
      </c>
      <c r="F718" t="s">
        <v>104</v>
      </c>
      <c r="G718" t="s">
        <v>103</v>
      </c>
      <c r="H718" t="s">
        <v>238</v>
      </c>
      <c r="J718">
        <v>0</v>
      </c>
      <c r="K718">
        <v>2</v>
      </c>
      <c r="L718">
        <v>113.9375</v>
      </c>
      <c r="M718">
        <v>33.375507550000002</v>
      </c>
      <c r="N718">
        <v>2.4262999999999999</v>
      </c>
      <c r="O718">
        <v>0.40692159999999999</v>
      </c>
      <c r="P718">
        <v>87.5</v>
      </c>
      <c r="Q718">
        <v>29.478311600000001</v>
      </c>
      <c r="R718">
        <v>3.0797751000000002E-2</v>
      </c>
      <c r="S718">
        <v>0.12931835</v>
      </c>
      <c r="T718">
        <v>26.4375</v>
      </c>
      <c r="U718">
        <v>26.4375</v>
      </c>
      <c r="V718">
        <v>3.89719595</v>
      </c>
      <c r="W718">
        <v>3.89719595</v>
      </c>
      <c r="X718">
        <v>2.3955022490000002</v>
      </c>
      <c r="Y718">
        <v>2.3955022490000002</v>
      </c>
      <c r="Z718">
        <v>0.27760324999999997</v>
      </c>
      <c r="AA718">
        <v>0.27760324999999997</v>
      </c>
    </row>
    <row r="719" spans="1:27" x14ac:dyDescent="0.25">
      <c r="A719" t="s">
        <v>93</v>
      </c>
      <c r="B719" t="s">
        <v>1013</v>
      </c>
      <c r="C719">
        <v>6</v>
      </c>
      <c r="D719" t="s">
        <v>66</v>
      </c>
      <c r="E719" t="s">
        <v>95</v>
      </c>
      <c r="F719" t="s">
        <v>104</v>
      </c>
      <c r="G719" t="s">
        <v>103</v>
      </c>
      <c r="H719" t="s">
        <v>246</v>
      </c>
      <c r="J719">
        <v>0</v>
      </c>
      <c r="K719">
        <v>1</v>
      </c>
      <c r="L719">
        <v>113.9375</v>
      </c>
      <c r="M719">
        <v>33.375507550000002</v>
      </c>
      <c r="N719">
        <v>2.4262999999999999</v>
      </c>
      <c r="O719">
        <v>0.40692159999999999</v>
      </c>
      <c r="P719">
        <v>120.25</v>
      </c>
      <c r="Q719">
        <v>30.670450110000001</v>
      </c>
      <c r="R719">
        <v>0.91037498500000003</v>
      </c>
      <c r="S719" t="s">
        <v>114</v>
      </c>
      <c r="T719">
        <v>-6.3125</v>
      </c>
      <c r="U719">
        <v>6.3125</v>
      </c>
      <c r="V719">
        <v>2.70505744</v>
      </c>
      <c r="W719">
        <v>2.70505744</v>
      </c>
      <c r="X719">
        <v>1.5159250150000001</v>
      </c>
      <c r="Y719">
        <v>1.5159250150000001</v>
      </c>
      <c r="Z719" t="s">
        <v>114</v>
      </c>
      <c r="AA719" t="s">
        <v>114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5745"/>
  <sheetViews>
    <sheetView topLeftCell="A4348" workbookViewId="0">
      <selection activeCell="T4375" sqref="T4375"/>
    </sheetView>
  </sheetViews>
  <sheetFormatPr defaultRowHeight="15" x14ac:dyDescent="0.25"/>
  <cols>
    <col min="20" max="20" width="22.5703125" customWidth="1"/>
  </cols>
  <sheetData>
    <row r="1" spans="1:21" x14ac:dyDescent="0.25">
      <c r="A1" t="s">
        <v>96</v>
      </c>
      <c r="B1" t="s">
        <v>796</v>
      </c>
      <c r="C1" t="s">
        <v>146</v>
      </c>
      <c r="D1" t="s">
        <v>1</v>
      </c>
      <c r="E1" t="s">
        <v>2</v>
      </c>
      <c r="F1" t="s">
        <v>97</v>
      </c>
      <c r="G1" t="s">
        <v>101</v>
      </c>
      <c r="H1" t="s">
        <v>231</v>
      </c>
      <c r="I1" t="s">
        <v>8</v>
      </c>
      <c r="J1" t="s">
        <v>230</v>
      </c>
      <c r="K1" t="s">
        <v>232</v>
      </c>
      <c r="L1" t="s">
        <v>814</v>
      </c>
      <c r="M1" t="s">
        <v>815</v>
      </c>
      <c r="N1" t="s">
        <v>816</v>
      </c>
      <c r="O1" t="s">
        <v>1038</v>
      </c>
      <c r="P1" t="s">
        <v>817</v>
      </c>
      <c r="Q1" t="s">
        <v>818</v>
      </c>
      <c r="R1" t="s">
        <v>819</v>
      </c>
      <c r="S1" t="s">
        <v>1039</v>
      </c>
      <c r="T1" t="s">
        <v>1021</v>
      </c>
      <c r="U1" t="s">
        <v>1020</v>
      </c>
    </row>
    <row r="2" spans="1:21" x14ac:dyDescent="0.25">
      <c r="A2" t="s">
        <v>67</v>
      </c>
      <c r="B2" t="s">
        <v>820</v>
      </c>
      <c r="C2">
        <v>10</v>
      </c>
      <c r="D2" t="s">
        <v>11</v>
      </c>
      <c r="E2" t="s">
        <v>94</v>
      </c>
      <c r="F2" t="s">
        <v>113</v>
      </c>
      <c r="G2" t="s">
        <v>121</v>
      </c>
      <c r="H2" t="s">
        <v>113</v>
      </c>
      <c r="J2">
        <v>0</v>
      </c>
      <c r="K2">
        <v>2</v>
      </c>
      <c r="L2">
        <v>83.757575759999995</v>
      </c>
      <c r="M2">
        <v>22.60997987</v>
      </c>
      <c r="N2">
        <v>0.72884000000000004</v>
      </c>
      <c r="O2">
        <v>0.21301339999999999</v>
      </c>
      <c r="P2">
        <v>83.757575759999995</v>
      </c>
      <c r="Q2">
        <v>22.60997987</v>
      </c>
      <c r="R2">
        <v>0.72884000000000004</v>
      </c>
      <c r="S2">
        <v>0.21301339999999999</v>
      </c>
      <c r="T2" t="s">
        <v>1014</v>
      </c>
      <c r="U2">
        <v>0</v>
      </c>
    </row>
    <row r="3" spans="1:21" x14ac:dyDescent="0.25">
      <c r="A3" t="s">
        <v>67</v>
      </c>
      <c r="B3" t="s">
        <v>820</v>
      </c>
      <c r="C3">
        <v>10</v>
      </c>
      <c r="D3" t="s">
        <v>11</v>
      </c>
      <c r="E3" t="s">
        <v>94</v>
      </c>
      <c r="F3" t="s">
        <v>113</v>
      </c>
      <c r="G3" t="s">
        <v>121</v>
      </c>
      <c r="H3" t="s">
        <v>113</v>
      </c>
      <c r="J3">
        <v>0</v>
      </c>
      <c r="K3">
        <v>2</v>
      </c>
      <c r="L3">
        <v>83.757575759999995</v>
      </c>
      <c r="M3">
        <v>22.60997987</v>
      </c>
      <c r="N3">
        <v>0.72884000000000004</v>
      </c>
      <c r="O3">
        <v>0.21301339999999999</v>
      </c>
      <c r="P3">
        <v>83.757575759999995</v>
      </c>
      <c r="Q3">
        <v>22.60997987</v>
      </c>
      <c r="R3">
        <v>0.72884000000000004</v>
      </c>
      <c r="S3">
        <v>0.21301339999999999</v>
      </c>
      <c r="T3" t="s">
        <v>1014</v>
      </c>
      <c r="U3">
        <v>0</v>
      </c>
    </row>
    <row r="4" spans="1:21" x14ac:dyDescent="0.25">
      <c r="A4" t="s">
        <v>67</v>
      </c>
      <c r="B4" t="s">
        <v>820</v>
      </c>
      <c r="C4">
        <v>10</v>
      </c>
      <c r="D4" t="s">
        <v>11</v>
      </c>
      <c r="E4" t="s">
        <v>94</v>
      </c>
      <c r="F4" t="s">
        <v>113</v>
      </c>
      <c r="G4" t="s">
        <v>121</v>
      </c>
      <c r="H4" t="s">
        <v>248</v>
      </c>
      <c r="J4">
        <v>0</v>
      </c>
      <c r="K4">
        <v>1</v>
      </c>
      <c r="L4">
        <v>83.757575759999995</v>
      </c>
      <c r="M4">
        <v>22.60997987</v>
      </c>
      <c r="N4">
        <v>0.72884000000000004</v>
      </c>
      <c r="O4">
        <v>0.21301339999999999</v>
      </c>
      <c r="P4">
        <v>83.92307692</v>
      </c>
      <c r="Q4">
        <v>44.319135699999997</v>
      </c>
      <c r="R4">
        <v>5.9548609999999997E-3</v>
      </c>
      <c r="S4">
        <v>0.18017928</v>
      </c>
      <c r="T4" t="s">
        <v>1014</v>
      </c>
      <c r="U4">
        <v>-0.16550116000000001</v>
      </c>
    </row>
    <row r="5" spans="1:21" x14ac:dyDescent="0.25">
      <c r="A5" t="s">
        <v>67</v>
      </c>
      <c r="B5" t="s">
        <v>821</v>
      </c>
      <c r="C5">
        <v>10</v>
      </c>
      <c r="D5" t="s">
        <v>11</v>
      </c>
      <c r="E5" t="s">
        <v>94</v>
      </c>
      <c r="F5" t="s">
        <v>103</v>
      </c>
      <c r="G5" t="s">
        <v>121</v>
      </c>
      <c r="H5" t="s">
        <v>103</v>
      </c>
      <c r="J5">
        <v>0</v>
      </c>
      <c r="K5">
        <v>1</v>
      </c>
      <c r="L5">
        <v>98.291666669999998</v>
      </c>
      <c r="M5">
        <v>30.315130790000001</v>
      </c>
      <c r="N5">
        <v>5.0803484000000003E-2</v>
      </c>
      <c r="O5">
        <v>0.42866070000000001</v>
      </c>
      <c r="P5">
        <v>98.291666669999998</v>
      </c>
      <c r="Q5">
        <v>30.315130790000001</v>
      </c>
      <c r="R5">
        <v>5.0803484000000003E-2</v>
      </c>
      <c r="S5">
        <v>0.42866070000000001</v>
      </c>
      <c r="T5" t="s">
        <v>1014</v>
      </c>
      <c r="U5">
        <v>0</v>
      </c>
    </row>
    <row r="6" spans="1:21" x14ac:dyDescent="0.25">
      <c r="A6" t="s">
        <v>67</v>
      </c>
      <c r="B6" t="s">
        <v>822</v>
      </c>
      <c r="C6">
        <v>10</v>
      </c>
      <c r="D6" t="s">
        <v>11</v>
      </c>
      <c r="E6" t="s">
        <v>94</v>
      </c>
      <c r="F6" t="s">
        <v>112</v>
      </c>
      <c r="G6" t="s">
        <v>121</v>
      </c>
      <c r="H6" t="s">
        <v>235</v>
      </c>
      <c r="J6">
        <v>0</v>
      </c>
      <c r="K6">
        <v>1</v>
      </c>
      <c r="L6">
        <v>65.09375</v>
      </c>
      <c r="M6">
        <v>37.895352600000002</v>
      </c>
      <c r="N6">
        <v>2.2882677779999998</v>
      </c>
      <c r="O6">
        <v>2.2111774</v>
      </c>
      <c r="P6">
        <v>132.27272730000001</v>
      </c>
      <c r="Q6">
        <v>20.180448590000001</v>
      </c>
      <c r="R6">
        <v>3.7813451999999997E-2</v>
      </c>
      <c r="S6">
        <v>0.41404401000000002</v>
      </c>
      <c r="T6" t="s">
        <v>1014</v>
      </c>
      <c r="U6">
        <v>-67.1789773</v>
      </c>
    </row>
    <row r="7" spans="1:21" x14ac:dyDescent="0.25">
      <c r="A7" t="s">
        <v>67</v>
      </c>
      <c r="B7" t="s">
        <v>822</v>
      </c>
      <c r="C7">
        <v>10</v>
      </c>
      <c r="D7" t="s">
        <v>11</v>
      </c>
      <c r="E7" t="s">
        <v>94</v>
      </c>
      <c r="F7" t="s">
        <v>112</v>
      </c>
      <c r="G7" t="s">
        <v>121</v>
      </c>
      <c r="H7" t="s">
        <v>248</v>
      </c>
      <c r="J7">
        <v>0</v>
      </c>
      <c r="K7">
        <v>2</v>
      </c>
      <c r="L7">
        <v>65.09375</v>
      </c>
      <c r="M7">
        <v>37.895352600000002</v>
      </c>
      <c r="N7">
        <v>2.2882677779999998</v>
      </c>
      <c r="O7">
        <v>2.2111774</v>
      </c>
      <c r="P7">
        <v>83.92307692</v>
      </c>
      <c r="Q7">
        <v>44.319135699999997</v>
      </c>
      <c r="R7">
        <v>5.9548609999999997E-3</v>
      </c>
      <c r="S7">
        <v>0.18017928</v>
      </c>
      <c r="T7" t="s">
        <v>1014</v>
      </c>
      <c r="U7">
        <v>-18.82932692</v>
      </c>
    </row>
    <row r="8" spans="1:21" x14ac:dyDescent="0.25">
      <c r="A8" t="s">
        <v>67</v>
      </c>
      <c r="B8" t="s">
        <v>822</v>
      </c>
      <c r="C8">
        <v>10</v>
      </c>
      <c r="D8" t="s">
        <v>11</v>
      </c>
      <c r="E8" t="s">
        <v>94</v>
      </c>
      <c r="F8" t="s">
        <v>112</v>
      </c>
      <c r="G8" t="s">
        <v>121</v>
      </c>
      <c r="H8" t="s">
        <v>248</v>
      </c>
      <c r="J8">
        <v>0</v>
      </c>
      <c r="K8">
        <v>2</v>
      </c>
      <c r="L8">
        <v>65.09375</v>
      </c>
      <c r="M8">
        <v>37.895352600000002</v>
      </c>
      <c r="N8">
        <v>2.2882677779999998</v>
      </c>
      <c r="O8">
        <v>2.2111774</v>
      </c>
      <c r="P8">
        <v>83.92307692</v>
      </c>
      <c r="Q8">
        <v>44.319135699999997</v>
      </c>
      <c r="R8">
        <v>5.9548609999999997E-3</v>
      </c>
      <c r="S8">
        <v>0.18017928</v>
      </c>
      <c r="T8" t="s">
        <v>1014</v>
      </c>
      <c r="U8">
        <v>-18.82932692</v>
      </c>
    </row>
    <row r="9" spans="1:21" x14ac:dyDescent="0.25">
      <c r="A9" t="s">
        <v>68</v>
      </c>
      <c r="B9" t="s">
        <v>823</v>
      </c>
      <c r="C9">
        <v>10</v>
      </c>
      <c r="D9" t="s">
        <v>15</v>
      </c>
      <c r="E9" t="s">
        <v>95</v>
      </c>
      <c r="F9" t="s">
        <v>113</v>
      </c>
      <c r="G9" t="s">
        <v>121</v>
      </c>
      <c r="H9" t="s">
        <v>113</v>
      </c>
      <c r="J9">
        <v>0</v>
      </c>
      <c r="K9">
        <v>1</v>
      </c>
      <c r="L9">
        <v>83.757575759999995</v>
      </c>
      <c r="M9">
        <v>22.60997987</v>
      </c>
      <c r="N9">
        <v>0.72884000000000004</v>
      </c>
      <c r="O9">
        <v>0.21301339999999999</v>
      </c>
      <c r="P9">
        <v>83.757575759999995</v>
      </c>
      <c r="Q9">
        <v>22.60997987</v>
      </c>
      <c r="R9">
        <v>0.72884000000000004</v>
      </c>
      <c r="S9">
        <v>0.21301339999999999</v>
      </c>
      <c r="T9" t="s">
        <v>1014</v>
      </c>
      <c r="U9">
        <v>0</v>
      </c>
    </row>
    <row r="10" spans="1:21" x14ac:dyDescent="0.25">
      <c r="A10" t="s">
        <v>68</v>
      </c>
      <c r="B10" t="s">
        <v>824</v>
      </c>
      <c r="C10">
        <v>10</v>
      </c>
      <c r="D10" t="s">
        <v>15</v>
      </c>
      <c r="E10" t="s">
        <v>95</v>
      </c>
      <c r="F10" t="s">
        <v>110</v>
      </c>
      <c r="G10" t="s">
        <v>113</v>
      </c>
      <c r="H10" t="s">
        <v>113</v>
      </c>
      <c r="J10">
        <v>0</v>
      </c>
      <c r="K10">
        <v>2</v>
      </c>
      <c r="L10">
        <v>73.260869569999997</v>
      </c>
      <c r="M10">
        <v>34.453830549999999</v>
      </c>
      <c r="N10">
        <v>1.058333333</v>
      </c>
      <c r="O10">
        <v>0.90897070000000002</v>
      </c>
      <c r="P10">
        <v>83.757575759999995</v>
      </c>
      <c r="Q10">
        <v>22.60997987</v>
      </c>
      <c r="R10">
        <v>0.72884000000000004</v>
      </c>
      <c r="S10">
        <v>0.21301339999999999</v>
      </c>
      <c r="T10" t="s">
        <v>1014</v>
      </c>
      <c r="U10">
        <v>-10.496706189999999</v>
      </c>
    </row>
    <row r="11" spans="1:21" x14ac:dyDescent="0.25">
      <c r="A11" t="s">
        <v>68</v>
      </c>
      <c r="B11" t="s">
        <v>824</v>
      </c>
      <c r="C11">
        <v>10</v>
      </c>
      <c r="D11" t="s">
        <v>15</v>
      </c>
      <c r="E11" t="s">
        <v>95</v>
      </c>
      <c r="F11" t="s">
        <v>110</v>
      </c>
      <c r="G11" t="s">
        <v>113</v>
      </c>
      <c r="H11" t="s">
        <v>113</v>
      </c>
      <c r="J11">
        <v>0</v>
      </c>
      <c r="K11">
        <v>2</v>
      </c>
      <c r="L11">
        <v>73.260869569999997</v>
      </c>
      <c r="M11">
        <v>34.453830549999999</v>
      </c>
      <c r="N11">
        <v>1.058333333</v>
      </c>
      <c r="O11">
        <v>0.90897070000000002</v>
      </c>
      <c r="P11">
        <v>83.757575759999995</v>
      </c>
      <c r="Q11">
        <v>22.60997987</v>
      </c>
      <c r="R11">
        <v>0.72884000000000004</v>
      </c>
      <c r="S11">
        <v>0.21301339999999999</v>
      </c>
      <c r="T11" t="s">
        <v>1014</v>
      </c>
      <c r="U11">
        <v>-10.496706189999999</v>
      </c>
    </row>
    <row r="12" spans="1:21" x14ac:dyDescent="0.25">
      <c r="A12" t="s">
        <v>68</v>
      </c>
      <c r="B12" t="s">
        <v>825</v>
      </c>
      <c r="C12">
        <v>10</v>
      </c>
      <c r="D12" t="s">
        <v>15</v>
      </c>
      <c r="E12" t="s">
        <v>95</v>
      </c>
      <c r="F12" t="s">
        <v>111</v>
      </c>
      <c r="G12" t="s">
        <v>121</v>
      </c>
      <c r="H12" t="s">
        <v>239</v>
      </c>
      <c r="J12">
        <v>0</v>
      </c>
      <c r="K12">
        <v>1</v>
      </c>
      <c r="L12">
        <v>94.97142857</v>
      </c>
      <c r="M12">
        <v>24.31591813</v>
      </c>
      <c r="N12">
        <v>0.122951111</v>
      </c>
      <c r="O12">
        <v>0.39050790000000002</v>
      </c>
      <c r="P12">
        <v>100.45454549999999</v>
      </c>
      <c r="Q12">
        <v>26.754810689999999</v>
      </c>
      <c r="R12">
        <v>0.75829999999999997</v>
      </c>
      <c r="S12">
        <v>0.40907861000000001</v>
      </c>
      <c r="T12" t="s">
        <v>1014</v>
      </c>
      <c r="U12">
        <v>-5.4831169299999996</v>
      </c>
    </row>
    <row r="13" spans="1:21" x14ac:dyDescent="0.25">
      <c r="A13" t="s">
        <v>68</v>
      </c>
      <c r="B13" t="s">
        <v>826</v>
      </c>
      <c r="C13">
        <v>10</v>
      </c>
      <c r="D13" t="s">
        <v>15</v>
      </c>
      <c r="E13" t="s">
        <v>95</v>
      </c>
      <c r="F13" t="s">
        <v>104</v>
      </c>
      <c r="G13" t="s">
        <v>121</v>
      </c>
      <c r="H13" t="s">
        <v>114</v>
      </c>
      <c r="I13" t="s">
        <v>161</v>
      </c>
      <c r="J13">
        <v>1</v>
      </c>
      <c r="K13">
        <v>0</v>
      </c>
      <c r="L13">
        <v>113.9375</v>
      </c>
      <c r="M13">
        <v>33.375507550000002</v>
      </c>
      <c r="N13">
        <v>2.4262999999999999</v>
      </c>
      <c r="O13">
        <v>0.40692159999999999</v>
      </c>
      <c r="P13" t="s">
        <v>114</v>
      </c>
      <c r="Q13" t="s">
        <v>114</v>
      </c>
      <c r="R13" t="s">
        <v>114</v>
      </c>
      <c r="S13" t="s">
        <v>114</v>
      </c>
      <c r="T13" t="s">
        <v>1014</v>
      </c>
      <c r="U13" t="s">
        <v>114</v>
      </c>
    </row>
    <row r="14" spans="1:21" x14ac:dyDescent="0.25">
      <c r="A14" t="s">
        <v>69</v>
      </c>
      <c r="B14" t="s">
        <v>827</v>
      </c>
      <c r="C14">
        <v>10</v>
      </c>
      <c r="D14" t="s">
        <v>17</v>
      </c>
      <c r="E14" t="s">
        <v>95</v>
      </c>
      <c r="F14" t="s">
        <v>102</v>
      </c>
      <c r="G14" t="s">
        <v>102</v>
      </c>
      <c r="H14" t="s">
        <v>102</v>
      </c>
      <c r="J14">
        <v>0</v>
      </c>
      <c r="K14">
        <v>1</v>
      </c>
      <c r="L14">
        <v>84.740740740000007</v>
      </c>
      <c r="M14">
        <v>29.167014049999999</v>
      </c>
      <c r="N14">
        <v>1.1169849999999999</v>
      </c>
      <c r="O14">
        <v>1.1571499000000001</v>
      </c>
      <c r="P14">
        <v>84.740740740000007</v>
      </c>
      <c r="Q14">
        <v>29.167014049999999</v>
      </c>
      <c r="R14">
        <v>1.1169849999999999</v>
      </c>
      <c r="S14">
        <v>1.1571499000000001</v>
      </c>
      <c r="T14" t="s">
        <v>1014</v>
      </c>
      <c r="U14">
        <v>0</v>
      </c>
    </row>
    <row r="15" spans="1:21" x14ac:dyDescent="0.25">
      <c r="A15" t="s">
        <v>69</v>
      </c>
      <c r="B15" t="s">
        <v>827</v>
      </c>
      <c r="C15">
        <v>10</v>
      </c>
      <c r="D15" t="s">
        <v>17</v>
      </c>
      <c r="E15" t="s">
        <v>95</v>
      </c>
      <c r="F15" t="s">
        <v>102</v>
      </c>
      <c r="G15" t="s">
        <v>102</v>
      </c>
      <c r="H15" t="s">
        <v>235</v>
      </c>
      <c r="J15">
        <v>0</v>
      </c>
      <c r="K15">
        <v>2</v>
      </c>
      <c r="L15">
        <v>84.740740740000007</v>
      </c>
      <c r="M15">
        <v>29.167014049999999</v>
      </c>
      <c r="N15">
        <v>1.1169849999999999</v>
      </c>
      <c r="O15">
        <v>1.1571499000000001</v>
      </c>
      <c r="P15">
        <v>132.27272730000001</v>
      </c>
      <c r="Q15">
        <v>20.180448590000001</v>
      </c>
      <c r="R15">
        <v>3.7813451999999997E-2</v>
      </c>
      <c r="S15">
        <v>0.41404401000000002</v>
      </c>
      <c r="T15" t="s">
        <v>1014</v>
      </c>
      <c r="U15">
        <v>-47.53198656</v>
      </c>
    </row>
    <row r="16" spans="1:21" x14ac:dyDescent="0.25">
      <c r="A16" t="s">
        <v>69</v>
      </c>
      <c r="B16" t="s">
        <v>827</v>
      </c>
      <c r="C16">
        <v>10</v>
      </c>
      <c r="D16" t="s">
        <v>17</v>
      </c>
      <c r="E16" t="s">
        <v>95</v>
      </c>
      <c r="F16" t="s">
        <v>102</v>
      </c>
      <c r="G16" t="s">
        <v>102</v>
      </c>
      <c r="H16" t="s">
        <v>235</v>
      </c>
      <c r="J16">
        <v>0</v>
      </c>
      <c r="K16">
        <v>2</v>
      </c>
      <c r="L16">
        <v>84.740740740000007</v>
      </c>
      <c r="M16">
        <v>29.167014049999999</v>
      </c>
      <c r="N16">
        <v>1.1169849999999999</v>
      </c>
      <c r="O16">
        <v>1.1571499000000001</v>
      </c>
      <c r="P16">
        <v>132.27272730000001</v>
      </c>
      <c r="Q16">
        <v>20.180448590000001</v>
      </c>
      <c r="R16">
        <v>3.7813451999999997E-2</v>
      </c>
      <c r="S16">
        <v>0.41404401000000002</v>
      </c>
      <c r="T16" t="s">
        <v>1014</v>
      </c>
      <c r="U16">
        <v>-47.53198656</v>
      </c>
    </row>
    <row r="17" spans="1:21" x14ac:dyDescent="0.25">
      <c r="A17" t="s">
        <v>69</v>
      </c>
      <c r="B17" t="s">
        <v>828</v>
      </c>
      <c r="C17">
        <v>10</v>
      </c>
      <c r="D17" t="s">
        <v>17</v>
      </c>
      <c r="E17" t="s">
        <v>95</v>
      </c>
      <c r="F17" t="s">
        <v>113</v>
      </c>
      <c r="G17" t="s">
        <v>113</v>
      </c>
      <c r="H17" t="s">
        <v>113</v>
      </c>
      <c r="J17">
        <v>0</v>
      </c>
      <c r="K17">
        <v>1</v>
      </c>
      <c r="L17">
        <v>83.757575759999995</v>
      </c>
      <c r="M17">
        <v>22.60997987</v>
      </c>
      <c r="N17">
        <v>0.72884000000000004</v>
      </c>
      <c r="O17">
        <v>0.21301339999999999</v>
      </c>
      <c r="P17">
        <v>83.757575759999995</v>
      </c>
      <c r="Q17">
        <v>22.60997987</v>
      </c>
      <c r="R17">
        <v>0.72884000000000004</v>
      </c>
      <c r="S17">
        <v>0.21301339999999999</v>
      </c>
      <c r="T17" t="s">
        <v>1014</v>
      </c>
      <c r="U17">
        <v>0</v>
      </c>
    </row>
    <row r="18" spans="1:21" x14ac:dyDescent="0.25">
      <c r="A18" t="s">
        <v>69</v>
      </c>
      <c r="B18" t="s">
        <v>828</v>
      </c>
      <c r="C18">
        <v>10</v>
      </c>
      <c r="D18" t="s">
        <v>17</v>
      </c>
      <c r="E18" t="s">
        <v>95</v>
      </c>
      <c r="F18" t="s">
        <v>113</v>
      </c>
      <c r="G18" t="s">
        <v>113</v>
      </c>
      <c r="H18" t="s">
        <v>235</v>
      </c>
      <c r="J18">
        <v>0</v>
      </c>
      <c r="K18">
        <v>2</v>
      </c>
      <c r="L18">
        <v>83.757575759999995</v>
      </c>
      <c r="M18">
        <v>22.60997987</v>
      </c>
      <c r="N18">
        <v>0.72884000000000004</v>
      </c>
      <c r="O18">
        <v>0.21301339999999999</v>
      </c>
      <c r="P18">
        <v>132.27272730000001</v>
      </c>
      <c r="Q18">
        <v>20.180448590000001</v>
      </c>
      <c r="R18">
        <v>3.7813451999999997E-2</v>
      </c>
      <c r="S18">
        <v>0.41404401000000002</v>
      </c>
      <c r="T18" t="s">
        <v>1014</v>
      </c>
      <c r="U18">
        <v>-48.515151539999998</v>
      </c>
    </row>
    <row r="19" spans="1:21" x14ac:dyDescent="0.25">
      <c r="A19" t="s">
        <v>69</v>
      </c>
      <c r="B19" t="s">
        <v>828</v>
      </c>
      <c r="C19">
        <v>10</v>
      </c>
      <c r="D19" t="s">
        <v>17</v>
      </c>
      <c r="E19" t="s">
        <v>95</v>
      </c>
      <c r="F19" t="s">
        <v>113</v>
      </c>
      <c r="G19" t="s">
        <v>113</v>
      </c>
      <c r="H19" t="s">
        <v>235</v>
      </c>
      <c r="J19">
        <v>0</v>
      </c>
      <c r="K19">
        <v>2</v>
      </c>
      <c r="L19">
        <v>83.757575759999995</v>
      </c>
      <c r="M19">
        <v>22.60997987</v>
      </c>
      <c r="N19">
        <v>0.72884000000000004</v>
      </c>
      <c r="O19">
        <v>0.21301339999999999</v>
      </c>
      <c r="P19">
        <v>132.27272730000001</v>
      </c>
      <c r="Q19">
        <v>20.180448590000001</v>
      </c>
      <c r="R19">
        <v>3.7813451999999997E-2</v>
      </c>
      <c r="S19">
        <v>0.41404401000000002</v>
      </c>
      <c r="T19" t="s">
        <v>1014</v>
      </c>
      <c r="U19">
        <v>-48.515151539999998</v>
      </c>
    </row>
    <row r="20" spans="1:21" x14ac:dyDescent="0.25">
      <c r="A20" t="s">
        <v>69</v>
      </c>
      <c r="B20" t="s">
        <v>829</v>
      </c>
      <c r="C20">
        <v>10</v>
      </c>
      <c r="D20" t="s">
        <v>17</v>
      </c>
      <c r="E20" t="s">
        <v>95</v>
      </c>
      <c r="F20" t="s">
        <v>103</v>
      </c>
      <c r="G20" t="s">
        <v>103</v>
      </c>
      <c r="H20" t="s">
        <v>103</v>
      </c>
      <c r="J20">
        <v>0</v>
      </c>
      <c r="K20">
        <v>1</v>
      </c>
      <c r="L20">
        <v>98.291666669999998</v>
      </c>
      <c r="M20">
        <v>30.315130790000001</v>
      </c>
      <c r="N20">
        <v>5.0803484000000003E-2</v>
      </c>
      <c r="O20">
        <v>0.42866070000000001</v>
      </c>
      <c r="P20">
        <v>98.291666669999998</v>
      </c>
      <c r="Q20">
        <v>30.315130790000001</v>
      </c>
      <c r="R20">
        <v>5.0803484000000003E-2</v>
      </c>
      <c r="S20">
        <v>0.42866070000000001</v>
      </c>
      <c r="T20" t="s">
        <v>1014</v>
      </c>
      <c r="U20">
        <v>0</v>
      </c>
    </row>
    <row r="21" spans="1:21" x14ac:dyDescent="0.25">
      <c r="A21" t="s">
        <v>69</v>
      </c>
      <c r="B21" t="s">
        <v>829</v>
      </c>
      <c r="C21">
        <v>10</v>
      </c>
      <c r="D21" t="s">
        <v>17</v>
      </c>
      <c r="E21" t="s">
        <v>95</v>
      </c>
      <c r="F21" t="s">
        <v>103</v>
      </c>
      <c r="G21" t="s">
        <v>103</v>
      </c>
      <c r="H21" t="s">
        <v>241</v>
      </c>
      <c r="J21">
        <v>0</v>
      </c>
      <c r="K21">
        <v>1</v>
      </c>
      <c r="L21">
        <v>98.291666669999998</v>
      </c>
      <c r="M21">
        <v>30.315130790000001</v>
      </c>
      <c r="N21">
        <v>5.0803484000000003E-2</v>
      </c>
      <c r="O21">
        <v>0.42866070000000001</v>
      </c>
      <c r="P21">
        <v>114</v>
      </c>
      <c r="Q21">
        <v>30.43077242</v>
      </c>
      <c r="R21">
        <v>0.53383111100000002</v>
      </c>
      <c r="S21">
        <v>0.28333332999999999</v>
      </c>
      <c r="T21" t="s">
        <v>1014</v>
      </c>
      <c r="U21">
        <v>-15.70833333</v>
      </c>
    </row>
    <row r="22" spans="1:21" x14ac:dyDescent="0.25">
      <c r="A22" t="s">
        <v>69</v>
      </c>
      <c r="B22" t="s">
        <v>829</v>
      </c>
      <c r="C22">
        <v>10</v>
      </c>
      <c r="D22" t="s">
        <v>17</v>
      </c>
      <c r="E22" t="s">
        <v>95</v>
      </c>
      <c r="F22" t="s">
        <v>103</v>
      </c>
      <c r="G22" t="s">
        <v>103</v>
      </c>
      <c r="H22" t="s">
        <v>235</v>
      </c>
      <c r="J22">
        <v>0</v>
      </c>
      <c r="K22">
        <v>1</v>
      </c>
      <c r="L22">
        <v>98.291666669999998</v>
      </c>
      <c r="M22">
        <v>30.315130790000001</v>
      </c>
      <c r="N22">
        <v>5.0803484000000003E-2</v>
      </c>
      <c r="O22">
        <v>0.42866070000000001</v>
      </c>
      <c r="P22">
        <v>132.27272730000001</v>
      </c>
      <c r="Q22">
        <v>20.180448590000001</v>
      </c>
      <c r="R22">
        <v>3.7813451999999997E-2</v>
      </c>
      <c r="S22">
        <v>0.41404401000000002</v>
      </c>
      <c r="T22" t="s">
        <v>1014</v>
      </c>
      <c r="U22">
        <v>-33.981060630000002</v>
      </c>
    </row>
    <row r="23" spans="1:21" x14ac:dyDescent="0.25">
      <c r="A23" t="s">
        <v>69</v>
      </c>
      <c r="B23" t="s">
        <v>830</v>
      </c>
      <c r="C23">
        <v>10</v>
      </c>
      <c r="D23" t="s">
        <v>17</v>
      </c>
      <c r="E23" t="s">
        <v>95</v>
      </c>
      <c r="F23" t="s">
        <v>111</v>
      </c>
      <c r="G23" t="s">
        <v>121</v>
      </c>
      <c r="H23" t="s">
        <v>235</v>
      </c>
      <c r="J23">
        <v>0</v>
      </c>
      <c r="K23">
        <v>3</v>
      </c>
      <c r="L23">
        <v>94.97142857</v>
      </c>
      <c r="M23">
        <v>24.31591813</v>
      </c>
      <c r="N23">
        <v>0.122951111</v>
      </c>
      <c r="O23">
        <v>0.39050790000000002</v>
      </c>
      <c r="P23">
        <v>132.27272730000001</v>
      </c>
      <c r="Q23">
        <v>20.180448590000001</v>
      </c>
      <c r="R23">
        <v>3.7813451999999997E-2</v>
      </c>
      <c r="S23">
        <v>0.41404401000000002</v>
      </c>
      <c r="T23" t="s">
        <v>1014</v>
      </c>
      <c r="U23">
        <v>-37.301298729999999</v>
      </c>
    </row>
    <row r="24" spans="1:21" x14ac:dyDescent="0.25">
      <c r="A24" t="s">
        <v>69</v>
      </c>
      <c r="B24" t="s">
        <v>830</v>
      </c>
      <c r="C24">
        <v>10</v>
      </c>
      <c r="D24" t="s">
        <v>17</v>
      </c>
      <c r="E24" t="s">
        <v>95</v>
      </c>
      <c r="F24" t="s">
        <v>111</v>
      </c>
      <c r="G24" t="s">
        <v>121</v>
      </c>
      <c r="H24" t="s">
        <v>235</v>
      </c>
      <c r="J24">
        <v>0</v>
      </c>
      <c r="K24">
        <v>3</v>
      </c>
      <c r="L24">
        <v>94.97142857</v>
      </c>
      <c r="M24">
        <v>24.31591813</v>
      </c>
      <c r="N24">
        <v>0.122951111</v>
      </c>
      <c r="O24">
        <v>0.39050790000000002</v>
      </c>
      <c r="P24">
        <v>132.27272730000001</v>
      </c>
      <c r="Q24">
        <v>20.180448590000001</v>
      </c>
      <c r="R24">
        <v>3.7813451999999997E-2</v>
      </c>
      <c r="S24">
        <v>0.41404401000000002</v>
      </c>
      <c r="T24" t="s">
        <v>1014</v>
      </c>
      <c r="U24">
        <v>-37.301298729999999</v>
      </c>
    </row>
    <row r="25" spans="1:21" x14ac:dyDescent="0.25">
      <c r="A25" t="s">
        <v>69</v>
      </c>
      <c r="B25" t="s">
        <v>830</v>
      </c>
      <c r="C25">
        <v>10</v>
      </c>
      <c r="D25" t="s">
        <v>17</v>
      </c>
      <c r="E25" t="s">
        <v>95</v>
      </c>
      <c r="F25" t="s">
        <v>111</v>
      </c>
      <c r="G25" t="s">
        <v>121</v>
      </c>
      <c r="H25" t="s">
        <v>235</v>
      </c>
      <c r="J25">
        <v>0</v>
      </c>
      <c r="K25">
        <v>3</v>
      </c>
      <c r="L25">
        <v>94.97142857</v>
      </c>
      <c r="M25">
        <v>24.31591813</v>
      </c>
      <c r="N25">
        <v>0.122951111</v>
      </c>
      <c r="O25">
        <v>0.39050790000000002</v>
      </c>
      <c r="P25">
        <v>132.27272730000001</v>
      </c>
      <c r="Q25">
        <v>20.180448590000001</v>
      </c>
      <c r="R25">
        <v>3.7813451999999997E-2</v>
      </c>
      <c r="S25">
        <v>0.41404401000000002</v>
      </c>
      <c r="T25" t="s">
        <v>1014</v>
      </c>
      <c r="U25">
        <v>-37.301298729999999</v>
      </c>
    </row>
    <row r="26" spans="1:21" x14ac:dyDescent="0.25">
      <c r="A26" t="s">
        <v>69</v>
      </c>
      <c r="B26" t="s">
        <v>831</v>
      </c>
      <c r="C26">
        <v>10</v>
      </c>
      <c r="D26" t="s">
        <v>17</v>
      </c>
      <c r="E26" t="s">
        <v>95</v>
      </c>
      <c r="F26" t="s">
        <v>112</v>
      </c>
      <c r="G26" t="s">
        <v>121</v>
      </c>
      <c r="H26" t="s">
        <v>235</v>
      </c>
      <c r="I26" t="s">
        <v>252</v>
      </c>
      <c r="J26">
        <v>1</v>
      </c>
      <c r="K26">
        <v>2</v>
      </c>
      <c r="L26">
        <v>65.09375</v>
      </c>
      <c r="M26">
        <v>37.895352600000002</v>
      </c>
      <c r="N26">
        <v>2.2882677779999998</v>
      </c>
      <c r="O26">
        <v>2.2111774</v>
      </c>
      <c r="P26">
        <v>132.27272730000001</v>
      </c>
      <c r="Q26">
        <v>20.180448590000001</v>
      </c>
      <c r="R26">
        <v>3.7813451999999997E-2</v>
      </c>
      <c r="S26">
        <v>0.41404401000000002</v>
      </c>
      <c r="T26" t="s">
        <v>1014</v>
      </c>
      <c r="U26">
        <v>-67.1789773</v>
      </c>
    </row>
    <row r="27" spans="1:21" x14ac:dyDescent="0.25">
      <c r="A27" t="s">
        <v>69</v>
      </c>
      <c r="B27" t="s">
        <v>831</v>
      </c>
      <c r="C27">
        <v>10</v>
      </c>
      <c r="D27" t="s">
        <v>17</v>
      </c>
      <c r="E27" t="s">
        <v>95</v>
      </c>
      <c r="F27" t="s">
        <v>112</v>
      </c>
      <c r="G27" t="s">
        <v>121</v>
      </c>
      <c r="H27" t="s">
        <v>235</v>
      </c>
      <c r="I27" t="s">
        <v>252</v>
      </c>
      <c r="J27">
        <v>1</v>
      </c>
      <c r="K27">
        <v>2</v>
      </c>
      <c r="L27">
        <v>65.09375</v>
      </c>
      <c r="M27">
        <v>37.895352600000002</v>
      </c>
      <c r="N27">
        <v>2.2882677779999998</v>
      </c>
      <c r="O27">
        <v>2.2111774</v>
      </c>
      <c r="P27">
        <v>132.27272730000001</v>
      </c>
      <c r="Q27">
        <v>20.180448590000001</v>
      </c>
      <c r="R27">
        <v>3.7813451999999997E-2</v>
      </c>
      <c r="S27">
        <v>0.41404401000000002</v>
      </c>
      <c r="T27" t="s">
        <v>1014</v>
      </c>
      <c r="U27">
        <v>-67.1789773</v>
      </c>
    </row>
    <row r="28" spans="1:21" x14ac:dyDescent="0.25">
      <c r="A28" t="s">
        <v>70</v>
      </c>
      <c r="B28" t="s">
        <v>832</v>
      </c>
      <c r="C28">
        <v>10</v>
      </c>
      <c r="D28" t="s">
        <v>19</v>
      </c>
      <c r="E28" t="s">
        <v>95</v>
      </c>
      <c r="F28" t="s">
        <v>102</v>
      </c>
      <c r="G28" t="s">
        <v>121</v>
      </c>
      <c r="H28" t="s">
        <v>102</v>
      </c>
      <c r="J28">
        <v>0</v>
      </c>
      <c r="K28">
        <v>1</v>
      </c>
      <c r="L28">
        <v>84.740740740000007</v>
      </c>
      <c r="M28">
        <v>29.167014049999999</v>
      </c>
      <c r="N28">
        <v>1.1169849999999999</v>
      </c>
      <c r="O28">
        <v>1.1571499000000001</v>
      </c>
      <c r="P28">
        <v>84.740740740000007</v>
      </c>
      <c r="Q28">
        <v>29.167014049999999</v>
      </c>
      <c r="R28">
        <v>1.1169849999999999</v>
      </c>
      <c r="S28">
        <v>1.1571499000000001</v>
      </c>
      <c r="T28" t="s">
        <v>1014</v>
      </c>
      <c r="U28">
        <v>0</v>
      </c>
    </row>
    <row r="29" spans="1:21" x14ac:dyDescent="0.25">
      <c r="A29" t="s">
        <v>70</v>
      </c>
      <c r="B29" t="s">
        <v>832</v>
      </c>
      <c r="C29">
        <v>10</v>
      </c>
      <c r="D29" t="s">
        <v>19</v>
      </c>
      <c r="E29" t="s">
        <v>95</v>
      </c>
      <c r="F29" t="s">
        <v>102</v>
      </c>
      <c r="G29" t="s">
        <v>121</v>
      </c>
      <c r="H29" t="s">
        <v>236</v>
      </c>
      <c r="J29">
        <v>0</v>
      </c>
      <c r="K29">
        <v>1</v>
      </c>
      <c r="L29">
        <v>84.740740740000007</v>
      </c>
      <c r="M29">
        <v>29.167014049999999</v>
      </c>
      <c r="N29">
        <v>1.1169849999999999</v>
      </c>
      <c r="O29">
        <v>1.1571499000000001</v>
      </c>
      <c r="P29">
        <v>113.33333330000001</v>
      </c>
      <c r="Q29">
        <v>26.41632581</v>
      </c>
      <c r="R29">
        <v>1.6844570160000001</v>
      </c>
      <c r="S29">
        <v>8.9285710000000004E-2</v>
      </c>
      <c r="T29" t="s">
        <v>1014</v>
      </c>
      <c r="U29">
        <v>-28.59259256</v>
      </c>
    </row>
    <row r="30" spans="1:21" x14ac:dyDescent="0.25">
      <c r="A30" t="s">
        <v>70</v>
      </c>
      <c r="B30" t="s">
        <v>833</v>
      </c>
      <c r="C30">
        <v>10</v>
      </c>
      <c r="D30" t="s">
        <v>19</v>
      </c>
      <c r="E30" t="s">
        <v>95</v>
      </c>
      <c r="F30" t="s">
        <v>105</v>
      </c>
      <c r="G30" t="s">
        <v>121</v>
      </c>
      <c r="H30" t="s">
        <v>235</v>
      </c>
      <c r="J30">
        <v>0</v>
      </c>
      <c r="K30">
        <v>1</v>
      </c>
      <c r="L30">
        <v>67.5</v>
      </c>
      <c r="M30">
        <v>47.937235809999997</v>
      </c>
      <c r="N30">
        <v>0.41599678000000001</v>
      </c>
      <c r="O30">
        <v>2.0950346999999998</v>
      </c>
      <c r="P30">
        <v>132.27272730000001</v>
      </c>
      <c r="Q30">
        <v>20.180448590000001</v>
      </c>
      <c r="R30">
        <v>3.7813451999999997E-2</v>
      </c>
      <c r="S30">
        <v>0.41404401000000002</v>
      </c>
      <c r="T30" t="s">
        <v>1014</v>
      </c>
      <c r="U30">
        <v>-64.7727273</v>
      </c>
    </row>
    <row r="31" spans="1:21" x14ac:dyDescent="0.25">
      <c r="A31" t="s">
        <v>70</v>
      </c>
      <c r="B31" t="s">
        <v>833</v>
      </c>
      <c r="C31">
        <v>10</v>
      </c>
      <c r="D31" t="s">
        <v>19</v>
      </c>
      <c r="E31" t="s">
        <v>95</v>
      </c>
      <c r="F31" t="s">
        <v>105</v>
      </c>
      <c r="G31" t="s">
        <v>121</v>
      </c>
      <c r="H31" t="s">
        <v>236</v>
      </c>
      <c r="J31">
        <v>0</v>
      </c>
      <c r="K31">
        <v>2</v>
      </c>
      <c r="L31">
        <v>67.5</v>
      </c>
      <c r="M31">
        <v>47.937235809999997</v>
      </c>
      <c r="N31">
        <v>0.41599678000000001</v>
      </c>
      <c r="O31">
        <v>2.0950346999999998</v>
      </c>
      <c r="P31">
        <v>113.33333330000001</v>
      </c>
      <c r="Q31">
        <v>26.41632581</v>
      </c>
      <c r="R31">
        <v>1.6844570160000001</v>
      </c>
      <c r="S31">
        <v>8.9285710000000004E-2</v>
      </c>
      <c r="T31" t="s">
        <v>1014</v>
      </c>
      <c r="U31">
        <v>-45.8333333</v>
      </c>
    </row>
    <row r="32" spans="1:21" x14ac:dyDescent="0.25">
      <c r="A32" t="s">
        <v>70</v>
      </c>
      <c r="B32" t="s">
        <v>833</v>
      </c>
      <c r="C32">
        <v>10</v>
      </c>
      <c r="D32" t="s">
        <v>19</v>
      </c>
      <c r="E32" t="s">
        <v>95</v>
      </c>
      <c r="F32" t="s">
        <v>105</v>
      </c>
      <c r="G32" t="s">
        <v>121</v>
      </c>
      <c r="H32" t="s">
        <v>236</v>
      </c>
      <c r="J32">
        <v>0</v>
      </c>
      <c r="K32">
        <v>2</v>
      </c>
      <c r="L32">
        <v>67.5</v>
      </c>
      <c r="M32">
        <v>47.937235809999997</v>
      </c>
      <c r="N32">
        <v>0.41599678000000001</v>
      </c>
      <c r="O32">
        <v>2.0950346999999998</v>
      </c>
      <c r="P32">
        <v>113.33333330000001</v>
      </c>
      <c r="Q32">
        <v>26.41632581</v>
      </c>
      <c r="R32">
        <v>1.6844570160000001</v>
      </c>
      <c r="S32">
        <v>8.9285710000000004E-2</v>
      </c>
      <c r="T32" t="s">
        <v>1014</v>
      </c>
      <c r="U32">
        <v>-45.8333333</v>
      </c>
    </row>
    <row r="33" spans="1:21" x14ac:dyDescent="0.25">
      <c r="A33" t="s">
        <v>70</v>
      </c>
      <c r="B33" t="s">
        <v>833</v>
      </c>
      <c r="C33">
        <v>10</v>
      </c>
      <c r="D33" t="s">
        <v>19</v>
      </c>
      <c r="E33" t="s">
        <v>95</v>
      </c>
      <c r="F33" t="s">
        <v>105</v>
      </c>
      <c r="G33" t="s">
        <v>121</v>
      </c>
      <c r="H33" t="s">
        <v>162</v>
      </c>
      <c r="J33">
        <v>0</v>
      </c>
      <c r="K33">
        <v>1</v>
      </c>
      <c r="L33">
        <v>67.5</v>
      </c>
      <c r="M33">
        <v>47.937235809999997</v>
      </c>
      <c r="N33">
        <v>0.41599678000000001</v>
      </c>
      <c r="O33">
        <v>2.0950346999999998</v>
      </c>
      <c r="P33">
        <v>82.53846154</v>
      </c>
      <c r="Q33">
        <v>35.660530039999998</v>
      </c>
      <c r="R33">
        <v>3.3754499999999998</v>
      </c>
      <c r="S33" t="s">
        <v>114</v>
      </c>
      <c r="T33" t="s">
        <v>1014</v>
      </c>
      <c r="U33">
        <v>-15.03846154</v>
      </c>
    </row>
    <row r="34" spans="1:21" x14ac:dyDescent="0.25">
      <c r="A34" t="s">
        <v>70</v>
      </c>
      <c r="B34" t="s">
        <v>834</v>
      </c>
      <c r="C34">
        <v>10</v>
      </c>
      <c r="D34" t="s">
        <v>19</v>
      </c>
      <c r="E34" t="s">
        <v>95</v>
      </c>
      <c r="F34" t="s">
        <v>111</v>
      </c>
      <c r="G34" t="s">
        <v>121</v>
      </c>
      <c r="H34" t="s">
        <v>235</v>
      </c>
      <c r="J34">
        <v>0</v>
      </c>
      <c r="K34">
        <v>1</v>
      </c>
      <c r="L34">
        <v>94.97142857</v>
      </c>
      <c r="M34">
        <v>24.31591813</v>
      </c>
      <c r="N34">
        <v>0.122951111</v>
      </c>
      <c r="O34">
        <v>0.39050790000000002</v>
      </c>
      <c r="P34">
        <v>132.27272730000001</v>
      </c>
      <c r="Q34">
        <v>20.180448590000001</v>
      </c>
      <c r="R34">
        <v>3.7813451999999997E-2</v>
      </c>
      <c r="S34">
        <v>0.41404401000000002</v>
      </c>
      <c r="T34" t="s">
        <v>1014</v>
      </c>
      <c r="U34">
        <v>-37.301298729999999</v>
      </c>
    </row>
    <row r="35" spans="1:21" x14ac:dyDescent="0.25">
      <c r="A35" t="s">
        <v>71</v>
      </c>
      <c r="B35" t="s">
        <v>835</v>
      </c>
      <c r="C35">
        <v>10</v>
      </c>
      <c r="D35" t="s">
        <v>21</v>
      </c>
      <c r="E35" t="s">
        <v>94</v>
      </c>
      <c r="F35" t="s">
        <v>102</v>
      </c>
      <c r="G35" t="s">
        <v>121</v>
      </c>
      <c r="H35" t="s">
        <v>114</v>
      </c>
      <c r="J35">
        <v>0</v>
      </c>
      <c r="K35" t="s">
        <v>114</v>
      </c>
      <c r="L35">
        <v>84.740740740000007</v>
      </c>
      <c r="M35">
        <v>29.167014049999999</v>
      </c>
      <c r="N35">
        <v>1.1169849999999999</v>
      </c>
      <c r="O35">
        <v>1.1571499000000001</v>
      </c>
      <c r="P35" t="s">
        <v>114</v>
      </c>
      <c r="Q35" t="s">
        <v>114</v>
      </c>
      <c r="R35" t="s">
        <v>114</v>
      </c>
      <c r="S35" t="s">
        <v>114</v>
      </c>
      <c r="T35" t="s">
        <v>1014</v>
      </c>
      <c r="U35" t="s">
        <v>114</v>
      </c>
    </row>
    <row r="36" spans="1:21" x14ac:dyDescent="0.25">
      <c r="A36" t="s">
        <v>71</v>
      </c>
      <c r="B36" t="s">
        <v>836</v>
      </c>
      <c r="C36">
        <v>10</v>
      </c>
      <c r="D36" t="s">
        <v>21</v>
      </c>
      <c r="E36" t="s">
        <v>94</v>
      </c>
      <c r="F36" t="s">
        <v>111</v>
      </c>
      <c r="G36" t="s">
        <v>111</v>
      </c>
      <c r="H36" t="s">
        <v>111</v>
      </c>
      <c r="J36">
        <v>0</v>
      </c>
      <c r="K36">
        <v>1</v>
      </c>
      <c r="L36">
        <v>94.97142857</v>
      </c>
      <c r="M36">
        <v>24.31591813</v>
      </c>
      <c r="N36">
        <v>0.122951111</v>
      </c>
      <c r="O36">
        <v>0.39050790000000002</v>
      </c>
      <c r="P36">
        <v>94.97142857</v>
      </c>
      <c r="Q36">
        <v>24.31591813</v>
      </c>
      <c r="R36">
        <v>0.122951111</v>
      </c>
      <c r="S36">
        <v>0.39050790000000002</v>
      </c>
      <c r="T36" t="s">
        <v>1014</v>
      </c>
      <c r="U36">
        <v>0</v>
      </c>
    </row>
    <row r="37" spans="1:21" x14ac:dyDescent="0.25">
      <c r="A37" t="s">
        <v>71</v>
      </c>
      <c r="B37" t="s">
        <v>836</v>
      </c>
      <c r="C37">
        <v>10</v>
      </c>
      <c r="D37" t="s">
        <v>21</v>
      </c>
      <c r="E37" t="s">
        <v>94</v>
      </c>
      <c r="F37" t="s">
        <v>111</v>
      </c>
      <c r="G37" t="s">
        <v>111</v>
      </c>
      <c r="H37" t="s">
        <v>250</v>
      </c>
      <c r="J37">
        <v>0</v>
      </c>
      <c r="K37">
        <v>1</v>
      </c>
      <c r="L37">
        <v>94.97142857</v>
      </c>
      <c r="M37">
        <v>24.31591813</v>
      </c>
      <c r="N37">
        <v>0.122951111</v>
      </c>
      <c r="O37">
        <v>0.39050790000000002</v>
      </c>
      <c r="P37">
        <v>157.14285709999999</v>
      </c>
      <c r="Q37">
        <v>28.969081320000001</v>
      </c>
      <c r="R37">
        <v>0.55164111100000002</v>
      </c>
      <c r="S37" t="s">
        <v>114</v>
      </c>
      <c r="T37" t="s">
        <v>1014</v>
      </c>
      <c r="U37">
        <v>-62.17142853</v>
      </c>
    </row>
    <row r="38" spans="1:21" x14ac:dyDescent="0.25">
      <c r="A38" t="s">
        <v>71</v>
      </c>
      <c r="B38" t="s">
        <v>837</v>
      </c>
      <c r="C38">
        <v>10</v>
      </c>
      <c r="D38" t="s">
        <v>21</v>
      </c>
      <c r="E38" t="s">
        <v>94</v>
      </c>
      <c r="F38" t="s">
        <v>104</v>
      </c>
      <c r="G38" t="s">
        <v>104</v>
      </c>
      <c r="H38" t="s">
        <v>104</v>
      </c>
      <c r="J38">
        <v>0</v>
      </c>
      <c r="K38">
        <v>1</v>
      </c>
      <c r="L38">
        <v>113.9375</v>
      </c>
      <c r="M38">
        <v>33.375507550000002</v>
      </c>
      <c r="N38">
        <v>2.4262999999999999</v>
      </c>
      <c r="O38">
        <v>0.40692159999999999</v>
      </c>
      <c r="P38">
        <v>113.9375</v>
      </c>
      <c r="Q38">
        <v>33.375507550000002</v>
      </c>
      <c r="R38">
        <v>2.4262999999999999</v>
      </c>
      <c r="S38">
        <v>0.40692159999999999</v>
      </c>
      <c r="T38" t="s">
        <v>1014</v>
      </c>
      <c r="U38">
        <v>0</v>
      </c>
    </row>
    <row r="39" spans="1:21" x14ac:dyDescent="0.25">
      <c r="A39" t="s">
        <v>72</v>
      </c>
      <c r="B39" t="s">
        <v>838</v>
      </c>
      <c r="C39">
        <v>10</v>
      </c>
      <c r="D39" t="s">
        <v>23</v>
      </c>
      <c r="E39" t="s">
        <v>95</v>
      </c>
      <c r="F39" t="s">
        <v>105</v>
      </c>
      <c r="G39" t="s">
        <v>121</v>
      </c>
      <c r="H39" t="s">
        <v>238</v>
      </c>
      <c r="J39">
        <v>0</v>
      </c>
      <c r="K39">
        <v>1</v>
      </c>
      <c r="L39">
        <v>67.5</v>
      </c>
      <c r="M39">
        <v>47.937235809999997</v>
      </c>
      <c r="N39">
        <v>0.41599678000000001</v>
      </c>
      <c r="O39">
        <v>2.0950346999999998</v>
      </c>
      <c r="P39">
        <v>87.5</v>
      </c>
      <c r="Q39">
        <v>29.478311600000001</v>
      </c>
      <c r="R39">
        <v>3.0797751000000002E-2</v>
      </c>
      <c r="S39">
        <v>0.12931835</v>
      </c>
      <c r="T39" t="s">
        <v>1014</v>
      </c>
      <c r="U39">
        <v>-20</v>
      </c>
    </row>
    <row r="40" spans="1:21" x14ac:dyDescent="0.25">
      <c r="A40" t="s">
        <v>72</v>
      </c>
      <c r="B40" t="s">
        <v>839</v>
      </c>
      <c r="C40">
        <v>10</v>
      </c>
      <c r="D40" t="s">
        <v>23</v>
      </c>
      <c r="E40" t="s">
        <v>95</v>
      </c>
      <c r="F40" t="s">
        <v>111</v>
      </c>
      <c r="G40" t="s">
        <v>121</v>
      </c>
      <c r="H40" t="s">
        <v>114</v>
      </c>
      <c r="J40">
        <v>0</v>
      </c>
      <c r="K40">
        <v>0</v>
      </c>
      <c r="L40">
        <v>94.97142857</v>
      </c>
      <c r="M40">
        <v>24.31591813</v>
      </c>
      <c r="N40">
        <v>0.122951111</v>
      </c>
      <c r="O40">
        <v>0.39050790000000002</v>
      </c>
      <c r="P40" t="s">
        <v>114</v>
      </c>
      <c r="Q40" t="s">
        <v>114</v>
      </c>
      <c r="R40" t="s">
        <v>114</v>
      </c>
      <c r="S40" t="s">
        <v>114</v>
      </c>
      <c r="T40" t="s">
        <v>1014</v>
      </c>
      <c r="U40" t="s">
        <v>114</v>
      </c>
    </row>
    <row r="41" spans="1:21" x14ac:dyDescent="0.25">
      <c r="A41" t="s">
        <v>72</v>
      </c>
      <c r="B41" t="s">
        <v>840</v>
      </c>
      <c r="C41">
        <v>10</v>
      </c>
      <c r="D41" t="s">
        <v>23</v>
      </c>
      <c r="E41" t="s">
        <v>95</v>
      </c>
      <c r="F41" t="s">
        <v>104</v>
      </c>
      <c r="G41" t="s">
        <v>104</v>
      </c>
      <c r="H41" t="s">
        <v>104</v>
      </c>
      <c r="J41">
        <v>0</v>
      </c>
      <c r="K41">
        <v>1</v>
      </c>
      <c r="L41">
        <v>113.9375</v>
      </c>
      <c r="M41">
        <v>33.375507550000002</v>
      </c>
      <c r="N41">
        <v>2.4262999999999999</v>
      </c>
      <c r="O41">
        <v>0.40692159999999999</v>
      </c>
      <c r="P41">
        <v>113.9375</v>
      </c>
      <c r="Q41">
        <v>33.375507550000002</v>
      </c>
      <c r="R41">
        <v>2.4262999999999999</v>
      </c>
      <c r="S41">
        <v>0.40692159999999999</v>
      </c>
      <c r="T41" t="s">
        <v>1014</v>
      </c>
      <c r="U41">
        <v>0</v>
      </c>
    </row>
    <row r="42" spans="1:21" x14ac:dyDescent="0.25">
      <c r="A42" t="s">
        <v>72</v>
      </c>
      <c r="B42" t="s">
        <v>840</v>
      </c>
      <c r="C42">
        <v>10</v>
      </c>
      <c r="D42" t="s">
        <v>23</v>
      </c>
      <c r="E42" t="s">
        <v>95</v>
      </c>
      <c r="F42" t="s">
        <v>104</v>
      </c>
      <c r="G42" t="s">
        <v>104</v>
      </c>
      <c r="H42" t="s">
        <v>244</v>
      </c>
      <c r="J42">
        <v>0</v>
      </c>
      <c r="K42">
        <v>1</v>
      </c>
      <c r="L42">
        <v>113.9375</v>
      </c>
      <c r="M42">
        <v>33.375507550000002</v>
      </c>
      <c r="N42">
        <v>2.4262999999999999</v>
      </c>
      <c r="O42">
        <v>0.40692159999999999</v>
      </c>
      <c r="P42">
        <v>75</v>
      </c>
      <c r="Q42">
        <v>28.80614499</v>
      </c>
      <c r="R42">
        <v>2.3860428570000001</v>
      </c>
      <c r="S42">
        <v>0.26400832000000002</v>
      </c>
      <c r="T42" t="s">
        <v>1014</v>
      </c>
      <c r="U42">
        <v>38.9375</v>
      </c>
    </row>
    <row r="43" spans="1:21" x14ac:dyDescent="0.25">
      <c r="A43" t="s">
        <v>72</v>
      </c>
      <c r="B43" t="s">
        <v>841</v>
      </c>
      <c r="C43">
        <v>10</v>
      </c>
      <c r="D43" t="s">
        <v>23</v>
      </c>
      <c r="E43" t="s">
        <v>95</v>
      </c>
      <c r="F43" t="s">
        <v>112</v>
      </c>
      <c r="G43" t="s">
        <v>121</v>
      </c>
      <c r="H43" t="s">
        <v>238</v>
      </c>
      <c r="J43">
        <v>0</v>
      </c>
      <c r="K43">
        <v>1</v>
      </c>
      <c r="L43">
        <v>65.09375</v>
      </c>
      <c r="M43">
        <v>37.895352600000002</v>
      </c>
      <c r="N43">
        <v>2.2882677779999998</v>
      </c>
      <c r="O43">
        <v>2.2111774</v>
      </c>
      <c r="P43">
        <v>87.5</v>
      </c>
      <c r="Q43">
        <v>29.478311600000001</v>
      </c>
      <c r="R43">
        <v>3.0797751000000002E-2</v>
      </c>
      <c r="S43">
        <v>0.12931835</v>
      </c>
      <c r="T43" t="s">
        <v>1014</v>
      </c>
      <c r="U43">
        <v>-22.40625</v>
      </c>
    </row>
    <row r="44" spans="1:21" x14ac:dyDescent="0.25">
      <c r="A44" t="s">
        <v>73</v>
      </c>
      <c r="B44" t="s">
        <v>842</v>
      </c>
      <c r="C44">
        <v>10</v>
      </c>
      <c r="D44" t="s">
        <v>25</v>
      </c>
      <c r="E44" t="s">
        <v>94</v>
      </c>
      <c r="F44" t="s">
        <v>105</v>
      </c>
      <c r="G44" t="s">
        <v>112</v>
      </c>
      <c r="H44" t="s">
        <v>112</v>
      </c>
      <c r="J44">
        <v>0</v>
      </c>
      <c r="K44">
        <v>1</v>
      </c>
      <c r="L44">
        <v>67.5</v>
      </c>
      <c r="M44">
        <v>47.937235809999997</v>
      </c>
      <c r="N44">
        <v>0.41599678000000001</v>
      </c>
      <c r="O44">
        <v>2.0950346999999998</v>
      </c>
      <c r="P44">
        <v>65.09375</v>
      </c>
      <c r="Q44">
        <v>37.895352600000002</v>
      </c>
      <c r="R44">
        <v>2.2882677779999998</v>
      </c>
      <c r="S44">
        <v>2.2111774</v>
      </c>
      <c r="T44" t="s">
        <v>1014</v>
      </c>
      <c r="U44">
        <v>2.40625</v>
      </c>
    </row>
    <row r="45" spans="1:21" x14ac:dyDescent="0.25">
      <c r="A45" t="s">
        <v>73</v>
      </c>
      <c r="B45" t="s">
        <v>843</v>
      </c>
      <c r="C45">
        <v>10</v>
      </c>
      <c r="D45" t="s">
        <v>25</v>
      </c>
      <c r="E45" t="s">
        <v>94</v>
      </c>
      <c r="F45" t="s">
        <v>110</v>
      </c>
      <c r="G45" t="s">
        <v>110</v>
      </c>
      <c r="H45" t="s">
        <v>110</v>
      </c>
      <c r="J45">
        <v>0</v>
      </c>
      <c r="K45">
        <v>3</v>
      </c>
      <c r="L45">
        <v>73.260869569999997</v>
      </c>
      <c r="M45">
        <v>34.453830549999999</v>
      </c>
      <c r="N45">
        <v>1.058333333</v>
      </c>
      <c r="O45">
        <v>0.90897070000000002</v>
      </c>
      <c r="P45">
        <v>73.260869569999997</v>
      </c>
      <c r="Q45">
        <v>34.453830549999999</v>
      </c>
      <c r="R45">
        <v>1.058333333</v>
      </c>
      <c r="S45">
        <v>0.90897070000000002</v>
      </c>
      <c r="T45" t="s">
        <v>1014</v>
      </c>
      <c r="U45">
        <v>0</v>
      </c>
    </row>
    <row r="46" spans="1:21" x14ac:dyDescent="0.25">
      <c r="A46" t="s">
        <v>73</v>
      </c>
      <c r="B46" t="s">
        <v>843</v>
      </c>
      <c r="C46">
        <v>10</v>
      </c>
      <c r="D46" t="s">
        <v>25</v>
      </c>
      <c r="E46" t="s">
        <v>94</v>
      </c>
      <c r="F46" t="s">
        <v>110</v>
      </c>
      <c r="G46" t="s">
        <v>110</v>
      </c>
      <c r="H46" t="s">
        <v>110</v>
      </c>
      <c r="J46">
        <v>0</v>
      </c>
      <c r="K46">
        <v>3</v>
      </c>
      <c r="L46">
        <v>73.260869569999997</v>
      </c>
      <c r="M46">
        <v>34.453830549999999</v>
      </c>
      <c r="N46">
        <v>1.058333333</v>
      </c>
      <c r="O46">
        <v>0.90897070000000002</v>
      </c>
      <c r="P46">
        <v>73.260869569999997</v>
      </c>
      <c r="Q46">
        <v>34.453830549999999</v>
      </c>
      <c r="R46">
        <v>1.058333333</v>
      </c>
      <c r="S46">
        <v>0.90897070000000002</v>
      </c>
      <c r="T46" t="s">
        <v>1014</v>
      </c>
      <c r="U46">
        <v>0</v>
      </c>
    </row>
    <row r="47" spans="1:21" x14ac:dyDescent="0.25">
      <c r="A47" t="s">
        <v>73</v>
      </c>
      <c r="B47" t="s">
        <v>843</v>
      </c>
      <c r="C47">
        <v>10</v>
      </c>
      <c r="D47" t="s">
        <v>25</v>
      </c>
      <c r="E47" t="s">
        <v>94</v>
      </c>
      <c r="F47" t="s">
        <v>110</v>
      </c>
      <c r="G47" t="s">
        <v>110</v>
      </c>
      <c r="H47" t="s">
        <v>110</v>
      </c>
      <c r="J47">
        <v>0</v>
      </c>
      <c r="K47">
        <v>3</v>
      </c>
      <c r="L47">
        <v>73.260869569999997</v>
      </c>
      <c r="M47">
        <v>34.453830549999999</v>
      </c>
      <c r="N47">
        <v>1.058333333</v>
      </c>
      <c r="O47">
        <v>0.90897070000000002</v>
      </c>
      <c r="P47">
        <v>73.260869569999997</v>
      </c>
      <c r="Q47">
        <v>34.453830549999999</v>
      </c>
      <c r="R47">
        <v>1.058333333</v>
      </c>
      <c r="S47">
        <v>0.90897070000000002</v>
      </c>
      <c r="T47" t="s">
        <v>1014</v>
      </c>
      <c r="U47">
        <v>0</v>
      </c>
    </row>
    <row r="48" spans="1:21" x14ac:dyDescent="0.25">
      <c r="A48" t="s">
        <v>73</v>
      </c>
      <c r="B48" t="s">
        <v>843</v>
      </c>
      <c r="C48">
        <v>10</v>
      </c>
      <c r="D48" t="s">
        <v>25</v>
      </c>
      <c r="E48" t="s">
        <v>94</v>
      </c>
      <c r="F48" t="s">
        <v>110</v>
      </c>
      <c r="G48" t="s">
        <v>110</v>
      </c>
      <c r="H48" t="s">
        <v>251</v>
      </c>
      <c r="J48">
        <v>0</v>
      </c>
      <c r="K48">
        <v>1</v>
      </c>
      <c r="L48">
        <v>73.260869569999997</v>
      </c>
      <c r="M48">
        <v>34.453830549999999</v>
      </c>
      <c r="N48">
        <v>1.058333333</v>
      </c>
      <c r="O48">
        <v>0.90897070000000002</v>
      </c>
      <c r="P48">
        <v>85</v>
      </c>
      <c r="Q48">
        <v>37.099157669999997</v>
      </c>
      <c r="R48">
        <v>0.65291888899999995</v>
      </c>
      <c r="S48" t="s">
        <v>114</v>
      </c>
      <c r="T48" t="s">
        <v>1014</v>
      </c>
      <c r="U48">
        <v>-11.739130429999999</v>
      </c>
    </row>
    <row r="49" spans="1:21" x14ac:dyDescent="0.25">
      <c r="A49" t="s">
        <v>73</v>
      </c>
      <c r="B49" t="s">
        <v>843</v>
      </c>
      <c r="C49">
        <v>10</v>
      </c>
      <c r="D49" t="s">
        <v>25</v>
      </c>
      <c r="E49" t="s">
        <v>94</v>
      </c>
      <c r="F49" t="s">
        <v>110</v>
      </c>
      <c r="G49" t="s">
        <v>110</v>
      </c>
      <c r="H49" t="s">
        <v>246</v>
      </c>
      <c r="J49">
        <v>0</v>
      </c>
      <c r="K49">
        <v>1</v>
      </c>
      <c r="L49">
        <v>73.260869569999997</v>
      </c>
      <c r="M49">
        <v>34.453830549999999</v>
      </c>
      <c r="N49">
        <v>1.058333333</v>
      </c>
      <c r="O49">
        <v>0.90897070000000002</v>
      </c>
      <c r="P49">
        <v>120.25</v>
      </c>
      <c r="Q49">
        <v>30.670450110000001</v>
      </c>
      <c r="R49">
        <v>0.91037498500000003</v>
      </c>
      <c r="S49" t="s">
        <v>114</v>
      </c>
      <c r="T49" t="s">
        <v>1014</v>
      </c>
      <c r="U49">
        <v>-46.989130430000003</v>
      </c>
    </row>
    <row r="50" spans="1:21" x14ac:dyDescent="0.25">
      <c r="A50" t="s">
        <v>73</v>
      </c>
      <c r="B50" t="s">
        <v>844</v>
      </c>
      <c r="C50">
        <v>10</v>
      </c>
      <c r="D50" t="s">
        <v>25</v>
      </c>
      <c r="E50" t="s">
        <v>94</v>
      </c>
      <c r="F50" t="s">
        <v>104</v>
      </c>
      <c r="G50" t="s">
        <v>104</v>
      </c>
      <c r="H50" t="s">
        <v>104</v>
      </c>
      <c r="J50">
        <v>0</v>
      </c>
      <c r="K50">
        <v>1</v>
      </c>
      <c r="L50">
        <v>113.9375</v>
      </c>
      <c r="M50">
        <v>33.375507550000002</v>
      </c>
      <c r="N50">
        <v>2.4262999999999999</v>
      </c>
      <c r="O50">
        <v>0.40692159999999999</v>
      </c>
      <c r="P50">
        <v>113.9375</v>
      </c>
      <c r="Q50">
        <v>33.375507550000002</v>
      </c>
      <c r="R50">
        <v>2.4262999999999999</v>
      </c>
      <c r="S50">
        <v>0.40692159999999999</v>
      </c>
      <c r="T50" t="s">
        <v>1014</v>
      </c>
      <c r="U50">
        <v>0</v>
      </c>
    </row>
    <row r="51" spans="1:21" x14ac:dyDescent="0.25">
      <c r="A51" t="s">
        <v>73</v>
      </c>
      <c r="B51" t="s">
        <v>845</v>
      </c>
      <c r="C51">
        <v>10</v>
      </c>
      <c r="D51" t="s">
        <v>25</v>
      </c>
      <c r="E51" t="s">
        <v>94</v>
      </c>
      <c r="F51" t="s">
        <v>112</v>
      </c>
      <c r="G51" t="s">
        <v>121</v>
      </c>
      <c r="H51" t="s">
        <v>114</v>
      </c>
      <c r="J51">
        <v>0</v>
      </c>
      <c r="K51" t="s">
        <v>114</v>
      </c>
      <c r="L51">
        <v>65.09375</v>
      </c>
      <c r="M51">
        <v>37.895352600000002</v>
      </c>
      <c r="N51">
        <v>2.2882677779999998</v>
      </c>
      <c r="O51">
        <v>2.2111774</v>
      </c>
      <c r="P51" t="s">
        <v>114</v>
      </c>
      <c r="Q51" t="s">
        <v>114</v>
      </c>
      <c r="R51" t="s">
        <v>114</v>
      </c>
      <c r="S51" t="s">
        <v>114</v>
      </c>
      <c r="T51" t="s">
        <v>1014</v>
      </c>
      <c r="U51" t="s">
        <v>114</v>
      </c>
    </row>
    <row r="52" spans="1:21" x14ac:dyDescent="0.25">
      <c r="A52" t="s">
        <v>74</v>
      </c>
      <c r="B52" t="s">
        <v>846</v>
      </c>
      <c r="C52">
        <v>10</v>
      </c>
      <c r="D52" t="s">
        <v>27</v>
      </c>
      <c r="E52" t="s">
        <v>95</v>
      </c>
      <c r="F52" t="s">
        <v>102</v>
      </c>
      <c r="G52" t="s">
        <v>113</v>
      </c>
      <c r="H52" t="s">
        <v>113</v>
      </c>
      <c r="J52">
        <v>0</v>
      </c>
      <c r="K52">
        <v>3</v>
      </c>
      <c r="L52">
        <v>84.740740740000007</v>
      </c>
      <c r="M52">
        <v>29.167014049999999</v>
      </c>
      <c r="N52">
        <v>1.1169849999999999</v>
      </c>
      <c r="O52">
        <v>1.1571499000000001</v>
      </c>
      <c r="P52">
        <v>83.757575759999995</v>
      </c>
      <c r="Q52">
        <v>22.60997987</v>
      </c>
      <c r="R52">
        <v>0.72884000000000004</v>
      </c>
      <c r="S52">
        <v>0.21301339999999999</v>
      </c>
      <c r="T52" t="s">
        <v>1014</v>
      </c>
      <c r="U52">
        <v>0.98316497999999997</v>
      </c>
    </row>
    <row r="53" spans="1:21" x14ac:dyDescent="0.25">
      <c r="A53" t="s">
        <v>74</v>
      </c>
      <c r="B53" t="s">
        <v>846</v>
      </c>
      <c r="C53">
        <v>10</v>
      </c>
      <c r="D53" t="s">
        <v>27</v>
      </c>
      <c r="E53" t="s">
        <v>95</v>
      </c>
      <c r="F53" t="s">
        <v>102</v>
      </c>
      <c r="G53" t="s">
        <v>113</v>
      </c>
      <c r="H53" t="s">
        <v>113</v>
      </c>
      <c r="J53">
        <v>0</v>
      </c>
      <c r="K53">
        <v>3</v>
      </c>
      <c r="L53">
        <v>84.740740740000007</v>
      </c>
      <c r="M53">
        <v>29.167014049999999</v>
      </c>
      <c r="N53">
        <v>1.1169849999999999</v>
      </c>
      <c r="O53">
        <v>1.1571499000000001</v>
      </c>
      <c r="P53">
        <v>83.757575759999995</v>
      </c>
      <c r="Q53">
        <v>22.60997987</v>
      </c>
      <c r="R53">
        <v>0.72884000000000004</v>
      </c>
      <c r="S53">
        <v>0.21301339999999999</v>
      </c>
      <c r="T53" t="s">
        <v>1014</v>
      </c>
      <c r="U53">
        <v>0.98316497999999997</v>
      </c>
    </row>
    <row r="54" spans="1:21" x14ac:dyDescent="0.25">
      <c r="A54" t="s">
        <v>74</v>
      </c>
      <c r="B54" t="s">
        <v>846</v>
      </c>
      <c r="C54">
        <v>10</v>
      </c>
      <c r="D54" t="s">
        <v>27</v>
      </c>
      <c r="E54" t="s">
        <v>95</v>
      </c>
      <c r="F54" t="s">
        <v>102</v>
      </c>
      <c r="G54" t="s">
        <v>113</v>
      </c>
      <c r="H54" t="s">
        <v>113</v>
      </c>
      <c r="J54">
        <v>0</v>
      </c>
      <c r="K54">
        <v>3</v>
      </c>
      <c r="L54">
        <v>84.740740740000007</v>
      </c>
      <c r="M54">
        <v>29.167014049999999</v>
      </c>
      <c r="N54">
        <v>1.1169849999999999</v>
      </c>
      <c r="O54">
        <v>1.1571499000000001</v>
      </c>
      <c r="P54">
        <v>83.757575759999995</v>
      </c>
      <c r="Q54">
        <v>22.60997987</v>
      </c>
      <c r="R54">
        <v>0.72884000000000004</v>
      </c>
      <c r="S54">
        <v>0.21301339999999999</v>
      </c>
      <c r="T54" t="s">
        <v>1014</v>
      </c>
      <c r="U54">
        <v>0.98316497999999997</v>
      </c>
    </row>
    <row r="55" spans="1:21" x14ac:dyDescent="0.25">
      <c r="A55" t="s">
        <v>74</v>
      </c>
      <c r="B55" t="s">
        <v>846</v>
      </c>
      <c r="C55">
        <v>10</v>
      </c>
      <c r="D55" t="s">
        <v>27</v>
      </c>
      <c r="E55" t="s">
        <v>95</v>
      </c>
      <c r="F55" t="s">
        <v>102</v>
      </c>
      <c r="G55" t="s">
        <v>113</v>
      </c>
      <c r="H55" t="s">
        <v>103</v>
      </c>
      <c r="J55">
        <v>0</v>
      </c>
      <c r="K55">
        <v>1</v>
      </c>
      <c r="L55">
        <v>84.740740740000007</v>
      </c>
      <c r="M55">
        <v>29.167014049999999</v>
      </c>
      <c r="N55">
        <v>1.1169849999999999</v>
      </c>
      <c r="O55">
        <v>1.1571499000000001</v>
      </c>
      <c r="P55">
        <v>98.291666669999998</v>
      </c>
      <c r="Q55">
        <v>30.315130790000001</v>
      </c>
      <c r="R55">
        <v>5.0803484000000003E-2</v>
      </c>
      <c r="S55">
        <v>0.42866070000000001</v>
      </c>
      <c r="T55" t="s">
        <v>1014</v>
      </c>
      <c r="U55">
        <v>-13.55092593</v>
      </c>
    </row>
    <row r="56" spans="1:21" x14ac:dyDescent="0.25">
      <c r="A56" t="s">
        <v>74</v>
      </c>
      <c r="B56" t="s">
        <v>847</v>
      </c>
      <c r="C56">
        <v>10</v>
      </c>
      <c r="D56" t="s">
        <v>27</v>
      </c>
      <c r="E56" t="s">
        <v>95</v>
      </c>
      <c r="F56" t="s">
        <v>113</v>
      </c>
      <c r="G56" t="s">
        <v>113</v>
      </c>
      <c r="H56" t="s">
        <v>113</v>
      </c>
      <c r="J56">
        <v>0</v>
      </c>
      <c r="K56">
        <v>1</v>
      </c>
      <c r="L56">
        <v>83.757575759999995</v>
      </c>
      <c r="M56">
        <v>22.60997987</v>
      </c>
      <c r="N56">
        <v>0.72884000000000004</v>
      </c>
      <c r="O56">
        <v>0.21301339999999999</v>
      </c>
      <c r="P56">
        <v>83.757575759999995</v>
      </c>
      <c r="Q56">
        <v>22.60997987</v>
      </c>
      <c r="R56">
        <v>0.72884000000000004</v>
      </c>
      <c r="S56">
        <v>0.21301339999999999</v>
      </c>
      <c r="T56" t="s">
        <v>1014</v>
      </c>
      <c r="U56">
        <v>0</v>
      </c>
    </row>
    <row r="57" spans="1:21" x14ac:dyDescent="0.25">
      <c r="A57" t="s">
        <v>74</v>
      </c>
      <c r="B57" t="s">
        <v>847</v>
      </c>
      <c r="C57">
        <v>10</v>
      </c>
      <c r="D57" t="s">
        <v>27</v>
      </c>
      <c r="E57" t="s">
        <v>95</v>
      </c>
      <c r="F57" t="s">
        <v>113</v>
      </c>
      <c r="G57" t="s">
        <v>113</v>
      </c>
      <c r="H57" t="s">
        <v>248</v>
      </c>
      <c r="J57">
        <v>0</v>
      </c>
      <c r="K57">
        <v>2</v>
      </c>
      <c r="L57">
        <v>83.757575759999995</v>
      </c>
      <c r="M57">
        <v>22.60997987</v>
      </c>
      <c r="N57">
        <v>0.72884000000000004</v>
      </c>
      <c r="O57">
        <v>0.21301339999999999</v>
      </c>
      <c r="P57">
        <v>83.92307692</v>
      </c>
      <c r="Q57">
        <v>44.319135699999997</v>
      </c>
      <c r="R57">
        <v>5.9548609999999997E-3</v>
      </c>
      <c r="S57">
        <v>0.18017928</v>
      </c>
      <c r="T57" t="s">
        <v>1014</v>
      </c>
      <c r="U57">
        <v>-0.16550116000000001</v>
      </c>
    </row>
    <row r="58" spans="1:21" x14ac:dyDescent="0.25">
      <c r="A58" t="s">
        <v>74</v>
      </c>
      <c r="B58" t="s">
        <v>847</v>
      </c>
      <c r="C58">
        <v>10</v>
      </c>
      <c r="D58" t="s">
        <v>27</v>
      </c>
      <c r="E58" t="s">
        <v>95</v>
      </c>
      <c r="F58" t="s">
        <v>113</v>
      </c>
      <c r="G58" t="s">
        <v>113</v>
      </c>
      <c r="H58" t="s">
        <v>248</v>
      </c>
      <c r="J58">
        <v>0</v>
      </c>
      <c r="K58">
        <v>2</v>
      </c>
      <c r="L58">
        <v>83.757575759999995</v>
      </c>
      <c r="M58">
        <v>22.60997987</v>
      </c>
      <c r="N58">
        <v>0.72884000000000004</v>
      </c>
      <c r="O58">
        <v>0.21301339999999999</v>
      </c>
      <c r="P58">
        <v>83.92307692</v>
      </c>
      <c r="Q58">
        <v>44.319135699999997</v>
      </c>
      <c r="R58">
        <v>5.9548609999999997E-3</v>
      </c>
      <c r="S58">
        <v>0.18017928</v>
      </c>
      <c r="T58" t="s">
        <v>1014</v>
      </c>
      <c r="U58">
        <v>-0.16550116000000001</v>
      </c>
    </row>
    <row r="59" spans="1:21" x14ac:dyDescent="0.25">
      <c r="A59" t="s">
        <v>74</v>
      </c>
      <c r="B59" t="s">
        <v>848</v>
      </c>
      <c r="C59">
        <v>10</v>
      </c>
      <c r="D59" t="s">
        <v>27</v>
      </c>
      <c r="E59" t="s">
        <v>95</v>
      </c>
      <c r="F59" t="s">
        <v>103</v>
      </c>
      <c r="G59" t="s">
        <v>113</v>
      </c>
      <c r="H59" t="s">
        <v>113</v>
      </c>
      <c r="J59">
        <v>0</v>
      </c>
      <c r="K59">
        <v>1</v>
      </c>
      <c r="L59">
        <v>98.291666669999998</v>
      </c>
      <c r="M59">
        <v>30.315130790000001</v>
      </c>
      <c r="N59">
        <v>5.0803484000000003E-2</v>
      </c>
      <c r="O59">
        <v>0.42866070000000001</v>
      </c>
      <c r="P59">
        <v>83.757575759999995</v>
      </c>
      <c r="Q59">
        <v>22.60997987</v>
      </c>
      <c r="R59">
        <v>0.72884000000000004</v>
      </c>
      <c r="S59">
        <v>0.21301339999999999</v>
      </c>
      <c r="T59" t="s">
        <v>1014</v>
      </c>
      <c r="U59">
        <v>14.53409091</v>
      </c>
    </row>
    <row r="60" spans="1:21" x14ac:dyDescent="0.25">
      <c r="A60" t="s">
        <v>75</v>
      </c>
      <c r="B60" t="s">
        <v>849</v>
      </c>
      <c r="C60">
        <v>10</v>
      </c>
      <c r="D60" t="s">
        <v>29</v>
      </c>
      <c r="E60" t="s">
        <v>94</v>
      </c>
      <c r="F60" t="s">
        <v>105</v>
      </c>
      <c r="G60" t="s">
        <v>121</v>
      </c>
      <c r="H60" t="s">
        <v>251</v>
      </c>
      <c r="J60">
        <v>0</v>
      </c>
      <c r="K60">
        <v>1</v>
      </c>
      <c r="L60">
        <v>67.5</v>
      </c>
      <c r="M60">
        <v>47.937235809999997</v>
      </c>
      <c r="N60">
        <v>0.41599678000000001</v>
      </c>
      <c r="O60">
        <v>2.0950346999999998</v>
      </c>
      <c r="P60">
        <v>85</v>
      </c>
      <c r="Q60">
        <v>37.099157669999997</v>
      </c>
      <c r="R60">
        <v>0.65291888899999995</v>
      </c>
      <c r="S60" t="s">
        <v>114</v>
      </c>
      <c r="T60" t="s">
        <v>1014</v>
      </c>
      <c r="U60">
        <v>-17.5</v>
      </c>
    </row>
    <row r="61" spans="1:21" x14ac:dyDescent="0.25">
      <c r="A61" t="s">
        <v>75</v>
      </c>
      <c r="B61" t="s">
        <v>849</v>
      </c>
      <c r="C61">
        <v>10</v>
      </c>
      <c r="D61" t="s">
        <v>29</v>
      </c>
      <c r="E61" t="s">
        <v>94</v>
      </c>
      <c r="F61" t="s">
        <v>105</v>
      </c>
      <c r="G61" t="s">
        <v>121</v>
      </c>
      <c r="H61" t="s">
        <v>244</v>
      </c>
      <c r="J61">
        <v>0</v>
      </c>
      <c r="K61">
        <v>1</v>
      </c>
      <c r="L61">
        <v>67.5</v>
      </c>
      <c r="M61">
        <v>47.937235809999997</v>
      </c>
      <c r="N61">
        <v>0.41599678000000001</v>
      </c>
      <c r="O61">
        <v>2.0950346999999998</v>
      </c>
      <c r="P61">
        <v>75</v>
      </c>
      <c r="Q61">
        <v>28.80614499</v>
      </c>
      <c r="R61">
        <v>2.3860428570000001</v>
      </c>
      <c r="S61">
        <v>0.26400832000000002</v>
      </c>
      <c r="T61" t="s">
        <v>1014</v>
      </c>
      <c r="U61">
        <v>-7.5</v>
      </c>
    </row>
    <row r="62" spans="1:21" x14ac:dyDescent="0.25">
      <c r="A62" t="s">
        <v>75</v>
      </c>
      <c r="B62" t="s">
        <v>850</v>
      </c>
      <c r="C62">
        <v>10</v>
      </c>
      <c r="D62" t="s">
        <v>29</v>
      </c>
      <c r="E62" t="s">
        <v>94</v>
      </c>
      <c r="F62" t="s">
        <v>110</v>
      </c>
      <c r="G62" t="s">
        <v>104</v>
      </c>
      <c r="H62" t="s">
        <v>104</v>
      </c>
      <c r="J62">
        <v>0</v>
      </c>
      <c r="K62">
        <v>2</v>
      </c>
      <c r="L62">
        <v>73.260869569999997</v>
      </c>
      <c r="M62">
        <v>34.453830549999999</v>
      </c>
      <c r="N62">
        <v>1.058333333</v>
      </c>
      <c r="O62">
        <v>0.90897070000000002</v>
      </c>
      <c r="P62">
        <v>113.9375</v>
      </c>
      <c r="Q62">
        <v>33.375507550000002</v>
      </c>
      <c r="R62">
        <v>2.4262999999999999</v>
      </c>
      <c r="S62">
        <v>0.40692159999999999</v>
      </c>
      <c r="T62" t="s">
        <v>1014</v>
      </c>
      <c r="U62">
        <v>-40.676630430000003</v>
      </c>
    </row>
    <row r="63" spans="1:21" x14ac:dyDescent="0.25">
      <c r="A63" t="s">
        <v>75</v>
      </c>
      <c r="B63" t="s">
        <v>850</v>
      </c>
      <c r="C63">
        <v>10</v>
      </c>
      <c r="D63" t="s">
        <v>29</v>
      </c>
      <c r="E63" t="s">
        <v>94</v>
      </c>
      <c r="F63" t="s">
        <v>110</v>
      </c>
      <c r="G63" t="s">
        <v>104</v>
      </c>
      <c r="H63" t="s">
        <v>104</v>
      </c>
      <c r="J63">
        <v>0</v>
      </c>
      <c r="K63">
        <v>2</v>
      </c>
      <c r="L63">
        <v>73.260869569999997</v>
      </c>
      <c r="M63">
        <v>34.453830549999999</v>
      </c>
      <c r="N63">
        <v>1.058333333</v>
      </c>
      <c r="O63">
        <v>0.90897070000000002</v>
      </c>
      <c r="P63">
        <v>113.9375</v>
      </c>
      <c r="Q63">
        <v>33.375507550000002</v>
      </c>
      <c r="R63">
        <v>2.4262999999999999</v>
      </c>
      <c r="S63">
        <v>0.40692159999999999</v>
      </c>
      <c r="T63" t="s">
        <v>1014</v>
      </c>
      <c r="U63">
        <v>-40.676630430000003</v>
      </c>
    </row>
    <row r="64" spans="1:21" x14ac:dyDescent="0.25">
      <c r="A64" t="s">
        <v>75</v>
      </c>
      <c r="B64" t="s">
        <v>851</v>
      </c>
      <c r="C64">
        <v>10</v>
      </c>
      <c r="D64" t="s">
        <v>29</v>
      </c>
      <c r="E64" t="s">
        <v>94</v>
      </c>
      <c r="F64" t="s">
        <v>103</v>
      </c>
      <c r="G64" t="s">
        <v>121</v>
      </c>
      <c r="H64" t="s">
        <v>251</v>
      </c>
      <c r="J64">
        <v>0</v>
      </c>
      <c r="K64">
        <v>1</v>
      </c>
      <c r="L64">
        <v>98.291666669999998</v>
      </c>
      <c r="M64">
        <v>30.315130790000001</v>
      </c>
      <c r="N64">
        <v>5.0803484000000003E-2</v>
      </c>
      <c r="O64">
        <v>0.42866070000000001</v>
      </c>
      <c r="P64">
        <v>85</v>
      </c>
      <c r="Q64">
        <v>37.099157669999997</v>
      </c>
      <c r="R64">
        <v>0.65291888899999995</v>
      </c>
      <c r="S64" t="s">
        <v>114</v>
      </c>
      <c r="T64" t="s">
        <v>1014</v>
      </c>
      <c r="U64">
        <v>13.29166667</v>
      </c>
    </row>
    <row r="65" spans="1:21" x14ac:dyDescent="0.25">
      <c r="A65" t="s">
        <v>75</v>
      </c>
      <c r="B65" t="s">
        <v>851</v>
      </c>
      <c r="C65">
        <v>10</v>
      </c>
      <c r="D65" t="s">
        <v>29</v>
      </c>
      <c r="E65" t="s">
        <v>94</v>
      </c>
      <c r="F65" t="s">
        <v>103</v>
      </c>
      <c r="G65" t="s">
        <v>121</v>
      </c>
      <c r="H65" t="s">
        <v>233</v>
      </c>
      <c r="J65">
        <v>0</v>
      </c>
      <c r="K65">
        <v>1</v>
      </c>
      <c r="L65">
        <v>98.291666669999998</v>
      </c>
      <c r="M65">
        <v>30.315130790000001</v>
      </c>
      <c r="N65">
        <v>5.0803484000000003E-2</v>
      </c>
      <c r="O65">
        <v>0.42866070000000001</v>
      </c>
      <c r="P65">
        <v>106.0540541</v>
      </c>
      <c r="Q65">
        <v>52.690533369999997</v>
      </c>
      <c r="R65">
        <v>7.6058968000000005E-2</v>
      </c>
      <c r="S65">
        <v>0.44888888999999998</v>
      </c>
      <c r="T65" t="s">
        <v>1014</v>
      </c>
      <c r="U65">
        <v>-7.7623874300000004</v>
      </c>
    </row>
    <row r="66" spans="1:21" x14ac:dyDescent="0.25">
      <c r="A66" t="s">
        <v>75</v>
      </c>
      <c r="B66" t="s">
        <v>851</v>
      </c>
      <c r="C66">
        <v>10</v>
      </c>
      <c r="D66" t="s">
        <v>29</v>
      </c>
      <c r="E66" t="s">
        <v>94</v>
      </c>
      <c r="F66" t="s">
        <v>103</v>
      </c>
      <c r="G66" t="s">
        <v>121</v>
      </c>
      <c r="H66" t="s">
        <v>105</v>
      </c>
      <c r="J66">
        <v>0</v>
      </c>
      <c r="K66">
        <v>1</v>
      </c>
      <c r="L66">
        <v>98.291666669999998</v>
      </c>
      <c r="M66">
        <v>30.315130790000001</v>
      </c>
      <c r="N66">
        <v>5.0803484000000003E-2</v>
      </c>
      <c r="O66">
        <v>0.42866070000000001</v>
      </c>
      <c r="P66">
        <v>67.5</v>
      </c>
      <c r="Q66">
        <v>47.937235809999997</v>
      </c>
      <c r="R66">
        <v>0.41599678000000001</v>
      </c>
      <c r="S66">
        <v>2.0950346999999998</v>
      </c>
      <c r="T66" t="s">
        <v>1014</v>
      </c>
      <c r="U66">
        <v>30.791666670000001</v>
      </c>
    </row>
    <row r="67" spans="1:21" x14ac:dyDescent="0.25">
      <c r="A67" t="s">
        <v>76</v>
      </c>
      <c r="B67" t="s">
        <v>852</v>
      </c>
      <c r="C67">
        <v>10</v>
      </c>
      <c r="D67" t="s">
        <v>31</v>
      </c>
      <c r="E67" t="s">
        <v>94</v>
      </c>
      <c r="F67" t="s">
        <v>113</v>
      </c>
      <c r="G67" t="s">
        <v>113</v>
      </c>
      <c r="H67" t="s">
        <v>113</v>
      </c>
      <c r="J67">
        <v>0</v>
      </c>
      <c r="K67">
        <v>2</v>
      </c>
      <c r="L67">
        <v>83.757575759999995</v>
      </c>
      <c r="M67">
        <v>22.60997987</v>
      </c>
      <c r="N67">
        <v>0.72884000000000004</v>
      </c>
      <c r="O67">
        <v>0.21301339999999999</v>
      </c>
      <c r="P67">
        <v>83.757575759999995</v>
      </c>
      <c r="Q67">
        <v>22.60997987</v>
      </c>
      <c r="R67">
        <v>0.72884000000000004</v>
      </c>
      <c r="S67">
        <v>0.21301339999999999</v>
      </c>
      <c r="T67" t="s">
        <v>1014</v>
      </c>
      <c r="U67">
        <v>0</v>
      </c>
    </row>
    <row r="68" spans="1:21" x14ac:dyDescent="0.25">
      <c r="A68" t="s">
        <v>76</v>
      </c>
      <c r="B68" t="s">
        <v>852</v>
      </c>
      <c r="C68">
        <v>10</v>
      </c>
      <c r="D68" t="s">
        <v>31</v>
      </c>
      <c r="E68" t="s">
        <v>94</v>
      </c>
      <c r="F68" t="s">
        <v>113</v>
      </c>
      <c r="G68" t="s">
        <v>113</v>
      </c>
      <c r="H68" t="s">
        <v>113</v>
      </c>
      <c r="J68">
        <v>0</v>
      </c>
      <c r="K68">
        <v>2</v>
      </c>
      <c r="L68">
        <v>83.757575759999995</v>
      </c>
      <c r="M68">
        <v>22.60997987</v>
      </c>
      <c r="N68">
        <v>0.72884000000000004</v>
      </c>
      <c r="O68">
        <v>0.21301339999999999</v>
      </c>
      <c r="P68">
        <v>83.757575759999995</v>
      </c>
      <c r="Q68">
        <v>22.60997987</v>
      </c>
      <c r="R68">
        <v>0.72884000000000004</v>
      </c>
      <c r="S68">
        <v>0.21301339999999999</v>
      </c>
      <c r="T68" t="s">
        <v>1014</v>
      </c>
      <c r="U68">
        <v>0</v>
      </c>
    </row>
    <row r="69" spans="1:21" x14ac:dyDescent="0.25">
      <c r="A69" t="s">
        <v>76</v>
      </c>
      <c r="B69" t="s">
        <v>852</v>
      </c>
      <c r="C69">
        <v>10</v>
      </c>
      <c r="D69" t="s">
        <v>31</v>
      </c>
      <c r="E69" t="s">
        <v>94</v>
      </c>
      <c r="F69" t="s">
        <v>113</v>
      </c>
      <c r="G69" t="s">
        <v>113</v>
      </c>
      <c r="H69" t="s">
        <v>238</v>
      </c>
      <c r="J69">
        <v>0</v>
      </c>
      <c r="K69">
        <v>1</v>
      </c>
      <c r="L69">
        <v>83.757575759999995</v>
      </c>
      <c r="M69">
        <v>22.60997987</v>
      </c>
      <c r="N69">
        <v>0.72884000000000004</v>
      </c>
      <c r="O69">
        <v>0.21301339999999999</v>
      </c>
      <c r="P69">
        <v>87.5</v>
      </c>
      <c r="Q69">
        <v>29.478311600000001</v>
      </c>
      <c r="R69">
        <v>3.0797751000000002E-2</v>
      </c>
      <c r="S69">
        <v>0.12931835</v>
      </c>
      <c r="T69" t="s">
        <v>1014</v>
      </c>
      <c r="U69">
        <v>-3.7424242400000001</v>
      </c>
    </row>
    <row r="70" spans="1:21" x14ac:dyDescent="0.25">
      <c r="A70" t="s">
        <v>76</v>
      </c>
      <c r="B70" t="s">
        <v>852</v>
      </c>
      <c r="C70">
        <v>10</v>
      </c>
      <c r="D70" t="s">
        <v>31</v>
      </c>
      <c r="E70" t="s">
        <v>94</v>
      </c>
      <c r="F70" t="s">
        <v>113</v>
      </c>
      <c r="G70" t="s">
        <v>113</v>
      </c>
      <c r="H70" t="s">
        <v>235</v>
      </c>
      <c r="J70">
        <v>0</v>
      </c>
      <c r="K70">
        <v>5</v>
      </c>
      <c r="L70">
        <v>83.757575759999995</v>
      </c>
      <c r="M70">
        <v>22.60997987</v>
      </c>
      <c r="N70">
        <v>0.72884000000000004</v>
      </c>
      <c r="O70">
        <v>0.21301339999999999</v>
      </c>
      <c r="P70">
        <v>132.27272730000001</v>
      </c>
      <c r="Q70">
        <v>20.180448590000001</v>
      </c>
      <c r="R70">
        <v>3.7813451999999997E-2</v>
      </c>
      <c r="S70">
        <v>0.41404401000000002</v>
      </c>
      <c r="T70" t="s">
        <v>1014</v>
      </c>
      <c r="U70">
        <v>-48.515151539999998</v>
      </c>
    </row>
    <row r="71" spans="1:21" x14ac:dyDescent="0.25">
      <c r="A71" t="s">
        <v>76</v>
      </c>
      <c r="B71" t="s">
        <v>852</v>
      </c>
      <c r="C71">
        <v>10</v>
      </c>
      <c r="D71" t="s">
        <v>31</v>
      </c>
      <c r="E71" t="s">
        <v>94</v>
      </c>
      <c r="F71" t="s">
        <v>113</v>
      </c>
      <c r="G71" t="s">
        <v>113</v>
      </c>
      <c r="H71" t="s">
        <v>235</v>
      </c>
      <c r="J71">
        <v>0</v>
      </c>
      <c r="K71">
        <v>5</v>
      </c>
      <c r="L71">
        <v>83.757575759999995</v>
      </c>
      <c r="M71">
        <v>22.60997987</v>
      </c>
      <c r="N71">
        <v>0.72884000000000004</v>
      </c>
      <c r="O71">
        <v>0.21301339999999999</v>
      </c>
      <c r="P71">
        <v>132.27272730000001</v>
      </c>
      <c r="Q71">
        <v>20.180448590000001</v>
      </c>
      <c r="R71">
        <v>3.7813451999999997E-2</v>
      </c>
      <c r="S71">
        <v>0.41404401000000002</v>
      </c>
      <c r="T71" t="s">
        <v>1014</v>
      </c>
      <c r="U71">
        <v>-48.515151539999998</v>
      </c>
    </row>
    <row r="72" spans="1:21" x14ac:dyDescent="0.25">
      <c r="A72" t="s">
        <v>76</v>
      </c>
      <c r="B72" t="s">
        <v>852</v>
      </c>
      <c r="C72">
        <v>10</v>
      </c>
      <c r="D72" t="s">
        <v>31</v>
      </c>
      <c r="E72" t="s">
        <v>94</v>
      </c>
      <c r="F72" t="s">
        <v>113</v>
      </c>
      <c r="G72" t="s">
        <v>113</v>
      </c>
      <c r="H72" t="s">
        <v>235</v>
      </c>
      <c r="J72">
        <v>0</v>
      </c>
      <c r="K72">
        <v>5</v>
      </c>
      <c r="L72">
        <v>83.757575759999995</v>
      </c>
      <c r="M72">
        <v>22.60997987</v>
      </c>
      <c r="N72">
        <v>0.72884000000000004</v>
      </c>
      <c r="O72">
        <v>0.21301339999999999</v>
      </c>
      <c r="P72">
        <v>132.27272730000001</v>
      </c>
      <c r="Q72">
        <v>20.180448590000001</v>
      </c>
      <c r="R72">
        <v>3.7813451999999997E-2</v>
      </c>
      <c r="S72">
        <v>0.41404401000000002</v>
      </c>
      <c r="T72" t="s">
        <v>1014</v>
      </c>
      <c r="U72">
        <v>-48.515151539999998</v>
      </c>
    </row>
    <row r="73" spans="1:21" x14ac:dyDescent="0.25">
      <c r="A73" t="s">
        <v>76</v>
      </c>
      <c r="B73" t="s">
        <v>852</v>
      </c>
      <c r="C73">
        <v>10</v>
      </c>
      <c r="D73" t="s">
        <v>31</v>
      </c>
      <c r="E73" t="s">
        <v>94</v>
      </c>
      <c r="F73" t="s">
        <v>113</v>
      </c>
      <c r="G73" t="s">
        <v>113</v>
      </c>
      <c r="H73" t="s">
        <v>235</v>
      </c>
      <c r="J73">
        <v>0</v>
      </c>
      <c r="K73">
        <v>5</v>
      </c>
      <c r="L73">
        <v>83.757575759999995</v>
      </c>
      <c r="M73">
        <v>22.60997987</v>
      </c>
      <c r="N73">
        <v>0.72884000000000004</v>
      </c>
      <c r="O73">
        <v>0.21301339999999999</v>
      </c>
      <c r="P73">
        <v>132.27272730000001</v>
      </c>
      <c r="Q73">
        <v>20.180448590000001</v>
      </c>
      <c r="R73">
        <v>3.7813451999999997E-2</v>
      </c>
      <c r="S73">
        <v>0.41404401000000002</v>
      </c>
      <c r="T73" t="s">
        <v>1014</v>
      </c>
      <c r="U73">
        <v>-48.515151539999998</v>
      </c>
    </row>
    <row r="74" spans="1:21" x14ac:dyDescent="0.25">
      <c r="A74" t="s">
        <v>76</v>
      </c>
      <c r="B74" t="s">
        <v>852</v>
      </c>
      <c r="C74">
        <v>10</v>
      </c>
      <c r="D74" t="s">
        <v>31</v>
      </c>
      <c r="E74" t="s">
        <v>94</v>
      </c>
      <c r="F74" t="s">
        <v>113</v>
      </c>
      <c r="G74" t="s">
        <v>113</v>
      </c>
      <c r="H74" t="s">
        <v>235</v>
      </c>
      <c r="J74">
        <v>0</v>
      </c>
      <c r="K74">
        <v>5</v>
      </c>
      <c r="L74">
        <v>83.757575759999995</v>
      </c>
      <c r="M74">
        <v>22.60997987</v>
      </c>
      <c r="N74">
        <v>0.72884000000000004</v>
      </c>
      <c r="O74">
        <v>0.21301339999999999</v>
      </c>
      <c r="P74">
        <v>132.27272730000001</v>
      </c>
      <c r="Q74">
        <v>20.180448590000001</v>
      </c>
      <c r="R74">
        <v>3.7813451999999997E-2</v>
      </c>
      <c r="S74">
        <v>0.41404401000000002</v>
      </c>
      <c r="T74" t="s">
        <v>1014</v>
      </c>
      <c r="U74">
        <v>-48.515151539999998</v>
      </c>
    </row>
    <row r="75" spans="1:21" x14ac:dyDescent="0.25">
      <c r="A75" t="s">
        <v>77</v>
      </c>
      <c r="B75" t="s">
        <v>853</v>
      </c>
      <c r="C75">
        <v>10</v>
      </c>
      <c r="D75" t="s">
        <v>33</v>
      </c>
      <c r="E75" t="s">
        <v>94</v>
      </c>
      <c r="F75" t="s">
        <v>102</v>
      </c>
      <c r="G75" t="s">
        <v>110</v>
      </c>
      <c r="H75" t="s">
        <v>110</v>
      </c>
      <c r="J75">
        <v>0</v>
      </c>
      <c r="K75">
        <v>1</v>
      </c>
      <c r="L75">
        <v>84.740740740000007</v>
      </c>
      <c r="M75">
        <v>29.167014049999999</v>
      </c>
      <c r="N75">
        <v>1.1169849999999999</v>
      </c>
      <c r="O75">
        <v>1.1571499000000001</v>
      </c>
      <c r="P75">
        <v>73.260869569999997</v>
      </c>
      <c r="Q75">
        <v>34.453830549999999</v>
      </c>
      <c r="R75">
        <v>1.058333333</v>
      </c>
      <c r="S75">
        <v>0.90897070000000002</v>
      </c>
      <c r="T75" t="s">
        <v>1014</v>
      </c>
      <c r="U75">
        <v>11.479871169999999</v>
      </c>
    </row>
    <row r="76" spans="1:21" x14ac:dyDescent="0.25">
      <c r="A76" t="s">
        <v>77</v>
      </c>
      <c r="B76" t="s">
        <v>853</v>
      </c>
      <c r="C76">
        <v>10</v>
      </c>
      <c r="D76" t="s">
        <v>33</v>
      </c>
      <c r="E76" t="s">
        <v>94</v>
      </c>
      <c r="F76" t="s">
        <v>102</v>
      </c>
      <c r="G76" t="s">
        <v>110</v>
      </c>
      <c r="H76" t="s">
        <v>162</v>
      </c>
      <c r="J76">
        <v>0</v>
      </c>
      <c r="K76">
        <v>1</v>
      </c>
      <c r="L76">
        <v>84.740740740000007</v>
      </c>
      <c r="M76">
        <v>29.167014049999999</v>
      </c>
      <c r="N76">
        <v>1.1169849999999999</v>
      </c>
      <c r="O76">
        <v>1.1571499000000001</v>
      </c>
      <c r="P76">
        <v>82.53846154</v>
      </c>
      <c r="Q76">
        <v>35.660530039999998</v>
      </c>
      <c r="R76">
        <v>3.3754499999999998</v>
      </c>
      <c r="S76" t="s">
        <v>114</v>
      </c>
      <c r="T76" t="s">
        <v>1014</v>
      </c>
      <c r="U76">
        <v>2.2022792</v>
      </c>
    </row>
    <row r="77" spans="1:21" x14ac:dyDescent="0.25">
      <c r="A77" t="s">
        <v>77</v>
      </c>
      <c r="B77" t="s">
        <v>854</v>
      </c>
      <c r="C77">
        <v>10</v>
      </c>
      <c r="D77" t="s">
        <v>33</v>
      </c>
      <c r="E77" t="s">
        <v>94</v>
      </c>
      <c r="F77" t="s">
        <v>110</v>
      </c>
      <c r="G77" t="s">
        <v>110</v>
      </c>
      <c r="H77" t="s">
        <v>110</v>
      </c>
      <c r="J77">
        <v>0</v>
      </c>
      <c r="K77">
        <v>3</v>
      </c>
      <c r="L77">
        <v>73.260869569999997</v>
      </c>
      <c r="M77">
        <v>34.453830549999999</v>
      </c>
      <c r="N77">
        <v>1.058333333</v>
      </c>
      <c r="O77">
        <v>0.90897070000000002</v>
      </c>
      <c r="P77">
        <v>73.260869569999997</v>
      </c>
      <c r="Q77">
        <v>34.453830549999999</v>
      </c>
      <c r="R77">
        <v>1.058333333</v>
      </c>
      <c r="S77">
        <v>0.90897070000000002</v>
      </c>
      <c r="T77" t="s">
        <v>1014</v>
      </c>
      <c r="U77">
        <v>0</v>
      </c>
    </row>
    <row r="78" spans="1:21" x14ac:dyDescent="0.25">
      <c r="A78" t="s">
        <v>77</v>
      </c>
      <c r="B78" t="s">
        <v>854</v>
      </c>
      <c r="C78">
        <v>10</v>
      </c>
      <c r="D78" t="s">
        <v>33</v>
      </c>
      <c r="E78" t="s">
        <v>94</v>
      </c>
      <c r="F78" t="s">
        <v>110</v>
      </c>
      <c r="G78" t="s">
        <v>110</v>
      </c>
      <c r="H78" t="s">
        <v>110</v>
      </c>
      <c r="J78">
        <v>0</v>
      </c>
      <c r="K78">
        <v>3</v>
      </c>
      <c r="L78">
        <v>73.260869569999997</v>
      </c>
      <c r="M78">
        <v>34.453830549999999</v>
      </c>
      <c r="N78">
        <v>1.058333333</v>
      </c>
      <c r="O78">
        <v>0.90897070000000002</v>
      </c>
      <c r="P78">
        <v>73.260869569999997</v>
      </c>
      <c r="Q78">
        <v>34.453830549999999</v>
      </c>
      <c r="R78">
        <v>1.058333333</v>
      </c>
      <c r="S78">
        <v>0.90897070000000002</v>
      </c>
      <c r="T78" t="s">
        <v>1014</v>
      </c>
      <c r="U78">
        <v>0</v>
      </c>
    </row>
    <row r="79" spans="1:21" x14ac:dyDescent="0.25">
      <c r="A79" t="s">
        <v>77</v>
      </c>
      <c r="B79" t="s">
        <v>854</v>
      </c>
      <c r="C79">
        <v>10</v>
      </c>
      <c r="D79" t="s">
        <v>33</v>
      </c>
      <c r="E79" t="s">
        <v>94</v>
      </c>
      <c r="F79" t="s">
        <v>110</v>
      </c>
      <c r="G79" t="s">
        <v>110</v>
      </c>
      <c r="H79" t="s">
        <v>110</v>
      </c>
      <c r="J79">
        <v>0</v>
      </c>
      <c r="K79">
        <v>3</v>
      </c>
      <c r="L79">
        <v>73.260869569999997</v>
      </c>
      <c r="M79">
        <v>34.453830549999999</v>
      </c>
      <c r="N79">
        <v>1.058333333</v>
      </c>
      <c r="O79">
        <v>0.90897070000000002</v>
      </c>
      <c r="P79">
        <v>73.260869569999997</v>
      </c>
      <c r="Q79">
        <v>34.453830549999999</v>
      </c>
      <c r="R79">
        <v>1.058333333</v>
      </c>
      <c r="S79">
        <v>0.90897070000000002</v>
      </c>
      <c r="T79" t="s">
        <v>1014</v>
      </c>
      <c r="U79">
        <v>0</v>
      </c>
    </row>
    <row r="80" spans="1:21" x14ac:dyDescent="0.25">
      <c r="A80" t="s">
        <v>78</v>
      </c>
      <c r="B80" t="s">
        <v>855</v>
      </c>
      <c r="C80">
        <v>10</v>
      </c>
      <c r="D80" t="s">
        <v>35</v>
      </c>
      <c r="E80" t="s">
        <v>94</v>
      </c>
      <c r="F80" t="s">
        <v>111</v>
      </c>
      <c r="G80" t="s">
        <v>121</v>
      </c>
      <c r="H80" t="s">
        <v>114</v>
      </c>
      <c r="J80">
        <v>0</v>
      </c>
      <c r="K80">
        <v>0</v>
      </c>
      <c r="L80">
        <v>94.97142857</v>
      </c>
      <c r="M80">
        <v>24.31591813</v>
      </c>
      <c r="N80">
        <v>0.122951111</v>
      </c>
      <c r="O80">
        <v>0.39050790000000002</v>
      </c>
      <c r="P80" t="s">
        <v>114</v>
      </c>
      <c r="Q80" t="s">
        <v>114</v>
      </c>
      <c r="R80" t="s">
        <v>114</v>
      </c>
      <c r="S80" t="s">
        <v>114</v>
      </c>
      <c r="T80" t="s">
        <v>1014</v>
      </c>
      <c r="U80" t="s">
        <v>114</v>
      </c>
    </row>
    <row r="81" spans="1:21" x14ac:dyDescent="0.25">
      <c r="A81" t="s">
        <v>50</v>
      </c>
      <c r="B81" t="s">
        <v>856</v>
      </c>
      <c r="C81">
        <v>12</v>
      </c>
      <c r="D81" t="s">
        <v>11</v>
      </c>
      <c r="E81" t="s">
        <v>95</v>
      </c>
      <c r="F81" t="s">
        <v>113</v>
      </c>
      <c r="G81" t="s">
        <v>113</v>
      </c>
      <c r="H81" t="s">
        <v>113</v>
      </c>
      <c r="J81">
        <v>0</v>
      </c>
      <c r="K81">
        <v>6</v>
      </c>
      <c r="L81">
        <v>83.757575759999995</v>
      </c>
      <c r="M81">
        <v>22.60997987</v>
      </c>
      <c r="N81">
        <v>0.72884000000000004</v>
      </c>
      <c r="O81">
        <v>0.21301339999999999</v>
      </c>
      <c r="P81">
        <v>83.757575759999995</v>
      </c>
      <c r="Q81">
        <v>22.60997987</v>
      </c>
      <c r="R81">
        <v>0.72884000000000004</v>
      </c>
      <c r="S81">
        <v>0.21301339999999999</v>
      </c>
      <c r="T81" t="s">
        <v>1014</v>
      </c>
      <c r="U81">
        <v>0</v>
      </c>
    </row>
    <row r="82" spans="1:21" x14ac:dyDescent="0.25">
      <c r="A82" t="s">
        <v>50</v>
      </c>
      <c r="B82" t="s">
        <v>856</v>
      </c>
      <c r="C82">
        <v>12</v>
      </c>
      <c r="D82" t="s">
        <v>11</v>
      </c>
      <c r="E82" t="s">
        <v>95</v>
      </c>
      <c r="F82" t="s">
        <v>113</v>
      </c>
      <c r="G82" t="s">
        <v>113</v>
      </c>
      <c r="H82" t="s">
        <v>113</v>
      </c>
      <c r="J82">
        <v>0</v>
      </c>
      <c r="K82">
        <v>6</v>
      </c>
      <c r="L82">
        <v>83.757575759999995</v>
      </c>
      <c r="M82">
        <v>22.60997987</v>
      </c>
      <c r="N82">
        <v>0.72884000000000004</v>
      </c>
      <c r="O82">
        <v>0.21301339999999999</v>
      </c>
      <c r="P82">
        <v>83.757575759999995</v>
      </c>
      <c r="Q82">
        <v>22.60997987</v>
      </c>
      <c r="R82">
        <v>0.72884000000000004</v>
      </c>
      <c r="S82">
        <v>0.21301339999999999</v>
      </c>
      <c r="T82" t="s">
        <v>1014</v>
      </c>
      <c r="U82">
        <v>0</v>
      </c>
    </row>
    <row r="83" spans="1:21" x14ac:dyDescent="0.25">
      <c r="A83" t="s">
        <v>50</v>
      </c>
      <c r="B83" t="s">
        <v>856</v>
      </c>
      <c r="C83">
        <v>12</v>
      </c>
      <c r="D83" t="s">
        <v>11</v>
      </c>
      <c r="E83" t="s">
        <v>95</v>
      </c>
      <c r="F83" t="s">
        <v>113</v>
      </c>
      <c r="G83" t="s">
        <v>113</v>
      </c>
      <c r="H83" t="s">
        <v>113</v>
      </c>
      <c r="J83">
        <v>0</v>
      </c>
      <c r="K83">
        <v>6</v>
      </c>
      <c r="L83">
        <v>83.757575759999995</v>
      </c>
      <c r="M83">
        <v>22.60997987</v>
      </c>
      <c r="N83">
        <v>0.72884000000000004</v>
      </c>
      <c r="O83">
        <v>0.21301339999999999</v>
      </c>
      <c r="P83">
        <v>83.757575759999995</v>
      </c>
      <c r="Q83">
        <v>22.60997987</v>
      </c>
      <c r="R83">
        <v>0.72884000000000004</v>
      </c>
      <c r="S83">
        <v>0.21301339999999999</v>
      </c>
      <c r="T83" t="s">
        <v>1014</v>
      </c>
      <c r="U83">
        <v>0</v>
      </c>
    </row>
    <row r="84" spans="1:21" x14ac:dyDescent="0.25">
      <c r="A84" t="s">
        <v>50</v>
      </c>
      <c r="B84" t="s">
        <v>856</v>
      </c>
      <c r="C84">
        <v>12</v>
      </c>
      <c r="D84" t="s">
        <v>11</v>
      </c>
      <c r="E84" t="s">
        <v>95</v>
      </c>
      <c r="F84" t="s">
        <v>113</v>
      </c>
      <c r="G84" t="s">
        <v>113</v>
      </c>
      <c r="H84" t="s">
        <v>113</v>
      </c>
      <c r="J84">
        <v>0</v>
      </c>
      <c r="K84">
        <v>6</v>
      </c>
      <c r="L84">
        <v>83.757575759999995</v>
      </c>
      <c r="M84">
        <v>22.60997987</v>
      </c>
      <c r="N84">
        <v>0.72884000000000004</v>
      </c>
      <c r="O84">
        <v>0.21301339999999999</v>
      </c>
      <c r="P84">
        <v>83.757575759999995</v>
      </c>
      <c r="Q84">
        <v>22.60997987</v>
      </c>
      <c r="R84">
        <v>0.72884000000000004</v>
      </c>
      <c r="S84">
        <v>0.21301339999999999</v>
      </c>
      <c r="T84" t="s">
        <v>1014</v>
      </c>
      <c r="U84">
        <v>0</v>
      </c>
    </row>
    <row r="85" spans="1:21" x14ac:dyDescent="0.25">
      <c r="A85" t="s">
        <v>50</v>
      </c>
      <c r="B85" t="s">
        <v>856</v>
      </c>
      <c r="C85">
        <v>12</v>
      </c>
      <c r="D85" t="s">
        <v>11</v>
      </c>
      <c r="E85" t="s">
        <v>95</v>
      </c>
      <c r="F85" t="s">
        <v>113</v>
      </c>
      <c r="G85" t="s">
        <v>113</v>
      </c>
      <c r="H85" t="s">
        <v>113</v>
      </c>
      <c r="J85">
        <v>0</v>
      </c>
      <c r="K85">
        <v>6</v>
      </c>
      <c r="L85">
        <v>83.757575759999995</v>
      </c>
      <c r="M85">
        <v>22.60997987</v>
      </c>
      <c r="N85">
        <v>0.72884000000000004</v>
      </c>
      <c r="O85">
        <v>0.21301339999999999</v>
      </c>
      <c r="P85">
        <v>83.757575759999995</v>
      </c>
      <c r="Q85">
        <v>22.60997987</v>
      </c>
      <c r="R85">
        <v>0.72884000000000004</v>
      </c>
      <c r="S85">
        <v>0.21301339999999999</v>
      </c>
      <c r="T85" t="s">
        <v>1014</v>
      </c>
      <c r="U85">
        <v>0</v>
      </c>
    </row>
    <row r="86" spans="1:21" x14ac:dyDescent="0.25">
      <c r="A86" t="s">
        <v>50</v>
      </c>
      <c r="B86" t="s">
        <v>856</v>
      </c>
      <c r="C86">
        <v>12</v>
      </c>
      <c r="D86" t="s">
        <v>11</v>
      </c>
      <c r="E86" t="s">
        <v>95</v>
      </c>
      <c r="F86" t="s">
        <v>113</v>
      </c>
      <c r="G86" t="s">
        <v>113</v>
      </c>
      <c r="H86" t="s">
        <v>113</v>
      </c>
      <c r="J86">
        <v>0</v>
      </c>
      <c r="K86">
        <v>6</v>
      </c>
      <c r="L86">
        <v>83.757575759999995</v>
      </c>
      <c r="M86">
        <v>22.60997987</v>
      </c>
      <c r="N86">
        <v>0.72884000000000004</v>
      </c>
      <c r="O86">
        <v>0.21301339999999999</v>
      </c>
      <c r="P86">
        <v>83.757575759999995</v>
      </c>
      <c r="Q86">
        <v>22.60997987</v>
      </c>
      <c r="R86">
        <v>0.72884000000000004</v>
      </c>
      <c r="S86">
        <v>0.21301339999999999</v>
      </c>
      <c r="T86" t="s">
        <v>1014</v>
      </c>
      <c r="U86">
        <v>0</v>
      </c>
    </row>
    <row r="87" spans="1:21" x14ac:dyDescent="0.25">
      <c r="A87" t="s">
        <v>50</v>
      </c>
      <c r="B87" t="s">
        <v>856</v>
      </c>
      <c r="C87">
        <v>12</v>
      </c>
      <c r="D87" t="s">
        <v>11</v>
      </c>
      <c r="E87" t="s">
        <v>95</v>
      </c>
      <c r="F87" t="s">
        <v>113</v>
      </c>
      <c r="G87" t="s">
        <v>113</v>
      </c>
      <c r="H87" t="s">
        <v>238</v>
      </c>
      <c r="J87">
        <v>0</v>
      </c>
      <c r="K87">
        <v>1</v>
      </c>
      <c r="L87">
        <v>83.757575759999995</v>
      </c>
      <c r="M87">
        <v>22.60997987</v>
      </c>
      <c r="N87">
        <v>0.72884000000000004</v>
      </c>
      <c r="O87">
        <v>0.21301339999999999</v>
      </c>
      <c r="P87">
        <v>87.5</v>
      </c>
      <c r="Q87">
        <v>29.478311600000001</v>
      </c>
      <c r="R87">
        <v>3.0797751000000002E-2</v>
      </c>
      <c r="S87">
        <v>0.12931835</v>
      </c>
      <c r="T87" t="s">
        <v>1014</v>
      </c>
      <c r="U87">
        <v>-3.7424242400000001</v>
      </c>
    </row>
    <row r="88" spans="1:21" x14ac:dyDescent="0.25">
      <c r="A88" t="s">
        <v>50</v>
      </c>
      <c r="B88" t="s">
        <v>857</v>
      </c>
      <c r="C88">
        <v>12</v>
      </c>
      <c r="D88" t="s">
        <v>11</v>
      </c>
      <c r="E88" t="s">
        <v>95</v>
      </c>
      <c r="F88" t="s">
        <v>103</v>
      </c>
      <c r="G88" t="s">
        <v>113</v>
      </c>
      <c r="H88" t="s">
        <v>113</v>
      </c>
      <c r="J88">
        <v>0</v>
      </c>
      <c r="K88">
        <v>4</v>
      </c>
      <c r="L88">
        <v>98.291666669999998</v>
      </c>
      <c r="M88">
        <v>30.315130790000001</v>
      </c>
      <c r="N88">
        <v>5.0803484000000003E-2</v>
      </c>
      <c r="O88">
        <v>0.42866070000000001</v>
      </c>
      <c r="P88">
        <v>83.757575759999995</v>
      </c>
      <c r="Q88">
        <v>22.60997987</v>
      </c>
      <c r="R88">
        <v>0.72884000000000004</v>
      </c>
      <c r="S88">
        <v>0.21301339999999999</v>
      </c>
      <c r="T88" t="s">
        <v>1014</v>
      </c>
      <c r="U88">
        <v>14.53409091</v>
      </c>
    </row>
    <row r="89" spans="1:21" x14ac:dyDescent="0.25">
      <c r="A89" t="s">
        <v>50</v>
      </c>
      <c r="B89" t="s">
        <v>857</v>
      </c>
      <c r="C89">
        <v>12</v>
      </c>
      <c r="D89" t="s">
        <v>11</v>
      </c>
      <c r="E89" t="s">
        <v>95</v>
      </c>
      <c r="F89" t="s">
        <v>103</v>
      </c>
      <c r="G89" t="s">
        <v>113</v>
      </c>
      <c r="H89" t="s">
        <v>113</v>
      </c>
      <c r="J89">
        <v>0</v>
      </c>
      <c r="K89">
        <v>4</v>
      </c>
      <c r="L89">
        <v>98.291666669999998</v>
      </c>
      <c r="M89">
        <v>30.315130790000001</v>
      </c>
      <c r="N89">
        <v>5.0803484000000003E-2</v>
      </c>
      <c r="O89">
        <v>0.42866070000000001</v>
      </c>
      <c r="P89">
        <v>83.757575759999995</v>
      </c>
      <c r="Q89">
        <v>22.60997987</v>
      </c>
      <c r="R89">
        <v>0.72884000000000004</v>
      </c>
      <c r="S89">
        <v>0.21301339999999999</v>
      </c>
      <c r="T89" t="s">
        <v>1014</v>
      </c>
      <c r="U89">
        <v>14.53409091</v>
      </c>
    </row>
    <row r="90" spans="1:21" x14ac:dyDescent="0.25">
      <c r="A90" t="s">
        <v>50</v>
      </c>
      <c r="B90" t="s">
        <v>857</v>
      </c>
      <c r="C90">
        <v>12</v>
      </c>
      <c r="D90" t="s">
        <v>11</v>
      </c>
      <c r="E90" t="s">
        <v>95</v>
      </c>
      <c r="F90" t="s">
        <v>103</v>
      </c>
      <c r="G90" t="s">
        <v>113</v>
      </c>
      <c r="H90" t="s">
        <v>113</v>
      </c>
      <c r="J90">
        <v>0</v>
      </c>
      <c r="K90">
        <v>4</v>
      </c>
      <c r="L90">
        <v>98.291666669999998</v>
      </c>
      <c r="M90">
        <v>30.315130790000001</v>
      </c>
      <c r="N90">
        <v>5.0803484000000003E-2</v>
      </c>
      <c r="O90">
        <v>0.42866070000000001</v>
      </c>
      <c r="P90">
        <v>83.757575759999995</v>
      </c>
      <c r="Q90">
        <v>22.60997987</v>
      </c>
      <c r="R90">
        <v>0.72884000000000004</v>
      </c>
      <c r="S90">
        <v>0.21301339999999999</v>
      </c>
      <c r="T90" t="s">
        <v>1014</v>
      </c>
      <c r="U90">
        <v>14.53409091</v>
      </c>
    </row>
    <row r="91" spans="1:21" x14ac:dyDescent="0.25">
      <c r="A91" t="s">
        <v>50</v>
      </c>
      <c r="B91" t="s">
        <v>857</v>
      </c>
      <c r="C91">
        <v>12</v>
      </c>
      <c r="D91" t="s">
        <v>11</v>
      </c>
      <c r="E91" t="s">
        <v>95</v>
      </c>
      <c r="F91" t="s">
        <v>103</v>
      </c>
      <c r="G91" t="s">
        <v>113</v>
      </c>
      <c r="H91" t="s">
        <v>113</v>
      </c>
      <c r="J91">
        <v>0</v>
      </c>
      <c r="K91">
        <v>4</v>
      </c>
      <c r="L91">
        <v>98.291666669999998</v>
      </c>
      <c r="M91">
        <v>30.315130790000001</v>
      </c>
      <c r="N91">
        <v>5.0803484000000003E-2</v>
      </c>
      <c r="O91">
        <v>0.42866070000000001</v>
      </c>
      <c r="P91">
        <v>83.757575759999995</v>
      </c>
      <c r="Q91">
        <v>22.60997987</v>
      </c>
      <c r="R91">
        <v>0.72884000000000004</v>
      </c>
      <c r="S91">
        <v>0.21301339999999999</v>
      </c>
      <c r="T91" t="s">
        <v>1014</v>
      </c>
      <c r="U91">
        <v>14.53409091</v>
      </c>
    </row>
    <row r="92" spans="1:21" x14ac:dyDescent="0.25">
      <c r="A92" t="s">
        <v>50</v>
      </c>
      <c r="B92" t="s">
        <v>857</v>
      </c>
      <c r="C92">
        <v>12</v>
      </c>
      <c r="D92" t="s">
        <v>11</v>
      </c>
      <c r="E92" t="s">
        <v>95</v>
      </c>
      <c r="F92" t="s">
        <v>103</v>
      </c>
      <c r="G92" t="s">
        <v>113</v>
      </c>
      <c r="H92" t="s">
        <v>242</v>
      </c>
      <c r="J92">
        <v>0</v>
      </c>
      <c r="K92">
        <v>3</v>
      </c>
      <c r="L92">
        <v>98.291666669999998</v>
      </c>
      <c r="M92">
        <v>30.315130790000001</v>
      </c>
      <c r="N92">
        <v>5.0803484000000003E-2</v>
      </c>
      <c r="O92">
        <v>0.42866070000000001</v>
      </c>
      <c r="P92">
        <v>139.375</v>
      </c>
      <c r="Q92">
        <v>23.713465920000001</v>
      </c>
      <c r="R92" t="s">
        <v>114</v>
      </c>
      <c r="S92" t="s">
        <v>114</v>
      </c>
      <c r="T92" t="s">
        <v>1014</v>
      </c>
      <c r="U92">
        <v>-41.083333330000002</v>
      </c>
    </row>
    <row r="93" spans="1:21" x14ac:dyDescent="0.25">
      <c r="A93" t="s">
        <v>50</v>
      </c>
      <c r="B93" t="s">
        <v>857</v>
      </c>
      <c r="C93">
        <v>12</v>
      </c>
      <c r="D93" t="s">
        <v>11</v>
      </c>
      <c r="E93" t="s">
        <v>95</v>
      </c>
      <c r="F93" t="s">
        <v>103</v>
      </c>
      <c r="G93" t="s">
        <v>113</v>
      </c>
      <c r="H93" t="s">
        <v>242</v>
      </c>
      <c r="J93">
        <v>0</v>
      </c>
      <c r="K93">
        <v>3</v>
      </c>
      <c r="L93">
        <v>98.291666669999998</v>
      </c>
      <c r="M93">
        <v>30.315130790000001</v>
      </c>
      <c r="N93">
        <v>5.0803484000000003E-2</v>
      </c>
      <c r="O93">
        <v>0.42866070000000001</v>
      </c>
      <c r="P93">
        <v>139.375</v>
      </c>
      <c r="Q93">
        <v>23.713465920000001</v>
      </c>
      <c r="R93" t="s">
        <v>114</v>
      </c>
      <c r="S93" t="s">
        <v>114</v>
      </c>
      <c r="T93" t="s">
        <v>1014</v>
      </c>
      <c r="U93">
        <v>-41.083333330000002</v>
      </c>
    </row>
    <row r="94" spans="1:21" x14ac:dyDescent="0.25">
      <c r="A94" t="s">
        <v>50</v>
      </c>
      <c r="B94" t="s">
        <v>857</v>
      </c>
      <c r="C94">
        <v>12</v>
      </c>
      <c r="D94" t="s">
        <v>11</v>
      </c>
      <c r="E94" t="s">
        <v>95</v>
      </c>
      <c r="F94" t="s">
        <v>103</v>
      </c>
      <c r="G94" t="s">
        <v>113</v>
      </c>
      <c r="H94" t="s">
        <v>242</v>
      </c>
      <c r="J94">
        <v>0</v>
      </c>
      <c r="K94">
        <v>3</v>
      </c>
      <c r="L94">
        <v>98.291666669999998</v>
      </c>
      <c r="M94">
        <v>30.315130790000001</v>
      </c>
      <c r="N94">
        <v>5.0803484000000003E-2</v>
      </c>
      <c r="O94">
        <v>0.42866070000000001</v>
      </c>
      <c r="P94">
        <v>139.375</v>
      </c>
      <c r="Q94">
        <v>23.713465920000001</v>
      </c>
      <c r="R94" t="s">
        <v>114</v>
      </c>
      <c r="S94" t="s">
        <v>114</v>
      </c>
      <c r="T94" t="s">
        <v>1014</v>
      </c>
      <c r="U94">
        <v>-41.083333330000002</v>
      </c>
    </row>
    <row r="95" spans="1:21" x14ac:dyDescent="0.25">
      <c r="A95" t="s">
        <v>50</v>
      </c>
      <c r="B95" t="s">
        <v>858</v>
      </c>
      <c r="C95">
        <v>12</v>
      </c>
      <c r="D95" t="s">
        <v>11</v>
      </c>
      <c r="E95" t="s">
        <v>95</v>
      </c>
      <c r="F95" t="s">
        <v>111</v>
      </c>
      <c r="G95" t="s">
        <v>113</v>
      </c>
      <c r="H95" t="s">
        <v>113</v>
      </c>
      <c r="J95">
        <v>0</v>
      </c>
      <c r="K95">
        <v>3</v>
      </c>
      <c r="L95">
        <v>94.97142857</v>
      </c>
      <c r="M95">
        <v>24.31591813</v>
      </c>
      <c r="N95">
        <v>0.122951111</v>
      </c>
      <c r="O95">
        <v>0.39050790000000002</v>
      </c>
      <c r="P95">
        <v>83.757575759999995</v>
      </c>
      <c r="Q95">
        <v>22.60997987</v>
      </c>
      <c r="R95">
        <v>0.72884000000000004</v>
      </c>
      <c r="S95">
        <v>0.21301339999999999</v>
      </c>
      <c r="T95" t="s">
        <v>1014</v>
      </c>
      <c r="U95">
        <v>11.213852810000001</v>
      </c>
    </row>
    <row r="96" spans="1:21" x14ac:dyDescent="0.25">
      <c r="A96" t="s">
        <v>50</v>
      </c>
      <c r="B96" t="s">
        <v>858</v>
      </c>
      <c r="C96">
        <v>12</v>
      </c>
      <c r="D96" t="s">
        <v>11</v>
      </c>
      <c r="E96" t="s">
        <v>95</v>
      </c>
      <c r="F96" t="s">
        <v>111</v>
      </c>
      <c r="G96" t="s">
        <v>113</v>
      </c>
      <c r="H96" t="s">
        <v>113</v>
      </c>
      <c r="J96">
        <v>0</v>
      </c>
      <c r="K96">
        <v>3</v>
      </c>
      <c r="L96">
        <v>94.97142857</v>
      </c>
      <c r="M96">
        <v>24.31591813</v>
      </c>
      <c r="N96">
        <v>0.122951111</v>
      </c>
      <c r="O96">
        <v>0.39050790000000002</v>
      </c>
      <c r="P96">
        <v>83.757575759999995</v>
      </c>
      <c r="Q96">
        <v>22.60997987</v>
      </c>
      <c r="R96">
        <v>0.72884000000000004</v>
      </c>
      <c r="S96">
        <v>0.21301339999999999</v>
      </c>
      <c r="T96" t="s">
        <v>1014</v>
      </c>
      <c r="U96">
        <v>11.213852810000001</v>
      </c>
    </row>
    <row r="97" spans="1:21" x14ac:dyDescent="0.25">
      <c r="A97" t="s">
        <v>50</v>
      </c>
      <c r="B97" t="s">
        <v>858</v>
      </c>
      <c r="C97">
        <v>12</v>
      </c>
      <c r="D97" t="s">
        <v>11</v>
      </c>
      <c r="E97" t="s">
        <v>95</v>
      </c>
      <c r="F97" t="s">
        <v>111</v>
      </c>
      <c r="G97" t="s">
        <v>113</v>
      </c>
      <c r="H97" t="s">
        <v>113</v>
      </c>
      <c r="J97">
        <v>0</v>
      </c>
      <c r="K97">
        <v>3</v>
      </c>
      <c r="L97">
        <v>94.97142857</v>
      </c>
      <c r="M97">
        <v>24.31591813</v>
      </c>
      <c r="N97">
        <v>0.122951111</v>
      </c>
      <c r="O97">
        <v>0.39050790000000002</v>
      </c>
      <c r="P97">
        <v>83.757575759999995</v>
      </c>
      <c r="Q97">
        <v>22.60997987</v>
      </c>
      <c r="R97">
        <v>0.72884000000000004</v>
      </c>
      <c r="S97">
        <v>0.21301339999999999</v>
      </c>
      <c r="T97" t="s">
        <v>1014</v>
      </c>
      <c r="U97">
        <v>11.213852810000001</v>
      </c>
    </row>
    <row r="98" spans="1:21" x14ac:dyDescent="0.25">
      <c r="A98" t="s">
        <v>50</v>
      </c>
      <c r="B98" t="s">
        <v>858</v>
      </c>
      <c r="C98">
        <v>12</v>
      </c>
      <c r="D98" t="s">
        <v>11</v>
      </c>
      <c r="E98" t="s">
        <v>95</v>
      </c>
      <c r="F98" t="s">
        <v>111</v>
      </c>
      <c r="G98" t="s">
        <v>113</v>
      </c>
      <c r="H98" t="s">
        <v>242</v>
      </c>
      <c r="J98">
        <v>0</v>
      </c>
      <c r="K98">
        <v>2</v>
      </c>
      <c r="L98">
        <v>94.97142857</v>
      </c>
      <c r="M98">
        <v>24.31591813</v>
      </c>
      <c r="N98">
        <v>0.122951111</v>
      </c>
      <c r="O98">
        <v>0.39050790000000002</v>
      </c>
      <c r="P98">
        <v>139.375</v>
      </c>
      <c r="Q98">
        <v>23.713465920000001</v>
      </c>
      <c r="R98" t="s">
        <v>114</v>
      </c>
      <c r="S98" t="s">
        <v>114</v>
      </c>
      <c r="T98" t="s">
        <v>1014</v>
      </c>
      <c r="U98">
        <v>-44.40357143</v>
      </c>
    </row>
    <row r="99" spans="1:21" x14ac:dyDescent="0.25">
      <c r="A99" t="s">
        <v>50</v>
      </c>
      <c r="B99" t="s">
        <v>858</v>
      </c>
      <c r="C99">
        <v>12</v>
      </c>
      <c r="D99" t="s">
        <v>11</v>
      </c>
      <c r="E99" t="s">
        <v>95</v>
      </c>
      <c r="F99" t="s">
        <v>111</v>
      </c>
      <c r="G99" t="s">
        <v>113</v>
      </c>
      <c r="H99" t="s">
        <v>242</v>
      </c>
      <c r="J99">
        <v>0</v>
      </c>
      <c r="K99">
        <v>2</v>
      </c>
      <c r="L99">
        <v>94.97142857</v>
      </c>
      <c r="M99">
        <v>24.31591813</v>
      </c>
      <c r="N99">
        <v>0.122951111</v>
      </c>
      <c r="O99">
        <v>0.39050790000000002</v>
      </c>
      <c r="P99">
        <v>139.375</v>
      </c>
      <c r="Q99">
        <v>23.713465920000001</v>
      </c>
      <c r="R99" t="s">
        <v>114</v>
      </c>
      <c r="S99" t="s">
        <v>114</v>
      </c>
      <c r="T99" t="s">
        <v>1014</v>
      </c>
      <c r="U99">
        <v>-44.40357143</v>
      </c>
    </row>
    <row r="100" spans="1:21" x14ac:dyDescent="0.25">
      <c r="A100" t="s">
        <v>50</v>
      </c>
      <c r="B100" t="s">
        <v>859</v>
      </c>
      <c r="C100">
        <v>12</v>
      </c>
      <c r="D100" t="s">
        <v>11</v>
      </c>
      <c r="E100" t="s">
        <v>95</v>
      </c>
      <c r="F100" t="s">
        <v>104</v>
      </c>
      <c r="G100" t="s">
        <v>121</v>
      </c>
      <c r="H100" t="s">
        <v>103</v>
      </c>
      <c r="J100">
        <v>0</v>
      </c>
      <c r="K100">
        <v>1</v>
      </c>
      <c r="L100">
        <v>113.9375</v>
      </c>
      <c r="M100">
        <v>33.375507550000002</v>
      </c>
      <c r="N100">
        <v>2.4262999999999999</v>
      </c>
      <c r="O100">
        <v>0.40692159999999999</v>
      </c>
      <c r="P100">
        <v>98.291666669999998</v>
      </c>
      <c r="Q100">
        <v>30.315130790000001</v>
      </c>
      <c r="R100">
        <v>5.0803484000000003E-2</v>
      </c>
      <c r="S100">
        <v>0.42866070000000001</v>
      </c>
      <c r="T100" t="s">
        <v>1014</v>
      </c>
      <c r="U100">
        <v>15.64583333</v>
      </c>
    </row>
    <row r="101" spans="1:21" x14ac:dyDescent="0.25">
      <c r="A101" t="s">
        <v>50</v>
      </c>
      <c r="B101" t="s">
        <v>859</v>
      </c>
      <c r="C101">
        <v>12</v>
      </c>
      <c r="D101" t="s">
        <v>11</v>
      </c>
      <c r="E101" t="s">
        <v>95</v>
      </c>
      <c r="F101" t="s">
        <v>104</v>
      </c>
      <c r="G101" t="s">
        <v>121</v>
      </c>
      <c r="H101" t="s">
        <v>238</v>
      </c>
      <c r="J101">
        <v>0</v>
      </c>
      <c r="K101">
        <v>1</v>
      </c>
      <c r="L101">
        <v>113.9375</v>
      </c>
      <c r="M101">
        <v>33.375507550000002</v>
      </c>
      <c r="N101">
        <v>2.4262999999999999</v>
      </c>
      <c r="O101">
        <v>0.40692159999999999</v>
      </c>
      <c r="P101">
        <v>87.5</v>
      </c>
      <c r="Q101">
        <v>29.478311600000001</v>
      </c>
      <c r="R101">
        <v>3.0797751000000002E-2</v>
      </c>
      <c r="S101">
        <v>0.12931835</v>
      </c>
      <c r="T101" t="s">
        <v>1014</v>
      </c>
      <c r="U101">
        <v>26.4375</v>
      </c>
    </row>
    <row r="102" spans="1:21" x14ac:dyDescent="0.25">
      <c r="A102" t="s">
        <v>51</v>
      </c>
      <c r="B102" t="s">
        <v>860</v>
      </c>
      <c r="C102">
        <v>12</v>
      </c>
      <c r="D102" t="s">
        <v>15</v>
      </c>
      <c r="E102" t="s">
        <v>94</v>
      </c>
      <c r="F102" t="s">
        <v>105</v>
      </c>
      <c r="G102" t="s">
        <v>104</v>
      </c>
      <c r="H102" t="s">
        <v>104</v>
      </c>
      <c r="J102">
        <v>0</v>
      </c>
      <c r="K102">
        <v>2</v>
      </c>
      <c r="L102">
        <v>67.5</v>
      </c>
      <c r="M102">
        <v>47.937235809999997</v>
      </c>
      <c r="N102">
        <v>0.41599678000000001</v>
      </c>
      <c r="O102">
        <v>2.0950346999999998</v>
      </c>
      <c r="P102">
        <v>113.9375</v>
      </c>
      <c r="Q102">
        <v>33.375507550000002</v>
      </c>
      <c r="R102">
        <v>2.4262999999999999</v>
      </c>
      <c r="S102">
        <v>0.40692159999999999</v>
      </c>
      <c r="T102" t="s">
        <v>1014</v>
      </c>
      <c r="U102">
        <v>-46.4375</v>
      </c>
    </row>
    <row r="103" spans="1:21" x14ac:dyDescent="0.25">
      <c r="A103" t="s">
        <v>51</v>
      </c>
      <c r="B103" t="s">
        <v>860</v>
      </c>
      <c r="C103">
        <v>12</v>
      </c>
      <c r="D103" t="s">
        <v>15</v>
      </c>
      <c r="E103" t="s">
        <v>94</v>
      </c>
      <c r="F103" t="s">
        <v>105</v>
      </c>
      <c r="G103" t="s">
        <v>104</v>
      </c>
      <c r="H103" t="s">
        <v>104</v>
      </c>
      <c r="J103">
        <v>0</v>
      </c>
      <c r="K103">
        <v>2</v>
      </c>
      <c r="L103">
        <v>67.5</v>
      </c>
      <c r="M103">
        <v>47.937235809999997</v>
      </c>
      <c r="N103">
        <v>0.41599678000000001</v>
      </c>
      <c r="O103">
        <v>2.0950346999999998</v>
      </c>
      <c r="P103">
        <v>113.9375</v>
      </c>
      <c r="Q103">
        <v>33.375507550000002</v>
      </c>
      <c r="R103">
        <v>2.4262999999999999</v>
      </c>
      <c r="S103">
        <v>0.40692159999999999</v>
      </c>
      <c r="T103" t="s">
        <v>1014</v>
      </c>
      <c r="U103">
        <v>-46.4375</v>
      </c>
    </row>
    <row r="104" spans="1:21" x14ac:dyDescent="0.25">
      <c r="A104" t="s">
        <v>51</v>
      </c>
      <c r="B104" t="s">
        <v>861</v>
      </c>
      <c r="C104">
        <v>12</v>
      </c>
      <c r="D104" t="s">
        <v>15</v>
      </c>
      <c r="E104" t="s">
        <v>94</v>
      </c>
      <c r="F104" t="s">
        <v>111</v>
      </c>
      <c r="G104" t="s">
        <v>121</v>
      </c>
      <c r="H104" t="s">
        <v>241</v>
      </c>
      <c r="J104">
        <v>0</v>
      </c>
      <c r="K104">
        <v>1</v>
      </c>
      <c r="L104">
        <v>94.97142857</v>
      </c>
      <c r="M104">
        <v>24.31591813</v>
      </c>
      <c r="N104">
        <v>0.122951111</v>
      </c>
      <c r="O104">
        <v>0.39050790000000002</v>
      </c>
      <c r="P104">
        <v>114</v>
      </c>
      <c r="Q104">
        <v>30.43077242</v>
      </c>
      <c r="R104">
        <v>0.53383111100000002</v>
      </c>
      <c r="S104">
        <v>0.28333332999999999</v>
      </c>
      <c r="T104" t="s">
        <v>1014</v>
      </c>
      <c r="U104">
        <v>-19.02857143</v>
      </c>
    </row>
    <row r="105" spans="1:21" x14ac:dyDescent="0.25">
      <c r="A105" t="s">
        <v>51</v>
      </c>
      <c r="B105" t="s">
        <v>862</v>
      </c>
      <c r="C105">
        <v>12</v>
      </c>
      <c r="D105" t="s">
        <v>15</v>
      </c>
      <c r="E105" t="s">
        <v>94</v>
      </c>
      <c r="F105" t="s">
        <v>112</v>
      </c>
      <c r="G105" t="s">
        <v>112</v>
      </c>
      <c r="H105" t="s">
        <v>112</v>
      </c>
      <c r="J105">
        <v>0</v>
      </c>
      <c r="K105">
        <v>2</v>
      </c>
      <c r="L105">
        <v>65.09375</v>
      </c>
      <c r="M105">
        <v>37.895352600000002</v>
      </c>
      <c r="N105">
        <v>2.2882677779999998</v>
      </c>
      <c r="O105">
        <v>2.2111774</v>
      </c>
      <c r="P105">
        <v>65.09375</v>
      </c>
      <c r="Q105">
        <v>37.895352600000002</v>
      </c>
      <c r="R105">
        <v>2.2882677779999998</v>
      </c>
      <c r="S105">
        <v>2.2111774</v>
      </c>
      <c r="T105" t="s">
        <v>1014</v>
      </c>
      <c r="U105">
        <v>0</v>
      </c>
    </row>
    <row r="106" spans="1:21" x14ac:dyDescent="0.25">
      <c r="A106" t="s">
        <v>51</v>
      </c>
      <c r="B106" t="s">
        <v>862</v>
      </c>
      <c r="C106">
        <v>12</v>
      </c>
      <c r="D106" t="s">
        <v>15</v>
      </c>
      <c r="E106" t="s">
        <v>94</v>
      </c>
      <c r="F106" t="s">
        <v>112</v>
      </c>
      <c r="G106" t="s">
        <v>112</v>
      </c>
      <c r="H106" t="s">
        <v>112</v>
      </c>
      <c r="J106">
        <v>0</v>
      </c>
      <c r="K106">
        <v>2</v>
      </c>
      <c r="L106">
        <v>65.09375</v>
      </c>
      <c r="M106">
        <v>37.895352600000002</v>
      </c>
      <c r="N106">
        <v>2.2882677779999998</v>
      </c>
      <c r="O106">
        <v>2.2111774</v>
      </c>
      <c r="P106">
        <v>65.09375</v>
      </c>
      <c r="Q106">
        <v>37.895352600000002</v>
      </c>
      <c r="R106">
        <v>2.2882677779999998</v>
      </c>
      <c r="S106">
        <v>2.2111774</v>
      </c>
      <c r="T106" t="s">
        <v>1014</v>
      </c>
      <c r="U106">
        <v>0</v>
      </c>
    </row>
    <row r="107" spans="1:21" x14ac:dyDescent="0.25">
      <c r="A107" t="s">
        <v>52</v>
      </c>
      <c r="B107" t="s">
        <v>863</v>
      </c>
      <c r="C107">
        <v>12</v>
      </c>
      <c r="D107" t="s">
        <v>17</v>
      </c>
      <c r="E107" t="s">
        <v>95</v>
      </c>
      <c r="F107" t="s">
        <v>102</v>
      </c>
      <c r="G107" t="s">
        <v>121</v>
      </c>
      <c r="H107" t="s">
        <v>238</v>
      </c>
      <c r="J107">
        <v>0</v>
      </c>
      <c r="K107">
        <v>1</v>
      </c>
      <c r="L107">
        <v>84.740740740000007</v>
      </c>
      <c r="M107">
        <v>29.167014049999999</v>
      </c>
      <c r="N107">
        <v>1.1169849999999999</v>
      </c>
      <c r="O107">
        <v>1.1571499000000001</v>
      </c>
      <c r="P107">
        <v>87.5</v>
      </c>
      <c r="Q107">
        <v>29.478311600000001</v>
      </c>
      <c r="R107">
        <v>3.0797751000000002E-2</v>
      </c>
      <c r="S107">
        <v>0.12931835</v>
      </c>
      <c r="T107" t="s">
        <v>1014</v>
      </c>
      <c r="U107">
        <v>-2.7592592599999999</v>
      </c>
    </row>
    <row r="108" spans="1:21" x14ac:dyDescent="0.25">
      <c r="A108" t="s">
        <v>52</v>
      </c>
      <c r="B108" t="s">
        <v>863</v>
      </c>
      <c r="C108">
        <v>12</v>
      </c>
      <c r="D108" t="s">
        <v>17</v>
      </c>
      <c r="E108" t="s">
        <v>95</v>
      </c>
      <c r="F108" t="s">
        <v>102</v>
      </c>
      <c r="G108" t="s">
        <v>121</v>
      </c>
      <c r="H108" t="s">
        <v>113</v>
      </c>
      <c r="J108">
        <v>0</v>
      </c>
      <c r="K108">
        <v>1</v>
      </c>
      <c r="L108">
        <v>84.740740740000007</v>
      </c>
      <c r="M108">
        <v>29.167014049999999</v>
      </c>
      <c r="N108">
        <v>1.1169849999999999</v>
      </c>
      <c r="O108">
        <v>1.1571499000000001</v>
      </c>
      <c r="P108">
        <v>83.757575759999995</v>
      </c>
      <c r="Q108">
        <v>22.60997987</v>
      </c>
      <c r="R108">
        <v>0.72884000000000004</v>
      </c>
      <c r="S108">
        <v>0.21301339999999999</v>
      </c>
      <c r="T108" t="s">
        <v>1014</v>
      </c>
      <c r="U108">
        <v>0.98316497999999997</v>
      </c>
    </row>
    <row r="109" spans="1:21" x14ac:dyDescent="0.25">
      <c r="A109" t="s">
        <v>52</v>
      </c>
      <c r="B109" t="s">
        <v>864</v>
      </c>
      <c r="C109">
        <v>12</v>
      </c>
      <c r="D109" t="s">
        <v>17</v>
      </c>
      <c r="E109" t="s">
        <v>95</v>
      </c>
      <c r="F109" t="s">
        <v>103</v>
      </c>
      <c r="G109" t="s">
        <v>121</v>
      </c>
      <c r="H109" t="s">
        <v>234</v>
      </c>
      <c r="J109">
        <v>0</v>
      </c>
      <c r="K109">
        <v>5</v>
      </c>
      <c r="L109">
        <v>98.291666669999998</v>
      </c>
      <c r="M109">
        <v>30.315130790000001</v>
      </c>
      <c r="N109">
        <v>5.0803484000000003E-2</v>
      </c>
      <c r="O109">
        <v>0.42866070000000001</v>
      </c>
      <c r="P109">
        <v>89.8125</v>
      </c>
      <c r="Q109">
        <v>34.754706650000003</v>
      </c>
      <c r="R109">
        <v>2.3065078999999999E-2</v>
      </c>
      <c r="S109">
        <v>2.4791666700000001</v>
      </c>
      <c r="T109" t="s">
        <v>1014</v>
      </c>
      <c r="U109">
        <v>8.4791666699999997</v>
      </c>
    </row>
    <row r="110" spans="1:21" x14ac:dyDescent="0.25">
      <c r="A110" t="s">
        <v>52</v>
      </c>
      <c r="B110" t="s">
        <v>864</v>
      </c>
      <c r="C110">
        <v>12</v>
      </c>
      <c r="D110" t="s">
        <v>17</v>
      </c>
      <c r="E110" t="s">
        <v>95</v>
      </c>
      <c r="F110" t="s">
        <v>103</v>
      </c>
      <c r="G110" t="s">
        <v>121</v>
      </c>
      <c r="H110" t="s">
        <v>234</v>
      </c>
      <c r="J110">
        <v>0</v>
      </c>
      <c r="K110">
        <v>5</v>
      </c>
      <c r="L110">
        <v>98.291666669999998</v>
      </c>
      <c r="M110">
        <v>30.315130790000001</v>
      </c>
      <c r="N110">
        <v>5.0803484000000003E-2</v>
      </c>
      <c r="O110">
        <v>0.42866070000000001</v>
      </c>
      <c r="P110">
        <v>89.8125</v>
      </c>
      <c r="Q110">
        <v>34.754706650000003</v>
      </c>
      <c r="R110">
        <v>2.3065078999999999E-2</v>
      </c>
      <c r="S110">
        <v>2.4791666700000001</v>
      </c>
      <c r="T110" t="s">
        <v>1014</v>
      </c>
      <c r="U110">
        <v>8.4791666699999997</v>
      </c>
    </row>
    <row r="111" spans="1:21" x14ac:dyDescent="0.25">
      <c r="A111" t="s">
        <v>52</v>
      </c>
      <c r="B111" t="s">
        <v>864</v>
      </c>
      <c r="C111">
        <v>12</v>
      </c>
      <c r="D111" t="s">
        <v>17</v>
      </c>
      <c r="E111" t="s">
        <v>95</v>
      </c>
      <c r="F111" t="s">
        <v>103</v>
      </c>
      <c r="G111" t="s">
        <v>121</v>
      </c>
      <c r="H111" t="s">
        <v>234</v>
      </c>
      <c r="J111">
        <v>0</v>
      </c>
      <c r="K111">
        <v>5</v>
      </c>
      <c r="L111">
        <v>98.291666669999998</v>
      </c>
      <c r="M111">
        <v>30.315130790000001</v>
      </c>
      <c r="N111">
        <v>5.0803484000000003E-2</v>
      </c>
      <c r="O111">
        <v>0.42866070000000001</v>
      </c>
      <c r="P111">
        <v>89.8125</v>
      </c>
      <c r="Q111">
        <v>34.754706650000003</v>
      </c>
      <c r="R111">
        <v>2.3065078999999999E-2</v>
      </c>
      <c r="S111">
        <v>2.4791666700000001</v>
      </c>
      <c r="T111" t="s">
        <v>1014</v>
      </c>
      <c r="U111">
        <v>8.4791666699999997</v>
      </c>
    </row>
    <row r="112" spans="1:21" x14ac:dyDescent="0.25">
      <c r="A112" t="s">
        <v>52</v>
      </c>
      <c r="B112" t="s">
        <v>864</v>
      </c>
      <c r="C112">
        <v>12</v>
      </c>
      <c r="D112" t="s">
        <v>17</v>
      </c>
      <c r="E112" t="s">
        <v>95</v>
      </c>
      <c r="F112" t="s">
        <v>103</v>
      </c>
      <c r="G112" t="s">
        <v>121</v>
      </c>
      <c r="H112" t="s">
        <v>234</v>
      </c>
      <c r="J112">
        <v>0</v>
      </c>
      <c r="K112">
        <v>5</v>
      </c>
      <c r="L112">
        <v>98.291666669999998</v>
      </c>
      <c r="M112">
        <v>30.315130790000001</v>
      </c>
      <c r="N112">
        <v>5.0803484000000003E-2</v>
      </c>
      <c r="O112">
        <v>0.42866070000000001</v>
      </c>
      <c r="P112">
        <v>89.8125</v>
      </c>
      <c r="Q112">
        <v>34.754706650000003</v>
      </c>
      <c r="R112">
        <v>2.3065078999999999E-2</v>
      </c>
      <c r="S112">
        <v>2.4791666700000001</v>
      </c>
      <c r="T112" t="s">
        <v>1014</v>
      </c>
      <c r="U112">
        <v>8.4791666699999997</v>
      </c>
    </row>
    <row r="113" spans="1:21" x14ac:dyDescent="0.25">
      <c r="A113" t="s">
        <v>52</v>
      </c>
      <c r="B113" t="s">
        <v>864</v>
      </c>
      <c r="C113">
        <v>12</v>
      </c>
      <c r="D113" t="s">
        <v>17</v>
      </c>
      <c r="E113" t="s">
        <v>95</v>
      </c>
      <c r="F113" t="s">
        <v>103</v>
      </c>
      <c r="G113" t="s">
        <v>121</v>
      </c>
      <c r="H113" t="s">
        <v>234</v>
      </c>
      <c r="J113">
        <v>0</v>
      </c>
      <c r="K113">
        <v>5</v>
      </c>
      <c r="L113">
        <v>98.291666669999998</v>
      </c>
      <c r="M113">
        <v>30.315130790000001</v>
      </c>
      <c r="N113">
        <v>5.0803484000000003E-2</v>
      </c>
      <c r="O113">
        <v>0.42866070000000001</v>
      </c>
      <c r="P113">
        <v>89.8125</v>
      </c>
      <c r="Q113">
        <v>34.754706650000003</v>
      </c>
      <c r="R113">
        <v>2.3065078999999999E-2</v>
      </c>
      <c r="S113">
        <v>2.4791666700000001</v>
      </c>
      <c r="T113" t="s">
        <v>1014</v>
      </c>
      <c r="U113">
        <v>8.4791666699999997</v>
      </c>
    </row>
    <row r="114" spans="1:21" x14ac:dyDescent="0.25">
      <c r="A114" t="s">
        <v>52</v>
      </c>
      <c r="B114" t="s">
        <v>865</v>
      </c>
      <c r="C114">
        <v>12</v>
      </c>
      <c r="D114" t="s">
        <v>17</v>
      </c>
      <c r="E114" t="s">
        <v>95</v>
      </c>
      <c r="F114" t="s">
        <v>111</v>
      </c>
      <c r="G114" t="s">
        <v>103</v>
      </c>
      <c r="H114" t="s">
        <v>103</v>
      </c>
      <c r="J114">
        <v>0</v>
      </c>
      <c r="K114">
        <v>1</v>
      </c>
      <c r="L114">
        <v>94.97142857</v>
      </c>
      <c r="M114">
        <v>24.31591813</v>
      </c>
      <c r="N114">
        <v>0.122951111</v>
      </c>
      <c r="O114">
        <v>0.39050790000000002</v>
      </c>
      <c r="P114">
        <v>98.291666669999998</v>
      </c>
      <c r="Q114">
        <v>30.315130790000001</v>
      </c>
      <c r="R114">
        <v>5.0803484000000003E-2</v>
      </c>
      <c r="S114">
        <v>0.42866070000000001</v>
      </c>
      <c r="T114" t="s">
        <v>1014</v>
      </c>
      <c r="U114">
        <v>-3.3202381000000001</v>
      </c>
    </row>
    <row r="115" spans="1:21" x14ac:dyDescent="0.25">
      <c r="A115" t="s">
        <v>52</v>
      </c>
      <c r="B115" t="s">
        <v>866</v>
      </c>
      <c r="C115">
        <v>12</v>
      </c>
      <c r="D115" t="s">
        <v>17</v>
      </c>
      <c r="E115" t="s">
        <v>95</v>
      </c>
      <c r="F115" t="s">
        <v>112</v>
      </c>
      <c r="G115" t="s">
        <v>121</v>
      </c>
      <c r="H115" t="s">
        <v>235</v>
      </c>
      <c r="J115">
        <v>0</v>
      </c>
      <c r="K115">
        <v>1</v>
      </c>
      <c r="L115">
        <v>65.09375</v>
      </c>
      <c r="M115">
        <v>37.895352600000002</v>
      </c>
      <c r="N115">
        <v>2.2882677779999998</v>
      </c>
      <c r="O115">
        <v>2.2111774</v>
      </c>
      <c r="P115">
        <v>132.27272730000001</v>
      </c>
      <c r="Q115">
        <v>20.180448590000001</v>
      </c>
      <c r="R115">
        <v>3.7813451999999997E-2</v>
      </c>
      <c r="S115">
        <v>0.41404401000000002</v>
      </c>
      <c r="T115" t="s">
        <v>1014</v>
      </c>
      <c r="U115">
        <v>-67.1789773</v>
      </c>
    </row>
    <row r="116" spans="1:21" x14ac:dyDescent="0.25">
      <c r="A116" t="s">
        <v>53</v>
      </c>
      <c r="B116" t="s">
        <v>867</v>
      </c>
      <c r="C116">
        <v>12</v>
      </c>
      <c r="D116" t="s">
        <v>19</v>
      </c>
      <c r="E116" t="s">
        <v>94</v>
      </c>
      <c r="F116" t="s">
        <v>102</v>
      </c>
      <c r="G116" t="s">
        <v>121</v>
      </c>
      <c r="H116" t="s">
        <v>808</v>
      </c>
      <c r="J116">
        <v>0</v>
      </c>
      <c r="K116">
        <v>1</v>
      </c>
      <c r="L116">
        <v>84.740740740000007</v>
      </c>
      <c r="M116">
        <v>29.167014049999999</v>
      </c>
      <c r="N116">
        <v>1.1169849999999999</v>
      </c>
      <c r="O116">
        <v>1.1571499000000001</v>
      </c>
      <c r="P116">
        <v>102.79166669999999</v>
      </c>
      <c r="Q116">
        <v>27.057373470000002</v>
      </c>
      <c r="R116">
        <v>6.3567849939999999</v>
      </c>
      <c r="S116" t="s">
        <v>114</v>
      </c>
      <c r="T116" t="s">
        <v>1014</v>
      </c>
      <c r="U116">
        <v>-18.050925960000001</v>
      </c>
    </row>
    <row r="117" spans="1:21" x14ac:dyDescent="0.25">
      <c r="A117" t="s">
        <v>53</v>
      </c>
      <c r="B117" t="s">
        <v>867</v>
      </c>
      <c r="C117">
        <v>12</v>
      </c>
      <c r="D117" t="s">
        <v>19</v>
      </c>
      <c r="E117" t="s">
        <v>94</v>
      </c>
      <c r="F117" t="s">
        <v>102</v>
      </c>
      <c r="G117" t="s">
        <v>121</v>
      </c>
      <c r="H117" t="s">
        <v>241</v>
      </c>
      <c r="J117">
        <v>0</v>
      </c>
      <c r="K117">
        <v>1</v>
      </c>
      <c r="L117">
        <v>84.740740740000007</v>
      </c>
      <c r="M117">
        <v>29.167014049999999</v>
      </c>
      <c r="N117">
        <v>1.1169849999999999</v>
      </c>
      <c r="O117">
        <v>1.1571499000000001</v>
      </c>
      <c r="P117">
        <v>114</v>
      </c>
      <c r="Q117">
        <v>30.43077242</v>
      </c>
      <c r="R117">
        <v>0.53383111100000002</v>
      </c>
      <c r="S117">
        <v>0.28333332999999999</v>
      </c>
      <c r="T117" t="s">
        <v>1014</v>
      </c>
      <c r="U117">
        <v>-29.25925926</v>
      </c>
    </row>
    <row r="118" spans="1:21" x14ac:dyDescent="0.25">
      <c r="A118" t="s">
        <v>53</v>
      </c>
      <c r="B118" t="s">
        <v>868</v>
      </c>
      <c r="C118">
        <v>12</v>
      </c>
      <c r="D118" t="s">
        <v>19</v>
      </c>
      <c r="E118" t="s">
        <v>94</v>
      </c>
      <c r="F118" t="s">
        <v>113</v>
      </c>
      <c r="G118" t="s">
        <v>121</v>
      </c>
      <c r="H118" t="s">
        <v>103</v>
      </c>
      <c r="J118">
        <v>0</v>
      </c>
      <c r="K118">
        <v>1</v>
      </c>
      <c r="L118">
        <v>83.757575759999995</v>
      </c>
      <c r="M118">
        <v>22.60997987</v>
      </c>
      <c r="N118">
        <v>0.72884000000000004</v>
      </c>
      <c r="O118">
        <v>0.21301339999999999</v>
      </c>
      <c r="P118">
        <v>98.291666669999998</v>
      </c>
      <c r="Q118">
        <v>30.315130790000001</v>
      </c>
      <c r="R118">
        <v>5.0803484000000003E-2</v>
      </c>
      <c r="S118">
        <v>0.42866070000000001</v>
      </c>
      <c r="T118" t="s">
        <v>1014</v>
      </c>
      <c r="U118">
        <v>-14.53409091</v>
      </c>
    </row>
    <row r="119" spans="1:21" x14ac:dyDescent="0.25">
      <c r="A119" t="s">
        <v>53</v>
      </c>
      <c r="B119" t="s">
        <v>868</v>
      </c>
      <c r="C119">
        <v>12</v>
      </c>
      <c r="D119" t="s">
        <v>19</v>
      </c>
      <c r="E119" t="s">
        <v>94</v>
      </c>
      <c r="F119" t="s">
        <v>113</v>
      </c>
      <c r="G119" t="s">
        <v>121</v>
      </c>
      <c r="H119" t="s">
        <v>238</v>
      </c>
      <c r="J119">
        <v>0</v>
      </c>
      <c r="K119">
        <v>1</v>
      </c>
      <c r="L119">
        <v>83.757575759999995</v>
      </c>
      <c r="M119">
        <v>22.60997987</v>
      </c>
      <c r="N119">
        <v>0.72884000000000004</v>
      </c>
      <c r="O119">
        <v>0.21301339999999999</v>
      </c>
      <c r="P119">
        <v>87.5</v>
      </c>
      <c r="Q119">
        <v>29.478311600000001</v>
      </c>
      <c r="R119">
        <v>3.0797751000000002E-2</v>
      </c>
      <c r="S119">
        <v>0.12931835</v>
      </c>
      <c r="T119" t="s">
        <v>1014</v>
      </c>
      <c r="U119">
        <v>-3.7424242400000001</v>
      </c>
    </row>
    <row r="120" spans="1:21" x14ac:dyDescent="0.25">
      <c r="A120" t="s">
        <v>53</v>
      </c>
      <c r="B120" t="s">
        <v>868</v>
      </c>
      <c r="C120">
        <v>12</v>
      </c>
      <c r="D120" t="s">
        <v>19</v>
      </c>
      <c r="E120" t="s">
        <v>94</v>
      </c>
      <c r="F120" t="s">
        <v>113</v>
      </c>
      <c r="G120" t="s">
        <v>121</v>
      </c>
      <c r="H120" t="s">
        <v>235</v>
      </c>
      <c r="J120">
        <v>0</v>
      </c>
      <c r="K120">
        <v>1</v>
      </c>
      <c r="L120">
        <v>83.757575759999995</v>
      </c>
      <c r="M120">
        <v>22.60997987</v>
      </c>
      <c r="N120">
        <v>0.72884000000000004</v>
      </c>
      <c r="O120">
        <v>0.21301339999999999</v>
      </c>
      <c r="P120">
        <v>132.27272730000001</v>
      </c>
      <c r="Q120">
        <v>20.180448590000001</v>
      </c>
      <c r="R120">
        <v>3.7813451999999997E-2</v>
      </c>
      <c r="S120">
        <v>0.41404401000000002</v>
      </c>
      <c r="T120" t="s">
        <v>1014</v>
      </c>
      <c r="U120">
        <v>-48.515151539999998</v>
      </c>
    </row>
    <row r="121" spans="1:21" x14ac:dyDescent="0.25">
      <c r="A121" t="s">
        <v>53</v>
      </c>
      <c r="B121" t="s">
        <v>868</v>
      </c>
      <c r="C121">
        <v>12</v>
      </c>
      <c r="D121" t="s">
        <v>19</v>
      </c>
      <c r="E121" t="s">
        <v>94</v>
      </c>
      <c r="F121" t="s">
        <v>113</v>
      </c>
      <c r="G121" t="s">
        <v>121</v>
      </c>
      <c r="H121" t="s">
        <v>241</v>
      </c>
      <c r="J121">
        <v>0</v>
      </c>
      <c r="K121">
        <v>2</v>
      </c>
      <c r="L121">
        <v>83.757575759999995</v>
      </c>
      <c r="M121">
        <v>22.60997987</v>
      </c>
      <c r="N121">
        <v>0.72884000000000004</v>
      </c>
      <c r="O121">
        <v>0.21301339999999999</v>
      </c>
      <c r="P121">
        <v>114</v>
      </c>
      <c r="Q121">
        <v>30.43077242</v>
      </c>
      <c r="R121">
        <v>0.53383111100000002</v>
      </c>
      <c r="S121">
        <v>0.28333332999999999</v>
      </c>
      <c r="T121" t="s">
        <v>1014</v>
      </c>
      <c r="U121">
        <v>-30.242424239999998</v>
      </c>
    </row>
    <row r="122" spans="1:21" x14ac:dyDescent="0.25">
      <c r="A122" t="s">
        <v>53</v>
      </c>
      <c r="B122" t="s">
        <v>868</v>
      </c>
      <c r="C122">
        <v>12</v>
      </c>
      <c r="D122" t="s">
        <v>19</v>
      </c>
      <c r="E122" t="s">
        <v>94</v>
      </c>
      <c r="F122" t="s">
        <v>113</v>
      </c>
      <c r="G122" t="s">
        <v>121</v>
      </c>
      <c r="H122" t="s">
        <v>241</v>
      </c>
      <c r="J122">
        <v>0</v>
      </c>
      <c r="K122">
        <v>2</v>
      </c>
      <c r="L122">
        <v>83.757575759999995</v>
      </c>
      <c r="M122">
        <v>22.60997987</v>
      </c>
      <c r="N122">
        <v>0.72884000000000004</v>
      </c>
      <c r="O122">
        <v>0.21301339999999999</v>
      </c>
      <c r="P122">
        <v>114</v>
      </c>
      <c r="Q122">
        <v>30.43077242</v>
      </c>
      <c r="R122">
        <v>0.53383111100000002</v>
      </c>
      <c r="S122">
        <v>0.28333332999999999</v>
      </c>
      <c r="T122" t="s">
        <v>1014</v>
      </c>
      <c r="U122">
        <v>-30.242424239999998</v>
      </c>
    </row>
    <row r="123" spans="1:21" x14ac:dyDescent="0.25">
      <c r="A123" t="s">
        <v>53</v>
      </c>
      <c r="B123" t="s">
        <v>868</v>
      </c>
      <c r="C123">
        <v>12</v>
      </c>
      <c r="D123" t="s">
        <v>19</v>
      </c>
      <c r="E123" t="s">
        <v>94</v>
      </c>
      <c r="F123" t="s">
        <v>113</v>
      </c>
      <c r="G123" t="s">
        <v>121</v>
      </c>
      <c r="H123" t="s">
        <v>242</v>
      </c>
      <c r="J123">
        <v>0</v>
      </c>
      <c r="K123">
        <v>1</v>
      </c>
      <c r="L123">
        <v>83.757575759999995</v>
      </c>
      <c r="M123">
        <v>22.60997987</v>
      </c>
      <c r="N123">
        <v>0.72884000000000004</v>
      </c>
      <c r="O123">
        <v>0.21301339999999999</v>
      </c>
      <c r="P123">
        <v>139.375</v>
      </c>
      <c r="Q123">
        <v>23.713465920000001</v>
      </c>
      <c r="R123" t="s">
        <v>114</v>
      </c>
      <c r="S123" t="s">
        <v>114</v>
      </c>
      <c r="T123" t="s">
        <v>1014</v>
      </c>
      <c r="U123">
        <v>-55.617424239999998</v>
      </c>
    </row>
    <row r="124" spans="1:21" x14ac:dyDescent="0.25">
      <c r="A124" t="s">
        <v>53</v>
      </c>
      <c r="B124" t="s">
        <v>868</v>
      </c>
      <c r="C124">
        <v>12</v>
      </c>
      <c r="D124" t="s">
        <v>19</v>
      </c>
      <c r="E124" t="s">
        <v>94</v>
      </c>
      <c r="F124" t="s">
        <v>113</v>
      </c>
      <c r="G124" t="s">
        <v>121</v>
      </c>
      <c r="H124" t="s">
        <v>112</v>
      </c>
      <c r="J124">
        <v>0</v>
      </c>
      <c r="K124">
        <v>1</v>
      </c>
      <c r="L124">
        <v>83.757575759999995</v>
      </c>
      <c r="M124">
        <v>22.60997987</v>
      </c>
      <c r="N124">
        <v>0.72884000000000004</v>
      </c>
      <c r="O124">
        <v>0.21301339999999999</v>
      </c>
      <c r="P124">
        <v>65.09375</v>
      </c>
      <c r="Q124">
        <v>37.895352600000002</v>
      </c>
      <c r="R124">
        <v>2.2882677779999998</v>
      </c>
      <c r="S124">
        <v>2.2111774</v>
      </c>
      <c r="T124" t="s">
        <v>1014</v>
      </c>
      <c r="U124">
        <v>18.663825760000002</v>
      </c>
    </row>
    <row r="125" spans="1:21" x14ac:dyDescent="0.25">
      <c r="A125" t="s">
        <v>53</v>
      </c>
      <c r="B125" t="s">
        <v>869</v>
      </c>
      <c r="C125">
        <v>12</v>
      </c>
      <c r="D125" t="s">
        <v>19</v>
      </c>
      <c r="E125" t="s">
        <v>94</v>
      </c>
      <c r="F125" t="s">
        <v>103</v>
      </c>
      <c r="G125" t="s">
        <v>121</v>
      </c>
      <c r="H125" t="s">
        <v>103</v>
      </c>
      <c r="J125">
        <v>0</v>
      </c>
      <c r="K125">
        <v>1</v>
      </c>
      <c r="L125">
        <v>98.291666669999998</v>
      </c>
      <c r="M125">
        <v>30.315130790000001</v>
      </c>
      <c r="N125">
        <v>5.0803484000000003E-2</v>
      </c>
      <c r="O125">
        <v>0.42866070000000001</v>
      </c>
      <c r="P125">
        <v>98.291666669999998</v>
      </c>
      <c r="Q125">
        <v>30.315130790000001</v>
      </c>
      <c r="R125">
        <v>5.0803484000000003E-2</v>
      </c>
      <c r="S125">
        <v>0.42866070000000001</v>
      </c>
      <c r="T125" t="s">
        <v>1014</v>
      </c>
      <c r="U125">
        <v>0</v>
      </c>
    </row>
    <row r="126" spans="1:21" x14ac:dyDescent="0.25">
      <c r="A126" t="s">
        <v>53</v>
      </c>
      <c r="B126" t="s">
        <v>869</v>
      </c>
      <c r="C126">
        <v>12</v>
      </c>
      <c r="D126" t="s">
        <v>19</v>
      </c>
      <c r="E126" t="s">
        <v>94</v>
      </c>
      <c r="F126" t="s">
        <v>103</v>
      </c>
      <c r="G126" t="s">
        <v>121</v>
      </c>
      <c r="H126" t="s">
        <v>241</v>
      </c>
      <c r="J126">
        <v>0</v>
      </c>
      <c r="K126">
        <v>1</v>
      </c>
      <c r="L126">
        <v>98.291666669999998</v>
      </c>
      <c r="M126">
        <v>30.315130790000001</v>
      </c>
      <c r="N126">
        <v>5.0803484000000003E-2</v>
      </c>
      <c r="O126">
        <v>0.42866070000000001</v>
      </c>
      <c r="P126">
        <v>114</v>
      </c>
      <c r="Q126">
        <v>30.43077242</v>
      </c>
      <c r="R126">
        <v>0.53383111100000002</v>
      </c>
      <c r="S126">
        <v>0.28333332999999999</v>
      </c>
      <c r="T126" t="s">
        <v>1014</v>
      </c>
      <c r="U126">
        <v>-15.70833333</v>
      </c>
    </row>
    <row r="127" spans="1:21" x14ac:dyDescent="0.25">
      <c r="A127" t="s">
        <v>53</v>
      </c>
      <c r="B127" t="s">
        <v>870</v>
      </c>
      <c r="C127">
        <v>12</v>
      </c>
      <c r="D127" t="s">
        <v>19</v>
      </c>
      <c r="E127" t="s">
        <v>94</v>
      </c>
      <c r="F127" t="s">
        <v>112</v>
      </c>
      <c r="G127" t="s">
        <v>121</v>
      </c>
      <c r="H127" t="s">
        <v>114</v>
      </c>
      <c r="J127">
        <v>0</v>
      </c>
      <c r="K127">
        <v>0</v>
      </c>
      <c r="L127">
        <v>65.09375</v>
      </c>
      <c r="M127">
        <v>37.895352600000002</v>
      </c>
      <c r="N127">
        <v>2.2882677779999998</v>
      </c>
      <c r="O127">
        <v>2.2111774</v>
      </c>
      <c r="P127" t="s">
        <v>114</v>
      </c>
      <c r="Q127" t="s">
        <v>114</v>
      </c>
      <c r="R127" t="s">
        <v>114</v>
      </c>
      <c r="S127" t="s">
        <v>114</v>
      </c>
      <c r="T127" t="s">
        <v>1014</v>
      </c>
      <c r="U127" t="s">
        <v>114</v>
      </c>
    </row>
    <row r="128" spans="1:21" x14ac:dyDescent="0.25">
      <c r="A128" t="s">
        <v>54</v>
      </c>
      <c r="B128" t="s">
        <v>871</v>
      </c>
      <c r="C128">
        <v>12</v>
      </c>
      <c r="D128" t="s">
        <v>21</v>
      </c>
      <c r="E128" t="s">
        <v>95</v>
      </c>
      <c r="F128" t="s">
        <v>113</v>
      </c>
      <c r="G128" t="s">
        <v>121</v>
      </c>
      <c r="H128" t="s">
        <v>241</v>
      </c>
      <c r="J128">
        <v>0</v>
      </c>
      <c r="K128">
        <v>2</v>
      </c>
      <c r="L128">
        <v>83.757575759999995</v>
      </c>
      <c r="M128">
        <v>22.60997987</v>
      </c>
      <c r="N128">
        <v>0.72884000000000004</v>
      </c>
      <c r="O128">
        <v>0.21301339999999999</v>
      </c>
      <c r="P128">
        <v>114</v>
      </c>
      <c r="Q128">
        <v>30.43077242</v>
      </c>
      <c r="R128">
        <v>0.53383111100000002</v>
      </c>
      <c r="S128">
        <v>0.28333332999999999</v>
      </c>
      <c r="T128" t="s">
        <v>1014</v>
      </c>
      <c r="U128">
        <v>-30.242424239999998</v>
      </c>
    </row>
    <row r="129" spans="1:21" x14ac:dyDescent="0.25">
      <c r="A129" t="s">
        <v>54</v>
      </c>
      <c r="B129" t="s">
        <v>871</v>
      </c>
      <c r="C129">
        <v>12</v>
      </c>
      <c r="D129" t="s">
        <v>21</v>
      </c>
      <c r="E129" t="s">
        <v>95</v>
      </c>
      <c r="F129" t="s">
        <v>113</v>
      </c>
      <c r="G129" t="s">
        <v>121</v>
      </c>
      <c r="H129" t="s">
        <v>241</v>
      </c>
      <c r="J129">
        <v>0</v>
      </c>
      <c r="K129">
        <v>2</v>
      </c>
      <c r="L129">
        <v>83.757575759999995</v>
      </c>
      <c r="M129">
        <v>22.60997987</v>
      </c>
      <c r="N129">
        <v>0.72884000000000004</v>
      </c>
      <c r="O129">
        <v>0.21301339999999999</v>
      </c>
      <c r="P129">
        <v>114</v>
      </c>
      <c r="Q129">
        <v>30.43077242</v>
      </c>
      <c r="R129">
        <v>0.53383111100000002</v>
      </c>
      <c r="S129">
        <v>0.28333332999999999</v>
      </c>
      <c r="T129" t="s">
        <v>1014</v>
      </c>
      <c r="U129">
        <v>-30.242424239999998</v>
      </c>
    </row>
    <row r="130" spans="1:21" x14ac:dyDescent="0.25">
      <c r="A130" t="s">
        <v>54</v>
      </c>
      <c r="B130" t="s">
        <v>872</v>
      </c>
      <c r="C130">
        <v>12</v>
      </c>
      <c r="D130" t="s">
        <v>21</v>
      </c>
      <c r="E130" t="s">
        <v>95</v>
      </c>
      <c r="F130" t="s">
        <v>110</v>
      </c>
      <c r="G130" t="s">
        <v>121</v>
      </c>
      <c r="H130" t="s">
        <v>241</v>
      </c>
      <c r="I130" t="s">
        <v>162</v>
      </c>
      <c r="J130">
        <v>1</v>
      </c>
      <c r="K130">
        <v>2</v>
      </c>
      <c r="L130">
        <v>73.260869569999997</v>
      </c>
      <c r="M130">
        <v>34.453830549999999</v>
      </c>
      <c r="N130">
        <v>1.058333333</v>
      </c>
      <c r="O130">
        <v>0.90897070000000002</v>
      </c>
      <c r="P130">
        <v>114</v>
      </c>
      <c r="Q130">
        <v>30.43077242</v>
      </c>
      <c r="R130">
        <v>0.53383111100000002</v>
      </c>
      <c r="S130">
        <v>0.28333332999999999</v>
      </c>
      <c r="T130" t="s">
        <v>1014</v>
      </c>
      <c r="U130">
        <v>-40.739130430000003</v>
      </c>
    </row>
    <row r="131" spans="1:21" x14ac:dyDescent="0.25">
      <c r="A131" t="s">
        <v>54</v>
      </c>
      <c r="B131" t="s">
        <v>872</v>
      </c>
      <c r="C131">
        <v>12</v>
      </c>
      <c r="D131" t="s">
        <v>21</v>
      </c>
      <c r="E131" t="s">
        <v>95</v>
      </c>
      <c r="F131" t="s">
        <v>110</v>
      </c>
      <c r="G131" t="s">
        <v>121</v>
      </c>
      <c r="H131" t="s">
        <v>241</v>
      </c>
      <c r="I131" t="s">
        <v>162</v>
      </c>
      <c r="J131">
        <v>1</v>
      </c>
      <c r="K131">
        <v>2</v>
      </c>
      <c r="L131">
        <v>73.260869569999997</v>
      </c>
      <c r="M131">
        <v>34.453830549999999</v>
      </c>
      <c r="N131">
        <v>1.058333333</v>
      </c>
      <c r="O131">
        <v>0.90897070000000002</v>
      </c>
      <c r="P131">
        <v>114</v>
      </c>
      <c r="Q131">
        <v>30.43077242</v>
      </c>
      <c r="R131">
        <v>0.53383111100000002</v>
      </c>
      <c r="S131">
        <v>0.28333332999999999</v>
      </c>
      <c r="T131" t="s">
        <v>1014</v>
      </c>
      <c r="U131">
        <v>-40.739130430000003</v>
      </c>
    </row>
    <row r="132" spans="1:21" x14ac:dyDescent="0.25">
      <c r="A132" t="s">
        <v>54</v>
      </c>
      <c r="B132" t="s">
        <v>873</v>
      </c>
      <c r="C132">
        <v>12</v>
      </c>
      <c r="D132" t="s">
        <v>21</v>
      </c>
      <c r="E132" t="s">
        <v>95</v>
      </c>
      <c r="F132" t="s">
        <v>111</v>
      </c>
      <c r="G132" t="s">
        <v>121</v>
      </c>
      <c r="H132" t="s">
        <v>162</v>
      </c>
      <c r="J132">
        <v>0</v>
      </c>
      <c r="K132">
        <v>1</v>
      </c>
      <c r="L132">
        <v>94.97142857</v>
      </c>
      <c r="M132">
        <v>24.31591813</v>
      </c>
      <c r="N132">
        <v>0.122951111</v>
      </c>
      <c r="O132">
        <v>0.39050790000000002</v>
      </c>
      <c r="P132">
        <v>82.53846154</v>
      </c>
      <c r="Q132">
        <v>35.660530039999998</v>
      </c>
      <c r="R132">
        <v>3.3754499999999998</v>
      </c>
      <c r="S132" t="s">
        <v>114</v>
      </c>
      <c r="T132" t="s">
        <v>1014</v>
      </c>
      <c r="U132">
        <v>12.43296703</v>
      </c>
    </row>
    <row r="133" spans="1:21" x14ac:dyDescent="0.25">
      <c r="A133" t="s">
        <v>55</v>
      </c>
      <c r="B133" t="s">
        <v>874</v>
      </c>
      <c r="C133">
        <v>12</v>
      </c>
      <c r="D133" t="s">
        <v>23</v>
      </c>
      <c r="E133" t="s">
        <v>94</v>
      </c>
      <c r="F133" t="s">
        <v>113</v>
      </c>
      <c r="G133" t="s">
        <v>110</v>
      </c>
      <c r="H133" t="s">
        <v>238</v>
      </c>
      <c r="J133">
        <v>0</v>
      </c>
      <c r="K133">
        <v>1</v>
      </c>
      <c r="L133">
        <v>83.757575759999995</v>
      </c>
      <c r="M133">
        <v>22.60997987</v>
      </c>
      <c r="N133">
        <v>0.72884000000000004</v>
      </c>
      <c r="O133">
        <v>0.21301339999999999</v>
      </c>
      <c r="P133">
        <v>87.5</v>
      </c>
      <c r="Q133">
        <v>29.478311600000001</v>
      </c>
      <c r="R133">
        <v>3.0797751000000002E-2</v>
      </c>
      <c r="S133">
        <v>0.12931835</v>
      </c>
      <c r="T133" t="s">
        <v>1014</v>
      </c>
      <c r="U133">
        <v>-3.7424242400000001</v>
      </c>
    </row>
    <row r="134" spans="1:21" x14ac:dyDescent="0.25">
      <c r="A134" t="s">
        <v>55</v>
      </c>
      <c r="B134" t="s">
        <v>874</v>
      </c>
      <c r="C134">
        <v>12</v>
      </c>
      <c r="D134" t="s">
        <v>23</v>
      </c>
      <c r="E134" t="s">
        <v>94</v>
      </c>
      <c r="F134" t="s">
        <v>113</v>
      </c>
      <c r="G134" t="s">
        <v>110</v>
      </c>
      <c r="H134" t="s">
        <v>103</v>
      </c>
      <c r="J134">
        <v>0</v>
      </c>
      <c r="K134">
        <v>1</v>
      </c>
      <c r="L134">
        <v>83.757575759999995</v>
      </c>
      <c r="M134">
        <v>22.60997987</v>
      </c>
      <c r="N134">
        <v>0.72884000000000004</v>
      </c>
      <c r="O134">
        <v>0.21301339999999999</v>
      </c>
      <c r="P134">
        <v>98.291666669999998</v>
      </c>
      <c r="Q134">
        <v>30.315130790000001</v>
      </c>
      <c r="R134">
        <v>5.0803484000000003E-2</v>
      </c>
      <c r="S134">
        <v>0.42866070000000001</v>
      </c>
      <c r="T134" t="s">
        <v>1014</v>
      </c>
      <c r="U134">
        <v>-14.53409091</v>
      </c>
    </row>
    <row r="135" spans="1:21" x14ac:dyDescent="0.25">
      <c r="A135" t="s">
        <v>55</v>
      </c>
      <c r="B135" t="s">
        <v>874</v>
      </c>
      <c r="C135">
        <v>12</v>
      </c>
      <c r="D135" t="s">
        <v>23</v>
      </c>
      <c r="E135" t="s">
        <v>94</v>
      </c>
      <c r="F135" t="s">
        <v>113</v>
      </c>
      <c r="G135" t="s">
        <v>110</v>
      </c>
      <c r="H135" t="s">
        <v>808</v>
      </c>
      <c r="J135">
        <v>0</v>
      </c>
      <c r="K135">
        <v>1</v>
      </c>
      <c r="L135">
        <v>83.757575759999995</v>
      </c>
      <c r="M135">
        <v>22.60997987</v>
      </c>
      <c r="N135">
        <v>0.72884000000000004</v>
      </c>
      <c r="O135">
        <v>0.21301339999999999</v>
      </c>
      <c r="P135">
        <v>102.79166669999999</v>
      </c>
      <c r="Q135">
        <v>27.057373470000002</v>
      </c>
      <c r="R135">
        <v>6.3567849939999999</v>
      </c>
      <c r="S135" t="s">
        <v>114</v>
      </c>
      <c r="T135" t="s">
        <v>1014</v>
      </c>
      <c r="U135">
        <v>-19.034090939999999</v>
      </c>
    </row>
    <row r="136" spans="1:21" x14ac:dyDescent="0.25">
      <c r="A136" t="s">
        <v>55</v>
      </c>
      <c r="B136" t="s">
        <v>874</v>
      </c>
      <c r="C136">
        <v>12</v>
      </c>
      <c r="D136" t="s">
        <v>23</v>
      </c>
      <c r="E136" t="s">
        <v>94</v>
      </c>
      <c r="F136" t="s">
        <v>113</v>
      </c>
      <c r="G136" t="s">
        <v>110</v>
      </c>
      <c r="H136" t="s">
        <v>113</v>
      </c>
      <c r="J136">
        <v>0</v>
      </c>
      <c r="K136">
        <v>1</v>
      </c>
      <c r="L136">
        <v>83.757575759999995</v>
      </c>
      <c r="M136">
        <v>22.60997987</v>
      </c>
      <c r="N136">
        <v>0.72884000000000004</v>
      </c>
      <c r="O136">
        <v>0.21301339999999999</v>
      </c>
      <c r="P136">
        <v>83.757575759999995</v>
      </c>
      <c r="Q136">
        <v>22.60997987</v>
      </c>
      <c r="R136">
        <v>0.72884000000000004</v>
      </c>
      <c r="S136">
        <v>0.21301339999999999</v>
      </c>
      <c r="T136" t="s">
        <v>1014</v>
      </c>
      <c r="U136">
        <v>0</v>
      </c>
    </row>
    <row r="137" spans="1:21" x14ac:dyDescent="0.25">
      <c r="A137" t="s">
        <v>55</v>
      </c>
      <c r="B137" t="s">
        <v>875</v>
      </c>
      <c r="C137">
        <v>12</v>
      </c>
      <c r="D137" t="s">
        <v>23</v>
      </c>
      <c r="E137" t="s">
        <v>94</v>
      </c>
      <c r="F137" t="s">
        <v>110</v>
      </c>
      <c r="G137" t="s">
        <v>103</v>
      </c>
      <c r="H137" t="s">
        <v>114</v>
      </c>
      <c r="J137">
        <v>0</v>
      </c>
      <c r="K137" t="s">
        <v>114</v>
      </c>
      <c r="L137">
        <v>73.260869569999997</v>
      </c>
      <c r="M137">
        <v>34.453830549999999</v>
      </c>
      <c r="N137">
        <v>1.058333333</v>
      </c>
      <c r="O137">
        <v>0.90897070000000002</v>
      </c>
      <c r="P137" t="s">
        <v>114</v>
      </c>
      <c r="Q137" t="s">
        <v>114</v>
      </c>
      <c r="R137" t="s">
        <v>114</v>
      </c>
      <c r="S137" t="s">
        <v>114</v>
      </c>
      <c r="T137" t="s">
        <v>1014</v>
      </c>
      <c r="U137" t="s">
        <v>114</v>
      </c>
    </row>
    <row r="138" spans="1:21" x14ac:dyDescent="0.25">
      <c r="A138" t="s">
        <v>55</v>
      </c>
      <c r="B138" t="s">
        <v>876</v>
      </c>
      <c r="C138">
        <v>12</v>
      </c>
      <c r="D138" t="s">
        <v>23</v>
      </c>
      <c r="E138" t="s">
        <v>94</v>
      </c>
      <c r="F138" t="s">
        <v>103</v>
      </c>
      <c r="G138" t="s">
        <v>103</v>
      </c>
      <c r="H138" t="s">
        <v>114</v>
      </c>
      <c r="J138">
        <v>0</v>
      </c>
      <c r="K138" t="s">
        <v>114</v>
      </c>
      <c r="L138">
        <v>98.291666669999998</v>
      </c>
      <c r="M138">
        <v>30.315130790000001</v>
      </c>
      <c r="N138">
        <v>5.0803484000000003E-2</v>
      </c>
      <c r="O138">
        <v>0.42866070000000001</v>
      </c>
      <c r="P138" t="s">
        <v>114</v>
      </c>
      <c r="Q138" t="s">
        <v>114</v>
      </c>
      <c r="R138" t="s">
        <v>114</v>
      </c>
      <c r="S138" t="s">
        <v>114</v>
      </c>
      <c r="T138" t="s">
        <v>1014</v>
      </c>
      <c r="U138" t="s">
        <v>114</v>
      </c>
    </row>
    <row r="139" spans="1:21" x14ac:dyDescent="0.25">
      <c r="A139" t="s">
        <v>55</v>
      </c>
      <c r="B139" t="s">
        <v>877</v>
      </c>
      <c r="C139">
        <v>12</v>
      </c>
      <c r="D139" t="s">
        <v>23</v>
      </c>
      <c r="E139" t="s">
        <v>94</v>
      </c>
      <c r="F139" t="s">
        <v>111</v>
      </c>
      <c r="G139" t="s">
        <v>113</v>
      </c>
      <c r="H139" t="s">
        <v>113</v>
      </c>
      <c r="J139">
        <v>0</v>
      </c>
      <c r="K139">
        <v>2</v>
      </c>
      <c r="L139">
        <v>94.97142857</v>
      </c>
      <c r="M139">
        <v>24.31591813</v>
      </c>
      <c r="N139">
        <v>0.122951111</v>
      </c>
      <c r="O139">
        <v>0.39050790000000002</v>
      </c>
      <c r="P139">
        <v>83.757575759999995</v>
      </c>
      <c r="Q139">
        <v>22.60997987</v>
      </c>
      <c r="R139">
        <v>0.72884000000000004</v>
      </c>
      <c r="S139">
        <v>0.21301339999999999</v>
      </c>
      <c r="T139" t="s">
        <v>1014</v>
      </c>
      <c r="U139">
        <v>11.213852810000001</v>
      </c>
    </row>
    <row r="140" spans="1:21" x14ac:dyDescent="0.25">
      <c r="A140" t="s">
        <v>55</v>
      </c>
      <c r="B140" t="s">
        <v>877</v>
      </c>
      <c r="C140">
        <v>12</v>
      </c>
      <c r="D140" t="s">
        <v>23</v>
      </c>
      <c r="E140" t="s">
        <v>94</v>
      </c>
      <c r="F140" t="s">
        <v>111</v>
      </c>
      <c r="G140" t="s">
        <v>113</v>
      </c>
      <c r="H140" t="s">
        <v>113</v>
      </c>
      <c r="J140">
        <v>0</v>
      </c>
      <c r="K140">
        <v>2</v>
      </c>
      <c r="L140">
        <v>94.97142857</v>
      </c>
      <c r="M140">
        <v>24.31591813</v>
      </c>
      <c r="N140">
        <v>0.122951111</v>
      </c>
      <c r="O140">
        <v>0.39050790000000002</v>
      </c>
      <c r="P140">
        <v>83.757575759999995</v>
      </c>
      <c r="Q140">
        <v>22.60997987</v>
      </c>
      <c r="R140">
        <v>0.72884000000000004</v>
      </c>
      <c r="S140">
        <v>0.21301339999999999</v>
      </c>
      <c r="T140" t="s">
        <v>1014</v>
      </c>
      <c r="U140">
        <v>11.213852810000001</v>
      </c>
    </row>
    <row r="141" spans="1:21" x14ac:dyDescent="0.25">
      <c r="A141" t="s">
        <v>55</v>
      </c>
      <c r="B141" t="s">
        <v>877</v>
      </c>
      <c r="C141">
        <v>12</v>
      </c>
      <c r="D141" t="s">
        <v>23</v>
      </c>
      <c r="E141" t="s">
        <v>94</v>
      </c>
      <c r="F141" t="s">
        <v>111</v>
      </c>
      <c r="G141" t="s">
        <v>113</v>
      </c>
      <c r="H141" t="s">
        <v>797</v>
      </c>
      <c r="J141">
        <v>0</v>
      </c>
      <c r="K141">
        <v>1</v>
      </c>
      <c r="L141">
        <v>94.97142857</v>
      </c>
      <c r="M141">
        <v>24.31591813</v>
      </c>
      <c r="N141">
        <v>0.122951111</v>
      </c>
      <c r="O141">
        <v>0.39050790000000002</v>
      </c>
      <c r="P141">
        <v>179.45454549999999</v>
      </c>
      <c r="Q141">
        <v>26.326869609999999</v>
      </c>
      <c r="R141">
        <v>2.3456094639999998</v>
      </c>
      <c r="S141">
        <v>0.18833116</v>
      </c>
      <c r="T141" t="s">
        <v>1014</v>
      </c>
      <c r="U141">
        <v>-84.483116929999994</v>
      </c>
    </row>
    <row r="142" spans="1:21" x14ac:dyDescent="0.25">
      <c r="A142" t="s">
        <v>56</v>
      </c>
      <c r="B142" t="s">
        <v>878</v>
      </c>
      <c r="C142">
        <v>12</v>
      </c>
      <c r="D142" t="s">
        <v>25</v>
      </c>
      <c r="E142" t="s">
        <v>94</v>
      </c>
      <c r="F142" t="s">
        <v>113</v>
      </c>
      <c r="G142" t="s">
        <v>113</v>
      </c>
      <c r="H142" t="s">
        <v>113</v>
      </c>
      <c r="J142">
        <v>0</v>
      </c>
      <c r="K142">
        <v>3</v>
      </c>
      <c r="L142">
        <v>83.757575759999995</v>
      </c>
      <c r="M142">
        <v>22.60997987</v>
      </c>
      <c r="N142">
        <v>0.72884000000000004</v>
      </c>
      <c r="O142">
        <v>0.21301339999999999</v>
      </c>
      <c r="P142">
        <v>83.757575759999995</v>
      </c>
      <c r="Q142">
        <v>22.60997987</v>
      </c>
      <c r="R142">
        <v>0.72884000000000004</v>
      </c>
      <c r="S142">
        <v>0.21301339999999999</v>
      </c>
      <c r="T142" t="s">
        <v>1014</v>
      </c>
      <c r="U142">
        <v>0</v>
      </c>
    </row>
    <row r="143" spans="1:21" x14ac:dyDescent="0.25">
      <c r="A143" t="s">
        <v>56</v>
      </c>
      <c r="B143" t="s">
        <v>878</v>
      </c>
      <c r="C143">
        <v>12</v>
      </c>
      <c r="D143" t="s">
        <v>25</v>
      </c>
      <c r="E143" t="s">
        <v>94</v>
      </c>
      <c r="F143" t="s">
        <v>113</v>
      </c>
      <c r="G143" t="s">
        <v>113</v>
      </c>
      <c r="H143" t="s">
        <v>113</v>
      </c>
      <c r="J143">
        <v>0</v>
      </c>
      <c r="K143">
        <v>3</v>
      </c>
      <c r="L143">
        <v>83.757575759999995</v>
      </c>
      <c r="M143">
        <v>22.60997987</v>
      </c>
      <c r="N143">
        <v>0.72884000000000004</v>
      </c>
      <c r="O143">
        <v>0.21301339999999999</v>
      </c>
      <c r="P143">
        <v>83.757575759999995</v>
      </c>
      <c r="Q143">
        <v>22.60997987</v>
      </c>
      <c r="R143">
        <v>0.72884000000000004</v>
      </c>
      <c r="S143">
        <v>0.21301339999999999</v>
      </c>
      <c r="T143" t="s">
        <v>1014</v>
      </c>
      <c r="U143">
        <v>0</v>
      </c>
    </row>
    <row r="144" spans="1:21" x14ac:dyDescent="0.25">
      <c r="A144" t="s">
        <v>56</v>
      </c>
      <c r="B144" t="s">
        <v>878</v>
      </c>
      <c r="C144">
        <v>12</v>
      </c>
      <c r="D144" t="s">
        <v>25</v>
      </c>
      <c r="E144" t="s">
        <v>94</v>
      </c>
      <c r="F144" t="s">
        <v>113</v>
      </c>
      <c r="G144" t="s">
        <v>113</v>
      </c>
      <c r="H144" t="s">
        <v>113</v>
      </c>
      <c r="J144">
        <v>0</v>
      </c>
      <c r="K144">
        <v>3</v>
      </c>
      <c r="L144">
        <v>83.757575759999995</v>
      </c>
      <c r="M144">
        <v>22.60997987</v>
      </c>
      <c r="N144">
        <v>0.72884000000000004</v>
      </c>
      <c r="O144">
        <v>0.21301339999999999</v>
      </c>
      <c r="P144">
        <v>83.757575759999995</v>
      </c>
      <c r="Q144">
        <v>22.60997987</v>
      </c>
      <c r="R144">
        <v>0.72884000000000004</v>
      </c>
      <c r="S144">
        <v>0.21301339999999999</v>
      </c>
      <c r="T144" t="s">
        <v>1014</v>
      </c>
      <c r="U144">
        <v>0</v>
      </c>
    </row>
    <row r="145" spans="1:21" x14ac:dyDescent="0.25">
      <c r="A145" t="s">
        <v>56</v>
      </c>
      <c r="B145" t="s">
        <v>879</v>
      </c>
      <c r="C145">
        <v>12</v>
      </c>
      <c r="D145" t="s">
        <v>25</v>
      </c>
      <c r="E145" t="s">
        <v>94</v>
      </c>
      <c r="F145" t="s">
        <v>111</v>
      </c>
      <c r="G145" t="s">
        <v>121</v>
      </c>
      <c r="H145" t="s">
        <v>112</v>
      </c>
      <c r="J145">
        <v>0</v>
      </c>
      <c r="K145">
        <v>1</v>
      </c>
      <c r="L145">
        <v>94.97142857</v>
      </c>
      <c r="M145">
        <v>24.31591813</v>
      </c>
      <c r="N145">
        <v>0.122951111</v>
      </c>
      <c r="O145">
        <v>0.39050790000000002</v>
      </c>
      <c r="P145">
        <v>65.09375</v>
      </c>
      <c r="Q145">
        <v>37.895352600000002</v>
      </c>
      <c r="R145">
        <v>2.2882677779999998</v>
      </c>
      <c r="S145">
        <v>2.2111774</v>
      </c>
      <c r="T145" t="s">
        <v>1014</v>
      </c>
      <c r="U145">
        <v>29.87767857</v>
      </c>
    </row>
    <row r="146" spans="1:21" x14ac:dyDescent="0.25">
      <c r="A146" t="s">
        <v>56</v>
      </c>
      <c r="B146" t="s">
        <v>880</v>
      </c>
      <c r="C146">
        <v>12</v>
      </c>
      <c r="D146" t="s">
        <v>25</v>
      </c>
      <c r="E146" t="s">
        <v>94</v>
      </c>
      <c r="F146" t="s">
        <v>104</v>
      </c>
      <c r="G146" t="s">
        <v>121</v>
      </c>
      <c r="H146" t="s">
        <v>104</v>
      </c>
      <c r="J146">
        <v>0</v>
      </c>
      <c r="K146">
        <v>1</v>
      </c>
      <c r="L146">
        <v>113.9375</v>
      </c>
      <c r="M146">
        <v>33.375507550000002</v>
      </c>
      <c r="N146">
        <v>2.4262999999999999</v>
      </c>
      <c r="O146">
        <v>0.40692159999999999</v>
      </c>
      <c r="P146">
        <v>113.9375</v>
      </c>
      <c r="Q146">
        <v>33.375507550000002</v>
      </c>
      <c r="R146">
        <v>2.4262999999999999</v>
      </c>
      <c r="S146">
        <v>0.40692159999999999</v>
      </c>
      <c r="T146" t="s">
        <v>1014</v>
      </c>
      <c r="U146">
        <v>0</v>
      </c>
    </row>
    <row r="147" spans="1:21" x14ac:dyDescent="0.25">
      <c r="A147" t="s">
        <v>56</v>
      </c>
      <c r="B147" t="s">
        <v>881</v>
      </c>
      <c r="C147">
        <v>12</v>
      </c>
      <c r="D147" t="s">
        <v>25</v>
      </c>
      <c r="E147" t="s">
        <v>94</v>
      </c>
      <c r="F147" t="s">
        <v>112</v>
      </c>
      <c r="G147" t="s">
        <v>121</v>
      </c>
      <c r="H147" t="s">
        <v>241</v>
      </c>
      <c r="J147">
        <v>0</v>
      </c>
      <c r="K147">
        <v>4</v>
      </c>
      <c r="L147">
        <v>65.09375</v>
      </c>
      <c r="M147">
        <v>37.895352600000002</v>
      </c>
      <c r="N147">
        <v>2.2882677779999998</v>
      </c>
      <c r="O147">
        <v>2.2111774</v>
      </c>
      <c r="P147">
        <v>114</v>
      </c>
      <c r="Q147">
        <v>30.43077242</v>
      </c>
      <c r="R147">
        <v>0.53383111100000002</v>
      </c>
      <c r="S147">
        <v>0.28333332999999999</v>
      </c>
      <c r="T147" t="s">
        <v>1014</v>
      </c>
      <c r="U147">
        <v>-48.90625</v>
      </c>
    </row>
    <row r="148" spans="1:21" x14ac:dyDescent="0.25">
      <c r="A148" t="s">
        <v>56</v>
      </c>
      <c r="B148" t="s">
        <v>881</v>
      </c>
      <c r="C148">
        <v>12</v>
      </c>
      <c r="D148" t="s">
        <v>25</v>
      </c>
      <c r="E148" t="s">
        <v>94</v>
      </c>
      <c r="F148" t="s">
        <v>112</v>
      </c>
      <c r="G148" t="s">
        <v>121</v>
      </c>
      <c r="H148" t="s">
        <v>241</v>
      </c>
      <c r="J148">
        <v>0</v>
      </c>
      <c r="K148">
        <v>4</v>
      </c>
      <c r="L148">
        <v>65.09375</v>
      </c>
      <c r="M148">
        <v>37.895352600000002</v>
      </c>
      <c r="N148">
        <v>2.2882677779999998</v>
      </c>
      <c r="O148">
        <v>2.2111774</v>
      </c>
      <c r="P148">
        <v>114</v>
      </c>
      <c r="Q148">
        <v>30.43077242</v>
      </c>
      <c r="R148">
        <v>0.53383111100000002</v>
      </c>
      <c r="S148">
        <v>0.28333332999999999</v>
      </c>
      <c r="T148" t="s">
        <v>1014</v>
      </c>
      <c r="U148">
        <v>-48.90625</v>
      </c>
    </row>
    <row r="149" spans="1:21" x14ac:dyDescent="0.25">
      <c r="A149" t="s">
        <v>56</v>
      </c>
      <c r="B149" t="s">
        <v>881</v>
      </c>
      <c r="C149">
        <v>12</v>
      </c>
      <c r="D149" t="s">
        <v>25</v>
      </c>
      <c r="E149" t="s">
        <v>94</v>
      </c>
      <c r="F149" t="s">
        <v>112</v>
      </c>
      <c r="G149" t="s">
        <v>121</v>
      </c>
      <c r="H149" t="s">
        <v>241</v>
      </c>
      <c r="J149">
        <v>0</v>
      </c>
      <c r="K149">
        <v>4</v>
      </c>
      <c r="L149">
        <v>65.09375</v>
      </c>
      <c r="M149">
        <v>37.895352600000002</v>
      </c>
      <c r="N149">
        <v>2.2882677779999998</v>
      </c>
      <c r="O149">
        <v>2.2111774</v>
      </c>
      <c r="P149">
        <v>114</v>
      </c>
      <c r="Q149">
        <v>30.43077242</v>
      </c>
      <c r="R149">
        <v>0.53383111100000002</v>
      </c>
      <c r="S149">
        <v>0.28333332999999999</v>
      </c>
      <c r="T149" t="s">
        <v>1014</v>
      </c>
      <c r="U149">
        <v>-48.90625</v>
      </c>
    </row>
    <row r="150" spans="1:21" x14ac:dyDescent="0.25">
      <c r="A150" t="s">
        <v>56</v>
      </c>
      <c r="B150" t="s">
        <v>881</v>
      </c>
      <c r="C150">
        <v>12</v>
      </c>
      <c r="D150" t="s">
        <v>25</v>
      </c>
      <c r="E150" t="s">
        <v>94</v>
      </c>
      <c r="F150" t="s">
        <v>112</v>
      </c>
      <c r="G150" t="s">
        <v>121</v>
      </c>
      <c r="H150" t="s">
        <v>241</v>
      </c>
      <c r="J150">
        <v>0</v>
      </c>
      <c r="K150">
        <v>4</v>
      </c>
      <c r="L150">
        <v>65.09375</v>
      </c>
      <c r="M150">
        <v>37.895352600000002</v>
      </c>
      <c r="N150">
        <v>2.2882677779999998</v>
      </c>
      <c r="O150">
        <v>2.2111774</v>
      </c>
      <c r="P150">
        <v>114</v>
      </c>
      <c r="Q150">
        <v>30.43077242</v>
      </c>
      <c r="R150">
        <v>0.53383111100000002</v>
      </c>
      <c r="S150">
        <v>0.28333332999999999</v>
      </c>
      <c r="T150" t="s">
        <v>1014</v>
      </c>
      <c r="U150">
        <v>-48.90625</v>
      </c>
    </row>
    <row r="151" spans="1:21" x14ac:dyDescent="0.25">
      <c r="A151" t="s">
        <v>57</v>
      </c>
      <c r="B151" t="s">
        <v>882</v>
      </c>
      <c r="C151">
        <v>12</v>
      </c>
      <c r="D151" t="s">
        <v>27</v>
      </c>
      <c r="E151" t="s">
        <v>94</v>
      </c>
      <c r="F151" t="s">
        <v>105</v>
      </c>
      <c r="G151" t="s">
        <v>121</v>
      </c>
      <c r="H151" t="s">
        <v>247</v>
      </c>
      <c r="J151">
        <v>0</v>
      </c>
      <c r="K151">
        <v>1</v>
      </c>
      <c r="L151">
        <v>67.5</v>
      </c>
      <c r="M151">
        <v>47.937235809999997</v>
      </c>
      <c r="N151">
        <v>0.41599678000000001</v>
      </c>
      <c r="O151">
        <v>2.0950346999999998</v>
      </c>
      <c r="P151">
        <v>65.791044779999993</v>
      </c>
      <c r="Q151">
        <v>22.94519201</v>
      </c>
      <c r="R151">
        <v>8.1320334999999994E-2</v>
      </c>
      <c r="S151">
        <v>0.17285655</v>
      </c>
      <c r="T151" t="s">
        <v>1014</v>
      </c>
      <c r="U151">
        <v>1.70895522</v>
      </c>
    </row>
    <row r="152" spans="1:21" x14ac:dyDescent="0.25">
      <c r="A152" t="s">
        <v>57</v>
      </c>
      <c r="B152" t="s">
        <v>882</v>
      </c>
      <c r="C152">
        <v>12</v>
      </c>
      <c r="D152" t="s">
        <v>27</v>
      </c>
      <c r="E152" t="s">
        <v>94</v>
      </c>
      <c r="F152" t="s">
        <v>105</v>
      </c>
      <c r="G152" t="s">
        <v>121</v>
      </c>
      <c r="H152" t="s">
        <v>103</v>
      </c>
      <c r="J152">
        <v>0</v>
      </c>
      <c r="K152">
        <v>1</v>
      </c>
      <c r="L152">
        <v>67.5</v>
      </c>
      <c r="M152">
        <v>47.937235809999997</v>
      </c>
      <c r="N152">
        <v>0.41599678000000001</v>
      </c>
      <c r="O152">
        <v>2.0950346999999998</v>
      </c>
      <c r="P152">
        <v>98.291666669999998</v>
      </c>
      <c r="Q152">
        <v>30.315130790000001</v>
      </c>
      <c r="R152">
        <v>5.0803484000000003E-2</v>
      </c>
      <c r="S152">
        <v>0.42866070000000001</v>
      </c>
      <c r="T152" t="s">
        <v>1014</v>
      </c>
      <c r="U152">
        <v>-30.791666670000001</v>
      </c>
    </row>
    <row r="153" spans="1:21" x14ac:dyDescent="0.25">
      <c r="A153" t="s">
        <v>57</v>
      </c>
      <c r="B153" t="s">
        <v>882</v>
      </c>
      <c r="C153">
        <v>12</v>
      </c>
      <c r="D153" t="s">
        <v>27</v>
      </c>
      <c r="E153" t="s">
        <v>94</v>
      </c>
      <c r="F153" t="s">
        <v>105</v>
      </c>
      <c r="G153" t="s">
        <v>121</v>
      </c>
      <c r="H153" t="s">
        <v>233</v>
      </c>
      <c r="J153">
        <v>0</v>
      </c>
      <c r="K153">
        <v>6</v>
      </c>
      <c r="L153">
        <v>67.5</v>
      </c>
      <c r="M153">
        <v>47.937235809999997</v>
      </c>
      <c r="N153">
        <v>0.41599678000000001</v>
      </c>
      <c r="O153">
        <v>2.0950346999999998</v>
      </c>
      <c r="P153">
        <v>106.0540541</v>
      </c>
      <c r="Q153">
        <v>52.690533369999997</v>
      </c>
      <c r="R153">
        <v>7.6058968000000005E-2</v>
      </c>
      <c r="S153">
        <v>0.44888888999999998</v>
      </c>
      <c r="T153" t="s">
        <v>1014</v>
      </c>
      <c r="U153">
        <v>-38.554054100000002</v>
      </c>
    </row>
    <row r="154" spans="1:21" x14ac:dyDescent="0.25">
      <c r="A154" t="s">
        <v>57</v>
      </c>
      <c r="B154" t="s">
        <v>882</v>
      </c>
      <c r="C154">
        <v>12</v>
      </c>
      <c r="D154" t="s">
        <v>27</v>
      </c>
      <c r="E154" t="s">
        <v>94</v>
      </c>
      <c r="F154" t="s">
        <v>105</v>
      </c>
      <c r="G154" t="s">
        <v>121</v>
      </c>
      <c r="H154" t="s">
        <v>233</v>
      </c>
      <c r="J154">
        <v>0</v>
      </c>
      <c r="K154">
        <v>6</v>
      </c>
      <c r="L154">
        <v>67.5</v>
      </c>
      <c r="M154">
        <v>47.937235809999997</v>
      </c>
      <c r="N154">
        <v>0.41599678000000001</v>
      </c>
      <c r="O154">
        <v>2.0950346999999998</v>
      </c>
      <c r="P154">
        <v>106.0540541</v>
      </c>
      <c r="Q154">
        <v>52.690533369999997</v>
      </c>
      <c r="R154">
        <v>7.6058968000000005E-2</v>
      </c>
      <c r="S154">
        <v>0.44888888999999998</v>
      </c>
      <c r="T154" t="s">
        <v>1014</v>
      </c>
      <c r="U154">
        <v>-38.554054100000002</v>
      </c>
    </row>
    <row r="155" spans="1:21" x14ac:dyDescent="0.25">
      <c r="A155" t="s">
        <v>57</v>
      </c>
      <c r="B155" t="s">
        <v>882</v>
      </c>
      <c r="C155">
        <v>12</v>
      </c>
      <c r="D155" t="s">
        <v>27</v>
      </c>
      <c r="E155" t="s">
        <v>94</v>
      </c>
      <c r="F155" t="s">
        <v>105</v>
      </c>
      <c r="G155" t="s">
        <v>121</v>
      </c>
      <c r="H155" t="s">
        <v>233</v>
      </c>
      <c r="J155">
        <v>0</v>
      </c>
      <c r="K155">
        <v>6</v>
      </c>
      <c r="L155">
        <v>67.5</v>
      </c>
      <c r="M155">
        <v>47.937235809999997</v>
      </c>
      <c r="N155">
        <v>0.41599678000000001</v>
      </c>
      <c r="O155">
        <v>2.0950346999999998</v>
      </c>
      <c r="P155">
        <v>106.0540541</v>
      </c>
      <c r="Q155">
        <v>52.690533369999997</v>
      </c>
      <c r="R155">
        <v>7.6058968000000005E-2</v>
      </c>
      <c r="S155">
        <v>0.44888888999999998</v>
      </c>
      <c r="T155" t="s">
        <v>1014</v>
      </c>
      <c r="U155">
        <v>-38.554054100000002</v>
      </c>
    </row>
    <row r="156" spans="1:21" x14ac:dyDescent="0.25">
      <c r="A156" t="s">
        <v>57</v>
      </c>
      <c r="B156" t="s">
        <v>882</v>
      </c>
      <c r="C156">
        <v>12</v>
      </c>
      <c r="D156" t="s">
        <v>27</v>
      </c>
      <c r="E156" t="s">
        <v>94</v>
      </c>
      <c r="F156" t="s">
        <v>105</v>
      </c>
      <c r="G156" t="s">
        <v>121</v>
      </c>
      <c r="H156" t="s">
        <v>233</v>
      </c>
      <c r="J156">
        <v>0</v>
      </c>
      <c r="K156">
        <v>6</v>
      </c>
      <c r="L156">
        <v>67.5</v>
      </c>
      <c r="M156">
        <v>47.937235809999997</v>
      </c>
      <c r="N156">
        <v>0.41599678000000001</v>
      </c>
      <c r="O156">
        <v>2.0950346999999998</v>
      </c>
      <c r="P156">
        <v>106.0540541</v>
      </c>
      <c r="Q156">
        <v>52.690533369999997</v>
      </c>
      <c r="R156">
        <v>7.6058968000000005E-2</v>
      </c>
      <c r="S156">
        <v>0.44888888999999998</v>
      </c>
      <c r="T156" t="s">
        <v>1014</v>
      </c>
      <c r="U156">
        <v>-38.554054100000002</v>
      </c>
    </row>
    <row r="157" spans="1:21" x14ac:dyDescent="0.25">
      <c r="A157" t="s">
        <v>57</v>
      </c>
      <c r="B157" t="s">
        <v>882</v>
      </c>
      <c r="C157">
        <v>12</v>
      </c>
      <c r="D157" t="s">
        <v>27</v>
      </c>
      <c r="E157" t="s">
        <v>94</v>
      </c>
      <c r="F157" t="s">
        <v>105</v>
      </c>
      <c r="G157" t="s">
        <v>121</v>
      </c>
      <c r="H157" t="s">
        <v>233</v>
      </c>
      <c r="J157">
        <v>0</v>
      </c>
      <c r="K157">
        <v>6</v>
      </c>
      <c r="L157">
        <v>67.5</v>
      </c>
      <c r="M157">
        <v>47.937235809999997</v>
      </c>
      <c r="N157">
        <v>0.41599678000000001</v>
      </c>
      <c r="O157">
        <v>2.0950346999999998</v>
      </c>
      <c r="P157">
        <v>106.0540541</v>
      </c>
      <c r="Q157">
        <v>52.690533369999997</v>
      </c>
      <c r="R157">
        <v>7.6058968000000005E-2</v>
      </c>
      <c r="S157">
        <v>0.44888888999999998</v>
      </c>
      <c r="T157" t="s">
        <v>1014</v>
      </c>
      <c r="U157">
        <v>-38.554054100000002</v>
      </c>
    </row>
    <row r="158" spans="1:21" x14ac:dyDescent="0.25">
      <c r="A158" t="s">
        <v>57</v>
      </c>
      <c r="B158" t="s">
        <v>882</v>
      </c>
      <c r="C158">
        <v>12</v>
      </c>
      <c r="D158" t="s">
        <v>27</v>
      </c>
      <c r="E158" t="s">
        <v>94</v>
      </c>
      <c r="F158" t="s">
        <v>105</v>
      </c>
      <c r="G158" t="s">
        <v>121</v>
      </c>
      <c r="H158" t="s">
        <v>233</v>
      </c>
      <c r="J158">
        <v>0</v>
      </c>
      <c r="K158">
        <v>6</v>
      </c>
      <c r="L158">
        <v>67.5</v>
      </c>
      <c r="M158">
        <v>47.937235809999997</v>
      </c>
      <c r="N158">
        <v>0.41599678000000001</v>
      </c>
      <c r="O158">
        <v>2.0950346999999998</v>
      </c>
      <c r="P158">
        <v>106.0540541</v>
      </c>
      <c r="Q158">
        <v>52.690533369999997</v>
      </c>
      <c r="R158">
        <v>7.6058968000000005E-2</v>
      </c>
      <c r="S158">
        <v>0.44888888999999998</v>
      </c>
      <c r="T158" t="s">
        <v>1014</v>
      </c>
      <c r="U158">
        <v>-38.554054100000002</v>
      </c>
    </row>
    <row r="159" spans="1:21" x14ac:dyDescent="0.25">
      <c r="A159" t="s">
        <v>57</v>
      </c>
      <c r="B159" t="s">
        <v>883</v>
      </c>
      <c r="C159">
        <v>12</v>
      </c>
      <c r="D159" t="s">
        <v>27</v>
      </c>
      <c r="E159" t="s">
        <v>94</v>
      </c>
      <c r="F159" t="s">
        <v>113</v>
      </c>
      <c r="G159" t="s">
        <v>121</v>
      </c>
      <c r="H159" t="s">
        <v>114</v>
      </c>
      <c r="J159">
        <v>0</v>
      </c>
      <c r="K159" t="s">
        <v>114</v>
      </c>
      <c r="L159">
        <v>83.757575759999995</v>
      </c>
      <c r="M159">
        <v>22.60997987</v>
      </c>
      <c r="N159">
        <v>0.72884000000000004</v>
      </c>
      <c r="O159">
        <v>0.21301339999999999</v>
      </c>
      <c r="P159" t="s">
        <v>114</v>
      </c>
      <c r="Q159" t="s">
        <v>114</v>
      </c>
      <c r="R159" t="s">
        <v>114</v>
      </c>
      <c r="S159" t="s">
        <v>114</v>
      </c>
      <c r="T159" t="s">
        <v>1014</v>
      </c>
      <c r="U159" t="s">
        <v>114</v>
      </c>
    </row>
    <row r="160" spans="1:21" x14ac:dyDescent="0.25">
      <c r="A160" t="s">
        <v>57</v>
      </c>
      <c r="B160" t="s">
        <v>884</v>
      </c>
      <c r="C160">
        <v>12</v>
      </c>
      <c r="D160" t="s">
        <v>27</v>
      </c>
      <c r="E160" t="s">
        <v>94</v>
      </c>
      <c r="F160" t="s">
        <v>112</v>
      </c>
      <c r="G160" t="s">
        <v>112</v>
      </c>
      <c r="H160" t="s">
        <v>112</v>
      </c>
      <c r="J160">
        <v>0</v>
      </c>
      <c r="K160">
        <v>2</v>
      </c>
      <c r="L160">
        <v>65.09375</v>
      </c>
      <c r="M160">
        <v>37.895352600000002</v>
      </c>
      <c r="N160">
        <v>2.2882677779999998</v>
      </c>
      <c r="O160">
        <v>2.2111774</v>
      </c>
      <c r="P160">
        <v>65.09375</v>
      </c>
      <c r="Q160">
        <v>37.895352600000002</v>
      </c>
      <c r="R160">
        <v>2.2882677779999998</v>
      </c>
      <c r="S160">
        <v>2.2111774</v>
      </c>
      <c r="T160" t="s">
        <v>1014</v>
      </c>
      <c r="U160">
        <v>0</v>
      </c>
    </row>
    <row r="161" spans="1:21" x14ac:dyDescent="0.25">
      <c r="A161" t="s">
        <v>57</v>
      </c>
      <c r="B161" t="s">
        <v>884</v>
      </c>
      <c r="C161">
        <v>12</v>
      </c>
      <c r="D161" t="s">
        <v>27</v>
      </c>
      <c r="E161" t="s">
        <v>94</v>
      </c>
      <c r="F161" t="s">
        <v>112</v>
      </c>
      <c r="G161" t="s">
        <v>112</v>
      </c>
      <c r="H161" t="s">
        <v>112</v>
      </c>
      <c r="J161">
        <v>0</v>
      </c>
      <c r="K161">
        <v>2</v>
      </c>
      <c r="L161">
        <v>65.09375</v>
      </c>
      <c r="M161">
        <v>37.895352600000002</v>
      </c>
      <c r="N161">
        <v>2.2882677779999998</v>
      </c>
      <c r="O161">
        <v>2.2111774</v>
      </c>
      <c r="P161">
        <v>65.09375</v>
      </c>
      <c r="Q161">
        <v>37.895352600000002</v>
      </c>
      <c r="R161">
        <v>2.2882677779999998</v>
      </c>
      <c r="S161">
        <v>2.2111774</v>
      </c>
      <c r="T161" t="s">
        <v>1014</v>
      </c>
      <c r="U161">
        <v>0</v>
      </c>
    </row>
    <row r="162" spans="1:21" x14ac:dyDescent="0.25">
      <c r="A162" t="s">
        <v>57</v>
      </c>
      <c r="B162" t="s">
        <v>884</v>
      </c>
      <c r="C162">
        <v>12</v>
      </c>
      <c r="D162" t="s">
        <v>27</v>
      </c>
      <c r="E162" t="s">
        <v>94</v>
      </c>
      <c r="F162" t="s">
        <v>112</v>
      </c>
      <c r="G162" t="s">
        <v>112</v>
      </c>
      <c r="H162" t="s">
        <v>247</v>
      </c>
      <c r="J162">
        <v>0</v>
      </c>
      <c r="K162">
        <v>1</v>
      </c>
      <c r="L162">
        <v>65.09375</v>
      </c>
      <c r="M162">
        <v>37.895352600000002</v>
      </c>
      <c r="N162">
        <v>2.2882677779999998</v>
      </c>
      <c r="O162">
        <v>2.2111774</v>
      </c>
      <c r="P162">
        <v>65.791044779999993</v>
      </c>
      <c r="Q162">
        <v>22.94519201</v>
      </c>
      <c r="R162">
        <v>8.1320334999999994E-2</v>
      </c>
      <c r="S162">
        <v>0.17285655</v>
      </c>
      <c r="T162" t="s">
        <v>1014</v>
      </c>
      <c r="U162">
        <v>-0.69729478</v>
      </c>
    </row>
    <row r="163" spans="1:21" x14ac:dyDescent="0.25">
      <c r="A163" t="s">
        <v>58</v>
      </c>
      <c r="B163" t="s">
        <v>885</v>
      </c>
      <c r="C163">
        <v>12</v>
      </c>
      <c r="D163" t="s">
        <v>29</v>
      </c>
      <c r="E163" t="s">
        <v>95</v>
      </c>
      <c r="F163" t="s">
        <v>102</v>
      </c>
      <c r="G163" t="s">
        <v>104</v>
      </c>
      <c r="H163" t="s">
        <v>104</v>
      </c>
      <c r="J163">
        <v>0</v>
      </c>
      <c r="K163">
        <v>1</v>
      </c>
      <c r="L163">
        <v>84.740740740000007</v>
      </c>
      <c r="M163">
        <v>29.167014049999999</v>
      </c>
      <c r="N163">
        <v>1.1169849999999999</v>
      </c>
      <c r="O163">
        <v>1.1571499000000001</v>
      </c>
      <c r="P163">
        <v>113.9375</v>
      </c>
      <c r="Q163">
        <v>33.375507550000002</v>
      </c>
      <c r="R163">
        <v>2.4262999999999999</v>
      </c>
      <c r="S163">
        <v>0.40692159999999999</v>
      </c>
      <c r="T163" t="s">
        <v>1014</v>
      </c>
      <c r="U163">
        <v>-29.19675926</v>
      </c>
    </row>
    <row r="164" spans="1:21" x14ac:dyDescent="0.25">
      <c r="A164" t="s">
        <v>58</v>
      </c>
      <c r="B164" t="s">
        <v>885</v>
      </c>
      <c r="C164">
        <v>12</v>
      </c>
      <c r="D164" t="s">
        <v>29</v>
      </c>
      <c r="E164" t="s">
        <v>95</v>
      </c>
      <c r="F164" t="s">
        <v>102</v>
      </c>
      <c r="G164" t="s">
        <v>104</v>
      </c>
      <c r="H164" t="s">
        <v>246</v>
      </c>
      <c r="J164">
        <v>0</v>
      </c>
      <c r="K164">
        <v>1</v>
      </c>
      <c r="L164">
        <v>84.740740740000007</v>
      </c>
      <c r="M164">
        <v>29.167014049999999</v>
      </c>
      <c r="N164">
        <v>1.1169849999999999</v>
      </c>
      <c r="O164">
        <v>1.1571499000000001</v>
      </c>
      <c r="P164">
        <v>120.25</v>
      </c>
      <c r="Q164">
        <v>30.670450110000001</v>
      </c>
      <c r="R164">
        <v>0.91037498500000003</v>
      </c>
      <c r="S164" t="s">
        <v>114</v>
      </c>
      <c r="T164" t="s">
        <v>1014</v>
      </c>
      <c r="U164">
        <v>-35.50925926</v>
      </c>
    </row>
    <row r="165" spans="1:21" x14ac:dyDescent="0.25">
      <c r="A165" t="s">
        <v>58</v>
      </c>
      <c r="B165" t="s">
        <v>886</v>
      </c>
      <c r="C165">
        <v>12</v>
      </c>
      <c r="D165" t="s">
        <v>29</v>
      </c>
      <c r="E165" t="s">
        <v>95</v>
      </c>
      <c r="F165" t="s">
        <v>110</v>
      </c>
      <c r="G165" t="s">
        <v>121</v>
      </c>
      <c r="H165" t="s">
        <v>246</v>
      </c>
      <c r="I165" t="s">
        <v>162</v>
      </c>
      <c r="J165">
        <v>1</v>
      </c>
      <c r="K165">
        <v>1</v>
      </c>
      <c r="L165">
        <v>73.260869569999997</v>
      </c>
      <c r="M165">
        <v>34.453830549999999</v>
      </c>
      <c r="N165">
        <v>1.058333333</v>
      </c>
      <c r="O165">
        <v>0.90897070000000002</v>
      </c>
      <c r="P165">
        <v>120.25</v>
      </c>
      <c r="Q165">
        <v>30.670450110000001</v>
      </c>
      <c r="R165">
        <v>0.91037498500000003</v>
      </c>
      <c r="S165" t="s">
        <v>114</v>
      </c>
      <c r="T165" t="s">
        <v>1014</v>
      </c>
      <c r="U165">
        <v>-46.989130430000003</v>
      </c>
    </row>
    <row r="166" spans="1:21" x14ac:dyDescent="0.25">
      <c r="A166" t="s">
        <v>58</v>
      </c>
      <c r="B166" t="s">
        <v>886</v>
      </c>
      <c r="C166">
        <v>12</v>
      </c>
      <c r="D166" t="s">
        <v>29</v>
      </c>
      <c r="E166" t="s">
        <v>95</v>
      </c>
      <c r="F166" t="s">
        <v>110</v>
      </c>
      <c r="G166" t="s">
        <v>121</v>
      </c>
      <c r="H166" t="s">
        <v>239</v>
      </c>
      <c r="J166">
        <v>1</v>
      </c>
      <c r="K166">
        <v>1</v>
      </c>
      <c r="L166">
        <v>73.260869569999997</v>
      </c>
      <c r="M166">
        <v>34.453830549999999</v>
      </c>
      <c r="N166">
        <v>1.058333333</v>
      </c>
      <c r="O166">
        <v>0.90897070000000002</v>
      </c>
      <c r="P166">
        <v>100.45454549999999</v>
      </c>
      <c r="Q166">
        <v>26.754810689999999</v>
      </c>
      <c r="R166">
        <v>0.75829999999999997</v>
      </c>
      <c r="S166">
        <v>0.40907861000000001</v>
      </c>
      <c r="T166" t="s">
        <v>1014</v>
      </c>
      <c r="U166">
        <v>-27.193675930000001</v>
      </c>
    </row>
    <row r="167" spans="1:21" x14ac:dyDescent="0.25">
      <c r="A167" t="s">
        <v>58</v>
      </c>
      <c r="B167" t="s">
        <v>887</v>
      </c>
      <c r="C167">
        <v>12</v>
      </c>
      <c r="D167" t="s">
        <v>29</v>
      </c>
      <c r="E167" t="s">
        <v>95</v>
      </c>
      <c r="F167" t="s">
        <v>103</v>
      </c>
      <c r="G167" t="s">
        <v>121</v>
      </c>
      <c r="H167" t="s">
        <v>249</v>
      </c>
      <c r="J167">
        <v>0</v>
      </c>
      <c r="K167">
        <v>1</v>
      </c>
      <c r="L167">
        <v>98.291666669999998</v>
      </c>
      <c r="M167">
        <v>30.315130790000001</v>
      </c>
      <c r="N167">
        <v>5.0803484000000003E-2</v>
      </c>
      <c r="O167">
        <v>0.42866070000000001</v>
      </c>
      <c r="P167">
        <v>81.666666669999998</v>
      </c>
      <c r="Q167">
        <v>48.056268459999998</v>
      </c>
      <c r="R167">
        <v>0.120291364</v>
      </c>
      <c r="S167" t="s">
        <v>114</v>
      </c>
      <c r="T167" t="s">
        <v>1014</v>
      </c>
      <c r="U167">
        <v>16.625</v>
      </c>
    </row>
    <row r="168" spans="1:21" x14ac:dyDescent="0.25">
      <c r="A168" t="s">
        <v>58</v>
      </c>
      <c r="B168" t="s">
        <v>887</v>
      </c>
      <c r="C168">
        <v>12</v>
      </c>
      <c r="D168" t="s">
        <v>29</v>
      </c>
      <c r="E168" t="s">
        <v>95</v>
      </c>
      <c r="F168" t="s">
        <v>103</v>
      </c>
      <c r="G168" t="s">
        <v>121</v>
      </c>
      <c r="H168" t="s">
        <v>238</v>
      </c>
      <c r="J168">
        <v>0</v>
      </c>
      <c r="K168">
        <v>1</v>
      </c>
      <c r="L168">
        <v>98.291666669999998</v>
      </c>
      <c r="M168">
        <v>30.315130790000001</v>
      </c>
      <c r="N168">
        <v>5.0803484000000003E-2</v>
      </c>
      <c r="O168">
        <v>0.42866070000000001</v>
      </c>
      <c r="P168">
        <v>87.5</v>
      </c>
      <c r="Q168">
        <v>29.478311600000001</v>
      </c>
      <c r="R168">
        <v>3.0797751000000002E-2</v>
      </c>
      <c r="S168">
        <v>0.12931835</v>
      </c>
      <c r="T168" t="s">
        <v>1014</v>
      </c>
      <c r="U168">
        <v>10.79166667</v>
      </c>
    </row>
    <row r="169" spans="1:21" x14ac:dyDescent="0.25">
      <c r="A169" t="s">
        <v>59</v>
      </c>
      <c r="B169" t="s">
        <v>888</v>
      </c>
      <c r="C169">
        <v>12</v>
      </c>
      <c r="D169" t="s">
        <v>31</v>
      </c>
      <c r="E169" t="s">
        <v>94</v>
      </c>
      <c r="F169" t="s">
        <v>105</v>
      </c>
      <c r="G169" t="s">
        <v>121</v>
      </c>
      <c r="H169" t="s">
        <v>241</v>
      </c>
      <c r="J169">
        <v>0</v>
      </c>
      <c r="K169">
        <v>1</v>
      </c>
      <c r="L169">
        <v>67.5</v>
      </c>
      <c r="M169">
        <v>47.937235809999997</v>
      </c>
      <c r="N169">
        <v>0.41599678000000001</v>
      </c>
      <c r="O169">
        <v>2.0950346999999998</v>
      </c>
      <c r="P169">
        <v>114</v>
      </c>
      <c r="Q169">
        <v>30.43077242</v>
      </c>
      <c r="R169">
        <v>0.53383111100000002</v>
      </c>
      <c r="S169">
        <v>0.28333332999999999</v>
      </c>
      <c r="T169" t="s">
        <v>1014</v>
      </c>
      <c r="U169">
        <v>-46.5</v>
      </c>
    </row>
    <row r="170" spans="1:21" x14ac:dyDescent="0.25">
      <c r="A170" t="s">
        <v>59</v>
      </c>
      <c r="B170" t="s">
        <v>889</v>
      </c>
      <c r="C170">
        <v>12</v>
      </c>
      <c r="D170" t="s">
        <v>31</v>
      </c>
      <c r="E170" t="s">
        <v>94</v>
      </c>
      <c r="F170" t="s">
        <v>110</v>
      </c>
      <c r="G170" t="s">
        <v>121</v>
      </c>
      <c r="H170" t="s">
        <v>241</v>
      </c>
      <c r="J170">
        <v>0</v>
      </c>
      <c r="K170">
        <v>2</v>
      </c>
      <c r="L170">
        <v>73.260869569999997</v>
      </c>
      <c r="M170">
        <v>34.453830549999999</v>
      </c>
      <c r="N170">
        <v>1.058333333</v>
      </c>
      <c r="O170">
        <v>0.90897070000000002</v>
      </c>
      <c r="P170">
        <v>114</v>
      </c>
      <c r="Q170">
        <v>30.43077242</v>
      </c>
      <c r="R170">
        <v>0.53383111100000002</v>
      </c>
      <c r="S170">
        <v>0.28333332999999999</v>
      </c>
      <c r="T170" t="s">
        <v>1014</v>
      </c>
      <c r="U170">
        <v>-40.739130430000003</v>
      </c>
    </row>
    <row r="171" spans="1:21" x14ac:dyDescent="0.25">
      <c r="A171" t="s">
        <v>59</v>
      </c>
      <c r="B171" t="s">
        <v>889</v>
      </c>
      <c r="C171">
        <v>12</v>
      </c>
      <c r="D171" t="s">
        <v>31</v>
      </c>
      <c r="E171" t="s">
        <v>94</v>
      </c>
      <c r="F171" t="s">
        <v>110</v>
      </c>
      <c r="G171" t="s">
        <v>121</v>
      </c>
      <c r="H171" t="s">
        <v>241</v>
      </c>
      <c r="J171">
        <v>0</v>
      </c>
      <c r="K171">
        <v>2</v>
      </c>
      <c r="L171">
        <v>73.260869569999997</v>
      </c>
      <c r="M171">
        <v>34.453830549999999</v>
      </c>
      <c r="N171">
        <v>1.058333333</v>
      </c>
      <c r="O171">
        <v>0.90897070000000002</v>
      </c>
      <c r="P171">
        <v>114</v>
      </c>
      <c r="Q171">
        <v>30.43077242</v>
      </c>
      <c r="R171">
        <v>0.53383111100000002</v>
      </c>
      <c r="S171">
        <v>0.28333332999999999</v>
      </c>
      <c r="T171" t="s">
        <v>1014</v>
      </c>
      <c r="U171">
        <v>-40.739130430000003</v>
      </c>
    </row>
    <row r="172" spans="1:21" x14ac:dyDescent="0.25">
      <c r="A172" t="s">
        <v>60</v>
      </c>
      <c r="B172" t="s">
        <v>890</v>
      </c>
      <c r="C172">
        <v>12</v>
      </c>
      <c r="D172" t="s">
        <v>33</v>
      </c>
      <c r="E172" t="s">
        <v>95</v>
      </c>
      <c r="F172" t="s">
        <v>102</v>
      </c>
      <c r="G172" t="s">
        <v>104</v>
      </c>
      <c r="H172" t="s">
        <v>104</v>
      </c>
      <c r="J172">
        <v>0</v>
      </c>
      <c r="K172">
        <v>1</v>
      </c>
      <c r="L172">
        <v>84.740740740000007</v>
      </c>
      <c r="M172">
        <v>29.167014049999999</v>
      </c>
      <c r="N172">
        <v>1.1169849999999999</v>
      </c>
      <c r="O172">
        <v>1.1571499000000001</v>
      </c>
      <c r="P172">
        <v>113.9375</v>
      </c>
      <c r="Q172">
        <v>33.375507550000002</v>
      </c>
      <c r="R172">
        <v>2.4262999999999999</v>
      </c>
      <c r="S172">
        <v>0.40692159999999999</v>
      </c>
      <c r="T172" t="s">
        <v>1014</v>
      </c>
      <c r="U172">
        <v>-29.19675926</v>
      </c>
    </row>
    <row r="173" spans="1:21" x14ac:dyDescent="0.25">
      <c r="A173" t="s">
        <v>60</v>
      </c>
      <c r="B173" t="s">
        <v>891</v>
      </c>
      <c r="C173">
        <v>12</v>
      </c>
      <c r="D173" t="s">
        <v>33</v>
      </c>
      <c r="E173" t="s">
        <v>95</v>
      </c>
      <c r="F173" t="s">
        <v>110</v>
      </c>
      <c r="G173" t="s">
        <v>121</v>
      </c>
      <c r="H173" t="s">
        <v>241</v>
      </c>
      <c r="J173">
        <v>0</v>
      </c>
      <c r="K173">
        <v>2</v>
      </c>
      <c r="L173">
        <v>73.260869569999997</v>
      </c>
      <c r="M173">
        <v>34.453830549999999</v>
      </c>
      <c r="N173">
        <v>1.058333333</v>
      </c>
      <c r="O173">
        <v>0.90897070000000002</v>
      </c>
      <c r="P173">
        <v>114</v>
      </c>
      <c r="Q173">
        <v>30.43077242</v>
      </c>
      <c r="R173">
        <v>0.53383111100000002</v>
      </c>
      <c r="S173">
        <v>0.28333332999999999</v>
      </c>
      <c r="T173" t="s">
        <v>1014</v>
      </c>
      <c r="U173">
        <v>-40.739130430000003</v>
      </c>
    </row>
    <row r="174" spans="1:21" x14ac:dyDescent="0.25">
      <c r="A174" t="s">
        <v>60</v>
      </c>
      <c r="B174" t="s">
        <v>891</v>
      </c>
      <c r="C174">
        <v>12</v>
      </c>
      <c r="D174" t="s">
        <v>33</v>
      </c>
      <c r="E174" t="s">
        <v>95</v>
      </c>
      <c r="F174" t="s">
        <v>110</v>
      </c>
      <c r="G174" t="s">
        <v>121</v>
      </c>
      <c r="H174" t="s">
        <v>241</v>
      </c>
      <c r="J174">
        <v>0</v>
      </c>
      <c r="K174">
        <v>2</v>
      </c>
      <c r="L174">
        <v>73.260869569999997</v>
      </c>
      <c r="M174">
        <v>34.453830549999999</v>
      </c>
      <c r="N174">
        <v>1.058333333</v>
      </c>
      <c r="O174">
        <v>0.90897070000000002</v>
      </c>
      <c r="P174">
        <v>114</v>
      </c>
      <c r="Q174">
        <v>30.43077242</v>
      </c>
      <c r="R174">
        <v>0.53383111100000002</v>
      </c>
      <c r="S174">
        <v>0.28333332999999999</v>
      </c>
      <c r="T174" t="s">
        <v>1014</v>
      </c>
      <c r="U174">
        <v>-40.739130430000003</v>
      </c>
    </row>
    <row r="175" spans="1:21" x14ac:dyDescent="0.25">
      <c r="A175" t="s">
        <v>60</v>
      </c>
      <c r="B175" t="s">
        <v>891</v>
      </c>
      <c r="C175">
        <v>12</v>
      </c>
      <c r="D175" t="s">
        <v>33</v>
      </c>
      <c r="E175" t="s">
        <v>95</v>
      </c>
      <c r="F175" t="s">
        <v>110</v>
      </c>
      <c r="G175" t="s">
        <v>121</v>
      </c>
      <c r="H175" t="s">
        <v>246</v>
      </c>
      <c r="J175">
        <v>0</v>
      </c>
      <c r="K175">
        <v>2</v>
      </c>
      <c r="L175">
        <v>73.260869569999997</v>
      </c>
      <c r="M175">
        <v>34.453830549999999</v>
      </c>
      <c r="N175">
        <v>1.058333333</v>
      </c>
      <c r="O175">
        <v>0.90897070000000002</v>
      </c>
      <c r="P175">
        <v>120.25</v>
      </c>
      <c r="Q175">
        <v>30.670450110000001</v>
      </c>
      <c r="R175">
        <v>0.91037498500000003</v>
      </c>
      <c r="S175" t="s">
        <v>114</v>
      </c>
      <c r="T175" t="s">
        <v>1014</v>
      </c>
      <c r="U175">
        <v>-46.989130430000003</v>
      </c>
    </row>
    <row r="176" spans="1:21" x14ac:dyDescent="0.25">
      <c r="A176" t="s">
        <v>60</v>
      </c>
      <c r="B176" t="s">
        <v>891</v>
      </c>
      <c r="C176">
        <v>12</v>
      </c>
      <c r="D176" t="s">
        <v>33</v>
      </c>
      <c r="E176" t="s">
        <v>95</v>
      </c>
      <c r="F176" t="s">
        <v>110</v>
      </c>
      <c r="G176" t="s">
        <v>121</v>
      </c>
      <c r="H176" t="s">
        <v>246</v>
      </c>
      <c r="J176">
        <v>0</v>
      </c>
      <c r="K176">
        <v>2</v>
      </c>
      <c r="L176">
        <v>73.260869569999997</v>
      </c>
      <c r="M176">
        <v>34.453830549999999</v>
      </c>
      <c r="N176">
        <v>1.058333333</v>
      </c>
      <c r="O176">
        <v>0.90897070000000002</v>
      </c>
      <c r="P176">
        <v>120.25</v>
      </c>
      <c r="Q176">
        <v>30.670450110000001</v>
      </c>
      <c r="R176">
        <v>0.91037498500000003</v>
      </c>
      <c r="S176" t="s">
        <v>114</v>
      </c>
      <c r="T176" t="s">
        <v>1014</v>
      </c>
      <c r="U176">
        <v>-46.989130430000003</v>
      </c>
    </row>
    <row r="177" spans="1:21" x14ac:dyDescent="0.25">
      <c r="A177" t="s">
        <v>60</v>
      </c>
      <c r="B177" t="s">
        <v>892</v>
      </c>
      <c r="C177">
        <v>12</v>
      </c>
      <c r="D177" t="s">
        <v>33</v>
      </c>
      <c r="E177" t="s">
        <v>95</v>
      </c>
      <c r="F177" t="s">
        <v>104</v>
      </c>
      <c r="G177" t="s">
        <v>104</v>
      </c>
      <c r="H177" t="s">
        <v>104</v>
      </c>
      <c r="J177">
        <v>0</v>
      </c>
      <c r="K177">
        <v>1</v>
      </c>
      <c r="L177">
        <v>113.9375</v>
      </c>
      <c r="M177">
        <v>33.375507550000002</v>
      </c>
      <c r="N177">
        <v>2.4262999999999999</v>
      </c>
      <c r="O177">
        <v>0.40692159999999999</v>
      </c>
      <c r="P177">
        <v>113.9375</v>
      </c>
      <c r="Q177">
        <v>33.375507550000002</v>
      </c>
      <c r="R177">
        <v>2.4262999999999999</v>
      </c>
      <c r="S177">
        <v>0.40692159999999999</v>
      </c>
      <c r="T177" t="s">
        <v>1014</v>
      </c>
      <c r="U177">
        <v>0</v>
      </c>
    </row>
    <row r="178" spans="1:21" x14ac:dyDescent="0.25">
      <c r="A178" t="s">
        <v>60</v>
      </c>
      <c r="B178" t="s">
        <v>892</v>
      </c>
      <c r="C178">
        <v>12</v>
      </c>
      <c r="D178" t="s">
        <v>33</v>
      </c>
      <c r="E178" t="s">
        <v>95</v>
      </c>
      <c r="F178" t="s">
        <v>104</v>
      </c>
      <c r="G178" t="s">
        <v>104</v>
      </c>
      <c r="H178" t="s">
        <v>246</v>
      </c>
      <c r="J178">
        <v>0</v>
      </c>
      <c r="K178">
        <v>2</v>
      </c>
      <c r="L178">
        <v>113.9375</v>
      </c>
      <c r="M178">
        <v>33.375507550000002</v>
      </c>
      <c r="N178">
        <v>2.4262999999999999</v>
      </c>
      <c r="O178">
        <v>0.40692159999999999</v>
      </c>
      <c r="P178">
        <v>120.25</v>
      </c>
      <c r="Q178">
        <v>30.670450110000001</v>
      </c>
      <c r="R178">
        <v>0.91037498500000003</v>
      </c>
      <c r="S178" t="s">
        <v>114</v>
      </c>
      <c r="T178" t="s">
        <v>1014</v>
      </c>
      <c r="U178">
        <v>-6.3125</v>
      </c>
    </row>
    <row r="179" spans="1:21" x14ac:dyDescent="0.25">
      <c r="A179" t="s">
        <v>60</v>
      </c>
      <c r="B179" t="s">
        <v>892</v>
      </c>
      <c r="C179">
        <v>12</v>
      </c>
      <c r="D179" t="s">
        <v>33</v>
      </c>
      <c r="E179" t="s">
        <v>95</v>
      </c>
      <c r="F179" t="s">
        <v>104</v>
      </c>
      <c r="G179" t="s">
        <v>104</v>
      </c>
      <c r="H179" t="s">
        <v>246</v>
      </c>
      <c r="J179">
        <v>0</v>
      </c>
      <c r="K179">
        <v>2</v>
      </c>
      <c r="L179">
        <v>113.9375</v>
      </c>
      <c r="M179">
        <v>33.375507550000002</v>
      </c>
      <c r="N179">
        <v>2.4262999999999999</v>
      </c>
      <c r="O179">
        <v>0.40692159999999999</v>
      </c>
      <c r="P179">
        <v>120.25</v>
      </c>
      <c r="Q179">
        <v>30.670450110000001</v>
      </c>
      <c r="R179">
        <v>0.91037498500000003</v>
      </c>
      <c r="S179" t="s">
        <v>114</v>
      </c>
      <c r="T179" t="s">
        <v>1014</v>
      </c>
      <c r="U179">
        <v>-6.3125</v>
      </c>
    </row>
    <row r="180" spans="1:21" x14ac:dyDescent="0.25">
      <c r="A180" t="s">
        <v>60</v>
      </c>
      <c r="B180" t="s">
        <v>892</v>
      </c>
      <c r="C180">
        <v>12</v>
      </c>
      <c r="D180" t="s">
        <v>33</v>
      </c>
      <c r="E180" t="s">
        <v>95</v>
      </c>
      <c r="F180" t="s">
        <v>104</v>
      </c>
      <c r="G180" t="s">
        <v>104</v>
      </c>
      <c r="H180" t="s">
        <v>797</v>
      </c>
      <c r="J180">
        <v>0</v>
      </c>
      <c r="K180">
        <v>1</v>
      </c>
      <c r="L180">
        <v>113.9375</v>
      </c>
      <c r="M180">
        <v>33.375507550000002</v>
      </c>
      <c r="N180">
        <v>2.4262999999999999</v>
      </c>
      <c r="O180">
        <v>0.40692159999999999</v>
      </c>
      <c r="P180">
        <v>179.45454549999999</v>
      </c>
      <c r="Q180">
        <v>26.326869609999999</v>
      </c>
      <c r="R180">
        <v>2.3456094639999998</v>
      </c>
      <c r="S180">
        <v>0.18833116</v>
      </c>
      <c r="T180" t="s">
        <v>1014</v>
      </c>
      <c r="U180">
        <v>-65.517045499999995</v>
      </c>
    </row>
    <row r="181" spans="1:21" x14ac:dyDescent="0.25">
      <c r="A181" t="s">
        <v>60</v>
      </c>
      <c r="B181" t="s">
        <v>892</v>
      </c>
      <c r="C181">
        <v>12</v>
      </c>
      <c r="D181" t="s">
        <v>33</v>
      </c>
      <c r="E181" t="s">
        <v>95</v>
      </c>
      <c r="F181" t="s">
        <v>104</v>
      </c>
      <c r="G181" t="s">
        <v>104</v>
      </c>
      <c r="H181" t="s">
        <v>247</v>
      </c>
      <c r="J181">
        <v>0</v>
      </c>
      <c r="K181">
        <v>1</v>
      </c>
      <c r="L181">
        <v>113.9375</v>
      </c>
      <c r="M181">
        <v>33.375507550000002</v>
      </c>
      <c r="N181">
        <v>2.4262999999999999</v>
      </c>
      <c r="O181">
        <v>0.40692159999999999</v>
      </c>
      <c r="P181">
        <v>65.791044779999993</v>
      </c>
      <c r="Q181">
        <v>22.94519201</v>
      </c>
      <c r="R181">
        <v>8.1320334999999994E-2</v>
      </c>
      <c r="S181">
        <v>0.17285655</v>
      </c>
      <c r="T181" t="s">
        <v>1014</v>
      </c>
      <c r="U181">
        <v>48.14645522</v>
      </c>
    </row>
    <row r="182" spans="1:21" x14ac:dyDescent="0.25">
      <c r="A182" t="s">
        <v>60</v>
      </c>
      <c r="B182" t="s">
        <v>893</v>
      </c>
      <c r="C182">
        <v>12</v>
      </c>
      <c r="D182" t="s">
        <v>33</v>
      </c>
      <c r="E182" t="s">
        <v>95</v>
      </c>
      <c r="F182" t="s">
        <v>112</v>
      </c>
      <c r="G182" t="s">
        <v>121</v>
      </c>
      <c r="H182" t="s">
        <v>114</v>
      </c>
      <c r="J182">
        <v>0</v>
      </c>
      <c r="K182">
        <v>0</v>
      </c>
      <c r="L182">
        <v>65.09375</v>
      </c>
      <c r="M182">
        <v>37.895352600000002</v>
      </c>
      <c r="N182">
        <v>2.2882677779999998</v>
      </c>
      <c r="O182">
        <v>2.2111774</v>
      </c>
      <c r="P182" t="s">
        <v>114</v>
      </c>
      <c r="Q182" t="s">
        <v>114</v>
      </c>
      <c r="R182" t="s">
        <v>114</v>
      </c>
      <c r="S182" t="s">
        <v>114</v>
      </c>
      <c r="T182" t="s">
        <v>1014</v>
      </c>
      <c r="U182" t="s">
        <v>114</v>
      </c>
    </row>
    <row r="183" spans="1:21" x14ac:dyDescent="0.25">
      <c r="A183" t="s">
        <v>61</v>
      </c>
      <c r="B183" t="s">
        <v>894</v>
      </c>
      <c r="C183">
        <v>12</v>
      </c>
      <c r="D183" t="s">
        <v>35</v>
      </c>
      <c r="E183" t="s">
        <v>94</v>
      </c>
      <c r="F183" t="s">
        <v>102</v>
      </c>
      <c r="G183" t="s">
        <v>121</v>
      </c>
      <c r="H183" t="s">
        <v>162</v>
      </c>
      <c r="J183">
        <v>1</v>
      </c>
      <c r="K183">
        <v>1</v>
      </c>
      <c r="L183">
        <v>84.740740740000007</v>
      </c>
      <c r="M183">
        <v>29.167014049999999</v>
      </c>
      <c r="N183">
        <v>1.1169849999999999</v>
      </c>
      <c r="O183">
        <v>1.1571499000000001</v>
      </c>
      <c r="P183">
        <v>82.53846154</v>
      </c>
      <c r="Q183">
        <v>35.660530039999998</v>
      </c>
      <c r="R183">
        <v>3.3754499999999998</v>
      </c>
      <c r="S183" t="s">
        <v>114</v>
      </c>
      <c r="T183" t="s">
        <v>1014</v>
      </c>
      <c r="U183">
        <v>2.2022792</v>
      </c>
    </row>
    <row r="184" spans="1:21" x14ac:dyDescent="0.25">
      <c r="A184" t="s">
        <v>61</v>
      </c>
      <c r="B184" t="s">
        <v>895</v>
      </c>
      <c r="C184">
        <v>12</v>
      </c>
      <c r="D184" t="s">
        <v>35</v>
      </c>
      <c r="E184" t="s">
        <v>94</v>
      </c>
      <c r="F184" t="s">
        <v>110</v>
      </c>
      <c r="G184" t="s">
        <v>121</v>
      </c>
      <c r="H184" t="s">
        <v>162</v>
      </c>
      <c r="J184">
        <v>0</v>
      </c>
      <c r="K184">
        <v>1</v>
      </c>
      <c r="L184">
        <v>73.260869569999997</v>
      </c>
      <c r="M184">
        <v>34.453830549999999</v>
      </c>
      <c r="N184">
        <v>1.058333333</v>
      </c>
      <c r="O184">
        <v>0.90897070000000002</v>
      </c>
      <c r="P184">
        <v>82.53846154</v>
      </c>
      <c r="Q184">
        <v>35.660530039999998</v>
      </c>
      <c r="R184">
        <v>3.3754499999999998</v>
      </c>
      <c r="S184" t="s">
        <v>114</v>
      </c>
      <c r="T184" t="s">
        <v>1014</v>
      </c>
      <c r="U184">
        <v>-9.2775919699999996</v>
      </c>
    </row>
    <row r="185" spans="1:21" x14ac:dyDescent="0.25">
      <c r="A185" t="s">
        <v>61</v>
      </c>
      <c r="B185" t="s">
        <v>895</v>
      </c>
      <c r="C185">
        <v>12</v>
      </c>
      <c r="D185" t="s">
        <v>35</v>
      </c>
      <c r="E185" t="s">
        <v>94</v>
      </c>
      <c r="F185" t="s">
        <v>110</v>
      </c>
      <c r="G185" t="s">
        <v>121</v>
      </c>
      <c r="H185" t="s">
        <v>102</v>
      </c>
      <c r="J185">
        <v>0</v>
      </c>
      <c r="K185">
        <v>1</v>
      </c>
      <c r="L185">
        <v>73.260869569999997</v>
      </c>
      <c r="M185">
        <v>34.453830549999999</v>
      </c>
      <c r="N185">
        <v>1.058333333</v>
      </c>
      <c r="O185">
        <v>0.90897070000000002</v>
      </c>
      <c r="P185">
        <v>84.740740740000007</v>
      </c>
      <c r="Q185">
        <v>29.167014049999999</v>
      </c>
      <c r="R185">
        <v>1.1169849999999999</v>
      </c>
      <c r="S185">
        <v>1.1571499000000001</v>
      </c>
      <c r="T185" t="s">
        <v>1014</v>
      </c>
      <c r="U185">
        <v>-11.479871169999999</v>
      </c>
    </row>
    <row r="186" spans="1:21" x14ac:dyDescent="0.25">
      <c r="A186" t="s">
        <v>61</v>
      </c>
      <c r="B186" t="s">
        <v>896</v>
      </c>
      <c r="C186">
        <v>12</v>
      </c>
      <c r="D186" t="s">
        <v>35</v>
      </c>
      <c r="E186" t="s">
        <v>94</v>
      </c>
      <c r="F186" t="s">
        <v>112</v>
      </c>
      <c r="G186" t="s">
        <v>121</v>
      </c>
      <c r="H186" t="s">
        <v>162</v>
      </c>
      <c r="J186">
        <v>0</v>
      </c>
      <c r="K186">
        <v>1</v>
      </c>
      <c r="L186">
        <v>65.09375</v>
      </c>
      <c r="M186">
        <v>37.895352600000002</v>
      </c>
      <c r="N186">
        <v>2.2882677779999998</v>
      </c>
      <c r="O186">
        <v>2.2111774</v>
      </c>
      <c r="P186">
        <v>82.53846154</v>
      </c>
      <c r="Q186">
        <v>35.660530039999998</v>
      </c>
      <c r="R186">
        <v>3.3754499999999998</v>
      </c>
      <c r="S186" t="s">
        <v>114</v>
      </c>
      <c r="T186" t="s">
        <v>1014</v>
      </c>
      <c r="U186">
        <v>-17.44471154</v>
      </c>
    </row>
    <row r="187" spans="1:21" x14ac:dyDescent="0.25">
      <c r="A187" t="s">
        <v>62</v>
      </c>
      <c r="B187" t="s">
        <v>897</v>
      </c>
      <c r="C187">
        <v>12</v>
      </c>
      <c r="D187" t="s">
        <v>37</v>
      </c>
      <c r="E187" t="s">
        <v>95</v>
      </c>
      <c r="F187" t="s">
        <v>102</v>
      </c>
      <c r="G187" t="s">
        <v>121</v>
      </c>
      <c r="H187" t="s">
        <v>114</v>
      </c>
      <c r="J187">
        <v>0</v>
      </c>
      <c r="K187">
        <v>0</v>
      </c>
      <c r="L187">
        <v>84.740740740000007</v>
      </c>
      <c r="M187">
        <v>29.167014049999999</v>
      </c>
      <c r="N187">
        <v>1.1169849999999999</v>
      </c>
      <c r="O187">
        <v>1.1571499000000001</v>
      </c>
      <c r="P187" t="s">
        <v>114</v>
      </c>
      <c r="Q187" t="s">
        <v>114</v>
      </c>
      <c r="R187" t="s">
        <v>114</v>
      </c>
      <c r="S187" t="s">
        <v>114</v>
      </c>
      <c r="T187" t="s">
        <v>1014</v>
      </c>
      <c r="U187" t="s">
        <v>114</v>
      </c>
    </row>
    <row r="188" spans="1:21" x14ac:dyDescent="0.25">
      <c r="A188" t="s">
        <v>62</v>
      </c>
      <c r="B188" t="s">
        <v>898</v>
      </c>
      <c r="C188">
        <v>12</v>
      </c>
      <c r="D188" t="s">
        <v>37</v>
      </c>
      <c r="E188" t="s">
        <v>95</v>
      </c>
      <c r="F188" t="s">
        <v>103</v>
      </c>
      <c r="G188" t="s">
        <v>121</v>
      </c>
      <c r="H188" t="s">
        <v>233</v>
      </c>
      <c r="J188">
        <v>0</v>
      </c>
      <c r="K188">
        <v>1</v>
      </c>
      <c r="L188">
        <v>98.291666669999998</v>
      </c>
      <c r="M188">
        <v>30.315130790000001</v>
      </c>
      <c r="N188">
        <v>5.0803484000000003E-2</v>
      </c>
      <c r="O188">
        <v>0.42866070000000001</v>
      </c>
      <c r="P188">
        <v>106.0540541</v>
      </c>
      <c r="Q188">
        <v>52.690533369999997</v>
      </c>
      <c r="R188">
        <v>7.6058968000000005E-2</v>
      </c>
      <c r="S188">
        <v>0.44888888999999998</v>
      </c>
      <c r="T188" t="s">
        <v>1014</v>
      </c>
      <c r="U188">
        <v>-7.7623874300000004</v>
      </c>
    </row>
    <row r="189" spans="1:21" x14ac:dyDescent="0.25">
      <c r="A189" t="s">
        <v>62</v>
      </c>
      <c r="B189" t="s">
        <v>898</v>
      </c>
      <c r="C189">
        <v>12</v>
      </c>
      <c r="D189" t="s">
        <v>37</v>
      </c>
      <c r="E189" t="s">
        <v>95</v>
      </c>
      <c r="F189" t="s">
        <v>103</v>
      </c>
      <c r="G189" t="s">
        <v>121</v>
      </c>
      <c r="H189" t="s">
        <v>234</v>
      </c>
      <c r="J189">
        <v>0</v>
      </c>
      <c r="K189">
        <v>1</v>
      </c>
      <c r="L189">
        <v>98.291666669999998</v>
      </c>
      <c r="M189">
        <v>30.315130790000001</v>
      </c>
      <c r="N189">
        <v>5.0803484000000003E-2</v>
      </c>
      <c r="O189">
        <v>0.42866070000000001</v>
      </c>
      <c r="P189">
        <v>89.8125</v>
      </c>
      <c r="Q189">
        <v>34.754706650000003</v>
      </c>
      <c r="R189">
        <v>2.3065078999999999E-2</v>
      </c>
      <c r="S189">
        <v>2.4791666700000001</v>
      </c>
      <c r="T189" t="s">
        <v>1014</v>
      </c>
      <c r="U189">
        <v>8.4791666699999997</v>
      </c>
    </row>
    <row r="190" spans="1:21" x14ac:dyDescent="0.25">
      <c r="A190" t="s">
        <v>62</v>
      </c>
      <c r="B190" t="s">
        <v>898</v>
      </c>
      <c r="C190">
        <v>12</v>
      </c>
      <c r="D190" t="s">
        <v>37</v>
      </c>
      <c r="E190" t="s">
        <v>95</v>
      </c>
      <c r="F190" t="s">
        <v>103</v>
      </c>
      <c r="G190" t="s">
        <v>121</v>
      </c>
      <c r="H190" t="s">
        <v>241</v>
      </c>
      <c r="J190">
        <v>0</v>
      </c>
      <c r="K190">
        <v>1</v>
      </c>
      <c r="L190">
        <v>98.291666669999998</v>
      </c>
      <c r="M190">
        <v>30.315130790000001</v>
      </c>
      <c r="N190">
        <v>5.0803484000000003E-2</v>
      </c>
      <c r="O190">
        <v>0.42866070000000001</v>
      </c>
      <c r="P190">
        <v>114</v>
      </c>
      <c r="Q190">
        <v>30.43077242</v>
      </c>
      <c r="R190">
        <v>0.53383111100000002</v>
      </c>
      <c r="S190">
        <v>0.28333332999999999</v>
      </c>
      <c r="T190" t="s">
        <v>1014</v>
      </c>
      <c r="U190">
        <v>-15.70833333</v>
      </c>
    </row>
    <row r="191" spans="1:21" x14ac:dyDescent="0.25">
      <c r="A191" t="s">
        <v>63</v>
      </c>
      <c r="B191" t="s">
        <v>899</v>
      </c>
      <c r="C191">
        <v>12</v>
      </c>
      <c r="D191" t="s">
        <v>64</v>
      </c>
      <c r="E191" t="s">
        <v>94</v>
      </c>
      <c r="F191" t="s">
        <v>104</v>
      </c>
      <c r="G191" t="s">
        <v>121</v>
      </c>
      <c r="H191" t="s">
        <v>238</v>
      </c>
      <c r="J191">
        <v>0</v>
      </c>
      <c r="K191">
        <v>2</v>
      </c>
      <c r="L191">
        <v>113.9375</v>
      </c>
      <c r="M191">
        <v>33.375507550000002</v>
      </c>
      <c r="N191">
        <v>2.4262999999999999</v>
      </c>
      <c r="O191">
        <v>0.40692159999999999</v>
      </c>
      <c r="P191">
        <v>87.5</v>
      </c>
      <c r="Q191">
        <v>29.478311600000001</v>
      </c>
      <c r="R191">
        <v>3.0797751000000002E-2</v>
      </c>
      <c r="S191">
        <v>0.12931835</v>
      </c>
      <c r="T191" t="s">
        <v>1014</v>
      </c>
      <c r="U191">
        <v>26.4375</v>
      </c>
    </row>
    <row r="192" spans="1:21" x14ac:dyDescent="0.25">
      <c r="A192" t="s">
        <v>63</v>
      </c>
      <c r="B192" t="s">
        <v>899</v>
      </c>
      <c r="C192">
        <v>12</v>
      </c>
      <c r="D192" t="s">
        <v>64</v>
      </c>
      <c r="E192" t="s">
        <v>94</v>
      </c>
      <c r="F192" t="s">
        <v>104</v>
      </c>
      <c r="G192" t="s">
        <v>121</v>
      </c>
      <c r="H192" t="s">
        <v>238</v>
      </c>
      <c r="J192">
        <v>0</v>
      </c>
      <c r="K192">
        <v>2</v>
      </c>
      <c r="L192">
        <v>113.9375</v>
      </c>
      <c r="M192">
        <v>33.375507550000002</v>
      </c>
      <c r="N192">
        <v>2.4262999999999999</v>
      </c>
      <c r="O192">
        <v>0.40692159999999999</v>
      </c>
      <c r="P192">
        <v>87.5</v>
      </c>
      <c r="Q192">
        <v>29.478311600000001</v>
      </c>
      <c r="R192">
        <v>3.0797751000000002E-2</v>
      </c>
      <c r="S192">
        <v>0.12931835</v>
      </c>
      <c r="T192" t="s">
        <v>1014</v>
      </c>
      <c r="U192">
        <v>26.4375</v>
      </c>
    </row>
    <row r="193" spans="1:21" x14ac:dyDescent="0.25">
      <c r="A193" t="s">
        <v>63</v>
      </c>
      <c r="B193" t="s">
        <v>899</v>
      </c>
      <c r="C193">
        <v>12</v>
      </c>
      <c r="D193" t="s">
        <v>64</v>
      </c>
      <c r="E193" t="s">
        <v>94</v>
      </c>
      <c r="F193" t="s">
        <v>104</v>
      </c>
      <c r="G193" t="s">
        <v>121</v>
      </c>
      <c r="H193" t="s">
        <v>103</v>
      </c>
      <c r="J193">
        <v>0</v>
      </c>
      <c r="K193">
        <v>1</v>
      </c>
      <c r="L193">
        <v>113.9375</v>
      </c>
      <c r="M193">
        <v>33.375507550000002</v>
      </c>
      <c r="N193">
        <v>2.4262999999999999</v>
      </c>
      <c r="O193">
        <v>0.40692159999999999</v>
      </c>
      <c r="P193">
        <v>98.291666669999998</v>
      </c>
      <c r="Q193">
        <v>30.315130790000001</v>
      </c>
      <c r="R193">
        <v>5.0803484000000003E-2</v>
      </c>
      <c r="S193">
        <v>0.42866070000000001</v>
      </c>
      <c r="T193" t="s">
        <v>1014</v>
      </c>
      <c r="U193">
        <v>15.64583333</v>
      </c>
    </row>
    <row r="194" spans="1:21" x14ac:dyDescent="0.25">
      <c r="A194" t="s">
        <v>63</v>
      </c>
      <c r="B194" t="s">
        <v>899</v>
      </c>
      <c r="C194">
        <v>12</v>
      </c>
      <c r="D194" t="s">
        <v>64</v>
      </c>
      <c r="E194" t="s">
        <v>94</v>
      </c>
      <c r="F194" t="s">
        <v>104</v>
      </c>
      <c r="G194" t="s">
        <v>121</v>
      </c>
      <c r="H194" t="s">
        <v>248</v>
      </c>
      <c r="J194">
        <v>0</v>
      </c>
      <c r="K194">
        <v>2</v>
      </c>
      <c r="L194">
        <v>113.9375</v>
      </c>
      <c r="M194">
        <v>33.375507550000002</v>
      </c>
      <c r="N194">
        <v>2.4262999999999999</v>
      </c>
      <c r="O194">
        <v>0.40692159999999999</v>
      </c>
      <c r="P194">
        <v>83.92307692</v>
      </c>
      <c r="Q194">
        <v>44.319135699999997</v>
      </c>
      <c r="R194">
        <v>5.9548609999999997E-3</v>
      </c>
      <c r="S194">
        <v>0.18017928</v>
      </c>
      <c r="T194" t="s">
        <v>1014</v>
      </c>
      <c r="U194">
        <v>30.01442308</v>
      </c>
    </row>
    <row r="195" spans="1:21" x14ac:dyDescent="0.25">
      <c r="A195" t="s">
        <v>63</v>
      </c>
      <c r="B195" t="s">
        <v>899</v>
      </c>
      <c r="C195">
        <v>12</v>
      </c>
      <c r="D195" t="s">
        <v>64</v>
      </c>
      <c r="E195" t="s">
        <v>94</v>
      </c>
      <c r="F195" t="s">
        <v>104</v>
      </c>
      <c r="G195" t="s">
        <v>121</v>
      </c>
      <c r="H195" t="s">
        <v>248</v>
      </c>
      <c r="J195">
        <v>0</v>
      </c>
      <c r="K195">
        <v>2</v>
      </c>
      <c r="L195">
        <v>113.9375</v>
      </c>
      <c r="M195">
        <v>33.375507550000002</v>
      </c>
      <c r="N195">
        <v>2.4262999999999999</v>
      </c>
      <c r="O195">
        <v>0.40692159999999999</v>
      </c>
      <c r="P195">
        <v>83.92307692</v>
      </c>
      <c r="Q195">
        <v>44.319135699999997</v>
      </c>
      <c r="R195">
        <v>5.9548609999999997E-3</v>
      </c>
      <c r="S195">
        <v>0.18017928</v>
      </c>
      <c r="T195" t="s">
        <v>1014</v>
      </c>
      <c r="U195">
        <v>30.01442308</v>
      </c>
    </row>
    <row r="196" spans="1:21" x14ac:dyDescent="0.25">
      <c r="A196" t="s">
        <v>65</v>
      </c>
      <c r="B196" t="s">
        <v>900</v>
      </c>
      <c r="C196">
        <v>12</v>
      </c>
      <c r="D196" t="s">
        <v>66</v>
      </c>
      <c r="E196" t="s">
        <v>95</v>
      </c>
      <c r="F196" t="s">
        <v>105</v>
      </c>
      <c r="G196" t="s">
        <v>121</v>
      </c>
      <c r="H196" t="s">
        <v>111</v>
      </c>
      <c r="J196">
        <v>0</v>
      </c>
      <c r="K196">
        <v>1</v>
      </c>
      <c r="L196">
        <v>67.5</v>
      </c>
      <c r="M196">
        <v>47.937235809999997</v>
      </c>
      <c r="N196">
        <v>0.41599678000000001</v>
      </c>
      <c r="O196">
        <v>2.0950346999999998</v>
      </c>
      <c r="P196">
        <v>94.97142857</v>
      </c>
      <c r="Q196">
        <v>24.31591813</v>
      </c>
      <c r="R196">
        <v>0.122951111</v>
      </c>
      <c r="S196">
        <v>0.39050790000000002</v>
      </c>
      <c r="T196" t="s">
        <v>1014</v>
      </c>
      <c r="U196">
        <v>-27.47142857</v>
      </c>
    </row>
    <row r="197" spans="1:21" x14ac:dyDescent="0.25">
      <c r="A197" t="s">
        <v>65</v>
      </c>
      <c r="B197" t="s">
        <v>900</v>
      </c>
      <c r="C197">
        <v>12</v>
      </c>
      <c r="D197" t="s">
        <v>66</v>
      </c>
      <c r="E197" t="s">
        <v>95</v>
      </c>
      <c r="F197" t="s">
        <v>105</v>
      </c>
      <c r="G197" t="s">
        <v>121</v>
      </c>
      <c r="H197" t="s">
        <v>808</v>
      </c>
      <c r="J197">
        <v>0</v>
      </c>
      <c r="K197">
        <v>1</v>
      </c>
      <c r="L197">
        <v>67.5</v>
      </c>
      <c r="M197">
        <v>47.937235809999997</v>
      </c>
      <c r="N197">
        <v>0.41599678000000001</v>
      </c>
      <c r="O197">
        <v>2.0950346999999998</v>
      </c>
      <c r="P197">
        <v>102.79166669999999</v>
      </c>
      <c r="Q197">
        <v>27.057373470000002</v>
      </c>
      <c r="R197">
        <v>6.3567849939999999</v>
      </c>
      <c r="S197" t="s">
        <v>114</v>
      </c>
      <c r="T197" t="s">
        <v>1014</v>
      </c>
      <c r="U197">
        <v>-35.2916667</v>
      </c>
    </row>
    <row r="198" spans="1:21" x14ac:dyDescent="0.25">
      <c r="A198" t="s">
        <v>65</v>
      </c>
      <c r="B198" t="s">
        <v>900</v>
      </c>
      <c r="C198">
        <v>12</v>
      </c>
      <c r="D198" t="s">
        <v>66</v>
      </c>
      <c r="E198" t="s">
        <v>95</v>
      </c>
      <c r="F198" t="s">
        <v>105</v>
      </c>
      <c r="G198" t="s">
        <v>121</v>
      </c>
      <c r="H198" t="s">
        <v>247</v>
      </c>
      <c r="J198">
        <v>0</v>
      </c>
      <c r="K198">
        <v>1</v>
      </c>
      <c r="L198">
        <v>67.5</v>
      </c>
      <c r="M198">
        <v>47.937235809999997</v>
      </c>
      <c r="N198">
        <v>0.41599678000000001</v>
      </c>
      <c r="O198">
        <v>2.0950346999999998</v>
      </c>
      <c r="P198">
        <v>65.791044779999993</v>
      </c>
      <c r="Q198">
        <v>22.94519201</v>
      </c>
      <c r="R198">
        <v>8.1320334999999994E-2</v>
      </c>
      <c r="S198">
        <v>0.17285655</v>
      </c>
      <c r="T198" t="s">
        <v>1014</v>
      </c>
      <c r="U198">
        <v>1.70895522</v>
      </c>
    </row>
    <row r="199" spans="1:21" x14ac:dyDescent="0.25">
      <c r="A199" t="s">
        <v>65</v>
      </c>
      <c r="B199" t="s">
        <v>900</v>
      </c>
      <c r="C199">
        <v>12</v>
      </c>
      <c r="D199" t="s">
        <v>66</v>
      </c>
      <c r="E199" t="s">
        <v>95</v>
      </c>
      <c r="F199" t="s">
        <v>105</v>
      </c>
      <c r="G199" t="s">
        <v>121</v>
      </c>
      <c r="H199" t="s">
        <v>248</v>
      </c>
      <c r="J199">
        <v>0</v>
      </c>
      <c r="K199">
        <v>2</v>
      </c>
      <c r="L199">
        <v>67.5</v>
      </c>
      <c r="M199">
        <v>47.937235809999997</v>
      </c>
      <c r="N199">
        <v>0.41599678000000001</v>
      </c>
      <c r="O199">
        <v>2.0950346999999998</v>
      </c>
      <c r="P199">
        <v>83.92307692</v>
      </c>
      <c r="Q199">
        <v>44.319135699999997</v>
      </c>
      <c r="R199">
        <v>5.9548609999999997E-3</v>
      </c>
      <c r="S199">
        <v>0.18017928</v>
      </c>
      <c r="T199" t="s">
        <v>1014</v>
      </c>
      <c r="U199">
        <v>-16.42307692</v>
      </c>
    </row>
    <row r="200" spans="1:21" x14ac:dyDescent="0.25">
      <c r="A200" t="s">
        <v>65</v>
      </c>
      <c r="B200" t="s">
        <v>900</v>
      </c>
      <c r="C200">
        <v>12</v>
      </c>
      <c r="D200" t="s">
        <v>66</v>
      </c>
      <c r="E200" t="s">
        <v>95</v>
      </c>
      <c r="F200" t="s">
        <v>105</v>
      </c>
      <c r="G200" t="s">
        <v>121</v>
      </c>
      <c r="H200" t="s">
        <v>248</v>
      </c>
      <c r="J200">
        <v>0</v>
      </c>
      <c r="K200">
        <v>2</v>
      </c>
      <c r="L200">
        <v>67.5</v>
      </c>
      <c r="M200">
        <v>47.937235809999997</v>
      </c>
      <c r="N200">
        <v>0.41599678000000001</v>
      </c>
      <c r="O200">
        <v>2.0950346999999998</v>
      </c>
      <c r="P200">
        <v>83.92307692</v>
      </c>
      <c r="Q200">
        <v>44.319135699999997</v>
      </c>
      <c r="R200">
        <v>5.9548609999999997E-3</v>
      </c>
      <c r="S200">
        <v>0.18017928</v>
      </c>
      <c r="T200" t="s">
        <v>1014</v>
      </c>
      <c r="U200">
        <v>-16.42307692</v>
      </c>
    </row>
    <row r="201" spans="1:21" x14ac:dyDescent="0.25">
      <c r="A201" t="s">
        <v>10</v>
      </c>
      <c r="B201" t="s">
        <v>901</v>
      </c>
      <c r="C201">
        <v>15</v>
      </c>
      <c r="D201" t="s">
        <v>11</v>
      </c>
      <c r="E201" t="s">
        <v>94</v>
      </c>
      <c r="F201" t="s">
        <v>102</v>
      </c>
      <c r="G201" t="s">
        <v>102</v>
      </c>
      <c r="H201" t="s">
        <v>102</v>
      </c>
      <c r="J201">
        <v>0</v>
      </c>
      <c r="K201">
        <v>1</v>
      </c>
      <c r="L201">
        <v>84.740740740000007</v>
      </c>
      <c r="M201">
        <v>29.167014049999999</v>
      </c>
      <c r="N201">
        <v>1.1169849999999999</v>
      </c>
      <c r="O201">
        <v>1.1571499000000001</v>
      </c>
      <c r="P201">
        <v>84.740740740000007</v>
      </c>
      <c r="Q201">
        <v>29.167014049999999</v>
      </c>
      <c r="R201">
        <v>1.1169849999999999</v>
      </c>
      <c r="S201">
        <v>1.1571499000000001</v>
      </c>
      <c r="T201" t="s">
        <v>1014</v>
      </c>
      <c r="U201">
        <v>0</v>
      </c>
    </row>
    <row r="202" spans="1:21" x14ac:dyDescent="0.25">
      <c r="A202" t="s">
        <v>10</v>
      </c>
      <c r="B202" t="s">
        <v>901</v>
      </c>
      <c r="C202">
        <v>16</v>
      </c>
      <c r="D202" t="s">
        <v>11</v>
      </c>
      <c r="E202" t="s">
        <v>94</v>
      </c>
      <c r="F202" t="s">
        <v>102</v>
      </c>
      <c r="G202" t="s">
        <v>102</v>
      </c>
      <c r="H202" t="s">
        <v>111</v>
      </c>
      <c r="J202">
        <v>0</v>
      </c>
      <c r="K202">
        <v>1</v>
      </c>
      <c r="L202">
        <v>84.740740740000007</v>
      </c>
      <c r="M202">
        <v>29.167014049999999</v>
      </c>
      <c r="N202">
        <v>1.1169849999999999</v>
      </c>
      <c r="O202">
        <v>1.1571499000000001</v>
      </c>
      <c r="P202">
        <v>94.97142857</v>
      </c>
      <c r="Q202">
        <v>24.31591813</v>
      </c>
      <c r="R202">
        <v>0.122951111</v>
      </c>
      <c r="S202">
        <v>0.39050790000000002</v>
      </c>
      <c r="T202" t="s">
        <v>1014</v>
      </c>
      <c r="U202">
        <v>-10.230687830000001</v>
      </c>
    </row>
    <row r="203" spans="1:21" x14ac:dyDescent="0.25">
      <c r="A203" t="s">
        <v>10</v>
      </c>
      <c r="B203" t="s">
        <v>902</v>
      </c>
      <c r="C203">
        <v>15</v>
      </c>
      <c r="D203" t="s">
        <v>11</v>
      </c>
      <c r="E203" t="s">
        <v>94</v>
      </c>
      <c r="F203" t="s">
        <v>105</v>
      </c>
      <c r="G203" t="s">
        <v>121</v>
      </c>
      <c r="H203" t="s">
        <v>244</v>
      </c>
      <c r="J203">
        <v>0</v>
      </c>
      <c r="K203">
        <v>2</v>
      </c>
      <c r="L203">
        <v>67.5</v>
      </c>
      <c r="M203">
        <v>47.937235809999997</v>
      </c>
      <c r="N203">
        <v>0.41599678000000001</v>
      </c>
      <c r="O203">
        <v>2.0950346999999998</v>
      </c>
      <c r="P203">
        <v>75</v>
      </c>
      <c r="Q203">
        <v>28.80614499</v>
      </c>
      <c r="R203">
        <v>2.3860428570000001</v>
      </c>
      <c r="S203">
        <v>0.26400832000000002</v>
      </c>
      <c r="T203" t="s">
        <v>1014</v>
      </c>
      <c r="U203">
        <v>-7.5</v>
      </c>
    </row>
    <row r="204" spans="1:21" x14ac:dyDescent="0.25">
      <c r="A204" t="s">
        <v>10</v>
      </c>
      <c r="B204" t="s">
        <v>902</v>
      </c>
      <c r="C204">
        <v>15</v>
      </c>
      <c r="D204" t="s">
        <v>11</v>
      </c>
      <c r="E204" t="s">
        <v>94</v>
      </c>
      <c r="F204" t="s">
        <v>105</v>
      </c>
      <c r="G204" t="s">
        <v>121</v>
      </c>
      <c r="H204" t="s">
        <v>244</v>
      </c>
      <c r="J204">
        <v>0</v>
      </c>
      <c r="K204">
        <v>2</v>
      </c>
      <c r="L204">
        <v>67.5</v>
      </c>
      <c r="M204">
        <v>47.937235809999997</v>
      </c>
      <c r="N204">
        <v>0.41599678000000001</v>
      </c>
      <c r="O204">
        <v>2.0950346999999998</v>
      </c>
      <c r="P204">
        <v>75</v>
      </c>
      <c r="Q204">
        <v>28.80614499</v>
      </c>
      <c r="R204">
        <v>2.3860428570000001</v>
      </c>
      <c r="S204">
        <v>0.26400832000000002</v>
      </c>
      <c r="T204" t="s">
        <v>1014</v>
      </c>
      <c r="U204">
        <v>-7.5</v>
      </c>
    </row>
    <row r="205" spans="1:21" x14ac:dyDescent="0.25">
      <c r="A205" t="s">
        <v>10</v>
      </c>
      <c r="B205" t="s">
        <v>902</v>
      </c>
      <c r="C205">
        <v>16</v>
      </c>
      <c r="D205" t="s">
        <v>11</v>
      </c>
      <c r="E205" t="s">
        <v>94</v>
      </c>
      <c r="F205" t="s">
        <v>105</v>
      </c>
      <c r="G205" t="s">
        <v>121</v>
      </c>
      <c r="H205" t="s">
        <v>104</v>
      </c>
      <c r="J205">
        <v>0</v>
      </c>
      <c r="K205">
        <v>1</v>
      </c>
      <c r="L205">
        <v>67.5</v>
      </c>
      <c r="M205">
        <v>47.937235809999997</v>
      </c>
      <c r="N205">
        <v>0.41599678000000001</v>
      </c>
      <c r="O205">
        <v>2.0950346999999998</v>
      </c>
      <c r="P205">
        <v>113.9375</v>
      </c>
      <c r="Q205">
        <v>33.375507550000002</v>
      </c>
      <c r="R205">
        <v>2.4262999999999999</v>
      </c>
      <c r="S205">
        <v>0.40692159999999999</v>
      </c>
      <c r="T205" t="s">
        <v>1014</v>
      </c>
      <c r="U205">
        <v>-46.4375</v>
      </c>
    </row>
    <row r="206" spans="1:21" x14ac:dyDescent="0.25">
      <c r="A206" t="s">
        <v>10</v>
      </c>
      <c r="B206" t="s">
        <v>903</v>
      </c>
      <c r="C206">
        <v>15</v>
      </c>
      <c r="D206" t="s">
        <v>11</v>
      </c>
      <c r="E206" t="s">
        <v>94</v>
      </c>
      <c r="F206" t="s">
        <v>103</v>
      </c>
      <c r="G206" t="s">
        <v>121</v>
      </c>
      <c r="H206" t="s">
        <v>245</v>
      </c>
      <c r="J206">
        <v>0</v>
      </c>
      <c r="K206">
        <v>1</v>
      </c>
      <c r="L206">
        <v>98.291666669999998</v>
      </c>
      <c r="M206">
        <v>30.315130790000001</v>
      </c>
      <c r="N206">
        <v>5.0803484000000003E-2</v>
      </c>
      <c r="O206">
        <v>0.42866070000000001</v>
      </c>
      <c r="P206" t="s">
        <v>114</v>
      </c>
      <c r="Q206" t="s">
        <v>114</v>
      </c>
      <c r="R206" t="s">
        <v>114</v>
      </c>
      <c r="S206" t="s">
        <v>114</v>
      </c>
      <c r="T206" t="s">
        <v>1014</v>
      </c>
      <c r="U206" t="s">
        <v>114</v>
      </c>
    </row>
    <row r="207" spans="1:21" x14ac:dyDescent="0.25">
      <c r="A207" t="s">
        <v>10</v>
      </c>
      <c r="B207" t="s">
        <v>904</v>
      </c>
      <c r="C207">
        <v>15</v>
      </c>
      <c r="D207" t="s">
        <v>11</v>
      </c>
      <c r="E207" t="s">
        <v>94</v>
      </c>
      <c r="F207" t="s">
        <v>104</v>
      </c>
      <c r="G207" t="s">
        <v>121</v>
      </c>
      <c r="H207" t="s">
        <v>242</v>
      </c>
      <c r="J207">
        <v>0</v>
      </c>
      <c r="K207">
        <v>6</v>
      </c>
      <c r="L207">
        <v>113.9375</v>
      </c>
      <c r="M207">
        <v>33.375507550000002</v>
      </c>
      <c r="N207">
        <v>2.4262999999999999</v>
      </c>
      <c r="O207">
        <v>0.40692159999999999</v>
      </c>
      <c r="P207">
        <v>139.375</v>
      </c>
      <c r="Q207">
        <v>23.713465920000001</v>
      </c>
      <c r="R207" t="s">
        <v>114</v>
      </c>
      <c r="S207" t="s">
        <v>114</v>
      </c>
      <c r="T207" t="s">
        <v>1014</v>
      </c>
      <c r="U207">
        <v>-25.4375</v>
      </c>
    </row>
    <row r="208" spans="1:21" x14ac:dyDescent="0.25">
      <c r="A208" t="s">
        <v>10</v>
      </c>
      <c r="B208" t="s">
        <v>904</v>
      </c>
      <c r="C208">
        <v>15</v>
      </c>
      <c r="D208" t="s">
        <v>11</v>
      </c>
      <c r="E208" t="s">
        <v>94</v>
      </c>
      <c r="F208" t="s">
        <v>104</v>
      </c>
      <c r="G208" t="s">
        <v>121</v>
      </c>
      <c r="H208" t="s">
        <v>242</v>
      </c>
      <c r="J208">
        <v>0</v>
      </c>
      <c r="K208">
        <v>6</v>
      </c>
      <c r="L208">
        <v>113.9375</v>
      </c>
      <c r="M208">
        <v>33.375507550000002</v>
      </c>
      <c r="N208">
        <v>2.4262999999999999</v>
      </c>
      <c r="O208">
        <v>0.40692159999999999</v>
      </c>
      <c r="P208">
        <v>139.375</v>
      </c>
      <c r="Q208">
        <v>23.713465920000001</v>
      </c>
      <c r="R208" t="s">
        <v>114</v>
      </c>
      <c r="S208" t="s">
        <v>114</v>
      </c>
      <c r="T208" t="s">
        <v>1014</v>
      </c>
      <c r="U208">
        <v>-25.4375</v>
      </c>
    </row>
    <row r="209" spans="1:21" x14ac:dyDescent="0.25">
      <c r="A209" t="s">
        <v>10</v>
      </c>
      <c r="B209" t="s">
        <v>904</v>
      </c>
      <c r="C209">
        <v>15</v>
      </c>
      <c r="D209" t="s">
        <v>11</v>
      </c>
      <c r="E209" t="s">
        <v>94</v>
      </c>
      <c r="F209" t="s">
        <v>104</v>
      </c>
      <c r="G209" t="s">
        <v>121</v>
      </c>
      <c r="H209" t="s">
        <v>242</v>
      </c>
      <c r="J209">
        <v>0</v>
      </c>
      <c r="K209">
        <v>6</v>
      </c>
      <c r="L209">
        <v>113.9375</v>
      </c>
      <c r="M209">
        <v>33.375507550000002</v>
      </c>
      <c r="N209">
        <v>2.4262999999999999</v>
      </c>
      <c r="O209">
        <v>0.40692159999999999</v>
      </c>
      <c r="P209">
        <v>139.375</v>
      </c>
      <c r="Q209">
        <v>23.713465920000001</v>
      </c>
      <c r="R209" t="s">
        <v>114</v>
      </c>
      <c r="S209" t="s">
        <v>114</v>
      </c>
      <c r="T209" t="s">
        <v>1014</v>
      </c>
      <c r="U209">
        <v>-25.4375</v>
      </c>
    </row>
    <row r="210" spans="1:21" x14ac:dyDescent="0.25">
      <c r="A210" t="s">
        <v>10</v>
      </c>
      <c r="B210" t="s">
        <v>904</v>
      </c>
      <c r="C210">
        <v>15</v>
      </c>
      <c r="D210" t="s">
        <v>11</v>
      </c>
      <c r="E210" t="s">
        <v>94</v>
      </c>
      <c r="F210" t="s">
        <v>104</v>
      </c>
      <c r="G210" t="s">
        <v>121</v>
      </c>
      <c r="H210" t="s">
        <v>242</v>
      </c>
      <c r="J210">
        <v>0</v>
      </c>
      <c r="K210">
        <v>6</v>
      </c>
      <c r="L210">
        <v>113.9375</v>
      </c>
      <c r="M210">
        <v>33.375507550000002</v>
      </c>
      <c r="N210">
        <v>2.4262999999999999</v>
      </c>
      <c r="O210">
        <v>0.40692159999999999</v>
      </c>
      <c r="P210">
        <v>139.375</v>
      </c>
      <c r="Q210">
        <v>23.713465920000001</v>
      </c>
      <c r="R210" t="s">
        <v>114</v>
      </c>
      <c r="S210" t="s">
        <v>114</v>
      </c>
      <c r="T210" t="s">
        <v>1014</v>
      </c>
      <c r="U210">
        <v>-25.4375</v>
      </c>
    </row>
    <row r="211" spans="1:21" x14ac:dyDescent="0.25">
      <c r="A211" t="s">
        <v>10</v>
      </c>
      <c r="B211" t="s">
        <v>904</v>
      </c>
      <c r="C211">
        <v>15</v>
      </c>
      <c r="D211" t="s">
        <v>11</v>
      </c>
      <c r="E211" t="s">
        <v>94</v>
      </c>
      <c r="F211" t="s">
        <v>104</v>
      </c>
      <c r="G211" t="s">
        <v>121</v>
      </c>
      <c r="H211" t="s">
        <v>242</v>
      </c>
      <c r="J211">
        <v>0</v>
      </c>
      <c r="K211">
        <v>6</v>
      </c>
      <c r="L211">
        <v>113.9375</v>
      </c>
      <c r="M211">
        <v>33.375507550000002</v>
      </c>
      <c r="N211">
        <v>2.4262999999999999</v>
      </c>
      <c r="O211">
        <v>0.40692159999999999</v>
      </c>
      <c r="P211">
        <v>139.375</v>
      </c>
      <c r="Q211">
        <v>23.713465920000001</v>
      </c>
      <c r="R211" t="s">
        <v>114</v>
      </c>
      <c r="S211" t="s">
        <v>114</v>
      </c>
      <c r="T211" t="s">
        <v>1014</v>
      </c>
      <c r="U211">
        <v>-25.4375</v>
      </c>
    </row>
    <row r="212" spans="1:21" x14ac:dyDescent="0.25">
      <c r="A212" t="s">
        <v>10</v>
      </c>
      <c r="B212" t="s">
        <v>904</v>
      </c>
      <c r="C212">
        <v>15</v>
      </c>
      <c r="D212" t="s">
        <v>11</v>
      </c>
      <c r="E212" t="s">
        <v>94</v>
      </c>
      <c r="F212" t="s">
        <v>104</v>
      </c>
      <c r="G212" t="s">
        <v>121</v>
      </c>
      <c r="H212" t="s">
        <v>242</v>
      </c>
      <c r="J212">
        <v>0</v>
      </c>
      <c r="K212">
        <v>6</v>
      </c>
      <c r="L212">
        <v>113.9375</v>
      </c>
      <c r="M212">
        <v>33.375507550000002</v>
      </c>
      <c r="N212">
        <v>2.4262999999999999</v>
      </c>
      <c r="O212">
        <v>0.40692159999999999</v>
      </c>
      <c r="P212">
        <v>139.375</v>
      </c>
      <c r="Q212">
        <v>23.713465920000001</v>
      </c>
      <c r="R212" t="s">
        <v>114</v>
      </c>
      <c r="S212" t="s">
        <v>114</v>
      </c>
      <c r="T212" t="s">
        <v>1014</v>
      </c>
      <c r="U212">
        <v>-25.4375</v>
      </c>
    </row>
    <row r="213" spans="1:21" x14ac:dyDescent="0.25">
      <c r="A213" t="s">
        <v>14</v>
      </c>
      <c r="B213" t="s">
        <v>905</v>
      </c>
      <c r="C213">
        <v>15</v>
      </c>
      <c r="D213" t="s">
        <v>15</v>
      </c>
      <c r="E213" t="s">
        <v>94</v>
      </c>
      <c r="F213" t="s">
        <v>102</v>
      </c>
      <c r="G213" t="s">
        <v>121</v>
      </c>
      <c r="H213" t="s">
        <v>114</v>
      </c>
      <c r="J213">
        <v>0</v>
      </c>
      <c r="K213" t="s">
        <v>114</v>
      </c>
      <c r="L213">
        <v>84.740740740000007</v>
      </c>
      <c r="M213">
        <v>29.167014049999999</v>
      </c>
      <c r="N213">
        <v>1.1169849999999999</v>
      </c>
      <c r="O213">
        <v>1.1571499000000001</v>
      </c>
      <c r="P213" t="s">
        <v>114</v>
      </c>
      <c r="Q213" t="s">
        <v>114</v>
      </c>
      <c r="R213" t="s">
        <v>114</v>
      </c>
      <c r="S213" t="s">
        <v>114</v>
      </c>
      <c r="T213" t="s">
        <v>1014</v>
      </c>
      <c r="U213" t="s">
        <v>114</v>
      </c>
    </row>
    <row r="214" spans="1:21" x14ac:dyDescent="0.25">
      <c r="A214" t="s">
        <v>14</v>
      </c>
      <c r="B214" t="s">
        <v>906</v>
      </c>
      <c r="C214">
        <v>15</v>
      </c>
      <c r="D214" t="s">
        <v>15</v>
      </c>
      <c r="E214" t="s">
        <v>94</v>
      </c>
      <c r="F214" t="s">
        <v>110</v>
      </c>
      <c r="G214" t="s">
        <v>121</v>
      </c>
      <c r="H214" t="s">
        <v>114</v>
      </c>
      <c r="J214">
        <v>0</v>
      </c>
      <c r="K214" t="s">
        <v>114</v>
      </c>
      <c r="L214">
        <v>73.260869569999997</v>
      </c>
      <c r="M214">
        <v>34.453830549999999</v>
      </c>
      <c r="N214">
        <v>1.058333333</v>
      </c>
      <c r="O214">
        <v>0.90897070000000002</v>
      </c>
      <c r="P214" t="s">
        <v>114</v>
      </c>
      <c r="Q214" t="s">
        <v>114</v>
      </c>
      <c r="R214" t="s">
        <v>114</v>
      </c>
      <c r="S214" t="s">
        <v>114</v>
      </c>
      <c r="T214" t="s">
        <v>1014</v>
      </c>
      <c r="U214" t="s">
        <v>114</v>
      </c>
    </row>
    <row r="215" spans="1:21" x14ac:dyDescent="0.25">
      <c r="A215" t="s">
        <v>14</v>
      </c>
      <c r="B215" t="s">
        <v>907</v>
      </c>
      <c r="C215">
        <v>15</v>
      </c>
      <c r="D215" t="s">
        <v>15</v>
      </c>
      <c r="E215" t="s">
        <v>94</v>
      </c>
      <c r="F215" t="s">
        <v>111</v>
      </c>
      <c r="G215" t="s">
        <v>110</v>
      </c>
      <c r="H215" t="s">
        <v>110</v>
      </c>
      <c r="J215">
        <v>0</v>
      </c>
      <c r="K215">
        <v>1</v>
      </c>
      <c r="L215">
        <v>94.97142857</v>
      </c>
      <c r="M215">
        <v>24.31591813</v>
      </c>
      <c r="N215">
        <v>0.122951111</v>
      </c>
      <c r="O215">
        <v>0.39050790000000002</v>
      </c>
      <c r="P215">
        <v>73.260869569999997</v>
      </c>
      <c r="Q215">
        <v>34.453830549999999</v>
      </c>
      <c r="R215">
        <v>1.058333333</v>
      </c>
      <c r="S215">
        <v>0.90897070000000002</v>
      </c>
      <c r="T215" t="s">
        <v>1014</v>
      </c>
      <c r="U215">
        <v>21.710559</v>
      </c>
    </row>
    <row r="216" spans="1:21" x14ac:dyDescent="0.25">
      <c r="A216" t="s">
        <v>14</v>
      </c>
      <c r="B216" t="s">
        <v>908</v>
      </c>
      <c r="C216">
        <v>15</v>
      </c>
      <c r="D216" t="s">
        <v>15</v>
      </c>
      <c r="E216" t="s">
        <v>94</v>
      </c>
      <c r="F216" t="s">
        <v>104</v>
      </c>
      <c r="G216" t="s">
        <v>110</v>
      </c>
      <c r="H216" t="s">
        <v>110</v>
      </c>
      <c r="J216">
        <v>0</v>
      </c>
      <c r="K216">
        <v>1</v>
      </c>
      <c r="L216">
        <v>113.9375</v>
      </c>
      <c r="M216">
        <v>33.375507550000002</v>
      </c>
      <c r="N216">
        <v>2.4262999999999999</v>
      </c>
      <c r="O216">
        <v>0.40692159999999999</v>
      </c>
      <c r="P216">
        <v>73.260869569999997</v>
      </c>
      <c r="Q216">
        <v>34.453830549999999</v>
      </c>
      <c r="R216">
        <v>1.058333333</v>
      </c>
      <c r="S216">
        <v>0.90897070000000002</v>
      </c>
      <c r="T216" t="s">
        <v>1014</v>
      </c>
      <c r="U216">
        <v>40.676630430000003</v>
      </c>
    </row>
    <row r="217" spans="1:21" x14ac:dyDescent="0.25">
      <c r="A217" t="s">
        <v>14</v>
      </c>
      <c r="B217" t="s">
        <v>908</v>
      </c>
      <c r="C217">
        <v>16</v>
      </c>
      <c r="D217" t="s">
        <v>15</v>
      </c>
      <c r="E217" t="s">
        <v>94</v>
      </c>
      <c r="F217" t="s">
        <v>104</v>
      </c>
      <c r="G217" t="s">
        <v>110</v>
      </c>
      <c r="H217" t="s">
        <v>104</v>
      </c>
      <c r="J217">
        <v>0</v>
      </c>
      <c r="K217">
        <v>2</v>
      </c>
      <c r="L217">
        <v>113.9375</v>
      </c>
      <c r="M217">
        <v>33.375507550000002</v>
      </c>
      <c r="N217">
        <v>2.4262999999999999</v>
      </c>
      <c r="O217">
        <v>0.40692159999999999</v>
      </c>
      <c r="P217">
        <v>113.9375</v>
      </c>
      <c r="Q217">
        <v>33.375507550000002</v>
      </c>
      <c r="R217">
        <v>2.4262999999999999</v>
      </c>
      <c r="S217">
        <v>0.40692159999999999</v>
      </c>
      <c r="T217" t="s">
        <v>1014</v>
      </c>
      <c r="U217">
        <v>0</v>
      </c>
    </row>
    <row r="218" spans="1:21" x14ac:dyDescent="0.25">
      <c r="A218" t="s">
        <v>14</v>
      </c>
      <c r="B218" t="s">
        <v>908</v>
      </c>
      <c r="C218">
        <v>16</v>
      </c>
      <c r="D218" t="s">
        <v>15</v>
      </c>
      <c r="E218" t="s">
        <v>94</v>
      </c>
      <c r="F218" t="s">
        <v>104</v>
      </c>
      <c r="G218" t="s">
        <v>110</v>
      </c>
      <c r="H218" t="s">
        <v>104</v>
      </c>
      <c r="J218">
        <v>0</v>
      </c>
      <c r="K218">
        <v>2</v>
      </c>
      <c r="L218">
        <v>113.9375</v>
      </c>
      <c r="M218">
        <v>33.375507550000002</v>
      </c>
      <c r="N218">
        <v>2.4262999999999999</v>
      </c>
      <c r="O218">
        <v>0.40692159999999999</v>
      </c>
      <c r="P218">
        <v>113.9375</v>
      </c>
      <c r="Q218">
        <v>33.375507550000002</v>
      </c>
      <c r="R218">
        <v>2.4262999999999999</v>
      </c>
      <c r="S218">
        <v>0.40692159999999999</v>
      </c>
      <c r="T218" t="s">
        <v>1014</v>
      </c>
      <c r="U218">
        <v>0</v>
      </c>
    </row>
    <row r="219" spans="1:21" x14ac:dyDescent="0.25">
      <c r="A219" t="s">
        <v>16</v>
      </c>
      <c r="B219" t="s">
        <v>909</v>
      </c>
      <c r="C219">
        <v>15</v>
      </c>
      <c r="D219" t="s">
        <v>17</v>
      </c>
      <c r="E219" t="s">
        <v>95</v>
      </c>
      <c r="F219" t="s">
        <v>113</v>
      </c>
      <c r="G219" t="s">
        <v>104</v>
      </c>
      <c r="H219" t="s">
        <v>104</v>
      </c>
      <c r="J219">
        <v>0</v>
      </c>
      <c r="K219">
        <v>1</v>
      </c>
      <c r="L219">
        <v>83.757575759999995</v>
      </c>
      <c r="M219">
        <v>22.60997987</v>
      </c>
      <c r="N219">
        <v>0.72884000000000004</v>
      </c>
      <c r="O219">
        <v>0.21301339999999999</v>
      </c>
      <c r="P219">
        <v>113.9375</v>
      </c>
      <c r="Q219">
        <v>33.375507550000002</v>
      </c>
      <c r="R219">
        <v>2.4262999999999999</v>
      </c>
      <c r="S219">
        <v>0.40692159999999999</v>
      </c>
      <c r="T219" t="s">
        <v>1014</v>
      </c>
      <c r="U219">
        <v>-30.179924239999998</v>
      </c>
    </row>
    <row r="220" spans="1:21" x14ac:dyDescent="0.25">
      <c r="A220" t="s">
        <v>16</v>
      </c>
      <c r="B220" t="s">
        <v>909</v>
      </c>
      <c r="C220">
        <v>16</v>
      </c>
      <c r="D220" t="s">
        <v>17</v>
      </c>
      <c r="E220" t="s">
        <v>95</v>
      </c>
      <c r="F220" t="s">
        <v>113</v>
      </c>
      <c r="G220" t="s">
        <v>104</v>
      </c>
      <c r="H220" t="s">
        <v>113</v>
      </c>
      <c r="J220">
        <v>0</v>
      </c>
      <c r="K220">
        <v>3</v>
      </c>
      <c r="L220">
        <v>83.757575759999995</v>
      </c>
      <c r="M220">
        <v>22.60997987</v>
      </c>
      <c r="N220">
        <v>0.72884000000000004</v>
      </c>
      <c r="O220">
        <v>0.21301339999999999</v>
      </c>
      <c r="P220">
        <v>83.757575759999995</v>
      </c>
      <c r="Q220">
        <v>22.60997987</v>
      </c>
      <c r="R220">
        <v>0.72884000000000004</v>
      </c>
      <c r="S220">
        <v>0.21301339999999999</v>
      </c>
      <c r="T220" t="s">
        <v>1014</v>
      </c>
      <c r="U220">
        <v>0</v>
      </c>
    </row>
    <row r="221" spans="1:21" x14ac:dyDescent="0.25">
      <c r="A221" t="s">
        <v>16</v>
      </c>
      <c r="B221" t="s">
        <v>909</v>
      </c>
      <c r="C221">
        <v>16</v>
      </c>
      <c r="D221" t="s">
        <v>17</v>
      </c>
      <c r="E221" t="s">
        <v>95</v>
      </c>
      <c r="F221" t="s">
        <v>113</v>
      </c>
      <c r="G221" t="s">
        <v>104</v>
      </c>
      <c r="H221" t="s">
        <v>113</v>
      </c>
      <c r="J221">
        <v>0</v>
      </c>
      <c r="K221">
        <v>3</v>
      </c>
      <c r="L221">
        <v>83.757575759999995</v>
      </c>
      <c r="M221">
        <v>22.60997987</v>
      </c>
      <c r="N221">
        <v>0.72884000000000004</v>
      </c>
      <c r="O221">
        <v>0.21301339999999999</v>
      </c>
      <c r="P221">
        <v>83.757575759999995</v>
      </c>
      <c r="Q221">
        <v>22.60997987</v>
      </c>
      <c r="R221">
        <v>0.72884000000000004</v>
      </c>
      <c r="S221">
        <v>0.21301339999999999</v>
      </c>
      <c r="T221" t="s">
        <v>1014</v>
      </c>
      <c r="U221">
        <v>0</v>
      </c>
    </row>
    <row r="222" spans="1:21" x14ac:dyDescent="0.25">
      <c r="A222" t="s">
        <v>16</v>
      </c>
      <c r="B222" t="s">
        <v>909</v>
      </c>
      <c r="C222">
        <v>16</v>
      </c>
      <c r="D222" t="s">
        <v>17</v>
      </c>
      <c r="E222" t="s">
        <v>95</v>
      </c>
      <c r="F222" t="s">
        <v>113</v>
      </c>
      <c r="G222" t="s">
        <v>104</v>
      </c>
      <c r="H222" t="s">
        <v>113</v>
      </c>
      <c r="J222">
        <v>0</v>
      </c>
      <c r="K222">
        <v>3</v>
      </c>
      <c r="L222">
        <v>83.757575759999995</v>
      </c>
      <c r="M222">
        <v>22.60997987</v>
      </c>
      <c r="N222">
        <v>0.72884000000000004</v>
      </c>
      <c r="O222">
        <v>0.21301339999999999</v>
      </c>
      <c r="P222">
        <v>83.757575759999995</v>
      </c>
      <c r="Q222">
        <v>22.60997987</v>
      </c>
      <c r="R222">
        <v>0.72884000000000004</v>
      </c>
      <c r="S222">
        <v>0.21301339999999999</v>
      </c>
      <c r="T222" t="s">
        <v>1014</v>
      </c>
      <c r="U222">
        <v>0</v>
      </c>
    </row>
    <row r="223" spans="1:21" x14ac:dyDescent="0.25">
      <c r="A223" t="s">
        <v>16</v>
      </c>
      <c r="B223" t="s">
        <v>910</v>
      </c>
      <c r="C223">
        <v>15</v>
      </c>
      <c r="D223" t="s">
        <v>17</v>
      </c>
      <c r="E223" t="s">
        <v>95</v>
      </c>
      <c r="F223" t="s">
        <v>110</v>
      </c>
      <c r="G223" t="s">
        <v>121</v>
      </c>
      <c r="H223" t="s">
        <v>104</v>
      </c>
      <c r="J223">
        <v>0</v>
      </c>
      <c r="K223">
        <v>1</v>
      </c>
      <c r="L223">
        <v>73.260869569999997</v>
      </c>
      <c r="M223">
        <v>34.453830549999999</v>
      </c>
      <c r="N223">
        <v>1.058333333</v>
      </c>
      <c r="O223">
        <v>0.90897070000000002</v>
      </c>
      <c r="P223">
        <v>113.9375</v>
      </c>
      <c r="Q223">
        <v>33.375507550000002</v>
      </c>
      <c r="R223">
        <v>2.4262999999999999</v>
      </c>
      <c r="S223">
        <v>0.40692159999999999</v>
      </c>
      <c r="T223" t="s">
        <v>1014</v>
      </c>
      <c r="U223">
        <v>-40.676630430000003</v>
      </c>
    </row>
    <row r="224" spans="1:21" x14ac:dyDescent="0.25">
      <c r="A224" t="s">
        <v>16</v>
      </c>
      <c r="B224" t="s">
        <v>910</v>
      </c>
      <c r="C224">
        <v>16</v>
      </c>
      <c r="D224" t="s">
        <v>17</v>
      </c>
      <c r="E224" t="s">
        <v>95</v>
      </c>
      <c r="F224" t="s">
        <v>110</v>
      </c>
      <c r="G224" t="s">
        <v>121</v>
      </c>
      <c r="H224" t="s">
        <v>241</v>
      </c>
      <c r="J224">
        <v>0</v>
      </c>
      <c r="K224">
        <v>1</v>
      </c>
      <c r="L224">
        <v>73.260869569999997</v>
      </c>
      <c r="M224">
        <v>34.453830549999999</v>
      </c>
      <c r="N224">
        <v>1.058333333</v>
      </c>
      <c r="O224">
        <v>0.90897070000000002</v>
      </c>
      <c r="P224">
        <v>114</v>
      </c>
      <c r="Q224">
        <v>30.43077242</v>
      </c>
      <c r="R224">
        <v>0.53383111100000002</v>
      </c>
      <c r="S224">
        <v>0.28333332999999999</v>
      </c>
      <c r="T224" t="s">
        <v>1014</v>
      </c>
      <c r="U224">
        <v>-40.739130430000003</v>
      </c>
    </row>
    <row r="225" spans="1:21" x14ac:dyDescent="0.25">
      <c r="A225" t="s">
        <v>16</v>
      </c>
      <c r="B225" t="s">
        <v>911</v>
      </c>
      <c r="C225">
        <v>15</v>
      </c>
      <c r="D225" t="s">
        <v>17</v>
      </c>
      <c r="E225" t="s">
        <v>95</v>
      </c>
      <c r="F225" t="s">
        <v>111</v>
      </c>
      <c r="G225" t="s">
        <v>113</v>
      </c>
      <c r="H225" t="s">
        <v>113</v>
      </c>
      <c r="J225">
        <v>0</v>
      </c>
      <c r="K225">
        <v>2</v>
      </c>
      <c r="L225">
        <v>94.97142857</v>
      </c>
      <c r="M225">
        <v>24.31591813</v>
      </c>
      <c r="N225">
        <v>0.122951111</v>
      </c>
      <c r="O225">
        <v>0.39050790000000002</v>
      </c>
      <c r="P225">
        <v>83.757575759999995</v>
      </c>
      <c r="Q225">
        <v>22.60997987</v>
      </c>
      <c r="R225">
        <v>0.72884000000000004</v>
      </c>
      <c r="S225">
        <v>0.21301339999999999</v>
      </c>
      <c r="T225" t="s">
        <v>1014</v>
      </c>
      <c r="U225">
        <v>11.213852810000001</v>
      </c>
    </row>
    <row r="226" spans="1:21" x14ac:dyDescent="0.25">
      <c r="A226" t="s">
        <v>16</v>
      </c>
      <c r="B226" t="s">
        <v>911</v>
      </c>
      <c r="C226">
        <v>15</v>
      </c>
      <c r="D226" t="s">
        <v>17</v>
      </c>
      <c r="E226" t="s">
        <v>95</v>
      </c>
      <c r="F226" t="s">
        <v>111</v>
      </c>
      <c r="G226" t="s">
        <v>113</v>
      </c>
      <c r="H226" t="s">
        <v>113</v>
      </c>
      <c r="J226">
        <v>0</v>
      </c>
      <c r="K226">
        <v>2</v>
      </c>
      <c r="L226">
        <v>94.97142857</v>
      </c>
      <c r="M226">
        <v>24.31591813</v>
      </c>
      <c r="N226">
        <v>0.122951111</v>
      </c>
      <c r="O226">
        <v>0.39050790000000002</v>
      </c>
      <c r="P226">
        <v>83.757575759999995</v>
      </c>
      <c r="Q226">
        <v>22.60997987</v>
      </c>
      <c r="R226">
        <v>0.72884000000000004</v>
      </c>
      <c r="S226">
        <v>0.21301339999999999</v>
      </c>
      <c r="T226" t="s">
        <v>1014</v>
      </c>
      <c r="U226">
        <v>11.213852810000001</v>
      </c>
    </row>
    <row r="227" spans="1:21" x14ac:dyDescent="0.25">
      <c r="A227" t="s">
        <v>16</v>
      </c>
      <c r="B227" t="s">
        <v>911</v>
      </c>
      <c r="C227">
        <v>16</v>
      </c>
      <c r="D227" t="s">
        <v>17</v>
      </c>
      <c r="E227" t="s">
        <v>95</v>
      </c>
      <c r="F227" t="s">
        <v>111</v>
      </c>
      <c r="G227" t="s">
        <v>113</v>
      </c>
      <c r="H227" t="s">
        <v>247</v>
      </c>
      <c r="J227">
        <v>0</v>
      </c>
      <c r="K227">
        <v>3</v>
      </c>
      <c r="L227">
        <v>94.97142857</v>
      </c>
      <c r="M227">
        <v>24.31591813</v>
      </c>
      <c r="N227">
        <v>0.122951111</v>
      </c>
      <c r="O227">
        <v>0.39050790000000002</v>
      </c>
      <c r="P227">
        <v>65.791044779999993</v>
      </c>
      <c r="Q227">
        <v>22.94519201</v>
      </c>
      <c r="R227">
        <v>8.1320334999999994E-2</v>
      </c>
      <c r="S227">
        <v>0.17285655</v>
      </c>
      <c r="T227" t="s">
        <v>1014</v>
      </c>
      <c r="U227">
        <v>29.18038379</v>
      </c>
    </row>
    <row r="228" spans="1:21" x14ac:dyDescent="0.25">
      <c r="A228" t="s">
        <v>16</v>
      </c>
      <c r="B228" t="s">
        <v>911</v>
      </c>
      <c r="C228">
        <v>16</v>
      </c>
      <c r="D228" t="s">
        <v>17</v>
      </c>
      <c r="E228" t="s">
        <v>95</v>
      </c>
      <c r="F228" t="s">
        <v>111</v>
      </c>
      <c r="G228" t="s">
        <v>113</v>
      </c>
      <c r="H228" t="s">
        <v>247</v>
      </c>
      <c r="J228">
        <v>0</v>
      </c>
      <c r="K228">
        <v>3</v>
      </c>
      <c r="L228">
        <v>94.97142857</v>
      </c>
      <c r="M228">
        <v>24.31591813</v>
      </c>
      <c r="N228">
        <v>0.122951111</v>
      </c>
      <c r="O228">
        <v>0.39050790000000002</v>
      </c>
      <c r="P228">
        <v>65.791044779999993</v>
      </c>
      <c r="Q228">
        <v>22.94519201</v>
      </c>
      <c r="R228">
        <v>8.1320334999999994E-2</v>
      </c>
      <c r="S228">
        <v>0.17285655</v>
      </c>
      <c r="T228" t="s">
        <v>1014</v>
      </c>
      <c r="U228">
        <v>29.18038379</v>
      </c>
    </row>
    <row r="229" spans="1:21" x14ac:dyDescent="0.25">
      <c r="A229" t="s">
        <v>16</v>
      </c>
      <c r="B229" t="s">
        <v>911</v>
      </c>
      <c r="C229">
        <v>16</v>
      </c>
      <c r="D229" t="s">
        <v>17</v>
      </c>
      <c r="E229" t="s">
        <v>95</v>
      </c>
      <c r="F229" t="s">
        <v>111</v>
      </c>
      <c r="G229" t="s">
        <v>113</v>
      </c>
      <c r="H229" t="s">
        <v>247</v>
      </c>
      <c r="J229">
        <v>0</v>
      </c>
      <c r="K229">
        <v>3</v>
      </c>
      <c r="L229">
        <v>94.97142857</v>
      </c>
      <c r="M229">
        <v>24.31591813</v>
      </c>
      <c r="N229">
        <v>0.122951111</v>
      </c>
      <c r="O229">
        <v>0.39050790000000002</v>
      </c>
      <c r="P229">
        <v>65.791044779999993</v>
      </c>
      <c r="Q229">
        <v>22.94519201</v>
      </c>
      <c r="R229">
        <v>8.1320334999999994E-2</v>
      </c>
      <c r="S229">
        <v>0.17285655</v>
      </c>
      <c r="T229" t="s">
        <v>1014</v>
      </c>
      <c r="U229">
        <v>29.18038379</v>
      </c>
    </row>
    <row r="230" spans="1:21" x14ac:dyDescent="0.25">
      <c r="A230" t="s">
        <v>16</v>
      </c>
      <c r="B230" t="s">
        <v>912</v>
      </c>
      <c r="C230">
        <v>15</v>
      </c>
      <c r="D230" t="s">
        <v>17</v>
      </c>
      <c r="E230" t="s">
        <v>95</v>
      </c>
      <c r="F230" t="s">
        <v>104</v>
      </c>
      <c r="G230" t="s">
        <v>121</v>
      </c>
      <c r="H230" t="s">
        <v>247</v>
      </c>
      <c r="J230">
        <v>0</v>
      </c>
      <c r="K230">
        <v>1</v>
      </c>
      <c r="L230">
        <v>113.9375</v>
      </c>
      <c r="M230">
        <v>33.375507550000002</v>
      </c>
      <c r="N230">
        <v>2.4262999999999999</v>
      </c>
      <c r="O230">
        <v>0.40692159999999999</v>
      </c>
      <c r="P230">
        <v>65.791044779999993</v>
      </c>
      <c r="Q230">
        <v>22.94519201</v>
      </c>
      <c r="R230">
        <v>8.1320334999999994E-2</v>
      </c>
      <c r="S230">
        <v>0.17285655</v>
      </c>
      <c r="T230" t="s">
        <v>1014</v>
      </c>
      <c r="U230">
        <v>48.14645522</v>
      </c>
    </row>
    <row r="231" spans="1:21" x14ac:dyDescent="0.25">
      <c r="A231" t="s">
        <v>16</v>
      </c>
      <c r="B231" t="s">
        <v>912</v>
      </c>
      <c r="C231">
        <v>16</v>
      </c>
      <c r="D231" t="s">
        <v>17</v>
      </c>
      <c r="E231" t="s">
        <v>95</v>
      </c>
      <c r="F231" t="s">
        <v>104</v>
      </c>
      <c r="G231" t="s">
        <v>121</v>
      </c>
      <c r="H231" t="s">
        <v>111</v>
      </c>
      <c r="J231">
        <v>0</v>
      </c>
      <c r="K231">
        <v>1</v>
      </c>
      <c r="L231">
        <v>113.9375</v>
      </c>
      <c r="M231">
        <v>33.375507550000002</v>
      </c>
      <c r="N231">
        <v>2.4262999999999999</v>
      </c>
      <c r="O231">
        <v>0.40692159999999999</v>
      </c>
      <c r="P231">
        <v>94.97142857</v>
      </c>
      <c r="Q231">
        <v>24.31591813</v>
      </c>
      <c r="R231">
        <v>0.122951111</v>
      </c>
      <c r="S231">
        <v>0.39050790000000002</v>
      </c>
      <c r="T231" t="s">
        <v>1014</v>
      </c>
      <c r="U231">
        <v>18.96607143</v>
      </c>
    </row>
    <row r="232" spans="1:21" x14ac:dyDescent="0.25">
      <c r="A232" t="s">
        <v>18</v>
      </c>
      <c r="B232" t="s">
        <v>913</v>
      </c>
      <c r="C232">
        <v>15</v>
      </c>
      <c r="D232" t="s">
        <v>19</v>
      </c>
      <c r="E232" t="s">
        <v>95</v>
      </c>
      <c r="F232" t="s">
        <v>113</v>
      </c>
      <c r="G232" t="s">
        <v>121</v>
      </c>
      <c r="H232" t="s">
        <v>113</v>
      </c>
      <c r="J232">
        <v>0</v>
      </c>
      <c r="K232">
        <v>3</v>
      </c>
      <c r="L232">
        <v>83.757575759999995</v>
      </c>
      <c r="M232">
        <v>22.60997987</v>
      </c>
      <c r="N232">
        <v>0.72884000000000004</v>
      </c>
      <c r="O232">
        <v>0.21301339999999999</v>
      </c>
      <c r="P232">
        <v>83.757575759999995</v>
      </c>
      <c r="Q232">
        <v>22.60997987</v>
      </c>
      <c r="R232">
        <v>0.72884000000000004</v>
      </c>
      <c r="S232">
        <v>0.21301339999999999</v>
      </c>
      <c r="T232" t="s">
        <v>1014</v>
      </c>
      <c r="U232">
        <v>0</v>
      </c>
    </row>
    <row r="233" spans="1:21" x14ac:dyDescent="0.25">
      <c r="A233" t="s">
        <v>18</v>
      </c>
      <c r="B233" t="s">
        <v>913</v>
      </c>
      <c r="C233">
        <v>15</v>
      </c>
      <c r="D233" t="s">
        <v>19</v>
      </c>
      <c r="E233" t="s">
        <v>95</v>
      </c>
      <c r="F233" t="s">
        <v>113</v>
      </c>
      <c r="G233" t="s">
        <v>121</v>
      </c>
      <c r="H233" t="s">
        <v>113</v>
      </c>
      <c r="J233">
        <v>0</v>
      </c>
      <c r="K233">
        <v>3</v>
      </c>
      <c r="L233">
        <v>83.757575759999995</v>
      </c>
      <c r="M233">
        <v>22.60997987</v>
      </c>
      <c r="N233">
        <v>0.72884000000000004</v>
      </c>
      <c r="O233">
        <v>0.21301339999999999</v>
      </c>
      <c r="P233">
        <v>83.757575759999995</v>
      </c>
      <c r="Q233">
        <v>22.60997987</v>
      </c>
      <c r="R233">
        <v>0.72884000000000004</v>
      </c>
      <c r="S233">
        <v>0.21301339999999999</v>
      </c>
      <c r="T233" t="s">
        <v>1014</v>
      </c>
      <c r="U233">
        <v>0</v>
      </c>
    </row>
    <row r="234" spans="1:21" x14ac:dyDescent="0.25">
      <c r="A234" t="s">
        <v>18</v>
      </c>
      <c r="B234" t="s">
        <v>913</v>
      </c>
      <c r="C234">
        <v>15</v>
      </c>
      <c r="D234" t="s">
        <v>19</v>
      </c>
      <c r="E234" t="s">
        <v>95</v>
      </c>
      <c r="F234" t="s">
        <v>113</v>
      </c>
      <c r="G234" t="s">
        <v>121</v>
      </c>
      <c r="H234" t="s">
        <v>113</v>
      </c>
      <c r="J234">
        <v>0</v>
      </c>
      <c r="K234">
        <v>3</v>
      </c>
      <c r="L234">
        <v>83.757575759999995</v>
      </c>
      <c r="M234">
        <v>22.60997987</v>
      </c>
      <c r="N234">
        <v>0.72884000000000004</v>
      </c>
      <c r="O234">
        <v>0.21301339999999999</v>
      </c>
      <c r="P234">
        <v>83.757575759999995</v>
      </c>
      <c r="Q234">
        <v>22.60997987</v>
      </c>
      <c r="R234">
        <v>0.72884000000000004</v>
      </c>
      <c r="S234">
        <v>0.21301339999999999</v>
      </c>
      <c r="T234" t="s">
        <v>1014</v>
      </c>
      <c r="U234">
        <v>0</v>
      </c>
    </row>
    <row r="235" spans="1:21" x14ac:dyDescent="0.25">
      <c r="A235" t="s">
        <v>18</v>
      </c>
      <c r="B235" t="s">
        <v>913</v>
      </c>
      <c r="C235">
        <v>16</v>
      </c>
      <c r="D235" t="s">
        <v>19</v>
      </c>
      <c r="E235" t="s">
        <v>95</v>
      </c>
      <c r="F235" t="s">
        <v>113</v>
      </c>
      <c r="G235" t="s">
        <v>121</v>
      </c>
      <c r="H235" t="s">
        <v>808</v>
      </c>
      <c r="J235">
        <v>0</v>
      </c>
      <c r="K235">
        <v>1</v>
      </c>
      <c r="L235">
        <v>83.757575759999995</v>
      </c>
      <c r="M235">
        <v>22.60997987</v>
      </c>
      <c r="N235">
        <v>0.72884000000000004</v>
      </c>
      <c r="O235">
        <v>0.21301339999999999</v>
      </c>
      <c r="P235">
        <v>102.79166669999999</v>
      </c>
      <c r="Q235">
        <v>27.057373470000002</v>
      </c>
      <c r="R235">
        <v>6.3567849939999999</v>
      </c>
      <c r="S235" t="s">
        <v>114</v>
      </c>
      <c r="T235" t="s">
        <v>1014</v>
      </c>
      <c r="U235">
        <v>-19.034090939999999</v>
      </c>
    </row>
    <row r="236" spans="1:21" x14ac:dyDescent="0.25">
      <c r="A236" t="s">
        <v>18</v>
      </c>
      <c r="B236" t="s">
        <v>913</v>
      </c>
      <c r="C236">
        <v>17</v>
      </c>
      <c r="D236" t="s">
        <v>19</v>
      </c>
      <c r="E236" t="s">
        <v>95</v>
      </c>
      <c r="F236" t="s">
        <v>113</v>
      </c>
      <c r="G236" t="s">
        <v>121</v>
      </c>
      <c r="H236" t="s">
        <v>242</v>
      </c>
      <c r="J236">
        <v>0</v>
      </c>
      <c r="K236">
        <v>15</v>
      </c>
      <c r="L236">
        <v>83.757575759999995</v>
      </c>
      <c r="M236">
        <v>22.60997987</v>
      </c>
      <c r="N236">
        <v>0.72884000000000004</v>
      </c>
      <c r="O236">
        <v>0.21301339999999999</v>
      </c>
      <c r="P236">
        <v>139.375</v>
      </c>
      <c r="Q236">
        <v>23.713465920000001</v>
      </c>
      <c r="R236" t="s">
        <v>114</v>
      </c>
      <c r="S236" t="s">
        <v>114</v>
      </c>
      <c r="T236" t="s">
        <v>1014</v>
      </c>
      <c r="U236">
        <v>-55.617424239999998</v>
      </c>
    </row>
    <row r="237" spans="1:21" x14ac:dyDescent="0.25">
      <c r="A237" t="s">
        <v>18</v>
      </c>
      <c r="B237" t="s">
        <v>913</v>
      </c>
      <c r="C237">
        <v>17</v>
      </c>
      <c r="D237" t="s">
        <v>19</v>
      </c>
      <c r="E237" t="s">
        <v>95</v>
      </c>
      <c r="F237" t="s">
        <v>113</v>
      </c>
      <c r="G237" t="s">
        <v>121</v>
      </c>
      <c r="H237" t="s">
        <v>242</v>
      </c>
      <c r="J237">
        <v>0</v>
      </c>
      <c r="K237">
        <v>15</v>
      </c>
      <c r="L237">
        <v>83.757575759999995</v>
      </c>
      <c r="M237">
        <v>22.60997987</v>
      </c>
      <c r="N237">
        <v>0.72884000000000004</v>
      </c>
      <c r="O237">
        <v>0.21301339999999999</v>
      </c>
      <c r="P237">
        <v>139.375</v>
      </c>
      <c r="Q237">
        <v>23.713465920000001</v>
      </c>
      <c r="R237" t="s">
        <v>114</v>
      </c>
      <c r="S237" t="s">
        <v>114</v>
      </c>
      <c r="T237" t="s">
        <v>1014</v>
      </c>
      <c r="U237">
        <v>-55.617424239999998</v>
      </c>
    </row>
    <row r="238" spans="1:21" x14ac:dyDescent="0.25">
      <c r="A238" t="s">
        <v>18</v>
      </c>
      <c r="B238" t="s">
        <v>913</v>
      </c>
      <c r="C238">
        <v>17</v>
      </c>
      <c r="D238" t="s">
        <v>19</v>
      </c>
      <c r="E238" t="s">
        <v>95</v>
      </c>
      <c r="F238" t="s">
        <v>113</v>
      </c>
      <c r="G238" t="s">
        <v>121</v>
      </c>
      <c r="H238" t="s">
        <v>242</v>
      </c>
      <c r="J238">
        <v>0</v>
      </c>
      <c r="K238">
        <v>15</v>
      </c>
      <c r="L238">
        <v>83.757575759999995</v>
      </c>
      <c r="M238">
        <v>22.60997987</v>
      </c>
      <c r="N238">
        <v>0.72884000000000004</v>
      </c>
      <c r="O238">
        <v>0.21301339999999999</v>
      </c>
      <c r="P238">
        <v>139.375</v>
      </c>
      <c r="Q238">
        <v>23.713465920000001</v>
      </c>
      <c r="R238" t="s">
        <v>114</v>
      </c>
      <c r="S238" t="s">
        <v>114</v>
      </c>
      <c r="T238" t="s">
        <v>1014</v>
      </c>
      <c r="U238">
        <v>-55.617424239999998</v>
      </c>
    </row>
    <row r="239" spans="1:21" x14ac:dyDescent="0.25">
      <c r="A239" t="s">
        <v>18</v>
      </c>
      <c r="B239" t="s">
        <v>913</v>
      </c>
      <c r="C239">
        <v>17</v>
      </c>
      <c r="D239" t="s">
        <v>19</v>
      </c>
      <c r="E239" t="s">
        <v>95</v>
      </c>
      <c r="F239" t="s">
        <v>113</v>
      </c>
      <c r="G239" t="s">
        <v>121</v>
      </c>
      <c r="H239" t="s">
        <v>242</v>
      </c>
      <c r="J239">
        <v>0</v>
      </c>
      <c r="K239">
        <v>15</v>
      </c>
      <c r="L239">
        <v>83.757575759999995</v>
      </c>
      <c r="M239">
        <v>22.60997987</v>
      </c>
      <c r="N239">
        <v>0.72884000000000004</v>
      </c>
      <c r="O239">
        <v>0.21301339999999999</v>
      </c>
      <c r="P239">
        <v>139.375</v>
      </c>
      <c r="Q239">
        <v>23.713465920000001</v>
      </c>
      <c r="R239" t="s">
        <v>114</v>
      </c>
      <c r="S239" t="s">
        <v>114</v>
      </c>
      <c r="T239" t="s">
        <v>1014</v>
      </c>
      <c r="U239">
        <v>-55.617424239999998</v>
      </c>
    </row>
    <row r="240" spans="1:21" x14ac:dyDescent="0.25">
      <c r="A240" t="s">
        <v>18</v>
      </c>
      <c r="B240" t="s">
        <v>913</v>
      </c>
      <c r="C240">
        <v>17</v>
      </c>
      <c r="D240" t="s">
        <v>19</v>
      </c>
      <c r="E240" t="s">
        <v>95</v>
      </c>
      <c r="F240" t="s">
        <v>113</v>
      </c>
      <c r="G240" t="s">
        <v>121</v>
      </c>
      <c r="H240" t="s">
        <v>242</v>
      </c>
      <c r="J240">
        <v>0</v>
      </c>
      <c r="K240">
        <v>15</v>
      </c>
      <c r="L240">
        <v>83.757575759999995</v>
      </c>
      <c r="M240">
        <v>22.60997987</v>
      </c>
      <c r="N240">
        <v>0.72884000000000004</v>
      </c>
      <c r="O240">
        <v>0.21301339999999999</v>
      </c>
      <c r="P240">
        <v>139.375</v>
      </c>
      <c r="Q240">
        <v>23.713465920000001</v>
      </c>
      <c r="R240" t="s">
        <v>114</v>
      </c>
      <c r="S240" t="s">
        <v>114</v>
      </c>
      <c r="T240" t="s">
        <v>1014</v>
      </c>
      <c r="U240">
        <v>-55.617424239999998</v>
      </c>
    </row>
    <row r="241" spans="1:21" x14ac:dyDescent="0.25">
      <c r="A241" t="s">
        <v>18</v>
      </c>
      <c r="B241" t="s">
        <v>913</v>
      </c>
      <c r="C241">
        <v>17</v>
      </c>
      <c r="D241" t="s">
        <v>19</v>
      </c>
      <c r="E241" t="s">
        <v>95</v>
      </c>
      <c r="F241" t="s">
        <v>113</v>
      </c>
      <c r="G241" t="s">
        <v>121</v>
      </c>
      <c r="H241" t="s">
        <v>242</v>
      </c>
      <c r="J241">
        <v>0</v>
      </c>
      <c r="K241">
        <v>15</v>
      </c>
      <c r="L241">
        <v>83.757575759999995</v>
      </c>
      <c r="M241">
        <v>22.60997987</v>
      </c>
      <c r="N241">
        <v>0.72884000000000004</v>
      </c>
      <c r="O241">
        <v>0.21301339999999999</v>
      </c>
      <c r="P241">
        <v>139.375</v>
      </c>
      <c r="Q241">
        <v>23.713465920000001</v>
      </c>
      <c r="R241" t="s">
        <v>114</v>
      </c>
      <c r="S241" t="s">
        <v>114</v>
      </c>
      <c r="T241" t="s">
        <v>1014</v>
      </c>
      <c r="U241">
        <v>-55.617424239999998</v>
      </c>
    </row>
    <row r="242" spans="1:21" x14ac:dyDescent="0.25">
      <c r="A242" t="s">
        <v>18</v>
      </c>
      <c r="B242" t="s">
        <v>913</v>
      </c>
      <c r="C242">
        <v>17</v>
      </c>
      <c r="D242" t="s">
        <v>19</v>
      </c>
      <c r="E242" t="s">
        <v>95</v>
      </c>
      <c r="F242" t="s">
        <v>113</v>
      </c>
      <c r="G242" t="s">
        <v>121</v>
      </c>
      <c r="H242" t="s">
        <v>242</v>
      </c>
      <c r="J242">
        <v>0</v>
      </c>
      <c r="K242">
        <v>15</v>
      </c>
      <c r="L242">
        <v>83.757575759999995</v>
      </c>
      <c r="M242">
        <v>22.60997987</v>
      </c>
      <c r="N242">
        <v>0.72884000000000004</v>
      </c>
      <c r="O242">
        <v>0.21301339999999999</v>
      </c>
      <c r="P242">
        <v>139.375</v>
      </c>
      <c r="Q242">
        <v>23.713465920000001</v>
      </c>
      <c r="R242" t="s">
        <v>114</v>
      </c>
      <c r="S242" t="s">
        <v>114</v>
      </c>
      <c r="T242" t="s">
        <v>1014</v>
      </c>
      <c r="U242">
        <v>-55.617424239999998</v>
      </c>
    </row>
    <row r="243" spans="1:21" x14ac:dyDescent="0.25">
      <c r="A243" t="s">
        <v>18</v>
      </c>
      <c r="B243" t="s">
        <v>913</v>
      </c>
      <c r="C243">
        <v>17</v>
      </c>
      <c r="D243" t="s">
        <v>19</v>
      </c>
      <c r="E243" t="s">
        <v>95</v>
      </c>
      <c r="F243" t="s">
        <v>113</v>
      </c>
      <c r="G243" t="s">
        <v>121</v>
      </c>
      <c r="H243" t="s">
        <v>242</v>
      </c>
      <c r="J243">
        <v>0</v>
      </c>
      <c r="K243">
        <v>15</v>
      </c>
      <c r="L243">
        <v>83.757575759999995</v>
      </c>
      <c r="M243">
        <v>22.60997987</v>
      </c>
      <c r="N243">
        <v>0.72884000000000004</v>
      </c>
      <c r="O243">
        <v>0.21301339999999999</v>
      </c>
      <c r="P243">
        <v>139.375</v>
      </c>
      <c r="Q243">
        <v>23.713465920000001</v>
      </c>
      <c r="R243" t="s">
        <v>114</v>
      </c>
      <c r="S243" t="s">
        <v>114</v>
      </c>
      <c r="T243" t="s">
        <v>1014</v>
      </c>
      <c r="U243">
        <v>-55.617424239999998</v>
      </c>
    </row>
    <row r="244" spans="1:21" x14ac:dyDescent="0.25">
      <c r="A244" t="s">
        <v>18</v>
      </c>
      <c r="B244" t="s">
        <v>913</v>
      </c>
      <c r="C244">
        <v>17</v>
      </c>
      <c r="D244" t="s">
        <v>19</v>
      </c>
      <c r="E244" t="s">
        <v>95</v>
      </c>
      <c r="F244" t="s">
        <v>113</v>
      </c>
      <c r="G244" t="s">
        <v>121</v>
      </c>
      <c r="H244" t="s">
        <v>242</v>
      </c>
      <c r="J244">
        <v>0</v>
      </c>
      <c r="K244">
        <v>15</v>
      </c>
      <c r="L244">
        <v>83.757575759999995</v>
      </c>
      <c r="M244">
        <v>22.60997987</v>
      </c>
      <c r="N244">
        <v>0.72884000000000004</v>
      </c>
      <c r="O244">
        <v>0.21301339999999999</v>
      </c>
      <c r="P244">
        <v>139.375</v>
      </c>
      <c r="Q244">
        <v>23.713465920000001</v>
      </c>
      <c r="R244" t="s">
        <v>114</v>
      </c>
      <c r="S244" t="s">
        <v>114</v>
      </c>
      <c r="T244" t="s">
        <v>1014</v>
      </c>
      <c r="U244">
        <v>-55.617424239999998</v>
      </c>
    </row>
    <row r="245" spans="1:21" x14ac:dyDescent="0.25">
      <c r="A245" t="s">
        <v>18</v>
      </c>
      <c r="B245" t="s">
        <v>913</v>
      </c>
      <c r="C245">
        <v>17</v>
      </c>
      <c r="D245" t="s">
        <v>19</v>
      </c>
      <c r="E245" t="s">
        <v>95</v>
      </c>
      <c r="F245" t="s">
        <v>113</v>
      </c>
      <c r="G245" t="s">
        <v>121</v>
      </c>
      <c r="H245" t="s">
        <v>242</v>
      </c>
      <c r="J245">
        <v>0</v>
      </c>
      <c r="K245">
        <v>15</v>
      </c>
      <c r="L245">
        <v>83.757575759999995</v>
      </c>
      <c r="M245">
        <v>22.60997987</v>
      </c>
      <c r="N245">
        <v>0.72884000000000004</v>
      </c>
      <c r="O245">
        <v>0.21301339999999999</v>
      </c>
      <c r="P245">
        <v>139.375</v>
      </c>
      <c r="Q245">
        <v>23.713465920000001</v>
      </c>
      <c r="R245" t="s">
        <v>114</v>
      </c>
      <c r="S245" t="s">
        <v>114</v>
      </c>
      <c r="T245" t="s">
        <v>1014</v>
      </c>
      <c r="U245">
        <v>-55.617424239999998</v>
      </c>
    </row>
    <row r="246" spans="1:21" x14ac:dyDescent="0.25">
      <c r="A246" t="s">
        <v>18</v>
      </c>
      <c r="B246" t="s">
        <v>913</v>
      </c>
      <c r="C246">
        <v>17</v>
      </c>
      <c r="D246" t="s">
        <v>19</v>
      </c>
      <c r="E246" t="s">
        <v>95</v>
      </c>
      <c r="F246" t="s">
        <v>113</v>
      </c>
      <c r="G246" t="s">
        <v>121</v>
      </c>
      <c r="H246" t="s">
        <v>242</v>
      </c>
      <c r="J246">
        <v>0</v>
      </c>
      <c r="K246">
        <v>15</v>
      </c>
      <c r="L246">
        <v>83.757575759999995</v>
      </c>
      <c r="M246">
        <v>22.60997987</v>
      </c>
      <c r="N246">
        <v>0.72884000000000004</v>
      </c>
      <c r="O246">
        <v>0.21301339999999999</v>
      </c>
      <c r="P246">
        <v>139.375</v>
      </c>
      <c r="Q246">
        <v>23.713465920000001</v>
      </c>
      <c r="R246" t="s">
        <v>114</v>
      </c>
      <c r="S246" t="s">
        <v>114</v>
      </c>
      <c r="T246" t="s">
        <v>1014</v>
      </c>
      <c r="U246">
        <v>-55.617424239999998</v>
      </c>
    </row>
    <row r="247" spans="1:21" x14ac:dyDescent="0.25">
      <c r="A247" t="s">
        <v>18</v>
      </c>
      <c r="B247" t="s">
        <v>913</v>
      </c>
      <c r="C247">
        <v>17</v>
      </c>
      <c r="D247" t="s">
        <v>19</v>
      </c>
      <c r="E247" t="s">
        <v>95</v>
      </c>
      <c r="F247" t="s">
        <v>113</v>
      </c>
      <c r="G247" t="s">
        <v>121</v>
      </c>
      <c r="H247" t="s">
        <v>242</v>
      </c>
      <c r="J247">
        <v>0</v>
      </c>
      <c r="K247">
        <v>15</v>
      </c>
      <c r="L247">
        <v>83.757575759999995</v>
      </c>
      <c r="M247">
        <v>22.60997987</v>
      </c>
      <c r="N247">
        <v>0.72884000000000004</v>
      </c>
      <c r="O247">
        <v>0.21301339999999999</v>
      </c>
      <c r="P247">
        <v>139.375</v>
      </c>
      <c r="Q247">
        <v>23.713465920000001</v>
      </c>
      <c r="R247" t="s">
        <v>114</v>
      </c>
      <c r="S247" t="s">
        <v>114</v>
      </c>
      <c r="T247" t="s">
        <v>1014</v>
      </c>
      <c r="U247">
        <v>-55.617424239999998</v>
      </c>
    </row>
    <row r="248" spans="1:21" x14ac:dyDescent="0.25">
      <c r="A248" t="s">
        <v>18</v>
      </c>
      <c r="B248" t="s">
        <v>913</v>
      </c>
      <c r="C248">
        <v>17</v>
      </c>
      <c r="D248" t="s">
        <v>19</v>
      </c>
      <c r="E248" t="s">
        <v>95</v>
      </c>
      <c r="F248" t="s">
        <v>113</v>
      </c>
      <c r="G248" t="s">
        <v>121</v>
      </c>
      <c r="H248" t="s">
        <v>242</v>
      </c>
      <c r="J248">
        <v>0</v>
      </c>
      <c r="K248">
        <v>15</v>
      </c>
      <c r="L248">
        <v>83.757575759999995</v>
      </c>
      <c r="M248">
        <v>22.60997987</v>
      </c>
      <c r="N248">
        <v>0.72884000000000004</v>
      </c>
      <c r="O248">
        <v>0.21301339999999999</v>
      </c>
      <c r="P248">
        <v>139.375</v>
      </c>
      <c r="Q248">
        <v>23.713465920000001</v>
      </c>
      <c r="R248" t="s">
        <v>114</v>
      </c>
      <c r="S248" t="s">
        <v>114</v>
      </c>
      <c r="T248" t="s">
        <v>1014</v>
      </c>
      <c r="U248">
        <v>-55.617424239999998</v>
      </c>
    </row>
    <row r="249" spans="1:21" x14ac:dyDescent="0.25">
      <c r="A249" t="s">
        <v>18</v>
      </c>
      <c r="B249" t="s">
        <v>913</v>
      </c>
      <c r="C249">
        <v>17</v>
      </c>
      <c r="D249" t="s">
        <v>19</v>
      </c>
      <c r="E249" t="s">
        <v>95</v>
      </c>
      <c r="F249" t="s">
        <v>113</v>
      </c>
      <c r="G249" t="s">
        <v>121</v>
      </c>
      <c r="H249" t="s">
        <v>242</v>
      </c>
      <c r="J249">
        <v>0</v>
      </c>
      <c r="K249">
        <v>15</v>
      </c>
      <c r="L249">
        <v>83.757575759999995</v>
      </c>
      <c r="M249">
        <v>22.60997987</v>
      </c>
      <c r="N249">
        <v>0.72884000000000004</v>
      </c>
      <c r="O249">
        <v>0.21301339999999999</v>
      </c>
      <c r="P249">
        <v>139.375</v>
      </c>
      <c r="Q249">
        <v>23.713465920000001</v>
      </c>
      <c r="R249" t="s">
        <v>114</v>
      </c>
      <c r="S249" t="s">
        <v>114</v>
      </c>
      <c r="T249" t="s">
        <v>1014</v>
      </c>
      <c r="U249">
        <v>-55.617424239999998</v>
      </c>
    </row>
    <row r="250" spans="1:21" x14ac:dyDescent="0.25">
      <c r="A250" t="s">
        <v>18</v>
      </c>
      <c r="B250" t="s">
        <v>913</v>
      </c>
      <c r="C250">
        <v>17</v>
      </c>
      <c r="D250" t="s">
        <v>19</v>
      </c>
      <c r="E250" t="s">
        <v>95</v>
      </c>
      <c r="F250" t="s">
        <v>113</v>
      </c>
      <c r="G250" t="s">
        <v>121</v>
      </c>
      <c r="H250" t="s">
        <v>242</v>
      </c>
      <c r="J250">
        <v>0</v>
      </c>
      <c r="K250">
        <v>15</v>
      </c>
      <c r="L250">
        <v>83.757575759999995</v>
      </c>
      <c r="M250">
        <v>22.60997987</v>
      </c>
      <c r="N250">
        <v>0.72884000000000004</v>
      </c>
      <c r="O250">
        <v>0.21301339999999999</v>
      </c>
      <c r="P250">
        <v>139.375</v>
      </c>
      <c r="Q250">
        <v>23.713465920000001</v>
      </c>
      <c r="R250" t="s">
        <v>114</v>
      </c>
      <c r="S250" t="s">
        <v>114</v>
      </c>
      <c r="T250" t="s">
        <v>1014</v>
      </c>
      <c r="U250">
        <v>-55.617424239999998</v>
      </c>
    </row>
    <row r="251" spans="1:21" x14ac:dyDescent="0.25">
      <c r="A251" t="s">
        <v>18</v>
      </c>
      <c r="B251" t="s">
        <v>914</v>
      </c>
      <c r="C251">
        <v>15</v>
      </c>
      <c r="D251" t="s">
        <v>19</v>
      </c>
      <c r="E251" t="s">
        <v>95</v>
      </c>
      <c r="F251" t="s">
        <v>111</v>
      </c>
      <c r="G251" t="s">
        <v>121</v>
      </c>
      <c r="H251" t="s">
        <v>113</v>
      </c>
      <c r="J251">
        <v>0</v>
      </c>
      <c r="K251">
        <v>2</v>
      </c>
      <c r="L251">
        <v>94.97142857</v>
      </c>
      <c r="M251">
        <v>24.31591813</v>
      </c>
      <c r="N251">
        <v>0.122951111</v>
      </c>
      <c r="O251">
        <v>0.39050790000000002</v>
      </c>
      <c r="P251">
        <v>83.757575759999995</v>
      </c>
      <c r="Q251">
        <v>22.60997987</v>
      </c>
      <c r="R251">
        <v>0.72884000000000004</v>
      </c>
      <c r="S251">
        <v>0.21301339999999999</v>
      </c>
      <c r="T251" t="s">
        <v>1014</v>
      </c>
      <c r="U251">
        <v>11.213852810000001</v>
      </c>
    </row>
    <row r="252" spans="1:21" x14ac:dyDescent="0.25">
      <c r="A252" t="s">
        <v>18</v>
      </c>
      <c r="B252" t="s">
        <v>914</v>
      </c>
      <c r="C252">
        <v>15</v>
      </c>
      <c r="D252" t="s">
        <v>19</v>
      </c>
      <c r="E252" t="s">
        <v>95</v>
      </c>
      <c r="F252" t="s">
        <v>111</v>
      </c>
      <c r="G252" t="s">
        <v>121</v>
      </c>
      <c r="H252" t="s">
        <v>113</v>
      </c>
      <c r="J252">
        <v>0</v>
      </c>
      <c r="K252">
        <v>2</v>
      </c>
      <c r="L252">
        <v>94.97142857</v>
      </c>
      <c r="M252">
        <v>24.31591813</v>
      </c>
      <c r="N252">
        <v>0.122951111</v>
      </c>
      <c r="O252">
        <v>0.39050790000000002</v>
      </c>
      <c r="P252">
        <v>83.757575759999995</v>
      </c>
      <c r="Q252">
        <v>22.60997987</v>
      </c>
      <c r="R252">
        <v>0.72884000000000004</v>
      </c>
      <c r="S252">
        <v>0.21301339999999999</v>
      </c>
      <c r="T252" t="s">
        <v>1014</v>
      </c>
      <c r="U252">
        <v>11.213852810000001</v>
      </c>
    </row>
    <row r="253" spans="1:21" x14ac:dyDescent="0.25">
      <c r="A253" t="s">
        <v>18</v>
      </c>
      <c r="B253" t="s">
        <v>914</v>
      </c>
      <c r="C253">
        <v>16</v>
      </c>
      <c r="D253" t="s">
        <v>19</v>
      </c>
      <c r="E253" t="s">
        <v>95</v>
      </c>
      <c r="F253" t="s">
        <v>111</v>
      </c>
      <c r="G253" t="s">
        <v>121</v>
      </c>
      <c r="H253" t="s">
        <v>242</v>
      </c>
      <c r="J253">
        <v>0</v>
      </c>
      <c r="K253">
        <v>2</v>
      </c>
      <c r="L253">
        <v>94.97142857</v>
      </c>
      <c r="M253">
        <v>24.31591813</v>
      </c>
      <c r="N253">
        <v>0.122951111</v>
      </c>
      <c r="O253">
        <v>0.39050790000000002</v>
      </c>
      <c r="P253">
        <v>139.375</v>
      </c>
      <c r="Q253">
        <v>23.713465920000001</v>
      </c>
      <c r="R253" t="s">
        <v>114</v>
      </c>
      <c r="S253" t="s">
        <v>114</v>
      </c>
      <c r="T253" t="s">
        <v>1014</v>
      </c>
      <c r="U253">
        <v>-44.40357143</v>
      </c>
    </row>
    <row r="254" spans="1:21" x14ac:dyDescent="0.25">
      <c r="A254" t="s">
        <v>18</v>
      </c>
      <c r="B254" t="s">
        <v>914</v>
      </c>
      <c r="C254">
        <v>16</v>
      </c>
      <c r="D254" t="s">
        <v>19</v>
      </c>
      <c r="E254" t="s">
        <v>95</v>
      </c>
      <c r="F254" t="s">
        <v>111</v>
      </c>
      <c r="G254" t="s">
        <v>121</v>
      </c>
      <c r="H254" t="s">
        <v>242</v>
      </c>
      <c r="J254">
        <v>0</v>
      </c>
      <c r="K254">
        <v>2</v>
      </c>
      <c r="L254">
        <v>94.97142857</v>
      </c>
      <c r="M254">
        <v>24.31591813</v>
      </c>
      <c r="N254">
        <v>0.122951111</v>
      </c>
      <c r="O254">
        <v>0.39050790000000002</v>
      </c>
      <c r="P254">
        <v>139.375</v>
      </c>
      <c r="Q254">
        <v>23.713465920000001</v>
      </c>
      <c r="R254" t="s">
        <v>114</v>
      </c>
      <c r="S254" t="s">
        <v>114</v>
      </c>
      <c r="T254" t="s">
        <v>1014</v>
      </c>
      <c r="U254">
        <v>-44.40357143</v>
      </c>
    </row>
    <row r="255" spans="1:21" x14ac:dyDescent="0.25">
      <c r="A255" t="s">
        <v>18</v>
      </c>
      <c r="B255" t="s">
        <v>915</v>
      </c>
      <c r="C255">
        <v>15</v>
      </c>
      <c r="D255" t="s">
        <v>19</v>
      </c>
      <c r="E255" t="s">
        <v>95</v>
      </c>
      <c r="F255" t="s">
        <v>104</v>
      </c>
      <c r="G255" t="s">
        <v>121</v>
      </c>
      <c r="H255" t="s">
        <v>247</v>
      </c>
      <c r="J255">
        <v>0</v>
      </c>
      <c r="K255">
        <v>1</v>
      </c>
      <c r="L255">
        <v>113.9375</v>
      </c>
      <c r="M255">
        <v>33.375507550000002</v>
      </c>
      <c r="N255">
        <v>2.4262999999999999</v>
      </c>
      <c r="O255">
        <v>0.40692159999999999</v>
      </c>
      <c r="P255">
        <v>65.791044779999993</v>
      </c>
      <c r="Q255">
        <v>22.94519201</v>
      </c>
      <c r="R255">
        <v>8.1320334999999994E-2</v>
      </c>
      <c r="S255">
        <v>0.17285655</v>
      </c>
      <c r="T255" t="s">
        <v>1014</v>
      </c>
      <c r="U255">
        <v>48.14645522</v>
      </c>
    </row>
    <row r="256" spans="1:21" x14ac:dyDescent="0.25">
      <c r="A256" t="s">
        <v>18</v>
      </c>
      <c r="B256" t="s">
        <v>915</v>
      </c>
      <c r="C256">
        <v>16</v>
      </c>
      <c r="D256" t="s">
        <v>19</v>
      </c>
      <c r="E256" t="s">
        <v>95</v>
      </c>
      <c r="F256" t="s">
        <v>104</v>
      </c>
      <c r="G256" t="s">
        <v>121</v>
      </c>
      <c r="H256" t="s">
        <v>113</v>
      </c>
      <c r="J256">
        <v>0</v>
      </c>
      <c r="K256">
        <v>3</v>
      </c>
      <c r="L256">
        <v>113.9375</v>
      </c>
      <c r="M256">
        <v>33.375507550000002</v>
      </c>
      <c r="N256">
        <v>2.4262999999999999</v>
      </c>
      <c r="O256">
        <v>0.40692159999999999</v>
      </c>
      <c r="P256">
        <v>83.757575759999995</v>
      </c>
      <c r="Q256">
        <v>22.60997987</v>
      </c>
      <c r="R256">
        <v>0.72884000000000004</v>
      </c>
      <c r="S256">
        <v>0.21301339999999999</v>
      </c>
      <c r="T256" t="s">
        <v>1014</v>
      </c>
      <c r="U256">
        <v>30.179924239999998</v>
      </c>
    </row>
    <row r="257" spans="1:21" x14ac:dyDescent="0.25">
      <c r="A257" t="s">
        <v>18</v>
      </c>
      <c r="B257" t="s">
        <v>915</v>
      </c>
      <c r="C257">
        <v>16</v>
      </c>
      <c r="D257" t="s">
        <v>19</v>
      </c>
      <c r="E257" t="s">
        <v>95</v>
      </c>
      <c r="F257" t="s">
        <v>104</v>
      </c>
      <c r="G257" t="s">
        <v>121</v>
      </c>
      <c r="H257" t="s">
        <v>113</v>
      </c>
      <c r="J257">
        <v>0</v>
      </c>
      <c r="K257">
        <v>3</v>
      </c>
      <c r="L257">
        <v>113.9375</v>
      </c>
      <c r="M257">
        <v>33.375507550000002</v>
      </c>
      <c r="N257">
        <v>2.4262999999999999</v>
      </c>
      <c r="O257">
        <v>0.40692159999999999</v>
      </c>
      <c r="P257">
        <v>83.757575759999995</v>
      </c>
      <c r="Q257">
        <v>22.60997987</v>
      </c>
      <c r="R257">
        <v>0.72884000000000004</v>
      </c>
      <c r="S257">
        <v>0.21301339999999999</v>
      </c>
      <c r="T257" t="s">
        <v>1014</v>
      </c>
      <c r="U257">
        <v>30.179924239999998</v>
      </c>
    </row>
    <row r="258" spans="1:21" x14ac:dyDescent="0.25">
      <c r="A258" t="s">
        <v>18</v>
      </c>
      <c r="B258" t="s">
        <v>915</v>
      </c>
      <c r="C258">
        <v>16</v>
      </c>
      <c r="D258" t="s">
        <v>19</v>
      </c>
      <c r="E258" t="s">
        <v>95</v>
      </c>
      <c r="F258" t="s">
        <v>104</v>
      </c>
      <c r="G258" t="s">
        <v>121</v>
      </c>
      <c r="H258" t="s">
        <v>113</v>
      </c>
      <c r="J258">
        <v>0</v>
      </c>
      <c r="K258">
        <v>3</v>
      </c>
      <c r="L258">
        <v>113.9375</v>
      </c>
      <c r="M258">
        <v>33.375507550000002</v>
      </c>
      <c r="N258">
        <v>2.4262999999999999</v>
      </c>
      <c r="O258">
        <v>0.40692159999999999</v>
      </c>
      <c r="P258">
        <v>83.757575759999995</v>
      </c>
      <c r="Q258">
        <v>22.60997987</v>
      </c>
      <c r="R258">
        <v>0.72884000000000004</v>
      </c>
      <c r="S258">
        <v>0.21301339999999999</v>
      </c>
      <c r="T258" t="s">
        <v>1014</v>
      </c>
      <c r="U258">
        <v>30.179924239999998</v>
      </c>
    </row>
    <row r="259" spans="1:21" x14ac:dyDescent="0.25">
      <c r="A259" t="s">
        <v>18</v>
      </c>
      <c r="B259" t="s">
        <v>916</v>
      </c>
      <c r="C259">
        <v>15</v>
      </c>
      <c r="D259" t="s">
        <v>19</v>
      </c>
      <c r="E259" t="s">
        <v>95</v>
      </c>
      <c r="F259" t="s">
        <v>112</v>
      </c>
      <c r="G259" t="s">
        <v>113</v>
      </c>
      <c r="H259" t="s">
        <v>113</v>
      </c>
      <c r="J259">
        <v>0</v>
      </c>
      <c r="K259">
        <v>1</v>
      </c>
      <c r="L259">
        <v>65.09375</v>
      </c>
      <c r="M259">
        <v>37.895352600000002</v>
      </c>
      <c r="N259">
        <v>2.2882677779999998</v>
      </c>
      <c r="O259">
        <v>2.2111774</v>
      </c>
      <c r="P259">
        <v>83.757575759999995</v>
      </c>
      <c r="Q259">
        <v>22.60997987</v>
      </c>
      <c r="R259">
        <v>0.72884000000000004</v>
      </c>
      <c r="S259">
        <v>0.21301339999999999</v>
      </c>
      <c r="T259" t="s">
        <v>1014</v>
      </c>
      <c r="U259">
        <v>-18.663825760000002</v>
      </c>
    </row>
    <row r="260" spans="1:21" x14ac:dyDescent="0.25">
      <c r="A260" t="s">
        <v>20</v>
      </c>
      <c r="B260" t="s">
        <v>917</v>
      </c>
      <c r="C260">
        <v>15</v>
      </c>
      <c r="D260" t="s">
        <v>21</v>
      </c>
      <c r="E260" t="s">
        <v>94</v>
      </c>
      <c r="F260" t="s">
        <v>102</v>
      </c>
      <c r="G260" t="s">
        <v>121</v>
      </c>
      <c r="H260" t="s">
        <v>246</v>
      </c>
      <c r="J260">
        <v>0</v>
      </c>
      <c r="K260">
        <v>1</v>
      </c>
      <c r="L260">
        <v>84.740740740000007</v>
      </c>
      <c r="M260">
        <v>29.167014049999999</v>
      </c>
      <c r="N260">
        <v>1.1169849999999999</v>
      </c>
      <c r="O260">
        <v>1.1571499000000001</v>
      </c>
      <c r="P260">
        <v>120.25</v>
      </c>
      <c r="Q260">
        <v>30.670450110000001</v>
      </c>
      <c r="R260">
        <v>0.91037498500000003</v>
      </c>
      <c r="S260" t="s">
        <v>114</v>
      </c>
      <c r="T260" t="s">
        <v>1014</v>
      </c>
      <c r="U260">
        <v>-35.50925926</v>
      </c>
    </row>
    <row r="261" spans="1:21" x14ac:dyDescent="0.25">
      <c r="A261" t="s">
        <v>20</v>
      </c>
      <c r="B261" t="s">
        <v>918</v>
      </c>
      <c r="C261">
        <v>15</v>
      </c>
      <c r="D261" t="s">
        <v>21</v>
      </c>
      <c r="E261" t="s">
        <v>94</v>
      </c>
      <c r="F261" t="s">
        <v>113</v>
      </c>
      <c r="G261" t="s">
        <v>113</v>
      </c>
      <c r="H261" t="s">
        <v>113</v>
      </c>
      <c r="J261">
        <v>0</v>
      </c>
      <c r="K261">
        <v>1</v>
      </c>
      <c r="L261">
        <v>83.757575759999995</v>
      </c>
      <c r="M261">
        <v>22.60997987</v>
      </c>
      <c r="N261">
        <v>0.72884000000000004</v>
      </c>
      <c r="O261">
        <v>0.21301339999999999</v>
      </c>
      <c r="P261">
        <v>83.757575759999995</v>
      </c>
      <c r="Q261">
        <v>22.60997987</v>
      </c>
      <c r="R261">
        <v>0.72884000000000004</v>
      </c>
      <c r="S261">
        <v>0.21301339999999999</v>
      </c>
      <c r="T261" t="s">
        <v>1014</v>
      </c>
      <c r="U261">
        <v>0</v>
      </c>
    </row>
    <row r="262" spans="1:21" x14ac:dyDescent="0.25">
      <c r="A262" t="s">
        <v>20</v>
      </c>
      <c r="B262" t="s">
        <v>919</v>
      </c>
      <c r="C262">
        <v>15</v>
      </c>
      <c r="D262" t="s">
        <v>21</v>
      </c>
      <c r="E262" t="s">
        <v>94</v>
      </c>
      <c r="F262" t="s">
        <v>110</v>
      </c>
      <c r="G262" t="s">
        <v>121</v>
      </c>
      <c r="H262" t="s">
        <v>113</v>
      </c>
      <c r="J262">
        <v>0</v>
      </c>
      <c r="K262">
        <v>2</v>
      </c>
      <c r="L262">
        <v>73.260869569999997</v>
      </c>
      <c r="M262">
        <v>34.453830549999999</v>
      </c>
      <c r="N262">
        <v>1.058333333</v>
      </c>
      <c r="O262">
        <v>0.90897070000000002</v>
      </c>
      <c r="P262">
        <v>83.757575759999995</v>
      </c>
      <c r="Q262">
        <v>22.60997987</v>
      </c>
      <c r="R262">
        <v>0.72884000000000004</v>
      </c>
      <c r="S262">
        <v>0.21301339999999999</v>
      </c>
      <c r="T262" t="s">
        <v>1014</v>
      </c>
      <c r="U262">
        <v>-10.496706189999999</v>
      </c>
    </row>
    <row r="263" spans="1:21" x14ac:dyDescent="0.25">
      <c r="A263" t="s">
        <v>20</v>
      </c>
      <c r="B263" t="s">
        <v>919</v>
      </c>
      <c r="C263">
        <v>15</v>
      </c>
      <c r="D263" t="s">
        <v>21</v>
      </c>
      <c r="E263" t="s">
        <v>94</v>
      </c>
      <c r="F263" t="s">
        <v>110</v>
      </c>
      <c r="G263" t="s">
        <v>121</v>
      </c>
      <c r="H263" t="s">
        <v>113</v>
      </c>
      <c r="J263">
        <v>0</v>
      </c>
      <c r="K263">
        <v>2</v>
      </c>
      <c r="L263">
        <v>73.260869569999997</v>
      </c>
      <c r="M263">
        <v>34.453830549999999</v>
      </c>
      <c r="N263">
        <v>1.058333333</v>
      </c>
      <c r="O263">
        <v>0.90897070000000002</v>
      </c>
      <c r="P263">
        <v>83.757575759999995</v>
      </c>
      <c r="Q263">
        <v>22.60997987</v>
      </c>
      <c r="R263">
        <v>0.72884000000000004</v>
      </c>
      <c r="S263">
        <v>0.21301339999999999</v>
      </c>
      <c r="T263" t="s">
        <v>1014</v>
      </c>
      <c r="U263">
        <v>-10.496706189999999</v>
      </c>
    </row>
    <row r="264" spans="1:21" x14ac:dyDescent="0.25">
      <c r="A264" t="s">
        <v>20</v>
      </c>
      <c r="B264" t="s">
        <v>919</v>
      </c>
      <c r="C264">
        <v>16</v>
      </c>
      <c r="D264" t="s">
        <v>21</v>
      </c>
      <c r="E264" t="s">
        <v>94</v>
      </c>
      <c r="F264" t="s">
        <v>110</v>
      </c>
      <c r="G264" t="s">
        <v>121</v>
      </c>
      <c r="H264" t="s">
        <v>102</v>
      </c>
      <c r="J264">
        <v>0</v>
      </c>
      <c r="K264">
        <v>1</v>
      </c>
      <c r="L264">
        <v>73.260869569999997</v>
      </c>
      <c r="M264">
        <v>34.453830549999999</v>
      </c>
      <c r="N264">
        <v>1.058333333</v>
      </c>
      <c r="O264">
        <v>0.90897070000000002</v>
      </c>
      <c r="P264">
        <v>84.740740740000007</v>
      </c>
      <c r="Q264">
        <v>29.167014049999999</v>
      </c>
      <c r="R264">
        <v>1.1169849999999999</v>
      </c>
      <c r="S264">
        <v>1.1571499000000001</v>
      </c>
      <c r="T264" t="s">
        <v>1014</v>
      </c>
      <c r="U264">
        <v>-11.479871169999999</v>
      </c>
    </row>
    <row r="265" spans="1:21" x14ac:dyDescent="0.25">
      <c r="A265" t="s">
        <v>20</v>
      </c>
      <c r="B265" t="s">
        <v>920</v>
      </c>
      <c r="C265">
        <v>15</v>
      </c>
      <c r="D265" t="s">
        <v>21</v>
      </c>
      <c r="E265" t="s">
        <v>94</v>
      </c>
      <c r="F265" t="s">
        <v>111</v>
      </c>
      <c r="G265" t="s">
        <v>121</v>
      </c>
      <c r="H265" t="s">
        <v>110</v>
      </c>
      <c r="J265">
        <v>0</v>
      </c>
      <c r="K265">
        <v>1</v>
      </c>
      <c r="L265">
        <v>94.97142857</v>
      </c>
      <c r="M265">
        <v>24.31591813</v>
      </c>
      <c r="N265">
        <v>0.122951111</v>
      </c>
      <c r="O265">
        <v>0.39050790000000002</v>
      </c>
      <c r="P265">
        <v>73.260869569999997</v>
      </c>
      <c r="Q265">
        <v>34.453830549999999</v>
      </c>
      <c r="R265">
        <v>1.058333333</v>
      </c>
      <c r="S265">
        <v>0.90897070000000002</v>
      </c>
      <c r="T265" t="s">
        <v>1014</v>
      </c>
      <c r="U265">
        <v>21.710559</v>
      </c>
    </row>
    <row r="266" spans="1:21" x14ac:dyDescent="0.25">
      <c r="A266" t="s">
        <v>22</v>
      </c>
      <c r="B266" t="s">
        <v>921</v>
      </c>
      <c r="C266">
        <v>15</v>
      </c>
      <c r="D266" t="s">
        <v>23</v>
      </c>
      <c r="E266" t="s">
        <v>95</v>
      </c>
      <c r="F266" t="s">
        <v>102</v>
      </c>
      <c r="G266" t="s">
        <v>121</v>
      </c>
      <c r="H266" t="s">
        <v>236</v>
      </c>
      <c r="J266">
        <v>0</v>
      </c>
      <c r="K266">
        <v>1</v>
      </c>
      <c r="L266">
        <v>84.740740740000007</v>
      </c>
      <c r="M266">
        <v>29.167014049999999</v>
      </c>
      <c r="N266">
        <v>1.1169849999999999</v>
      </c>
      <c r="O266">
        <v>1.1571499000000001</v>
      </c>
      <c r="P266">
        <v>113.33333330000001</v>
      </c>
      <c r="Q266">
        <v>26.41632581</v>
      </c>
      <c r="R266">
        <v>1.6844570160000001</v>
      </c>
      <c r="S266">
        <v>8.9285710000000004E-2</v>
      </c>
      <c r="T266" t="s">
        <v>1014</v>
      </c>
      <c r="U266">
        <v>-28.59259256</v>
      </c>
    </row>
    <row r="267" spans="1:21" x14ac:dyDescent="0.25">
      <c r="A267" t="s">
        <v>22</v>
      </c>
      <c r="B267" t="s">
        <v>922</v>
      </c>
      <c r="C267">
        <v>15</v>
      </c>
      <c r="D267" t="s">
        <v>23</v>
      </c>
      <c r="E267" t="s">
        <v>95</v>
      </c>
      <c r="F267" t="s">
        <v>105</v>
      </c>
      <c r="G267" t="s">
        <v>121</v>
      </c>
      <c r="H267" t="s">
        <v>113</v>
      </c>
      <c r="J267">
        <v>0</v>
      </c>
      <c r="K267">
        <v>4</v>
      </c>
      <c r="L267">
        <v>67.5</v>
      </c>
      <c r="M267">
        <v>47.937235809999997</v>
      </c>
      <c r="N267">
        <v>0.41599678000000001</v>
      </c>
      <c r="O267">
        <v>2.0950346999999998</v>
      </c>
      <c r="P267">
        <v>83.757575759999995</v>
      </c>
      <c r="Q267">
        <v>22.60997987</v>
      </c>
      <c r="R267">
        <v>0.72884000000000004</v>
      </c>
      <c r="S267">
        <v>0.21301339999999999</v>
      </c>
      <c r="T267" t="s">
        <v>1014</v>
      </c>
      <c r="U267">
        <v>-16.257575760000002</v>
      </c>
    </row>
    <row r="268" spans="1:21" x14ac:dyDescent="0.25">
      <c r="A268" t="s">
        <v>22</v>
      </c>
      <c r="B268" t="s">
        <v>922</v>
      </c>
      <c r="C268">
        <v>15</v>
      </c>
      <c r="D268" t="s">
        <v>23</v>
      </c>
      <c r="E268" t="s">
        <v>95</v>
      </c>
      <c r="F268" t="s">
        <v>105</v>
      </c>
      <c r="G268" t="s">
        <v>121</v>
      </c>
      <c r="H268" t="s">
        <v>113</v>
      </c>
      <c r="J268">
        <v>0</v>
      </c>
      <c r="K268">
        <v>4</v>
      </c>
      <c r="L268">
        <v>67.5</v>
      </c>
      <c r="M268">
        <v>47.937235809999997</v>
      </c>
      <c r="N268">
        <v>0.41599678000000001</v>
      </c>
      <c r="O268">
        <v>2.0950346999999998</v>
      </c>
      <c r="P268">
        <v>83.757575759999995</v>
      </c>
      <c r="Q268">
        <v>22.60997987</v>
      </c>
      <c r="R268">
        <v>0.72884000000000004</v>
      </c>
      <c r="S268">
        <v>0.21301339999999999</v>
      </c>
      <c r="T268" t="s">
        <v>1014</v>
      </c>
      <c r="U268">
        <v>-16.257575760000002</v>
      </c>
    </row>
    <row r="269" spans="1:21" x14ac:dyDescent="0.25">
      <c r="A269" t="s">
        <v>22</v>
      </c>
      <c r="B269" t="s">
        <v>922</v>
      </c>
      <c r="C269">
        <v>15</v>
      </c>
      <c r="D269" t="s">
        <v>23</v>
      </c>
      <c r="E269" t="s">
        <v>95</v>
      </c>
      <c r="F269" t="s">
        <v>105</v>
      </c>
      <c r="G269" t="s">
        <v>121</v>
      </c>
      <c r="H269" t="s">
        <v>113</v>
      </c>
      <c r="J269">
        <v>0</v>
      </c>
      <c r="K269">
        <v>4</v>
      </c>
      <c r="L269">
        <v>67.5</v>
      </c>
      <c r="M269">
        <v>47.937235809999997</v>
      </c>
      <c r="N269">
        <v>0.41599678000000001</v>
      </c>
      <c r="O269">
        <v>2.0950346999999998</v>
      </c>
      <c r="P269">
        <v>83.757575759999995</v>
      </c>
      <c r="Q269">
        <v>22.60997987</v>
      </c>
      <c r="R269">
        <v>0.72884000000000004</v>
      </c>
      <c r="S269">
        <v>0.21301339999999999</v>
      </c>
      <c r="T269" t="s">
        <v>1014</v>
      </c>
      <c r="U269">
        <v>-16.257575760000002</v>
      </c>
    </row>
    <row r="270" spans="1:21" x14ac:dyDescent="0.25">
      <c r="A270" t="s">
        <v>22</v>
      </c>
      <c r="B270" t="s">
        <v>922</v>
      </c>
      <c r="C270">
        <v>15</v>
      </c>
      <c r="D270" t="s">
        <v>23</v>
      </c>
      <c r="E270" t="s">
        <v>95</v>
      </c>
      <c r="F270" t="s">
        <v>105</v>
      </c>
      <c r="G270" t="s">
        <v>121</v>
      </c>
      <c r="H270" t="s">
        <v>113</v>
      </c>
      <c r="J270">
        <v>0</v>
      </c>
      <c r="K270">
        <v>4</v>
      </c>
      <c r="L270">
        <v>67.5</v>
      </c>
      <c r="M270">
        <v>47.937235809999997</v>
      </c>
      <c r="N270">
        <v>0.41599678000000001</v>
      </c>
      <c r="O270">
        <v>2.0950346999999998</v>
      </c>
      <c r="P270">
        <v>83.757575759999995</v>
      </c>
      <c r="Q270">
        <v>22.60997987</v>
      </c>
      <c r="R270">
        <v>0.72884000000000004</v>
      </c>
      <c r="S270">
        <v>0.21301339999999999</v>
      </c>
      <c r="T270" t="s">
        <v>1014</v>
      </c>
      <c r="U270">
        <v>-16.257575760000002</v>
      </c>
    </row>
    <row r="271" spans="1:21" x14ac:dyDescent="0.25">
      <c r="A271" t="s">
        <v>22</v>
      </c>
      <c r="B271" t="s">
        <v>922</v>
      </c>
      <c r="C271">
        <v>16</v>
      </c>
      <c r="D271" t="s">
        <v>23</v>
      </c>
      <c r="E271" t="s">
        <v>95</v>
      </c>
      <c r="F271" t="s">
        <v>105</v>
      </c>
      <c r="G271" t="s">
        <v>121</v>
      </c>
      <c r="H271" t="s">
        <v>103</v>
      </c>
      <c r="J271">
        <v>0</v>
      </c>
      <c r="K271">
        <v>1</v>
      </c>
      <c r="L271">
        <v>67.5</v>
      </c>
      <c r="M271">
        <v>47.937235809999997</v>
      </c>
      <c r="N271">
        <v>0.41599678000000001</v>
      </c>
      <c r="O271">
        <v>2.0950346999999998</v>
      </c>
      <c r="P271">
        <v>98.291666669999998</v>
      </c>
      <c r="Q271">
        <v>30.315130790000001</v>
      </c>
      <c r="R271">
        <v>5.0803484000000003E-2</v>
      </c>
      <c r="S271">
        <v>0.42866070000000001</v>
      </c>
      <c r="T271" t="s">
        <v>1014</v>
      </c>
      <c r="U271">
        <v>-30.791666670000001</v>
      </c>
    </row>
    <row r="272" spans="1:21" x14ac:dyDescent="0.25">
      <c r="A272" t="s">
        <v>22</v>
      </c>
      <c r="B272" t="s">
        <v>922</v>
      </c>
      <c r="C272">
        <v>17</v>
      </c>
      <c r="D272" t="s">
        <v>23</v>
      </c>
      <c r="E272" t="s">
        <v>95</v>
      </c>
      <c r="F272" t="s">
        <v>105</v>
      </c>
      <c r="G272" t="s">
        <v>121</v>
      </c>
      <c r="H272" t="s">
        <v>234</v>
      </c>
      <c r="J272">
        <v>0</v>
      </c>
      <c r="K272">
        <v>1</v>
      </c>
      <c r="L272">
        <v>67.5</v>
      </c>
      <c r="M272">
        <v>47.937235809999997</v>
      </c>
      <c r="N272">
        <v>0.41599678000000001</v>
      </c>
      <c r="O272">
        <v>2.0950346999999998</v>
      </c>
      <c r="P272">
        <v>89.8125</v>
      </c>
      <c r="Q272">
        <v>34.754706650000003</v>
      </c>
      <c r="R272">
        <v>2.3065078999999999E-2</v>
      </c>
      <c r="S272">
        <v>2.4791666700000001</v>
      </c>
      <c r="T272" t="s">
        <v>1014</v>
      </c>
      <c r="U272">
        <v>-22.3125</v>
      </c>
    </row>
    <row r="273" spans="1:21" x14ac:dyDescent="0.25">
      <c r="A273" t="s">
        <v>22</v>
      </c>
      <c r="B273" t="s">
        <v>923</v>
      </c>
      <c r="C273">
        <v>15</v>
      </c>
      <c r="D273" t="s">
        <v>23</v>
      </c>
      <c r="E273" t="s">
        <v>95</v>
      </c>
      <c r="F273" t="s">
        <v>103</v>
      </c>
      <c r="G273" t="s">
        <v>103</v>
      </c>
      <c r="H273" t="s">
        <v>103</v>
      </c>
      <c r="J273">
        <v>0</v>
      </c>
      <c r="K273">
        <v>6</v>
      </c>
      <c r="L273">
        <v>98.291666669999998</v>
      </c>
      <c r="M273">
        <v>30.315130790000001</v>
      </c>
      <c r="N273">
        <v>5.0803484000000003E-2</v>
      </c>
      <c r="O273">
        <v>0.42866070000000001</v>
      </c>
      <c r="P273">
        <v>98.291666669999998</v>
      </c>
      <c r="Q273">
        <v>30.315130790000001</v>
      </c>
      <c r="R273">
        <v>5.0803484000000003E-2</v>
      </c>
      <c r="S273">
        <v>0.42866070000000001</v>
      </c>
      <c r="T273" t="s">
        <v>1014</v>
      </c>
      <c r="U273">
        <v>0</v>
      </c>
    </row>
    <row r="274" spans="1:21" x14ac:dyDescent="0.25">
      <c r="A274" t="s">
        <v>22</v>
      </c>
      <c r="B274" t="s">
        <v>923</v>
      </c>
      <c r="C274">
        <v>15</v>
      </c>
      <c r="D274" t="s">
        <v>23</v>
      </c>
      <c r="E274" t="s">
        <v>95</v>
      </c>
      <c r="F274" t="s">
        <v>103</v>
      </c>
      <c r="G274" t="s">
        <v>103</v>
      </c>
      <c r="H274" t="s">
        <v>103</v>
      </c>
      <c r="J274">
        <v>0</v>
      </c>
      <c r="K274">
        <v>6</v>
      </c>
      <c r="L274">
        <v>98.291666669999998</v>
      </c>
      <c r="M274">
        <v>30.315130790000001</v>
      </c>
      <c r="N274">
        <v>5.0803484000000003E-2</v>
      </c>
      <c r="O274">
        <v>0.42866070000000001</v>
      </c>
      <c r="P274">
        <v>98.291666669999998</v>
      </c>
      <c r="Q274">
        <v>30.315130790000001</v>
      </c>
      <c r="R274">
        <v>5.0803484000000003E-2</v>
      </c>
      <c r="S274">
        <v>0.42866070000000001</v>
      </c>
      <c r="T274" t="s">
        <v>1014</v>
      </c>
      <c r="U274">
        <v>0</v>
      </c>
    </row>
    <row r="275" spans="1:21" x14ac:dyDescent="0.25">
      <c r="A275" t="s">
        <v>22</v>
      </c>
      <c r="B275" t="s">
        <v>923</v>
      </c>
      <c r="C275">
        <v>15</v>
      </c>
      <c r="D275" t="s">
        <v>23</v>
      </c>
      <c r="E275" t="s">
        <v>95</v>
      </c>
      <c r="F275" t="s">
        <v>103</v>
      </c>
      <c r="G275" t="s">
        <v>103</v>
      </c>
      <c r="H275" t="s">
        <v>103</v>
      </c>
      <c r="J275">
        <v>0</v>
      </c>
      <c r="K275">
        <v>6</v>
      </c>
      <c r="L275">
        <v>98.291666669999998</v>
      </c>
      <c r="M275">
        <v>30.315130790000001</v>
      </c>
      <c r="N275">
        <v>5.0803484000000003E-2</v>
      </c>
      <c r="O275">
        <v>0.42866070000000001</v>
      </c>
      <c r="P275">
        <v>98.291666669999998</v>
      </c>
      <c r="Q275">
        <v>30.315130790000001</v>
      </c>
      <c r="R275">
        <v>5.0803484000000003E-2</v>
      </c>
      <c r="S275">
        <v>0.42866070000000001</v>
      </c>
      <c r="T275" t="s">
        <v>1014</v>
      </c>
      <c r="U275">
        <v>0</v>
      </c>
    </row>
    <row r="276" spans="1:21" x14ac:dyDescent="0.25">
      <c r="A276" t="s">
        <v>22</v>
      </c>
      <c r="B276" t="s">
        <v>923</v>
      </c>
      <c r="C276">
        <v>15</v>
      </c>
      <c r="D276" t="s">
        <v>23</v>
      </c>
      <c r="E276" t="s">
        <v>95</v>
      </c>
      <c r="F276" t="s">
        <v>103</v>
      </c>
      <c r="G276" t="s">
        <v>103</v>
      </c>
      <c r="H276" t="s">
        <v>103</v>
      </c>
      <c r="J276">
        <v>0</v>
      </c>
      <c r="K276">
        <v>6</v>
      </c>
      <c r="L276">
        <v>98.291666669999998</v>
      </c>
      <c r="M276">
        <v>30.315130790000001</v>
      </c>
      <c r="N276">
        <v>5.0803484000000003E-2</v>
      </c>
      <c r="O276">
        <v>0.42866070000000001</v>
      </c>
      <c r="P276">
        <v>98.291666669999998</v>
      </c>
      <c r="Q276">
        <v>30.315130790000001</v>
      </c>
      <c r="R276">
        <v>5.0803484000000003E-2</v>
      </c>
      <c r="S276">
        <v>0.42866070000000001</v>
      </c>
      <c r="T276" t="s">
        <v>1014</v>
      </c>
      <c r="U276">
        <v>0</v>
      </c>
    </row>
    <row r="277" spans="1:21" x14ac:dyDescent="0.25">
      <c r="A277" t="s">
        <v>22</v>
      </c>
      <c r="B277" t="s">
        <v>923</v>
      </c>
      <c r="C277">
        <v>15</v>
      </c>
      <c r="D277" t="s">
        <v>23</v>
      </c>
      <c r="E277" t="s">
        <v>95</v>
      </c>
      <c r="F277" t="s">
        <v>103</v>
      </c>
      <c r="G277" t="s">
        <v>103</v>
      </c>
      <c r="H277" t="s">
        <v>103</v>
      </c>
      <c r="J277">
        <v>0</v>
      </c>
      <c r="K277">
        <v>6</v>
      </c>
      <c r="L277">
        <v>98.291666669999998</v>
      </c>
      <c r="M277">
        <v>30.315130790000001</v>
      </c>
      <c r="N277">
        <v>5.0803484000000003E-2</v>
      </c>
      <c r="O277">
        <v>0.42866070000000001</v>
      </c>
      <c r="P277">
        <v>98.291666669999998</v>
      </c>
      <c r="Q277">
        <v>30.315130790000001</v>
      </c>
      <c r="R277">
        <v>5.0803484000000003E-2</v>
      </c>
      <c r="S277">
        <v>0.42866070000000001</v>
      </c>
      <c r="T277" t="s">
        <v>1014</v>
      </c>
      <c r="U277">
        <v>0</v>
      </c>
    </row>
    <row r="278" spans="1:21" x14ac:dyDescent="0.25">
      <c r="A278" t="s">
        <v>22</v>
      </c>
      <c r="B278" t="s">
        <v>923</v>
      </c>
      <c r="C278">
        <v>15</v>
      </c>
      <c r="D278" t="s">
        <v>23</v>
      </c>
      <c r="E278" t="s">
        <v>95</v>
      </c>
      <c r="F278" t="s">
        <v>103</v>
      </c>
      <c r="G278" t="s">
        <v>103</v>
      </c>
      <c r="H278" t="s">
        <v>103</v>
      </c>
      <c r="J278">
        <v>0</v>
      </c>
      <c r="K278">
        <v>6</v>
      </c>
      <c r="L278">
        <v>98.291666669999998</v>
      </c>
      <c r="M278">
        <v>30.315130790000001</v>
      </c>
      <c r="N278">
        <v>5.0803484000000003E-2</v>
      </c>
      <c r="O278">
        <v>0.42866070000000001</v>
      </c>
      <c r="P278">
        <v>98.291666669999998</v>
      </c>
      <c r="Q278">
        <v>30.315130790000001</v>
      </c>
      <c r="R278">
        <v>5.0803484000000003E-2</v>
      </c>
      <c r="S278">
        <v>0.42866070000000001</v>
      </c>
      <c r="T278" t="s">
        <v>1014</v>
      </c>
      <c r="U278">
        <v>0</v>
      </c>
    </row>
    <row r="279" spans="1:21" x14ac:dyDescent="0.25">
      <c r="A279" t="s">
        <v>22</v>
      </c>
      <c r="B279" t="s">
        <v>923</v>
      </c>
      <c r="C279">
        <v>16</v>
      </c>
      <c r="D279" t="s">
        <v>23</v>
      </c>
      <c r="E279" t="s">
        <v>95</v>
      </c>
      <c r="F279" t="s">
        <v>103</v>
      </c>
      <c r="G279" t="s">
        <v>103</v>
      </c>
      <c r="H279" t="s">
        <v>248</v>
      </c>
      <c r="J279">
        <v>0</v>
      </c>
      <c r="K279">
        <v>4</v>
      </c>
      <c r="L279">
        <v>98.291666669999998</v>
      </c>
      <c r="M279">
        <v>30.315130790000001</v>
      </c>
      <c r="N279">
        <v>5.0803484000000003E-2</v>
      </c>
      <c r="O279">
        <v>0.42866070000000001</v>
      </c>
      <c r="P279">
        <v>83.92307692</v>
      </c>
      <c r="Q279">
        <v>44.319135699999997</v>
      </c>
      <c r="R279">
        <v>5.9548609999999997E-3</v>
      </c>
      <c r="S279">
        <v>0.18017928</v>
      </c>
      <c r="T279" t="s">
        <v>1014</v>
      </c>
      <c r="U279">
        <v>14.36858975</v>
      </c>
    </row>
    <row r="280" spans="1:21" x14ac:dyDescent="0.25">
      <c r="A280" t="s">
        <v>22</v>
      </c>
      <c r="B280" t="s">
        <v>923</v>
      </c>
      <c r="C280">
        <v>16</v>
      </c>
      <c r="D280" t="s">
        <v>23</v>
      </c>
      <c r="E280" t="s">
        <v>95</v>
      </c>
      <c r="F280" t="s">
        <v>103</v>
      </c>
      <c r="G280" t="s">
        <v>103</v>
      </c>
      <c r="H280" t="s">
        <v>248</v>
      </c>
      <c r="J280">
        <v>0</v>
      </c>
      <c r="K280">
        <v>4</v>
      </c>
      <c r="L280">
        <v>98.291666669999998</v>
      </c>
      <c r="M280">
        <v>30.315130790000001</v>
      </c>
      <c r="N280">
        <v>5.0803484000000003E-2</v>
      </c>
      <c r="O280">
        <v>0.42866070000000001</v>
      </c>
      <c r="P280">
        <v>83.92307692</v>
      </c>
      <c r="Q280">
        <v>44.319135699999997</v>
      </c>
      <c r="R280">
        <v>5.9548609999999997E-3</v>
      </c>
      <c r="S280">
        <v>0.18017928</v>
      </c>
      <c r="T280" t="s">
        <v>1014</v>
      </c>
      <c r="U280">
        <v>14.36858975</v>
      </c>
    </row>
    <row r="281" spans="1:21" x14ac:dyDescent="0.25">
      <c r="A281" t="s">
        <v>22</v>
      </c>
      <c r="B281" t="s">
        <v>923</v>
      </c>
      <c r="C281">
        <v>16</v>
      </c>
      <c r="D281" t="s">
        <v>23</v>
      </c>
      <c r="E281" t="s">
        <v>95</v>
      </c>
      <c r="F281" t="s">
        <v>103</v>
      </c>
      <c r="G281" t="s">
        <v>103</v>
      </c>
      <c r="H281" t="s">
        <v>248</v>
      </c>
      <c r="J281">
        <v>0</v>
      </c>
      <c r="K281">
        <v>4</v>
      </c>
      <c r="L281">
        <v>98.291666669999998</v>
      </c>
      <c r="M281">
        <v>30.315130790000001</v>
      </c>
      <c r="N281">
        <v>5.0803484000000003E-2</v>
      </c>
      <c r="O281">
        <v>0.42866070000000001</v>
      </c>
      <c r="P281">
        <v>83.92307692</v>
      </c>
      <c r="Q281">
        <v>44.319135699999997</v>
      </c>
      <c r="R281">
        <v>5.9548609999999997E-3</v>
      </c>
      <c r="S281">
        <v>0.18017928</v>
      </c>
      <c r="T281" t="s">
        <v>1014</v>
      </c>
      <c r="U281">
        <v>14.36858975</v>
      </c>
    </row>
    <row r="282" spans="1:21" x14ac:dyDescent="0.25">
      <c r="A282" t="s">
        <v>22</v>
      </c>
      <c r="B282" t="s">
        <v>923</v>
      </c>
      <c r="C282">
        <v>16</v>
      </c>
      <c r="D282" t="s">
        <v>23</v>
      </c>
      <c r="E282" t="s">
        <v>95</v>
      </c>
      <c r="F282" t="s">
        <v>103</v>
      </c>
      <c r="G282" t="s">
        <v>103</v>
      </c>
      <c r="H282" t="s">
        <v>248</v>
      </c>
      <c r="J282">
        <v>0</v>
      </c>
      <c r="K282">
        <v>4</v>
      </c>
      <c r="L282">
        <v>98.291666669999998</v>
      </c>
      <c r="M282">
        <v>30.315130790000001</v>
      </c>
      <c r="N282">
        <v>5.0803484000000003E-2</v>
      </c>
      <c r="O282">
        <v>0.42866070000000001</v>
      </c>
      <c r="P282">
        <v>83.92307692</v>
      </c>
      <c r="Q282">
        <v>44.319135699999997</v>
      </c>
      <c r="R282">
        <v>5.9548609999999997E-3</v>
      </c>
      <c r="S282">
        <v>0.18017928</v>
      </c>
      <c r="T282" t="s">
        <v>1014</v>
      </c>
      <c r="U282">
        <v>14.36858975</v>
      </c>
    </row>
    <row r="283" spans="1:21" x14ac:dyDescent="0.25">
      <c r="A283" t="s">
        <v>22</v>
      </c>
      <c r="B283" t="s">
        <v>924</v>
      </c>
      <c r="C283">
        <v>15</v>
      </c>
      <c r="D283" t="s">
        <v>23</v>
      </c>
      <c r="E283" t="s">
        <v>95</v>
      </c>
      <c r="F283" t="s">
        <v>111</v>
      </c>
      <c r="G283" t="s">
        <v>121</v>
      </c>
      <c r="H283" t="s">
        <v>112</v>
      </c>
      <c r="J283">
        <v>1</v>
      </c>
      <c r="K283">
        <v>1</v>
      </c>
      <c r="L283">
        <v>94.97142857</v>
      </c>
      <c r="M283">
        <v>24.31591813</v>
      </c>
      <c r="N283">
        <v>0.122951111</v>
      </c>
      <c r="O283">
        <v>0.39050790000000002</v>
      </c>
      <c r="P283">
        <v>65.09375</v>
      </c>
      <c r="Q283">
        <v>37.895352600000002</v>
      </c>
      <c r="R283">
        <v>2.2882677779999998</v>
      </c>
      <c r="S283">
        <v>2.2111774</v>
      </c>
      <c r="T283" t="s">
        <v>1014</v>
      </c>
      <c r="U283">
        <v>29.87767857</v>
      </c>
    </row>
    <row r="284" spans="1:21" x14ac:dyDescent="0.25">
      <c r="A284" t="s">
        <v>22</v>
      </c>
      <c r="B284" t="s">
        <v>924</v>
      </c>
      <c r="C284">
        <v>16</v>
      </c>
      <c r="D284" t="s">
        <v>23</v>
      </c>
      <c r="E284" t="s">
        <v>95</v>
      </c>
      <c r="F284" t="s">
        <v>111</v>
      </c>
      <c r="G284" t="s">
        <v>121</v>
      </c>
      <c r="H284" t="s">
        <v>239</v>
      </c>
      <c r="J284">
        <v>1</v>
      </c>
      <c r="K284">
        <v>1</v>
      </c>
      <c r="L284">
        <v>94.97142857</v>
      </c>
      <c r="M284">
        <v>24.31591813</v>
      </c>
      <c r="N284">
        <v>0.122951111</v>
      </c>
      <c r="O284">
        <v>0.39050790000000002</v>
      </c>
      <c r="P284">
        <v>100.45454549999999</v>
      </c>
      <c r="Q284">
        <v>26.754810689999999</v>
      </c>
      <c r="R284">
        <v>0.75829999999999997</v>
      </c>
      <c r="S284">
        <v>0.40907861000000001</v>
      </c>
      <c r="T284" t="s">
        <v>1014</v>
      </c>
      <c r="U284">
        <v>-5.4831169299999996</v>
      </c>
    </row>
    <row r="285" spans="1:21" x14ac:dyDescent="0.25">
      <c r="A285" t="s">
        <v>22</v>
      </c>
      <c r="B285" t="s">
        <v>924</v>
      </c>
      <c r="C285">
        <v>17</v>
      </c>
      <c r="D285" t="s">
        <v>23</v>
      </c>
      <c r="E285" t="s">
        <v>95</v>
      </c>
      <c r="F285" t="s">
        <v>111</v>
      </c>
      <c r="G285" t="s">
        <v>121</v>
      </c>
      <c r="H285" t="s">
        <v>248</v>
      </c>
      <c r="J285">
        <v>1</v>
      </c>
      <c r="K285">
        <v>5</v>
      </c>
      <c r="L285">
        <v>94.97142857</v>
      </c>
      <c r="M285">
        <v>24.31591813</v>
      </c>
      <c r="N285">
        <v>0.122951111</v>
      </c>
      <c r="O285">
        <v>0.39050790000000002</v>
      </c>
      <c r="P285">
        <v>83.92307692</v>
      </c>
      <c r="Q285">
        <v>44.319135699999997</v>
      </c>
      <c r="R285">
        <v>5.9548609999999997E-3</v>
      </c>
      <c r="S285">
        <v>0.18017928</v>
      </c>
      <c r="T285" t="s">
        <v>1014</v>
      </c>
      <c r="U285">
        <v>11.048351650000001</v>
      </c>
    </row>
    <row r="286" spans="1:21" x14ac:dyDescent="0.25">
      <c r="A286" t="s">
        <v>22</v>
      </c>
      <c r="B286" t="s">
        <v>924</v>
      </c>
      <c r="C286">
        <v>17</v>
      </c>
      <c r="D286" t="s">
        <v>23</v>
      </c>
      <c r="E286" t="s">
        <v>95</v>
      </c>
      <c r="F286" t="s">
        <v>111</v>
      </c>
      <c r="G286" t="s">
        <v>121</v>
      </c>
      <c r="H286" t="s">
        <v>248</v>
      </c>
      <c r="J286">
        <v>1</v>
      </c>
      <c r="K286">
        <v>5</v>
      </c>
      <c r="L286">
        <v>94.97142857</v>
      </c>
      <c r="M286">
        <v>24.31591813</v>
      </c>
      <c r="N286">
        <v>0.122951111</v>
      </c>
      <c r="O286">
        <v>0.39050790000000002</v>
      </c>
      <c r="P286">
        <v>83.92307692</v>
      </c>
      <c r="Q286">
        <v>44.319135699999997</v>
      </c>
      <c r="R286">
        <v>5.9548609999999997E-3</v>
      </c>
      <c r="S286">
        <v>0.18017928</v>
      </c>
      <c r="T286" t="s">
        <v>1014</v>
      </c>
      <c r="U286">
        <v>11.048351650000001</v>
      </c>
    </row>
    <row r="287" spans="1:21" x14ac:dyDescent="0.25">
      <c r="A287" t="s">
        <v>22</v>
      </c>
      <c r="B287" t="s">
        <v>924</v>
      </c>
      <c r="C287">
        <v>17</v>
      </c>
      <c r="D287" t="s">
        <v>23</v>
      </c>
      <c r="E287" t="s">
        <v>95</v>
      </c>
      <c r="F287" t="s">
        <v>111</v>
      </c>
      <c r="G287" t="s">
        <v>121</v>
      </c>
      <c r="H287" t="s">
        <v>248</v>
      </c>
      <c r="J287">
        <v>1</v>
      </c>
      <c r="K287">
        <v>5</v>
      </c>
      <c r="L287">
        <v>94.97142857</v>
      </c>
      <c r="M287">
        <v>24.31591813</v>
      </c>
      <c r="N287">
        <v>0.122951111</v>
      </c>
      <c r="O287">
        <v>0.39050790000000002</v>
      </c>
      <c r="P287">
        <v>83.92307692</v>
      </c>
      <c r="Q287">
        <v>44.319135699999997</v>
      </c>
      <c r="R287">
        <v>5.9548609999999997E-3</v>
      </c>
      <c r="S287">
        <v>0.18017928</v>
      </c>
      <c r="T287" t="s">
        <v>1014</v>
      </c>
      <c r="U287">
        <v>11.048351650000001</v>
      </c>
    </row>
    <row r="288" spans="1:21" x14ac:dyDescent="0.25">
      <c r="A288" t="s">
        <v>22</v>
      </c>
      <c r="B288" t="s">
        <v>924</v>
      </c>
      <c r="C288">
        <v>17</v>
      </c>
      <c r="D288" t="s">
        <v>23</v>
      </c>
      <c r="E288" t="s">
        <v>95</v>
      </c>
      <c r="F288" t="s">
        <v>111</v>
      </c>
      <c r="G288" t="s">
        <v>121</v>
      </c>
      <c r="H288" t="s">
        <v>248</v>
      </c>
      <c r="J288">
        <v>1</v>
      </c>
      <c r="K288">
        <v>5</v>
      </c>
      <c r="L288">
        <v>94.97142857</v>
      </c>
      <c r="M288">
        <v>24.31591813</v>
      </c>
      <c r="N288">
        <v>0.122951111</v>
      </c>
      <c r="O288">
        <v>0.39050790000000002</v>
      </c>
      <c r="P288">
        <v>83.92307692</v>
      </c>
      <c r="Q288">
        <v>44.319135699999997</v>
      </c>
      <c r="R288">
        <v>5.9548609999999997E-3</v>
      </c>
      <c r="S288">
        <v>0.18017928</v>
      </c>
      <c r="T288" t="s">
        <v>1014</v>
      </c>
      <c r="U288">
        <v>11.048351650000001</v>
      </c>
    </row>
    <row r="289" spans="1:21" x14ac:dyDescent="0.25">
      <c r="A289" t="s">
        <v>22</v>
      </c>
      <c r="B289" t="s">
        <v>924</v>
      </c>
      <c r="C289">
        <v>17</v>
      </c>
      <c r="D289" t="s">
        <v>23</v>
      </c>
      <c r="E289" t="s">
        <v>95</v>
      </c>
      <c r="F289" t="s">
        <v>111</v>
      </c>
      <c r="G289" t="s">
        <v>121</v>
      </c>
      <c r="H289" t="s">
        <v>248</v>
      </c>
      <c r="J289">
        <v>1</v>
      </c>
      <c r="K289">
        <v>5</v>
      </c>
      <c r="L289">
        <v>94.97142857</v>
      </c>
      <c r="M289">
        <v>24.31591813</v>
      </c>
      <c r="N289">
        <v>0.122951111</v>
      </c>
      <c r="O289">
        <v>0.39050790000000002</v>
      </c>
      <c r="P289">
        <v>83.92307692</v>
      </c>
      <c r="Q289">
        <v>44.319135699999997</v>
      </c>
      <c r="R289">
        <v>5.9548609999999997E-3</v>
      </c>
      <c r="S289">
        <v>0.18017928</v>
      </c>
      <c r="T289" t="s">
        <v>1014</v>
      </c>
      <c r="U289">
        <v>11.048351650000001</v>
      </c>
    </row>
    <row r="290" spans="1:21" x14ac:dyDescent="0.25">
      <c r="A290" t="s">
        <v>22</v>
      </c>
      <c r="B290" t="s">
        <v>925</v>
      </c>
      <c r="C290">
        <v>15</v>
      </c>
      <c r="D290" t="s">
        <v>23</v>
      </c>
      <c r="E290" t="s">
        <v>95</v>
      </c>
      <c r="F290" t="s">
        <v>112</v>
      </c>
      <c r="G290" t="s">
        <v>103</v>
      </c>
      <c r="H290" t="s">
        <v>103</v>
      </c>
      <c r="J290">
        <v>0</v>
      </c>
      <c r="K290">
        <v>3</v>
      </c>
      <c r="L290">
        <v>65.09375</v>
      </c>
      <c r="M290">
        <v>37.895352600000002</v>
      </c>
      <c r="N290">
        <v>2.2882677779999998</v>
      </c>
      <c r="O290">
        <v>2.2111774</v>
      </c>
      <c r="P290">
        <v>98.291666669999998</v>
      </c>
      <c r="Q290">
        <v>30.315130790000001</v>
      </c>
      <c r="R290">
        <v>5.0803484000000003E-2</v>
      </c>
      <c r="S290">
        <v>0.42866070000000001</v>
      </c>
      <c r="T290" t="s">
        <v>1014</v>
      </c>
      <c r="U290">
        <v>-33.197916669999998</v>
      </c>
    </row>
    <row r="291" spans="1:21" x14ac:dyDescent="0.25">
      <c r="A291" t="s">
        <v>22</v>
      </c>
      <c r="B291" t="s">
        <v>925</v>
      </c>
      <c r="C291">
        <v>15</v>
      </c>
      <c r="D291" t="s">
        <v>23</v>
      </c>
      <c r="E291" t="s">
        <v>95</v>
      </c>
      <c r="F291" t="s">
        <v>112</v>
      </c>
      <c r="G291" t="s">
        <v>103</v>
      </c>
      <c r="H291" t="s">
        <v>103</v>
      </c>
      <c r="J291">
        <v>0</v>
      </c>
      <c r="K291">
        <v>3</v>
      </c>
      <c r="L291">
        <v>65.09375</v>
      </c>
      <c r="M291">
        <v>37.895352600000002</v>
      </c>
      <c r="N291">
        <v>2.2882677779999998</v>
      </c>
      <c r="O291">
        <v>2.2111774</v>
      </c>
      <c r="P291">
        <v>98.291666669999998</v>
      </c>
      <c r="Q291">
        <v>30.315130790000001</v>
      </c>
      <c r="R291">
        <v>5.0803484000000003E-2</v>
      </c>
      <c r="S291">
        <v>0.42866070000000001</v>
      </c>
      <c r="T291" t="s">
        <v>1014</v>
      </c>
      <c r="U291">
        <v>-33.197916669999998</v>
      </c>
    </row>
    <row r="292" spans="1:21" x14ac:dyDescent="0.25">
      <c r="A292" t="s">
        <v>22</v>
      </c>
      <c r="B292" t="s">
        <v>925</v>
      </c>
      <c r="C292">
        <v>15</v>
      </c>
      <c r="D292" t="s">
        <v>23</v>
      </c>
      <c r="E292" t="s">
        <v>95</v>
      </c>
      <c r="F292" t="s">
        <v>112</v>
      </c>
      <c r="G292" t="s">
        <v>103</v>
      </c>
      <c r="H292" t="s">
        <v>103</v>
      </c>
      <c r="J292">
        <v>0</v>
      </c>
      <c r="K292">
        <v>3</v>
      </c>
      <c r="L292">
        <v>65.09375</v>
      </c>
      <c r="M292">
        <v>37.895352600000002</v>
      </c>
      <c r="N292">
        <v>2.2882677779999998</v>
      </c>
      <c r="O292">
        <v>2.2111774</v>
      </c>
      <c r="P292">
        <v>98.291666669999998</v>
      </c>
      <c r="Q292">
        <v>30.315130790000001</v>
      </c>
      <c r="R292">
        <v>5.0803484000000003E-2</v>
      </c>
      <c r="S292">
        <v>0.42866070000000001</v>
      </c>
      <c r="T292" t="s">
        <v>1014</v>
      </c>
      <c r="U292">
        <v>-33.197916669999998</v>
      </c>
    </row>
    <row r="293" spans="1:21" x14ac:dyDescent="0.25">
      <c r="A293" t="s">
        <v>22</v>
      </c>
      <c r="B293" t="s">
        <v>925</v>
      </c>
      <c r="C293">
        <v>16</v>
      </c>
      <c r="D293" t="s">
        <v>23</v>
      </c>
      <c r="E293" t="s">
        <v>95</v>
      </c>
      <c r="F293" t="s">
        <v>112</v>
      </c>
      <c r="G293" t="s">
        <v>103</v>
      </c>
      <c r="H293" t="s">
        <v>113</v>
      </c>
      <c r="J293">
        <v>0</v>
      </c>
      <c r="K293">
        <v>2</v>
      </c>
      <c r="L293">
        <v>65.09375</v>
      </c>
      <c r="M293">
        <v>37.895352600000002</v>
      </c>
      <c r="N293">
        <v>2.2882677779999998</v>
      </c>
      <c r="O293">
        <v>2.2111774</v>
      </c>
      <c r="P293">
        <v>83.757575759999995</v>
      </c>
      <c r="Q293">
        <v>22.60997987</v>
      </c>
      <c r="R293">
        <v>0.72884000000000004</v>
      </c>
      <c r="S293">
        <v>0.21301339999999999</v>
      </c>
      <c r="T293" t="s">
        <v>1014</v>
      </c>
      <c r="U293">
        <v>-18.663825760000002</v>
      </c>
    </row>
    <row r="294" spans="1:21" x14ac:dyDescent="0.25">
      <c r="A294" t="s">
        <v>22</v>
      </c>
      <c r="B294" t="s">
        <v>925</v>
      </c>
      <c r="C294">
        <v>16</v>
      </c>
      <c r="D294" t="s">
        <v>23</v>
      </c>
      <c r="E294" t="s">
        <v>95</v>
      </c>
      <c r="F294" t="s">
        <v>112</v>
      </c>
      <c r="G294" t="s">
        <v>103</v>
      </c>
      <c r="H294" t="s">
        <v>113</v>
      </c>
      <c r="J294">
        <v>0</v>
      </c>
      <c r="K294">
        <v>2</v>
      </c>
      <c r="L294">
        <v>65.09375</v>
      </c>
      <c r="M294">
        <v>37.895352600000002</v>
      </c>
      <c r="N294">
        <v>2.2882677779999998</v>
      </c>
      <c r="O294">
        <v>2.2111774</v>
      </c>
      <c r="P294">
        <v>83.757575759999995</v>
      </c>
      <c r="Q294">
        <v>22.60997987</v>
      </c>
      <c r="R294">
        <v>0.72884000000000004</v>
      </c>
      <c r="S294">
        <v>0.21301339999999999</v>
      </c>
      <c r="T294" t="s">
        <v>1014</v>
      </c>
      <c r="U294">
        <v>-18.663825760000002</v>
      </c>
    </row>
    <row r="295" spans="1:21" x14ac:dyDescent="0.25">
      <c r="A295" t="s">
        <v>22</v>
      </c>
      <c r="B295" t="s">
        <v>925</v>
      </c>
      <c r="C295">
        <v>17</v>
      </c>
      <c r="D295" t="s">
        <v>23</v>
      </c>
      <c r="E295" t="s">
        <v>95</v>
      </c>
      <c r="F295" t="s">
        <v>112</v>
      </c>
      <c r="G295" t="s">
        <v>103</v>
      </c>
      <c r="H295" t="s">
        <v>247</v>
      </c>
      <c r="J295">
        <v>0</v>
      </c>
      <c r="K295">
        <v>1</v>
      </c>
      <c r="L295">
        <v>65.09375</v>
      </c>
      <c r="M295">
        <v>37.895352600000002</v>
      </c>
      <c r="N295">
        <v>2.2882677779999998</v>
      </c>
      <c r="O295">
        <v>2.2111774</v>
      </c>
      <c r="P295">
        <v>65.791044779999993</v>
      </c>
      <c r="Q295">
        <v>22.94519201</v>
      </c>
      <c r="R295">
        <v>8.1320334999999994E-2</v>
      </c>
      <c r="S295">
        <v>0.17285655</v>
      </c>
      <c r="T295" t="s">
        <v>1014</v>
      </c>
      <c r="U295">
        <v>-0.69729478</v>
      </c>
    </row>
    <row r="296" spans="1:21" x14ac:dyDescent="0.25">
      <c r="A296" t="s">
        <v>22</v>
      </c>
      <c r="B296" t="s">
        <v>925</v>
      </c>
      <c r="C296">
        <v>18</v>
      </c>
      <c r="D296" t="s">
        <v>23</v>
      </c>
      <c r="E296" t="s">
        <v>95</v>
      </c>
      <c r="F296" t="s">
        <v>112</v>
      </c>
      <c r="G296" t="s">
        <v>103</v>
      </c>
      <c r="H296" t="s">
        <v>248</v>
      </c>
      <c r="J296">
        <v>0</v>
      </c>
      <c r="K296">
        <v>3</v>
      </c>
      <c r="L296">
        <v>65.09375</v>
      </c>
      <c r="M296">
        <v>37.895352600000002</v>
      </c>
      <c r="N296">
        <v>2.2882677779999998</v>
      </c>
      <c r="O296">
        <v>2.2111774</v>
      </c>
      <c r="P296">
        <v>83.92307692</v>
      </c>
      <c r="Q296">
        <v>44.319135699999997</v>
      </c>
      <c r="R296">
        <v>5.9548609999999997E-3</v>
      </c>
      <c r="S296">
        <v>0.18017928</v>
      </c>
      <c r="T296" t="s">
        <v>1014</v>
      </c>
      <c r="U296">
        <v>-18.82932692</v>
      </c>
    </row>
    <row r="297" spans="1:21" x14ac:dyDescent="0.25">
      <c r="A297" t="s">
        <v>22</v>
      </c>
      <c r="B297" t="s">
        <v>925</v>
      </c>
      <c r="C297">
        <v>18</v>
      </c>
      <c r="D297" t="s">
        <v>23</v>
      </c>
      <c r="E297" t="s">
        <v>95</v>
      </c>
      <c r="F297" t="s">
        <v>112</v>
      </c>
      <c r="G297" t="s">
        <v>103</v>
      </c>
      <c r="H297" t="s">
        <v>248</v>
      </c>
      <c r="J297">
        <v>0</v>
      </c>
      <c r="K297">
        <v>3</v>
      </c>
      <c r="L297">
        <v>65.09375</v>
      </c>
      <c r="M297">
        <v>37.895352600000002</v>
      </c>
      <c r="N297">
        <v>2.2882677779999998</v>
      </c>
      <c r="O297">
        <v>2.2111774</v>
      </c>
      <c r="P297">
        <v>83.92307692</v>
      </c>
      <c r="Q297">
        <v>44.319135699999997</v>
      </c>
      <c r="R297">
        <v>5.9548609999999997E-3</v>
      </c>
      <c r="S297">
        <v>0.18017928</v>
      </c>
      <c r="T297" t="s">
        <v>1014</v>
      </c>
      <c r="U297">
        <v>-18.82932692</v>
      </c>
    </row>
    <row r="298" spans="1:21" x14ac:dyDescent="0.25">
      <c r="A298" t="s">
        <v>22</v>
      </c>
      <c r="B298" t="s">
        <v>925</v>
      </c>
      <c r="C298">
        <v>18</v>
      </c>
      <c r="D298" t="s">
        <v>23</v>
      </c>
      <c r="E298" t="s">
        <v>95</v>
      </c>
      <c r="F298" t="s">
        <v>112</v>
      </c>
      <c r="G298" t="s">
        <v>103</v>
      </c>
      <c r="H298" t="s">
        <v>248</v>
      </c>
      <c r="J298">
        <v>0</v>
      </c>
      <c r="K298">
        <v>3</v>
      </c>
      <c r="L298">
        <v>65.09375</v>
      </c>
      <c r="M298">
        <v>37.895352600000002</v>
      </c>
      <c r="N298">
        <v>2.2882677779999998</v>
      </c>
      <c r="O298">
        <v>2.2111774</v>
      </c>
      <c r="P298">
        <v>83.92307692</v>
      </c>
      <c r="Q298">
        <v>44.319135699999997</v>
      </c>
      <c r="R298">
        <v>5.9548609999999997E-3</v>
      </c>
      <c r="S298">
        <v>0.18017928</v>
      </c>
      <c r="T298" t="s">
        <v>1014</v>
      </c>
      <c r="U298">
        <v>-18.82932692</v>
      </c>
    </row>
    <row r="299" spans="1:21" x14ac:dyDescent="0.25">
      <c r="A299" t="s">
        <v>24</v>
      </c>
      <c r="B299" t="s">
        <v>926</v>
      </c>
      <c r="C299">
        <v>15</v>
      </c>
      <c r="D299" t="s">
        <v>25</v>
      </c>
      <c r="E299" t="s">
        <v>95</v>
      </c>
      <c r="F299" t="s">
        <v>105</v>
      </c>
      <c r="G299" t="s">
        <v>121</v>
      </c>
      <c r="H299" t="s">
        <v>111</v>
      </c>
      <c r="J299">
        <v>0</v>
      </c>
      <c r="K299">
        <v>1</v>
      </c>
      <c r="L299">
        <v>67.5</v>
      </c>
      <c r="M299">
        <v>47.937235809999997</v>
      </c>
      <c r="N299">
        <v>0.41599678000000001</v>
      </c>
      <c r="O299">
        <v>2.0950346999999998</v>
      </c>
      <c r="P299">
        <v>94.97142857</v>
      </c>
      <c r="Q299">
        <v>24.31591813</v>
      </c>
      <c r="R299">
        <v>0.122951111</v>
      </c>
      <c r="S299">
        <v>0.39050790000000002</v>
      </c>
      <c r="T299" t="s">
        <v>1014</v>
      </c>
      <c r="U299">
        <v>-27.47142857</v>
      </c>
    </row>
    <row r="300" spans="1:21" x14ac:dyDescent="0.25">
      <c r="A300" t="s">
        <v>24</v>
      </c>
      <c r="B300" t="s">
        <v>926</v>
      </c>
      <c r="C300">
        <v>16</v>
      </c>
      <c r="D300" t="s">
        <v>25</v>
      </c>
      <c r="E300" t="s">
        <v>95</v>
      </c>
      <c r="F300" t="s">
        <v>105</v>
      </c>
      <c r="G300" t="s">
        <v>121</v>
      </c>
      <c r="H300" t="s">
        <v>104</v>
      </c>
      <c r="J300">
        <v>0</v>
      </c>
      <c r="K300">
        <v>1</v>
      </c>
      <c r="L300">
        <v>67.5</v>
      </c>
      <c r="M300">
        <v>47.937235809999997</v>
      </c>
      <c r="N300">
        <v>0.41599678000000001</v>
      </c>
      <c r="O300">
        <v>2.0950346999999998</v>
      </c>
      <c r="P300">
        <v>113.9375</v>
      </c>
      <c r="Q300">
        <v>33.375507550000002</v>
      </c>
      <c r="R300">
        <v>2.4262999999999999</v>
      </c>
      <c r="S300">
        <v>0.40692159999999999</v>
      </c>
      <c r="T300" t="s">
        <v>1014</v>
      </c>
      <c r="U300">
        <v>-46.4375</v>
      </c>
    </row>
    <row r="301" spans="1:21" x14ac:dyDescent="0.25">
      <c r="A301" t="s">
        <v>24</v>
      </c>
      <c r="B301" t="s">
        <v>927</v>
      </c>
      <c r="C301">
        <v>15</v>
      </c>
      <c r="D301" t="s">
        <v>25</v>
      </c>
      <c r="E301" t="s">
        <v>95</v>
      </c>
      <c r="F301" t="s">
        <v>112</v>
      </c>
      <c r="G301" t="s">
        <v>112</v>
      </c>
      <c r="H301" t="s">
        <v>112</v>
      </c>
      <c r="J301">
        <v>0</v>
      </c>
      <c r="K301">
        <v>1</v>
      </c>
      <c r="L301">
        <v>65.09375</v>
      </c>
      <c r="M301">
        <v>37.895352600000002</v>
      </c>
      <c r="N301">
        <v>2.2882677779999998</v>
      </c>
      <c r="O301">
        <v>2.2111774</v>
      </c>
      <c r="P301">
        <v>65.09375</v>
      </c>
      <c r="Q301">
        <v>37.895352600000002</v>
      </c>
      <c r="R301">
        <v>2.2882677779999998</v>
      </c>
      <c r="S301">
        <v>2.2111774</v>
      </c>
      <c r="T301" t="s">
        <v>1014</v>
      </c>
      <c r="U301">
        <v>0</v>
      </c>
    </row>
    <row r="302" spans="1:21" x14ac:dyDescent="0.25">
      <c r="A302" t="s">
        <v>26</v>
      </c>
      <c r="B302" t="s">
        <v>928</v>
      </c>
      <c r="C302">
        <v>15</v>
      </c>
      <c r="D302" t="s">
        <v>27</v>
      </c>
      <c r="E302" t="s">
        <v>95</v>
      </c>
      <c r="F302" t="s">
        <v>105</v>
      </c>
      <c r="G302" t="s">
        <v>102</v>
      </c>
      <c r="H302" t="s">
        <v>102</v>
      </c>
      <c r="J302">
        <v>0</v>
      </c>
      <c r="K302">
        <v>1</v>
      </c>
      <c r="L302">
        <v>67.5</v>
      </c>
      <c r="M302">
        <v>47.937235809999997</v>
      </c>
      <c r="N302">
        <v>0.41599678000000001</v>
      </c>
      <c r="O302">
        <v>2.0950346999999998</v>
      </c>
      <c r="P302">
        <v>84.740740740000007</v>
      </c>
      <c r="Q302">
        <v>29.167014049999999</v>
      </c>
      <c r="R302">
        <v>1.1169849999999999</v>
      </c>
      <c r="S302">
        <v>1.1571499000000001</v>
      </c>
      <c r="T302" t="s">
        <v>1014</v>
      </c>
      <c r="U302">
        <v>-17.24074074</v>
      </c>
    </row>
    <row r="303" spans="1:21" x14ac:dyDescent="0.25">
      <c r="A303" t="s">
        <v>26</v>
      </c>
      <c r="B303" t="s">
        <v>928</v>
      </c>
      <c r="C303">
        <v>16</v>
      </c>
      <c r="D303" t="s">
        <v>27</v>
      </c>
      <c r="E303" t="s">
        <v>95</v>
      </c>
      <c r="F303" t="s">
        <v>105</v>
      </c>
      <c r="G303" t="s">
        <v>102</v>
      </c>
      <c r="H303" t="s">
        <v>111</v>
      </c>
      <c r="J303">
        <v>0</v>
      </c>
      <c r="K303">
        <v>1</v>
      </c>
      <c r="L303">
        <v>67.5</v>
      </c>
      <c r="M303">
        <v>47.937235809999997</v>
      </c>
      <c r="N303">
        <v>0.41599678000000001</v>
      </c>
      <c r="O303">
        <v>2.0950346999999998</v>
      </c>
      <c r="P303">
        <v>94.97142857</v>
      </c>
      <c r="Q303">
        <v>24.31591813</v>
      </c>
      <c r="R303">
        <v>0.122951111</v>
      </c>
      <c r="S303">
        <v>0.39050790000000002</v>
      </c>
      <c r="T303" t="s">
        <v>1014</v>
      </c>
      <c r="U303">
        <v>-27.47142857</v>
      </c>
    </row>
    <row r="304" spans="1:21" x14ac:dyDescent="0.25">
      <c r="A304" t="s">
        <v>26</v>
      </c>
      <c r="B304" t="s">
        <v>928</v>
      </c>
      <c r="C304">
        <v>17</v>
      </c>
      <c r="D304" t="s">
        <v>27</v>
      </c>
      <c r="E304" t="s">
        <v>95</v>
      </c>
      <c r="F304" t="s">
        <v>105</v>
      </c>
      <c r="G304" t="s">
        <v>102</v>
      </c>
      <c r="H304" t="s">
        <v>242</v>
      </c>
      <c r="J304">
        <v>0</v>
      </c>
      <c r="K304">
        <v>1</v>
      </c>
      <c r="L304">
        <v>67.5</v>
      </c>
      <c r="M304">
        <v>47.937235809999997</v>
      </c>
      <c r="N304">
        <v>0.41599678000000001</v>
      </c>
      <c r="O304">
        <v>2.0950346999999998</v>
      </c>
      <c r="P304">
        <v>139.375</v>
      </c>
      <c r="Q304">
        <v>23.713465920000001</v>
      </c>
      <c r="R304" t="s">
        <v>114</v>
      </c>
      <c r="S304" t="s">
        <v>114</v>
      </c>
      <c r="T304" t="s">
        <v>1014</v>
      </c>
      <c r="U304">
        <v>-71.875</v>
      </c>
    </row>
    <row r="305" spans="1:21" x14ac:dyDescent="0.25">
      <c r="A305" t="s">
        <v>26</v>
      </c>
      <c r="B305" t="s">
        <v>929</v>
      </c>
      <c r="C305">
        <v>15</v>
      </c>
      <c r="D305" t="s">
        <v>27</v>
      </c>
      <c r="E305" t="s">
        <v>95</v>
      </c>
      <c r="F305" t="s">
        <v>110</v>
      </c>
      <c r="G305" t="s">
        <v>111</v>
      </c>
      <c r="H305" t="s">
        <v>111</v>
      </c>
      <c r="J305">
        <v>0</v>
      </c>
      <c r="K305">
        <v>1</v>
      </c>
      <c r="L305">
        <v>73.260869569999997</v>
      </c>
      <c r="M305">
        <v>34.453830549999999</v>
      </c>
      <c r="N305">
        <v>1.058333333</v>
      </c>
      <c r="O305">
        <v>0.90897070000000002</v>
      </c>
      <c r="P305">
        <v>94.97142857</v>
      </c>
      <c r="Q305">
        <v>24.31591813</v>
      </c>
      <c r="R305">
        <v>0.122951111</v>
      </c>
      <c r="S305">
        <v>0.39050790000000002</v>
      </c>
      <c r="T305" t="s">
        <v>1014</v>
      </c>
      <c r="U305">
        <v>-21.710559</v>
      </c>
    </row>
    <row r="306" spans="1:21" x14ac:dyDescent="0.25">
      <c r="A306" t="s">
        <v>26</v>
      </c>
      <c r="B306" t="s">
        <v>929</v>
      </c>
      <c r="C306">
        <v>16</v>
      </c>
      <c r="D306" t="s">
        <v>27</v>
      </c>
      <c r="E306" t="s">
        <v>95</v>
      </c>
      <c r="F306" t="s">
        <v>110</v>
      </c>
      <c r="G306" t="s">
        <v>111</v>
      </c>
      <c r="H306" t="s">
        <v>242</v>
      </c>
      <c r="J306">
        <v>0</v>
      </c>
      <c r="K306">
        <v>8</v>
      </c>
      <c r="L306">
        <v>73.260869569999997</v>
      </c>
      <c r="M306">
        <v>34.453830549999999</v>
      </c>
      <c r="N306">
        <v>1.058333333</v>
      </c>
      <c r="O306">
        <v>0.90897070000000002</v>
      </c>
      <c r="P306">
        <v>139.375</v>
      </c>
      <c r="Q306">
        <v>23.713465920000001</v>
      </c>
      <c r="R306" t="s">
        <v>114</v>
      </c>
      <c r="S306" t="s">
        <v>114</v>
      </c>
      <c r="T306" t="s">
        <v>1014</v>
      </c>
      <c r="U306">
        <v>-66.114130430000003</v>
      </c>
    </row>
    <row r="307" spans="1:21" x14ac:dyDescent="0.25">
      <c r="A307" t="s">
        <v>26</v>
      </c>
      <c r="B307" t="s">
        <v>929</v>
      </c>
      <c r="C307">
        <v>16</v>
      </c>
      <c r="D307" t="s">
        <v>27</v>
      </c>
      <c r="E307" t="s">
        <v>95</v>
      </c>
      <c r="F307" t="s">
        <v>110</v>
      </c>
      <c r="G307" t="s">
        <v>111</v>
      </c>
      <c r="H307" t="s">
        <v>242</v>
      </c>
      <c r="J307">
        <v>0</v>
      </c>
      <c r="K307">
        <v>8</v>
      </c>
      <c r="L307">
        <v>73.260869569999997</v>
      </c>
      <c r="M307">
        <v>34.453830549999999</v>
      </c>
      <c r="N307">
        <v>1.058333333</v>
      </c>
      <c r="O307">
        <v>0.90897070000000002</v>
      </c>
      <c r="P307">
        <v>139.375</v>
      </c>
      <c r="Q307">
        <v>23.713465920000001</v>
      </c>
      <c r="R307" t="s">
        <v>114</v>
      </c>
      <c r="S307" t="s">
        <v>114</v>
      </c>
      <c r="T307" t="s">
        <v>1014</v>
      </c>
      <c r="U307">
        <v>-66.114130430000003</v>
      </c>
    </row>
    <row r="308" spans="1:21" x14ac:dyDescent="0.25">
      <c r="A308" t="s">
        <v>26</v>
      </c>
      <c r="B308" t="s">
        <v>929</v>
      </c>
      <c r="C308">
        <v>16</v>
      </c>
      <c r="D308" t="s">
        <v>27</v>
      </c>
      <c r="E308" t="s">
        <v>95</v>
      </c>
      <c r="F308" t="s">
        <v>110</v>
      </c>
      <c r="G308" t="s">
        <v>111</v>
      </c>
      <c r="H308" t="s">
        <v>242</v>
      </c>
      <c r="J308">
        <v>0</v>
      </c>
      <c r="K308">
        <v>8</v>
      </c>
      <c r="L308">
        <v>73.260869569999997</v>
      </c>
      <c r="M308">
        <v>34.453830549999999</v>
      </c>
      <c r="N308">
        <v>1.058333333</v>
      </c>
      <c r="O308">
        <v>0.90897070000000002</v>
      </c>
      <c r="P308">
        <v>139.375</v>
      </c>
      <c r="Q308">
        <v>23.713465920000001</v>
      </c>
      <c r="R308" t="s">
        <v>114</v>
      </c>
      <c r="S308" t="s">
        <v>114</v>
      </c>
      <c r="T308" t="s">
        <v>1014</v>
      </c>
      <c r="U308">
        <v>-66.114130430000003</v>
      </c>
    </row>
    <row r="309" spans="1:21" x14ac:dyDescent="0.25">
      <c r="A309" t="s">
        <v>26</v>
      </c>
      <c r="B309" t="s">
        <v>929</v>
      </c>
      <c r="C309">
        <v>16</v>
      </c>
      <c r="D309" t="s">
        <v>27</v>
      </c>
      <c r="E309" t="s">
        <v>95</v>
      </c>
      <c r="F309" t="s">
        <v>110</v>
      </c>
      <c r="G309" t="s">
        <v>111</v>
      </c>
      <c r="H309" t="s">
        <v>242</v>
      </c>
      <c r="J309">
        <v>0</v>
      </c>
      <c r="K309">
        <v>8</v>
      </c>
      <c r="L309">
        <v>73.260869569999997</v>
      </c>
      <c r="M309">
        <v>34.453830549999999</v>
      </c>
      <c r="N309">
        <v>1.058333333</v>
      </c>
      <c r="O309">
        <v>0.90897070000000002</v>
      </c>
      <c r="P309">
        <v>139.375</v>
      </c>
      <c r="Q309">
        <v>23.713465920000001</v>
      </c>
      <c r="R309" t="s">
        <v>114</v>
      </c>
      <c r="S309" t="s">
        <v>114</v>
      </c>
      <c r="T309" t="s">
        <v>1014</v>
      </c>
      <c r="U309">
        <v>-66.114130430000003</v>
      </c>
    </row>
    <row r="310" spans="1:21" x14ac:dyDescent="0.25">
      <c r="A310" t="s">
        <v>26</v>
      </c>
      <c r="B310" t="s">
        <v>929</v>
      </c>
      <c r="C310">
        <v>16</v>
      </c>
      <c r="D310" t="s">
        <v>27</v>
      </c>
      <c r="E310" t="s">
        <v>95</v>
      </c>
      <c r="F310" t="s">
        <v>110</v>
      </c>
      <c r="G310" t="s">
        <v>111</v>
      </c>
      <c r="H310" t="s">
        <v>242</v>
      </c>
      <c r="J310">
        <v>0</v>
      </c>
      <c r="K310">
        <v>8</v>
      </c>
      <c r="L310">
        <v>73.260869569999997</v>
      </c>
      <c r="M310">
        <v>34.453830549999999</v>
      </c>
      <c r="N310">
        <v>1.058333333</v>
      </c>
      <c r="O310">
        <v>0.90897070000000002</v>
      </c>
      <c r="P310">
        <v>139.375</v>
      </c>
      <c r="Q310">
        <v>23.713465920000001</v>
      </c>
      <c r="R310" t="s">
        <v>114</v>
      </c>
      <c r="S310" t="s">
        <v>114</v>
      </c>
      <c r="T310" t="s">
        <v>1014</v>
      </c>
      <c r="U310">
        <v>-66.114130430000003</v>
      </c>
    </row>
    <row r="311" spans="1:21" x14ac:dyDescent="0.25">
      <c r="A311" t="s">
        <v>26</v>
      </c>
      <c r="B311" t="s">
        <v>929</v>
      </c>
      <c r="C311">
        <v>16</v>
      </c>
      <c r="D311" t="s">
        <v>27</v>
      </c>
      <c r="E311" t="s">
        <v>95</v>
      </c>
      <c r="F311" t="s">
        <v>110</v>
      </c>
      <c r="G311" t="s">
        <v>111</v>
      </c>
      <c r="H311" t="s">
        <v>242</v>
      </c>
      <c r="J311">
        <v>0</v>
      </c>
      <c r="K311">
        <v>8</v>
      </c>
      <c r="L311">
        <v>73.260869569999997</v>
      </c>
      <c r="M311">
        <v>34.453830549999999</v>
      </c>
      <c r="N311">
        <v>1.058333333</v>
      </c>
      <c r="O311">
        <v>0.90897070000000002</v>
      </c>
      <c r="P311">
        <v>139.375</v>
      </c>
      <c r="Q311">
        <v>23.713465920000001</v>
      </c>
      <c r="R311" t="s">
        <v>114</v>
      </c>
      <c r="S311" t="s">
        <v>114</v>
      </c>
      <c r="T311" t="s">
        <v>1014</v>
      </c>
      <c r="U311">
        <v>-66.114130430000003</v>
      </c>
    </row>
    <row r="312" spans="1:21" x14ac:dyDescent="0.25">
      <c r="A312" t="s">
        <v>26</v>
      </c>
      <c r="B312" t="s">
        <v>929</v>
      </c>
      <c r="C312">
        <v>16</v>
      </c>
      <c r="D312" t="s">
        <v>27</v>
      </c>
      <c r="E312" t="s">
        <v>95</v>
      </c>
      <c r="F312" t="s">
        <v>110</v>
      </c>
      <c r="G312" t="s">
        <v>111</v>
      </c>
      <c r="H312" t="s">
        <v>242</v>
      </c>
      <c r="J312">
        <v>0</v>
      </c>
      <c r="K312">
        <v>8</v>
      </c>
      <c r="L312">
        <v>73.260869569999997</v>
      </c>
      <c r="M312">
        <v>34.453830549999999</v>
      </c>
      <c r="N312">
        <v>1.058333333</v>
      </c>
      <c r="O312">
        <v>0.90897070000000002</v>
      </c>
      <c r="P312">
        <v>139.375</v>
      </c>
      <c r="Q312">
        <v>23.713465920000001</v>
      </c>
      <c r="R312" t="s">
        <v>114</v>
      </c>
      <c r="S312" t="s">
        <v>114</v>
      </c>
      <c r="T312" t="s">
        <v>1014</v>
      </c>
      <c r="U312">
        <v>-66.114130430000003</v>
      </c>
    </row>
    <row r="313" spans="1:21" x14ac:dyDescent="0.25">
      <c r="A313" t="s">
        <v>26</v>
      </c>
      <c r="B313" t="s">
        <v>929</v>
      </c>
      <c r="C313">
        <v>16</v>
      </c>
      <c r="D313" t="s">
        <v>27</v>
      </c>
      <c r="E313" t="s">
        <v>95</v>
      </c>
      <c r="F313" t="s">
        <v>110</v>
      </c>
      <c r="G313" t="s">
        <v>111</v>
      </c>
      <c r="H313" t="s">
        <v>242</v>
      </c>
      <c r="J313">
        <v>0</v>
      </c>
      <c r="K313">
        <v>8</v>
      </c>
      <c r="L313">
        <v>73.260869569999997</v>
      </c>
      <c r="M313">
        <v>34.453830549999999</v>
      </c>
      <c r="N313">
        <v>1.058333333</v>
      </c>
      <c r="O313">
        <v>0.90897070000000002</v>
      </c>
      <c r="P313">
        <v>139.375</v>
      </c>
      <c r="Q313">
        <v>23.713465920000001</v>
      </c>
      <c r="R313" t="s">
        <v>114</v>
      </c>
      <c r="S313" t="s">
        <v>114</v>
      </c>
      <c r="T313" t="s">
        <v>1014</v>
      </c>
      <c r="U313">
        <v>-66.114130430000003</v>
      </c>
    </row>
    <row r="314" spans="1:21" x14ac:dyDescent="0.25">
      <c r="A314" t="s">
        <v>26</v>
      </c>
      <c r="B314" t="s">
        <v>930</v>
      </c>
      <c r="C314">
        <v>15</v>
      </c>
      <c r="D314" t="s">
        <v>27</v>
      </c>
      <c r="E314" t="s">
        <v>95</v>
      </c>
      <c r="F314" t="s">
        <v>111</v>
      </c>
      <c r="G314" t="s">
        <v>102</v>
      </c>
      <c r="H314" t="s">
        <v>244</v>
      </c>
      <c r="J314">
        <v>0</v>
      </c>
      <c r="K314">
        <v>1</v>
      </c>
      <c r="L314">
        <v>94.97142857</v>
      </c>
      <c r="M314">
        <v>24.31591813</v>
      </c>
      <c r="N314">
        <v>0.122951111</v>
      </c>
      <c r="O314">
        <v>0.39050790000000002</v>
      </c>
      <c r="P314">
        <v>75</v>
      </c>
      <c r="Q314">
        <v>28.80614499</v>
      </c>
      <c r="R314">
        <v>2.3860428570000001</v>
      </c>
      <c r="S314">
        <v>0.26400832000000002</v>
      </c>
      <c r="T314" t="s">
        <v>1014</v>
      </c>
      <c r="U314">
        <v>19.97142857</v>
      </c>
    </row>
    <row r="315" spans="1:21" x14ac:dyDescent="0.25">
      <c r="A315" t="s">
        <v>26</v>
      </c>
      <c r="B315" t="s">
        <v>930</v>
      </c>
      <c r="C315">
        <v>16</v>
      </c>
      <c r="D315" t="s">
        <v>27</v>
      </c>
      <c r="E315" t="s">
        <v>95</v>
      </c>
      <c r="F315" t="s">
        <v>111</v>
      </c>
      <c r="G315" t="s">
        <v>102</v>
      </c>
      <c r="H315" t="s">
        <v>236</v>
      </c>
      <c r="J315">
        <v>0</v>
      </c>
      <c r="K315">
        <v>1</v>
      </c>
      <c r="L315">
        <v>94.97142857</v>
      </c>
      <c r="M315">
        <v>24.31591813</v>
      </c>
      <c r="N315">
        <v>0.122951111</v>
      </c>
      <c r="O315">
        <v>0.39050790000000002</v>
      </c>
      <c r="P315">
        <v>113.33333330000001</v>
      </c>
      <c r="Q315">
        <v>26.41632581</v>
      </c>
      <c r="R315">
        <v>1.6844570160000001</v>
      </c>
      <c r="S315">
        <v>8.9285710000000004E-2</v>
      </c>
      <c r="T315" t="s">
        <v>1014</v>
      </c>
      <c r="U315">
        <v>-18.361904729999999</v>
      </c>
    </row>
    <row r="316" spans="1:21" x14ac:dyDescent="0.25">
      <c r="A316" t="s">
        <v>26</v>
      </c>
      <c r="B316" t="s">
        <v>930</v>
      </c>
      <c r="C316">
        <v>17</v>
      </c>
      <c r="D316" t="s">
        <v>27</v>
      </c>
      <c r="E316" t="s">
        <v>95</v>
      </c>
      <c r="F316" t="s">
        <v>111</v>
      </c>
      <c r="G316" t="s">
        <v>102</v>
      </c>
      <c r="H316" t="s">
        <v>102</v>
      </c>
      <c r="J316">
        <v>0</v>
      </c>
      <c r="K316">
        <v>1</v>
      </c>
      <c r="L316">
        <v>94.97142857</v>
      </c>
      <c r="M316">
        <v>24.31591813</v>
      </c>
      <c r="N316">
        <v>0.122951111</v>
      </c>
      <c r="O316">
        <v>0.39050790000000002</v>
      </c>
      <c r="P316">
        <v>84.740740740000007</v>
      </c>
      <c r="Q316">
        <v>29.167014049999999</v>
      </c>
      <c r="R316">
        <v>1.1169849999999999</v>
      </c>
      <c r="S316">
        <v>1.1571499000000001</v>
      </c>
      <c r="T316" t="s">
        <v>1014</v>
      </c>
      <c r="U316">
        <v>10.230687830000001</v>
      </c>
    </row>
    <row r="317" spans="1:21" x14ac:dyDescent="0.25">
      <c r="A317" t="s">
        <v>26</v>
      </c>
      <c r="B317" t="s">
        <v>930</v>
      </c>
      <c r="C317">
        <v>18</v>
      </c>
      <c r="D317" t="s">
        <v>27</v>
      </c>
      <c r="E317" t="s">
        <v>95</v>
      </c>
      <c r="F317" t="s">
        <v>111</v>
      </c>
      <c r="G317" t="s">
        <v>102</v>
      </c>
      <c r="H317" t="s">
        <v>242</v>
      </c>
      <c r="J317">
        <v>0</v>
      </c>
      <c r="K317">
        <v>3</v>
      </c>
      <c r="L317">
        <v>94.97142857</v>
      </c>
      <c r="M317">
        <v>24.31591813</v>
      </c>
      <c r="N317">
        <v>0.122951111</v>
      </c>
      <c r="O317">
        <v>0.39050790000000002</v>
      </c>
      <c r="P317">
        <v>139.375</v>
      </c>
      <c r="Q317">
        <v>23.713465920000001</v>
      </c>
      <c r="R317" t="s">
        <v>114</v>
      </c>
      <c r="S317" t="s">
        <v>114</v>
      </c>
      <c r="T317" t="s">
        <v>1014</v>
      </c>
      <c r="U317">
        <v>-44.40357143</v>
      </c>
    </row>
    <row r="318" spans="1:21" x14ac:dyDescent="0.25">
      <c r="A318" t="s">
        <v>26</v>
      </c>
      <c r="B318" t="s">
        <v>930</v>
      </c>
      <c r="C318">
        <v>18</v>
      </c>
      <c r="D318" t="s">
        <v>27</v>
      </c>
      <c r="E318" t="s">
        <v>95</v>
      </c>
      <c r="F318" t="s">
        <v>111</v>
      </c>
      <c r="G318" t="s">
        <v>102</v>
      </c>
      <c r="H318" t="s">
        <v>242</v>
      </c>
      <c r="J318">
        <v>0</v>
      </c>
      <c r="K318">
        <v>3</v>
      </c>
      <c r="L318">
        <v>94.97142857</v>
      </c>
      <c r="M318">
        <v>24.31591813</v>
      </c>
      <c r="N318">
        <v>0.122951111</v>
      </c>
      <c r="O318">
        <v>0.39050790000000002</v>
      </c>
      <c r="P318">
        <v>139.375</v>
      </c>
      <c r="Q318">
        <v>23.713465920000001</v>
      </c>
      <c r="R318" t="s">
        <v>114</v>
      </c>
      <c r="S318" t="s">
        <v>114</v>
      </c>
      <c r="T318" t="s">
        <v>1014</v>
      </c>
      <c r="U318">
        <v>-44.40357143</v>
      </c>
    </row>
    <row r="319" spans="1:21" x14ac:dyDescent="0.25">
      <c r="A319" t="s">
        <v>26</v>
      </c>
      <c r="B319" t="s">
        <v>930</v>
      </c>
      <c r="C319">
        <v>18</v>
      </c>
      <c r="D319" t="s">
        <v>27</v>
      </c>
      <c r="E319" t="s">
        <v>95</v>
      </c>
      <c r="F319" t="s">
        <v>111</v>
      </c>
      <c r="G319" t="s">
        <v>102</v>
      </c>
      <c r="H319" t="s">
        <v>242</v>
      </c>
      <c r="J319">
        <v>0</v>
      </c>
      <c r="K319">
        <v>3</v>
      </c>
      <c r="L319">
        <v>94.97142857</v>
      </c>
      <c r="M319">
        <v>24.31591813</v>
      </c>
      <c r="N319">
        <v>0.122951111</v>
      </c>
      <c r="O319">
        <v>0.39050790000000002</v>
      </c>
      <c r="P319">
        <v>139.375</v>
      </c>
      <c r="Q319">
        <v>23.713465920000001</v>
      </c>
      <c r="R319" t="s">
        <v>114</v>
      </c>
      <c r="S319" t="s">
        <v>114</v>
      </c>
      <c r="T319" t="s">
        <v>1014</v>
      </c>
      <c r="U319">
        <v>-44.40357143</v>
      </c>
    </row>
    <row r="320" spans="1:21" x14ac:dyDescent="0.25">
      <c r="A320" t="s">
        <v>28</v>
      </c>
      <c r="B320" t="s">
        <v>931</v>
      </c>
      <c r="C320">
        <v>15</v>
      </c>
      <c r="D320" t="s">
        <v>29</v>
      </c>
      <c r="E320" t="s">
        <v>94</v>
      </c>
      <c r="F320" t="s">
        <v>113</v>
      </c>
      <c r="G320" t="s">
        <v>113</v>
      </c>
      <c r="H320" t="s">
        <v>113</v>
      </c>
      <c r="J320">
        <v>0</v>
      </c>
      <c r="K320">
        <v>2</v>
      </c>
      <c r="L320">
        <v>83.757575759999995</v>
      </c>
      <c r="M320">
        <v>22.60997987</v>
      </c>
      <c r="N320">
        <v>0.72884000000000004</v>
      </c>
      <c r="O320">
        <v>0.21301339999999999</v>
      </c>
      <c r="P320">
        <v>83.757575759999995</v>
      </c>
      <c r="Q320">
        <v>22.60997987</v>
      </c>
      <c r="R320">
        <v>0.72884000000000004</v>
      </c>
      <c r="S320">
        <v>0.21301339999999999</v>
      </c>
      <c r="T320" t="s">
        <v>1014</v>
      </c>
      <c r="U320">
        <v>0</v>
      </c>
    </row>
    <row r="321" spans="1:21" x14ac:dyDescent="0.25">
      <c r="A321" t="s">
        <v>28</v>
      </c>
      <c r="B321" t="s">
        <v>931</v>
      </c>
      <c r="C321">
        <v>15</v>
      </c>
      <c r="D321" t="s">
        <v>29</v>
      </c>
      <c r="E321" t="s">
        <v>94</v>
      </c>
      <c r="F321" t="s">
        <v>113</v>
      </c>
      <c r="G321" t="s">
        <v>113</v>
      </c>
      <c r="H321" t="s">
        <v>113</v>
      </c>
      <c r="J321">
        <v>0</v>
      </c>
      <c r="K321">
        <v>2</v>
      </c>
      <c r="L321">
        <v>83.757575759999995</v>
      </c>
      <c r="M321">
        <v>22.60997987</v>
      </c>
      <c r="N321">
        <v>0.72884000000000004</v>
      </c>
      <c r="O321">
        <v>0.21301339999999999</v>
      </c>
      <c r="P321">
        <v>83.757575759999995</v>
      </c>
      <c r="Q321">
        <v>22.60997987</v>
      </c>
      <c r="R321">
        <v>0.72884000000000004</v>
      </c>
      <c r="S321">
        <v>0.21301339999999999</v>
      </c>
      <c r="T321" t="s">
        <v>1014</v>
      </c>
      <c r="U321">
        <v>0</v>
      </c>
    </row>
    <row r="322" spans="1:21" x14ac:dyDescent="0.25">
      <c r="A322" t="s">
        <v>28</v>
      </c>
      <c r="B322" t="s">
        <v>931</v>
      </c>
      <c r="C322">
        <v>16</v>
      </c>
      <c r="D322" t="s">
        <v>29</v>
      </c>
      <c r="E322" t="s">
        <v>94</v>
      </c>
      <c r="F322" t="s">
        <v>113</v>
      </c>
      <c r="G322" t="s">
        <v>113</v>
      </c>
      <c r="H322" t="s">
        <v>248</v>
      </c>
      <c r="J322">
        <v>0</v>
      </c>
      <c r="K322">
        <v>12</v>
      </c>
      <c r="L322">
        <v>83.757575759999995</v>
      </c>
      <c r="M322">
        <v>22.60997987</v>
      </c>
      <c r="N322">
        <v>0.72884000000000004</v>
      </c>
      <c r="O322">
        <v>0.21301339999999999</v>
      </c>
      <c r="P322">
        <v>83.92307692</v>
      </c>
      <c r="Q322">
        <v>44.319135699999997</v>
      </c>
      <c r="R322">
        <v>5.9548609999999997E-3</v>
      </c>
      <c r="S322">
        <v>0.18017928</v>
      </c>
      <c r="T322" t="s">
        <v>1014</v>
      </c>
      <c r="U322">
        <v>-0.16550116000000001</v>
      </c>
    </row>
    <row r="323" spans="1:21" x14ac:dyDescent="0.25">
      <c r="A323" t="s">
        <v>28</v>
      </c>
      <c r="B323" t="s">
        <v>931</v>
      </c>
      <c r="C323">
        <v>16</v>
      </c>
      <c r="D323" t="s">
        <v>29</v>
      </c>
      <c r="E323" t="s">
        <v>94</v>
      </c>
      <c r="F323" t="s">
        <v>113</v>
      </c>
      <c r="G323" t="s">
        <v>113</v>
      </c>
      <c r="H323" t="s">
        <v>248</v>
      </c>
      <c r="J323">
        <v>0</v>
      </c>
      <c r="K323">
        <v>12</v>
      </c>
      <c r="L323">
        <v>83.757575759999995</v>
      </c>
      <c r="M323">
        <v>22.60997987</v>
      </c>
      <c r="N323">
        <v>0.72884000000000004</v>
      </c>
      <c r="O323">
        <v>0.21301339999999999</v>
      </c>
      <c r="P323">
        <v>83.92307692</v>
      </c>
      <c r="Q323">
        <v>44.319135699999997</v>
      </c>
      <c r="R323">
        <v>5.9548609999999997E-3</v>
      </c>
      <c r="S323">
        <v>0.18017928</v>
      </c>
      <c r="T323" t="s">
        <v>1014</v>
      </c>
      <c r="U323">
        <v>-0.16550116000000001</v>
      </c>
    </row>
    <row r="324" spans="1:21" x14ac:dyDescent="0.25">
      <c r="A324" t="s">
        <v>28</v>
      </c>
      <c r="B324" t="s">
        <v>931</v>
      </c>
      <c r="C324">
        <v>16</v>
      </c>
      <c r="D324" t="s">
        <v>29</v>
      </c>
      <c r="E324" t="s">
        <v>94</v>
      </c>
      <c r="F324" t="s">
        <v>113</v>
      </c>
      <c r="G324" t="s">
        <v>113</v>
      </c>
      <c r="H324" t="s">
        <v>248</v>
      </c>
      <c r="J324">
        <v>0</v>
      </c>
      <c r="K324">
        <v>12</v>
      </c>
      <c r="L324">
        <v>83.757575759999995</v>
      </c>
      <c r="M324">
        <v>22.60997987</v>
      </c>
      <c r="N324">
        <v>0.72884000000000004</v>
      </c>
      <c r="O324">
        <v>0.21301339999999999</v>
      </c>
      <c r="P324">
        <v>83.92307692</v>
      </c>
      <c r="Q324">
        <v>44.319135699999997</v>
      </c>
      <c r="R324">
        <v>5.9548609999999997E-3</v>
      </c>
      <c r="S324">
        <v>0.18017928</v>
      </c>
      <c r="T324" t="s">
        <v>1014</v>
      </c>
      <c r="U324">
        <v>-0.16550116000000001</v>
      </c>
    </row>
    <row r="325" spans="1:21" x14ac:dyDescent="0.25">
      <c r="A325" t="s">
        <v>28</v>
      </c>
      <c r="B325" t="s">
        <v>931</v>
      </c>
      <c r="C325">
        <v>16</v>
      </c>
      <c r="D325" t="s">
        <v>29</v>
      </c>
      <c r="E325" t="s">
        <v>94</v>
      </c>
      <c r="F325" t="s">
        <v>113</v>
      </c>
      <c r="G325" t="s">
        <v>113</v>
      </c>
      <c r="H325" t="s">
        <v>248</v>
      </c>
      <c r="J325">
        <v>0</v>
      </c>
      <c r="K325">
        <v>12</v>
      </c>
      <c r="L325">
        <v>83.757575759999995</v>
      </c>
      <c r="M325">
        <v>22.60997987</v>
      </c>
      <c r="N325">
        <v>0.72884000000000004</v>
      </c>
      <c r="O325">
        <v>0.21301339999999999</v>
      </c>
      <c r="P325">
        <v>83.92307692</v>
      </c>
      <c r="Q325">
        <v>44.319135699999997</v>
      </c>
      <c r="R325">
        <v>5.9548609999999997E-3</v>
      </c>
      <c r="S325">
        <v>0.18017928</v>
      </c>
      <c r="T325" t="s">
        <v>1014</v>
      </c>
      <c r="U325">
        <v>-0.16550116000000001</v>
      </c>
    </row>
    <row r="326" spans="1:21" x14ac:dyDescent="0.25">
      <c r="A326" t="s">
        <v>28</v>
      </c>
      <c r="B326" t="s">
        <v>931</v>
      </c>
      <c r="C326">
        <v>16</v>
      </c>
      <c r="D326" t="s">
        <v>29</v>
      </c>
      <c r="E326" t="s">
        <v>94</v>
      </c>
      <c r="F326" t="s">
        <v>113</v>
      </c>
      <c r="G326" t="s">
        <v>113</v>
      </c>
      <c r="H326" t="s">
        <v>248</v>
      </c>
      <c r="J326">
        <v>0</v>
      </c>
      <c r="K326">
        <v>12</v>
      </c>
      <c r="L326">
        <v>83.757575759999995</v>
      </c>
      <c r="M326">
        <v>22.60997987</v>
      </c>
      <c r="N326">
        <v>0.72884000000000004</v>
      </c>
      <c r="O326">
        <v>0.21301339999999999</v>
      </c>
      <c r="P326">
        <v>83.92307692</v>
      </c>
      <c r="Q326">
        <v>44.319135699999997</v>
      </c>
      <c r="R326">
        <v>5.9548609999999997E-3</v>
      </c>
      <c r="S326">
        <v>0.18017928</v>
      </c>
      <c r="T326" t="s">
        <v>1014</v>
      </c>
      <c r="U326">
        <v>-0.16550116000000001</v>
      </c>
    </row>
    <row r="327" spans="1:21" x14ac:dyDescent="0.25">
      <c r="A327" t="s">
        <v>28</v>
      </c>
      <c r="B327" t="s">
        <v>931</v>
      </c>
      <c r="C327">
        <v>16</v>
      </c>
      <c r="D327" t="s">
        <v>29</v>
      </c>
      <c r="E327" t="s">
        <v>94</v>
      </c>
      <c r="F327" t="s">
        <v>113</v>
      </c>
      <c r="G327" t="s">
        <v>113</v>
      </c>
      <c r="H327" t="s">
        <v>248</v>
      </c>
      <c r="J327">
        <v>0</v>
      </c>
      <c r="K327">
        <v>12</v>
      </c>
      <c r="L327">
        <v>83.757575759999995</v>
      </c>
      <c r="M327">
        <v>22.60997987</v>
      </c>
      <c r="N327">
        <v>0.72884000000000004</v>
      </c>
      <c r="O327">
        <v>0.21301339999999999</v>
      </c>
      <c r="P327">
        <v>83.92307692</v>
      </c>
      <c r="Q327">
        <v>44.319135699999997</v>
      </c>
      <c r="R327">
        <v>5.9548609999999997E-3</v>
      </c>
      <c r="S327">
        <v>0.18017928</v>
      </c>
      <c r="T327" t="s">
        <v>1014</v>
      </c>
      <c r="U327">
        <v>-0.16550116000000001</v>
      </c>
    </row>
    <row r="328" spans="1:21" x14ac:dyDescent="0.25">
      <c r="A328" t="s">
        <v>28</v>
      </c>
      <c r="B328" t="s">
        <v>931</v>
      </c>
      <c r="C328">
        <v>16</v>
      </c>
      <c r="D328" t="s">
        <v>29</v>
      </c>
      <c r="E328" t="s">
        <v>94</v>
      </c>
      <c r="F328" t="s">
        <v>113</v>
      </c>
      <c r="G328" t="s">
        <v>113</v>
      </c>
      <c r="H328" t="s">
        <v>248</v>
      </c>
      <c r="J328">
        <v>0</v>
      </c>
      <c r="K328">
        <v>12</v>
      </c>
      <c r="L328">
        <v>83.757575759999995</v>
      </c>
      <c r="M328">
        <v>22.60997987</v>
      </c>
      <c r="N328">
        <v>0.72884000000000004</v>
      </c>
      <c r="O328">
        <v>0.21301339999999999</v>
      </c>
      <c r="P328">
        <v>83.92307692</v>
      </c>
      <c r="Q328">
        <v>44.319135699999997</v>
      </c>
      <c r="R328">
        <v>5.9548609999999997E-3</v>
      </c>
      <c r="S328">
        <v>0.18017928</v>
      </c>
      <c r="T328" t="s">
        <v>1014</v>
      </c>
      <c r="U328">
        <v>-0.16550116000000001</v>
      </c>
    </row>
    <row r="329" spans="1:21" x14ac:dyDescent="0.25">
      <c r="A329" t="s">
        <v>28</v>
      </c>
      <c r="B329" t="s">
        <v>931</v>
      </c>
      <c r="C329">
        <v>16</v>
      </c>
      <c r="D329" t="s">
        <v>29</v>
      </c>
      <c r="E329" t="s">
        <v>94</v>
      </c>
      <c r="F329" t="s">
        <v>113</v>
      </c>
      <c r="G329" t="s">
        <v>113</v>
      </c>
      <c r="H329" t="s">
        <v>248</v>
      </c>
      <c r="J329">
        <v>0</v>
      </c>
      <c r="K329">
        <v>12</v>
      </c>
      <c r="L329">
        <v>83.757575759999995</v>
      </c>
      <c r="M329">
        <v>22.60997987</v>
      </c>
      <c r="N329">
        <v>0.72884000000000004</v>
      </c>
      <c r="O329">
        <v>0.21301339999999999</v>
      </c>
      <c r="P329">
        <v>83.92307692</v>
      </c>
      <c r="Q329">
        <v>44.319135699999997</v>
      </c>
      <c r="R329">
        <v>5.9548609999999997E-3</v>
      </c>
      <c r="S329">
        <v>0.18017928</v>
      </c>
      <c r="T329" t="s">
        <v>1014</v>
      </c>
      <c r="U329">
        <v>-0.16550116000000001</v>
      </c>
    </row>
    <row r="330" spans="1:21" x14ac:dyDescent="0.25">
      <c r="A330" t="s">
        <v>28</v>
      </c>
      <c r="B330" t="s">
        <v>931</v>
      </c>
      <c r="C330">
        <v>16</v>
      </c>
      <c r="D330" t="s">
        <v>29</v>
      </c>
      <c r="E330" t="s">
        <v>94</v>
      </c>
      <c r="F330" t="s">
        <v>113</v>
      </c>
      <c r="G330" t="s">
        <v>113</v>
      </c>
      <c r="H330" t="s">
        <v>248</v>
      </c>
      <c r="J330">
        <v>0</v>
      </c>
      <c r="K330">
        <v>12</v>
      </c>
      <c r="L330">
        <v>83.757575759999995</v>
      </c>
      <c r="M330">
        <v>22.60997987</v>
      </c>
      <c r="N330">
        <v>0.72884000000000004</v>
      </c>
      <c r="O330">
        <v>0.21301339999999999</v>
      </c>
      <c r="P330">
        <v>83.92307692</v>
      </c>
      <c r="Q330">
        <v>44.319135699999997</v>
      </c>
      <c r="R330">
        <v>5.9548609999999997E-3</v>
      </c>
      <c r="S330">
        <v>0.18017928</v>
      </c>
      <c r="T330" t="s">
        <v>1014</v>
      </c>
      <c r="U330">
        <v>-0.16550116000000001</v>
      </c>
    </row>
    <row r="331" spans="1:21" x14ac:dyDescent="0.25">
      <c r="A331" t="s">
        <v>28</v>
      </c>
      <c r="B331" t="s">
        <v>931</v>
      </c>
      <c r="C331">
        <v>16</v>
      </c>
      <c r="D331" t="s">
        <v>29</v>
      </c>
      <c r="E331" t="s">
        <v>94</v>
      </c>
      <c r="F331" t="s">
        <v>113</v>
      </c>
      <c r="G331" t="s">
        <v>113</v>
      </c>
      <c r="H331" t="s">
        <v>248</v>
      </c>
      <c r="J331">
        <v>0</v>
      </c>
      <c r="K331">
        <v>12</v>
      </c>
      <c r="L331">
        <v>83.757575759999995</v>
      </c>
      <c r="M331">
        <v>22.60997987</v>
      </c>
      <c r="N331">
        <v>0.72884000000000004</v>
      </c>
      <c r="O331">
        <v>0.21301339999999999</v>
      </c>
      <c r="P331">
        <v>83.92307692</v>
      </c>
      <c r="Q331">
        <v>44.319135699999997</v>
      </c>
      <c r="R331">
        <v>5.9548609999999997E-3</v>
      </c>
      <c r="S331">
        <v>0.18017928</v>
      </c>
      <c r="T331" t="s">
        <v>1014</v>
      </c>
      <c r="U331">
        <v>-0.16550116000000001</v>
      </c>
    </row>
    <row r="332" spans="1:21" x14ac:dyDescent="0.25">
      <c r="A332" t="s">
        <v>28</v>
      </c>
      <c r="B332" t="s">
        <v>931</v>
      </c>
      <c r="C332">
        <v>16</v>
      </c>
      <c r="D332" t="s">
        <v>29</v>
      </c>
      <c r="E332" t="s">
        <v>94</v>
      </c>
      <c r="F332" t="s">
        <v>113</v>
      </c>
      <c r="G332" t="s">
        <v>113</v>
      </c>
      <c r="H332" t="s">
        <v>248</v>
      </c>
      <c r="J332">
        <v>0</v>
      </c>
      <c r="K332">
        <v>12</v>
      </c>
      <c r="L332">
        <v>83.757575759999995</v>
      </c>
      <c r="M332">
        <v>22.60997987</v>
      </c>
      <c r="N332">
        <v>0.72884000000000004</v>
      </c>
      <c r="O332">
        <v>0.21301339999999999</v>
      </c>
      <c r="P332">
        <v>83.92307692</v>
      </c>
      <c r="Q332">
        <v>44.319135699999997</v>
      </c>
      <c r="R332">
        <v>5.9548609999999997E-3</v>
      </c>
      <c r="S332">
        <v>0.18017928</v>
      </c>
      <c r="T332" t="s">
        <v>1014</v>
      </c>
      <c r="U332">
        <v>-0.16550116000000001</v>
      </c>
    </row>
    <row r="333" spans="1:21" x14ac:dyDescent="0.25">
      <c r="A333" t="s">
        <v>28</v>
      </c>
      <c r="B333" t="s">
        <v>931</v>
      </c>
      <c r="C333">
        <v>16</v>
      </c>
      <c r="D333" t="s">
        <v>29</v>
      </c>
      <c r="E333" t="s">
        <v>94</v>
      </c>
      <c r="F333" t="s">
        <v>113</v>
      </c>
      <c r="G333" t="s">
        <v>113</v>
      </c>
      <c r="H333" t="s">
        <v>248</v>
      </c>
      <c r="J333">
        <v>0</v>
      </c>
      <c r="K333">
        <v>12</v>
      </c>
      <c r="L333">
        <v>83.757575759999995</v>
      </c>
      <c r="M333">
        <v>22.60997987</v>
      </c>
      <c r="N333">
        <v>0.72884000000000004</v>
      </c>
      <c r="O333">
        <v>0.21301339999999999</v>
      </c>
      <c r="P333">
        <v>83.92307692</v>
      </c>
      <c r="Q333">
        <v>44.319135699999997</v>
      </c>
      <c r="R333">
        <v>5.9548609999999997E-3</v>
      </c>
      <c r="S333">
        <v>0.18017928</v>
      </c>
      <c r="T333" t="s">
        <v>1014</v>
      </c>
      <c r="U333">
        <v>-0.16550116000000001</v>
      </c>
    </row>
    <row r="334" spans="1:21" x14ac:dyDescent="0.25">
      <c r="A334" t="s">
        <v>28</v>
      </c>
      <c r="B334" t="s">
        <v>931</v>
      </c>
      <c r="C334">
        <v>17</v>
      </c>
      <c r="D334" t="s">
        <v>29</v>
      </c>
      <c r="E334" t="s">
        <v>94</v>
      </c>
      <c r="F334" t="s">
        <v>113</v>
      </c>
      <c r="G334" t="s">
        <v>113</v>
      </c>
      <c r="H334" t="s">
        <v>247</v>
      </c>
      <c r="J334">
        <v>0</v>
      </c>
      <c r="K334">
        <v>1</v>
      </c>
      <c r="L334">
        <v>83.757575759999995</v>
      </c>
      <c r="M334">
        <v>22.60997987</v>
      </c>
      <c r="N334">
        <v>0.72884000000000004</v>
      </c>
      <c r="O334">
        <v>0.21301339999999999</v>
      </c>
      <c r="P334">
        <v>65.791044779999993</v>
      </c>
      <c r="Q334">
        <v>22.94519201</v>
      </c>
      <c r="R334">
        <v>8.1320334999999994E-2</v>
      </c>
      <c r="S334">
        <v>0.17285655</v>
      </c>
      <c r="T334" t="s">
        <v>1014</v>
      </c>
      <c r="U334">
        <v>17.966530980000002</v>
      </c>
    </row>
    <row r="335" spans="1:21" x14ac:dyDescent="0.25">
      <c r="A335" t="s">
        <v>28</v>
      </c>
      <c r="B335" t="s">
        <v>931</v>
      </c>
      <c r="C335">
        <v>18</v>
      </c>
      <c r="D335" t="s">
        <v>29</v>
      </c>
      <c r="E335" t="s">
        <v>94</v>
      </c>
      <c r="F335" t="s">
        <v>113</v>
      </c>
      <c r="G335" t="s">
        <v>113</v>
      </c>
      <c r="H335" t="s">
        <v>239</v>
      </c>
      <c r="J335">
        <v>0</v>
      </c>
      <c r="K335">
        <v>1</v>
      </c>
      <c r="L335">
        <v>83.757575759999995</v>
      </c>
      <c r="M335">
        <v>22.60997987</v>
      </c>
      <c r="N335">
        <v>0.72884000000000004</v>
      </c>
      <c r="O335">
        <v>0.21301339999999999</v>
      </c>
      <c r="P335">
        <v>100.45454549999999</v>
      </c>
      <c r="Q335">
        <v>26.754810689999999</v>
      </c>
      <c r="R335">
        <v>0.75829999999999997</v>
      </c>
      <c r="S335">
        <v>0.40907861000000001</v>
      </c>
      <c r="T335" t="s">
        <v>1014</v>
      </c>
      <c r="U335">
        <v>-16.69696974</v>
      </c>
    </row>
    <row r="336" spans="1:21" x14ac:dyDescent="0.25">
      <c r="A336" t="s">
        <v>28</v>
      </c>
      <c r="B336" t="s">
        <v>932</v>
      </c>
      <c r="C336">
        <v>15</v>
      </c>
      <c r="D336" t="s">
        <v>29</v>
      </c>
      <c r="E336" t="s">
        <v>94</v>
      </c>
      <c r="F336" t="s">
        <v>103</v>
      </c>
      <c r="G336" t="s">
        <v>102</v>
      </c>
      <c r="H336" t="s">
        <v>102</v>
      </c>
      <c r="J336">
        <v>0</v>
      </c>
      <c r="K336">
        <v>1</v>
      </c>
      <c r="L336">
        <v>98.291666669999998</v>
      </c>
      <c r="M336">
        <v>30.315130790000001</v>
      </c>
      <c r="N336">
        <v>5.0803484000000003E-2</v>
      </c>
      <c r="O336">
        <v>0.42866070000000001</v>
      </c>
      <c r="P336">
        <v>84.740740740000007</v>
      </c>
      <c r="Q336">
        <v>29.167014049999999</v>
      </c>
      <c r="R336">
        <v>1.1169849999999999</v>
      </c>
      <c r="S336">
        <v>1.1571499000000001</v>
      </c>
      <c r="T336" t="s">
        <v>1014</v>
      </c>
      <c r="U336">
        <v>13.55092593</v>
      </c>
    </row>
    <row r="337" spans="1:21" x14ac:dyDescent="0.25">
      <c r="A337" t="s">
        <v>28</v>
      </c>
      <c r="B337" t="s">
        <v>932</v>
      </c>
      <c r="C337">
        <v>16</v>
      </c>
      <c r="D337" t="s">
        <v>29</v>
      </c>
      <c r="E337" t="s">
        <v>94</v>
      </c>
      <c r="F337" t="s">
        <v>103</v>
      </c>
      <c r="G337" t="s">
        <v>102</v>
      </c>
      <c r="H337" t="s">
        <v>103</v>
      </c>
      <c r="J337">
        <v>0</v>
      </c>
      <c r="K337">
        <v>2</v>
      </c>
      <c r="L337">
        <v>98.291666669999998</v>
      </c>
      <c r="M337">
        <v>30.315130790000001</v>
      </c>
      <c r="N337">
        <v>5.0803484000000003E-2</v>
      </c>
      <c r="O337">
        <v>0.42866070000000001</v>
      </c>
      <c r="P337">
        <v>98.291666669999998</v>
      </c>
      <c r="Q337">
        <v>30.315130790000001</v>
      </c>
      <c r="R337">
        <v>5.0803484000000003E-2</v>
      </c>
      <c r="S337">
        <v>0.42866070000000001</v>
      </c>
      <c r="T337" t="s">
        <v>1014</v>
      </c>
      <c r="U337">
        <v>0</v>
      </c>
    </row>
    <row r="338" spans="1:21" x14ac:dyDescent="0.25">
      <c r="A338" t="s">
        <v>28</v>
      </c>
      <c r="B338" t="s">
        <v>932</v>
      </c>
      <c r="C338">
        <v>16</v>
      </c>
      <c r="D338" t="s">
        <v>29</v>
      </c>
      <c r="E338" t="s">
        <v>94</v>
      </c>
      <c r="F338" t="s">
        <v>103</v>
      </c>
      <c r="G338" t="s">
        <v>102</v>
      </c>
      <c r="H338" t="s">
        <v>103</v>
      </c>
      <c r="J338">
        <v>0</v>
      </c>
      <c r="K338">
        <v>2</v>
      </c>
      <c r="L338">
        <v>98.291666669999998</v>
      </c>
      <c r="M338">
        <v>30.315130790000001</v>
      </c>
      <c r="N338">
        <v>5.0803484000000003E-2</v>
      </c>
      <c r="O338">
        <v>0.42866070000000001</v>
      </c>
      <c r="P338">
        <v>98.291666669999998</v>
      </c>
      <c r="Q338">
        <v>30.315130790000001</v>
      </c>
      <c r="R338">
        <v>5.0803484000000003E-2</v>
      </c>
      <c r="S338">
        <v>0.42866070000000001</v>
      </c>
      <c r="T338" t="s">
        <v>1014</v>
      </c>
      <c r="U338">
        <v>0</v>
      </c>
    </row>
    <row r="339" spans="1:21" x14ac:dyDescent="0.25">
      <c r="A339" t="s">
        <v>28</v>
      </c>
      <c r="B339" t="s">
        <v>933</v>
      </c>
      <c r="C339">
        <v>15</v>
      </c>
      <c r="D339" t="s">
        <v>29</v>
      </c>
      <c r="E339" t="s">
        <v>94</v>
      </c>
      <c r="F339" t="s">
        <v>111</v>
      </c>
      <c r="G339" t="s">
        <v>121</v>
      </c>
      <c r="H339" t="s">
        <v>247</v>
      </c>
      <c r="J339">
        <v>0</v>
      </c>
      <c r="K339">
        <v>1</v>
      </c>
      <c r="L339">
        <v>94.97142857</v>
      </c>
      <c r="M339">
        <v>24.31591813</v>
      </c>
      <c r="N339">
        <v>0.122951111</v>
      </c>
      <c r="O339">
        <v>0.39050790000000002</v>
      </c>
      <c r="P339">
        <v>65.791044779999993</v>
      </c>
      <c r="Q339">
        <v>22.94519201</v>
      </c>
      <c r="R339">
        <v>8.1320334999999994E-2</v>
      </c>
      <c r="S339">
        <v>0.17285655</v>
      </c>
      <c r="T339" t="s">
        <v>1014</v>
      </c>
      <c r="U339">
        <v>29.18038379</v>
      </c>
    </row>
    <row r="340" spans="1:21" x14ac:dyDescent="0.25">
      <c r="A340" t="s">
        <v>28</v>
      </c>
      <c r="B340" t="s">
        <v>933</v>
      </c>
      <c r="C340">
        <v>16</v>
      </c>
      <c r="D340" t="s">
        <v>29</v>
      </c>
      <c r="E340" t="s">
        <v>94</v>
      </c>
      <c r="F340" t="s">
        <v>111</v>
      </c>
      <c r="G340" t="s">
        <v>121</v>
      </c>
      <c r="H340" t="s">
        <v>113</v>
      </c>
      <c r="J340">
        <v>0</v>
      </c>
      <c r="K340">
        <v>3</v>
      </c>
      <c r="L340">
        <v>94.97142857</v>
      </c>
      <c r="M340">
        <v>24.31591813</v>
      </c>
      <c r="N340">
        <v>0.122951111</v>
      </c>
      <c r="O340">
        <v>0.39050790000000002</v>
      </c>
      <c r="P340">
        <v>83.757575759999995</v>
      </c>
      <c r="Q340">
        <v>22.60997987</v>
      </c>
      <c r="R340">
        <v>0.72884000000000004</v>
      </c>
      <c r="S340">
        <v>0.21301339999999999</v>
      </c>
      <c r="T340" t="s">
        <v>1014</v>
      </c>
      <c r="U340">
        <v>11.213852810000001</v>
      </c>
    </row>
    <row r="341" spans="1:21" x14ac:dyDescent="0.25">
      <c r="A341" t="s">
        <v>28</v>
      </c>
      <c r="B341" t="s">
        <v>933</v>
      </c>
      <c r="C341">
        <v>16</v>
      </c>
      <c r="D341" t="s">
        <v>29</v>
      </c>
      <c r="E341" t="s">
        <v>94</v>
      </c>
      <c r="F341" t="s">
        <v>111</v>
      </c>
      <c r="G341" t="s">
        <v>121</v>
      </c>
      <c r="H341" t="s">
        <v>113</v>
      </c>
      <c r="J341">
        <v>0</v>
      </c>
      <c r="K341">
        <v>3</v>
      </c>
      <c r="L341">
        <v>94.97142857</v>
      </c>
      <c r="M341">
        <v>24.31591813</v>
      </c>
      <c r="N341">
        <v>0.122951111</v>
      </c>
      <c r="O341">
        <v>0.39050790000000002</v>
      </c>
      <c r="P341">
        <v>83.757575759999995</v>
      </c>
      <c r="Q341">
        <v>22.60997987</v>
      </c>
      <c r="R341">
        <v>0.72884000000000004</v>
      </c>
      <c r="S341">
        <v>0.21301339999999999</v>
      </c>
      <c r="T341" t="s">
        <v>1014</v>
      </c>
      <c r="U341">
        <v>11.213852810000001</v>
      </c>
    </row>
    <row r="342" spans="1:21" x14ac:dyDescent="0.25">
      <c r="A342" t="s">
        <v>28</v>
      </c>
      <c r="B342" t="s">
        <v>933</v>
      </c>
      <c r="C342">
        <v>16</v>
      </c>
      <c r="D342" t="s">
        <v>29</v>
      </c>
      <c r="E342" t="s">
        <v>94</v>
      </c>
      <c r="F342" t="s">
        <v>111</v>
      </c>
      <c r="G342" t="s">
        <v>121</v>
      </c>
      <c r="H342" t="s">
        <v>113</v>
      </c>
      <c r="J342">
        <v>0</v>
      </c>
      <c r="K342">
        <v>3</v>
      </c>
      <c r="L342">
        <v>94.97142857</v>
      </c>
      <c r="M342">
        <v>24.31591813</v>
      </c>
      <c r="N342">
        <v>0.122951111</v>
      </c>
      <c r="O342">
        <v>0.39050790000000002</v>
      </c>
      <c r="P342">
        <v>83.757575759999995</v>
      </c>
      <c r="Q342">
        <v>22.60997987</v>
      </c>
      <c r="R342">
        <v>0.72884000000000004</v>
      </c>
      <c r="S342">
        <v>0.21301339999999999</v>
      </c>
      <c r="T342" t="s">
        <v>1014</v>
      </c>
      <c r="U342">
        <v>11.213852810000001</v>
      </c>
    </row>
    <row r="343" spans="1:21" x14ac:dyDescent="0.25">
      <c r="A343" t="s">
        <v>28</v>
      </c>
      <c r="B343" t="s">
        <v>933</v>
      </c>
      <c r="C343">
        <v>17</v>
      </c>
      <c r="D343" t="s">
        <v>29</v>
      </c>
      <c r="E343" t="s">
        <v>94</v>
      </c>
      <c r="F343" t="s">
        <v>111</v>
      </c>
      <c r="G343" t="s">
        <v>121</v>
      </c>
      <c r="H343" t="s">
        <v>248</v>
      </c>
      <c r="J343">
        <v>0</v>
      </c>
      <c r="K343">
        <v>1</v>
      </c>
      <c r="L343">
        <v>94.97142857</v>
      </c>
      <c r="M343">
        <v>24.31591813</v>
      </c>
      <c r="N343">
        <v>0.122951111</v>
      </c>
      <c r="O343">
        <v>0.39050790000000002</v>
      </c>
      <c r="P343">
        <v>83.92307692</v>
      </c>
      <c r="Q343">
        <v>44.319135699999997</v>
      </c>
      <c r="R343">
        <v>5.9548609999999997E-3</v>
      </c>
      <c r="S343">
        <v>0.18017928</v>
      </c>
      <c r="T343" t="s">
        <v>1014</v>
      </c>
      <c r="U343">
        <v>11.048351650000001</v>
      </c>
    </row>
    <row r="344" spans="1:21" x14ac:dyDescent="0.25">
      <c r="A344" t="s">
        <v>28</v>
      </c>
      <c r="B344" t="s">
        <v>934</v>
      </c>
      <c r="C344">
        <v>15</v>
      </c>
      <c r="D344" t="s">
        <v>29</v>
      </c>
      <c r="E344" t="s">
        <v>94</v>
      </c>
      <c r="F344" t="s">
        <v>112</v>
      </c>
      <c r="G344" t="s">
        <v>121</v>
      </c>
      <c r="H344" t="s">
        <v>103</v>
      </c>
      <c r="J344">
        <v>0</v>
      </c>
      <c r="K344">
        <v>4</v>
      </c>
      <c r="L344">
        <v>65.09375</v>
      </c>
      <c r="M344">
        <v>37.895352600000002</v>
      </c>
      <c r="N344">
        <v>2.2882677779999998</v>
      </c>
      <c r="O344">
        <v>2.2111774</v>
      </c>
      <c r="P344">
        <v>98.291666669999998</v>
      </c>
      <c r="Q344">
        <v>30.315130790000001</v>
      </c>
      <c r="R344">
        <v>5.0803484000000003E-2</v>
      </c>
      <c r="S344">
        <v>0.42866070000000001</v>
      </c>
      <c r="T344" t="s">
        <v>1014</v>
      </c>
      <c r="U344">
        <v>-33.197916669999998</v>
      </c>
    </row>
    <row r="345" spans="1:21" x14ac:dyDescent="0.25">
      <c r="A345" t="s">
        <v>28</v>
      </c>
      <c r="B345" t="s">
        <v>934</v>
      </c>
      <c r="C345">
        <v>15</v>
      </c>
      <c r="D345" t="s">
        <v>29</v>
      </c>
      <c r="E345" t="s">
        <v>94</v>
      </c>
      <c r="F345" t="s">
        <v>112</v>
      </c>
      <c r="G345" t="s">
        <v>121</v>
      </c>
      <c r="H345" t="s">
        <v>103</v>
      </c>
      <c r="J345">
        <v>0</v>
      </c>
      <c r="K345">
        <v>4</v>
      </c>
      <c r="L345">
        <v>65.09375</v>
      </c>
      <c r="M345">
        <v>37.895352600000002</v>
      </c>
      <c r="N345">
        <v>2.2882677779999998</v>
      </c>
      <c r="O345">
        <v>2.2111774</v>
      </c>
      <c r="P345">
        <v>98.291666669999998</v>
      </c>
      <c r="Q345">
        <v>30.315130790000001</v>
      </c>
      <c r="R345">
        <v>5.0803484000000003E-2</v>
      </c>
      <c r="S345">
        <v>0.42866070000000001</v>
      </c>
      <c r="T345" t="s">
        <v>1014</v>
      </c>
      <c r="U345">
        <v>-33.197916669999998</v>
      </c>
    </row>
    <row r="346" spans="1:21" x14ac:dyDescent="0.25">
      <c r="A346" t="s">
        <v>28</v>
      </c>
      <c r="B346" t="s">
        <v>934</v>
      </c>
      <c r="C346">
        <v>15</v>
      </c>
      <c r="D346" t="s">
        <v>29</v>
      </c>
      <c r="E346" t="s">
        <v>94</v>
      </c>
      <c r="F346" t="s">
        <v>112</v>
      </c>
      <c r="G346" t="s">
        <v>121</v>
      </c>
      <c r="H346" t="s">
        <v>103</v>
      </c>
      <c r="J346">
        <v>0</v>
      </c>
      <c r="K346">
        <v>4</v>
      </c>
      <c r="L346">
        <v>65.09375</v>
      </c>
      <c r="M346">
        <v>37.895352600000002</v>
      </c>
      <c r="N346">
        <v>2.2882677779999998</v>
      </c>
      <c r="O346">
        <v>2.2111774</v>
      </c>
      <c r="P346">
        <v>98.291666669999998</v>
      </c>
      <c r="Q346">
        <v>30.315130790000001</v>
      </c>
      <c r="R346">
        <v>5.0803484000000003E-2</v>
      </c>
      <c r="S346">
        <v>0.42866070000000001</v>
      </c>
      <c r="T346" t="s">
        <v>1014</v>
      </c>
      <c r="U346">
        <v>-33.197916669999998</v>
      </c>
    </row>
    <row r="347" spans="1:21" x14ac:dyDescent="0.25">
      <c r="A347" t="s">
        <v>28</v>
      </c>
      <c r="B347" t="s">
        <v>934</v>
      </c>
      <c r="C347">
        <v>15</v>
      </c>
      <c r="D347" t="s">
        <v>29</v>
      </c>
      <c r="E347" t="s">
        <v>94</v>
      </c>
      <c r="F347" t="s">
        <v>112</v>
      </c>
      <c r="G347" t="s">
        <v>121</v>
      </c>
      <c r="H347" t="s">
        <v>103</v>
      </c>
      <c r="J347">
        <v>0</v>
      </c>
      <c r="K347">
        <v>4</v>
      </c>
      <c r="L347">
        <v>65.09375</v>
      </c>
      <c r="M347">
        <v>37.895352600000002</v>
      </c>
      <c r="N347">
        <v>2.2882677779999998</v>
      </c>
      <c r="O347">
        <v>2.2111774</v>
      </c>
      <c r="P347">
        <v>98.291666669999998</v>
      </c>
      <c r="Q347">
        <v>30.315130790000001</v>
      </c>
      <c r="R347">
        <v>5.0803484000000003E-2</v>
      </c>
      <c r="S347">
        <v>0.42866070000000001</v>
      </c>
      <c r="T347" t="s">
        <v>1014</v>
      </c>
      <c r="U347">
        <v>-33.197916669999998</v>
      </c>
    </row>
    <row r="348" spans="1:21" x14ac:dyDescent="0.25">
      <c r="A348" t="s">
        <v>28</v>
      </c>
      <c r="B348" t="s">
        <v>934</v>
      </c>
      <c r="C348">
        <v>16</v>
      </c>
      <c r="D348" t="s">
        <v>29</v>
      </c>
      <c r="E348" t="s">
        <v>94</v>
      </c>
      <c r="F348" t="s">
        <v>112</v>
      </c>
      <c r="G348" t="s">
        <v>121</v>
      </c>
      <c r="H348" t="s">
        <v>113</v>
      </c>
      <c r="J348">
        <v>0</v>
      </c>
      <c r="K348">
        <v>6</v>
      </c>
      <c r="L348">
        <v>65.09375</v>
      </c>
      <c r="M348">
        <v>37.895352600000002</v>
      </c>
      <c r="N348">
        <v>2.2882677779999998</v>
      </c>
      <c r="O348">
        <v>2.2111774</v>
      </c>
      <c r="P348">
        <v>83.757575759999995</v>
      </c>
      <c r="Q348">
        <v>22.60997987</v>
      </c>
      <c r="R348">
        <v>0.72884000000000004</v>
      </c>
      <c r="S348">
        <v>0.21301339999999999</v>
      </c>
      <c r="T348" t="s">
        <v>1014</v>
      </c>
      <c r="U348">
        <v>-18.663825760000002</v>
      </c>
    </row>
    <row r="349" spans="1:21" x14ac:dyDescent="0.25">
      <c r="A349" t="s">
        <v>28</v>
      </c>
      <c r="B349" t="s">
        <v>934</v>
      </c>
      <c r="C349">
        <v>16</v>
      </c>
      <c r="D349" t="s">
        <v>29</v>
      </c>
      <c r="E349" t="s">
        <v>94</v>
      </c>
      <c r="F349" t="s">
        <v>112</v>
      </c>
      <c r="G349" t="s">
        <v>121</v>
      </c>
      <c r="H349" t="s">
        <v>113</v>
      </c>
      <c r="J349">
        <v>0</v>
      </c>
      <c r="K349">
        <v>6</v>
      </c>
      <c r="L349">
        <v>65.09375</v>
      </c>
      <c r="M349">
        <v>37.895352600000002</v>
      </c>
      <c r="N349">
        <v>2.2882677779999998</v>
      </c>
      <c r="O349">
        <v>2.2111774</v>
      </c>
      <c r="P349">
        <v>83.757575759999995</v>
      </c>
      <c r="Q349">
        <v>22.60997987</v>
      </c>
      <c r="R349">
        <v>0.72884000000000004</v>
      </c>
      <c r="S349">
        <v>0.21301339999999999</v>
      </c>
      <c r="T349" t="s">
        <v>1014</v>
      </c>
      <c r="U349">
        <v>-18.663825760000002</v>
      </c>
    </row>
    <row r="350" spans="1:21" x14ac:dyDescent="0.25">
      <c r="A350" t="s">
        <v>28</v>
      </c>
      <c r="B350" t="s">
        <v>934</v>
      </c>
      <c r="C350">
        <v>16</v>
      </c>
      <c r="D350" t="s">
        <v>29</v>
      </c>
      <c r="E350" t="s">
        <v>94</v>
      </c>
      <c r="F350" t="s">
        <v>112</v>
      </c>
      <c r="G350" t="s">
        <v>121</v>
      </c>
      <c r="H350" t="s">
        <v>113</v>
      </c>
      <c r="J350">
        <v>0</v>
      </c>
      <c r="K350">
        <v>6</v>
      </c>
      <c r="L350">
        <v>65.09375</v>
      </c>
      <c r="M350">
        <v>37.895352600000002</v>
      </c>
      <c r="N350">
        <v>2.2882677779999998</v>
      </c>
      <c r="O350">
        <v>2.2111774</v>
      </c>
      <c r="P350">
        <v>83.757575759999995</v>
      </c>
      <c r="Q350">
        <v>22.60997987</v>
      </c>
      <c r="R350">
        <v>0.72884000000000004</v>
      </c>
      <c r="S350">
        <v>0.21301339999999999</v>
      </c>
      <c r="T350" t="s">
        <v>1014</v>
      </c>
      <c r="U350">
        <v>-18.663825760000002</v>
      </c>
    </row>
    <row r="351" spans="1:21" x14ac:dyDescent="0.25">
      <c r="A351" t="s">
        <v>28</v>
      </c>
      <c r="B351" t="s">
        <v>934</v>
      </c>
      <c r="C351">
        <v>16</v>
      </c>
      <c r="D351" t="s">
        <v>29</v>
      </c>
      <c r="E351" t="s">
        <v>94</v>
      </c>
      <c r="F351" t="s">
        <v>112</v>
      </c>
      <c r="G351" t="s">
        <v>121</v>
      </c>
      <c r="H351" t="s">
        <v>113</v>
      </c>
      <c r="J351">
        <v>0</v>
      </c>
      <c r="K351">
        <v>6</v>
      </c>
      <c r="L351">
        <v>65.09375</v>
      </c>
      <c r="M351">
        <v>37.895352600000002</v>
      </c>
      <c r="N351">
        <v>2.2882677779999998</v>
      </c>
      <c r="O351">
        <v>2.2111774</v>
      </c>
      <c r="P351">
        <v>83.757575759999995</v>
      </c>
      <c r="Q351">
        <v>22.60997987</v>
      </c>
      <c r="R351">
        <v>0.72884000000000004</v>
      </c>
      <c r="S351">
        <v>0.21301339999999999</v>
      </c>
      <c r="T351" t="s">
        <v>1014</v>
      </c>
      <c r="U351">
        <v>-18.663825760000002</v>
      </c>
    </row>
    <row r="352" spans="1:21" x14ac:dyDescent="0.25">
      <c r="A352" t="s">
        <v>28</v>
      </c>
      <c r="B352" t="s">
        <v>934</v>
      </c>
      <c r="C352">
        <v>16</v>
      </c>
      <c r="D352" t="s">
        <v>29</v>
      </c>
      <c r="E352" t="s">
        <v>94</v>
      </c>
      <c r="F352" t="s">
        <v>112</v>
      </c>
      <c r="G352" t="s">
        <v>121</v>
      </c>
      <c r="H352" t="s">
        <v>113</v>
      </c>
      <c r="J352">
        <v>0</v>
      </c>
      <c r="K352">
        <v>6</v>
      </c>
      <c r="L352">
        <v>65.09375</v>
      </c>
      <c r="M352">
        <v>37.895352600000002</v>
      </c>
      <c r="N352">
        <v>2.2882677779999998</v>
      </c>
      <c r="O352">
        <v>2.2111774</v>
      </c>
      <c r="P352">
        <v>83.757575759999995</v>
      </c>
      <c r="Q352">
        <v>22.60997987</v>
      </c>
      <c r="R352">
        <v>0.72884000000000004</v>
      </c>
      <c r="S352">
        <v>0.21301339999999999</v>
      </c>
      <c r="T352" t="s">
        <v>1014</v>
      </c>
      <c r="U352">
        <v>-18.663825760000002</v>
      </c>
    </row>
    <row r="353" spans="1:21" x14ac:dyDescent="0.25">
      <c r="A353" t="s">
        <v>28</v>
      </c>
      <c r="B353" t="s">
        <v>934</v>
      </c>
      <c r="C353">
        <v>16</v>
      </c>
      <c r="D353" t="s">
        <v>29</v>
      </c>
      <c r="E353" t="s">
        <v>94</v>
      </c>
      <c r="F353" t="s">
        <v>112</v>
      </c>
      <c r="G353" t="s">
        <v>121</v>
      </c>
      <c r="H353" t="s">
        <v>113</v>
      </c>
      <c r="J353">
        <v>0</v>
      </c>
      <c r="K353">
        <v>6</v>
      </c>
      <c r="L353">
        <v>65.09375</v>
      </c>
      <c r="M353">
        <v>37.895352600000002</v>
      </c>
      <c r="N353">
        <v>2.2882677779999998</v>
      </c>
      <c r="O353">
        <v>2.2111774</v>
      </c>
      <c r="P353">
        <v>83.757575759999995</v>
      </c>
      <c r="Q353">
        <v>22.60997987</v>
      </c>
      <c r="R353">
        <v>0.72884000000000004</v>
      </c>
      <c r="S353">
        <v>0.21301339999999999</v>
      </c>
      <c r="T353" t="s">
        <v>1014</v>
      </c>
      <c r="U353">
        <v>-18.663825760000002</v>
      </c>
    </row>
    <row r="354" spans="1:21" x14ac:dyDescent="0.25">
      <c r="A354" t="s">
        <v>28</v>
      </c>
      <c r="B354" t="s">
        <v>934</v>
      </c>
      <c r="C354">
        <v>17</v>
      </c>
      <c r="D354" t="s">
        <v>29</v>
      </c>
      <c r="E354" t="s">
        <v>94</v>
      </c>
      <c r="F354" t="s">
        <v>112</v>
      </c>
      <c r="G354" t="s">
        <v>121</v>
      </c>
      <c r="H354" t="s">
        <v>248</v>
      </c>
      <c r="J354">
        <v>0</v>
      </c>
      <c r="K354">
        <v>3</v>
      </c>
      <c r="L354">
        <v>65.09375</v>
      </c>
      <c r="M354">
        <v>37.895352600000002</v>
      </c>
      <c r="N354">
        <v>2.2882677779999998</v>
      </c>
      <c r="O354">
        <v>2.2111774</v>
      </c>
      <c r="P354">
        <v>83.92307692</v>
      </c>
      <c r="Q354">
        <v>44.319135699999997</v>
      </c>
      <c r="R354">
        <v>5.9548609999999997E-3</v>
      </c>
      <c r="S354">
        <v>0.18017928</v>
      </c>
      <c r="T354" t="s">
        <v>1014</v>
      </c>
      <c r="U354">
        <v>-18.82932692</v>
      </c>
    </row>
    <row r="355" spans="1:21" x14ac:dyDescent="0.25">
      <c r="A355" t="s">
        <v>28</v>
      </c>
      <c r="B355" t="s">
        <v>934</v>
      </c>
      <c r="C355">
        <v>17</v>
      </c>
      <c r="D355" t="s">
        <v>29</v>
      </c>
      <c r="E355" t="s">
        <v>94</v>
      </c>
      <c r="F355" t="s">
        <v>112</v>
      </c>
      <c r="G355" t="s">
        <v>121</v>
      </c>
      <c r="H355" t="s">
        <v>248</v>
      </c>
      <c r="J355">
        <v>0</v>
      </c>
      <c r="K355">
        <v>3</v>
      </c>
      <c r="L355">
        <v>65.09375</v>
      </c>
      <c r="M355">
        <v>37.895352600000002</v>
      </c>
      <c r="N355">
        <v>2.2882677779999998</v>
      </c>
      <c r="O355">
        <v>2.2111774</v>
      </c>
      <c r="P355">
        <v>83.92307692</v>
      </c>
      <c r="Q355">
        <v>44.319135699999997</v>
      </c>
      <c r="R355">
        <v>5.9548609999999997E-3</v>
      </c>
      <c r="S355">
        <v>0.18017928</v>
      </c>
      <c r="T355" t="s">
        <v>1014</v>
      </c>
      <c r="U355">
        <v>-18.82932692</v>
      </c>
    </row>
    <row r="356" spans="1:21" x14ac:dyDescent="0.25">
      <c r="A356" t="s">
        <v>28</v>
      </c>
      <c r="B356" t="s">
        <v>934</v>
      </c>
      <c r="C356">
        <v>17</v>
      </c>
      <c r="D356" t="s">
        <v>29</v>
      </c>
      <c r="E356" t="s">
        <v>94</v>
      </c>
      <c r="F356" t="s">
        <v>112</v>
      </c>
      <c r="G356" t="s">
        <v>121</v>
      </c>
      <c r="H356" t="s">
        <v>248</v>
      </c>
      <c r="J356">
        <v>0</v>
      </c>
      <c r="K356">
        <v>3</v>
      </c>
      <c r="L356">
        <v>65.09375</v>
      </c>
      <c r="M356">
        <v>37.895352600000002</v>
      </c>
      <c r="N356">
        <v>2.2882677779999998</v>
      </c>
      <c r="O356">
        <v>2.2111774</v>
      </c>
      <c r="P356">
        <v>83.92307692</v>
      </c>
      <c r="Q356">
        <v>44.319135699999997</v>
      </c>
      <c r="R356">
        <v>5.9548609999999997E-3</v>
      </c>
      <c r="S356">
        <v>0.18017928</v>
      </c>
      <c r="T356" t="s">
        <v>1014</v>
      </c>
      <c r="U356">
        <v>-18.82932692</v>
      </c>
    </row>
    <row r="357" spans="1:21" x14ac:dyDescent="0.25">
      <c r="A357" t="s">
        <v>30</v>
      </c>
      <c r="B357" t="s">
        <v>935</v>
      </c>
      <c r="C357">
        <v>15</v>
      </c>
      <c r="D357" t="s">
        <v>31</v>
      </c>
      <c r="E357" t="s">
        <v>95</v>
      </c>
      <c r="F357" t="s">
        <v>113</v>
      </c>
      <c r="G357" t="s">
        <v>121</v>
      </c>
      <c r="H357" t="s">
        <v>113</v>
      </c>
      <c r="J357">
        <v>0</v>
      </c>
      <c r="K357">
        <v>1</v>
      </c>
      <c r="L357">
        <v>83.757575759999995</v>
      </c>
      <c r="M357">
        <v>22.60997987</v>
      </c>
      <c r="N357">
        <v>0.72884000000000004</v>
      </c>
      <c r="O357">
        <v>0.21301339999999999</v>
      </c>
      <c r="P357">
        <v>83.757575759999995</v>
      </c>
      <c r="Q357">
        <v>22.60997987</v>
      </c>
      <c r="R357">
        <v>0.72884000000000004</v>
      </c>
      <c r="S357">
        <v>0.21301339999999999</v>
      </c>
      <c r="T357" t="s">
        <v>1014</v>
      </c>
      <c r="U357">
        <v>0</v>
      </c>
    </row>
    <row r="358" spans="1:21" x14ac:dyDescent="0.25">
      <c r="A358" t="s">
        <v>30</v>
      </c>
      <c r="B358" t="s">
        <v>935</v>
      </c>
      <c r="C358">
        <v>16</v>
      </c>
      <c r="D358" t="s">
        <v>31</v>
      </c>
      <c r="E358" t="s">
        <v>95</v>
      </c>
      <c r="F358" t="s">
        <v>113</v>
      </c>
      <c r="G358" t="s">
        <v>121</v>
      </c>
      <c r="H358" t="s">
        <v>103</v>
      </c>
      <c r="J358">
        <v>0</v>
      </c>
      <c r="K358">
        <v>2</v>
      </c>
      <c r="L358">
        <v>83.757575759999995</v>
      </c>
      <c r="M358">
        <v>22.60997987</v>
      </c>
      <c r="N358">
        <v>0.72884000000000004</v>
      </c>
      <c r="O358">
        <v>0.21301339999999999</v>
      </c>
      <c r="P358">
        <v>98.291666669999998</v>
      </c>
      <c r="Q358">
        <v>30.315130790000001</v>
      </c>
      <c r="R358">
        <v>5.0803484000000003E-2</v>
      </c>
      <c r="S358">
        <v>0.42866070000000001</v>
      </c>
      <c r="T358" t="s">
        <v>1014</v>
      </c>
      <c r="U358">
        <v>-14.53409091</v>
      </c>
    </row>
    <row r="359" spans="1:21" x14ac:dyDescent="0.25">
      <c r="A359" t="s">
        <v>30</v>
      </c>
      <c r="B359" t="s">
        <v>935</v>
      </c>
      <c r="C359">
        <v>16</v>
      </c>
      <c r="D359" t="s">
        <v>31</v>
      </c>
      <c r="E359" t="s">
        <v>95</v>
      </c>
      <c r="F359" t="s">
        <v>113</v>
      </c>
      <c r="G359" t="s">
        <v>121</v>
      </c>
      <c r="H359" t="s">
        <v>103</v>
      </c>
      <c r="J359">
        <v>0</v>
      </c>
      <c r="K359">
        <v>2</v>
      </c>
      <c r="L359">
        <v>83.757575759999995</v>
      </c>
      <c r="M359">
        <v>22.60997987</v>
      </c>
      <c r="N359">
        <v>0.72884000000000004</v>
      </c>
      <c r="O359">
        <v>0.21301339999999999</v>
      </c>
      <c r="P359">
        <v>98.291666669999998</v>
      </c>
      <c r="Q359">
        <v>30.315130790000001</v>
      </c>
      <c r="R359">
        <v>5.0803484000000003E-2</v>
      </c>
      <c r="S359">
        <v>0.42866070000000001</v>
      </c>
      <c r="T359" t="s">
        <v>1014</v>
      </c>
      <c r="U359">
        <v>-14.53409091</v>
      </c>
    </row>
    <row r="360" spans="1:21" x14ac:dyDescent="0.25">
      <c r="A360" t="s">
        <v>30</v>
      </c>
      <c r="B360" t="s">
        <v>935</v>
      </c>
      <c r="C360">
        <v>17</v>
      </c>
      <c r="D360" t="s">
        <v>31</v>
      </c>
      <c r="E360" t="s">
        <v>95</v>
      </c>
      <c r="F360" t="s">
        <v>113</v>
      </c>
      <c r="G360" t="s">
        <v>121</v>
      </c>
      <c r="H360" t="s">
        <v>248</v>
      </c>
      <c r="J360">
        <v>0</v>
      </c>
      <c r="K360">
        <v>9</v>
      </c>
      <c r="L360">
        <v>83.757575759999995</v>
      </c>
      <c r="M360">
        <v>22.60997987</v>
      </c>
      <c r="N360">
        <v>0.72884000000000004</v>
      </c>
      <c r="O360">
        <v>0.21301339999999999</v>
      </c>
      <c r="P360">
        <v>83.92307692</v>
      </c>
      <c r="Q360">
        <v>44.319135699999997</v>
      </c>
      <c r="R360">
        <v>5.9548609999999997E-3</v>
      </c>
      <c r="S360">
        <v>0.18017928</v>
      </c>
      <c r="T360" t="s">
        <v>1014</v>
      </c>
      <c r="U360">
        <v>-0.16550116000000001</v>
      </c>
    </row>
    <row r="361" spans="1:21" x14ac:dyDescent="0.25">
      <c r="A361" t="s">
        <v>30</v>
      </c>
      <c r="B361" t="s">
        <v>935</v>
      </c>
      <c r="C361">
        <v>17</v>
      </c>
      <c r="D361" t="s">
        <v>31</v>
      </c>
      <c r="E361" t="s">
        <v>95</v>
      </c>
      <c r="F361" t="s">
        <v>113</v>
      </c>
      <c r="G361" t="s">
        <v>121</v>
      </c>
      <c r="H361" t="s">
        <v>248</v>
      </c>
      <c r="J361">
        <v>0</v>
      </c>
      <c r="K361">
        <v>9</v>
      </c>
      <c r="L361">
        <v>83.757575759999995</v>
      </c>
      <c r="M361">
        <v>22.60997987</v>
      </c>
      <c r="N361">
        <v>0.72884000000000004</v>
      </c>
      <c r="O361">
        <v>0.21301339999999999</v>
      </c>
      <c r="P361">
        <v>83.92307692</v>
      </c>
      <c r="Q361">
        <v>44.319135699999997</v>
      </c>
      <c r="R361">
        <v>5.9548609999999997E-3</v>
      </c>
      <c r="S361">
        <v>0.18017928</v>
      </c>
      <c r="T361" t="s">
        <v>1014</v>
      </c>
      <c r="U361">
        <v>-0.16550116000000001</v>
      </c>
    </row>
    <row r="362" spans="1:21" x14ac:dyDescent="0.25">
      <c r="A362" t="s">
        <v>30</v>
      </c>
      <c r="B362" t="s">
        <v>935</v>
      </c>
      <c r="C362">
        <v>17</v>
      </c>
      <c r="D362" t="s">
        <v>31</v>
      </c>
      <c r="E362" t="s">
        <v>95</v>
      </c>
      <c r="F362" t="s">
        <v>113</v>
      </c>
      <c r="G362" t="s">
        <v>121</v>
      </c>
      <c r="H362" t="s">
        <v>248</v>
      </c>
      <c r="J362">
        <v>0</v>
      </c>
      <c r="K362">
        <v>9</v>
      </c>
      <c r="L362">
        <v>83.757575759999995</v>
      </c>
      <c r="M362">
        <v>22.60997987</v>
      </c>
      <c r="N362">
        <v>0.72884000000000004</v>
      </c>
      <c r="O362">
        <v>0.21301339999999999</v>
      </c>
      <c r="P362">
        <v>83.92307692</v>
      </c>
      <c r="Q362">
        <v>44.319135699999997</v>
      </c>
      <c r="R362">
        <v>5.9548609999999997E-3</v>
      </c>
      <c r="S362">
        <v>0.18017928</v>
      </c>
      <c r="T362" t="s">
        <v>1014</v>
      </c>
      <c r="U362">
        <v>-0.16550116000000001</v>
      </c>
    </row>
    <row r="363" spans="1:21" x14ac:dyDescent="0.25">
      <c r="A363" t="s">
        <v>30</v>
      </c>
      <c r="B363" t="s">
        <v>935</v>
      </c>
      <c r="C363">
        <v>17</v>
      </c>
      <c r="D363" t="s">
        <v>31</v>
      </c>
      <c r="E363" t="s">
        <v>95</v>
      </c>
      <c r="F363" t="s">
        <v>113</v>
      </c>
      <c r="G363" t="s">
        <v>121</v>
      </c>
      <c r="H363" t="s">
        <v>248</v>
      </c>
      <c r="J363">
        <v>0</v>
      </c>
      <c r="K363">
        <v>9</v>
      </c>
      <c r="L363">
        <v>83.757575759999995</v>
      </c>
      <c r="M363">
        <v>22.60997987</v>
      </c>
      <c r="N363">
        <v>0.72884000000000004</v>
      </c>
      <c r="O363">
        <v>0.21301339999999999</v>
      </c>
      <c r="P363">
        <v>83.92307692</v>
      </c>
      <c r="Q363">
        <v>44.319135699999997</v>
      </c>
      <c r="R363">
        <v>5.9548609999999997E-3</v>
      </c>
      <c r="S363">
        <v>0.18017928</v>
      </c>
      <c r="T363" t="s">
        <v>1014</v>
      </c>
      <c r="U363">
        <v>-0.16550116000000001</v>
      </c>
    </row>
    <row r="364" spans="1:21" x14ac:dyDescent="0.25">
      <c r="A364" t="s">
        <v>30</v>
      </c>
      <c r="B364" t="s">
        <v>935</v>
      </c>
      <c r="C364">
        <v>17</v>
      </c>
      <c r="D364" t="s">
        <v>31</v>
      </c>
      <c r="E364" t="s">
        <v>95</v>
      </c>
      <c r="F364" t="s">
        <v>113</v>
      </c>
      <c r="G364" t="s">
        <v>121</v>
      </c>
      <c r="H364" t="s">
        <v>248</v>
      </c>
      <c r="J364">
        <v>0</v>
      </c>
      <c r="K364">
        <v>9</v>
      </c>
      <c r="L364">
        <v>83.757575759999995</v>
      </c>
      <c r="M364">
        <v>22.60997987</v>
      </c>
      <c r="N364">
        <v>0.72884000000000004</v>
      </c>
      <c r="O364">
        <v>0.21301339999999999</v>
      </c>
      <c r="P364">
        <v>83.92307692</v>
      </c>
      <c r="Q364">
        <v>44.319135699999997</v>
      </c>
      <c r="R364">
        <v>5.9548609999999997E-3</v>
      </c>
      <c r="S364">
        <v>0.18017928</v>
      </c>
      <c r="T364" t="s">
        <v>1014</v>
      </c>
      <c r="U364">
        <v>-0.16550116000000001</v>
      </c>
    </row>
    <row r="365" spans="1:21" x14ac:dyDescent="0.25">
      <c r="A365" t="s">
        <v>30</v>
      </c>
      <c r="B365" t="s">
        <v>935</v>
      </c>
      <c r="C365">
        <v>17</v>
      </c>
      <c r="D365" t="s">
        <v>31</v>
      </c>
      <c r="E365" t="s">
        <v>95</v>
      </c>
      <c r="F365" t="s">
        <v>113</v>
      </c>
      <c r="G365" t="s">
        <v>121</v>
      </c>
      <c r="H365" t="s">
        <v>248</v>
      </c>
      <c r="J365">
        <v>0</v>
      </c>
      <c r="K365">
        <v>9</v>
      </c>
      <c r="L365">
        <v>83.757575759999995</v>
      </c>
      <c r="M365">
        <v>22.60997987</v>
      </c>
      <c r="N365">
        <v>0.72884000000000004</v>
      </c>
      <c r="O365">
        <v>0.21301339999999999</v>
      </c>
      <c r="P365">
        <v>83.92307692</v>
      </c>
      <c r="Q365">
        <v>44.319135699999997</v>
      </c>
      <c r="R365">
        <v>5.9548609999999997E-3</v>
      </c>
      <c r="S365">
        <v>0.18017928</v>
      </c>
      <c r="T365" t="s">
        <v>1014</v>
      </c>
      <c r="U365">
        <v>-0.16550116000000001</v>
      </c>
    </row>
    <row r="366" spans="1:21" x14ac:dyDescent="0.25">
      <c r="A366" t="s">
        <v>30</v>
      </c>
      <c r="B366" t="s">
        <v>935</v>
      </c>
      <c r="C366">
        <v>17</v>
      </c>
      <c r="D366" t="s">
        <v>31</v>
      </c>
      <c r="E366" t="s">
        <v>95</v>
      </c>
      <c r="F366" t="s">
        <v>113</v>
      </c>
      <c r="G366" t="s">
        <v>121</v>
      </c>
      <c r="H366" t="s">
        <v>248</v>
      </c>
      <c r="J366">
        <v>0</v>
      </c>
      <c r="K366">
        <v>9</v>
      </c>
      <c r="L366">
        <v>83.757575759999995</v>
      </c>
      <c r="M366">
        <v>22.60997987</v>
      </c>
      <c r="N366">
        <v>0.72884000000000004</v>
      </c>
      <c r="O366">
        <v>0.21301339999999999</v>
      </c>
      <c r="P366">
        <v>83.92307692</v>
      </c>
      <c r="Q366">
        <v>44.319135699999997</v>
      </c>
      <c r="R366">
        <v>5.9548609999999997E-3</v>
      </c>
      <c r="S366">
        <v>0.18017928</v>
      </c>
      <c r="T366" t="s">
        <v>1014</v>
      </c>
      <c r="U366">
        <v>-0.16550116000000001</v>
      </c>
    </row>
    <row r="367" spans="1:21" x14ac:dyDescent="0.25">
      <c r="A367" t="s">
        <v>30</v>
      </c>
      <c r="B367" t="s">
        <v>935</v>
      </c>
      <c r="C367">
        <v>17</v>
      </c>
      <c r="D367" t="s">
        <v>31</v>
      </c>
      <c r="E367" t="s">
        <v>95</v>
      </c>
      <c r="F367" t="s">
        <v>113</v>
      </c>
      <c r="G367" t="s">
        <v>121</v>
      </c>
      <c r="H367" t="s">
        <v>248</v>
      </c>
      <c r="J367">
        <v>0</v>
      </c>
      <c r="K367">
        <v>9</v>
      </c>
      <c r="L367">
        <v>83.757575759999995</v>
      </c>
      <c r="M367">
        <v>22.60997987</v>
      </c>
      <c r="N367">
        <v>0.72884000000000004</v>
      </c>
      <c r="O367">
        <v>0.21301339999999999</v>
      </c>
      <c r="P367">
        <v>83.92307692</v>
      </c>
      <c r="Q367">
        <v>44.319135699999997</v>
      </c>
      <c r="R367">
        <v>5.9548609999999997E-3</v>
      </c>
      <c r="S367">
        <v>0.18017928</v>
      </c>
      <c r="T367" t="s">
        <v>1014</v>
      </c>
      <c r="U367">
        <v>-0.16550116000000001</v>
      </c>
    </row>
    <row r="368" spans="1:21" x14ac:dyDescent="0.25">
      <c r="A368" t="s">
        <v>30</v>
      </c>
      <c r="B368" t="s">
        <v>935</v>
      </c>
      <c r="C368">
        <v>17</v>
      </c>
      <c r="D368" t="s">
        <v>31</v>
      </c>
      <c r="E368" t="s">
        <v>95</v>
      </c>
      <c r="F368" t="s">
        <v>113</v>
      </c>
      <c r="G368" t="s">
        <v>121</v>
      </c>
      <c r="H368" t="s">
        <v>248</v>
      </c>
      <c r="J368">
        <v>0</v>
      </c>
      <c r="K368">
        <v>9</v>
      </c>
      <c r="L368">
        <v>83.757575759999995</v>
      </c>
      <c r="M368">
        <v>22.60997987</v>
      </c>
      <c r="N368">
        <v>0.72884000000000004</v>
      </c>
      <c r="O368">
        <v>0.21301339999999999</v>
      </c>
      <c r="P368">
        <v>83.92307692</v>
      </c>
      <c r="Q368">
        <v>44.319135699999997</v>
      </c>
      <c r="R368">
        <v>5.9548609999999997E-3</v>
      </c>
      <c r="S368">
        <v>0.18017928</v>
      </c>
      <c r="T368" t="s">
        <v>1014</v>
      </c>
      <c r="U368">
        <v>-0.16550116000000001</v>
      </c>
    </row>
    <row r="369" spans="1:21" x14ac:dyDescent="0.25">
      <c r="A369" t="s">
        <v>30</v>
      </c>
      <c r="B369" t="s">
        <v>935</v>
      </c>
      <c r="C369">
        <v>18</v>
      </c>
      <c r="D369" t="s">
        <v>31</v>
      </c>
      <c r="E369" t="s">
        <v>95</v>
      </c>
      <c r="F369" t="s">
        <v>113</v>
      </c>
      <c r="G369" t="s">
        <v>121</v>
      </c>
      <c r="H369" t="s">
        <v>111</v>
      </c>
      <c r="J369">
        <v>0</v>
      </c>
      <c r="K369">
        <v>1</v>
      </c>
      <c r="L369">
        <v>83.757575759999995</v>
      </c>
      <c r="M369">
        <v>22.60997987</v>
      </c>
      <c r="N369">
        <v>0.72884000000000004</v>
      </c>
      <c r="O369">
        <v>0.21301339999999999</v>
      </c>
      <c r="P369">
        <v>94.97142857</v>
      </c>
      <c r="Q369">
        <v>24.31591813</v>
      </c>
      <c r="R369">
        <v>0.122951111</v>
      </c>
      <c r="S369">
        <v>0.39050790000000002</v>
      </c>
      <c r="T369" t="s">
        <v>1014</v>
      </c>
      <c r="U369">
        <v>-11.213852810000001</v>
      </c>
    </row>
    <row r="370" spans="1:21" x14ac:dyDescent="0.25">
      <c r="A370" t="s">
        <v>30</v>
      </c>
      <c r="B370" t="s">
        <v>936</v>
      </c>
      <c r="C370">
        <v>15</v>
      </c>
      <c r="D370" t="s">
        <v>31</v>
      </c>
      <c r="E370" t="s">
        <v>95</v>
      </c>
      <c r="F370" t="s">
        <v>103</v>
      </c>
      <c r="G370" t="s">
        <v>113</v>
      </c>
      <c r="H370" t="s">
        <v>113</v>
      </c>
      <c r="J370">
        <v>0</v>
      </c>
      <c r="K370">
        <v>3</v>
      </c>
      <c r="L370">
        <v>98.291666669999998</v>
      </c>
      <c r="M370">
        <v>30.315130790000001</v>
      </c>
      <c r="N370">
        <v>5.0803484000000003E-2</v>
      </c>
      <c r="O370">
        <v>0.42866070000000001</v>
      </c>
      <c r="P370">
        <v>83.757575759999995</v>
      </c>
      <c r="Q370">
        <v>22.60997987</v>
      </c>
      <c r="R370">
        <v>0.72884000000000004</v>
      </c>
      <c r="S370">
        <v>0.21301339999999999</v>
      </c>
      <c r="T370" t="s">
        <v>1014</v>
      </c>
      <c r="U370">
        <v>14.53409091</v>
      </c>
    </row>
    <row r="371" spans="1:21" x14ac:dyDescent="0.25">
      <c r="A371" t="s">
        <v>30</v>
      </c>
      <c r="B371" t="s">
        <v>936</v>
      </c>
      <c r="C371">
        <v>15</v>
      </c>
      <c r="D371" t="s">
        <v>31</v>
      </c>
      <c r="E371" t="s">
        <v>95</v>
      </c>
      <c r="F371" t="s">
        <v>103</v>
      </c>
      <c r="G371" t="s">
        <v>113</v>
      </c>
      <c r="H371" t="s">
        <v>113</v>
      </c>
      <c r="J371">
        <v>0</v>
      </c>
      <c r="K371">
        <v>3</v>
      </c>
      <c r="L371">
        <v>98.291666669999998</v>
      </c>
      <c r="M371">
        <v>30.315130790000001</v>
      </c>
      <c r="N371">
        <v>5.0803484000000003E-2</v>
      </c>
      <c r="O371">
        <v>0.42866070000000001</v>
      </c>
      <c r="P371">
        <v>83.757575759999995</v>
      </c>
      <c r="Q371">
        <v>22.60997987</v>
      </c>
      <c r="R371">
        <v>0.72884000000000004</v>
      </c>
      <c r="S371">
        <v>0.21301339999999999</v>
      </c>
      <c r="T371" t="s">
        <v>1014</v>
      </c>
      <c r="U371">
        <v>14.53409091</v>
      </c>
    </row>
    <row r="372" spans="1:21" x14ac:dyDescent="0.25">
      <c r="A372" t="s">
        <v>30</v>
      </c>
      <c r="B372" t="s">
        <v>936</v>
      </c>
      <c r="C372">
        <v>15</v>
      </c>
      <c r="D372" t="s">
        <v>31</v>
      </c>
      <c r="E372" t="s">
        <v>95</v>
      </c>
      <c r="F372" t="s">
        <v>103</v>
      </c>
      <c r="G372" t="s">
        <v>113</v>
      </c>
      <c r="H372" t="s">
        <v>113</v>
      </c>
      <c r="J372">
        <v>0</v>
      </c>
      <c r="K372">
        <v>3</v>
      </c>
      <c r="L372">
        <v>98.291666669999998</v>
      </c>
      <c r="M372">
        <v>30.315130790000001</v>
      </c>
      <c r="N372">
        <v>5.0803484000000003E-2</v>
      </c>
      <c r="O372">
        <v>0.42866070000000001</v>
      </c>
      <c r="P372">
        <v>83.757575759999995</v>
      </c>
      <c r="Q372">
        <v>22.60997987</v>
      </c>
      <c r="R372">
        <v>0.72884000000000004</v>
      </c>
      <c r="S372">
        <v>0.21301339999999999</v>
      </c>
      <c r="T372" t="s">
        <v>1014</v>
      </c>
      <c r="U372">
        <v>14.53409091</v>
      </c>
    </row>
    <row r="373" spans="1:21" x14ac:dyDescent="0.25">
      <c r="A373" t="s">
        <v>30</v>
      </c>
      <c r="B373" t="s">
        <v>936</v>
      </c>
      <c r="C373">
        <v>16</v>
      </c>
      <c r="D373" t="s">
        <v>31</v>
      </c>
      <c r="E373" t="s">
        <v>95</v>
      </c>
      <c r="F373" t="s">
        <v>103</v>
      </c>
      <c r="G373" t="s">
        <v>113</v>
      </c>
      <c r="H373" t="s">
        <v>247</v>
      </c>
      <c r="J373">
        <v>0</v>
      </c>
      <c r="K373">
        <v>1</v>
      </c>
      <c r="L373">
        <v>98.291666669999998</v>
      </c>
      <c r="M373">
        <v>30.315130790000001</v>
      </c>
      <c r="N373">
        <v>5.0803484000000003E-2</v>
      </c>
      <c r="O373">
        <v>0.42866070000000001</v>
      </c>
      <c r="P373">
        <v>65.791044779999993</v>
      </c>
      <c r="Q373">
        <v>22.94519201</v>
      </c>
      <c r="R373">
        <v>8.1320334999999994E-2</v>
      </c>
      <c r="S373">
        <v>0.17285655</v>
      </c>
      <c r="T373" t="s">
        <v>1014</v>
      </c>
      <c r="U373">
        <v>32.500621889999998</v>
      </c>
    </row>
    <row r="374" spans="1:21" x14ac:dyDescent="0.25">
      <c r="A374" t="s">
        <v>30</v>
      </c>
      <c r="B374" t="s">
        <v>936</v>
      </c>
      <c r="C374">
        <v>17</v>
      </c>
      <c r="D374" t="s">
        <v>31</v>
      </c>
      <c r="E374" t="s">
        <v>95</v>
      </c>
      <c r="F374" t="s">
        <v>103</v>
      </c>
      <c r="G374" t="s">
        <v>113</v>
      </c>
      <c r="H374" t="s">
        <v>111</v>
      </c>
      <c r="J374">
        <v>0</v>
      </c>
      <c r="K374">
        <v>1</v>
      </c>
      <c r="L374">
        <v>98.291666669999998</v>
      </c>
      <c r="M374">
        <v>30.315130790000001</v>
      </c>
      <c r="N374">
        <v>5.0803484000000003E-2</v>
      </c>
      <c r="O374">
        <v>0.42866070000000001</v>
      </c>
      <c r="P374">
        <v>94.97142857</v>
      </c>
      <c r="Q374">
        <v>24.31591813</v>
      </c>
      <c r="R374">
        <v>0.122951111</v>
      </c>
      <c r="S374">
        <v>0.39050790000000002</v>
      </c>
      <c r="T374" t="s">
        <v>1014</v>
      </c>
      <c r="U374">
        <v>3.3202381000000001</v>
      </c>
    </row>
    <row r="375" spans="1:21" x14ac:dyDescent="0.25">
      <c r="A375" t="s">
        <v>30</v>
      </c>
      <c r="B375" t="s">
        <v>936</v>
      </c>
      <c r="C375">
        <v>18</v>
      </c>
      <c r="D375" t="s">
        <v>31</v>
      </c>
      <c r="E375" t="s">
        <v>95</v>
      </c>
      <c r="F375" t="s">
        <v>103</v>
      </c>
      <c r="G375" t="s">
        <v>113</v>
      </c>
      <c r="H375" t="s">
        <v>234</v>
      </c>
      <c r="J375">
        <v>0</v>
      </c>
      <c r="K375">
        <v>1</v>
      </c>
      <c r="L375">
        <v>98.291666669999998</v>
      </c>
      <c r="M375">
        <v>30.315130790000001</v>
      </c>
      <c r="N375">
        <v>5.0803484000000003E-2</v>
      </c>
      <c r="O375">
        <v>0.42866070000000001</v>
      </c>
      <c r="P375">
        <v>89.8125</v>
      </c>
      <c r="Q375">
        <v>34.754706650000003</v>
      </c>
      <c r="R375">
        <v>2.3065078999999999E-2</v>
      </c>
      <c r="S375">
        <v>2.4791666700000001</v>
      </c>
      <c r="T375" t="s">
        <v>1014</v>
      </c>
      <c r="U375">
        <v>8.4791666699999997</v>
      </c>
    </row>
    <row r="376" spans="1:21" x14ac:dyDescent="0.25">
      <c r="A376" t="s">
        <v>30</v>
      </c>
      <c r="B376" t="s">
        <v>936</v>
      </c>
      <c r="C376">
        <v>19</v>
      </c>
      <c r="D376" t="s">
        <v>31</v>
      </c>
      <c r="E376" t="s">
        <v>95</v>
      </c>
      <c r="F376" t="s">
        <v>103</v>
      </c>
      <c r="G376" t="s">
        <v>113</v>
      </c>
      <c r="H376" t="s">
        <v>241</v>
      </c>
      <c r="J376">
        <v>0</v>
      </c>
      <c r="K376">
        <v>1</v>
      </c>
      <c r="L376">
        <v>98.291666669999998</v>
      </c>
      <c r="M376">
        <v>30.315130790000001</v>
      </c>
      <c r="N376">
        <v>5.0803484000000003E-2</v>
      </c>
      <c r="O376">
        <v>0.42866070000000001</v>
      </c>
      <c r="P376">
        <v>114</v>
      </c>
      <c r="Q376">
        <v>30.43077242</v>
      </c>
      <c r="R376">
        <v>0.53383111100000002</v>
      </c>
      <c r="S376">
        <v>0.28333332999999999</v>
      </c>
      <c r="T376" t="s">
        <v>1014</v>
      </c>
      <c r="U376">
        <v>-15.70833333</v>
      </c>
    </row>
    <row r="377" spans="1:21" x14ac:dyDescent="0.25">
      <c r="A377" t="s">
        <v>30</v>
      </c>
      <c r="B377" t="s">
        <v>937</v>
      </c>
      <c r="C377">
        <v>15</v>
      </c>
      <c r="D377" t="s">
        <v>31</v>
      </c>
      <c r="E377" t="s">
        <v>95</v>
      </c>
      <c r="F377" t="s">
        <v>112</v>
      </c>
      <c r="G377" t="s">
        <v>103</v>
      </c>
      <c r="H377" t="s">
        <v>114</v>
      </c>
      <c r="J377">
        <v>0</v>
      </c>
      <c r="K377" t="s">
        <v>114</v>
      </c>
      <c r="L377">
        <v>65.09375</v>
      </c>
      <c r="M377">
        <v>37.895352600000002</v>
      </c>
      <c r="N377">
        <v>2.2882677779999998</v>
      </c>
      <c r="O377">
        <v>2.2111774</v>
      </c>
      <c r="P377" t="s">
        <v>114</v>
      </c>
      <c r="Q377" t="s">
        <v>114</v>
      </c>
      <c r="R377" t="s">
        <v>114</v>
      </c>
      <c r="S377" t="s">
        <v>114</v>
      </c>
      <c r="T377" t="s">
        <v>1014</v>
      </c>
      <c r="U377" t="s">
        <v>114</v>
      </c>
    </row>
    <row r="378" spans="1:21" x14ac:dyDescent="0.25">
      <c r="A378" t="s">
        <v>32</v>
      </c>
      <c r="B378" t="s">
        <v>938</v>
      </c>
      <c r="C378">
        <v>15</v>
      </c>
      <c r="D378" t="s">
        <v>33</v>
      </c>
      <c r="E378" t="s">
        <v>94</v>
      </c>
      <c r="F378" t="s">
        <v>105</v>
      </c>
      <c r="G378" t="s">
        <v>121</v>
      </c>
      <c r="H378" t="s">
        <v>247</v>
      </c>
      <c r="J378">
        <v>0</v>
      </c>
      <c r="K378">
        <v>2</v>
      </c>
      <c r="L378">
        <v>67.5</v>
      </c>
      <c r="M378">
        <v>47.937235809999997</v>
      </c>
      <c r="N378">
        <v>0.41599678000000001</v>
      </c>
      <c r="O378">
        <v>2.0950346999999998</v>
      </c>
      <c r="P378">
        <v>65.791044779999993</v>
      </c>
      <c r="Q378">
        <v>22.94519201</v>
      </c>
      <c r="R378">
        <v>8.1320334999999994E-2</v>
      </c>
      <c r="S378">
        <v>0.17285655</v>
      </c>
      <c r="T378" t="s">
        <v>1014</v>
      </c>
      <c r="U378">
        <v>1.70895522</v>
      </c>
    </row>
    <row r="379" spans="1:21" x14ac:dyDescent="0.25">
      <c r="A379" t="s">
        <v>32</v>
      </c>
      <c r="B379" t="s">
        <v>938</v>
      </c>
      <c r="C379">
        <v>15</v>
      </c>
      <c r="D379" t="s">
        <v>33</v>
      </c>
      <c r="E379" t="s">
        <v>94</v>
      </c>
      <c r="F379" t="s">
        <v>105</v>
      </c>
      <c r="G379" t="s">
        <v>121</v>
      </c>
      <c r="H379" t="s">
        <v>247</v>
      </c>
      <c r="J379">
        <v>0</v>
      </c>
      <c r="K379">
        <v>2</v>
      </c>
      <c r="L379">
        <v>67.5</v>
      </c>
      <c r="M379">
        <v>47.937235809999997</v>
      </c>
      <c r="N379">
        <v>0.41599678000000001</v>
      </c>
      <c r="O379">
        <v>2.0950346999999998</v>
      </c>
      <c r="P379">
        <v>65.791044779999993</v>
      </c>
      <c r="Q379">
        <v>22.94519201</v>
      </c>
      <c r="R379">
        <v>8.1320334999999994E-2</v>
      </c>
      <c r="S379">
        <v>0.17285655</v>
      </c>
      <c r="T379" t="s">
        <v>1014</v>
      </c>
      <c r="U379">
        <v>1.70895522</v>
      </c>
    </row>
    <row r="380" spans="1:21" x14ac:dyDescent="0.25">
      <c r="A380" t="s">
        <v>32</v>
      </c>
      <c r="B380" t="s">
        <v>938</v>
      </c>
      <c r="C380">
        <v>16</v>
      </c>
      <c r="D380" t="s">
        <v>33</v>
      </c>
      <c r="E380" t="s">
        <v>94</v>
      </c>
      <c r="F380" t="s">
        <v>105</v>
      </c>
      <c r="G380" t="s">
        <v>121</v>
      </c>
      <c r="H380" t="s">
        <v>249</v>
      </c>
      <c r="J380">
        <v>0</v>
      </c>
      <c r="K380">
        <v>1</v>
      </c>
      <c r="L380">
        <v>67.5</v>
      </c>
      <c r="M380">
        <v>47.937235809999997</v>
      </c>
      <c r="N380">
        <v>0.41599678000000001</v>
      </c>
      <c r="O380">
        <v>2.0950346999999998</v>
      </c>
      <c r="P380">
        <v>81.666666669999998</v>
      </c>
      <c r="Q380">
        <v>48.056268459999998</v>
      </c>
      <c r="R380">
        <v>0.120291364</v>
      </c>
      <c r="S380" t="s">
        <v>114</v>
      </c>
      <c r="T380" t="s">
        <v>1014</v>
      </c>
      <c r="U380">
        <v>-14.16666667</v>
      </c>
    </row>
    <row r="381" spans="1:21" x14ac:dyDescent="0.25">
      <c r="A381" t="s">
        <v>34</v>
      </c>
      <c r="B381" t="s">
        <v>939</v>
      </c>
      <c r="C381">
        <v>15</v>
      </c>
      <c r="D381" t="s">
        <v>35</v>
      </c>
      <c r="E381" t="s">
        <v>94</v>
      </c>
      <c r="F381" t="s">
        <v>112</v>
      </c>
      <c r="G381" t="s">
        <v>112</v>
      </c>
      <c r="H381" t="s">
        <v>112</v>
      </c>
      <c r="J381">
        <v>0</v>
      </c>
      <c r="K381">
        <v>1</v>
      </c>
      <c r="L381">
        <v>65.09375</v>
      </c>
      <c r="M381">
        <v>37.895352600000002</v>
      </c>
      <c r="N381">
        <v>2.2882677779999998</v>
      </c>
      <c r="O381">
        <v>2.2111774</v>
      </c>
      <c r="P381">
        <v>65.09375</v>
      </c>
      <c r="Q381">
        <v>37.895352600000002</v>
      </c>
      <c r="R381">
        <v>2.2882677779999998</v>
      </c>
      <c r="S381">
        <v>2.2111774</v>
      </c>
      <c r="T381" t="s">
        <v>1014</v>
      </c>
      <c r="U381">
        <v>0</v>
      </c>
    </row>
    <row r="382" spans="1:21" x14ac:dyDescent="0.25">
      <c r="A382" t="s">
        <v>36</v>
      </c>
      <c r="B382" t="s">
        <v>940</v>
      </c>
      <c r="C382">
        <v>15</v>
      </c>
      <c r="D382" t="s">
        <v>37</v>
      </c>
      <c r="E382" t="s">
        <v>95</v>
      </c>
      <c r="F382" t="s">
        <v>110</v>
      </c>
      <c r="G382" t="s">
        <v>121</v>
      </c>
      <c r="H382" t="s">
        <v>110</v>
      </c>
      <c r="J382">
        <v>0</v>
      </c>
      <c r="K382">
        <v>1</v>
      </c>
      <c r="L382">
        <v>73.260869569999997</v>
      </c>
      <c r="M382">
        <v>34.453830549999999</v>
      </c>
      <c r="N382">
        <v>1.058333333</v>
      </c>
      <c r="O382">
        <v>0.90897070000000002</v>
      </c>
      <c r="P382">
        <v>73.260869569999997</v>
      </c>
      <c r="Q382">
        <v>34.453830549999999</v>
      </c>
      <c r="R382">
        <v>1.058333333</v>
      </c>
      <c r="S382">
        <v>0.90897070000000002</v>
      </c>
      <c r="T382" t="s">
        <v>1014</v>
      </c>
      <c r="U382">
        <v>0</v>
      </c>
    </row>
    <row r="383" spans="1:21" x14ac:dyDescent="0.25">
      <c r="A383" t="s">
        <v>36</v>
      </c>
      <c r="B383" t="s">
        <v>941</v>
      </c>
      <c r="C383">
        <v>15</v>
      </c>
      <c r="D383" t="s">
        <v>37</v>
      </c>
      <c r="E383" t="s">
        <v>95</v>
      </c>
      <c r="F383" t="s">
        <v>104</v>
      </c>
      <c r="G383" t="s">
        <v>121</v>
      </c>
      <c r="H383" t="s">
        <v>104</v>
      </c>
      <c r="J383">
        <v>0</v>
      </c>
      <c r="K383">
        <v>1</v>
      </c>
      <c r="L383">
        <v>113.9375</v>
      </c>
      <c r="M383">
        <v>33.375507550000002</v>
      </c>
      <c r="N383">
        <v>2.4262999999999999</v>
      </c>
      <c r="O383">
        <v>0.40692159999999999</v>
      </c>
      <c r="P383">
        <v>113.9375</v>
      </c>
      <c r="Q383">
        <v>33.375507550000002</v>
      </c>
      <c r="R383">
        <v>2.4262999999999999</v>
      </c>
      <c r="S383">
        <v>0.40692159999999999</v>
      </c>
      <c r="T383" t="s">
        <v>1014</v>
      </c>
      <c r="U383">
        <v>0</v>
      </c>
    </row>
    <row r="384" spans="1:21" x14ac:dyDescent="0.25">
      <c r="A384" t="s">
        <v>36</v>
      </c>
      <c r="B384" t="s">
        <v>941</v>
      </c>
      <c r="C384">
        <v>16</v>
      </c>
      <c r="D384" t="s">
        <v>37</v>
      </c>
      <c r="E384" t="s">
        <v>95</v>
      </c>
      <c r="F384" t="s">
        <v>104</v>
      </c>
      <c r="G384" t="s">
        <v>121</v>
      </c>
      <c r="H384" t="s">
        <v>111</v>
      </c>
      <c r="J384">
        <v>0</v>
      </c>
      <c r="K384">
        <v>1</v>
      </c>
      <c r="L384">
        <v>113.9375</v>
      </c>
      <c r="M384">
        <v>33.375507550000002</v>
      </c>
      <c r="N384">
        <v>2.4262999999999999</v>
      </c>
      <c r="O384">
        <v>0.40692159999999999</v>
      </c>
      <c r="P384">
        <v>94.97142857</v>
      </c>
      <c r="Q384">
        <v>24.31591813</v>
      </c>
      <c r="R384">
        <v>0.122951111</v>
      </c>
      <c r="S384">
        <v>0.39050790000000002</v>
      </c>
      <c r="T384" t="s">
        <v>1014</v>
      </c>
      <c r="U384">
        <v>18.96607143</v>
      </c>
    </row>
    <row r="385" spans="1:21" x14ac:dyDescent="0.25">
      <c r="A385" t="s">
        <v>36</v>
      </c>
      <c r="B385" t="s">
        <v>941</v>
      </c>
      <c r="C385">
        <v>17</v>
      </c>
      <c r="D385" t="s">
        <v>37</v>
      </c>
      <c r="E385" t="s">
        <v>95</v>
      </c>
      <c r="F385" t="s">
        <v>104</v>
      </c>
      <c r="G385" t="s">
        <v>121</v>
      </c>
      <c r="H385" t="s">
        <v>162</v>
      </c>
      <c r="J385">
        <v>0</v>
      </c>
      <c r="K385">
        <v>1</v>
      </c>
      <c r="L385">
        <v>113.9375</v>
      </c>
      <c r="M385">
        <v>33.375507550000002</v>
      </c>
      <c r="N385">
        <v>2.4262999999999999</v>
      </c>
      <c r="O385">
        <v>0.40692159999999999</v>
      </c>
      <c r="P385">
        <v>82.53846154</v>
      </c>
      <c r="Q385">
        <v>35.660530039999998</v>
      </c>
      <c r="R385">
        <v>3.3754499999999998</v>
      </c>
      <c r="S385" t="s">
        <v>114</v>
      </c>
      <c r="T385" t="s">
        <v>1014</v>
      </c>
      <c r="U385">
        <v>31.39903846</v>
      </c>
    </row>
    <row r="386" spans="1:21" x14ac:dyDescent="0.25">
      <c r="A386" t="s">
        <v>38</v>
      </c>
      <c r="B386" t="s">
        <v>942</v>
      </c>
      <c r="C386">
        <v>2</v>
      </c>
      <c r="D386" t="s">
        <v>11</v>
      </c>
      <c r="E386" t="s">
        <v>95</v>
      </c>
      <c r="F386" t="s">
        <v>113</v>
      </c>
      <c r="G386" t="s">
        <v>103</v>
      </c>
      <c r="H386" t="s">
        <v>103</v>
      </c>
      <c r="J386">
        <v>0</v>
      </c>
      <c r="K386">
        <v>3</v>
      </c>
      <c r="L386">
        <v>83.757575759999995</v>
      </c>
      <c r="M386">
        <v>22.60997987</v>
      </c>
      <c r="N386">
        <v>0.72884000000000004</v>
      </c>
      <c r="O386">
        <v>0.21301339999999999</v>
      </c>
      <c r="P386">
        <v>98.291666669999998</v>
      </c>
      <c r="Q386">
        <v>30.315130790000001</v>
      </c>
      <c r="R386">
        <v>5.0803484000000003E-2</v>
      </c>
      <c r="S386">
        <v>0.42866070000000001</v>
      </c>
      <c r="T386" t="s">
        <v>1014</v>
      </c>
      <c r="U386">
        <v>-14.53409091</v>
      </c>
    </row>
    <row r="387" spans="1:21" x14ac:dyDescent="0.25">
      <c r="A387" t="s">
        <v>38</v>
      </c>
      <c r="B387" t="s">
        <v>942</v>
      </c>
      <c r="C387">
        <v>2</v>
      </c>
      <c r="D387" t="s">
        <v>11</v>
      </c>
      <c r="E387" t="s">
        <v>95</v>
      </c>
      <c r="F387" t="s">
        <v>113</v>
      </c>
      <c r="G387" t="s">
        <v>103</v>
      </c>
      <c r="H387" t="s">
        <v>103</v>
      </c>
      <c r="J387">
        <v>0</v>
      </c>
      <c r="K387">
        <v>3</v>
      </c>
      <c r="L387">
        <v>83.757575759999995</v>
      </c>
      <c r="M387">
        <v>22.60997987</v>
      </c>
      <c r="N387">
        <v>0.72884000000000004</v>
      </c>
      <c r="O387">
        <v>0.21301339999999999</v>
      </c>
      <c r="P387">
        <v>98.291666669999998</v>
      </c>
      <c r="Q387">
        <v>30.315130790000001</v>
      </c>
      <c r="R387">
        <v>5.0803484000000003E-2</v>
      </c>
      <c r="S387">
        <v>0.42866070000000001</v>
      </c>
      <c r="T387" t="s">
        <v>1014</v>
      </c>
      <c r="U387">
        <v>-14.53409091</v>
      </c>
    </row>
    <row r="388" spans="1:21" x14ac:dyDescent="0.25">
      <c r="A388" t="s">
        <v>38</v>
      </c>
      <c r="B388" t="s">
        <v>942</v>
      </c>
      <c r="C388">
        <v>2</v>
      </c>
      <c r="D388" t="s">
        <v>11</v>
      </c>
      <c r="E388" t="s">
        <v>95</v>
      </c>
      <c r="F388" t="s">
        <v>113</v>
      </c>
      <c r="G388" t="s">
        <v>103</v>
      </c>
      <c r="H388" t="s">
        <v>103</v>
      </c>
      <c r="J388">
        <v>0</v>
      </c>
      <c r="K388">
        <v>3</v>
      </c>
      <c r="L388">
        <v>83.757575759999995</v>
      </c>
      <c r="M388">
        <v>22.60997987</v>
      </c>
      <c r="N388">
        <v>0.72884000000000004</v>
      </c>
      <c r="O388">
        <v>0.21301339999999999</v>
      </c>
      <c r="P388">
        <v>98.291666669999998</v>
      </c>
      <c r="Q388">
        <v>30.315130790000001</v>
      </c>
      <c r="R388">
        <v>5.0803484000000003E-2</v>
      </c>
      <c r="S388">
        <v>0.42866070000000001</v>
      </c>
      <c r="T388" t="s">
        <v>1014</v>
      </c>
      <c r="U388">
        <v>-14.53409091</v>
      </c>
    </row>
    <row r="389" spans="1:21" x14ac:dyDescent="0.25">
      <c r="A389" t="s">
        <v>38</v>
      </c>
      <c r="B389" t="s">
        <v>943</v>
      </c>
      <c r="C389">
        <v>2</v>
      </c>
      <c r="D389" t="s">
        <v>11</v>
      </c>
      <c r="E389" t="s">
        <v>95</v>
      </c>
      <c r="F389" t="s">
        <v>103</v>
      </c>
      <c r="G389" t="s">
        <v>103</v>
      </c>
      <c r="H389" t="s">
        <v>103</v>
      </c>
      <c r="J389">
        <v>0</v>
      </c>
      <c r="K389">
        <v>7</v>
      </c>
      <c r="L389">
        <v>98.291666669999998</v>
      </c>
      <c r="M389">
        <v>30.315130790000001</v>
      </c>
      <c r="N389">
        <v>5.0803484000000003E-2</v>
      </c>
      <c r="O389">
        <v>0.42866070000000001</v>
      </c>
      <c r="P389">
        <v>98.291666669999998</v>
      </c>
      <c r="Q389">
        <v>30.315130790000001</v>
      </c>
      <c r="R389">
        <v>5.0803484000000003E-2</v>
      </c>
      <c r="S389">
        <v>0.42866070000000001</v>
      </c>
      <c r="T389" t="s">
        <v>1014</v>
      </c>
      <c r="U389">
        <v>0</v>
      </c>
    </row>
    <row r="390" spans="1:21" x14ac:dyDescent="0.25">
      <c r="A390" t="s">
        <v>38</v>
      </c>
      <c r="B390" t="s">
        <v>943</v>
      </c>
      <c r="C390">
        <v>2</v>
      </c>
      <c r="D390" t="s">
        <v>11</v>
      </c>
      <c r="E390" t="s">
        <v>95</v>
      </c>
      <c r="F390" t="s">
        <v>103</v>
      </c>
      <c r="G390" t="s">
        <v>103</v>
      </c>
      <c r="H390" t="s">
        <v>103</v>
      </c>
      <c r="J390">
        <v>0</v>
      </c>
      <c r="K390">
        <v>7</v>
      </c>
      <c r="L390">
        <v>98.291666669999998</v>
      </c>
      <c r="M390">
        <v>30.315130790000001</v>
      </c>
      <c r="N390">
        <v>5.0803484000000003E-2</v>
      </c>
      <c r="O390">
        <v>0.42866070000000001</v>
      </c>
      <c r="P390">
        <v>98.291666669999998</v>
      </c>
      <c r="Q390">
        <v>30.315130790000001</v>
      </c>
      <c r="R390">
        <v>5.0803484000000003E-2</v>
      </c>
      <c r="S390">
        <v>0.42866070000000001</v>
      </c>
      <c r="T390" t="s">
        <v>1014</v>
      </c>
      <c r="U390">
        <v>0</v>
      </c>
    </row>
    <row r="391" spans="1:21" x14ac:dyDescent="0.25">
      <c r="A391" t="s">
        <v>38</v>
      </c>
      <c r="B391" t="s">
        <v>943</v>
      </c>
      <c r="C391">
        <v>2</v>
      </c>
      <c r="D391" t="s">
        <v>11</v>
      </c>
      <c r="E391" t="s">
        <v>95</v>
      </c>
      <c r="F391" t="s">
        <v>103</v>
      </c>
      <c r="G391" t="s">
        <v>103</v>
      </c>
      <c r="H391" t="s">
        <v>103</v>
      </c>
      <c r="J391">
        <v>0</v>
      </c>
      <c r="K391">
        <v>7</v>
      </c>
      <c r="L391">
        <v>98.291666669999998</v>
      </c>
      <c r="M391">
        <v>30.315130790000001</v>
      </c>
      <c r="N391">
        <v>5.0803484000000003E-2</v>
      </c>
      <c r="O391">
        <v>0.42866070000000001</v>
      </c>
      <c r="P391">
        <v>98.291666669999998</v>
      </c>
      <c r="Q391">
        <v>30.315130790000001</v>
      </c>
      <c r="R391">
        <v>5.0803484000000003E-2</v>
      </c>
      <c r="S391">
        <v>0.42866070000000001</v>
      </c>
      <c r="T391" t="s">
        <v>1014</v>
      </c>
      <c r="U391">
        <v>0</v>
      </c>
    </row>
    <row r="392" spans="1:21" x14ac:dyDescent="0.25">
      <c r="A392" t="s">
        <v>38</v>
      </c>
      <c r="B392" t="s">
        <v>943</v>
      </c>
      <c r="C392">
        <v>2</v>
      </c>
      <c r="D392" t="s">
        <v>11</v>
      </c>
      <c r="E392" t="s">
        <v>95</v>
      </c>
      <c r="F392" t="s">
        <v>103</v>
      </c>
      <c r="G392" t="s">
        <v>103</v>
      </c>
      <c r="H392" t="s">
        <v>103</v>
      </c>
      <c r="J392">
        <v>0</v>
      </c>
      <c r="K392">
        <v>7</v>
      </c>
      <c r="L392">
        <v>98.291666669999998</v>
      </c>
      <c r="M392">
        <v>30.315130790000001</v>
      </c>
      <c r="N392">
        <v>5.0803484000000003E-2</v>
      </c>
      <c r="O392">
        <v>0.42866070000000001</v>
      </c>
      <c r="P392">
        <v>98.291666669999998</v>
      </c>
      <c r="Q392">
        <v>30.315130790000001</v>
      </c>
      <c r="R392">
        <v>5.0803484000000003E-2</v>
      </c>
      <c r="S392">
        <v>0.42866070000000001</v>
      </c>
      <c r="T392" t="s">
        <v>1014</v>
      </c>
      <c r="U392">
        <v>0</v>
      </c>
    </row>
    <row r="393" spans="1:21" x14ac:dyDescent="0.25">
      <c r="A393" t="s">
        <v>38</v>
      </c>
      <c r="B393" t="s">
        <v>943</v>
      </c>
      <c r="C393">
        <v>2</v>
      </c>
      <c r="D393" t="s">
        <v>11</v>
      </c>
      <c r="E393" t="s">
        <v>95</v>
      </c>
      <c r="F393" t="s">
        <v>103</v>
      </c>
      <c r="G393" t="s">
        <v>103</v>
      </c>
      <c r="H393" t="s">
        <v>103</v>
      </c>
      <c r="J393">
        <v>0</v>
      </c>
      <c r="K393">
        <v>7</v>
      </c>
      <c r="L393">
        <v>98.291666669999998</v>
      </c>
      <c r="M393">
        <v>30.315130790000001</v>
      </c>
      <c r="N393">
        <v>5.0803484000000003E-2</v>
      </c>
      <c r="O393">
        <v>0.42866070000000001</v>
      </c>
      <c r="P393">
        <v>98.291666669999998</v>
      </c>
      <c r="Q393">
        <v>30.315130790000001</v>
      </c>
      <c r="R393">
        <v>5.0803484000000003E-2</v>
      </c>
      <c r="S393">
        <v>0.42866070000000001</v>
      </c>
      <c r="T393" t="s">
        <v>1014</v>
      </c>
      <c r="U393">
        <v>0</v>
      </c>
    </row>
    <row r="394" spans="1:21" x14ac:dyDescent="0.25">
      <c r="A394" t="s">
        <v>38</v>
      </c>
      <c r="B394" t="s">
        <v>943</v>
      </c>
      <c r="C394">
        <v>2</v>
      </c>
      <c r="D394" t="s">
        <v>11</v>
      </c>
      <c r="E394" t="s">
        <v>95</v>
      </c>
      <c r="F394" t="s">
        <v>103</v>
      </c>
      <c r="G394" t="s">
        <v>103</v>
      </c>
      <c r="H394" t="s">
        <v>103</v>
      </c>
      <c r="J394">
        <v>0</v>
      </c>
      <c r="K394">
        <v>7</v>
      </c>
      <c r="L394">
        <v>98.291666669999998</v>
      </c>
      <c r="M394">
        <v>30.315130790000001</v>
      </c>
      <c r="N394">
        <v>5.0803484000000003E-2</v>
      </c>
      <c r="O394">
        <v>0.42866070000000001</v>
      </c>
      <c r="P394">
        <v>98.291666669999998</v>
      </c>
      <c r="Q394">
        <v>30.315130790000001</v>
      </c>
      <c r="R394">
        <v>5.0803484000000003E-2</v>
      </c>
      <c r="S394">
        <v>0.42866070000000001</v>
      </c>
      <c r="T394" t="s">
        <v>1014</v>
      </c>
      <c r="U394">
        <v>0</v>
      </c>
    </row>
    <row r="395" spans="1:21" x14ac:dyDescent="0.25">
      <c r="A395" t="s">
        <v>38</v>
      </c>
      <c r="B395" t="s">
        <v>943</v>
      </c>
      <c r="C395">
        <v>2</v>
      </c>
      <c r="D395" t="s">
        <v>11</v>
      </c>
      <c r="E395" t="s">
        <v>95</v>
      </c>
      <c r="F395" t="s">
        <v>103</v>
      </c>
      <c r="G395" t="s">
        <v>103</v>
      </c>
      <c r="H395" t="s">
        <v>103</v>
      </c>
      <c r="J395">
        <v>0</v>
      </c>
      <c r="K395">
        <v>7</v>
      </c>
      <c r="L395">
        <v>98.291666669999998</v>
      </c>
      <c r="M395">
        <v>30.315130790000001</v>
      </c>
      <c r="N395">
        <v>5.0803484000000003E-2</v>
      </c>
      <c r="O395">
        <v>0.42866070000000001</v>
      </c>
      <c r="P395">
        <v>98.291666669999998</v>
      </c>
      <c r="Q395">
        <v>30.315130790000001</v>
      </c>
      <c r="R395">
        <v>5.0803484000000003E-2</v>
      </c>
      <c r="S395">
        <v>0.42866070000000001</v>
      </c>
      <c r="T395" t="s">
        <v>1014</v>
      </c>
      <c r="U395">
        <v>0</v>
      </c>
    </row>
    <row r="396" spans="1:21" x14ac:dyDescent="0.25">
      <c r="A396" t="s">
        <v>38</v>
      </c>
      <c r="B396" t="s">
        <v>943</v>
      </c>
      <c r="C396">
        <v>2</v>
      </c>
      <c r="D396" t="s">
        <v>11</v>
      </c>
      <c r="E396" t="s">
        <v>95</v>
      </c>
      <c r="F396" t="s">
        <v>103</v>
      </c>
      <c r="G396" t="s">
        <v>103</v>
      </c>
      <c r="H396" t="s">
        <v>113</v>
      </c>
      <c r="J396">
        <v>0</v>
      </c>
      <c r="K396">
        <v>2</v>
      </c>
      <c r="L396">
        <v>98.291666669999998</v>
      </c>
      <c r="M396">
        <v>30.315130790000001</v>
      </c>
      <c r="N396">
        <v>5.0803484000000003E-2</v>
      </c>
      <c r="O396">
        <v>0.42866070000000001</v>
      </c>
      <c r="P396">
        <v>83.757575759999995</v>
      </c>
      <c r="Q396">
        <v>22.60997987</v>
      </c>
      <c r="R396">
        <v>0.72884000000000004</v>
      </c>
      <c r="S396">
        <v>0.21301339999999999</v>
      </c>
      <c r="T396" t="s">
        <v>1014</v>
      </c>
      <c r="U396">
        <v>14.53409091</v>
      </c>
    </row>
    <row r="397" spans="1:21" x14ac:dyDescent="0.25">
      <c r="A397" t="s">
        <v>38</v>
      </c>
      <c r="B397" t="s">
        <v>943</v>
      </c>
      <c r="C397">
        <v>2</v>
      </c>
      <c r="D397" t="s">
        <v>11</v>
      </c>
      <c r="E397" t="s">
        <v>95</v>
      </c>
      <c r="F397" t="s">
        <v>103</v>
      </c>
      <c r="G397" t="s">
        <v>103</v>
      </c>
      <c r="H397" t="s">
        <v>113</v>
      </c>
      <c r="J397">
        <v>0</v>
      </c>
      <c r="K397">
        <v>2</v>
      </c>
      <c r="L397">
        <v>98.291666669999998</v>
      </c>
      <c r="M397">
        <v>30.315130790000001</v>
      </c>
      <c r="N397">
        <v>5.0803484000000003E-2</v>
      </c>
      <c r="O397">
        <v>0.42866070000000001</v>
      </c>
      <c r="P397">
        <v>83.757575759999995</v>
      </c>
      <c r="Q397">
        <v>22.60997987</v>
      </c>
      <c r="R397">
        <v>0.72884000000000004</v>
      </c>
      <c r="S397">
        <v>0.21301339999999999</v>
      </c>
      <c r="T397" t="s">
        <v>1014</v>
      </c>
      <c r="U397">
        <v>14.53409091</v>
      </c>
    </row>
    <row r="398" spans="1:21" x14ac:dyDescent="0.25">
      <c r="A398" t="s">
        <v>38</v>
      </c>
      <c r="B398" t="s">
        <v>944</v>
      </c>
      <c r="C398">
        <v>2</v>
      </c>
      <c r="D398" t="s">
        <v>11</v>
      </c>
      <c r="E398" t="s">
        <v>95</v>
      </c>
      <c r="F398" t="s">
        <v>111</v>
      </c>
      <c r="G398" t="s">
        <v>103</v>
      </c>
      <c r="H398" t="s">
        <v>103</v>
      </c>
      <c r="J398">
        <v>0</v>
      </c>
      <c r="K398">
        <v>2</v>
      </c>
      <c r="L398">
        <v>94.97142857</v>
      </c>
      <c r="M398">
        <v>24.31591813</v>
      </c>
      <c r="N398">
        <v>0.122951111</v>
      </c>
      <c r="O398">
        <v>0.39050790000000002</v>
      </c>
      <c r="P398">
        <v>98.291666669999998</v>
      </c>
      <c r="Q398">
        <v>30.315130790000001</v>
      </c>
      <c r="R398">
        <v>5.0803484000000003E-2</v>
      </c>
      <c r="S398">
        <v>0.42866070000000001</v>
      </c>
      <c r="T398" t="s">
        <v>1014</v>
      </c>
      <c r="U398">
        <v>-3.3202381000000001</v>
      </c>
    </row>
    <row r="399" spans="1:21" x14ac:dyDescent="0.25">
      <c r="A399" t="s">
        <v>38</v>
      </c>
      <c r="B399" t="s">
        <v>944</v>
      </c>
      <c r="C399">
        <v>2</v>
      </c>
      <c r="D399" t="s">
        <v>11</v>
      </c>
      <c r="E399" t="s">
        <v>95</v>
      </c>
      <c r="F399" t="s">
        <v>111</v>
      </c>
      <c r="G399" t="s">
        <v>103</v>
      </c>
      <c r="H399" t="s">
        <v>103</v>
      </c>
      <c r="J399">
        <v>0</v>
      </c>
      <c r="K399">
        <v>2</v>
      </c>
      <c r="L399">
        <v>94.97142857</v>
      </c>
      <c r="M399">
        <v>24.31591813</v>
      </c>
      <c r="N399">
        <v>0.122951111</v>
      </c>
      <c r="O399">
        <v>0.39050790000000002</v>
      </c>
      <c r="P399">
        <v>98.291666669999998</v>
      </c>
      <c r="Q399">
        <v>30.315130790000001</v>
      </c>
      <c r="R399">
        <v>5.0803484000000003E-2</v>
      </c>
      <c r="S399">
        <v>0.42866070000000001</v>
      </c>
      <c r="T399" t="s">
        <v>1014</v>
      </c>
      <c r="U399">
        <v>-3.3202381000000001</v>
      </c>
    </row>
    <row r="400" spans="1:21" x14ac:dyDescent="0.25">
      <c r="A400" t="s">
        <v>39</v>
      </c>
      <c r="B400" t="s">
        <v>945</v>
      </c>
      <c r="C400">
        <v>2</v>
      </c>
      <c r="D400" t="s">
        <v>15</v>
      </c>
      <c r="E400" t="s">
        <v>94</v>
      </c>
      <c r="F400" t="s">
        <v>102</v>
      </c>
      <c r="G400" t="s">
        <v>102</v>
      </c>
      <c r="H400" t="s">
        <v>235</v>
      </c>
      <c r="J400">
        <v>0</v>
      </c>
      <c r="K400">
        <v>1</v>
      </c>
      <c r="L400">
        <v>84.740740740000007</v>
      </c>
      <c r="M400">
        <v>29.167014049999999</v>
      </c>
      <c r="N400">
        <v>1.1169849999999999</v>
      </c>
      <c r="O400">
        <v>1.1571499000000001</v>
      </c>
      <c r="P400">
        <v>132.27272730000001</v>
      </c>
      <c r="Q400">
        <v>20.180448590000001</v>
      </c>
      <c r="R400">
        <v>3.7813451999999997E-2</v>
      </c>
      <c r="S400">
        <v>0.41404401000000002</v>
      </c>
      <c r="T400" t="s">
        <v>1014</v>
      </c>
      <c r="U400">
        <v>-47.53198656</v>
      </c>
    </row>
    <row r="401" spans="1:21" x14ac:dyDescent="0.25">
      <c r="A401" t="s">
        <v>39</v>
      </c>
      <c r="B401" t="s">
        <v>945</v>
      </c>
      <c r="C401">
        <v>2</v>
      </c>
      <c r="D401" t="s">
        <v>15</v>
      </c>
      <c r="E401" t="s">
        <v>94</v>
      </c>
      <c r="F401" t="s">
        <v>102</v>
      </c>
      <c r="G401" t="s">
        <v>102</v>
      </c>
      <c r="H401" t="s">
        <v>113</v>
      </c>
      <c r="J401">
        <v>0</v>
      </c>
      <c r="K401">
        <v>2</v>
      </c>
      <c r="L401">
        <v>84.740740740000007</v>
      </c>
      <c r="M401">
        <v>29.167014049999999</v>
      </c>
      <c r="N401">
        <v>1.1169849999999999</v>
      </c>
      <c r="O401">
        <v>1.1571499000000001</v>
      </c>
      <c r="P401">
        <v>83.757575759999995</v>
      </c>
      <c r="Q401">
        <v>22.60997987</v>
      </c>
      <c r="R401">
        <v>0.72884000000000004</v>
      </c>
      <c r="S401">
        <v>0.21301339999999999</v>
      </c>
      <c r="T401" t="s">
        <v>1014</v>
      </c>
      <c r="U401">
        <v>0.98316497999999997</v>
      </c>
    </row>
    <row r="402" spans="1:21" x14ac:dyDescent="0.25">
      <c r="A402" t="s">
        <v>39</v>
      </c>
      <c r="B402" t="s">
        <v>945</v>
      </c>
      <c r="C402">
        <v>2</v>
      </c>
      <c r="D402" t="s">
        <v>15</v>
      </c>
      <c r="E402" t="s">
        <v>94</v>
      </c>
      <c r="F402" t="s">
        <v>102</v>
      </c>
      <c r="G402" t="s">
        <v>102</v>
      </c>
      <c r="H402" t="s">
        <v>113</v>
      </c>
      <c r="J402">
        <v>0</v>
      </c>
      <c r="K402">
        <v>2</v>
      </c>
      <c r="L402">
        <v>84.740740740000007</v>
      </c>
      <c r="M402">
        <v>29.167014049999999</v>
      </c>
      <c r="N402">
        <v>1.1169849999999999</v>
      </c>
      <c r="O402">
        <v>1.1571499000000001</v>
      </c>
      <c r="P402">
        <v>83.757575759999995</v>
      </c>
      <c r="Q402">
        <v>22.60997987</v>
      </c>
      <c r="R402">
        <v>0.72884000000000004</v>
      </c>
      <c r="S402">
        <v>0.21301339999999999</v>
      </c>
      <c r="T402" t="s">
        <v>1014</v>
      </c>
      <c r="U402">
        <v>0.98316497999999997</v>
      </c>
    </row>
    <row r="403" spans="1:21" x14ac:dyDescent="0.25">
      <c r="A403" t="s">
        <v>39</v>
      </c>
      <c r="B403" t="s">
        <v>945</v>
      </c>
      <c r="C403">
        <v>2</v>
      </c>
      <c r="D403" t="s">
        <v>15</v>
      </c>
      <c r="E403" t="s">
        <v>94</v>
      </c>
      <c r="F403" t="s">
        <v>102</v>
      </c>
      <c r="G403" t="s">
        <v>102</v>
      </c>
      <c r="H403" t="s">
        <v>103</v>
      </c>
      <c r="J403">
        <v>0</v>
      </c>
      <c r="K403">
        <v>3</v>
      </c>
      <c r="L403">
        <v>84.740740740000007</v>
      </c>
      <c r="M403">
        <v>29.167014049999999</v>
      </c>
      <c r="N403">
        <v>1.1169849999999999</v>
      </c>
      <c r="O403">
        <v>1.1571499000000001</v>
      </c>
      <c r="P403">
        <v>98.291666669999998</v>
      </c>
      <c r="Q403">
        <v>30.315130790000001</v>
      </c>
      <c r="R403">
        <v>5.0803484000000003E-2</v>
      </c>
      <c r="S403">
        <v>0.42866070000000001</v>
      </c>
      <c r="T403" t="s">
        <v>1014</v>
      </c>
      <c r="U403">
        <v>-13.55092593</v>
      </c>
    </row>
    <row r="404" spans="1:21" x14ac:dyDescent="0.25">
      <c r="A404" t="s">
        <v>39</v>
      </c>
      <c r="B404" t="s">
        <v>945</v>
      </c>
      <c r="C404">
        <v>2</v>
      </c>
      <c r="D404" t="s">
        <v>15</v>
      </c>
      <c r="E404" t="s">
        <v>94</v>
      </c>
      <c r="F404" t="s">
        <v>102</v>
      </c>
      <c r="G404" t="s">
        <v>102</v>
      </c>
      <c r="H404" t="s">
        <v>103</v>
      </c>
      <c r="J404">
        <v>0</v>
      </c>
      <c r="K404">
        <v>3</v>
      </c>
      <c r="L404">
        <v>84.740740740000007</v>
      </c>
      <c r="M404">
        <v>29.167014049999999</v>
      </c>
      <c r="N404">
        <v>1.1169849999999999</v>
      </c>
      <c r="O404">
        <v>1.1571499000000001</v>
      </c>
      <c r="P404">
        <v>98.291666669999998</v>
      </c>
      <c r="Q404">
        <v>30.315130790000001</v>
      </c>
      <c r="R404">
        <v>5.0803484000000003E-2</v>
      </c>
      <c r="S404">
        <v>0.42866070000000001</v>
      </c>
      <c r="T404" t="s">
        <v>1014</v>
      </c>
      <c r="U404">
        <v>-13.55092593</v>
      </c>
    </row>
    <row r="405" spans="1:21" x14ac:dyDescent="0.25">
      <c r="A405" t="s">
        <v>39</v>
      </c>
      <c r="B405" t="s">
        <v>945</v>
      </c>
      <c r="C405">
        <v>2</v>
      </c>
      <c r="D405" t="s">
        <v>15</v>
      </c>
      <c r="E405" t="s">
        <v>94</v>
      </c>
      <c r="F405" t="s">
        <v>102</v>
      </c>
      <c r="G405" t="s">
        <v>102</v>
      </c>
      <c r="H405" t="s">
        <v>103</v>
      </c>
      <c r="J405">
        <v>0</v>
      </c>
      <c r="K405">
        <v>3</v>
      </c>
      <c r="L405">
        <v>84.740740740000007</v>
      </c>
      <c r="M405">
        <v>29.167014049999999</v>
      </c>
      <c r="N405">
        <v>1.1169849999999999</v>
      </c>
      <c r="O405">
        <v>1.1571499000000001</v>
      </c>
      <c r="P405">
        <v>98.291666669999998</v>
      </c>
      <c r="Q405">
        <v>30.315130790000001</v>
      </c>
      <c r="R405">
        <v>5.0803484000000003E-2</v>
      </c>
      <c r="S405">
        <v>0.42866070000000001</v>
      </c>
      <c r="T405" t="s">
        <v>1014</v>
      </c>
      <c r="U405">
        <v>-13.55092593</v>
      </c>
    </row>
    <row r="406" spans="1:21" x14ac:dyDescent="0.25">
      <c r="A406" t="s">
        <v>39</v>
      </c>
      <c r="B406" t="s">
        <v>945</v>
      </c>
      <c r="C406">
        <v>2</v>
      </c>
      <c r="D406" t="s">
        <v>15</v>
      </c>
      <c r="E406" t="s">
        <v>94</v>
      </c>
      <c r="F406" t="s">
        <v>102</v>
      </c>
      <c r="G406" t="s">
        <v>102</v>
      </c>
      <c r="H406" t="s">
        <v>233</v>
      </c>
      <c r="J406">
        <v>0</v>
      </c>
      <c r="K406">
        <v>1</v>
      </c>
      <c r="L406">
        <v>84.740740740000007</v>
      </c>
      <c r="M406">
        <v>29.167014049999999</v>
      </c>
      <c r="N406">
        <v>1.1169849999999999</v>
      </c>
      <c r="O406">
        <v>1.1571499000000001</v>
      </c>
      <c r="P406">
        <v>106.0540541</v>
      </c>
      <c r="Q406">
        <v>52.690533369999997</v>
      </c>
      <c r="R406">
        <v>7.6058968000000005E-2</v>
      </c>
      <c r="S406">
        <v>0.44888888999999998</v>
      </c>
      <c r="T406" t="s">
        <v>1014</v>
      </c>
      <c r="U406">
        <v>-21.313313359999999</v>
      </c>
    </row>
    <row r="407" spans="1:21" x14ac:dyDescent="0.25">
      <c r="A407" t="s">
        <v>39</v>
      </c>
      <c r="B407" t="s">
        <v>945</v>
      </c>
      <c r="C407">
        <v>2</v>
      </c>
      <c r="D407" t="s">
        <v>15</v>
      </c>
      <c r="E407" t="s">
        <v>94</v>
      </c>
      <c r="F407" t="s">
        <v>102</v>
      </c>
      <c r="G407" t="s">
        <v>102</v>
      </c>
      <c r="H407" t="s">
        <v>104</v>
      </c>
      <c r="J407">
        <v>0</v>
      </c>
      <c r="K407">
        <v>1</v>
      </c>
      <c r="L407">
        <v>84.740740740000007</v>
      </c>
      <c r="M407">
        <v>29.167014049999999</v>
      </c>
      <c r="N407">
        <v>1.1169849999999999</v>
      </c>
      <c r="O407">
        <v>1.1571499000000001</v>
      </c>
      <c r="P407">
        <v>113.9375</v>
      </c>
      <c r="Q407">
        <v>33.375507550000002</v>
      </c>
      <c r="R407">
        <v>2.4262999999999999</v>
      </c>
      <c r="S407">
        <v>0.40692159999999999</v>
      </c>
      <c r="T407" t="s">
        <v>1014</v>
      </c>
      <c r="U407">
        <v>-29.19675926</v>
      </c>
    </row>
    <row r="408" spans="1:21" x14ac:dyDescent="0.25">
      <c r="A408" t="s">
        <v>39</v>
      </c>
      <c r="B408" t="s">
        <v>946</v>
      </c>
      <c r="C408">
        <v>2</v>
      </c>
      <c r="D408" t="s">
        <v>15</v>
      </c>
      <c r="E408" t="s">
        <v>94</v>
      </c>
      <c r="F408" t="s">
        <v>113</v>
      </c>
      <c r="G408" t="s">
        <v>113</v>
      </c>
      <c r="H408" t="s">
        <v>113</v>
      </c>
      <c r="J408">
        <v>0</v>
      </c>
      <c r="K408">
        <v>5</v>
      </c>
      <c r="L408">
        <v>83.757575759999995</v>
      </c>
      <c r="M408">
        <v>22.60997987</v>
      </c>
      <c r="N408">
        <v>0.72884000000000004</v>
      </c>
      <c r="O408">
        <v>0.21301339999999999</v>
      </c>
      <c r="P408">
        <v>83.757575759999995</v>
      </c>
      <c r="Q408">
        <v>22.60997987</v>
      </c>
      <c r="R408">
        <v>0.72884000000000004</v>
      </c>
      <c r="S408">
        <v>0.21301339999999999</v>
      </c>
      <c r="T408" t="s">
        <v>1014</v>
      </c>
      <c r="U408">
        <v>0</v>
      </c>
    </row>
    <row r="409" spans="1:21" x14ac:dyDescent="0.25">
      <c r="A409" t="s">
        <v>39</v>
      </c>
      <c r="B409" t="s">
        <v>946</v>
      </c>
      <c r="C409">
        <v>2</v>
      </c>
      <c r="D409" t="s">
        <v>15</v>
      </c>
      <c r="E409" t="s">
        <v>94</v>
      </c>
      <c r="F409" t="s">
        <v>113</v>
      </c>
      <c r="G409" t="s">
        <v>113</v>
      </c>
      <c r="H409" t="s">
        <v>113</v>
      </c>
      <c r="J409">
        <v>0</v>
      </c>
      <c r="K409">
        <v>5</v>
      </c>
      <c r="L409">
        <v>83.757575759999995</v>
      </c>
      <c r="M409">
        <v>22.60997987</v>
      </c>
      <c r="N409">
        <v>0.72884000000000004</v>
      </c>
      <c r="O409">
        <v>0.21301339999999999</v>
      </c>
      <c r="P409">
        <v>83.757575759999995</v>
      </c>
      <c r="Q409">
        <v>22.60997987</v>
      </c>
      <c r="R409">
        <v>0.72884000000000004</v>
      </c>
      <c r="S409">
        <v>0.21301339999999999</v>
      </c>
      <c r="T409" t="s">
        <v>1014</v>
      </c>
      <c r="U409">
        <v>0</v>
      </c>
    </row>
    <row r="410" spans="1:21" x14ac:dyDescent="0.25">
      <c r="A410" t="s">
        <v>39</v>
      </c>
      <c r="B410" t="s">
        <v>946</v>
      </c>
      <c r="C410">
        <v>2</v>
      </c>
      <c r="D410" t="s">
        <v>15</v>
      </c>
      <c r="E410" t="s">
        <v>94</v>
      </c>
      <c r="F410" t="s">
        <v>113</v>
      </c>
      <c r="G410" t="s">
        <v>113</v>
      </c>
      <c r="H410" t="s">
        <v>113</v>
      </c>
      <c r="J410">
        <v>0</v>
      </c>
      <c r="K410">
        <v>5</v>
      </c>
      <c r="L410">
        <v>83.757575759999995</v>
      </c>
      <c r="M410">
        <v>22.60997987</v>
      </c>
      <c r="N410">
        <v>0.72884000000000004</v>
      </c>
      <c r="O410">
        <v>0.21301339999999999</v>
      </c>
      <c r="P410">
        <v>83.757575759999995</v>
      </c>
      <c r="Q410">
        <v>22.60997987</v>
      </c>
      <c r="R410">
        <v>0.72884000000000004</v>
      </c>
      <c r="S410">
        <v>0.21301339999999999</v>
      </c>
      <c r="T410" t="s">
        <v>1014</v>
      </c>
      <c r="U410">
        <v>0</v>
      </c>
    </row>
    <row r="411" spans="1:21" x14ac:dyDescent="0.25">
      <c r="A411" t="s">
        <v>39</v>
      </c>
      <c r="B411" t="s">
        <v>946</v>
      </c>
      <c r="C411">
        <v>2</v>
      </c>
      <c r="D411" t="s">
        <v>15</v>
      </c>
      <c r="E411" t="s">
        <v>94</v>
      </c>
      <c r="F411" t="s">
        <v>113</v>
      </c>
      <c r="G411" t="s">
        <v>113</v>
      </c>
      <c r="H411" t="s">
        <v>113</v>
      </c>
      <c r="J411">
        <v>0</v>
      </c>
      <c r="K411">
        <v>5</v>
      </c>
      <c r="L411">
        <v>83.757575759999995</v>
      </c>
      <c r="M411">
        <v>22.60997987</v>
      </c>
      <c r="N411">
        <v>0.72884000000000004</v>
      </c>
      <c r="O411">
        <v>0.21301339999999999</v>
      </c>
      <c r="P411">
        <v>83.757575759999995</v>
      </c>
      <c r="Q411">
        <v>22.60997987</v>
      </c>
      <c r="R411">
        <v>0.72884000000000004</v>
      </c>
      <c r="S411">
        <v>0.21301339999999999</v>
      </c>
      <c r="T411" t="s">
        <v>1014</v>
      </c>
      <c r="U411">
        <v>0</v>
      </c>
    </row>
    <row r="412" spans="1:21" x14ac:dyDescent="0.25">
      <c r="A412" t="s">
        <v>39</v>
      </c>
      <c r="B412" t="s">
        <v>946</v>
      </c>
      <c r="C412">
        <v>2</v>
      </c>
      <c r="D412" t="s">
        <v>15</v>
      </c>
      <c r="E412" t="s">
        <v>94</v>
      </c>
      <c r="F412" t="s">
        <v>113</v>
      </c>
      <c r="G412" t="s">
        <v>113</v>
      </c>
      <c r="H412" t="s">
        <v>113</v>
      </c>
      <c r="J412">
        <v>0</v>
      </c>
      <c r="K412">
        <v>5</v>
      </c>
      <c r="L412">
        <v>83.757575759999995</v>
      </c>
      <c r="M412">
        <v>22.60997987</v>
      </c>
      <c r="N412">
        <v>0.72884000000000004</v>
      </c>
      <c r="O412">
        <v>0.21301339999999999</v>
      </c>
      <c r="P412">
        <v>83.757575759999995</v>
      </c>
      <c r="Q412">
        <v>22.60997987</v>
      </c>
      <c r="R412">
        <v>0.72884000000000004</v>
      </c>
      <c r="S412">
        <v>0.21301339999999999</v>
      </c>
      <c r="T412" t="s">
        <v>1014</v>
      </c>
      <c r="U412">
        <v>0</v>
      </c>
    </row>
    <row r="413" spans="1:21" x14ac:dyDescent="0.25">
      <c r="A413" t="s">
        <v>39</v>
      </c>
      <c r="B413" t="s">
        <v>946</v>
      </c>
      <c r="C413">
        <v>2</v>
      </c>
      <c r="D413" t="s">
        <v>15</v>
      </c>
      <c r="E413" t="s">
        <v>94</v>
      </c>
      <c r="F413" t="s">
        <v>113</v>
      </c>
      <c r="G413" t="s">
        <v>113</v>
      </c>
      <c r="H413" t="s">
        <v>233</v>
      </c>
      <c r="J413">
        <v>0</v>
      </c>
      <c r="K413">
        <v>4</v>
      </c>
      <c r="L413">
        <v>83.757575759999995</v>
      </c>
      <c r="M413">
        <v>22.60997987</v>
      </c>
      <c r="N413">
        <v>0.72884000000000004</v>
      </c>
      <c r="O413">
        <v>0.21301339999999999</v>
      </c>
      <c r="P413">
        <v>106.0540541</v>
      </c>
      <c r="Q413">
        <v>52.690533369999997</v>
      </c>
      <c r="R413">
        <v>7.6058968000000005E-2</v>
      </c>
      <c r="S413">
        <v>0.44888888999999998</v>
      </c>
      <c r="T413" t="s">
        <v>1014</v>
      </c>
      <c r="U413">
        <v>-22.29647834</v>
      </c>
    </row>
    <row r="414" spans="1:21" x14ac:dyDescent="0.25">
      <c r="A414" t="s">
        <v>39</v>
      </c>
      <c r="B414" t="s">
        <v>946</v>
      </c>
      <c r="C414">
        <v>2</v>
      </c>
      <c r="D414" t="s">
        <v>15</v>
      </c>
      <c r="E414" t="s">
        <v>94</v>
      </c>
      <c r="F414" t="s">
        <v>113</v>
      </c>
      <c r="G414" t="s">
        <v>113</v>
      </c>
      <c r="H414" t="s">
        <v>233</v>
      </c>
      <c r="J414">
        <v>0</v>
      </c>
      <c r="K414">
        <v>4</v>
      </c>
      <c r="L414">
        <v>83.757575759999995</v>
      </c>
      <c r="M414">
        <v>22.60997987</v>
      </c>
      <c r="N414">
        <v>0.72884000000000004</v>
      </c>
      <c r="O414">
        <v>0.21301339999999999</v>
      </c>
      <c r="P414">
        <v>106.0540541</v>
      </c>
      <c r="Q414">
        <v>52.690533369999997</v>
      </c>
      <c r="R414">
        <v>7.6058968000000005E-2</v>
      </c>
      <c r="S414">
        <v>0.44888888999999998</v>
      </c>
      <c r="T414" t="s">
        <v>1014</v>
      </c>
      <c r="U414">
        <v>-22.29647834</v>
      </c>
    </row>
    <row r="415" spans="1:21" x14ac:dyDescent="0.25">
      <c r="A415" t="s">
        <v>39</v>
      </c>
      <c r="B415" t="s">
        <v>946</v>
      </c>
      <c r="C415">
        <v>2</v>
      </c>
      <c r="D415" t="s">
        <v>15</v>
      </c>
      <c r="E415" t="s">
        <v>94</v>
      </c>
      <c r="F415" t="s">
        <v>113</v>
      </c>
      <c r="G415" t="s">
        <v>113</v>
      </c>
      <c r="H415" t="s">
        <v>233</v>
      </c>
      <c r="J415">
        <v>0</v>
      </c>
      <c r="K415">
        <v>4</v>
      </c>
      <c r="L415">
        <v>83.757575759999995</v>
      </c>
      <c r="M415">
        <v>22.60997987</v>
      </c>
      <c r="N415">
        <v>0.72884000000000004</v>
      </c>
      <c r="O415">
        <v>0.21301339999999999</v>
      </c>
      <c r="P415">
        <v>106.0540541</v>
      </c>
      <c r="Q415">
        <v>52.690533369999997</v>
      </c>
      <c r="R415">
        <v>7.6058968000000005E-2</v>
      </c>
      <c r="S415">
        <v>0.44888888999999998</v>
      </c>
      <c r="T415" t="s">
        <v>1014</v>
      </c>
      <c r="U415">
        <v>-22.29647834</v>
      </c>
    </row>
    <row r="416" spans="1:21" x14ac:dyDescent="0.25">
      <c r="A416" t="s">
        <v>39</v>
      </c>
      <c r="B416" t="s">
        <v>946</v>
      </c>
      <c r="C416">
        <v>2</v>
      </c>
      <c r="D416" t="s">
        <v>15</v>
      </c>
      <c r="E416" t="s">
        <v>94</v>
      </c>
      <c r="F416" t="s">
        <v>113</v>
      </c>
      <c r="G416" t="s">
        <v>113</v>
      </c>
      <c r="H416" t="s">
        <v>233</v>
      </c>
      <c r="J416">
        <v>0</v>
      </c>
      <c r="K416">
        <v>4</v>
      </c>
      <c r="L416">
        <v>83.757575759999995</v>
      </c>
      <c r="M416">
        <v>22.60997987</v>
      </c>
      <c r="N416">
        <v>0.72884000000000004</v>
      </c>
      <c r="O416">
        <v>0.21301339999999999</v>
      </c>
      <c r="P416">
        <v>106.0540541</v>
      </c>
      <c r="Q416">
        <v>52.690533369999997</v>
      </c>
      <c r="R416">
        <v>7.6058968000000005E-2</v>
      </c>
      <c r="S416">
        <v>0.44888888999999998</v>
      </c>
      <c r="T416" t="s">
        <v>1014</v>
      </c>
      <c r="U416">
        <v>-22.29647834</v>
      </c>
    </row>
    <row r="417" spans="1:21" x14ac:dyDescent="0.25">
      <c r="A417" t="s">
        <v>39</v>
      </c>
      <c r="B417" t="s">
        <v>946</v>
      </c>
      <c r="C417">
        <v>2</v>
      </c>
      <c r="D417" t="s">
        <v>15</v>
      </c>
      <c r="E417" t="s">
        <v>94</v>
      </c>
      <c r="F417" t="s">
        <v>113</v>
      </c>
      <c r="G417" t="s">
        <v>113</v>
      </c>
      <c r="H417" t="s">
        <v>234</v>
      </c>
      <c r="J417">
        <v>0</v>
      </c>
      <c r="K417">
        <v>1</v>
      </c>
      <c r="L417">
        <v>83.757575759999995</v>
      </c>
      <c r="M417">
        <v>22.60997987</v>
      </c>
      <c r="N417">
        <v>0.72884000000000004</v>
      </c>
      <c r="O417">
        <v>0.21301339999999999</v>
      </c>
      <c r="P417">
        <v>89.8125</v>
      </c>
      <c r="Q417">
        <v>34.754706650000003</v>
      </c>
      <c r="R417">
        <v>2.3065078999999999E-2</v>
      </c>
      <c r="S417">
        <v>2.4791666700000001</v>
      </c>
      <c r="T417" t="s">
        <v>1014</v>
      </c>
      <c r="U417">
        <v>-6.0549242400000001</v>
      </c>
    </row>
    <row r="418" spans="1:21" x14ac:dyDescent="0.25">
      <c r="A418" t="s">
        <v>39</v>
      </c>
      <c r="B418" t="s">
        <v>947</v>
      </c>
      <c r="C418">
        <v>2</v>
      </c>
      <c r="D418" t="s">
        <v>15</v>
      </c>
      <c r="E418" t="s">
        <v>94</v>
      </c>
      <c r="F418" t="s">
        <v>103</v>
      </c>
      <c r="G418" t="s">
        <v>103</v>
      </c>
      <c r="H418" t="s">
        <v>103</v>
      </c>
      <c r="J418">
        <v>0</v>
      </c>
      <c r="K418">
        <v>3</v>
      </c>
      <c r="L418">
        <v>98.291666669999998</v>
      </c>
      <c r="M418">
        <v>30.315130790000001</v>
      </c>
      <c r="N418">
        <v>5.0803484000000003E-2</v>
      </c>
      <c r="O418">
        <v>0.42866070000000001</v>
      </c>
      <c r="P418">
        <v>98.291666669999998</v>
      </c>
      <c r="Q418">
        <v>30.315130790000001</v>
      </c>
      <c r="R418">
        <v>5.0803484000000003E-2</v>
      </c>
      <c r="S418">
        <v>0.42866070000000001</v>
      </c>
      <c r="T418" t="s">
        <v>1014</v>
      </c>
      <c r="U418">
        <v>0</v>
      </c>
    </row>
    <row r="419" spans="1:21" x14ac:dyDescent="0.25">
      <c r="A419" t="s">
        <v>39</v>
      </c>
      <c r="B419" t="s">
        <v>947</v>
      </c>
      <c r="C419">
        <v>2</v>
      </c>
      <c r="D419" t="s">
        <v>15</v>
      </c>
      <c r="E419" t="s">
        <v>94</v>
      </c>
      <c r="F419" t="s">
        <v>103</v>
      </c>
      <c r="G419" t="s">
        <v>103</v>
      </c>
      <c r="H419" t="s">
        <v>103</v>
      </c>
      <c r="J419">
        <v>0</v>
      </c>
      <c r="K419">
        <v>3</v>
      </c>
      <c r="L419">
        <v>98.291666669999998</v>
      </c>
      <c r="M419">
        <v>30.315130790000001</v>
      </c>
      <c r="N419">
        <v>5.0803484000000003E-2</v>
      </c>
      <c r="O419">
        <v>0.42866070000000001</v>
      </c>
      <c r="P419">
        <v>98.291666669999998</v>
      </c>
      <c r="Q419">
        <v>30.315130790000001</v>
      </c>
      <c r="R419">
        <v>5.0803484000000003E-2</v>
      </c>
      <c r="S419">
        <v>0.42866070000000001</v>
      </c>
      <c r="T419" t="s">
        <v>1014</v>
      </c>
      <c r="U419">
        <v>0</v>
      </c>
    </row>
    <row r="420" spans="1:21" x14ac:dyDescent="0.25">
      <c r="A420" t="s">
        <v>39</v>
      </c>
      <c r="B420" t="s">
        <v>947</v>
      </c>
      <c r="C420">
        <v>2</v>
      </c>
      <c r="D420" t="s">
        <v>15</v>
      </c>
      <c r="E420" t="s">
        <v>94</v>
      </c>
      <c r="F420" t="s">
        <v>103</v>
      </c>
      <c r="G420" t="s">
        <v>103</v>
      </c>
      <c r="H420" t="s">
        <v>103</v>
      </c>
      <c r="J420">
        <v>0</v>
      </c>
      <c r="K420">
        <v>3</v>
      </c>
      <c r="L420">
        <v>98.291666669999998</v>
      </c>
      <c r="M420">
        <v>30.315130790000001</v>
      </c>
      <c r="N420">
        <v>5.0803484000000003E-2</v>
      </c>
      <c r="O420">
        <v>0.42866070000000001</v>
      </c>
      <c r="P420">
        <v>98.291666669999998</v>
      </c>
      <c r="Q420">
        <v>30.315130790000001</v>
      </c>
      <c r="R420">
        <v>5.0803484000000003E-2</v>
      </c>
      <c r="S420">
        <v>0.42866070000000001</v>
      </c>
      <c r="T420" t="s">
        <v>1014</v>
      </c>
      <c r="U420">
        <v>0</v>
      </c>
    </row>
    <row r="421" spans="1:21" x14ac:dyDescent="0.25">
      <c r="A421" t="s">
        <v>39</v>
      </c>
      <c r="B421" t="s">
        <v>947</v>
      </c>
      <c r="C421">
        <v>2</v>
      </c>
      <c r="D421" t="s">
        <v>15</v>
      </c>
      <c r="E421" t="s">
        <v>94</v>
      </c>
      <c r="F421" t="s">
        <v>103</v>
      </c>
      <c r="G421" t="s">
        <v>103</v>
      </c>
      <c r="H421" t="s">
        <v>104</v>
      </c>
      <c r="J421">
        <v>0</v>
      </c>
      <c r="K421">
        <v>1</v>
      </c>
      <c r="L421">
        <v>98.291666669999998</v>
      </c>
      <c r="M421">
        <v>30.315130790000001</v>
      </c>
      <c r="N421">
        <v>5.0803484000000003E-2</v>
      </c>
      <c r="O421">
        <v>0.42866070000000001</v>
      </c>
      <c r="P421">
        <v>113.9375</v>
      </c>
      <c r="Q421">
        <v>33.375507550000002</v>
      </c>
      <c r="R421">
        <v>2.4262999999999999</v>
      </c>
      <c r="S421">
        <v>0.40692159999999999</v>
      </c>
      <c r="T421" t="s">
        <v>1014</v>
      </c>
      <c r="U421">
        <v>-15.64583333</v>
      </c>
    </row>
    <row r="422" spans="1:21" x14ac:dyDescent="0.25">
      <c r="A422" t="s">
        <v>39</v>
      </c>
      <c r="B422" t="s">
        <v>947</v>
      </c>
      <c r="C422">
        <v>2</v>
      </c>
      <c r="D422" t="s">
        <v>15</v>
      </c>
      <c r="E422" t="s">
        <v>94</v>
      </c>
      <c r="F422" t="s">
        <v>103</v>
      </c>
      <c r="G422" t="s">
        <v>103</v>
      </c>
      <c r="H422" t="s">
        <v>113</v>
      </c>
      <c r="J422">
        <v>0</v>
      </c>
      <c r="K422">
        <v>4</v>
      </c>
      <c r="L422">
        <v>98.291666669999998</v>
      </c>
      <c r="M422">
        <v>30.315130790000001</v>
      </c>
      <c r="N422">
        <v>5.0803484000000003E-2</v>
      </c>
      <c r="O422">
        <v>0.42866070000000001</v>
      </c>
      <c r="P422">
        <v>83.757575759999995</v>
      </c>
      <c r="Q422">
        <v>22.60997987</v>
      </c>
      <c r="R422">
        <v>0.72884000000000004</v>
      </c>
      <c r="S422">
        <v>0.21301339999999999</v>
      </c>
      <c r="T422" t="s">
        <v>1014</v>
      </c>
      <c r="U422">
        <v>14.53409091</v>
      </c>
    </row>
    <row r="423" spans="1:21" x14ac:dyDescent="0.25">
      <c r="A423" t="s">
        <v>39</v>
      </c>
      <c r="B423" t="s">
        <v>947</v>
      </c>
      <c r="C423">
        <v>2</v>
      </c>
      <c r="D423" t="s">
        <v>15</v>
      </c>
      <c r="E423" t="s">
        <v>94</v>
      </c>
      <c r="F423" t="s">
        <v>103</v>
      </c>
      <c r="G423" t="s">
        <v>103</v>
      </c>
      <c r="H423" t="s">
        <v>113</v>
      </c>
      <c r="J423">
        <v>0</v>
      </c>
      <c r="K423">
        <v>4</v>
      </c>
      <c r="L423">
        <v>98.291666669999998</v>
      </c>
      <c r="M423">
        <v>30.315130790000001</v>
      </c>
      <c r="N423">
        <v>5.0803484000000003E-2</v>
      </c>
      <c r="O423">
        <v>0.42866070000000001</v>
      </c>
      <c r="P423">
        <v>83.757575759999995</v>
      </c>
      <c r="Q423">
        <v>22.60997987</v>
      </c>
      <c r="R423">
        <v>0.72884000000000004</v>
      </c>
      <c r="S423">
        <v>0.21301339999999999</v>
      </c>
      <c r="T423" t="s">
        <v>1014</v>
      </c>
      <c r="U423">
        <v>14.53409091</v>
      </c>
    </row>
    <row r="424" spans="1:21" x14ac:dyDescent="0.25">
      <c r="A424" t="s">
        <v>39</v>
      </c>
      <c r="B424" t="s">
        <v>947</v>
      </c>
      <c r="C424">
        <v>2</v>
      </c>
      <c r="D424" t="s">
        <v>15</v>
      </c>
      <c r="E424" t="s">
        <v>94</v>
      </c>
      <c r="F424" t="s">
        <v>103</v>
      </c>
      <c r="G424" t="s">
        <v>103</v>
      </c>
      <c r="H424" t="s">
        <v>113</v>
      </c>
      <c r="J424">
        <v>0</v>
      </c>
      <c r="K424">
        <v>4</v>
      </c>
      <c r="L424">
        <v>98.291666669999998</v>
      </c>
      <c r="M424">
        <v>30.315130790000001</v>
      </c>
      <c r="N424">
        <v>5.0803484000000003E-2</v>
      </c>
      <c r="O424">
        <v>0.42866070000000001</v>
      </c>
      <c r="P424">
        <v>83.757575759999995</v>
      </c>
      <c r="Q424">
        <v>22.60997987</v>
      </c>
      <c r="R424">
        <v>0.72884000000000004</v>
      </c>
      <c r="S424">
        <v>0.21301339999999999</v>
      </c>
      <c r="T424" t="s">
        <v>1014</v>
      </c>
      <c r="U424">
        <v>14.53409091</v>
      </c>
    </row>
    <row r="425" spans="1:21" x14ac:dyDescent="0.25">
      <c r="A425" t="s">
        <v>39</v>
      </c>
      <c r="B425" t="s">
        <v>947</v>
      </c>
      <c r="C425">
        <v>2</v>
      </c>
      <c r="D425" t="s">
        <v>15</v>
      </c>
      <c r="E425" t="s">
        <v>94</v>
      </c>
      <c r="F425" t="s">
        <v>103</v>
      </c>
      <c r="G425" t="s">
        <v>103</v>
      </c>
      <c r="H425" t="s">
        <v>113</v>
      </c>
      <c r="J425">
        <v>0</v>
      </c>
      <c r="K425">
        <v>4</v>
      </c>
      <c r="L425">
        <v>98.291666669999998</v>
      </c>
      <c r="M425">
        <v>30.315130790000001</v>
      </c>
      <c r="N425">
        <v>5.0803484000000003E-2</v>
      </c>
      <c r="O425">
        <v>0.42866070000000001</v>
      </c>
      <c r="P425">
        <v>83.757575759999995</v>
      </c>
      <c r="Q425">
        <v>22.60997987</v>
      </c>
      <c r="R425">
        <v>0.72884000000000004</v>
      </c>
      <c r="S425">
        <v>0.21301339999999999</v>
      </c>
      <c r="T425" t="s">
        <v>1014</v>
      </c>
      <c r="U425">
        <v>14.53409091</v>
      </c>
    </row>
    <row r="426" spans="1:21" x14ac:dyDescent="0.25">
      <c r="A426" t="s">
        <v>39</v>
      </c>
      <c r="B426" t="s">
        <v>948</v>
      </c>
      <c r="C426">
        <v>2</v>
      </c>
      <c r="D426" t="s">
        <v>15</v>
      </c>
      <c r="E426" t="s">
        <v>94</v>
      </c>
      <c r="F426" t="s">
        <v>111</v>
      </c>
      <c r="G426" t="s">
        <v>104</v>
      </c>
      <c r="H426" t="s">
        <v>236</v>
      </c>
      <c r="J426">
        <v>0</v>
      </c>
      <c r="K426">
        <v>1</v>
      </c>
      <c r="L426">
        <v>94.97142857</v>
      </c>
      <c r="M426">
        <v>24.31591813</v>
      </c>
      <c r="N426">
        <v>0.122951111</v>
      </c>
      <c r="O426">
        <v>0.39050790000000002</v>
      </c>
      <c r="P426">
        <v>113.33333330000001</v>
      </c>
      <c r="Q426">
        <v>26.41632581</v>
      </c>
      <c r="R426">
        <v>1.6844570160000001</v>
      </c>
      <c r="S426">
        <v>8.9285710000000004E-2</v>
      </c>
      <c r="T426" t="s">
        <v>1014</v>
      </c>
      <c r="U426">
        <v>-18.361904729999999</v>
      </c>
    </row>
    <row r="427" spans="1:21" x14ac:dyDescent="0.25">
      <c r="A427" t="s">
        <v>39</v>
      </c>
      <c r="B427" t="s">
        <v>948</v>
      </c>
      <c r="C427">
        <v>2</v>
      </c>
      <c r="D427" t="s">
        <v>15</v>
      </c>
      <c r="E427" t="s">
        <v>94</v>
      </c>
      <c r="F427" t="s">
        <v>111</v>
      </c>
      <c r="G427" t="s">
        <v>104</v>
      </c>
      <c r="H427" t="s">
        <v>103</v>
      </c>
      <c r="J427">
        <v>0</v>
      </c>
      <c r="K427">
        <v>1</v>
      </c>
      <c r="L427">
        <v>94.97142857</v>
      </c>
      <c r="M427">
        <v>24.31591813</v>
      </c>
      <c r="N427">
        <v>0.122951111</v>
      </c>
      <c r="O427">
        <v>0.39050790000000002</v>
      </c>
      <c r="P427">
        <v>98.291666669999998</v>
      </c>
      <c r="Q427">
        <v>30.315130790000001</v>
      </c>
      <c r="R427">
        <v>5.0803484000000003E-2</v>
      </c>
      <c r="S427">
        <v>0.42866070000000001</v>
      </c>
      <c r="T427" t="s">
        <v>1014</v>
      </c>
      <c r="U427">
        <v>-3.3202381000000001</v>
      </c>
    </row>
    <row r="428" spans="1:21" x14ac:dyDescent="0.25">
      <c r="A428" t="s">
        <v>39</v>
      </c>
      <c r="B428" t="s">
        <v>948</v>
      </c>
      <c r="C428">
        <v>2</v>
      </c>
      <c r="D428" t="s">
        <v>15</v>
      </c>
      <c r="E428" t="s">
        <v>94</v>
      </c>
      <c r="F428" t="s">
        <v>111</v>
      </c>
      <c r="G428" t="s">
        <v>104</v>
      </c>
      <c r="H428" t="s">
        <v>104</v>
      </c>
      <c r="J428">
        <v>0</v>
      </c>
      <c r="K428">
        <v>1</v>
      </c>
      <c r="L428">
        <v>94.97142857</v>
      </c>
      <c r="M428">
        <v>24.31591813</v>
      </c>
      <c r="N428">
        <v>0.122951111</v>
      </c>
      <c r="O428">
        <v>0.39050790000000002</v>
      </c>
      <c r="P428">
        <v>113.9375</v>
      </c>
      <c r="Q428">
        <v>33.375507550000002</v>
      </c>
      <c r="R428">
        <v>2.4262999999999999</v>
      </c>
      <c r="S428">
        <v>0.40692159999999999</v>
      </c>
      <c r="T428" t="s">
        <v>1014</v>
      </c>
      <c r="U428">
        <v>-18.96607143</v>
      </c>
    </row>
    <row r="429" spans="1:21" x14ac:dyDescent="0.25">
      <c r="A429" t="s">
        <v>39</v>
      </c>
      <c r="B429" t="s">
        <v>949</v>
      </c>
      <c r="C429">
        <v>2</v>
      </c>
      <c r="D429" t="s">
        <v>15</v>
      </c>
      <c r="E429" t="s">
        <v>94</v>
      </c>
      <c r="F429" t="s">
        <v>104</v>
      </c>
      <c r="G429" t="s">
        <v>104</v>
      </c>
      <c r="H429" t="s">
        <v>104</v>
      </c>
      <c r="J429">
        <v>0</v>
      </c>
      <c r="K429">
        <v>3</v>
      </c>
      <c r="L429">
        <v>113.9375</v>
      </c>
      <c r="M429">
        <v>33.375507550000002</v>
      </c>
      <c r="N429">
        <v>2.4262999999999999</v>
      </c>
      <c r="O429">
        <v>0.40692159999999999</v>
      </c>
      <c r="P429">
        <v>113.9375</v>
      </c>
      <c r="Q429">
        <v>33.375507550000002</v>
      </c>
      <c r="R429">
        <v>2.4262999999999999</v>
      </c>
      <c r="S429">
        <v>0.40692159999999999</v>
      </c>
      <c r="T429" t="s">
        <v>1014</v>
      </c>
      <c r="U429">
        <v>0</v>
      </c>
    </row>
    <row r="430" spans="1:21" x14ac:dyDescent="0.25">
      <c r="A430" t="s">
        <v>39</v>
      </c>
      <c r="B430" t="s">
        <v>949</v>
      </c>
      <c r="C430">
        <v>2</v>
      </c>
      <c r="D430" t="s">
        <v>15</v>
      </c>
      <c r="E430" t="s">
        <v>94</v>
      </c>
      <c r="F430" t="s">
        <v>104</v>
      </c>
      <c r="G430" t="s">
        <v>104</v>
      </c>
      <c r="H430" t="s">
        <v>104</v>
      </c>
      <c r="J430">
        <v>0</v>
      </c>
      <c r="K430">
        <v>3</v>
      </c>
      <c r="L430">
        <v>113.9375</v>
      </c>
      <c r="M430">
        <v>33.375507550000002</v>
      </c>
      <c r="N430">
        <v>2.4262999999999999</v>
      </c>
      <c r="O430">
        <v>0.40692159999999999</v>
      </c>
      <c r="P430">
        <v>113.9375</v>
      </c>
      <c r="Q430">
        <v>33.375507550000002</v>
      </c>
      <c r="R430">
        <v>2.4262999999999999</v>
      </c>
      <c r="S430">
        <v>0.40692159999999999</v>
      </c>
      <c r="T430" t="s">
        <v>1014</v>
      </c>
      <c r="U430">
        <v>0</v>
      </c>
    </row>
    <row r="431" spans="1:21" x14ac:dyDescent="0.25">
      <c r="A431" t="s">
        <v>39</v>
      </c>
      <c r="B431" t="s">
        <v>949</v>
      </c>
      <c r="C431">
        <v>2</v>
      </c>
      <c r="D431" t="s">
        <v>15</v>
      </c>
      <c r="E431" t="s">
        <v>94</v>
      </c>
      <c r="F431" t="s">
        <v>104</v>
      </c>
      <c r="G431" t="s">
        <v>104</v>
      </c>
      <c r="H431" t="s">
        <v>104</v>
      </c>
      <c r="J431">
        <v>0</v>
      </c>
      <c r="K431">
        <v>3</v>
      </c>
      <c r="L431">
        <v>113.9375</v>
      </c>
      <c r="M431">
        <v>33.375507550000002</v>
      </c>
      <c r="N431">
        <v>2.4262999999999999</v>
      </c>
      <c r="O431">
        <v>0.40692159999999999</v>
      </c>
      <c r="P431">
        <v>113.9375</v>
      </c>
      <c r="Q431">
        <v>33.375507550000002</v>
      </c>
      <c r="R431">
        <v>2.4262999999999999</v>
      </c>
      <c r="S431">
        <v>0.40692159999999999</v>
      </c>
      <c r="T431" t="s">
        <v>1014</v>
      </c>
      <c r="U431">
        <v>0</v>
      </c>
    </row>
    <row r="432" spans="1:21" x14ac:dyDescent="0.25">
      <c r="A432" t="s">
        <v>39</v>
      </c>
      <c r="B432" t="s">
        <v>949</v>
      </c>
      <c r="C432">
        <v>2</v>
      </c>
      <c r="D432" t="s">
        <v>15</v>
      </c>
      <c r="E432" t="s">
        <v>94</v>
      </c>
      <c r="F432" t="s">
        <v>104</v>
      </c>
      <c r="G432" t="s">
        <v>104</v>
      </c>
      <c r="H432" t="s">
        <v>113</v>
      </c>
      <c r="J432">
        <v>0</v>
      </c>
      <c r="K432">
        <v>1</v>
      </c>
      <c r="L432">
        <v>113.9375</v>
      </c>
      <c r="M432">
        <v>33.375507550000002</v>
      </c>
      <c r="N432">
        <v>2.4262999999999999</v>
      </c>
      <c r="O432">
        <v>0.40692159999999999</v>
      </c>
      <c r="P432">
        <v>83.757575759999995</v>
      </c>
      <c r="Q432">
        <v>22.60997987</v>
      </c>
      <c r="R432">
        <v>0.72884000000000004</v>
      </c>
      <c r="S432">
        <v>0.21301339999999999</v>
      </c>
      <c r="T432" t="s">
        <v>1014</v>
      </c>
      <c r="U432">
        <v>30.179924239999998</v>
      </c>
    </row>
    <row r="433" spans="1:21" x14ac:dyDescent="0.25">
      <c r="A433" t="s">
        <v>40</v>
      </c>
      <c r="B433" t="s">
        <v>950</v>
      </c>
      <c r="C433">
        <v>2</v>
      </c>
      <c r="D433" t="s">
        <v>17</v>
      </c>
      <c r="E433" t="s">
        <v>95</v>
      </c>
      <c r="F433" t="s">
        <v>113</v>
      </c>
      <c r="G433" t="s">
        <v>113</v>
      </c>
      <c r="H433" t="s">
        <v>113</v>
      </c>
      <c r="J433">
        <v>0</v>
      </c>
      <c r="K433">
        <v>1</v>
      </c>
      <c r="L433">
        <v>83.757575759999995</v>
      </c>
      <c r="M433">
        <v>22.60997987</v>
      </c>
      <c r="N433">
        <v>0.72884000000000004</v>
      </c>
      <c r="O433">
        <v>0.21301339999999999</v>
      </c>
      <c r="P433">
        <v>83.757575759999995</v>
      </c>
      <c r="Q433">
        <v>22.60997987</v>
      </c>
      <c r="R433">
        <v>0.72884000000000004</v>
      </c>
      <c r="S433">
        <v>0.21301339999999999</v>
      </c>
      <c r="T433" t="s">
        <v>1014</v>
      </c>
      <c r="U433">
        <v>0</v>
      </c>
    </row>
    <row r="434" spans="1:21" x14ac:dyDescent="0.25">
      <c r="A434" t="s">
        <v>40</v>
      </c>
      <c r="B434" t="s">
        <v>950</v>
      </c>
      <c r="C434">
        <v>2</v>
      </c>
      <c r="D434" t="s">
        <v>17</v>
      </c>
      <c r="E434" t="s">
        <v>95</v>
      </c>
      <c r="F434" t="s">
        <v>113</v>
      </c>
      <c r="G434" t="s">
        <v>113</v>
      </c>
      <c r="H434" t="s">
        <v>103</v>
      </c>
      <c r="J434">
        <v>0</v>
      </c>
      <c r="K434">
        <v>2</v>
      </c>
      <c r="L434">
        <v>83.757575759999995</v>
      </c>
      <c r="M434">
        <v>22.60997987</v>
      </c>
      <c r="N434">
        <v>0.72884000000000004</v>
      </c>
      <c r="O434">
        <v>0.21301339999999999</v>
      </c>
      <c r="P434">
        <v>98.291666669999998</v>
      </c>
      <c r="Q434">
        <v>30.315130790000001</v>
      </c>
      <c r="R434">
        <v>5.0803484000000003E-2</v>
      </c>
      <c r="S434">
        <v>0.42866070000000001</v>
      </c>
      <c r="T434" t="s">
        <v>1014</v>
      </c>
      <c r="U434">
        <v>-14.53409091</v>
      </c>
    </row>
    <row r="435" spans="1:21" x14ac:dyDescent="0.25">
      <c r="A435" t="s">
        <v>40</v>
      </c>
      <c r="B435" t="s">
        <v>950</v>
      </c>
      <c r="C435">
        <v>2</v>
      </c>
      <c r="D435" t="s">
        <v>17</v>
      </c>
      <c r="E435" t="s">
        <v>95</v>
      </c>
      <c r="F435" t="s">
        <v>113</v>
      </c>
      <c r="G435" t="s">
        <v>113</v>
      </c>
      <c r="H435" t="s">
        <v>103</v>
      </c>
      <c r="J435">
        <v>0</v>
      </c>
      <c r="K435">
        <v>2</v>
      </c>
      <c r="L435">
        <v>83.757575759999995</v>
      </c>
      <c r="M435">
        <v>22.60997987</v>
      </c>
      <c r="N435">
        <v>0.72884000000000004</v>
      </c>
      <c r="O435">
        <v>0.21301339999999999</v>
      </c>
      <c r="P435">
        <v>98.291666669999998</v>
      </c>
      <c r="Q435">
        <v>30.315130790000001</v>
      </c>
      <c r="R435">
        <v>5.0803484000000003E-2</v>
      </c>
      <c r="S435">
        <v>0.42866070000000001</v>
      </c>
      <c r="T435" t="s">
        <v>1014</v>
      </c>
      <c r="U435">
        <v>-14.53409091</v>
      </c>
    </row>
    <row r="436" spans="1:21" x14ac:dyDescent="0.25">
      <c r="A436" t="s">
        <v>40</v>
      </c>
      <c r="B436" t="s">
        <v>951</v>
      </c>
      <c r="C436">
        <v>2</v>
      </c>
      <c r="D436" t="s">
        <v>17</v>
      </c>
      <c r="E436" t="s">
        <v>95</v>
      </c>
      <c r="F436" t="s">
        <v>103</v>
      </c>
      <c r="G436" t="s">
        <v>103</v>
      </c>
      <c r="H436" t="s">
        <v>103</v>
      </c>
      <c r="J436">
        <v>0</v>
      </c>
      <c r="K436">
        <v>6</v>
      </c>
      <c r="L436">
        <v>98.291666669999998</v>
      </c>
      <c r="M436">
        <v>30.315130790000001</v>
      </c>
      <c r="N436">
        <v>5.0803484000000003E-2</v>
      </c>
      <c r="O436">
        <v>0.42866070000000001</v>
      </c>
      <c r="P436">
        <v>98.291666669999998</v>
      </c>
      <c r="Q436">
        <v>30.315130790000001</v>
      </c>
      <c r="R436">
        <v>5.0803484000000003E-2</v>
      </c>
      <c r="S436">
        <v>0.42866070000000001</v>
      </c>
      <c r="T436" t="s">
        <v>1014</v>
      </c>
      <c r="U436">
        <v>0</v>
      </c>
    </row>
    <row r="437" spans="1:21" x14ac:dyDescent="0.25">
      <c r="A437" t="s">
        <v>40</v>
      </c>
      <c r="B437" t="s">
        <v>951</v>
      </c>
      <c r="C437">
        <v>2</v>
      </c>
      <c r="D437" t="s">
        <v>17</v>
      </c>
      <c r="E437" t="s">
        <v>95</v>
      </c>
      <c r="F437" t="s">
        <v>103</v>
      </c>
      <c r="G437" t="s">
        <v>103</v>
      </c>
      <c r="H437" t="s">
        <v>103</v>
      </c>
      <c r="J437">
        <v>0</v>
      </c>
      <c r="K437">
        <v>6</v>
      </c>
      <c r="L437">
        <v>98.291666669999998</v>
      </c>
      <c r="M437">
        <v>30.315130790000001</v>
      </c>
      <c r="N437">
        <v>5.0803484000000003E-2</v>
      </c>
      <c r="O437">
        <v>0.42866070000000001</v>
      </c>
      <c r="P437">
        <v>98.291666669999998</v>
      </c>
      <c r="Q437">
        <v>30.315130790000001</v>
      </c>
      <c r="R437">
        <v>5.0803484000000003E-2</v>
      </c>
      <c r="S437">
        <v>0.42866070000000001</v>
      </c>
      <c r="T437" t="s">
        <v>1014</v>
      </c>
      <c r="U437">
        <v>0</v>
      </c>
    </row>
    <row r="438" spans="1:21" x14ac:dyDescent="0.25">
      <c r="A438" t="s">
        <v>40</v>
      </c>
      <c r="B438" t="s">
        <v>951</v>
      </c>
      <c r="C438">
        <v>2</v>
      </c>
      <c r="D438" t="s">
        <v>17</v>
      </c>
      <c r="E438" t="s">
        <v>95</v>
      </c>
      <c r="F438" t="s">
        <v>103</v>
      </c>
      <c r="G438" t="s">
        <v>103</v>
      </c>
      <c r="H438" t="s">
        <v>103</v>
      </c>
      <c r="J438">
        <v>0</v>
      </c>
      <c r="K438">
        <v>6</v>
      </c>
      <c r="L438">
        <v>98.291666669999998</v>
      </c>
      <c r="M438">
        <v>30.315130790000001</v>
      </c>
      <c r="N438">
        <v>5.0803484000000003E-2</v>
      </c>
      <c r="O438">
        <v>0.42866070000000001</v>
      </c>
      <c r="P438">
        <v>98.291666669999998</v>
      </c>
      <c r="Q438">
        <v>30.315130790000001</v>
      </c>
      <c r="R438">
        <v>5.0803484000000003E-2</v>
      </c>
      <c r="S438">
        <v>0.42866070000000001</v>
      </c>
      <c r="T438" t="s">
        <v>1014</v>
      </c>
      <c r="U438">
        <v>0</v>
      </c>
    </row>
    <row r="439" spans="1:21" x14ac:dyDescent="0.25">
      <c r="A439" t="s">
        <v>40</v>
      </c>
      <c r="B439" t="s">
        <v>951</v>
      </c>
      <c r="C439">
        <v>2</v>
      </c>
      <c r="D439" t="s">
        <v>17</v>
      </c>
      <c r="E439" t="s">
        <v>95</v>
      </c>
      <c r="F439" t="s">
        <v>103</v>
      </c>
      <c r="G439" t="s">
        <v>103</v>
      </c>
      <c r="H439" t="s">
        <v>103</v>
      </c>
      <c r="J439">
        <v>0</v>
      </c>
      <c r="K439">
        <v>6</v>
      </c>
      <c r="L439">
        <v>98.291666669999998</v>
      </c>
      <c r="M439">
        <v>30.315130790000001</v>
      </c>
      <c r="N439">
        <v>5.0803484000000003E-2</v>
      </c>
      <c r="O439">
        <v>0.42866070000000001</v>
      </c>
      <c r="P439">
        <v>98.291666669999998</v>
      </c>
      <c r="Q439">
        <v>30.315130790000001</v>
      </c>
      <c r="R439">
        <v>5.0803484000000003E-2</v>
      </c>
      <c r="S439">
        <v>0.42866070000000001</v>
      </c>
      <c r="T439" t="s">
        <v>1014</v>
      </c>
      <c r="U439">
        <v>0</v>
      </c>
    </row>
    <row r="440" spans="1:21" x14ac:dyDescent="0.25">
      <c r="A440" t="s">
        <v>40</v>
      </c>
      <c r="B440" t="s">
        <v>951</v>
      </c>
      <c r="C440">
        <v>2</v>
      </c>
      <c r="D440" t="s">
        <v>17</v>
      </c>
      <c r="E440" t="s">
        <v>95</v>
      </c>
      <c r="F440" t="s">
        <v>103</v>
      </c>
      <c r="G440" t="s">
        <v>103</v>
      </c>
      <c r="H440" t="s">
        <v>103</v>
      </c>
      <c r="J440">
        <v>0</v>
      </c>
      <c r="K440">
        <v>6</v>
      </c>
      <c r="L440">
        <v>98.291666669999998</v>
      </c>
      <c r="M440">
        <v>30.315130790000001</v>
      </c>
      <c r="N440">
        <v>5.0803484000000003E-2</v>
      </c>
      <c r="O440">
        <v>0.42866070000000001</v>
      </c>
      <c r="P440">
        <v>98.291666669999998</v>
      </c>
      <c r="Q440">
        <v>30.315130790000001</v>
      </c>
      <c r="R440">
        <v>5.0803484000000003E-2</v>
      </c>
      <c r="S440">
        <v>0.42866070000000001</v>
      </c>
      <c r="T440" t="s">
        <v>1014</v>
      </c>
      <c r="U440">
        <v>0</v>
      </c>
    </row>
    <row r="441" spans="1:21" x14ac:dyDescent="0.25">
      <c r="A441" t="s">
        <v>40</v>
      </c>
      <c r="B441" t="s">
        <v>951</v>
      </c>
      <c r="C441">
        <v>2</v>
      </c>
      <c r="D441" t="s">
        <v>17</v>
      </c>
      <c r="E441" t="s">
        <v>95</v>
      </c>
      <c r="F441" t="s">
        <v>103</v>
      </c>
      <c r="G441" t="s">
        <v>103</v>
      </c>
      <c r="H441" t="s">
        <v>103</v>
      </c>
      <c r="J441">
        <v>0</v>
      </c>
      <c r="K441">
        <v>6</v>
      </c>
      <c r="L441">
        <v>98.291666669999998</v>
      </c>
      <c r="M441">
        <v>30.315130790000001</v>
      </c>
      <c r="N441">
        <v>5.0803484000000003E-2</v>
      </c>
      <c r="O441">
        <v>0.42866070000000001</v>
      </c>
      <c r="P441">
        <v>98.291666669999998</v>
      </c>
      <c r="Q441">
        <v>30.315130790000001</v>
      </c>
      <c r="R441">
        <v>5.0803484000000003E-2</v>
      </c>
      <c r="S441">
        <v>0.42866070000000001</v>
      </c>
      <c r="T441" t="s">
        <v>1014</v>
      </c>
      <c r="U441">
        <v>0</v>
      </c>
    </row>
    <row r="442" spans="1:21" x14ac:dyDescent="0.25">
      <c r="A442" t="s">
        <v>40</v>
      </c>
      <c r="B442" t="s">
        <v>952</v>
      </c>
      <c r="C442">
        <v>2</v>
      </c>
      <c r="D442" t="s">
        <v>17</v>
      </c>
      <c r="E442" t="s">
        <v>95</v>
      </c>
      <c r="F442" t="s">
        <v>112</v>
      </c>
      <c r="G442" t="s">
        <v>103</v>
      </c>
      <c r="H442" t="s">
        <v>103</v>
      </c>
      <c r="I442" t="s">
        <v>243</v>
      </c>
      <c r="J442">
        <v>1</v>
      </c>
      <c r="K442">
        <v>7</v>
      </c>
      <c r="L442">
        <v>65.09375</v>
      </c>
      <c r="M442">
        <v>37.895352600000002</v>
      </c>
      <c r="N442">
        <v>2.2882677779999998</v>
      </c>
      <c r="O442">
        <v>2.2111774</v>
      </c>
      <c r="P442">
        <v>98.291666669999998</v>
      </c>
      <c r="Q442">
        <v>30.315130790000001</v>
      </c>
      <c r="R442">
        <v>5.0803484000000003E-2</v>
      </c>
      <c r="S442">
        <v>0.42866070000000001</v>
      </c>
      <c r="T442" t="s">
        <v>1014</v>
      </c>
      <c r="U442">
        <v>-33.197916669999998</v>
      </c>
    </row>
    <row r="443" spans="1:21" x14ac:dyDescent="0.25">
      <c r="A443" t="s">
        <v>40</v>
      </c>
      <c r="B443" t="s">
        <v>952</v>
      </c>
      <c r="C443">
        <v>2</v>
      </c>
      <c r="D443" t="s">
        <v>17</v>
      </c>
      <c r="E443" t="s">
        <v>95</v>
      </c>
      <c r="F443" t="s">
        <v>112</v>
      </c>
      <c r="G443" t="s">
        <v>103</v>
      </c>
      <c r="H443" t="s">
        <v>103</v>
      </c>
      <c r="I443" t="s">
        <v>243</v>
      </c>
      <c r="J443">
        <v>1</v>
      </c>
      <c r="K443">
        <v>7</v>
      </c>
      <c r="L443">
        <v>65.09375</v>
      </c>
      <c r="M443">
        <v>37.895352600000002</v>
      </c>
      <c r="N443">
        <v>2.2882677779999998</v>
      </c>
      <c r="O443">
        <v>2.2111774</v>
      </c>
      <c r="P443">
        <v>98.291666669999998</v>
      </c>
      <c r="Q443">
        <v>30.315130790000001</v>
      </c>
      <c r="R443">
        <v>5.0803484000000003E-2</v>
      </c>
      <c r="S443">
        <v>0.42866070000000001</v>
      </c>
      <c r="T443" t="s">
        <v>1014</v>
      </c>
      <c r="U443">
        <v>-33.197916669999998</v>
      </c>
    </row>
    <row r="444" spans="1:21" x14ac:dyDescent="0.25">
      <c r="A444" t="s">
        <v>40</v>
      </c>
      <c r="B444" t="s">
        <v>952</v>
      </c>
      <c r="C444">
        <v>2</v>
      </c>
      <c r="D444" t="s">
        <v>17</v>
      </c>
      <c r="E444" t="s">
        <v>95</v>
      </c>
      <c r="F444" t="s">
        <v>112</v>
      </c>
      <c r="G444" t="s">
        <v>103</v>
      </c>
      <c r="H444" t="s">
        <v>103</v>
      </c>
      <c r="I444" t="s">
        <v>243</v>
      </c>
      <c r="J444">
        <v>1</v>
      </c>
      <c r="K444">
        <v>7</v>
      </c>
      <c r="L444">
        <v>65.09375</v>
      </c>
      <c r="M444">
        <v>37.895352600000002</v>
      </c>
      <c r="N444">
        <v>2.2882677779999998</v>
      </c>
      <c r="O444">
        <v>2.2111774</v>
      </c>
      <c r="P444">
        <v>98.291666669999998</v>
      </c>
      <c r="Q444">
        <v>30.315130790000001</v>
      </c>
      <c r="R444">
        <v>5.0803484000000003E-2</v>
      </c>
      <c r="S444">
        <v>0.42866070000000001</v>
      </c>
      <c r="T444" t="s">
        <v>1014</v>
      </c>
      <c r="U444">
        <v>-33.197916669999998</v>
      </c>
    </row>
    <row r="445" spans="1:21" x14ac:dyDescent="0.25">
      <c r="A445" t="s">
        <v>40</v>
      </c>
      <c r="B445" t="s">
        <v>952</v>
      </c>
      <c r="C445">
        <v>2</v>
      </c>
      <c r="D445" t="s">
        <v>17</v>
      </c>
      <c r="E445" t="s">
        <v>95</v>
      </c>
      <c r="F445" t="s">
        <v>112</v>
      </c>
      <c r="G445" t="s">
        <v>103</v>
      </c>
      <c r="H445" t="s">
        <v>103</v>
      </c>
      <c r="I445" t="s">
        <v>243</v>
      </c>
      <c r="J445">
        <v>1</v>
      </c>
      <c r="K445">
        <v>7</v>
      </c>
      <c r="L445">
        <v>65.09375</v>
      </c>
      <c r="M445">
        <v>37.895352600000002</v>
      </c>
      <c r="N445">
        <v>2.2882677779999998</v>
      </c>
      <c r="O445">
        <v>2.2111774</v>
      </c>
      <c r="P445">
        <v>98.291666669999998</v>
      </c>
      <c r="Q445">
        <v>30.315130790000001</v>
      </c>
      <c r="R445">
        <v>5.0803484000000003E-2</v>
      </c>
      <c r="S445">
        <v>0.42866070000000001</v>
      </c>
      <c r="T445" t="s">
        <v>1014</v>
      </c>
      <c r="U445">
        <v>-33.197916669999998</v>
      </c>
    </row>
    <row r="446" spans="1:21" x14ac:dyDescent="0.25">
      <c r="A446" t="s">
        <v>40</v>
      </c>
      <c r="B446" t="s">
        <v>952</v>
      </c>
      <c r="C446">
        <v>2</v>
      </c>
      <c r="D446" t="s">
        <v>17</v>
      </c>
      <c r="E446" t="s">
        <v>95</v>
      </c>
      <c r="F446" t="s">
        <v>112</v>
      </c>
      <c r="G446" t="s">
        <v>103</v>
      </c>
      <c r="H446" t="s">
        <v>103</v>
      </c>
      <c r="I446" t="s">
        <v>243</v>
      </c>
      <c r="J446">
        <v>1</v>
      </c>
      <c r="K446">
        <v>7</v>
      </c>
      <c r="L446">
        <v>65.09375</v>
      </c>
      <c r="M446">
        <v>37.895352600000002</v>
      </c>
      <c r="N446">
        <v>2.2882677779999998</v>
      </c>
      <c r="O446">
        <v>2.2111774</v>
      </c>
      <c r="P446">
        <v>98.291666669999998</v>
      </c>
      <c r="Q446">
        <v>30.315130790000001</v>
      </c>
      <c r="R446">
        <v>5.0803484000000003E-2</v>
      </c>
      <c r="S446">
        <v>0.42866070000000001</v>
      </c>
      <c r="T446" t="s">
        <v>1014</v>
      </c>
      <c r="U446">
        <v>-33.197916669999998</v>
      </c>
    </row>
    <row r="447" spans="1:21" x14ac:dyDescent="0.25">
      <c r="A447" t="s">
        <v>40</v>
      </c>
      <c r="B447" t="s">
        <v>952</v>
      </c>
      <c r="C447">
        <v>2</v>
      </c>
      <c r="D447" t="s">
        <v>17</v>
      </c>
      <c r="E447" t="s">
        <v>95</v>
      </c>
      <c r="F447" t="s">
        <v>112</v>
      </c>
      <c r="G447" t="s">
        <v>103</v>
      </c>
      <c r="H447" t="s">
        <v>103</v>
      </c>
      <c r="I447" t="s">
        <v>243</v>
      </c>
      <c r="J447">
        <v>1</v>
      </c>
      <c r="K447">
        <v>7</v>
      </c>
      <c r="L447">
        <v>65.09375</v>
      </c>
      <c r="M447">
        <v>37.895352600000002</v>
      </c>
      <c r="N447">
        <v>2.2882677779999998</v>
      </c>
      <c r="O447">
        <v>2.2111774</v>
      </c>
      <c r="P447">
        <v>98.291666669999998</v>
      </c>
      <c r="Q447">
        <v>30.315130790000001</v>
      </c>
      <c r="R447">
        <v>5.0803484000000003E-2</v>
      </c>
      <c r="S447">
        <v>0.42866070000000001</v>
      </c>
      <c r="T447" t="s">
        <v>1014</v>
      </c>
      <c r="U447">
        <v>-33.197916669999998</v>
      </c>
    </row>
    <row r="448" spans="1:21" x14ac:dyDescent="0.25">
      <c r="A448" t="s">
        <v>40</v>
      </c>
      <c r="B448" t="s">
        <v>952</v>
      </c>
      <c r="C448">
        <v>2</v>
      </c>
      <c r="D448" t="s">
        <v>17</v>
      </c>
      <c r="E448" t="s">
        <v>95</v>
      </c>
      <c r="F448" t="s">
        <v>112</v>
      </c>
      <c r="G448" t="s">
        <v>103</v>
      </c>
      <c r="H448" t="s">
        <v>103</v>
      </c>
      <c r="I448" t="s">
        <v>243</v>
      </c>
      <c r="J448">
        <v>1</v>
      </c>
      <c r="K448">
        <v>7</v>
      </c>
      <c r="L448">
        <v>65.09375</v>
      </c>
      <c r="M448">
        <v>37.895352600000002</v>
      </c>
      <c r="N448">
        <v>2.2882677779999998</v>
      </c>
      <c r="O448">
        <v>2.2111774</v>
      </c>
      <c r="P448">
        <v>98.291666669999998</v>
      </c>
      <c r="Q448">
        <v>30.315130790000001</v>
      </c>
      <c r="R448">
        <v>5.0803484000000003E-2</v>
      </c>
      <c r="S448">
        <v>0.42866070000000001</v>
      </c>
      <c r="T448" t="s">
        <v>1014</v>
      </c>
      <c r="U448">
        <v>-33.197916669999998</v>
      </c>
    </row>
    <row r="449" spans="1:21" x14ac:dyDescent="0.25">
      <c r="A449" t="s">
        <v>40</v>
      </c>
      <c r="B449" t="s">
        <v>952</v>
      </c>
      <c r="C449">
        <v>2</v>
      </c>
      <c r="D449" t="s">
        <v>17</v>
      </c>
      <c r="E449" t="s">
        <v>95</v>
      </c>
      <c r="F449" t="s">
        <v>112</v>
      </c>
      <c r="G449" t="s">
        <v>103</v>
      </c>
      <c r="H449" t="s">
        <v>113</v>
      </c>
      <c r="J449">
        <v>1</v>
      </c>
      <c r="K449">
        <v>5</v>
      </c>
      <c r="L449">
        <v>65.09375</v>
      </c>
      <c r="M449">
        <v>37.895352600000002</v>
      </c>
      <c r="N449">
        <v>2.2882677779999998</v>
      </c>
      <c r="O449">
        <v>2.2111774</v>
      </c>
      <c r="P449">
        <v>83.757575759999995</v>
      </c>
      <c r="Q449">
        <v>22.60997987</v>
      </c>
      <c r="R449">
        <v>0.72884000000000004</v>
      </c>
      <c r="S449">
        <v>0.21301339999999999</v>
      </c>
      <c r="T449" t="s">
        <v>1014</v>
      </c>
      <c r="U449">
        <v>-18.663825760000002</v>
      </c>
    </row>
    <row r="450" spans="1:21" x14ac:dyDescent="0.25">
      <c r="A450" t="s">
        <v>40</v>
      </c>
      <c r="B450" t="s">
        <v>952</v>
      </c>
      <c r="C450">
        <v>2</v>
      </c>
      <c r="D450" t="s">
        <v>17</v>
      </c>
      <c r="E450" t="s">
        <v>95</v>
      </c>
      <c r="F450" t="s">
        <v>112</v>
      </c>
      <c r="G450" t="s">
        <v>103</v>
      </c>
      <c r="H450" t="s">
        <v>113</v>
      </c>
      <c r="J450">
        <v>1</v>
      </c>
      <c r="K450">
        <v>5</v>
      </c>
      <c r="L450">
        <v>65.09375</v>
      </c>
      <c r="M450">
        <v>37.895352600000002</v>
      </c>
      <c r="N450">
        <v>2.2882677779999998</v>
      </c>
      <c r="O450">
        <v>2.2111774</v>
      </c>
      <c r="P450">
        <v>83.757575759999995</v>
      </c>
      <c r="Q450">
        <v>22.60997987</v>
      </c>
      <c r="R450">
        <v>0.72884000000000004</v>
      </c>
      <c r="S450">
        <v>0.21301339999999999</v>
      </c>
      <c r="T450" t="s">
        <v>1014</v>
      </c>
      <c r="U450">
        <v>-18.663825760000002</v>
      </c>
    </row>
    <row r="451" spans="1:21" x14ac:dyDescent="0.25">
      <c r="A451" t="s">
        <v>40</v>
      </c>
      <c r="B451" t="s">
        <v>952</v>
      </c>
      <c r="C451">
        <v>2</v>
      </c>
      <c r="D451" t="s">
        <v>17</v>
      </c>
      <c r="E451" t="s">
        <v>95</v>
      </c>
      <c r="F451" t="s">
        <v>112</v>
      </c>
      <c r="G451" t="s">
        <v>103</v>
      </c>
      <c r="H451" t="s">
        <v>113</v>
      </c>
      <c r="J451">
        <v>1</v>
      </c>
      <c r="K451">
        <v>5</v>
      </c>
      <c r="L451">
        <v>65.09375</v>
      </c>
      <c r="M451">
        <v>37.895352600000002</v>
      </c>
      <c r="N451">
        <v>2.2882677779999998</v>
      </c>
      <c r="O451">
        <v>2.2111774</v>
      </c>
      <c r="P451">
        <v>83.757575759999995</v>
      </c>
      <c r="Q451">
        <v>22.60997987</v>
      </c>
      <c r="R451">
        <v>0.72884000000000004</v>
      </c>
      <c r="S451">
        <v>0.21301339999999999</v>
      </c>
      <c r="T451" t="s">
        <v>1014</v>
      </c>
      <c r="U451">
        <v>-18.663825760000002</v>
      </c>
    </row>
    <row r="452" spans="1:21" x14ac:dyDescent="0.25">
      <c r="A452" t="s">
        <v>40</v>
      </c>
      <c r="B452" t="s">
        <v>952</v>
      </c>
      <c r="C452">
        <v>2</v>
      </c>
      <c r="D452" t="s">
        <v>17</v>
      </c>
      <c r="E452" t="s">
        <v>95</v>
      </c>
      <c r="F452" t="s">
        <v>112</v>
      </c>
      <c r="G452" t="s">
        <v>103</v>
      </c>
      <c r="H452" t="s">
        <v>113</v>
      </c>
      <c r="J452">
        <v>1</v>
      </c>
      <c r="K452">
        <v>5</v>
      </c>
      <c r="L452">
        <v>65.09375</v>
      </c>
      <c r="M452">
        <v>37.895352600000002</v>
      </c>
      <c r="N452">
        <v>2.2882677779999998</v>
      </c>
      <c r="O452">
        <v>2.2111774</v>
      </c>
      <c r="P452">
        <v>83.757575759999995</v>
      </c>
      <c r="Q452">
        <v>22.60997987</v>
      </c>
      <c r="R452">
        <v>0.72884000000000004</v>
      </c>
      <c r="S452">
        <v>0.21301339999999999</v>
      </c>
      <c r="T452" t="s">
        <v>1014</v>
      </c>
      <c r="U452">
        <v>-18.663825760000002</v>
      </c>
    </row>
    <row r="453" spans="1:21" x14ac:dyDescent="0.25">
      <c r="A453" t="s">
        <v>40</v>
      </c>
      <c r="B453" t="s">
        <v>952</v>
      </c>
      <c r="C453">
        <v>2</v>
      </c>
      <c r="D453" t="s">
        <v>17</v>
      </c>
      <c r="E453" t="s">
        <v>95</v>
      </c>
      <c r="F453" t="s">
        <v>112</v>
      </c>
      <c r="G453" t="s">
        <v>103</v>
      </c>
      <c r="H453" t="s">
        <v>113</v>
      </c>
      <c r="J453">
        <v>1</v>
      </c>
      <c r="K453">
        <v>5</v>
      </c>
      <c r="L453">
        <v>65.09375</v>
      </c>
      <c r="M453">
        <v>37.895352600000002</v>
      </c>
      <c r="N453">
        <v>2.2882677779999998</v>
      </c>
      <c r="O453">
        <v>2.2111774</v>
      </c>
      <c r="P453">
        <v>83.757575759999995</v>
      </c>
      <c r="Q453">
        <v>22.60997987</v>
      </c>
      <c r="R453">
        <v>0.72884000000000004</v>
      </c>
      <c r="S453">
        <v>0.21301339999999999</v>
      </c>
      <c r="T453" t="s">
        <v>1014</v>
      </c>
      <c r="U453">
        <v>-18.663825760000002</v>
      </c>
    </row>
    <row r="454" spans="1:21" x14ac:dyDescent="0.25">
      <c r="A454" t="s">
        <v>41</v>
      </c>
      <c r="B454" t="s">
        <v>953</v>
      </c>
      <c r="C454">
        <v>2</v>
      </c>
      <c r="D454" t="s">
        <v>19</v>
      </c>
      <c r="E454" t="s">
        <v>94</v>
      </c>
      <c r="F454" t="s">
        <v>105</v>
      </c>
      <c r="G454" t="s">
        <v>104</v>
      </c>
      <c r="H454" t="s">
        <v>104</v>
      </c>
      <c r="J454">
        <v>0</v>
      </c>
      <c r="K454">
        <v>3</v>
      </c>
      <c r="L454">
        <v>67.5</v>
      </c>
      <c r="M454">
        <v>47.937235809999997</v>
      </c>
      <c r="N454">
        <v>0.41599678000000001</v>
      </c>
      <c r="O454">
        <v>2.0950346999999998</v>
      </c>
      <c r="P454">
        <v>113.9375</v>
      </c>
      <c r="Q454">
        <v>33.375507550000002</v>
      </c>
      <c r="R454">
        <v>2.4262999999999999</v>
      </c>
      <c r="S454">
        <v>0.40692159999999999</v>
      </c>
      <c r="T454" t="s">
        <v>1014</v>
      </c>
      <c r="U454">
        <v>-46.4375</v>
      </c>
    </row>
    <row r="455" spans="1:21" x14ac:dyDescent="0.25">
      <c r="A455" t="s">
        <v>41</v>
      </c>
      <c r="B455" t="s">
        <v>953</v>
      </c>
      <c r="C455">
        <v>2</v>
      </c>
      <c r="D455" t="s">
        <v>19</v>
      </c>
      <c r="E455" t="s">
        <v>94</v>
      </c>
      <c r="F455" t="s">
        <v>105</v>
      </c>
      <c r="G455" t="s">
        <v>104</v>
      </c>
      <c r="H455" t="s">
        <v>104</v>
      </c>
      <c r="J455">
        <v>0</v>
      </c>
      <c r="K455">
        <v>3</v>
      </c>
      <c r="L455">
        <v>67.5</v>
      </c>
      <c r="M455">
        <v>47.937235809999997</v>
      </c>
      <c r="N455">
        <v>0.41599678000000001</v>
      </c>
      <c r="O455">
        <v>2.0950346999999998</v>
      </c>
      <c r="P455">
        <v>113.9375</v>
      </c>
      <c r="Q455">
        <v>33.375507550000002</v>
      </c>
      <c r="R455">
        <v>2.4262999999999999</v>
      </c>
      <c r="S455">
        <v>0.40692159999999999</v>
      </c>
      <c r="T455" t="s">
        <v>1014</v>
      </c>
      <c r="U455">
        <v>-46.4375</v>
      </c>
    </row>
    <row r="456" spans="1:21" x14ac:dyDescent="0.25">
      <c r="A456" t="s">
        <v>41</v>
      </c>
      <c r="B456" t="s">
        <v>953</v>
      </c>
      <c r="C456">
        <v>2</v>
      </c>
      <c r="D456" t="s">
        <v>19</v>
      </c>
      <c r="E456" t="s">
        <v>94</v>
      </c>
      <c r="F456" t="s">
        <v>105</v>
      </c>
      <c r="G456" t="s">
        <v>104</v>
      </c>
      <c r="H456" t="s">
        <v>104</v>
      </c>
      <c r="J456">
        <v>0</v>
      </c>
      <c r="K456">
        <v>3</v>
      </c>
      <c r="L456">
        <v>67.5</v>
      </c>
      <c r="M456">
        <v>47.937235809999997</v>
      </c>
      <c r="N456">
        <v>0.41599678000000001</v>
      </c>
      <c r="O456">
        <v>2.0950346999999998</v>
      </c>
      <c r="P456">
        <v>113.9375</v>
      </c>
      <c r="Q456">
        <v>33.375507550000002</v>
      </c>
      <c r="R456">
        <v>2.4262999999999999</v>
      </c>
      <c r="S456">
        <v>0.40692159999999999</v>
      </c>
      <c r="T456" t="s">
        <v>1014</v>
      </c>
      <c r="U456">
        <v>-46.4375</v>
      </c>
    </row>
    <row r="457" spans="1:21" x14ac:dyDescent="0.25">
      <c r="A457" t="s">
        <v>41</v>
      </c>
      <c r="B457" t="s">
        <v>953</v>
      </c>
      <c r="C457">
        <v>2</v>
      </c>
      <c r="D457" t="s">
        <v>19</v>
      </c>
      <c r="E457" t="s">
        <v>94</v>
      </c>
      <c r="F457" t="s">
        <v>105</v>
      </c>
      <c r="G457" t="s">
        <v>104</v>
      </c>
      <c r="H457" t="s">
        <v>113</v>
      </c>
      <c r="J457">
        <v>0</v>
      </c>
      <c r="K457">
        <v>1</v>
      </c>
      <c r="L457">
        <v>67.5</v>
      </c>
      <c r="M457">
        <v>47.937235809999997</v>
      </c>
      <c r="N457">
        <v>0.41599678000000001</v>
      </c>
      <c r="O457">
        <v>2.0950346999999998</v>
      </c>
      <c r="P457">
        <v>83.757575759999995</v>
      </c>
      <c r="Q457">
        <v>22.60997987</v>
      </c>
      <c r="R457">
        <v>0.72884000000000004</v>
      </c>
      <c r="S457">
        <v>0.21301339999999999</v>
      </c>
      <c r="T457" t="s">
        <v>1014</v>
      </c>
      <c r="U457">
        <v>-16.257575760000002</v>
      </c>
    </row>
    <row r="458" spans="1:21" x14ac:dyDescent="0.25">
      <c r="A458" t="s">
        <v>41</v>
      </c>
      <c r="B458" t="s">
        <v>953</v>
      </c>
      <c r="C458">
        <v>2</v>
      </c>
      <c r="D458" t="s">
        <v>19</v>
      </c>
      <c r="E458" t="s">
        <v>94</v>
      </c>
      <c r="F458" t="s">
        <v>105</v>
      </c>
      <c r="G458" t="s">
        <v>104</v>
      </c>
      <c r="H458" t="s">
        <v>237</v>
      </c>
      <c r="J458">
        <v>0</v>
      </c>
      <c r="K458">
        <v>1</v>
      </c>
      <c r="L458">
        <v>67.5</v>
      </c>
      <c r="M458">
        <v>47.937235809999997</v>
      </c>
      <c r="N458">
        <v>0.41599678000000001</v>
      </c>
      <c r="O458">
        <v>2.0950346999999998</v>
      </c>
      <c r="P458">
        <v>83.888888890000004</v>
      </c>
      <c r="Q458">
        <v>31.026943280000001</v>
      </c>
      <c r="R458">
        <v>0.53083999999999998</v>
      </c>
      <c r="S458">
        <v>0.24845418999999999</v>
      </c>
      <c r="T458" t="s">
        <v>1014</v>
      </c>
      <c r="U458">
        <v>-16.38888889</v>
      </c>
    </row>
    <row r="459" spans="1:21" x14ac:dyDescent="0.25">
      <c r="A459" t="s">
        <v>41</v>
      </c>
      <c r="B459" t="s">
        <v>953</v>
      </c>
      <c r="C459">
        <v>2</v>
      </c>
      <c r="D459" t="s">
        <v>19</v>
      </c>
      <c r="E459" t="s">
        <v>94</v>
      </c>
      <c r="F459" t="s">
        <v>105</v>
      </c>
      <c r="G459" t="s">
        <v>104</v>
      </c>
      <c r="H459" t="s">
        <v>239</v>
      </c>
      <c r="J459">
        <v>0</v>
      </c>
      <c r="K459">
        <v>1</v>
      </c>
      <c r="L459">
        <v>67.5</v>
      </c>
      <c r="M459">
        <v>47.937235809999997</v>
      </c>
      <c r="N459">
        <v>0.41599678000000001</v>
      </c>
      <c r="O459">
        <v>2.0950346999999998</v>
      </c>
      <c r="P459">
        <v>100.45454549999999</v>
      </c>
      <c r="Q459">
        <v>26.754810689999999</v>
      </c>
      <c r="R459">
        <v>0.75829999999999997</v>
      </c>
      <c r="S459">
        <v>0.40907861000000001</v>
      </c>
      <c r="T459" t="s">
        <v>1014</v>
      </c>
      <c r="U459">
        <v>-32.954545500000002</v>
      </c>
    </row>
    <row r="460" spans="1:21" x14ac:dyDescent="0.25">
      <c r="A460" t="s">
        <v>41</v>
      </c>
      <c r="B460" t="s">
        <v>954</v>
      </c>
      <c r="C460">
        <v>2</v>
      </c>
      <c r="D460" t="s">
        <v>19</v>
      </c>
      <c r="E460" t="s">
        <v>94</v>
      </c>
      <c r="F460" t="s">
        <v>113</v>
      </c>
      <c r="G460" t="s">
        <v>104</v>
      </c>
      <c r="H460" t="s">
        <v>237</v>
      </c>
      <c r="J460">
        <v>0</v>
      </c>
      <c r="K460">
        <v>1</v>
      </c>
      <c r="L460">
        <v>83.757575759999995</v>
      </c>
      <c r="M460">
        <v>22.60997987</v>
      </c>
      <c r="N460">
        <v>0.72884000000000004</v>
      </c>
      <c r="O460">
        <v>0.21301339999999999</v>
      </c>
      <c r="P460">
        <v>83.888888890000004</v>
      </c>
      <c r="Q460">
        <v>31.026943280000001</v>
      </c>
      <c r="R460">
        <v>0.53083999999999998</v>
      </c>
      <c r="S460">
        <v>0.24845418999999999</v>
      </c>
      <c r="T460" t="s">
        <v>1014</v>
      </c>
      <c r="U460">
        <v>-0.13131313</v>
      </c>
    </row>
    <row r="461" spans="1:21" x14ac:dyDescent="0.25">
      <c r="A461" t="s">
        <v>41</v>
      </c>
      <c r="B461" t="s">
        <v>954</v>
      </c>
      <c r="C461">
        <v>2</v>
      </c>
      <c r="D461" t="s">
        <v>19</v>
      </c>
      <c r="E461" t="s">
        <v>94</v>
      </c>
      <c r="F461" t="s">
        <v>113</v>
      </c>
      <c r="G461" t="s">
        <v>104</v>
      </c>
      <c r="H461" t="s">
        <v>113</v>
      </c>
      <c r="J461">
        <v>0</v>
      </c>
      <c r="K461">
        <v>7</v>
      </c>
      <c r="L461">
        <v>83.757575759999995</v>
      </c>
      <c r="M461">
        <v>22.60997987</v>
      </c>
      <c r="N461">
        <v>0.72884000000000004</v>
      </c>
      <c r="O461">
        <v>0.21301339999999999</v>
      </c>
      <c r="P461">
        <v>83.757575759999995</v>
      </c>
      <c r="Q461">
        <v>22.60997987</v>
      </c>
      <c r="R461">
        <v>0.72884000000000004</v>
      </c>
      <c r="S461">
        <v>0.21301339999999999</v>
      </c>
      <c r="T461" t="s">
        <v>1014</v>
      </c>
      <c r="U461">
        <v>0</v>
      </c>
    </row>
    <row r="462" spans="1:21" x14ac:dyDescent="0.25">
      <c r="A462" t="s">
        <v>41</v>
      </c>
      <c r="B462" t="s">
        <v>954</v>
      </c>
      <c r="C462">
        <v>2</v>
      </c>
      <c r="D462" t="s">
        <v>19</v>
      </c>
      <c r="E462" t="s">
        <v>94</v>
      </c>
      <c r="F462" t="s">
        <v>113</v>
      </c>
      <c r="G462" t="s">
        <v>104</v>
      </c>
      <c r="H462" t="s">
        <v>113</v>
      </c>
      <c r="J462">
        <v>0</v>
      </c>
      <c r="K462">
        <v>7</v>
      </c>
      <c r="L462">
        <v>83.757575759999995</v>
      </c>
      <c r="M462">
        <v>22.60997987</v>
      </c>
      <c r="N462">
        <v>0.72884000000000004</v>
      </c>
      <c r="O462">
        <v>0.21301339999999999</v>
      </c>
      <c r="P462">
        <v>83.757575759999995</v>
      </c>
      <c r="Q462">
        <v>22.60997987</v>
      </c>
      <c r="R462">
        <v>0.72884000000000004</v>
      </c>
      <c r="S462">
        <v>0.21301339999999999</v>
      </c>
      <c r="T462" t="s">
        <v>1014</v>
      </c>
      <c r="U462">
        <v>0</v>
      </c>
    </row>
    <row r="463" spans="1:21" x14ac:dyDescent="0.25">
      <c r="A463" t="s">
        <v>41</v>
      </c>
      <c r="B463" t="s">
        <v>954</v>
      </c>
      <c r="C463">
        <v>2</v>
      </c>
      <c r="D463" t="s">
        <v>19</v>
      </c>
      <c r="E463" t="s">
        <v>94</v>
      </c>
      <c r="F463" t="s">
        <v>113</v>
      </c>
      <c r="G463" t="s">
        <v>104</v>
      </c>
      <c r="H463" t="s">
        <v>113</v>
      </c>
      <c r="J463">
        <v>0</v>
      </c>
      <c r="K463">
        <v>7</v>
      </c>
      <c r="L463">
        <v>83.757575759999995</v>
      </c>
      <c r="M463">
        <v>22.60997987</v>
      </c>
      <c r="N463">
        <v>0.72884000000000004</v>
      </c>
      <c r="O463">
        <v>0.21301339999999999</v>
      </c>
      <c r="P463">
        <v>83.757575759999995</v>
      </c>
      <c r="Q463">
        <v>22.60997987</v>
      </c>
      <c r="R463">
        <v>0.72884000000000004</v>
      </c>
      <c r="S463">
        <v>0.21301339999999999</v>
      </c>
      <c r="T463" t="s">
        <v>1014</v>
      </c>
      <c r="U463">
        <v>0</v>
      </c>
    </row>
    <row r="464" spans="1:21" x14ac:dyDescent="0.25">
      <c r="A464" t="s">
        <v>41</v>
      </c>
      <c r="B464" t="s">
        <v>954</v>
      </c>
      <c r="C464">
        <v>2</v>
      </c>
      <c r="D464" t="s">
        <v>19</v>
      </c>
      <c r="E464" t="s">
        <v>94</v>
      </c>
      <c r="F464" t="s">
        <v>113</v>
      </c>
      <c r="G464" t="s">
        <v>104</v>
      </c>
      <c r="H464" t="s">
        <v>113</v>
      </c>
      <c r="J464">
        <v>0</v>
      </c>
      <c r="K464">
        <v>7</v>
      </c>
      <c r="L464">
        <v>83.757575759999995</v>
      </c>
      <c r="M464">
        <v>22.60997987</v>
      </c>
      <c r="N464">
        <v>0.72884000000000004</v>
      </c>
      <c r="O464">
        <v>0.21301339999999999</v>
      </c>
      <c r="P464">
        <v>83.757575759999995</v>
      </c>
      <c r="Q464">
        <v>22.60997987</v>
      </c>
      <c r="R464">
        <v>0.72884000000000004</v>
      </c>
      <c r="S464">
        <v>0.21301339999999999</v>
      </c>
      <c r="T464" t="s">
        <v>1014</v>
      </c>
      <c r="U464">
        <v>0</v>
      </c>
    </row>
    <row r="465" spans="1:21" x14ac:dyDescent="0.25">
      <c r="A465" t="s">
        <v>41</v>
      </c>
      <c r="B465" t="s">
        <v>954</v>
      </c>
      <c r="C465">
        <v>2</v>
      </c>
      <c r="D465" t="s">
        <v>19</v>
      </c>
      <c r="E465" t="s">
        <v>94</v>
      </c>
      <c r="F465" t="s">
        <v>113</v>
      </c>
      <c r="G465" t="s">
        <v>104</v>
      </c>
      <c r="H465" t="s">
        <v>113</v>
      </c>
      <c r="J465">
        <v>0</v>
      </c>
      <c r="K465">
        <v>7</v>
      </c>
      <c r="L465">
        <v>83.757575759999995</v>
      </c>
      <c r="M465">
        <v>22.60997987</v>
      </c>
      <c r="N465">
        <v>0.72884000000000004</v>
      </c>
      <c r="O465">
        <v>0.21301339999999999</v>
      </c>
      <c r="P465">
        <v>83.757575759999995</v>
      </c>
      <c r="Q465">
        <v>22.60997987</v>
      </c>
      <c r="R465">
        <v>0.72884000000000004</v>
      </c>
      <c r="S465">
        <v>0.21301339999999999</v>
      </c>
      <c r="T465" t="s">
        <v>1014</v>
      </c>
      <c r="U465">
        <v>0</v>
      </c>
    </row>
    <row r="466" spans="1:21" x14ac:dyDescent="0.25">
      <c r="A466" t="s">
        <v>41</v>
      </c>
      <c r="B466" t="s">
        <v>954</v>
      </c>
      <c r="C466">
        <v>2</v>
      </c>
      <c r="D466" t="s">
        <v>19</v>
      </c>
      <c r="E466" t="s">
        <v>94</v>
      </c>
      <c r="F466" t="s">
        <v>113</v>
      </c>
      <c r="G466" t="s">
        <v>104</v>
      </c>
      <c r="H466" t="s">
        <v>113</v>
      </c>
      <c r="J466">
        <v>0</v>
      </c>
      <c r="K466">
        <v>7</v>
      </c>
      <c r="L466">
        <v>83.757575759999995</v>
      </c>
      <c r="M466">
        <v>22.60997987</v>
      </c>
      <c r="N466">
        <v>0.72884000000000004</v>
      </c>
      <c r="O466">
        <v>0.21301339999999999</v>
      </c>
      <c r="P466">
        <v>83.757575759999995</v>
      </c>
      <c r="Q466">
        <v>22.60997987</v>
      </c>
      <c r="R466">
        <v>0.72884000000000004</v>
      </c>
      <c r="S466">
        <v>0.21301339999999999</v>
      </c>
      <c r="T466" t="s">
        <v>1014</v>
      </c>
      <c r="U466">
        <v>0</v>
      </c>
    </row>
    <row r="467" spans="1:21" x14ac:dyDescent="0.25">
      <c r="A467" t="s">
        <v>41</v>
      </c>
      <c r="B467" t="s">
        <v>954</v>
      </c>
      <c r="C467">
        <v>2</v>
      </c>
      <c r="D467" t="s">
        <v>19</v>
      </c>
      <c r="E467" t="s">
        <v>94</v>
      </c>
      <c r="F467" t="s">
        <v>113</v>
      </c>
      <c r="G467" t="s">
        <v>104</v>
      </c>
      <c r="H467" t="s">
        <v>113</v>
      </c>
      <c r="J467">
        <v>0</v>
      </c>
      <c r="K467">
        <v>7</v>
      </c>
      <c r="L467">
        <v>83.757575759999995</v>
      </c>
      <c r="M467">
        <v>22.60997987</v>
      </c>
      <c r="N467">
        <v>0.72884000000000004</v>
      </c>
      <c r="O467">
        <v>0.21301339999999999</v>
      </c>
      <c r="P467">
        <v>83.757575759999995</v>
      </c>
      <c r="Q467">
        <v>22.60997987</v>
      </c>
      <c r="R467">
        <v>0.72884000000000004</v>
      </c>
      <c r="S467">
        <v>0.21301339999999999</v>
      </c>
      <c r="T467" t="s">
        <v>1014</v>
      </c>
      <c r="U467">
        <v>0</v>
      </c>
    </row>
    <row r="468" spans="1:21" x14ac:dyDescent="0.25">
      <c r="A468" t="s">
        <v>41</v>
      </c>
      <c r="B468" t="s">
        <v>954</v>
      </c>
      <c r="C468">
        <v>2</v>
      </c>
      <c r="D468" t="s">
        <v>19</v>
      </c>
      <c r="E468" t="s">
        <v>94</v>
      </c>
      <c r="F468" t="s">
        <v>113</v>
      </c>
      <c r="G468" t="s">
        <v>104</v>
      </c>
      <c r="H468" t="s">
        <v>104</v>
      </c>
      <c r="J468">
        <v>0</v>
      </c>
      <c r="K468">
        <v>1</v>
      </c>
      <c r="L468">
        <v>83.757575759999995</v>
      </c>
      <c r="M468">
        <v>22.60997987</v>
      </c>
      <c r="N468">
        <v>0.72884000000000004</v>
      </c>
      <c r="O468">
        <v>0.21301339999999999</v>
      </c>
      <c r="P468">
        <v>113.9375</v>
      </c>
      <c r="Q468">
        <v>33.375507550000002</v>
      </c>
      <c r="R468">
        <v>2.4262999999999999</v>
      </c>
      <c r="S468">
        <v>0.40692159999999999</v>
      </c>
      <c r="T468" t="s">
        <v>1014</v>
      </c>
      <c r="U468">
        <v>-30.179924239999998</v>
      </c>
    </row>
    <row r="469" spans="1:21" x14ac:dyDescent="0.25">
      <c r="A469" t="s">
        <v>41</v>
      </c>
      <c r="B469" t="s">
        <v>954</v>
      </c>
      <c r="C469">
        <v>2</v>
      </c>
      <c r="D469" t="s">
        <v>19</v>
      </c>
      <c r="E469" t="s">
        <v>94</v>
      </c>
      <c r="F469" t="s">
        <v>113</v>
      </c>
      <c r="G469" t="s">
        <v>104</v>
      </c>
      <c r="H469" t="s">
        <v>238</v>
      </c>
      <c r="J469">
        <v>0</v>
      </c>
      <c r="K469">
        <v>1</v>
      </c>
      <c r="L469">
        <v>83.757575759999995</v>
      </c>
      <c r="M469">
        <v>22.60997987</v>
      </c>
      <c r="N469">
        <v>0.72884000000000004</v>
      </c>
      <c r="O469">
        <v>0.21301339999999999</v>
      </c>
      <c r="P469">
        <v>87.5</v>
      </c>
      <c r="Q469">
        <v>29.478311600000001</v>
      </c>
      <c r="R469">
        <v>3.0797751000000002E-2</v>
      </c>
      <c r="S469">
        <v>0.12931835</v>
      </c>
      <c r="T469" t="s">
        <v>1014</v>
      </c>
      <c r="U469">
        <v>-3.7424242400000001</v>
      </c>
    </row>
    <row r="470" spans="1:21" x14ac:dyDescent="0.25">
      <c r="A470" t="s">
        <v>41</v>
      </c>
      <c r="B470" t="s">
        <v>955</v>
      </c>
      <c r="C470">
        <v>2</v>
      </c>
      <c r="D470" t="s">
        <v>19</v>
      </c>
      <c r="E470" t="s">
        <v>94</v>
      </c>
      <c r="F470" t="s">
        <v>103</v>
      </c>
      <c r="G470" t="s">
        <v>113</v>
      </c>
      <c r="H470" t="s">
        <v>103</v>
      </c>
      <c r="J470">
        <v>0</v>
      </c>
      <c r="K470">
        <v>2</v>
      </c>
      <c r="L470">
        <v>98.291666669999998</v>
      </c>
      <c r="M470">
        <v>30.315130790000001</v>
      </c>
      <c r="N470">
        <v>5.0803484000000003E-2</v>
      </c>
      <c r="O470">
        <v>0.42866070000000001</v>
      </c>
      <c r="P470">
        <v>98.291666669999998</v>
      </c>
      <c r="Q470">
        <v>30.315130790000001</v>
      </c>
      <c r="R470">
        <v>5.0803484000000003E-2</v>
      </c>
      <c r="S470">
        <v>0.42866070000000001</v>
      </c>
      <c r="T470" t="s">
        <v>1014</v>
      </c>
      <c r="U470">
        <v>0</v>
      </c>
    </row>
    <row r="471" spans="1:21" x14ac:dyDescent="0.25">
      <c r="A471" t="s">
        <v>41</v>
      </c>
      <c r="B471" t="s">
        <v>955</v>
      </c>
      <c r="C471">
        <v>2</v>
      </c>
      <c r="D471" t="s">
        <v>19</v>
      </c>
      <c r="E471" t="s">
        <v>94</v>
      </c>
      <c r="F471" t="s">
        <v>103</v>
      </c>
      <c r="G471" t="s">
        <v>113</v>
      </c>
      <c r="H471" t="s">
        <v>103</v>
      </c>
      <c r="J471">
        <v>0</v>
      </c>
      <c r="K471">
        <v>2</v>
      </c>
      <c r="L471">
        <v>98.291666669999998</v>
      </c>
      <c r="M471">
        <v>30.315130790000001</v>
      </c>
      <c r="N471">
        <v>5.0803484000000003E-2</v>
      </c>
      <c r="O471">
        <v>0.42866070000000001</v>
      </c>
      <c r="P471">
        <v>98.291666669999998</v>
      </c>
      <c r="Q471">
        <v>30.315130790000001</v>
      </c>
      <c r="R471">
        <v>5.0803484000000003E-2</v>
      </c>
      <c r="S471">
        <v>0.42866070000000001</v>
      </c>
      <c r="T471" t="s">
        <v>1014</v>
      </c>
      <c r="U471">
        <v>0</v>
      </c>
    </row>
    <row r="472" spans="1:21" x14ac:dyDescent="0.25">
      <c r="A472" t="s">
        <v>41</v>
      </c>
      <c r="B472" t="s">
        <v>955</v>
      </c>
      <c r="C472">
        <v>2</v>
      </c>
      <c r="D472" t="s">
        <v>19</v>
      </c>
      <c r="E472" t="s">
        <v>94</v>
      </c>
      <c r="F472" t="s">
        <v>103</v>
      </c>
      <c r="G472" t="s">
        <v>113</v>
      </c>
      <c r="H472" t="s">
        <v>113</v>
      </c>
      <c r="J472">
        <v>0</v>
      </c>
      <c r="K472">
        <v>3</v>
      </c>
      <c r="L472">
        <v>98.291666669999998</v>
      </c>
      <c r="M472">
        <v>30.315130790000001</v>
      </c>
      <c r="N472">
        <v>5.0803484000000003E-2</v>
      </c>
      <c r="O472">
        <v>0.42866070000000001</v>
      </c>
      <c r="P472">
        <v>83.757575759999995</v>
      </c>
      <c r="Q472">
        <v>22.60997987</v>
      </c>
      <c r="R472">
        <v>0.72884000000000004</v>
      </c>
      <c r="S472">
        <v>0.21301339999999999</v>
      </c>
      <c r="T472" t="s">
        <v>1014</v>
      </c>
      <c r="U472">
        <v>14.53409091</v>
      </c>
    </row>
    <row r="473" spans="1:21" x14ac:dyDescent="0.25">
      <c r="A473" t="s">
        <v>41</v>
      </c>
      <c r="B473" t="s">
        <v>955</v>
      </c>
      <c r="C473">
        <v>2</v>
      </c>
      <c r="D473" t="s">
        <v>19</v>
      </c>
      <c r="E473" t="s">
        <v>94</v>
      </c>
      <c r="F473" t="s">
        <v>103</v>
      </c>
      <c r="G473" t="s">
        <v>113</v>
      </c>
      <c r="H473" t="s">
        <v>113</v>
      </c>
      <c r="J473">
        <v>0</v>
      </c>
      <c r="K473">
        <v>3</v>
      </c>
      <c r="L473">
        <v>98.291666669999998</v>
      </c>
      <c r="M473">
        <v>30.315130790000001</v>
      </c>
      <c r="N473">
        <v>5.0803484000000003E-2</v>
      </c>
      <c r="O473">
        <v>0.42866070000000001</v>
      </c>
      <c r="P473">
        <v>83.757575759999995</v>
      </c>
      <c r="Q473">
        <v>22.60997987</v>
      </c>
      <c r="R473">
        <v>0.72884000000000004</v>
      </c>
      <c r="S473">
        <v>0.21301339999999999</v>
      </c>
      <c r="T473" t="s">
        <v>1014</v>
      </c>
      <c r="U473">
        <v>14.53409091</v>
      </c>
    </row>
    <row r="474" spans="1:21" x14ac:dyDescent="0.25">
      <c r="A474" t="s">
        <v>41</v>
      </c>
      <c r="B474" t="s">
        <v>955</v>
      </c>
      <c r="C474">
        <v>2</v>
      </c>
      <c r="D474" t="s">
        <v>19</v>
      </c>
      <c r="E474" t="s">
        <v>94</v>
      </c>
      <c r="F474" t="s">
        <v>103</v>
      </c>
      <c r="G474" t="s">
        <v>113</v>
      </c>
      <c r="H474" t="s">
        <v>113</v>
      </c>
      <c r="J474">
        <v>0</v>
      </c>
      <c r="K474">
        <v>3</v>
      </c>
      <c r="L474">
        <v>98.291666669999998</v>
      </c>
      <c r="M474">
        <v>30.315130790000001</v>
      </c>
      <c r="N474">
        <v>5.0803484000000003E-2</v>
      </c>
      <c r="O474">
        <v>0.42866070000000001</v>
      </c>
      <c r="P474">
        <v>83.757575759999995</v>
      </c>
      <c r="Q474">
        <v>22.60997987</v>
      </c>
      <c r="R474">
        <v>0.72884000000000004</v>
      </c>
      <c r="S474">
        <v>0.21301339999999999</v>
      </c>
      <c r="T474" t="s">
        <v>1014</v>
      </c>
      <c r="U474">
        <v>14.53409091</v>
      </c>
    </row>
    <row r="475" spans="1:21" x14ac:dyDescent="0.25">
      <c r="A475" t="s">
        <v>42</v>
      </c>
      <c r="B475" t="s">
        <v>956</v>
      </c>
      <c r="C475">
        <v>2</v>
      </c>
      <c r="D475" t="s">
        <v>21</v>
      </c>
      <c r="E475" t="s">
        <v>94</v>
      </c>
      <c r="F475" t="s">
        <v>105</v>
      </c>
      <c r="G475" t="s">
        <v>121</v>
      </c>
      <c r="H475" t="s">
        <v>242</v>
      </c>
      <c r="J475">
        <v>0</v>
      </c>
      <c r="K475">
        <v>6</v>
      </c>
      <c r="L475">
        <v>67.5</v>
      </c>
      <c r="M475">
        <v>47.937235809999997</v>
      </c>
      <c r="N475">
        <v>0.41599678000000001</v>
      </c>
      <c r="O475">
        <v>2.0950346999999998</v>
      </c>
      <c r="P475">
        <v>139.375</v>
      </c>
      <c r="Q475">
        <v>23.713465920000001</v>
      </c>
      <c r="R475" t="s">
        <v>114</v>
      </c>
      <c r="S475" t="s">
        <v>114</v>
      </c>
      <c r="T475" t="s">
        <v>1014</v>
      </c>
      <c r="U475">
        <v>-71.875</v>
      </c>
    </row>
    <row r="476" spans="1:21" x14ac:dyDescent="0.25">
      <c r="A476" t="s">
        <v>42</v>
      </c>
      <c r="B476" t="s">
        <v>956</v>
      </c>
      <c r="C476">
        <v>2</v>
      </c>
      <c r="D476" t="s">
        <v>21</v>
      </c>
      <c r="E476" t="s">
        <v>94</v>
      </c>
      <c r="F476" t="s">
        <v>105</v>
      </c>
      <c r="G476" t="s">
        <v>121</v>
      </c>
      <c r="H476" t="s">
        <v>242</v>
      </c>
      <c r="J476">
        <v>0</v>
      </c>
      <c r="K476">
        <v>6</v>
      </c>
      <c r="L476">
        <v>67.5</v>
      </c>
      <c r="M476">
        <v>47.937235809999997</v>
      </c>
      <c r="N476">
        <v>0.41599678000000001</v>
      </c>
      <c r="O476">
        <v>2.0950346999999998</v>
      </c>
      <c r="P476">
        <v>139.375</v>
      </c>
      <c r="Q476">
        <v>23.713465920000001</v>
      </c>
      <c r="R476" t="s">
        <v>114</v>
      </c>
      <c r="S476" t="s">
        <v>114</v>
      </c>
      <c r="T476" t="s">
        <v>1014</v>
      </c>
      <c r="U476">
        <v>-71.875</v>
      </c>
    </row>
    <row r="477" spans="1:21" x14ac:dyDescent="0.25">
      <c r="A477" t="s">
        <v>42</v>
      </c>
      <c r="B477" t="s">
        <v>956</v>
      </c>
      <c r="C477">
        <v>2</v>
      </c>
      <c r="D477" t="s">
        <v>21</v>
      </c>
      <c r="E477" t="s">
        <v>94</v>
      </c>
      <c r="F477" t="s">
        <v>105</v>
      </c>
      <c r="G477" t="s">
        <v>121</v>
      </c>
      <c r="H477" t="s">
        <v>242</v>
      </c>
      <c r="J477">
        <v>0</v>
      </c>
      <c r="K477">
        <v>6</v>
      </c>
      <c r="L477">
        <v>67.5</v>
      </c>
      <c r="M477">
        <v>47.937235809999997</v>
      </c>
      <c r="N477">
        <v>0.41599678000000001</v>
      </c>
      <c r="O477">
        <v>2.0950346999999998</v>
      </c>
      <c r="P477">
        <v>139.375</v>
      </c>
      <c r="Q477">
        <v>23.713465920000001</v>
      </c>
      <c r="R477" t="s">
        <v>114</v>
      </c>
      <c r="S477" t="s">
        <v>114</v>
      </c>
      <c r="T477" t="s">
        <v>1014</v>
      </c>
      <c r="U477">
        <v>-71.875</v>
      </c>
    </row>
    <row r="478" spans="1:21" x14ac:dyDescent="0.25">
      <c r="A478" t="s">
        <v>42</v>
      </c>
      <c r="B478" t="s">
        <v>956</v>
      </c>
      <c r="C478">
        <v>2</v>
      </c>
      <c r="D478" t="s">
        <v>21</v>
      </c>
      <c r="E478" t="s">
        <v>94</v>
      </c>
      <c r="F478" t="s">
        <v>105</v>
      </c>
      <c r="G478" t="s">
        <v>121</v>
      </c>
      <c r="H478" t="s">
        <v>242</v>
      </c>
      <c r="J478">
        <v>0</v>
      </c>
      <c r="K478">
        <v>6</v>
      </c>
      <c r="L478">
        <v>67.5</v>
      </c>
      <c r="M478">
        <v>47.937235809999997</v>
      </c>
      <c r="N478">
        <v>0.41599678000000001</v>
      </c>
      <c r="O478">
        <v>2.0950346999999998</v>
      </c>
      <c r="P478">
        <v>139.375</v>
      </c>
      <c r="Q478">
        <v>23.713465920000001</v>
      </c>
      <c r="R478" t="s">
        <v>114</v>
      </c>
      <c r="S478" t="s">
        <v>114</v>
      </c>
      <c r="T478" t="s">
        <v>1014</v>
      </c>
      <c r="U478">
        <v>-71.875</v>
      </c>
    </row>
    <row r="479" spans="1:21" x14ac:dyDescent="0.25">
      <c r="A479" t="s">
        <v>42</v>
      </c>
      <c r="B479" t="s">
        <v>956</v>
      </c>
      <c r="C479">
        <v>2</v>
      </c>
      <c r="D479" t="s">
        <v>21</v>
      </c>
      <c r="E479" t="s">
        <v>94</v>
      </c>
      <c r="F479" t="s">
        <v>105</v>
      </c>
      <c r="G479" t="s">
        <v>121</v>
      </c>
      <c r="H479" t="s">
        <v>242</v>
      </c>
      <c r="J479">
        <v>0</v>
      </c>
      <c r="K479">
        <v>6</v>
      </c>
      <c r="L479">
        <v>67.5</v>
      </c>
      <c r="M479">
        <v>47.937235809999997</v>
      </c>
      <c r="N479">
        <v>0.41599678000000001</v>
      </c>
      <c r="O479">
        <v>2.0950346999999998</v>
      </c>
      <c r="P479">
        <v>139.375</v>
      </c>
      <c r="Q479">
        <v>23.713465920000001</v>
      </c>
      <c r="R479" t="s">
        <v>114</v>
      </c>
      <c r="S479" t="s">
        <v>114</v>
      </c>
      <c r="T479" t="s">
        <v>1014</v>
      </c>
      <c r="U479">
        <v>-71.875</v>
      </c>
    </row>
    <row r="480" spans="1:21" x14ac:dyDescent="0.25">
      <c r="A480" t="s">
        <v>42</v>
      </c>
      <c r="B480" t="s">
        <v>956</v>
      </c>
      <c r="C480">
        <v>2</v>
      </c>
      <c r="D480" t="s">
        <v>21</v>
      </c>
      <c r="E480" t="s">
        <v>94</v>
      </c>
      <c r="F480" t="s">
        <v>105</v>
      </c>
      <c r="G480" t="s">
        <v>121</v>
      </c>
      <c r="H480" t="s">
        <v>242</v>
      </c>
      <c r="J480">
        <v>0</v>
      </c>
      <c r="K480">
        <v>6</v>
      </c>
      <c r="L480">
        <v>67.5</v>
      </c>
      <c r="M480">
        <v>47.937235809999997</v>
      </c>
      <c r="N480">
        <v>0.41599678000000001</v>
      </c>
      <c r="O480">
        <v>2.0950346999999998</v>
      </c>
      <c r="P480">
        <v>139.375</v>
      </c>
      <c r="Q480">
        <v>23.713465920000001</v>
      </c>
      <c r="R480" t="s">
        <v>114</v>
      </c>
      <c r="S480" t="s">
        <v>114</v>
      </c>
      <c r="T480" t="s">
        <v>1014</v>
      </c>
      <c r="U480">
        <v>-71.875</v>
      </c>
    </row>
    <row r="481" spans="1:21" x14ac:dyDescent="0.25">
      <c r="A481" t="s">
        <v>42</v>
      </c>
      <c r="B481" t="s">
        <v>957</v>
      </c>
      <c r="C481">
        <v>2</v>
      </c>
      <c r="D481" t="s">
        <v>21</v>
      </c>
      <c r="E481" t="s">
        <v>94</v>
      </c>
      <c r="F481" t="s">
        <v>110</v>
      </c>
      <c r="G481" t="s">
        <v>113</v>
      </c>
      <c r="H481" t="s">
        <v>104</v>
      </c>
      <c r="J481">
        <v>0</v>
      </c>
      <c r="K481">
        <v>2</v>
      </c>
      <c r="L481">
        <v>73.260869569999997</v>
      </c>
      <c r="M481">
        <v>34.453830549999999</v>
      </c>
      <c r="N481">
        <v>1.058333333</v>
      </c>
      <c r="O481">
        <v>0.90897070000000002</v>
      </c>
      <c r="P481">
        <v>113.9375</v>
      </c>
      <c r="Q481">
        <v>33.375507550000002</v>
      </c>
      <c r="R481">
        <v>2.4262999999999999</v>
      </c>
      <c r="S481">
        <v>0.40692159999999999</v>
      </c>
      <c r="T481" t="s">
        <v>1014</v>
      </c>
      <c r="U481">
        <v>-40.676630430000003</v>
      </c>
    </row>
    <row r="482" spans="1:21" x14ac:dyDescent="0.25">
      <c r="A482" t="s">
        <v>42</v>
      </c>
      <c r="B482" t="s">
        <v>957</v>
      </c>
      <c r="C482">
        <v>2</v>
      </c>
      <c r="D482" t="s">
        <v>21</v>
      </c>
      <c r="E482" t="s">
        <v>94</v>
      </c>
      <c r="F482" t="s">
        <v>110</v>
      </c>
      <c r="G482" t="s">
        <v>113</v>
      </c>
      <c r="H482" t="s">
        <v>104</v>
      </c>
      <c r="J482">
        <v>0</v>
      </c>
      <c r="K482">
        <v>2</v>
      </c>
      <c r="L482">
        <v>73.260869569999997</v>
      </c>
      <c r="M482">
        <v>34.453830549999999</v>
      </c>
      <c r="N482">
        <v>1.058333333</v>
      </c>
      <c r="O482">
        <v>0.90897070000000002</v>
      </c>
      <c r="P482">
        <v>113.9375</v>
      </c>
      <c r="Q482">
        <v>33.375507550000002</v>
      </c>
      <c r="R482">
        <v>2.4262999999999999</v>
      </c>
      <c r="S482">
        <v>0.40692159999999999</v>
      </c>
      <c r="T482" t="s">
        <v>1014</v>
      </c>
      <c r="U482">
        <v>-40.676630430000003</v>
      </c>
    </row>
    <row r="483" spans="1:21" x14ac:dyDescent="0.25">
      <c r="A483" t="s">
        <v>42</v>
      </c>
      <c r="B483" t="s">
        <v>957</v>
      </c>
      <c r="C483">
        <v>2</v>
      </c>
      <c r="D483" t="s">
        <v>21</v>
      </c>
      <c r="E483" t="s">
        <v>94</v>
      </c>
      <c r="F483" t="s">
        <v>110</v>
      </c>
      <c r="G483" t="s">
        <v>113</v>
      </c>
      <c r="H483" t="s">
        <v>242</v>
      </c>
      <c r="J483">
        <v>0</v>
      </c>
      <c r="K483">
        <v>5</v>
      </c>
      <c r="L483">
        <v>73.260869569999997</v>
      </c>
      <c r="M483">
        <v>34.453830549999999</v>
      </c>
      <c r="N483">
        <v>1.058333333</v>
      </c>
      <c r="O483">
        <v>0.90897070000000002</v>
      </c>
      <c r="P483">
        <v>139.375</v>
      </c>
      <c r="Q483">
        <v>23.713465920000001</v>
      </c>
      <c r="R483" t="s">
        <v>114</v>
      </c>
      <c r="S483" t="s">
        <v>114</v>
      </c>
      <c r="T483" t="s">
        <v>1014</v>
      </c>
      <c r="U483">
        <v>-66.114130430000003</v>
      </c>
    </row>
    <row r="484" spans="1:21" x14ac:dyDescent="0.25">
      <c r="A484" t="s">
        <v>42</v>
      </c>
      <c r="B484" t="s">
        <v>957</v>
      </c>
      <c r="C484">
        <v>2</v>
      </c>
      <c r="D484" t="s">
        <v>21</v>
      </c>
      <c r="E484" t="s">
        <v>94</v>
      </c>
      <c r="F484" t="s">
        <v>110</v>
      </c>
      <c r="G484" t="s">
        <v>113</v>
      </c>
      <c r="H484" t="s">
        <v>242</v>
      </c>
      <c r="J484">
        <v>0</v>
      </c>
      <c r="K484">
        <v>5</v>
      </c>
      <c r="L484">
        <v>73.260869569999997</v>
      </c>
      <c r="M484">
        <v>34.453830549999999</v>
      </c>
      <c r="N484">
        <v>1.058333333</v>
      </c>
      <c r="O484">
        <v>0.90897070000000002</v>
      </c>
      <c r="P484">
        <v>139.375</v>
      </c>
      <c r="Q484">
        <v>23.713465920000001</v>
      </c>
      <c r="R484" t="s">
        <v>114</v>
      </c>
      <c r="S484" t="s">
        <v>114</v>
      </c>
      <c r="T484" t="s">
        <v>1014</v>
      </c>
      <c r="U484">
        <v>-66.114130430000003</v>
      </c>
    </row>
    <row r="485" spans="1:21" x14ac:dyDescent="0.25">
      <c r="A485" t="s">
        <v>42</v>
      </c>
      <c r="B485" t="s">
        <v>957</v>
      </c>
      <c r="C485">
        <v>2</v>
      </c>
      <c r="D485" t="s">
        <v>21</v>
      </c>
      <c r="E485" t="s">
        <v>94</v>
      </c>
      <c r="F485" t="s">
        <v>110</v>
      </c>
      <c r="G485" t="s">
        <v>113</v>
      </c>
      <c r="H485" t="s">
        <v>242</v>
      </c>
      <c r="J485">
        <v>0</v>
      </c>
      <c r="K485">
        <v>5</v>
      </c>
      <c r="L485">
        <v>73.260869569999997</v>
      </c>
      <c r="M485">
        <v>34.453830549999999</v>
      </c>
      <c r="N485">
        <v>1.058333333</v>
      </c>
      <c r="O485">
        <v>0.90897070000000002</v>
      </c>
      <c r="P485">
        <v>139.375</v>
      </c>
      <c r="Q485">
        <v>23.713465920000001</v>
      </c>
      <c r="R485" t="s">
        <v>114</v>
      </c>
      <c r="S485" t="s">
        <v>114</v>
      </c>
      <c r="T485" t="s">
        <v>1014</v>
      </c>
      <c r="U485">
        <v>-66.114130430000003</v>
      </c>
    </row>
    <row r="486" spans="1:21" x14ac:dyDescent="0.25">
      <c r="A486" t="s">
        <v>42</v>
      </c>
      <c r="B486" t="s">
        <v>957</v>
      </c>
      <c r="C486">
        <v>2</v>
      </c>
      <c r="D486" t="s">
        <v>21</v>
      </c>
      <c r="E486" t="s">
        <v>94</v>
      </c>
      <c r="F486" t="s">
        <v>110</v>
      </c>
      <c r="G486" t="s">
        <v>113</v>
      </c>
      <c r="H486" t="s">
        <v>242</v>
      </c>
      <c r="J486">
        <v>0</v>
      </c>
      <c r="K486">
        <v>5</v>
      </c>
      <c r="L486">
        <v>73.260869569999997</v>
      </c>
      <c r="M486">
        <v>34.453830549999999</v>
      </c>
      <c r="N486">
        <v>1.058333333</v>
      </c>
      <c r="O486">
        <v>0.90897070000000002</v>
      </c>
      <c r="P486">
        <v>139.375</v>
      </c>
      <c r="Q486">
        <v>23.713465920000001</v>
      </c>
      <c r="R486" t="s">
        <v>114</v>
      </c>
      <c r="S486" t="s">
        <v>114</v>
      </c>
      <c r="T486" t="s">
        <v>1014</v>
      </c>
      <c r="U486">
        <v>-66.114130430000003</v>
      </c>
    </row>
    <row r="487" spans="1:21" x14ac:dyDescent="0.25">
      <c r="A487" t="s">
        <v>42</v>
      </c>
      <c r="B487" t="s">
        <v>957</v>
      </c>
      <c r="C487">
        <v>2</v>
      </c>
      <c r="D487" t="s">
        <v>21</v>
      </c>
      <c r="E487" t="s">
        <v>94</v>
      </c>
      <c r="F487" t="s">
        <v>110</v>
      </c>
      <c r="G487" t="s">
        <v>113</v>
      </c>
      <c r="H487" t="s">
        <v>242</v>
      </c>
      <c r="J487">
        <v>0</v>
      </c>
      <c r="K487">
        <v>5</v>
      </c>
      <c r="L487">
        <v>73.260869569999997</v>
      </c>
      <c r="M487">
        <v>34.453830549999999</v>
      </c>
      <c r="N487">
        <v>1.058333333</v>
      </c>
      <c r="O487">
        <v>0.90897070000000002</v>
      </c>
      <c r="P487">
        <v>139.375</v>
      </c>
      <c r="Q487">
        <v>23.713465920000001</v>
      </c>
      <c r="R487" t="s">
        <v>114</v>
      </c>
      <c r="S487" t="s">
        <v>114</v>
      </c>
      <c r="T487" t="s">
        <v>1014</v>
      </c>
      <c r="U487">
        <v>-66.114130430000003</v>
      </c>
    </row>
    <row r="488" spans="1:21" x14ac:dyDescent="0.25">
      <c r="A488" t="s">
        <v>42</v>
      </c>
      <c r="B488" t="s">
        <v>957</v>
      </c>
      <c r="C488">
        <v>2</v>
      </c>
      <c r="D488" t="s">
        <v>21</v>
      </c>
      <c r="E488" t="s">
        <v>94</v>
      </c>
      <c r="F488" t="s">
        <v>110</v>
      </c>
      <c r="G488" t="s">
        <v>113</v>
      </c>
      <c r="H488" t="s">
        <v>113</v>
      </c>
      <c r="J488">
        <v>0</v>
      </c>
      <c r="K488">
        <v>2</v>
      </c>
      <c r="L488">
        <v>73.260869569999997</v>
      </c>
      <c r="M488">
        <v>34.453830549999999</v>
      </c>
      <c r="N488">
        <v>1.058333333</v>
      </c>
      <c r="O488">
        <v>0.90897070000000002</v>
      </c>
      <c r="P488">
        <v>83.757575759999995</v>
      </c>
      <c r="Q488">
        <v>22.60997987</v>
      </c>
      <c r="R488">
        <v>0.72884000000000004</v>
      </c>
      <c r="S488">
        <v>0.21301339999999999</v>
      </c>
      <c r="T488" t="s">
        <v>1014</v>
      </c>
      <c r="U488">
        <v>-10.496706189999999</v>
      </c>
    </row>
    <row r="489" spans="1:21" x14ac:dyDescent="0.25">
      <c r="A489" t="s">
        <v>42</v>
      </c>
      <c r="B489" t="s">
        <v>957</v>
      </c>
      <c r="C489">
        <v>2</v>
      </c>
      <c r="D489" t="s">
        <v>21</v>
      </c>
      <c r="E489" t="s">
        <v>94</v>
      </c>
      <c r="F489" t="s">
        <v>110</v>
      </c>
      <c r="G489" t="s">
        <v>113</v>
      </c>
      <c r="H489" t="s">
        <v>113</v>
      </c>
      <c r="J489">
        <v>0</v>
      </c>
      <c r="K489">
        <v>2</v>
      </c>
      <c r="L489">
        <v>73.260869569999997</v>
      </c>
      <c r="M489">
        <v>34.453830549999999</v>
      </c>
      <c r="N489">
        <v>1.058333333</v>
      </c>
      <c r="O489">
        <v>0.90897070000000002</v>
      </c>
      <c r="P489">
        <v>83.757575759999995</v>
      </c>
      <c r="Q489">
        <v>22.60997987</v>
      </c>
      <c r="R489">
        <v>0.72884000000000004</v>
      </c>
      <c r="S489">
        <v>0.21301339999999999</v>
      </c>
      <c r="T489" t="s">
        <v>1014</v>
      </c>
      <c r="U489">
        <v>-10.496706189999999</v>
      </c>
    </row>
    <row r="490" spans="1:21" x14ac:dyDescent="0.25">
      <c r="A490" t="s">
        <v>42</v>
      </c>
      <c r="B490" t="s">
        <v>958</v>
      </c>
      <c r="C490">
        <v>2</v>
      </c>
      <c r="D490" t="s">
        <v>21</v>
      </c>
      <c r="E490" t="s">
        <v>94</v>
      </c>
      <c r="F490" t="s">
        <v>111</v>
      </c>
      <c r="G490" t="s">
        <v>110</v>
      </c>
      <c r="H490" t="s">
        <v>113</v>
      </c>
      <c r="J490">
        <v>0</v>
      </c>
      <c r="K490">
        <v>1</v>
      </c>
      <c r="L490">
        <v>94.97142857</v>
      </c>
      <c r="M490">
        <v>24.31591813</v>
      </c>
      <c r="N490">
        <v>0.122951111</v>
      </c>
      <c r="O490">
        <v>0.39050790000000002</v>
      </c>
      <c r="P490">
        <v>83.757575759999995</v>
      </c>
      <c r="Q490">
        <v>22.60997987</v>
      </c>
      <c r="R490">
        <v>0.72884000000000004</v>
      </c>
      <c r="S490">
        <v>0.21301339999999999</v>
      </c>
      <c r="T490" t="s">
        <v>1014</v>
      </c>
      <c r="U490">
        <v>11.213852810000001</v>
      </c>
    </row>
    <row r="491" spans="1:21" x14ac:dyDescent="0.25">
      <c r="A491" t="s">
        <v>42</v>
      </c>
      <c r="B491" t="s">
        <v>958</v>
      </c>
      <c r="C491">
        <v>2</v>
      </c>
      <c r="D491" t="s">
        <v>21</v>
      </c>
      <c r="E491" t="s">
        <v>94</v>
      </c>
      <c r="F491" t="s">
        <v>111</v>
      </c>
      <c r="G491" t="s">
        <v>110</v>
      </c>
      <c r="H491" t="s">
        <v>110</v>
      </c>
      <c r="J491">
        <v>0</v>
      </c>
      <c r="K491">
        <v>1</v>
      </c>
      <c r="L491">
        <v>94.97142857</v>
      </c>
      <c r="M491">
        <v>24.31591813</v>
      </c>
      <c r="N491">
        <v>0.122951111</v>
      </c>
      <c r="O491">
        <v>0.39050790000000002</v>
      </c>
      <c r="P491">
        <v>73.260869569999997</v>
      </c>
      <c r="Q491">
        <v>34.453830549999999</v>
      </c>
      <c r="R491">
        <v>1.058333333</v>
      </c>
      <c r="S491">
        <v>0.90897070000000002</v>
      </c>
      <c r="T491" t="s">
        <v>1014</v>
      </c>
      <c r="U491">
        <v>21.710559</v>
      </c>
    </row>
    <row r="492" spans="1:21" x14ac:dyDescent="0.25">
      <c r="A492" t="s">
        <v>42</v>
      </c>
      <c r="B492" t="s">
        <v>959</v>
      </c>
      <c r="C492">
        <v>2</v>
      </c>
      <c r="D492" t="s">
        <v>21</v>
      </c>
      <c r="E492" t="s">
        <v>94</v>
      </c>
      <c r="F492" t="s">
        <v>104</v>
      </c>
      <c r="G492" t="s">
        <v>121</v>
      </c>
      <c r="H492" t="s">
        <v>110</v>
      </c>
      <c r="J492">
        <v>1</v>
      </c>
      <c r="K492">
        <v>2</v>
      </c>
      <c r="L492">
        <v>113.9375</v>
      </c>
      <c r="M492">
        <v>33.375507550000002</v>
      </c>
      <c r="N492">
        <v>2.4262999999999999</v>
      </c>
      <c r="O492">
        <v>0.40692159999999999</v>
      </c>
      <c r="P492">
        <v>73.260869569999997</v>
      </c>
      <c r="Q492">
        <v>34.453830549999999</v>
      </c>
      <c r="R492">
        <v>1.058333333</v>
      </c>
      <c r="S492">
        <v>0.90897070000000002</v>
      </c>
      <c r="T492" t="s">
        <v>1014</v>
      </c>
      <c r="U492">
        <v>40.676630430000003</v>
      </c>
    </row>
    <row r="493" spans="1:21" x14ac:dyDescent="0.25">
      <c r="A493" t="s">
        <v>42</v>
      </c>
      <c r="B493" t="s">
        <v>959</v>
      </c>
      <c r="C493">
        <v>2</v>
      </c>
      <c r="D493" t="s">
        <v>21</v>
      </c>
      <c r="E493" t="s">
        <v>94</v>
      </c>
      <c r="F493" t="s">
        <v>104</v>
      </c>
      <c r="G493" t="s">
        <v>121</v>
      </c>
      <c r="H493" t="s">
        <v>110</v>
      </c>
      <c r="J493">
        <v>1</v>
      </c>
      <c r="K493">
        <v>2</v>
      </c>
      <c r="L493">
        <v>113.9375</v>
      </c>
      <c r="M493">
        <v>33.375507550000002</v>
      </c>
      <c r="N493">
        <v>2.4262999999999999</v>
      </c>
      <c r="O493">
        <v>0.40692159999999999</v>
      </c>
      <c r="P493">
        <v>73.260869569999997</v>
      </c>
      <c r="Q493">
        <v>34.453830549999999</v>
      </c>
      <c r="R493">
        <v>1.058333333</v>
      </c>
      <c r="S493">
        <v>0.90897070000000002</v>
      </c>
      <c r="T493" t="s">
        <v>1014</v>
      </c>
      <c r="U493">
        <v>40.676630430000003</v>
      </c>
    </row>
    <row r="494" spans="1:21" x14ac:dyDescent="0.25">
      <c r="A494" t="s">
        <v>42</v>
      </c>
      <c r="B494" t="s">
        <v>959</v>
      </c>
      <c r="C494">
        <v>2</v>
      </c>
      <c r="D494" t="s">
        <v>21</v>
      </c>
      <c r="E494" t="s">
        <v>94</v>
      </c>
      <c r="F494" t="s">
        <v>104</v>
      </c>
      <c r="G494" t="s">
        <v>121</v>
      </c>
      <c r="H494" t="s">
        <v>240</v>
      </c>
      <c r="J494">
        <v>1</v>
      </c>
      <c r="K494">
        <v>2</v>
      </c>
      <c r="L494">
        <v>113.9375</v>
      </c>
      <c r="M494">
        <v>33.375507550000002</v>
      </c>
      <c r="N494">
        <v>2.4262999999999999</v>
      </c>
      <c r="O494">
        <v>0.40692159999999999</v>
      </c>
      <c r="P494">
        <v>104.83333330000001</v>
      </c>
      <c r="Q494">
        <v>43.798647680000002</v>
      </c>
      <c r="R494">
        <v>7.7741939999999999E-3</v>
      </c>
      <c r="S494" t="s">
        <v>114</v>
      </c>
      <c r="T494" t="s">
        <v>1014</v>
      </c>
      <c r="U494">
        <v>9.1041667000000004</v>
      </c>
    </row>
    <row r="495" spans="1:21" x14ac:dyDescent="0.25">
      <c r="A495" t="s">
        <v>42</v>
      </c>
      <c r="B495" t="s">
        <v>959</v>
      </c>
      <c r="C495">
        <v>2</v>
      </c>
      <c r="D495" t="s">
        <v>21</v>
      </c>
      <c r="E495" t="s">
        <v>94</v>
      </c>
      <c r="F495" t="s">
        <v>104</v>
      </c>
      <c r="G495" t="s">
        <v>121</v>
      </c>
      <c r="H495" t="s">
        <v>240</v>
      </c>
      <c r="J495">
        <v>1</v>
      </c>
      <c r="K495">
        <v>2</v>
      </c>
      <c r="L495">
        <v>113.9375</v>
      </c>
      <c r="M495">
        <v>33.375507550000002</v>
      </c>
      <c r="N495">
        <v>2.4262999999999999</v>
      </c>
      <c r="O495">
        <v>0.40692159999999999</v>
      </c>
      <c r="P495">
        <v>104.83333330000001</v>
      </c>
      <c r="Q495">
        <v>43.798647680000002</v>
      </c>
      <c r="R495">
        <v>7.7741939999999999E-3</v>
      </c>
      <c r="S495" t="s">
        <v>114</v>
      </c>
      <c r="T495" t="s">
        <v>1014</v>
      </c>
      <c r="U495">
        <v>9.1041667000000004</v>
      </c>
    </row>
    <row r="496" spans="1:21" x14ac:dyDescent="0.25">
      <c r="A496" t="s">
        <v>42</v>
      </c>
      <c r="B496" t="s">
        <v>959</v>
      </c>
      <c r="C496">
        <v>2</v>
      </c>
      <c r="D496" t="s">
        <v>21</v>
      </c>
      <c r="E496" t="s">
        <v>94</v>
      </c>
      <c r="F496" t="s">
        <v>104</v>
      </c>
      <c r="G496" t="s">
        <v>121</v>
      </c>
      <c r="H496" t="s">
        <v>241</v>
      </c>
      <c r="J496">
        <v>1</v>
      </c>
      <c r="K496">
        <v>1</v>
      </c>
      <c r="L496">
        <v>113.9375</v>
      </c>
      <c r="M496">
        <v>33.375507550000002</v>
      </c>
      <c r="N496">
        <v>2.4262999999999999</v>
      </c>
      <c r="O496">
        <v>0.40692159999999999</v>
      </c>
      <c r="P496">
        <v>114</v>
      </c>
      <c r="Q496">
        <v>30.43077242</v>
      </c>
      <c r="R496">
        <v>0.53383111100000002</v>
      </c>
      <c r="S496">
        <v>0.28333332999999999</v>
      </c>
      <c r="T496" t="s">
        <v>1014</v>
      </c>
      <c r="U496">
        <v>-6.25E-2</v>
      </c>
    </row>
    <row r="497" spans="1:21" x14ac:dyDescent="0.25">
      <c r="A497" t="s">
        <v>43</v>
      </c>
      <c r="B497" t="s">
        <v>960</v>
      </c>
      <c r="C497">
        <v>2</v>
      </c>
      <c r="D497" t="s">
        <v>23</v>
      </c>
      <c r="E497" t="s">
        <v>94</v>
      </c>
      <c r="F497" t="s">
        <v>105</v>
      </c>
      <c r="G497" t="s">
        <v>104</v>
      </c>
      <c r="H497" t="s">
        <v>104</v>
      </c>
      <c r="J497">
        <v>0</v>
      </c>
      <c r="K497">
        <v>1</v>
      </c>
      <c r="L497">
        <v>67.5</v>
      </c>
      <c r="M497">
        <v>47.937235809999997</v>
      </c>
      <c r="N497">
        <v>0.41599678000000001</v>
      </c>
      <c r="O497">
        <v>2.0950346999999998</v>
      </c>
      <c r="P497">
        <v>113.9375</v>
      </c>
      <c r="Q497">
        <v>33.375507550000002</v>
      </c>
      <c r="R497">
        <v>2.4262999999999999</v>
      </c>
      <c r="S497">
        <v>0.40692159999999999</v>
      </c>
      <c r="T497" t="s">
        <v>1014</v>
      </c>
      <c r="U497">
        <v>-46.4375</v>
      </c>
    </row>
    <row r="498" spans="1:21" x14ac:dyDescent="0.25">
      <c r="A498" t="s">
        <v>43</v>
      </c>
      <c r="B498" t="s">
        <v>961</v>
      </c>
      <c r="C498">
        <v>2</v>
      </c>
      <c r="D498" t="s">
        <v>23</v>
      </c>
      <c r="E498" t="s">
        <v>94</v>
      </c>
      <c r="F498" t="s">
        <v>110</v>
      </c>
      <c r="G498" t="s">
        <v>110</v>
      </c>
      <c r="H498" t="s">
        <v>110</v>
      </c>
      <c r="J498">
        <v>0</v>
      </c>
      <c r="K498">
        <v>1</v>
      </c>
      <c r="L498">
        <v>73.260869569999997</v>
      </c>
      <c r="M498">
        <v>34.453830549999999</v>
      </c>
      <c r="N498">
        <v>1.058333333</v>
      </c>
      <c r="O498">
        <v>0.90897070000000002</v>
      </c>
      <c r="P498">
        <v>73.260869569999997</v>
      </c>
      <c r="Q498">
        <v>34.453830549999999</v>
      </c>
      <c r="R498">
        <v>1.058333333</v>
      </c>
      <c r="S498">
        <v>0.90897070000000002</v>
      </c>
      <c r="T498" t="s">
        <v>1014</v>
      </c>
      <c r="U498">
        <v>0</v>
      </c>
    </row>
    <row r="499" spans="1:21" x14ac:dyDescent="0.25">
      <c r="A499" t="s">
        <v>43</v>
      </c>
      <c r="B499" t="s">
        <v>962</v>
      </c>
      <c r="C499">
        <v>2</v>
      </c>
      <c r="D499" t="s">
        <v>23</v>
      </c>
      <c r="E499" t="s">
        <v>94</v>
      </c>
      <c r="F499" t="s">
        <v>111</v>
      </c>
      <c r="G499" t="s">
        <v>121</v>
      </c>
      <c r="H499" t="s">
        <v>114</v>
      </c>
      <c r="J499">
        <v>0</v>
      </c>
      <c r="K499" t="s">
        <v>114</v>
      </c>
      <c r="L499">
        <v>94.97142857</v>
      </c>
      <c r="M499">
        <v>24.31591813</v>
      </c>
      <c r="N499">
        <v>0.122951111</v>
      </c>
      <c r="O499">
        <v>0.39050790000000002</v>
      </c>
      <c r="P499" t="s">
        <v>114</v>
      </c>
      <c r="Q499" t="s">
        <v>114</v>
      </c>
      <c r="R499" t="s">
        <v>114</v>
      </c>
      <c r="S499" t="s">
        <v>114</v>
      </c>
      <c r="T499" t="s">
        <v>1014</v>
      </c>
      <c r="U499" t="s">
        <v>114</v>
      </c>
    </row>
    <row r="500" spans="1:21" x14ac:dyDescent="0.25">
      <c r="A500" t="s">
        <v>43</v>
      </c>
      <c r="B500" t="s">
        <v>963</v>
      </c>
      <c r="C500">
        <v>2</v>
      </c>
      <c r="D500" t="s">
        <v>23</v>
      </c>
      <c r="E500" t="s">
        <v>94</v>
      </c>
      <c r="F500" t="s">
        <v>104</v>
      </c>
      <c r="G500" t="s">
        <v>104</v>
      </c>
      <c r="H500" t="s">
        <v>104</v>
      </c>
      <c r="J500">
        <v>0</v>
      </c>
      <c r="K500">
        <v>1</v>
      </c>
      <c r="L500">
        <v>113.9375</v>
      </c>
      <c r="M500">
        <v>33.375507550000002</v>
      </c>
      <c r="N500">
        <v>2.4262999999999999</v>
      </c>
      <c r="O500">
        <v>0.40692159999999999</v>
      </c>
      <c r="P500">
        <v>113.9375</v>
      </c>
      <c r="Q500">
        <v>33.375507550000002</v>
      </c>
      <c r="R500">
        <v>2.4262999999999999</v>
      </c>
      <c r="S500">
        <v>0.40692159999999999</v>
      </c>
      <c r="T500" t="s">
        <v>1014</v>
      </c>
      <c r="U500">
        <v>0</v>
      </c>
    </row>
    <row r="501" spans="1:21" x14ac:dyDescent="0.25">
      <c r="A501" t="s">
        <v>43</v>
      </c>
      <c r="B501" t="s">
        <v>963</v>
      </c>
      <c r="C501">
        <v>2</v>
      </c>
      <c r="D501" t="s">
        <v>23</v>
      </c>
      <c r="E501" t="s">
        <v>94</v>
      </c>
      <c r="F501" t="s">
        <v>104</v>
      </c>
      <c r="G501" t="s">
        <v>104</v>
      </c>
      <c r="H501" t="s">
        <v>808</v>
      </c>
      <c r="J501">
        <v>0</v>
      </c>
      <c r="K501">
        <v>1</v>
      </c>
      <c r="L501">
        <v>113.9375</v>
      </c>
      <c r="M501">
        <v>33.375507550000002</v>
      </c>
      <c r="N501">
        <v>2.4262999999999999</v>
      </c>
      <c r="O501">
        <v>0.40692159999999999</v>
      </c>
      <c r="P501">
        <v>102.79166669999999</v>
      </c>
      <c r="Q501">
        <v>27.057373470000002</v>
      </c>
      <c r="R501">
        <v>6.3567849939999999</v>
      </c>
      <c r="S501" t="s">
        <v>114</v>
      </c>
      <c r="T501" t="s">
        <v>1014</v>
      </c>
      <c r="U501">
        <v>11.1458333</v>
      </c>
    </row>
    <row r="502" spans="1:21" x14ac:dyDescent="0.25">
      <c r="A502" t="s">
        <v>44</v>
      </c>
      <c r="B502" t="s">
        <v>964</v>
      </c>
      <c r="C502">
        <v>2</v>
      </c>
      <c r="D502" t="s">
        <v>25</v>
      </c>
      <c r="E502" t="s">
        <v>95</v>
      </c>
      <c r="F502" t="s">
        <v>102</v>
      </c>
      <c r="G502" t="s">
        <v>102</v>
      </c>
      <c r="H502" t="s">
        <v>102</v>
      </c>
      <c r="J502">
        <v>0</v>
      </c>
      <c r="K502">
        <v>1</v>
      </c>
      <c r="L502">
        <v>84.740740740000007</v>
      </c>
      <c r="M502">
        <v>29.167014049999999</v>
      </c>
      <c r="N502">
        <v>1.1169849999999999</v>
      </c>
      <c r="O502">
        <v>1.1571499000000001</v>
      </c>
      <c r="P502">
        <v>84.740740740000007</v>
      </c>
      <c r="Q502">
        <v>29.167014049999999</v>
      </c>
      <c r="R502">
        <v>1.1169849999999999</v>
      </c>
      <c r="S502">
        <v>1.1571499000000001</v>
      </c>
      <c r="T502" t="s">
        <v>1014</v>
      </c>
      <c r="U502">
        <v>0</v>
      </c>
    </row>
    <row r="503" spans="1:21" x14ac:dyDescent="0.25">
      <c r="A503" t="s">
        <v>44</v>
      </c>
      <c r="B503" t="s">
        <v>965</v>
      </c>
      <c r="C503">
        <v>2</v>
      </c>
      <c r="D503" t="s">
        <v>25</v>
      </c>
      <c r="E503" t="s">
        <v>95</v>
      </c>
      <c r="F503" t="s">
        <v>110</v>
      </c>
      <c r="G503" t="s">
        <v>121</v>
      </c>
      <c r="H503" t="s">
        <v>114</v>
      </c>
      <c r="I503" t="s">
        <v>162</v>
      </c>
      <c r="J503">
        <v>1</v>
      </c>
      <c r="K503">
        <v>0</v>
      </c>
      <c r="L503">
        <v>73.260869569999997</v>
      </c>
      <c r="M503">
        <v>34.453830549999999</v>
      </c>
      <c r="N503">
        <v>1.058333333</v>
      </c>
      <c r="O503">
        <v>0.90897070000000002</v>
      </c>
      <c r="P503" t="s">
        <v>114</v>
      </c>
      <c r="Q503" t="s">
        <v>114</v>
      </c>
      <c r="R503" t="s">
        <v>114</v>
      </c>
      <c r="S503" t="s">
        <v>114</v>
      </c>
      <c r="T503" t="s">
        <v>1014</v>
      </c>
      <c r="U503" t="s">
        <v>114</v>
      </c>
    </row>
    <row r="504" spans="1:21" x14ac:dyDescent="0.25">
      <c r="A504" t="s">
        <v>44</v>
      </c>
      <c r="B504" t="s">
        <v>966</v>
      </c>
      <c r="C504">
        <v>2</v>
      </c>
      <c r="D504" t="s">
        <v>25</v>
      </c>
      <c r="E504" t="s">
        <v>95</v>
      </c>
      <c r="F504" t="s">
        <v>104</v>
      </c>
      <c r="G504" t="s">
        <v>112</v>
      </c>
      <c r="H504" t="s">
        <v>112</v>
      </c>
      <c r="J504">
        <v>0</v>
      </c>
      <c r="K504">
        <v>1</v>
      </c>
      <c r="L504">
        <v>113.9375</v>
      </c>
      <c r="M504">
        <v>33.375507550000002</v>
      </c>
      <c r="N504">
        <v>2.4262999999999999</v>
      </c>
      <c r="O504">
        <v>0.40692159999999999</v>
      </c>
      <c r="P504">
        <v>65.09375</v>
      </c>
      <c r="Q504">
        <v>37.895352600000002</v>
      </c>
      <c r="R504">
        <v>2.2882677779999998</v>
      </c>
      <c r="S504">
        <v>2.2111774</v>
      </c>
      <c r="T504" t="s">
        <v>1014</v>
      </c>
      <c r="U504">
        <v>48.84375</v>
      </c>
    </row>
    <row r="505" spans="1:21" x14ac:dyDescent="0.25">
      <c r="A505" t="s">
        <v>44</v>
      </c>
      <c r="B505" t="s">
        <v>966</v>
      </c>
      <c r="C505">
        <v>2</v>
      </c>
      <c r="D505" t="s">
        <v>25</v>
      </c>
      <c r="E505" t="s">
        <v>95</v>
      </c>
      <c r="F505" t="s">
        <v>104</v>
      </c>
      <c r="G505" t="s">
        <v>112</v>
      </c>
      <c r="H505" t="s">
        <v>162</v>
      </c>
      <c r="J505">
        <v>0</v>
      </c>
      <c r="K505">
        <v>1</v>
      </c>
      <c r="L505">
        <v>113.9375</v>
      </c>
      <c r="M505">
        <v>33.375507550000002</v>
      </c>
      <c r="N505">
        <v>2.4262999999999999</v>
      </c>
      <c r="O505">
        <v>0.40692159999999999</v>
      </c>
      <c r="P505">
        <v>82.53846154</v>
      </c>
      <c r="Q505">
        <v>35.660530039999998</v>
      </c>
      <c r="R505">
        <v>3.3754499999999998</v>
      </c>
      <c r="S505" t="s">
        <v>114</v>
      </c>
      <c r="T505" t="s">
        <v>1014</v>
      </c>
      <c r="U505">
        <v>31.39903846</v>
      </c>
    </row>
    <row r="506" spans="1:21" x14ac:dyDescent="0.25">
      <c r="A506" t="s">
        <v>44</v>
      </c>
      <c r="B506" t="s">
        <v>966</v>
      </c>
      <c r="C506">
        <v>2</v>
      </c>
      <c r="D506" t="s">
        <v>25</v>
      </c>
      <c r="E506" t="s">
        <v>95</v>
      </c>
      <c r="F506" t="s">
        <v>104</v>
      </c>
      <c r="G506" t="s">
        <v>112</v>
      </c>
      <c r="H506" t="s">
        <v>113</v>
      </c>
      <c r="J506">
        <v>0</v>
      </c>
      <c r="K506">
        <v>1</v>
      </c>
      <c r="L506">
        <v>113.9375</v>
      </c>
      <c r="M506">
        <v>33.375507550000002</v>
      </c>
      <c r="N506">
        <v>2.4262999999999999</v>
      </c>
      <c r="O506">
        <v>0.40692159999999999</v>
      </c>
      <c r="P506">
        <v>83.757575759999995</v>
      </c>
      <c r="Q506">
        <v>22.60997987</v>
      </c>
      <c r="R506">
        <v>0.72884000000000004</v>
      </c>
      <c r="S506">
        <v>0.21301339999999999</v>
      </c>
      <c r="T506" t="s">
        <v>1014</v>
      </c>
      <c r="U506">
        <v>30.179924239999998</v>
      </c>
    </row>
    <row r="507" spans="1:21" x14ac:dyDescent="0.25">
      <c r="A507" t="s">
        <v>44</v>
      </c>
      <c r="B507" t="s">
        <v>967</v>
      </c>
      <c r="C507">
        <v>2</v>
      </c>
      <c r="D507" t="s">
        <v>25</v>
      </c>
      <c r="E507" t="s">
        <v>95</v>
      </c>
      <c r="F507" t="s">
        <v>112</v>
      </c>
      <c r="G507" t="s">
        <v>121</v>
      </c>
      <c r="H507" t="s">
        <v>114</v>
      </c>
      <c r="J507">
        <v>0</v>
      </c>
      <c r="K507" t="s">
        <v>114</v>
      </c>
      <c r="L507">
        <v>65.09375</v>
      </c>
      <c r="M507">
        <v>37.895352600000002</v>
      </c>
      <c r="N507">
        <v>2.2882677779999998</v>
      </c>
      <c r="O507">
        <v>2.2111774</v>
      </c>
      <c r="P507" t="s">
        <v>114</v>
      </c>
      <c r="Q507" t="s">
        <v>114</v>
      </c>
      <c r="R507" t="s">
        <v>114</v>
      </c>
      <c r="S507" t="s">
        <v>114</v>
      </c>
      <c r="T507" t="s">
        <v>1014</v>
      </c>
      <c r="U507" t="s">
        <v>114</v>
      </c>
    </row>
    <row r="508" spans="1:21" x14ac:dyDescent="0.25">
      <c r="A508" t="s">
        <v>45</v>
      </c>
      <c r="B508" t="s">
        <v>968</v>
      </c>
      <c r="C508">
        <v>2</v>
      </c>
      <c r="D508" t="s">
        <v>27</v>
      </c>
      <c r="E508" t="s">
        <v>95</v>
      </c>
      <c r="F508" t="s">
        <v>102</v>
      </c>
      <c r="G508" t="s">
        <v>113</v>
      </c>
      <c r="H508" t="s">
        <v>113</v>
      </c>
      <c r="J508">
        <v>0</v>
      </c>
      <c r="K508">
        <v>2</v>
      </c>
      <c r="L508">
        <v>84.740740740000007</v>
      </c>
      <c r="M508">
        <v>29.167014049999999</v>
      </c>
      <c r="N508">
        <v>1.1169849999999999</v>
      </c>
      <c r="O508">
        <v>1.1571499000000001</v>
      </c>
      <c r="P508">
        <v>83.757575759999995</v>
      </c>
      <c r="Q508">
        <v>22.60997987</v>
      </c>
      <c r="R508">
        <v>0.72884000000000004</v>
      </c>
      <c r="S508">
        <v>0.21301339999999999</v>
      </c>
      <c r="T508" t="s">
        <v>1014</v>
      </c>
      <c r="U508">
        <v>0.98316497999999997</v>
      </c>
    </row>
    <row r="509" spans="1:21" x14ac:dyDescent="0.25">
      <c r="A509" t="s">
        <v>45</v>
      </c>
      <c r="B509" t="s">
        <v>968</v>
      </c>
      <c r="C509">
        <v>2</v>
      </c>
      <c r="D509" t="s">
        <v>27</v>
      </c>
      <c r="E509" t="s">
        <v>95</v>
      </c>
      <c r="F509" t="s">
        <v>102</v>
      </c>
      <c r="G509" t="s">
        <v>113</v>
      </c>
      <c r="H509" t="s">
        <v>113</v>
      </c>
      <c r="J509">
        <v>0</v>
      </c>
      <c r="K509">
        <v>2</v>
      </c>
      <c r="L509">
        <v>84.740740740000007</v>
      </c>
      <c r="M509">
        <v>29.167014049999999</v>
      </c>
      <c r="N509">
        <v>1.1169849999999999</v>
      </c>
      <c r="O509">
        <v>1.1571499000000001</v>
      </c>
      <c r="P509">
        <v>83.757575759999995</v>
      </c>
      <c r="Q509">
        <v>22.60997987</v>
      </c>
      <c r="R509">
        <v>0.72884000000000004</v>
      </c>
      <c r="S509">
        <v>0.21301339999999999</v>
      </c>
      <c r="T509" t="s">
        <v>1014</v>
      </c>
      <c r="U509">
        <v>0.98316497999999997</v>
      </c>
    </row>
    <row r="510" spans="1:21" x14ac:dyDescent="0.25">
      <c r="A510" t="s">
        <v>45</v>
      </c>
      <c r="B510" t="s">
        <v>969</v>
      </c>
      <c r="C510">
        <v>2</v>
      </c>
      <c r="D510" t="s">
        <v>27</v>
      </c>
      <c r="E510" t="s">
        <v>95</v>
      </c>
      <c r="F510" t="s">
        <v>105</v>
      </c>
      <c r="G510" t="s">
        <v>113</v>
      </c>
      <c r="H510" t="s">
        <v>113</v>
      </c>
      <c r="J510">
        <v>0</v>
      </c>
      <c r="K510">
        <v>6</v>
      </c>
      <c r="L510">
        <v>67.5</v>
      </c>
      <c r="M510">
        <v>47.937235809999997</v>
      </c>
      <c r="N510">
        <v>0.41599678000000001</v>
      </c>
      <c r="O510">
        <v>2.0950346999999998</v>
      </c>
      <c r="P510">
        <v>83.757575759999995</v>
      </c>
      <c r="Q510">
        <v>22.60997987</v>
      </c>
      <c r="R510">
        <v>0.72884000000000004</v>
      </c>
      <c r="S510">
        <v>0.21301339999999999</v>
      </c>
      <c r="T510" t="s">
        <v>1014</v>
      </c>
      <c r="U510">
        <v>-16.257575760000002</v>
      </c>
    </row>
    <row r="511" spans="1:21" x14ac:dyDescent="0.25">
      <c r="A511" t="s">
        <v>45</v>
      </c>
      <c r="B511" t="s">
        <v>969</v>
      </c>
      <c r="C511">
        <v>2</v>
      </c>
      <c r="D511" t="s">
        <v>27</v>
      </c>
      <c r="E511" t="s">
        <v>95</v>
      </c>
      <c r="F511" t="s">
        <v>105</v>
      </c>
      <c r="G511" t="s">
        <v>113</v>
      </c>
      <c r="H511" t="s">
        <v>113</v>
      </c>
      <c r="J511">
        <v>0</v>
      </c>
      <c r="K511">
        <v>6</v>
      </c>
      <c r="L511">
        <v>67.5</v>
      </c>
      <c r="M511">
        <v>47.937235809999997</v>
      </c>
      <c r="N511">
        <v>0.41599678000000001</v>
      </c>
      <c r="O511">
        <v>2.0950346999999998</v>
      </c>
      <c r="P511">
        <v>83.757575759999995</v>
      </c>
      <c r="Q511">
        <v>22.60997987</v>
      </c>
      <c r="R511">
        <v>0.72884000000000004</v>
      </c>
      <c r="S511">
        <v>0.21301339999999999</v>
      </c>
      <c r="T511" t="s">
        <v>1014</v>
      </c>
      <c r="U511">
        <v>-16.257575760000002</v>
      </c>
    </row>
    <row r="512" spans="1:21" x14ac:dyDescent="0.25">
      <c r="A512" t="s">
        <v>45</v>
      </c>
      <c r="B512" t="s">
        <v>969</v>
      </c>
      <c r="C512">
        <v>2</v>
      </c>
      <c r="D512" t="s">
        <v>27</v>
      </c>
      <c r="E512" t="s">
        <v>95</v>
      </c>
      <c r="F512" t="s">
        <v>105</v>
      </c>
      <c r="G512" t="s">
        <v>113</v>
      </c>
      <c r="H512" t="s">
        <v>113</v>
      </c>
      <c r="J512">
        <v>0</v>
      </c>
      <c r="K512">
        <v>6</v>
      </c>
      <c r="L512">
        <v>67.5</v>
      </c>
      <c r="M512">
        <v>47.937235809999997</v>
      </c>
      <c r="N512">
        <v>0.41599678000000001</v>
      </c>
      <c r="O512">
        <v>2.0950346999999998</v>
      </c>
      <c r="P512">
        <v>83.757575759999995</v>
      </c>
      <c r="Q512">
        <v>22.60997987</v>
      </c>
      <c r="R512">
        <v>0.72884000000000004</v>
      </c>
      <c r="S512">
        <v>0.21301339999999999</v>
      </c>
      <c r="T512" t="s">
        <v>1014</v>
      </c>
      <c r="U512">
        <v>-16.257575760000002</v>
      </c>
    </row>
    <row r="513" spans="1:21" x14ac:dyDescent="0.25">
      <c r="A513" t="s">
        <v>45</v>
      </c>
      <c r="B513" t="s">
        <v>969</v>
      </c>
      <c r="C513">
        <v>2</v>
      </c>
      <c r="D513" t="s">
        <v>27</v>
      </c>
      <c r="E513" t="s">
        <v>95</v>
      </c>
      <c r="F513" t="s">
        <v>105</v>
      </c>
      <c r="G513" t="s">
        <v>113</v>
      </c>
      <c r="H513" t="s">
        <v>113</v>
      </c>
      <c r="J513">
        <v>0</v>
      </c>
      <c r="K513">
        <v>6</v>
      </c>
      <c r="L513">
        <v>67.5</v>
      </c>
      <c r="M513">
        <v>47.937235809999997</v>
      </c>
      <c r="N513">
        <v>0.41599678000000001</v>
      </c>
      <c r="O513">
        <v>2.0950346999999998</v>
      </c>
      <c r="P513">
        <v>83.757575759999995</v>
      </c>
      <c r="Q513">
        <v>22.60997987</v>
      </c>
      <c r="R513">
        <v>0.72884000000000004</v>
      </c>
      <c r="S513">
        <v>0.21301339999999999</v>
      </c>
      <c r="T513" t="s">
        <v>1014</v>
      </c>
      <c r="U513">
        <v>-16.257575760000002</v>
      </c>
    </row>
    <row r="514" spans="1:21" x14ac:dyDescent="0.25">
      <c r="A514" t="s">
        <v>45</v>
      </c>
      <c r="B514" t="s">
        <v>969</v>
      </c>
      <c r="C514">
        <v>2</v>
      </c>
      <c r="D514" t="s">
        <v>27</v>
      </c>
      <c r="E514" t="s">
        <v>95</v>
      </c>
      <c r="F514" t="s">
        <v>105</v>
      </c>
      <c r="G514" t="s">
        <v>113</v>
      </c>
      <c r="H514" t="s">
        <v>113</v>
      </c>
      <c r="J514">
        <v>0</v>
      </c>
      <c r="K514">
        <v>6</v>
      </c>
      <c r="L514">
        <v>67.5</v>
      </c>
      <c r="M514">
        <v>47.937235809999997</v>
      </c>
      <c r="N514">
        <v>0.41599678000000001</v>
      </c>
      <c r="O514">
        <v>2.0950346999999998</v>
      </c>
      <c r="P514">
        <v>83.757575759999995</v>
      </c>
      <c r="Q514">
        <v>22.60997987</v>
      </c>
      <c r="R514">
        <v>0.72884000000000004</v>
      </c>
      <c r="S514">
        <v>0.21301339999999999</v>
      </c>
      <c r="T514" t="s">
        <v>1014</v>
      </c>
      <c r="U514">
        <v>-16.257575760000002</v>
      </c>
    </row>
    <row r="515" spans="1:21" x14ac:dyDescent="0.25">
      <c r="A515" t="s">
        <v>45</v>
      </c>
      <c r="B515" t="s">
        <v>969</v>
      </c>
      <c r="C515">
        <v>2</v>
      </c>
      <c r="D515" t="s">
        <v>27</v>
      </c>
      <c r="E515" t="s">
        <v>95</v>
      </c>
      <c r="F515" t="s">
        <v>105</v>
      </c>
      <c r="G515" t="s">
        <v>113</v>
      </c>
      <c r="H515" t="s">
        <v>113</v>
      </c>
      <c r="J515">
        <v>0</v>
      </c>
      <c r="K515">
        <v>6</v>
      </c>
      <c r="L515">
        <v>67.5</v>
      </c>
      <c r="M515">
        <v>47.937235809999997</v>
      </c>
      <c r="N515">
        <v>0.41599678000000001</v>
      </c>
      <c r="O515">
        <v>2.0950346999999998</v>
      </c>
      <c r="P515">
        <v>83.757575759999995</v>
      </c>
      <c r="Q515">
        <v>22.60997987</v>
      </c>
      <c r="R515">
        <v>0.72884000000000004</v>
      </c>
      <c r="S515">
        <v>0.21301339999999999</v>
      </c>
      <c r="T515" t="s">
        <v>1014</v>
      </c>
      <c r="U515">
        <v>-16.257575760000002</v>
      </c>
    </row>
    <row r="516" spans="1:21" x14ac:dyDescent="0.25">
      <c r="A516" t="s">
        <v>45</v>
      </c>
      <c r="B516" t="s">
        <v>970</v>
      </c>
      <c r="C516">
        <v>2</v>
      </c>
      <c r="D516" t="s">
        <v>27</v>
      </c>
      <c r="E516" t="s">
        <v>95</v>
      </c>
      <c r="F516" t="s">
        <v>112</v>
      </c>
      <c r="G516" t="s">
        <v>121</v>
      </c>
      <c r="H516" t="s">
        <v>113</v>
      </c>
      <c r="J516">
        <v>0</v>
      </c>
      <c r="K516">
        <v>8</v>
      </c>
      <c r="L516">
        <v>65.09375</v>
      </c>
      <c r="M516">
        <v>37.895352600000002</v>
      </c>
      <c r="N516">
        <v>2.2882677779999998</v>
      </c>
      <c r="O516">
        <v>2.2111774</v>
      </c>
      <c r="P516">
        <v>83.757575759999995</v>
      </c>
      <c r="Q516">
        <v>22.60997987</v>
      </c>
      <c r="R516">
        <v>0.72884000000000004</v>
      </c>
      <c r="S516">
        <v>0.21301339999999999</v>
      </c>
      <c r="T516" t="s">
        <v>1014</v>
      </c>
      <c r="U516">
        <v>-18.663825760000002</v>
      </c>
    </row>
    <row r="517" spans="1:21" x14ac:dyDescent="0.25">
      <c r="A517" t="s">
        <v>45</v>
      </c>
      <c r="B517" t="s">
        <v>970</v>
      </c>
      <c r="C517">
        <v>2</v>
      </c>
      <c r="D517" t="s">
        <v>27</v>
      </c>
      <c r="E517" t="s">
        <v>95</v>
      </c>
      <c r="F517" t="s">
        <v>112</v>
      </c>
      <c r="G517" t="s">
        <v>121</v>
      </c>
      <c r="H517" t="s">
        <v>113</v>
      </c>
      <c r="J517">
        <v>0</v>
      </c>
      <c r="K517">
        <v>8</v>
      </c>
      <c r="L517">
        <v>65.09375</v>
      </c>
      <c r="M517">
        <v>37.895352600000002</v>
      </c>
      <c r="N517">
        <v>2.2882677779999998</v>
      </c>
      <c r="O517">
        <v>2.2111774</v>
      </c>
      <c r="P517">
        <v>83.757575759999995</v>
      </c>
      <c r="Q517">
        <v>22.60997987</v>
      </c>
      <c r="R517">
        <v>0.72884000000000004</v>
      </c>
      <c r="S517">
        <v>0.21301339999999999</v>
      </c>
      <c r="T517" t="s">
        <v>1014</v>
      </c>
      <c r="U517">
        <v>-18.663825760000002</v>
      </c>
    </row>
    <row r="518" spans="1:21" x14ac:dyDescent="0.25">
      <c r="A518" t="s">
        <v>45</v>
      </c>
      <c r="B518" t="s">
        <v>970</v>
      </c>
      <c r="C518">
        <v>2</v>
      </c>
      <c r="D518" t="s">
        <v>27</v>
      </c>
      <c r="E518" t="s">
        <v>95</v>
      </c>
      <c r="F518" t="s">
        <v>112</v>
      </c>
      <c r="G518" t="s">
        <v>121</v>
      </c>
      <c r="H518" t="s">
        <v>113</v>
      </c>
      <c r="J518">
        <v>0</v>
      </c>
      <c r="K518">
        <v>8</v>
      </c>
      <c r="L518">
        <v>65.09375</v>
      </c>
      <c r="M518">
        <v>37.895352600000002</v>
      </c>
      <c r="N518">
        <v>2.2882677779999998</v>
      </c>
      <c r="O518">
        <v>2.2111774</v>
      </c>
      <c r="P518">
        <v>83.757575759999995</v>
      </c>
      <c r="Q518">
        <v>22.60997987</v>
      </c>
      <c r="R518">
        <v>0.72884000000000004</v>
      </c>
      <c r="S518">
        <v>0.21301339999999999</v>
      </c>
      <c r="T518" t="s">
        <v>1014</v>
      </c>
      <c r="U518">
        <v>-18.663825760000002</v>
      </c>
    </row>
    <row r="519" spans="1:21" x14ac:dyDescent="0.25">
      <c r="A519" t="s">
        <v>45</v>
      </c>
      <c r="B519" t="s">
        <v>970</v>
      </c>
      <c r="C519">
        <v>2</v>
      </c>
      <c r="D519" t="s">
        <v>27</v>
      </c>
      <c r="E519" t="s">
        <v>95</v>
      </c>
      <c r="F519" t="s">
        <v>112</v>
      </c>
      <c r="G519" t="s">
        <v>121</v>
      </c>
      <c r="H519" t="s">
        <v>113</v>
      </c>
      <c r="J519">
        <v>0</v>
      </c>
      <c r="K519">
        <v>8</v>
      </c>
      <c r="L519">
        <v>65.09375</v>
      </c>
      <c r="M519">
        <v>37.895352600000002</v>
      </c>
      <c r="N519">
        <v>2.2882677779999998</v>
      </c>
      <c r="O519">
        <v>2.2111774</v>
      </c>
      <c r="P519">
        <v>83.757575759999995</v>
      </c>
      <c r="Q519">
        <v>22.60997987</v>
      </c>
      <c r="R519">
        <v>0.72884000000000004</v>
      </c>
      <c r="S519">
        <v>0.21301339999999999</v>
      </c>
      <c r="T519" t="s">
        <v>1014</v>
      </c>
      <c r="U519">
        <v>-18.663825760000002</v>
      </c>
    </row>
    <row r="520" spans="1:21" x14ac:dyDescent="0.25">
      <c r="A520" t="s">
        <v>45</v>
      </c>
      <c r="B520" t="s">
        <v>970</v>
      </c>
      <c r="C520">
        <v>2</v>
      </c>
      <c r="D520" t="s">
        <v>27</v>
      </c>
      <c r="E520" t="s">
        <v>95</v>
      </c>
      <c r="F520" t="s">
        <v>112</v>
      </c>
      <c r="G520" t="s">
        <v>121</v>
      </c>
      <c r="H520" t="s">
        <v>113</v>
      </c>
      <c r="J520">
        <v>0</v>
      </c>
      <c r="K520">
        <v>8</v>
      </c>
      <c r="L520">
        <v>65.09375</v>
      </c>
      <c r="M520">
        <v>37.895352600000002</v>
      </c>
      <c r="N520">
        <v>2.2882677779999998</v>
      </c>
      <c r="O520">
        <v>2.2111774</v>
      </c>
      <c r="P520">
        <v>83.757575759999995</v>
      </c>
      <c r="Q520">
        <v>22.60997987</v>
      </c>
      <c r="R520">
        <v>0.72884000000000004</v>
      </c>
      <c r="S520">
        <v>0.21301339999999999</v>
      </c>
      <c r="T520" t="s">
        <v>1014</v>
      </c>
      <c r="U520">
        <v>-18.663825760000002</v>
      </c>
    </row>
    <row r="521" spans="1:21" x14ac:dyDescent="0.25">
      <c r="A521" t="s">
        <v>45</v>
      </c>
      <c r="B521" t="s">
        <v>970</v>
      </c>
      <c r="C521">
        <v>2</v>
      </c>
      <c r="D521" t="s">
        <v>27</v>
      </c>
      <c r="E521" t="s">
        <v>95</v>
      </c>
      <c r="F521" t="s">
        <v>112</v>
      </c>
      <c r="G521" t="s">
        <v>121</v>
      </c>
      <c r="H521" t="s">
        <v>113</v>
      </c>
      <c r="J521">
        <v>0</v>
      </c>
      <c r="K521">
        <v>8</v>
      </c>
      <c r="L521">
        <v>65.09375</v>
      </c>
      <c r="M521">
        <v>37.895352600000002</v>
      </c>
      <c r="N521">
        <v>2.2882677779999998</v>
      </c>
      <c r="O521">
        <v>2.2111774</v>
      </c>
      <c r="P521">
        <v>83.757575759999995</v>
      </c>
      <c r="Q521">
        <v>22.60997987</v>
      </c>
      <c r="R521">
        <v>0.72884000000000004</v>
      </c>
      <c r="S521">
        <v>0.21301339999999999</v>
      </c>
      <c r="T521" t="s">
        <v>1014</v>
      </c>
      <c r="U521">
        <v>-18.663825760000002</v>
      </c>
    </row>
    <row r="522" spans="1:21" x14ac:dyDescent="0.25">
      <c r="A522" t="s">
        <v>45</v>
      </c>
      <c r="B522" t="s">
        <v>970</v>
      </c>
      <c r="C522">
        <v>2</v>
      </c>
      <c r="D522" t="s">
        <v>27</v>
      </c>
      <c r="E522" t="s">
        <v>95</v>
      </c>
      <c r="F522" t="s">
        <v>112</v>
      </c>
      <c r="G522" t="s">
        <v>121</v>
      </c>
      <c r="H522" t="s">
        <v>113</v>
      </c>
      <c r="J522">
        <v>0</v>
      </c>
      <c r="K522">
        <v>8</v>
      </c>
      <c r="L522">
        <v>65.09375</v>
      </c>
      <c r="M522">
        <v>37.895352600000002</v>
      </c>
      <c r="N522">
        <v>2.2882677779999998</v>
      </c>
      <c r="O522">
        <v>2.2111774</v>
      </c>
      <c r="P522">
        <v>83.757575759999995</v>
      </c>
      <c r="Q522">
        <v>22.60997987</v>
      </c>
      <c r="R522">
        <v>0.72884000000000004</v>
      </c>
      <c r="S522">
        <v>0.21301339999999999</v>
      </c>
      <c r="T522" t="s">
        <v>1014</v>
      </c>
      <c r="U522">
        <v>-18.663825760000002</v>
      </c>
    </row>
    <row r="523" spans="1:21" x14ac:dyDescent="0.25">
      <c r="A523" t="s">
        <v>45</v>
      </c>
      <c r="B523" t="s">
        <v>970</v>
      </c>
      <c r="C523">
        <v>2</v>
      </c>
      <c r="D523" t="s">
        <v>27</v>
      </c>
      <c r="E523" t="s">
        <v>95</v>
      </c>
      <c r="F523" t="s">
        <v>112</v>
      </c>
      <c r="G523" t="s">
        <v>121</v>
      </c>
      <c r="H523" t="s">
        <v>113</v>
      </c>
      <c r="J523">
        <v>0</v>
      </c>
      <c r="K523">
        <v>8</v>
      </c>
      <c r="L523">
        <v>65.09375</v>
      </c>
      <c r="M523">
        <v>37.895352600000002</v>
      </c>
      <c r="N523">
        <v>2.2882677779999998</v>
      </c>
      <c r="O523">
        <v>2.2111774</v>
      </c>
      <c r="P523">
        <v>83.757575759999995</v>
      </c>
      <c r="Q523">
        <v>22.60997987</v>
      </c>
      <c r="R523">
        <v>0.72884000000000004</v>
      </c>
      <c r="S523">
        <v>0.21301339999999999</v>
      </c>
      <c r="T523" t="s">
        <v>1014</v>
      </c>
      <c r="U523">
        <v>-18.663825760000002</v>
      </c>
    </row>
    <row r="524" spans="1:21" x14ac:dyDescent="0.25">
      <c r="A524" t="s">
        <v>45</v>
      </c>
      <c r="B524" t="s">
        <v>970</v>
      </c>
      <c r="C524">
        <v>2</v>
      </c>
      <c r="D524" t="s">
        <v>27</v>
      </c>
      <c r="E524" t="s">
        <v>95</v>
      </c>
      <c r="F524" t="s">
        <v>112</v>
      </c>
      <c r="G524" t="s">
        <v>121</v>
      </c>
      <c r="H524" t="s">
        <v>103</v>
      </c>
      <c r="J524">
        <v>0</v>
      </c>
      <c r="K524">
        <v>1</v>
      </c>
      <c r="L524">
        <v>65.09375</v>
      </c>
      <c r="M524">
        <v>37.895352600000002</v>
      </c>
      <c r="N524">
        <v>2.2882677779999998</v>
      </c>
      <c r="O524">
        <v>2.2111774</v>
      </c>
      <c r="P524">
        <v>98.291666669999998</v>
      </c>
      <c r="Q524">
        <v>30.315130790000001</v>
      </c>
      <c r="R524">
        <v>5.0803484000000003E-2</v>
      </c>
      <c r="S524">
        <v>0.42866070000000001</v>
      </c>
      <c r="T524" t="s">
        <v>1014</v>
      </c>
      <c r="U524">
        <v>-33.197916669999998</v>
      </c>
    </row>
    <row r="525" spans="1:21" x14ac:dyDescent="0.25">
      <c r="A525" t="s">
        <v>46</v>
      </c>
      <c r="B525" t="s">
        <v>971</v>
      </c>
      <c r="C525">
        <v>2</v>
      </c>
      <c r="D525" t="s">
        <v>29</v>
      </c>
      <c r="E525" t="s">
        <v>95</v>
      </c>
      <c r="F525" t="s">
        <v>102</v>
      </c>
      <c r="G525" t="s">
        <v>121</v>
      </c>
      <c r="H525" t="s">
        <v>114</v>
      </c>
      <c r="J525">
        <v>0</v>
      </c>
      <c r="K525" t="s">
        <v>114</v>
      </c>
      <c r="L525">
        <v>84.740740740000007</v>
      </c>
      <c r="M525">
        <v>29.167014049999999</v>
      </c>
      <c r="N525">
        <v>1.1169849999999999</v>
      </c>
      <c r="O525">
        <v>1.1571499000000001</v>
      </c>
      <c r="P525" t="s">
        <v>114</v>
      </c>
      <c r="Q525" t="s">
        <v>114</v>
      </c>
      <c r="R525" t="s">
        <v>114</v>
      </c>
      <c r="S525" t="s">
        <v>114</v>
      </c>
      <c r="T525" t="s">
        <v>1014</v>
      </c>
      <c r="U525" t="s">
        <v>114</v>
      </c>
    </row>
    <row r="526" spans="1:21" x14ac:dyDescent="0.25">
      <c r="A526" t="s">
        <v>46</v>
      </c>
      <c r="B526" t="s">
        <v>972</v>
      </c>
      <c r="C526">
        <v>2</v>
      </c>
      <c r="D526" t="s">
        <v>29</v>
      </c>
      <c r="E526" t="s">
        <v>95</v>
      </c>
      <c r="F526" t="s">
        <v>110</v>
      </c>
      <c r="G526" t="s">
        <v>113</v>
      </c>
      <c r="H526" t="s">
        <v>113</v>
      </c>
      <c r="J526">
        <v>0</v>
      </c>
      <c r="K526">
        <v>3</v>
      </c>
      <c r="L526">
        <v>73.260869569999997</v>
      </c>
      <c r="M526">
        <v>34.453830549999999</v>
      </c>
      <c r="N526">
        <v>1.058333333</v>
      </c>
      <c r="O526">
        <v>0.90897070000000002</v>
      </c>
      <c r="P526">
        <v>83.757575759999995</v>
      </c>
      <c r="Q526">
        <v>22.60997987</v>
      </c>
      <c r="R526">
        <v>0.72884000000000004</v>
      </c>
      <c r="S526">
        <v>0.21301339999999999</v>
      </c>
      <c r="T526" t="s">
        <v>1014</v>
      </c>
      <c r="U526">
        <v>-10.496706189999999</v>
      </c>
    </row>
    <row r="527" spans="1:21" x14ac:dyDescent="0.25">
      <c r="A527" t="s">
        <v>46</v>
      </c>
      <c r="B527" t="s">
        <v>972</v>
      </c>
      <c r="C527">
        <v>2</v>
      </c>
      <c r="D527" t="s">
        <v>29</v>
      </c>
      <c r="E527" t="s">
        <v>95</v>
      </c>
      <c r="F527" t="s">
        <v>110</v>
      </c>
      <c r="G527" t="s">
        <v>113</v>
      </c>
      <c r="H527" t="s">
        <v>113</v>
      </c>
      <c r="J527">
        <v>0</v>
      </c>
      <c r="K527">
        <v>3</v>
      </c>
      <c r="L527">
        <v>73.260869569999997</v>
      </c>
      <c r="M527">
        <v>34.453830549999999</v>
      </c>
      <c r="N527">
        <v>1.058333333</v>
      </c>
      <c r="O527">
        <v>0.90897070000000002</v>
      </c>
      <c r="P527">
        <v>83.757575759999995</v>
      </c>
      <c r="Q527">
        <v>22.60997987</v>
      </c>
      <c r="R527">
        <v>0.72884000000000004</v>
      </c>
      <c r="S527">
        <v>0.21301339999999999</v>
      </c>
      <c r="T527" t="s">
        <v>1014</v>
      </c>
      <c r="U527">
        <v>-10.496706189999999</v>
      </c>
    </row>
    <row r="528" spans="1:21" x14ac:dyDescent="0.25">
      <c r="A528" t="s">
        <v>46</v>
      </c>
      <c r="B528" t="s">
        <v>972</v>
      </c>
      <c r="C528">
        <v>2</v>
      </c>
      <c r="D528" t="s">
        <v>29</v>
      </c>
      <c r="E528" t="s">
        <v>95</v>
      </c>
      <c r="F528" t="s">
        <v>110</v>
      </c>
      <c r="G528" t="s">
        <v>113</v>
      </c>
      <c r="H528" t="s">
        <v>113</v>
      </c>
      <c r="J528">
        <v>0</v>
      </c>
      <c r="K528">
        <v>3</v>
      </c>
      <c r="L528">
        <v>73.260869569999997</v>
      </c>
      <c r="M528">
        <v>34.453830549999999</v>
      </c>
      <c r="N528">
        <v>1.058333333</v>
      </c>
      <c r="O528">
        <v>0.90897070000000002</v>
      </c>
      <c r="P528">
        <v>83.757575759999995</v>
      </c>
      <c r="Q528">
        <v>22.60997987</v>
      </c>
      <c r="R528">
        <v>0.72884000000000004</v>
      </c>
      <c r="S528">
        <v>0.21301339999999999</v>
      </c>
      <c r="T528" t="s">
        <v>1014</v>
      </c>
      <c r="U528">
        <v>-10.496706189999999</v>
      </c>
    </row>
    <row r="529" spans="1:21" x14ac:dyDescent="0.25">
      <c r="A529" t="s">
        <v>46</v>
      </c>
      <c r="B529" t="s">
        <v>973</v>
      </c>
      <c r="C529">
        <v>2</v>
      </c>
      <c r="D529" t="s">
        <v>29</v>
      </c>
      <c r="E529" t="s">
        <v>95</v>
      </c>
      <c r="F529" t="s">
        <v>112</v>
      </c>
      <c r="G529" t="s">
        <v>121</v>
      </c>
      <c r="H529" t="s">
        <v>114</v>
      </c>
      <c r="J529">
        <v>0</v>
      </c>
      <c r="K529" t="s">
        <v>114</v>
      </c>
      <c r="L529">
        <v>65.09375</v>
      </c>
      <c r="M529">
        <v>37.895352600000002</v>
      </c>
      <c r="N529">
        <v>2.2882677779999998</v>
      </c>
      <c r="O529">
        <v>2.2111774</v>
      </c>
      <c r="P529" t="s">
        <v>114</v>
      </c>
      <c r="Q529" t="s">
        <v>114</v>
      </c>
      <c r="R529" t="s">
        <v>114</v>
      </c>
      <c r="S529" t="s">
        <v>114</v>
      </c>
      <c r="T529" t="s">
        <v>1014</v>
      </c>
      <c r="U529" t="s">
        <v>114</v>
      </c>
    </row>
    <row r="530" spans="1:21" x14ac:dyDescent="0.25">
      <c r="A530" t="s">
        <v>47</v>
      </c>
      <c r="B530" t="s">
        <v>974</v>
      </c>
      <c r="C530">
        <v>2</v>
      </c>
      <c r="D530" t="s">
        <v>31</v>
      </c>
      <c r="E530" t="s">
        <v>94</v>
      </c>
      <c r="F530" t="s">
        <v>112</v>
      </c>
      <c r="G530" t="s">
        <v>112</v>
      </c>
      <c r="H530" t="s">
        <v>112</v>
      </c>
      <c r="J530">
        <v>0</v>
      </c>
      <c r="K530">
        <v>1</v>
      </c>
      <c r="L530">
        <v>65.09375</v>
      </c>
      <c r="M530">
        <v>37.895352600000002</v>
      </c>
      <c r="N530">
        <v>2.2882677779999998</v>
      </c>
      <c r="O530">
        <v>2.2111774</v>
      </c>
      <c r="P530">
        <v>65.09375</v>
      </c>
      <c r="Q530">
        <v>37.895352600000002</v>
      </c>
      <c r="R530">
        <v>2.2882677779999998</v>
      </c>
      <c r="S530">
        <v>2.2111774</v>
      </c>
      <c r="T530" t="s">
        <v>1014</v>
      </c>
      <c r="U530">
        <v>0</v>
      </c>
    </row>
    <row r="531" spans="1:21" x14ac:dyDescent="0.25">
      <c r="A531" t="s">
        <v>47</v>
      </c>
      <c r="B531" t="s">
        <v>974</v>
      </c>
      <c r="C531">
        <v>2</v>
      </c>
      <c r="D531" t="s">
        <v>31</v>
      </c>
      <c r="E531" t="s">
        <v>94</v>
      </c>
      <c r="F531" t="s">
        <v>112</v>
      </c>
      <c r="G531" t="s">
        <v>112</v>
      </c>
      <c r="H531" t="s">
        <v>113</v>
      </c>
      <c r="J531">
        <v>0</v>
      </c>
      <c r="K531">
        <v>1</v>
      </c>
      <c r="L531">
        <v>65.09375</v>
      </c>
      <c r="M531">
        <v>37.895352600000002</v>
      </c>
      <c r="N531">
        <v>2.2882677779999998</v>
      </c>
      <c r="O531">
        <v>2.2111774</v>
      </c>
      <c r="P531">
        <v>83.757575759999995</v>
      </c>
      <c r="Q531">
        <v>22.60997987</v>
      </c>
      <c r="R531">
        <v>0.72884000000000004</v>
      </c>
      <c r="S531">
        <v>0.21301339999999999</v>
      </c>
      <c r="T531" t="s">
        <v>1014</v>
      </c>
      <c r="U531">
        <v>-18.663825760000002</v>
      </c>
    </row>
    <row r="532" spans="1:21" x14ac:dyDescent="0.25">
      <c r="A532" t="s">
        <v>48</v>
      </c>
      <c r="B532" t="s">
        <v>975</v>
      </c>
      <c r="C532">
        <v>2</v>
      </c>
      <c r="D532" t="s">
        <v>33</v>
      </c>
      <c r="E532" t="s">
        <v>95</v>
      </c>
      <c r="F532" t="s">
        <v>105</v>
      </c>
      <c r="G532" t="s">
        <v>104</v>
      </c>
      <c r="H532" t="s">
        <v>103</v>
      </c>
      <c r="J532">
        <v>0</v>
      </c>
      <c r="K532">
        <v>1</v>
      </c>
      <c r="L532">
        <v>67.5</v>
      </c>
      <c r="M532">
        <v>47.937235809999997</v>
      </c>
      <c r="N532">
        <v>0.41599678000000001</v>
      </c>
      <c r="O532">
        <v>2.0950346999999998</v>
      </c>
      <c r="P532">
        <v>98.291666669999998</v>
      </c>
      <c r="Q532">
        <v>30.315130790000001</v>
      </c>
      <c r="R532">
        <v>5.0803484000000003E-2</v>
      </c>
      <c r="S532">
        <v>0.42866070000000001</v>
      </c>
      <c r="T532" t="s">
        <v>1014</v>
      </c>
      <c r="U532">
        <v>-30.791666670000001</v>
      </c>
    </row>
    <row r="533" spans="1:21" x14ac:dyDescent="0.25">
      <c r="A533" t="s">
        <v>48</v>
      </c>
      <c r="B533" t="s">
        <v>975</v>
      </c>
      <c r="C533">
        <v>2</v>
      </c>
      <c r="D533" t="s">
        <v>33</v>
      </c>
      <c r="E533" t="s">
        <v>95</v>
      </c>
      <c r="F533" t="s">
        <v>105</v>
      </c>
      <c r="G533" t="s">
        <v>104</v>
      </c>
      <c r="H533" t="s">
        <v>104</v>
      </c>
      <c r="J533">
        <v>0</v>
      </c>
      <c r="K533">
        <v>2</v>
      </c>
      <c r="L533">
        <v>67.5</v>
      </c>
      <c r="M533">
        <v>47.937235809999997</v>
      </c>
      <c r="N533">
        <v>0.41599678000000001</v>
      </c>
      <c r="O533">
        <v>2.0950346999999998</v>
      </c>
      <c r="P533">
        <v>113.9375</v>
      </c>
      <c r="Q533">
        <v>33.375507550000002</v>
      </c>
      <c r="R533">
        <v>2.4262999999999999</v>
      </c>
      <c r="S533">
        <v>0.40692159999999999</v>
      </c>
      <c r="T533" t="s">
        <v>1014</v>
      </c>
      <c r="U533">
        <v>-46.4375</v>
      </c>
    </row>
    <row r="534" spans="1:21" x14ac:dyDescent="0.25">
      <c r="A534" t="s">
        <v>48</v>
      </c>
      <c r="B534" t="s">
        <v>975</v>
      </c>
      <c r="C534">
        <v>2</v>
      </c>
      <c r="D534" t="s">
        <v>33</v>
      </c>
      <c r="E534" t="s">
        <v>95</v>
      </c>
      <c r="F534" t="s">
        <v>105</v>
      </c>
      <c r="G534" t="s">
        <v>104</v>
      </c>
      <c r="H534" t="s">
        <v>104</v>
      </c>
      <c r="J534">
        <v>0</v>
      </c>
      <c r="K534">
        <v>2</v>
      </c>
      <c r="L534">
        <v>67.5</v>
      </c>
      <c r="M534">
        <v>47.937235809999997</v>
      </c>
      <c r="N534">
        <v>0.41599678000000001</v>
      </c>
      <c r="O534">
        <v>2.0950346999999998</v>
      </c>
      <c r="P534">
        <v>113.9375</v>
      </c>
      <c r="Q534">
        <v>33.375507550000002</v>
      </c>
      <c r="R534">
        <v>2.4262999999999999</v>
      </c>
      <c r="S534">
        <v>0.40692159999999999</v>
      </c>
      <c r="T534" t="s">
        <v>1014</v>
      </c>
      <c r="U534">
        <v>-46.4375</v>
      </c>
    </row>
    <row r="535" spans="1:21" x14ac:dyDescent="0.25">
      <c r="A535" t="s">
        <v>48</v>
      </c>
      <c r="B535" t="s">
        <v>976</v>
      </c>
      <c r="C535">
        <v>2</v>
      </c>
      <c r="D535" t="s">
        <v>33</v>
      </c>
      <c r="E535" t="s">
        <v>95</v>
      </c>
      <c r="F535" t="s">
        <v>111</v>
      </c>
      <c r="G535" t="s">
        <v>113</v>
      </c>
      <c r="H535" t="s">
        <v>113</v>
      </c>
      <c r="J535">
        <v>0</v>
      </c>
      <c r="K535">
        <v>1</v>
      </c>
      <c r="L535">
        <v>94.97142857</v>
      </c>
      <c r="M535">
        <v>24.31591813</v>
      </c>
      <c r="N535">
        <v>0.122951111</v>
      </c>
      <c r="O535">
        <v>0.39050790000000002</v>
      </c>
      <c r="P535">
        <v>83.757575759999995</v>
      </c>
      <c r="Q535">
        <v>22.60997987</v>
      </c>
      <c r="R535">
        <v>0.72884000000000004</v>
      </c>
      <c r="S535">
        <v>0.21301339999999999</v>
      </c>
      <c r="T535" t="s">
        <v>1014</v>
      </c>
      <c r="U535">
        <v>11.213852810000001</v>
      </c>
    </row>
    <row r="536" spans="1:21" x14ac:dyDescent="0.25">
      <c r="A536" t="s">
        <v>48</v>
      </c>
      <c r="B536" t="s">
        <v>976</v>
      </c>
      <c r="C536">
        <v>2</v>
      </c>
      <c r="D536" t="s">
        <v>33</v>
      </c>
      <c r="E536" t="s">
        <v>95</v>
      </c>
      <c r="F536" t="s">
        <v>111</v>
      </c>
      <c r="G536" t="s">
        <v>113</v>
      </c>
      <c r="H536" t="s">
        <v>241</v>
      </c>
      <c r="J536">
        <v>0</v>
      </c>
      <c r="K536">
        <v>1</v>
      </c>
      <c r="L536">
        <v>94.97142857</v>
      </c>
      <c r="M536">
        <v>24.31591813</v>
      </c>
      <c r="N536">
        <v>0.122951111</v>
      </c>
      <c r="O536">
        <v>0.39050790000000002</v>
      </c>
      <c r="P536">
        <v>114</v>
      </c>
      <c r="Q536">
        <v>30.43077242</v>
      </c>
      <c r="R536">
        <v>0.53383111100000002</v>
      </c>
      <c r="S536">
        <v>0.28333332999999999</v>
      </c>
      <c r="T536" t="s">
        <v>1014</v>
      </c>
      <c r="U536">
        <v>-19.02857143</v>
      </c>
    </row>
    <row r="537" spans="1:21" x14ac:dyDescent="0.25">
      <c r="A537" t="s">
        <v>48</v>
      </c>
      <c r="B537" t="s">
        <v>977</v>
      </c>
      <c r="C537">
        <v>2</v>
      </c>
      <c r="D537" t="s">
        <v>33</v>
      </c>
      <c r="E537" t="s">
        <v>95</v>
      </c>
      <c r="F537" t="s">
        <v>104</v>
      </c>
      <c r="G537" t="s">
        <v>121</v>
      </c>
      <c r="H537" t="s">
        <v>113</v>
      </c>
      <c r="J537">
        <v>0</v>
      </c>
      <c r="K537">
        <v>5</v>
      </c>
      <c r="L537">
        <v>113.9375</v>
      </c>
      <c r="M537">
        <v>33.375507550000002</v>
      </c>
      <c r="N537">
        <v>2.4262999999999999</v>
      </c>
      <c r="O537">
        <v>0.40692159999999999</v>
      </c>
      <c r="P537">
        <v>83.757575759999995</v>
      </c>
      <c r="Q537">
        <v>22.60997987</v>
      </c>
      <c r="R537">
        <v>0.72884000000000004</v>
      </c>
      <c r="S537">
        <v>0.21301339999999999</v>
      </c>
      <c r="T537" t="s">
        <v>1014</v>
      </c>
      <c r="U537">
        <v>30.179924239999998</v>
      </c>
    </row>
    <row r="538" spans="1:21" x14ac:dyDescent="0.25">
      <c r="A538" t="s">
        <v>48</v>
      </c>
      <c r="B538" t="s">
        <v>977</v>
      </c>
      <c r="C538">
        <v>2</v>
      </c>
      <c r="D538" t="s">
        <v>33</v>
      </c>
      <c r="E538" t="s">
        <v>95</v>
      </c>
      <c r="F538" t="s">
        <v>104</v>
      </c>
      <c r="G538" t="s">
        <v>121</v>
      </c>
      <c r="H538" t="s">
        <v>113</v>
      </c>
      <c r="J538">
        <v>0</v>
      </c>
      <c r="K538">
        <v>5</v>
      </c>
      <c r="L538">
        <v>113.9375</v>
      </c>
      <c r="M538">
        <v>33.375507550000002</v>
      </c>
      <c r="N538">
        <v>2.4262999999999999</v>
      </c>
      <c r="O538">
        <v>0.40692159999999999</v>
      </c>
      <c r="P538">
        <v>83.757575759999995</v>
      </c>
      <c r="Q538">
        <v>22.60997987</v>
      </c>
      <c r="R538">
        <v>0.72884000000000004</v>
      </c>
      <c r="S538">
        <v>0.21301339999999999</v>
      </c>
      <c r="T538" t="s">
        <v>1014</v>
      </c>
      <c r="U538">
        <v>30.179924239999998</v>
      </c>
    </row>
    <row r="539" spans="1:21" x14ac:dyDescent="0.25">
      <c r="A539" t="s">
        <v>48</v>
      </c>
      <c r="B539" t="s">
        <v>977</v>
      </c>
      <c r="C539">
        <v>2</v>
      </c>
      <c r="D539" t="s">
        <v>33</v>
      </c>
      <c r="E539" t="s">
        <v>95</v>
      </c>
      <c r="F539" t="s">
        <v>104</v>
      </c>
      <c r="G539" t="s">
        <v>121</v>
      </c>
      <c r="H539" t="s">
        <v>113</v>
      </c>
      <c r="J539">
        <v>0</v>
      </c>
      <c r="K539">
        <v>5</v>
      </c>
      <c r="L539">
        <v>113.9375</v>
      </c>
      <c r="M539">
        <v>33.375507550000002</v>
      </c>
      <c r="N539">
        <v>2.4262999999999999</v>
      </c>
      <c r="O539">
        <v>0.40692159999999999</v>
      </c>
      <c r="P539">
        <v>83.757575759999995</v>
      </c>
      <c r="Q539">
        <v>22.60997987</v>
      </c>
      <c r="R539">
        <v>0.72884000000000004</v>
      </c>
      <c r="S539">
        <v>0.21301339999999999</v>
      </c>
      <c r="T539" t="s">
        <v>1014</v>
      </c>
      <c r="U539">
        <v>30.179924239999998</v>
      </c>
    </row>
    <row r="540" spans="1:21" x14ac:dyDescent="0.25">
      <c r="A540" t="s">
        <v>48</v>
      </c>
      <c r="B540" t="s">
        <v>977</v>
      </c>
      <c r="C540">
        <v>2</v>
      </c>
      <c r="D540" t="s">
        <v>33</v>
      </c>
      <c r="E540" t="s">
        <v>95</v>
      </c>
      <c r="F540" t="s">
        <v>104</v>
      </c>
      <c r="G540" t="s">
        <v>121</v>
      </c>
      <c r="H540" t="s">
        <v>113</v>
      </c>
      <c r="J540">
        <v>0</v>
      </c>
      <c r="K540">
        <v>5</v>
      </c>
      <c r="L540">
        <v>113.9375</v>
      </c>
      <c r="M540">
        <v>33.375507550000002</v>
      </c>
      <c r="N540">
        <v>2.4262999999999999</v>
      </c>
      <c r="O540">
        <v>0.40692159999999999</v>
      </c>
      <c r="P540">
        <v>83.757575759999995</v>
      </c>
      <c r="Q540">
        <v>22.60997987</v>
      </c>
      <c r="R540">
        <v>0.72884000000000004</v>
      </c>
      <c r="S540">
        <v>0.21301339999999999</v>
      </c>
      <c r="T540" t="s">
        <v>1014</v>
      </c>
      <c r="U540">
        <v>30.179924239999998</v>
      </c>
    </row>
    <row r="541" spans="1:21" x14ac:dyDescent="0.25">
      <c r="A541" t="s">
        <v>48</v>
      </c>
      <c r="B541" t="s">
        <v>977</v>
      </c>
      <c r="C541">
        <v>2</v>
      </c>
      <c r="D541" t="s">
        <v>33</v>
      </c>
      <c r="E541" t="s">
        <v>95</v>
      </c>
      <c r="F541" t="s">
        <v>104</v>
      </c>
      <c r="G541" t="s">
        <v>121</v>
      </c>
      <c r="H541" t="s">
        <v>113</v>
      </c>
      <c r="J541">
        <v>0</v>
      </c>
      <c r="K541">
        <v>5</v>
      </c>
      <c r="L541">
        <v>113.9375</v>
      </c>
      <c r="M541">
        <v>33.375507550000002</v>
      </c>
      <c r="N541">
        <v>2.4262999999999999</v>
      </c>
      <c r="O541">
        <v>0.40692159999999999</v>
      </c>
      <c r="P541">
        <v>83.757575759999995</v>
      </c>
      <c r="Q541">
        <v>22.60997987</v>
      </c>
      <c r="R541">
        <v>0.72884000000000004</v>
      </c>
      <c r="S541">
        <v>0.21301339999999999</v>
      </c>
      <c r="T541" t="s">
        <v>1014</v>
      </c>
      <c r="U541">
        <v>30.179924239999998</v>
      </c>
    </row>
    <row r="542" spans="1:21" x14ac:dyDescent="0.25">
      <c r="A542" t="s">
        <v>48</v>
      </c>
      <c r="B542" t="s">
        <v>977</v>
      </c>
      <c r="C542">
        <v>2</v>
      </c>
      <c r="D542" t="s">
        <v>33</v>
      </c>
      <c r="E542" t="s">
        <v>95</v>
      </c>
      <c r="F542" t="s">
        <v>104</v>
      </c>
      <c r="G542" t="s">
        <v>121</v>
      </c>
      <c r="H542" t="s">
        <v>104</v>
      </c>
      <c r="J542">
        <v>0</v>
      </c>
      <c r="K542">
        <v>2</v>
      </c>
      <c r="L542">
        <v>113.9375</v>
      </c>
      <c r="M542">
        <v>33.375507550000002</v>
      </c>
      <c r="N542">
        <v>2.4262999999999999</v>
      </c>
      <c r="O542">
        <v>0.40692159999999999</v>
      </c>
      <c r="P542">
        <v>113.9375</v>
      </c>
      <c r="Q542">
        <v>33.375507550000002</v>
      </c>
      <c r="R542">
        <v>2.4262999999999999</v>
      </c>
      <c r="S542">
        <v>0.40692159999999999</v>
      </c>
      <c r="T542" t="s">
        <v>1014</v>
      </c>
      <c r="U542">
        <v>0</v>
      </c>
    </row>
    <row r="543" spans="1:21" x14ac:dyDescent="0.25">
      <c r="A543" t="s">
        <v>48</v>
      </c>
      <c r="B543" t="s">
        <v>977</v>
      </c>
      <c r="C543">
        <v>2</v>
      </c>
      <c r="D543" t="s">
        <v>33</v>
      </c>
      <c r="E543" t="s">
        <v>95</v>
      </c>
      <c r="F543" t="s">
        <v>104</v>
      </c>
      <c r="G543" t="s">
        <v>121</v>
      </c>
      <c r="H543" t="s">
        <v>104</v>
      </c>
      <c r="J543">
        <v>0</v>
      </c>
      <c r="K543">
        <v>2</v>
      </c>
      <c r="L543">
        <v>113.9375</v>
      </c>
      <c r="M543">
        <v>33.375507550000002</v>
      </c>
      <c r="N543">
        <v>2.4262999999999999</v>
      </c>
      <c r="O543">
        <v>0.40692159999999999</v>
      </c>
      <c r="P543">
        <v>113.9375</v>
      </c>
      <c r="Q543">
        <v>33.375507550000002</v>
      </c>
      <c r="R543">
        <v>2.4262999999999999</v>
      </c>
      <c r="S543">
        <v>0.40692159999999999</v>
      </c>
      <c r="T543" t="s">
        <v>1014</v>
      </c>
      <c r="U543">
        <v>0</v>
      </c>
    </row>
    <row r="544" spans="1:21" x14ac:dyDescent="0.25">
      <c r="A544" t="s">
        <v>48</v>
      </c>
      <c r="B544" t="s">
        <v>977</v>
      </c>
      <c r="C544">
        <v>2</v>
      </c>
      <c r="D544" t="s">
        <v>33</v>
      </c>
      <c r="E544" t="s">
        <v>95</v>
      </c>
      <c r="F544" t="s">
        <v>104</v>
      </c>
      <c r="G544" t="s">
        <v>121</v>
      </c>
      <c r="H544" t="s">
        <v>103</v>
      </c>
      <c r="J544">
        <v>0</v>
      </c>
      <c r="K544">
        <v>1</v>
      </c>
      <c r="L544">
        <v>113.9375</v>
      </c>
      <c r="M544">
        <v>33.375507550000002</v>
      </c>
      <c r="N544">
        <v>2.4262999999999999</v>
      </c>
      <c r="O544">
        <v>0.40692159999999999</v>
      </c>
      <c r="P544">
        <v>98.291666669999998</v>
      </c>
      <c r="Q544">
        <v>30.315130790000001</v>
      </c>
      <c r="R544">
        <v>5.0803484000000003E-2</v>
      </c>
      <c r="S544">
        <v>0.42866070000000001</v>
      </c>
      <c r="T544" t="s">
        <v>1014</v>
      </c>
      <c r="U544">
        <v>15.64583333</v>
      </c>
    </row>
    <row r="545" spans="1:21" x14ac:dyDescent="0.25">
      <c r="A545" t="s">
        <v>49</v>
      </c>
      <c r="B545" t="s">
        <v>978</v>
      </c>
      <c r="C545">
        <v>2</v>
      </c>
      <c r="D545" t="s">
        <v>35</v>
      </c>
      <c r="E545" t="s">
        <v>94</v>
      </c>
      <c r="F545" t="s">
        <v>102</v>
      </c>
      <c r="G545" t="s">
        <v>112</v>
      </c>
      <c r="H545" t="s">
        <v>112</v>
      </c>
      <c r="J545">
        <v>0</v>
      </c>
      <c r="K545">
        <v>1</v>
      </c>
      <c r="L545">
        <v>84.740740740000007</v>
      </c>
      <c r="M545">
        <v>29.167014049999999</v>
      </c>
      <c r="N545">
        <v>1.1169849999999999</v>
      </c>
      <c r="O545">
        <v>1.1571499000000001</v>
      </c>
      <c r="P545">
        <v>65.09375</v>
      </c>
      <c r="Q545">
        <v>37.895352600000002</v>
      </c>
      <c r="R545">
        <v>2.2882677779999998</v>
      </c>
      <c r="S545">
        <v>2.2111774</v>
      </c>
      <c r="T545" t="s">
        <v>1014</v>
      </c>
      <c r="U545">
        <v>19.64699074</v>
      </c>
    </row>
    <row r="546" spans="1:21" x14ac:dyDescent="0.25">
      <c r="A546" t="s">
        <v>49</v>
      </c>
      <c r="B546" t="s">
        <v>978</v>
      </c>
      <c r="C546">
        <v>2</v>
      </c>
      <c r="D546" t="s">
        <v>35</v>
      </c>
      <c r="E546" t="s">
        <v>94</v>
      </c>
      <c r="F546" t="s">
        <v>102</v>
      </c>
      <c r="G546" t="s">
        <v>112</v>
      </c>
      <c r="H546" t="s">
        <v>104</v>
      </c>
      <c r="J546">
        <v>0</v>
      </c>
      <c r="K546">
        <v>5</v>
      </c>
      <c r="L546">
        <v>84.740740740000007</v>
      </c>
      <c r="M546">
        <v>29.167014049999999</v>
      </c>
      <c r="N546">
        <v>1.1169849999999999</v>
      </c>
      <c r="O546">
        <v>1.1571499000000001</v>
      </c>
      <c r="P546">
        <v>113.9375</v>
      </c>
      <c r="Q546">
        <v>33.375507550000002</v>
      </c>
      <c r="R546">
        <v>2.4262999999999999</v>
      </c>
      <c r="S546">
        <v>0.40692159999999999</v>
      </c>
      <c r="T546" t="s">
        <v>1014</v>
      </c>
      <c r="U546">
        <v>-29.19675926</v>
      </c>
    </row>
    <row r="547" spans="1:21" x14ac:dyDescent="0.25">
      <c r="A547" t="s">
        <v>49</v>
      </c>
      <c r="B547" t="s">
        <v>978</v>
      </c>
      <c r="C547">
        <v>2</v>
      </c>
      <c r="D547" t="s">
        <v>35</v>
      </c>
      <c r="E547" t="s">
        <v>94</v>
      </c>
      <c r="F547" t="s">
        <v>102</v>
      </c>
      <c r="G547" t="s">
        <v>112</v>
      </c>
      <c r="H547" t="s">
        <v>104</v>
      </c>
      <c r="J547">
        <v>0</v>
      </c>
      <c r="K547">
        <v>5</v>
      </c>
      <c r="L547">
        <v>84.740740740000007</v>
      </c>
      <c r="M547">
        <v>29.167014049999999</v>
      </c>
      <c r="N547">
        <v>1.1169849999999999</v>
      </c>
      <c r="O547">
        <v>1.1571499000000001</v>
      </c>
      <c r="P547">
        <v>113.9375</v>
      </c>
      <c r="Q547">
        <v>33.375507550000002</v>
      </c>
      <c r="R547">
        <v>2.4262999999999999</v>
      </c>
      <c r="S547">
        <v>0.40692159999999999</v>
      </c>
      <c r="T547" t="s">
        <v>1014</v>
      </c>
      <c r="U547">
        <v>-29.19675926</v>
      </c>
    </row>
    <row r="548" spans="1:21" x14ac:dyDescent="0.25">
      <c r="A548" t="s">
        <v>49</v>
      </c>
      <c r="B548" t="s">
        <v>978</v>
      </c>
      <c r="C548">
        <v>2</v>
      </c>
      <c r="D548" t="s">
        <v>35</v>
      </c>
      <c r="E548" t="s">
        <v>94</v>
      </c>
      <c r="F548" t="s">
        <v>102</v>
      </c>
      <c r="G548" t="s">
        <v>112</v>
      </c>
      <c r="H548" t="s">
        <v>104</v>
      </c>
      <c r="J548">
        <v>0</v>
      </c>
      <c r="K548">
        <v>5</v>
      </c>
      <c r="L548">
        <v>84.740740740000007</v>
      </c>
      <c r="M548">
        <v>29.167014049999999</v>
      </c>
      <c r="N548">
        <v>1.1169849999999999</v>
      </c>
      <c r="O548">
        <v>1.1571499000000001</v>
      </c>
      <c r="P548">
        <v>113.9375</v>
      </c>
      <c r="Q548">
        <v>33.375507550000002</v>
      </c>
      <c r="R548">
        <v>2.4262999999999999</v>
      </c>
      <c r="S548">
        <v>0.40692159999999999</v>
      </c>
      <c r="T548" t="s">
        <v>1014</v>
      </c>
      <c r="U548">
        <v>-29.19675926</v>
      </c>
    </row>
    <row r="549" spans="1:21" x14ac:dyDescent="0.25">
      <c r="A549" t="s">
        <v>49</v>
      </c>
      <c r="B549" t="s">
        <v>978</v>
      </c>
      <c r="C549">
        <v>2</v>
      </c>
      <c r="D549" t="s">
        <v>35</v>
      </c>
      <c r="E549" t="s">
        <v>94</v>
      </c>
      <c r="F549" t="s">
        <v>102</v>
      </c>
      <c r="G549" t="s">
        <v>112</v>
      </c>
      <c r="H549" t="s">
        <v>104</v>
      </c>
      <c r="J549">
        <v>0</v>
      </c>
      <c r="K549">
        <v>5</v>
      </c>
      <c r="L549">
        <v>84.740740740000007</v>
      </c>
      <c r="M549">
        <v>29.167014049999999</v>
      </c>
      <c r="N549">
        <v>1.1169849999999999</v>
      </c>
      <c r="O549">
        <v>1.1571499000000001</v>
      </c>
      <c r="P549">
        <v>113.9375</v>
      </c>
      <c r="Q549">
        <v>33.375507550000002</v>
      </c>
      <c r="R549">
        <v>2.4262999999999999</v>
      </c>
      <c r="S549">
        <v>0.40692159999999999</v>
      </c>
      <c r="T549" t="s">
        <v>1014</v>
      </c>
      <c r="U549">
        <v>-29.19675926</v>
      </c>
    </row>
    <row r="550" spans="1:21" x14ac:dyDescent="0.25">
      <c r="A550" t="s">
        <v>49</v>
      </c>
      <c r="B550" t="s">
        <v>978</v>
      </c>
      <c r="C550">
        <v>2</v>
      </c>
      <c r="D550" t="s">
        <v>35</v>
      </c>
      <c r="E550" t="s">
        <v>94</v>
      </c>
      <c r="F550" t="s">
        <v>102</v>
      </c>
      <c r="G550" t="s">
        <v>112</v>
      </c>
      <c r="H550" t="s">
        <v>104</v>
      </c>
      <c r="J550">
        <v>0</v>
      </c>
      <c r="K550">
        <v>5</v>
      </c>
      <c r="L550">
        <v>84.740740740000007</v>
      </c>
      <c r="M550">
        <v>29.167014049999999</v>
      </c>
      <c r="N550">
        <v>1.1169849999999999</v>
      </c>
      <c r="O550">
        <v>1.1571499000000001</v>
      </c>
      <c r="P550">
        <v>113.9375</v>
      </c>
      <c r="Q550">
        <v>33.375507550000002</v>
      </c>
      <c r="R550">
        <v>2.4262999999999999</v>
      </c>
      <c r="S550">
        <v>0.40692159999999999</v>
      </c>
      <c r="T550" t="s">
        <v>1014</v>
      </c>
      <c r="U550">
        <v>-29.19675926</v>
      </c>
    </row>
    <row r="551" spans="1:21" x14ac:dyDescent="0.25">
      <c r="A551" t="s">
        <v>49</v>
      </c>
      <c r="B551" t="s">
        <v>979</v>
      </c>
      <c r="C551">
        <v>2</v>
      </c>
      <c r="D551" t="s">
        <v>35</v>
      </c>
      <c r="E551" t="s">
        <v>94</v>
      </c>
      <c r="F551" t="s">
        <v>112</v>
      </c>
      <c r="G551" t="s">
        <v>112</v>
      </c>
      <c r="H551" t="s">
        <v>112</v>
      </c>
      <c r="J551">
        <v>0</v>
      </c>
      <c r="K551">
        <v>1</v>
      </c>
      <c r="L551">
        <v>65.09375</v>
      </c>
      <c r="M551">
        <v>37.895352600000002</v>
      </c>
      <c r="N551">
        <v>2.2882677779999998</v>
      </c>
      <c r="O551">
        <v>2.2111774</v>
      </c>
      <c r="P551">
        <v>65.09375</v>
      </c>
      <c r="Q551">
        <v>37.895352600000002</v>
      </c>
      <c r="R551">
        <v>2.2882677779999998</v>
      </c>
      <c r="S551">
        <v>2.2111774</v>
      </c>
      <c r="T551" t="s">
        <v>1014</v>
      </c>
      <c r="U551">
        <v>0</v>
      </c>
    </row>
    <row r="552" spans="1:21" x14ac:dyDescent="0.25">
      <c r="A552" t="s">
        <v>49</v>
      </c>
      <c r="B552" t="s">
        <v>979</v>
      </c>
      <c r="C552">
        <v>2</v>
      </c>
      <c r="D552" t="s">
        <v>35</v>
      </c>
      <c r="E552" t="s">
        <v>94</v>
      </c>
      <c r="F552" t="s">
        <v>112</v>
      </c>
      <c r="G552" t="s">
        <v>112</v>
      </c>
      <c r="H552" t="s">
        <v>103</v>
      </c>
      <c r="J552">
        <v>0</v>
      </c>
      <c r="K552">
        <v>1</v>
      </c>
      <c r="L552">
        <v>65.09375</v>
      </c>
      <c r="M552">
        <v>37.895352600000002</v>
      </c>
      <c r="N552">
        <v>2.2882677779999998</v>
      </c>
      <c r="O552">
        <v>2.2111774</v>
      </c>
      <c r="P552">
        <v>98.291666669999998</v>
      </c>
      <c r="Q552">
        <v>30.315130790000001</v>
      </c>
      <c r="R552">
        <v>5.0803484000000003E-2</v>
      </c>
      <c r="S552">
        <v>0.42866070000000001</v>
      </c>
      <c r="T552" t="s">
        <v>1014</v>
      </c>
      <c r="U552">
        <v>-33.197916669999998</v>
      </c>
    </row>
    <row r="553" spans="1:21" x14ac:dyDescent="0.25">
      <c r="A553" t="s">
        <v>79</v>
      </c>
      <c r="B553" t="s">
        <v>980</v>
      </c>
      <c r="C553">
        <v>6</v>
      </c>
      <c r="D553" t="s">
        <v>11</v>
      </c>
      <c r="E553" t="s">
        <v>95</v>
      </c>
      <c r="F553" t="s">
        <v>113</v>
      </c>
      <c r="G553" t="s">
        <v>113</v>
      </c>
      <c r="H553" t="s">
        <v>113</v>
      </c>
      <c r="J553">
        <v>0</v>
      </c>
      <c r="K553">
        <v>4</v>
      </c>
      <c r="L553">
        <v>83.757575759999995</v>
      </c>
      <c r="M553">
        <v>22.60997987</v>
      </c>
      <c r="N553">
        <v>0.72884000000000004</v>
      </c>
      <c r="O553">
        <v>0.21301339999999999</v>
      </c>
      <c r="P553">
        <v>83.757575759999995</v>
      </c>
      <c r="Q553">
        <v>22.60997987</v>
      </c>
      <c r="R553">
        <v>0.72884000000000004</v>
      </c>
      <c r="S553">
        <v>0.21301339999999999</v>
      </c>
      <c r="T553" t="s">
        <v>1014</v>
      </c>
      <c r="U553">
        <v>0</v>
      </c>
    </row>
    <row r="554" spans="1:21" x14ac:dyDescent="0.25">
      <c r="A554" t="s">
        <v>79</v>
      </c>
      <c r="B554" t="s">
        <v>980</v>
      </c>
      <c r="C554">
        <v>6</v>
      </c>
      <c r="D554" t="s">
        <v>11</v>
      </c>
      <c r="E554" t="s">
        <v>95</v>
      </c>
      <c r="F554" t="s">
        <v>113</v>
      </c>
      <c r="G554" t="s">
        <v>113</v>
      </c>
      <c r="H554" t="s">
        <v>113</v>
      </c>
      <c r="J554">
        <v>0</v>
      </c>
      <c r="K554">
        <v>4</v>
      </c>
      <c r="L554">
        <v>83.757575759999995</v>
      </c>
      <c r="M554">
        <v>22.60997987</v>
      </c>
      <c r="N554">
        <v>0.72884000000000004</v>
      </c>
      <c r="O554">
        <v>0.21301339999999999</v>
      </c>
      <c r="P554">
        <v>83.757575759999995</v>
      </c>
      <c r="Q554">
        <v>22.60997987</v>
      </c>
      <c r="R554">
        <v>0.72884000000000004</v>
      </c>
      <c r="S554">
        <v>0.21301339999999999</v>
      </c>
      <c r="T554" t="s">
        <v>1014</v>
      </c>
      <c r="U554">
        <v>0</v>
      </c>
    </row>
    <row r="555" spans="1:21" x14ac:dyDescent="0.25">
      <c r="A555" t="s">
        <v>79</v>
      </c>
      <c r="B555" t="s">
        <v>980</v>
      </c>
      <c r="C555">
        <v>6</v>
      </c>
      <c r="D555" t="s">
        <v>11</v>
      </c>
      <c r="E555" t="s">
        <v>95</v>
      </c>
      <c r="F555" t="s">
        <v>113</v>
      </c>
      <c r="G555" t="s">
        <v>113</v>
      </c>
      <c r="H555" t="s">
        <v>113</v>
      </c>
      <c r="J555">
        <v>0</v>
      </c>
      <c r="K555">
        <v>4</v>
      </c>
      <c r="L555">
        <v>83.757575759999995</v>
      </c>
      <c r="M555">
        <v>22.60997987</v>
      </c>
      <c r="N555">
        <v>0.72884000000000004</v>
      </c>
      <c r="O555">
        <v>0.21301339999999999</v>
      </c>
      <c r="P555">
        <v>83.757575759999995</v>
      </c>
      <c r="Q555">
        <v>22.60997987</v>
      </c>
      <c r="R555">
        <v>0.72884000000000004</v>
      </c>
      <c r="S555">
        <v>0.21301339999999999</v>
      </c>
      <c r="T555" t="s">
        <v>1014</v>
      </c>
      <c r="U555">
        <v>0</v>
      </c>
    </row>
    <row r="556" spans="1:21" x14ac:dyDescent="0.25">
      <c r="A556" t="s">
        <v>79</v>
      </c>
      <c r="B556" t="s">
        <v>980</v>
      </c>
      <c r="C556">
        <v>6</v>
      </c>
      <c r="D556" t="s">
        <v>11</v>
      </c>
      <c r="E556" t="s">
        <v>95</v>
      </c>
      <c r="F556" t="s">
        <v>113</v>
      </c>
      <c r="G556" t="s">
        <v>113</v>
      </c>
      <c r="H556" t="s">
        <v>113</v>
      </c>
      <c r="J556">
        <v>0</v>
      </c>
      <c r="K556">
        <v>4</v>
      </c>
      <c r="L556">
        <v>83.757575759999995</v>
      </c>
      <c r="M556">
        <v>22.60997987</v>
      </c>
      <c r="N556">
        <v>0.72884000000000004</v>
      </c>
      <c r="O556">
        <v>0.21301339999999999</v>
      </c>
      <c r="P556">
        <v>83.757575759999995</v>
      </c>
      <c r="Q556">
        <v>22.60997987</v>
      </c>
      <c r="R556">
        <v>0.72884000000000004</v>
      </c>
      <c r="S556">
        <v>0.21301339999999999</v>
      </c>
      <c r="T556" t="s">
        <v>1014</v>
      </c>
      <c r="U556">
        <v>0</v>
      </c>
    </row>
    <row r="557" spans="1:21" x14ac:dyDescent="0.25">
      <c r="A557" t="s">
        <v>79</v>
      </c>
      <c r="B557" t="s">
        <v>981</v>
      </c>
      <c r="C557">
        <v>6</v>
      </c>
      <c r="D557" t="s">
        <v>11</v>
      </c>
      <c r="E557" t="s">
        <v>95</v>
      </c>
      <c r="F557" t="s">
        <v>103</v>
      </c>
      <c r="G557" t="s">
        <v>113</v>
      </c>
      <c r="H557" t="s">
        <v>113</v>
      </c>
      <c r="J557">
        <v>0</v>
      </c>
      <c r="K557">
        <v>7</v>
      </c>
      <c r="L557">
        <v>98.291666669999998</v>
      </c>
      <c r="M557">
        <v>30.315130790000001</v>
      </c>
      <c r="N557">
        <v>5.0803484000000003E-2</v>
      </c>
      <c r="O557">
        <v>0.42866070000000001</v>
      </c>
      <c r="P557">
        <v>83.757575759999995</v>
      </c>
      <c r="Q557">
        <v>22.60997987</v>
      </c>
      <c r="R557">
        <v>0.72884000000000004</v>
      </c>
      <c r="S557">
        <v>0.21301339999999999</v>
      </c>
      <c r="T557" t="s">
        <v>1014</v>
      </c>
      <c r="U557">
        <v>14.53409091</v>
      </c>
    </row>
    <row r="558" spans="1:21" x14ac:dyDescent="0.25">
      <c r="A558" t="s">
        <v>79</v>
      </c>
      <c r="B558" t="s">
        <v>981</v>
      </c>
      <c r="C558">
        <v>6</v>
      </c>
      <c r="D558" t="s">
        <v>11</v>
      </c>
      <c r="E558" t="s">
        <v>95</v>
      </c>
      <c r="F558" t="s">
        <v>103</v>
      </c>
      <c r="G558" t="s">
        <v>113</v>
      </c>
      <c r="H558" t="s">
        <v>113</v>
      </c>
      <c r="J558">
        <v>0</v>
      </c>
      <c r="K558">
        <v>7</v>
      </c>
      <c r="L558">
        <v>98.291666669999998</v>
      </c>
      <c r="M558">
        <v>30.315130790000001</v>
      </c>
      <c r="N558">
        <v>5.0803484000000003E-2</v>
      </c>
      <c r="O558">
        <v>0.42866070000000001</v>
      </c>
      <c r="P558">
        <v>83.757575759999995</v>
      </c>
      <c r="Q558">
        <v>22.60997987</v>
      </c>
      <c r="R558">
        <v>0.72884000000000004</v>
      </c>
      <c r="S558">
        <v>0.21301339999999999</v>
      </c>
      <c r="T558" t="s">
        <v>1014</v>
      </c>
      <c r="U558">
        <v>14.53409091</v>
      </c>
    </row>
    <row r="559" spans="1:21" x14ac:dyDescent="0.25">
      <c r="A559" t="s">
        <v>79</v>
      </c>
      <c r="B559" t="s">
        <v>981</v>
      </c>
      <c r="C559">
        <v>6</v>
      </c>
      <c r="D559" t="s">
        <v>11</v>
      </c>
      <c r="E559" t="s">
        <v>95</v>
      </c>
      <c r="F559" t="s">
        <v>103</v>
      </c>
      <c r="G559" t="s">
        <v>113</v>
      </c>
      <c r="H559" t="s">
        <v>113</v>
      </c>
      <c r="J559">
        <v>0</v>
      </c>
      <c r="K559">
        <v>7</v>
      </c>
      <c r="L559">
        <v>98.291666669999998</v>
      </c>
      <c r="M559">
        <v>30.315130790000001</v>
      </c>
      <c r="N559">
        <v>5.0803484000000003E-2</v>
      </c>
      <c r="O559">
        <v>0.42866070000000001</v>
      </c>
      <c r="P559">
        <v>83.757575759999995</v>
      </c>
      <c r="Q559">
        <v>22.60997987</v>
      </c>
      <c r="R559">
        <v>0.72884000000000004</v>
      </c>
      <c r="S559">
        <v>0.21301339999999999</v>
      </c>
      <c r="T559" t="s">
        <v>1014</v>
      </c>
      <c r="U559">
        <v>14.53409091</v>
      </c>
    </row>
    <row r="560" spans="1:21" x14ac:dyDescent="0.25">
      <c r="A560" t="s">
        <v>79</v>
      </c>
      <c r="B560" t="s">
        <v>981</v>
      </c>
      <c r="C560">
        <v>6</v>
      </c>
      <c r="D560" t="s">
        <v>11</v>
      </c>
      <c r="E560" t="s">
        <v>95</v>
      </c>
      <c r="F560" t="s">
        <v>103</v>
      </c>
      <c r="G560" t="s">
        <v>113</v>
      </c>
      <c r="H560" t="s">
        <v>113</v>
      </c>
      <c r="J560">
        <v>0</v>
      </c>
      <c r="K560">
        <v>7</v>
      </c>
      <c r="L560">
        <v>98.291666669999998</v>
      </c>
      <c r="M560">
        <v>30.315130790000001</v>
      </c>
      <c r="N560">
        <v>5.0803484000000003E-2</v>
      </c>
      <c r="O560">
        <v>0.42866070000000001</v>
      </c>
      <c r="P560">
        <v>83.757575759999995</v>
      </c>
      <c r="Q560">
        <v>22.60997987</v>
      </c>
      <c r="R560">
        <v>0.72884000000000004</v>
      </c>
      <c r="S560">
        <v>0.21301339999999999</v>
      </c>
      <c r="T560" t="s">
        <v>1014</v>
      </c>
      <c r="U560">
        <v>14.53409091</v>
      </c>
    </row>
    <row r="561" spans="1:21" x14ac:dyDescent="0.25">
      <c r="A561" t="s">
        <v>79</v>
      </c>
      <c r="B561" t="s">
        <v>981</v>
      </c>
      <c r="C561">
        <v>6</v>
      </c>
      <c r="D561" t="s">
        <v>11</v>
      </c>
      <c r="E561" t="s">
        <v>95</v>
      </c>
      <c r="F561" t="s">
        <v>103</v>
      </c>
      <c r="G561" t="s">
        <v>113</v>
      </c>
      <c r="H561" t="s">
        <v>113</v>
      </c>
      <c r="J561">
        <v>0</v>
      </c>
      <c r="K561">
        <v>7</v>
      </c>
      <c r="L561">
        <v>98.291666669999998</v>
      </c>
      <c r="M561">
        <v>30.315130790000001</v>
      </c>
      <c r="N561">
        <v>5.0803484000000003E-2</v>
      </c>
      <c r="O561">
        <v>0.42866070000000001</v>
      </c>
      <c r="P561">
        <v>83.757575759999995</v>
      </c>
      <c r="Q561">
        <v>22.60997987</v>
      </c>
      <c r="R561">
        <v>0.72884000000000004</v>
      </c>
      <c r="S561">
        <v>0.21301339999999999</v>
      </c>
      <c r="T561" t="s">
        <v>1014</v>
      </c>
      <c r="U561">
        <v>14.53409091</v>
      </c>
    </row>
    <row r="562" spans="1:21" x14ac:dyDescent="0.25">
      <c r="A562" t="s">
        <v>79</v>
      </c>
      <c r="B562" t="s">
        <v>981</v>
      </c>
      <c r="C562">
        <v>6</v>
      </c>
      <c r="D562" t="s">
        <v>11</v>
      </c>
      <c r="E562" t="s">
        <v>95</v>
      </c>
      <c r="F562" t="s">
        <v>103</v>
      </c>
      <c r="G562" t="s">
        <v>113</v>
      </c>
      <c r="H562" t="s">
        <v>113</v>
      </c>
      <c r="J562">
        <v>0</v>
      </c>
      <c r="K562">
        <v>7</v>
      </c>
      <c r="L562">
        <v>98.291666669999998</v>
      </c>
      <c r="M562">
        <v>30.315130790000001</v>
      </c>
      <c r="N562">
        <v>5.0803484000000003E-2</v>
      </c>
      <c r="O562">
        <v>0.42866070000000001</v>
      </c>
      <c r="P562">
        <v>83.757575759999995</v>
      </c>
      <c r="Q562">
        <v>22.60997987</v>
      </c>
      <c r="R562">
        <v>0.72884000000000004</v>
      </c>
      <c r="S562">
        <v>0.21301339999999999</v>
      </c>
      <c r="T562" t="s">
        <v>1014</v>
      </c>
      <c r="U562">
        <v>14.53409091</v>
      </c>
    </row>
    <row r="563" spans="1:21" x14ac:dyDescent="0.25">
      <c r="A563" t="s">
        <v>79</v>
      </c>
      <c r="B563" t="s">
        <v>981</v>
      </c>
      <c r="C563">
        <v>6</v>
      </c>
      <c r="D563" t="s">
        <v>11</v>
      </c>
      <c r="E563" t="s">
        <v>95</v>
      </c>
      <c r="F563" t="s">
        <v>103</v>
      </c>
      <c r="G563" t="s">
        <v>113</v>
      </c>
      <c r="H563" t="s">
        <v>113</v>
      </c>
      <c r="J563">
        <v>0</v>
      </c>
      <c r="K563">
        <v>7</v>
      </c>
      <c r="L563">
        <v>98.291666669999998</v>
      </c>
      <c r="M563">
        <v>30.315130790000001</v>
      </c>
      <c r="N563">
        <v>5.0803484000000003E-2</v>
      </c>
      <c r="O563">
        <v>0.42866070000000001</v>
      </c>
      <c r="P563">
        <v>83.757575759999995</v>
      </c>
      <c r="Q563">
        <v>22.60997987</v>
      </c>
      <c r="R563">
        <v>0.72884000000000004</v>
      </c>
      <c r="S563">
        <v>0.21301339999999999</v>
      </c>
      <c r="T563" t="s">
        <v>1014</v>
      </c>
      <c r="U563">
        <v>14.53409091</v>
      </c>
    </row>
    <row r="564" spans="1:21" x14ac:dyDescent="0.25">
      <c r="A564" t="s">
        <v>79</v>
      </c>
      <c r="B564" t="s">
        <v>981</v>
      </c>
      <c r="C564">
        <v>6</v>
      </c>
      <c r="D564" t="s">
        <v>11</v>
      </c>
      <c r="E564" t="s">
        <v>95</v>
      </c>
      <c r="F564" t="s">
        <v>103</v>
      </c>
      <c r="G564" t="s">
        <v>113</v>
      </c>
      <c r="H564" t="s">
        <v>103</v>
      </c>
      <c r="J564">
        <v>0</v>
      </c>
      <c r="K564">
        <v>4</v>
      </c>
      <c r="L564">
        <v>98.291666669999998</v>
      </c>
      <c r="M564">
        <v>30.315130790000001</v>
      </c>
      <c r="N564">
        <v>5.0803484000000003E-2</v>
      </c>
      <c r="O564">
        <v>0.42866070000000001</v>
      </c>
      <c r="P564">
        <v>98.291666669999998</v>
      </c>
      <c r="Q564">
        <v>30.315130790000001</v>
      </c>
      <c r="R564">
        <v>5.0803484000000003E-2</v>
      </c>
      <c r="S564">
        <v>0.42866070000000001</v>
      </c>
      <c r="T564" t="s">
        <v>1014</v>
      </c>
      <c r="U564">
        <v>0</v>
      </c>
    </row>
    <row r="565" spans="1:21" x14ac:dyDescent="0.25">
      <c r="A565" t="s">
        <v>79</v>
      </c>
      <c r="B565" t="s">
        <v>981</v>
      </c>
      <c r="C565">
        <v>6</v>
      </c>
      <c r="D565" t="s">
        <v>11</v>
      </c>
      <c r="E565" t="s">
        <v>95</v>
      </c>
      <c r="F565" t="s">
        <v>103</v>
      </c>
      <c r="G565" t="s">
        <v>113</v>
      </c>
      <c r="H565" t="s">
        <v>103</v>
      </c>
      <c r="J565">
        <v>0</v>
      </c>
      <c r="K565">
        <v>4</v>
      </c>
      <c r="L565">
        <v>98.291666669999998</v>
      </c>
      <c r="M565">
        <v>30.315130790000001</v>
      </c>
      <c r="N565">
        <v>5.0803484000000003E-2</v>
      </c>
      <c r="O565">
        <v>0.42866070000000001</v>
      </c>
      <c r="P565">
        <v>98.291666669999998</v>
      </c>
      <c r="Q565">
        <v>30.315130790000001</v>
      </c>
      <c r="R565">
        <v>5.0803484000000003E-2</v>
      </c>
      <c r="S565">
        <v>0.42866070000000001</v>
      </c>
      <c r="T565" t="s">
        <v>1014</v>
      </c>
      <c r="U565">
        <v>0</v>
      </c>
    </row>
    <row r="566" spans="1:21" x14ac:dyDescent="0.25">
      <c r="A566" t="s">
        <v>79</v>
      </c>
      <c r="B566" t="s">
        <v>981</v>
      </c>
      <c r="C566">
        <v>6</v>
      </c>
      <c r="D566" t="s">
        <v>11</v>
      </c>
      <c r="E566" t="s">
        <v>95</v>
      </c>
      <c r="F566" t="s">
        <v>103</v>
      </c>
      <c r="G566" t="s">
        <v>113</v>
      </c>
      <c r="H566" t="s">
        <v>103</v>
      </c>
      <c r="J566">
        <v>0</v>
      </c>
      <c r="K566">
        <v>4</v>
      </c>
      <c r="L566">
        <v>98.291666669999998</v>
      </c>
      <c r="M566">
        <v>30.315130790000001</v>
      </c>
      <c r="N566">
        <v>5.0803484000000003E-2</v>
      </c>
      <c r="O566">
        <v>0.42866070000000001</v>
      </c>
      <c r="P566">
        <v>98.291666669999998</v>
      </c>
      <c r="Q566">
        <v>30.315130790000001</v>
      </c>
      <c r="R566">
        <v>5.0803484000000003E-2</v>
      </c>
      <c r="S566">
        <v>0.42866070000000001</v>
      </c>
      <c r="T566" t="s">
        <v>1014</v>
      </c>
      <c r="U566">
        <v>0</v>
      </c>
    </row>
    <row r="567" spans="1:21" x14ac:dyDescent="0.25">
      <c r="A567" t="s">
        <v>79</v>
      </c>
      <c r="B567" t="s">
        <v>981</v>
      </c>
      <c r="C567">
        <v>6</v>
      </c>
      <c r="D567" t="s">
        <v>11</v>
      </c>
      <c r="E567" t="s">
        <v>95</v>
      </c>
      <c r="F567" t="s">
        <v>103</v>
      </c>
      <c r="G567" t="s">
        <v>113</v>
      </c>
      <c r="H567" t="s">
        <v>103</v>
      </c>
      <c r="J567">
        <v>0</v>
      </c>
      <c r="K567">
        <v>4</v>
      </c>
      <c r="L567">
        <v>98.291666669999998</v>
      </c>
      <c r="M567">
        <v>30.315130790000001</v>
      </c>
      <c r="N567">
        <v>5.0803484000000003E-2</v>
      </c>
      <c r="O567">
        <v>0.42866070000000001</v>
      </c>
      <c r="P567">
        <v>98.291666669999998</v>
      </c>
      <c r="Q567">
        <v>30.315130790000001</v>
      </c>
      <c r="R567">
        <v>5.0803484000000003E-2</v>
      </c>
      <c r="S567">
        <v>0.42866070000000001</v>
      </c>
      <c r="T567" t="s">
        <v>1014</v>
      </c>
      <c r="U567">
        <v>0</v>
      </c>
    </row>
    <row r="568" spans="1:21" x14ac:dyDescent="0.25">
      <c r="A568" t="s">
        <v>79</v>
      </c>
      <c r="B568" t="s">
        <v>982</v>
      </c>
      <c r="C568">
        <v>6</v>
      </c>
      <c r="D568" t="s">
        <v>11</v>
      </c>
      <c r="E568" t="s">
        <v>95</v>
      </c>
      <c r="F568" t="s">
        <v>111</v>
      </c>
      <c r="G568" t="s">
        <v>113</v>
      </c>
      <c r="H568" t="s">
        <v>234</v>
      </c>
      <c r="J568">
        <v>0</v>
      </c>
      <c r="K568">
        <v>1</v>
      </c>
      <c r="L568">
        <v>94.97142857</v>
      </c>
      <c r="M568">
        <v>24.31591813</v>
      </c>
      <c r="N568">
        <v>0.122951111</v>
      </c>
      <c r="O568">
        <v>0.39050790000000002</v>
      </c>
      <c r="P568">
        <v>89.8125</v>
      </c>
      <c r="Q568">
        <v>34.754706650000003</v>
      </c>
      <c r="R568">
        <v>2.3065078999999999E-2</v>
      </c>
      <c r="S568">
        <v>2.4791666700000001</v>
      </c>
      <c r="T568" t="s">
        <v>1014</v>
      </c>
      <c r="U568">
        <v>5.1589285699999996</v>
      </c>
    </row>
    <row r="569" spans="1:21" x14ac:dyDescent="0.25">
      <c r="A569" t="s">
        <v>79</v>
      </c>
      <c r="B569" t="s">
        <v>982</v>
      </c>
      <c r="C569">
        <v>6</v>
      </c>
      <c r="D569" t="s">
        <v>11</v>
      </c>
      <c r="E569" t="s">
        <v>95</v>
      </c>
      <c r="F569" t="s">
        <v>111</v>
      </c>
      <c r="G569" t="s">
        <v>113</v>
      </c>
      <c r="H569" t="s">
        <v>113</v>
      </c>
      <c r="J569">
        <v>0</v>
      </c>
      <c r="K569">
        <v>5</v>
      </c>
      <c r="L569">
        <v>94.97142857</v>
      </c>
      <c r="M569">
        <v>24.31591813</v>
      </c>
      <c r="N569">
        <v>0.122951111</v>
      </c>
      <c r="O569">
        <v>0.39050790000000002</v>
      </c>
      <c r="P569">
        <v>83.757575759999995</v>
      </c>
      <c r="Q569">
        <v>22.60997987</v>
      </c>
      <c r="R569">
        <v>0.72884000000000004</v>
      </c>
      <c r="S569">
        <v>0.21301339999999999</v>
      </c>
      <c r="T569" t="s">
        <v>1014</v>
      </c>
      <c r="U569">
        <v>11.213852810000001</v>
      </c>
    </row>
    <row r="570" spans="1:21" x14ac:dyDescent="0.25">
      <c r="A570" t="s">
        <v>79</v>
      </c>
      <c r="B570" t="s">
        <v>982</v>
      </c>
      <c r="C570">
        <v>6</v>
      </c>
      <c r="D570" t="s">
        <v>11</v>
      </c>
      <c r="E570" t="s">
        <v>95</v>
      </c>
      <c r="F570" t="s">
        <v>111</v>
      </c>
      <c r="G570" t="s">
        <v>113</v>
      </c>
      <c r="H570" t="s">
        <v>113</v>
      </c>
      <c r="J570">
        <v>0</v>
      </c>
      <c r="K570">
        <v>5</v>
      </c>
      <c r="L570">
        <v>94.97142857</v>
      </c>
      <c r="M570">
        <v>24.31591813</v>
      </c>
      <c r="N570">
        <v>0.122951111</v>
      </c>
      <c r="O570">
        <v>0.39050790000000002</v>
      </c>
      <c r="P570">
        <v>83.757575759999995</v>
      </c>
      <c r="Q570">
        <v>22.60997987</v>
      </c>
      <c r="R570">
        <v>0.72884000000000004</v>
      </c>
      <c r="S570">
        <v>0.21301339999999999</v>
      </c>
      <c r="T570" t="s">
        <v>1014</v>
      </c>
      <c r="U570">
        <v>11.213852810000001</v>
      </c>
    </row>
    <row r="571" spans="1:21" x14ac:dyDescent="0.25">
      <c r="A571" t="s">
        <v>79</v>
      </c>
      <c r="B571" t="s">
        <v>982</v>
      </c>
      <c r="C571">
        <v>6</v>
      </c>
      <c r="D571" t="s">
        <v>11</v>
      </c>
      <c r="E571" t="s">
        <v>95</v>
      </c>
      <c r="F571" t="s">
        <v>111</v>
      </c>
      <c r="G571" t="s">
        <v>113</v>
      </c>
      <c r="H571" t="s">
        <v>113</v>
      </c>
      <c r="J571">
        <v>0</v>
      </c>
      <c r="K571">
        <v>5</v>
      </c>
      <c r="L571">
        <v>94.97142857</v>
      </c>
      <c r="M571">
        <v>24.31591813</v>
      </c>
      <c r="N571">
        <v>0.122951111</v>
      </c>
      <c r="O571">
        <v>0.39050790000000002</v>
      </c>
      <c r="P571">
        <v>83.757575759999995</v>
      </c>
      <c r="Q571">
        <v>22.60997987</v>
      </c>
      <c r="R571">
        <v>0.72884000000000004</v>
      </c>
      <c r="S571">
        <v>0.21301339999999999</v>
      </c>
      <c r="T571" t="s">
        <v>1014</v>
      </c>
      <c r="U571">
        <v>11.213852810000001</v>
      </c>
    </row>
    <row r="572" spans="1:21" x14ac:dyDescent="0.25">
      <c r="A572" t="s">
        <v>79</v>
      </c>
      <c r="B572" t="s">
        <v>982</v>
      </c>
      <c r="C572">
        <v>6</v>
      </c>
      <c r="D572" t="s">
        <v>11</v>
      </c>
      <c r="E572" t="s">
        <v>95</v>
      </c>
      <c r="F572" t="s">
        <v>111</v>
      </c>
      <c r="G572" t="s">
        <v>113</v>
      </c>
      <c r="H572" t="s">
        <v>113</v>
      </c>
      <c r="J572">
        <v>0</v>
      </c>
      <c r="K572">
        <v>5</v>
      </c>
      <c r="L572">
        <v>94.97142857</v>
      </c>
      <c r="M572">
        <v>24.31591813</v>
      </c>
      <c r="N572">
        <v>0.122951111</v>
      </c>
      <c r="O572">
        <v>0.39050790000000002</v>
      </c>
      <c r="P572">
        <v>83.757575759999995</v>
      </c>
      <c r="Q572">
        <v>22.60997987</v>
      </c>
      <c r="R572">
        <v>0.72884000000000004</v>
      </c>
      <c r="S572">
        <v>0.21301339999999999</v>
      </c>
      <c r="T572" t="s">
        <v>1014</v>
      </c>
      <c r="U572">
        <v>11.213852810000001</v>
      </c>
    </row>
    <row r="573" spans="1:21" x14ac:dyDescent="0.25">
      <c r="A573" t="s">
        <v>79</v>
      </c>
      <c r="B573" t="s">
        <v>982</v>
      </c>
      <c r="C573">
        <v>6</v>
      </c>
      <c r="D573" t="s">
        <v>11</v>
      </c>
      <c r="E573" t="s">
        <v>95</v>
      </c>
      <c r="F573" t="s">
        <v>111</v>
      </c>
      <c r="G573" t="s">
        <v>113</v>
      </c>
      <c r="H573" t="s">
        <v>113</v>
      </c>
      <c r="J573">
        <v>0</v>
      </c>
      <c r="K573">
        <v>5</v>
      </c>
      <c r="L573">
        <v>94.97142857</v>
      </c>
      <c r="M573">
        <v>24.31591813</v>
      </c>
      <c r="N573">
        <v>0.122951111</v>
      </c>
      <c r="O573">
        <v>0.39050790000000002</v>
      </c>
      <c r="P573">
        <v>83.757575759999995</v>
      </c>
      <c r="Q573">
        <v>22.60997987</v>
      </c>
      <c r="R573">
        <v>0.72884000000000004</v>
      </c>
      <c r="S573">
        <v>0.21301339999999999</v>
      </c>
      <c r="T573" t="s">
        <v>1014</v>
      </c>
      <c r="U573">
        <v>11.213852810000001</v>
      </c>
    </row>
    <row r="574" spans="1:21" x14ac:dyDescent="0.25">
      <c r="A574" t="s">
        <v>79</v>
      </c>
      <c r="B574" t="s">
        <v>982</v>
      </c>
      <c r="C574">
        <v>6</v>
      </c>
      <c r="D574" t="s">
        <v>11</v>
      </c>
      <c r="E574" t="s">
        <v>95</v>
      </c>
      <c r="F574" t="s">
        <v>111</v>
      </c>
      <c r="G574" t="s">
        <v>113</v>
      </c>
      <c r="H574" t="s">
        <v>103</v>
      </c>
      <c r="J574">
        <v>0</v>
      </c>
      <c r="K574">
        <v>1</v>
      </c>
      <c r="L574">
        <v>94.97142857</v>
      </c>
      <c r="M574">
        <v>24.31591813</v>
      </c>
      <c r="N574">
        <v>0.122951111</v>
      </c>
      <c r="O574">
        <v>0.39050790000000002</v>
      </c>
      <c r="P574">
        <v>98.291666669999998</v>
      </c>
      <c r="Q574">
        <v>30.315130790000001</v>
      </c>
      <c r="R574">
        <v>5.0803484000000003E-2</v>
      </c>
      <c r="S574">
        <v>0.42866070000000001</v>
      </c>
      <c r="T574" t="s">
        <v>1014</v>
      </c>
      <c r="U574">
        <v>-3.3202381000000001</v>
      </c>
    </row>
    <row r="575" spans="1:21" x14ac:dyDescent="0.25">
      <c r="A575" t="s">
        <v>80</v>
      </c>
      <c r="B575" t="s">
        <v>983</v>
      </c>
      <c r="C575">
        <v>6</v>
      </c>
      <c r="D575" t="s">
        <v>15</v>
      </c>
      <c r="E575" t="s">
        <v>95</v>
      </c>
      <c r="F575" t="s">
        <v>105</v>
      </c>
      <c r="G575" t="s">
        <v>121</v>
      </c>
      <c r="H575" t="s">
        <v>113</v>
      </c>
      <c r="J575">
        <v>0</v>
      </c>
      <c r="K575">
        <v>1</v>
      </c>
      <c r="L575">
        <v>67.5</v>
      </c>
      <c r="M575">
        <v>47.937235809999997</v>
      </c>
      <c r="N575">
        <v>0.41599678000000001</v>
      </c>
      <c r="O575">
        <v>2.0950346999999998</v>
      </c>
      <c r="P575">
        <v>83.757575759999995</v>
      </c>
      <c r="Q575">
        <v>22.60997987</v>
      </c>
      <c r="R575">
        <v>0.72884000000000004</v>
      </c>
      <c r="S575">
        <v>0.21301339999999999</v>
      </c>
      <c r="T575" t="s">
        <v>1014</v>
      </c>
      <c r="U575">
        <v>-16.257575760000002</v>
      </c>
    </row>
    <row r="576" spans="1:21" x14ac:dyDescent="0.25">
      <c r="A576" t="s">
        <v>80</v>
      </c>
      <c r="B576" t="s">
        <v>983</v>
      </c>
      <c r="C576">
        <v>6</v>
      </c>
      <c r="D576" t="s">
        <v>15</v>
      </c>
      <c r="E576" t="s">
        <v>95</v>
      </c>
      <c r="F576" t="s">
        <v>105</v>
      </c>
      <c r="G576" t="s">
        <v>121</v>
      </c>
      <c r="H576" t="s">
        <v>103</v>
      </c>
      <c r="J576">
        <v>0</v>
      </c>
      <c r="K576">
        <v>9</v>
      </c>
      <c r="L576">
        <v>67.5</v>
      </c>
      <c r="M576">
        <v>47.937235809999997</v>
      </c>
      <c r="N576">
        <v>0.41599678000000001</v>
      </c>
      <c r="O576">
        <v>2.0950346999999998</v>
      </c>
      <c r="P576">
        <v>98.291666669999998</v>
      </c>
      <c r="Q576">
        <v>30.315130790000001</v>
      </c>
      <c r="R576">
        <v>5.0803484000000003E-2</v>
      </c>
      <c r="S576">
        <v>0.42866070000000001</v>
      </c>
      <c r="T576" t="s">
        <v>1014</v>
      </c>
      <c r="U576">
        <v>-30.791666670000001</v>
      </c>
    </row>
    <row r="577" spans="1:21" x14ac:dyDescent="0.25">
      <c r="A577" t="s">
        <v>80</v>
      </c>
      <c r="B577" t="s">
        <v>983</v>
      </c>
      <c r="C577">
        <v>6</v>
      </c>
      <c r="D577" t="s">
        <v>15</v>
      </c>
      <c r="E577" t="s">
        <v>95</v>
      </c>
      <c r="F577" t="s">
        <v>105</v>
      </c>
      <c r="G577" t="s">
        <v>121</v>
      </c>
      <c r="H577" t="s">
        <v>103</v>
      </c>
      <c r="J577">
        <v>0</v>
      </c>
      <c r="K577">
        <v>9</v>
      </c>
      <c r="L577">
        <v>67.5</v>
      </c>
      <c r="M577">
        <v>47.937235809999997</v>
      </c>
      <c r="N577">
        <v>0.41599678000000001</v>
      </c>
      <c r="O577">
        <v>2.0950346999999998</v>
      </c>
      <c r="P577">
        <v>98.291666669999998</v>
      </c>
      <c r="Q577">
        <v>30.315130790000001</v>
      </c>
      <c r="R577">
        <v>5.0803484000000003E-2</v>
      </c>
      <c r="S577">
        <v>0.42866070000000001</v>
      </c>
      <c r="T577" t="s">
        <v>1014</v>
      </c>
      <c r="U577">
        <v>-30.791666670000001</v>
      </c>
    </row>
    <row r="578" spans="1:21" x14ac:dyDescent="0.25">
      <c r="A578" t="s">
        <v>80</v>
      </c>
      <c r="B578" t="s">
        <v>983</v>
      </c>
      <c r="C578">
        <v>6</v>
      </c>
      <c r="D578" t="s">
        <v>15</v>
      </c>
      <c r="E578" t="s">
        <v>95</v>
      </c>
      <c r="F578" t="s">
        <v>105</v>
      </c>
      <c r="G578" t="s">
        <v>121</v>
      </c>
      <c r="H578" t="s">
        <v>103</v>
      </c>
      <c r="J578">
        <v>0</v>
      </c>
      <c r="K578">
        <v>9</v>
      </c>
      <c r="L578">
        <v>67.5</v>
      </c>
      <c r="M578">
        <v>47.937235809999997</v>
      </c>
      <c r="N578">
        <v>0.41599678000000001</v>
      </c>
      <c r="O578">
        <v>2.0950346999999998</v>
      </c>
      <c r="P578">
        <v>98.291666669999998</v>
      </c>
      <c r="Q578">
        <v>30.315130790000001</v>
      </c>
      <c r="R578">
        <v>5.0803484000000003E-2</v>
      </c>
      <c r="S578">
        <v>0.42866070000000001</v>
      </c>
      <c r="T578" t="s">
        <v>1014</v>
      </c>
      <c r="U578">
        <v>-30.791666670000001</v>
      </c>
    </row>
    <row r="579" spans="1:21" x14ac:dyDescent="0.25">
      <c r="A579" t="s">
        <v>80</v>
      </c>
      <c r="B579" t="s">
        <v>983</v>
      </c>
      <c r="C579">
        <v>6</v>
      </c>
      <c r="D579" t="s">
        <v>15</v>
      </c>
      <c r="E579" t="s">
        <v>95</v>
      </c>
      <c r="F579" t="s">
        <v>105</v>
      </c>
      <c r="G579" t="s">
        <v>121</v>
      </c>
      <c r="H579" t="s">
        <v>103</v>
      </c>
      <c r="J579">
        <v>0</v>
      </c>
      <c r="K579">
        <v>9</v>
      </c>
      <c r="L579">
        <v>67.5</v>
      </c>
      <c r="M579">
        <v>47.937235809999997</v>
      </c>
      <c r="N579">
        <v>0.41599678000000001</v>
      </c>
      <c r="O579">
        <v>2.0950346999999998</v>
      </c>
      <c r="P579">
        <v>98.291666669999998</v>
      </c>
      <c r="Q579">
        <v>30.315130790000001</v>
      </c>
      <c r="R579">
        <v>5.0803484000000003E-2</v>
      </c>
      <c r="S579">
        <v>0.42866070000000001</v>
      </c>
      <c r="T579" t="s">
        <v>1014</v>
      </c>
      <c r="U579">
        <v>-30.791666670000001</v>
      </c>
    </row>
    <row r="580" spans="1:21" x14ac:dyDescent="0.25">
      <c r="A580" t="s">
        <v>80</v>
      </c>
      <c r="B580" t="s">
        <v>983</v>
      </c>
      <c r="C580">
        <v>6</v>
      </c>
      <c r="D580" t="s">
        <v>15</v>
      </c>
      <c r="E580" t="s">
        <v>95</v>
      </c>
      <c r="F580" t="s">
        <v>105</v>
      </c>
      <c r="G580" t="s">
        <v>121</v>
      </c>
      <c r="H580" t="s">
        <v>103</v>
      </c>
      <c r="J580">
        <v>0</v>
      </c>
      <c r="K580">
        <v>9</v>
      </c>
      <c r="L580">
        <v>67.5</v>
      </c>
      <c r="M580">
        <v>47.937235809999997</v>
      </c>
      <c r="N580">
        <v>0.41599678000000001</v>
      </c>
      <c r="O580">
        <v>2.0950346999999998</v>
      </c>
      <c r="P580">
        <v>98.291666669999998</v>
      </c>
      <c r="Q580">
        <v>30.315130790000001</v>
      </c>
      <c r="R580">
        <v>5.0803484000000003E-2</v>
      </c>
      <c r="S580">
        <v>0.42866070000000001</v>
      </c>
      <c r="T580" t="s">
        <v>1014</v>
      </c>
      <c r="U580">
        <v>-30.791666670000001</v>
      </c>
    </row>
    <row r="581" spans="1:21" x14ac:dyDescent="0.25">
      <c r="A581" t="s">
        <v>80</v>
      </c>
      <c r="B581" t="s">
        <v>983</v>
      </c>
      <c r="C581">
        <v>6</v>
      </c>
      <c r="D581" t="s">
        <v>15</v>
      </c>
      <c r="E581" t="s">
        <v>95</v>
      </c>
      <c r="F581" t="s">
        <v>105</v>
      </c>
      <c r="G581" t="s">
        <v>121</v>
      </c>
      <c r="H581" t="s">
        <v>103</v>
      </c>
      <c r="J581">
        <v>0</v>
      </c>
      <c r="K581">
        <v>9</v>
      </c>
      <c r="L581">
        <v>67.5</v>
      </c>
      <c r="M581">
        <v>47.937235809999997</v>
      </c>
      <c r="N581">
        <v>0.41599678000000001</v>
      </c>
      <c r="O581">
        <v>2.0950346999999998</v>
      </c>
      <c r="P581">
        <v>98.291666669999998</v>
      </c>
      <c r="Q581">
        <v>30.315130790000001</v>
      </c>
      <c r="R581">
        <v>5.0803484000000003E-2</v>
      </c>
      <c r="S581">
        <v>0.42866070000000001</v>
      </c>
      <c r="T581" t="s">
        <v>1014</v>
      </c>
      <c r="U581">
        <v>-30.791666670000001</v>
      </c>
    </row>
    <row r="582" spans="1:21" x14ac:dyDescent="0.25">
      <c r="A582" t="s">
        <v>80</v>
      </c>
      <c r="B582" t="s">
        <v>983</v>
      </c>
      <c r="C582">
        <v>6</v>
      </c>
      <c r="D582" t="s">
        <v>15</v>
      </c>
      <c r="E582" t="s">
        <v>95</v>
      </c>
      <c r="F582" t="s">
        <v>105</v>
      </c>
      <c r="G582" t="s">
        <v>121</v>
      </c>
      <c r="H582" t="s">
        <v>103</v>
      </c>
      <c r="J582">
        <v>0</v>
      </c>
      <c r="K582">
        <v>9</v>
      </c>
      <c r="L582">
        <v>67.5</v>
      </c>
      <c r="M582">
        <v>47.937235809999997</v>
      </c>
      <c r="N582">
        <v>0.41599678000000001</v>
      </c>
      <c r="O582">
        <v>2.0950346999999998</v>
      </c>
      <c r="P582">
        <v>98.291666669999998</v>
      </c>
      <c r="Q582">
        <v>30.315130790000001</v>
      </c>
      <c r="R582">
        <v>5.0803484000000003E-2</v>
      </c>
      <c r="S582">
        <v>0.42866070000000001</v>
      </c>
      <c r="T582" t="s">
        <v>1014</v>
      </c>
      <c r="U582">
        <v>-30.791666670000001</v>
      </c>
    </row>
    <row r="583" spans="1:21" x14ac:dyDescent="0.25">
      <c r="A583" t="s">
        <v>80</v>
      </c>
      <c r="B583" t="s">
        <v>983</v>
      </c>
      <c r="C583">
        <v>6</v>
      </c>
      <c r="D583" t="s">
        <v>15</v>
      </c>
      <c r="E583" t="s">
        <v>95</v>
      </c>
      <c r="F583" t="s">
        <v>105</v>
      </c>
      <c r="G583" t="s">
        <v>121</v>
      </c>
      <c r="H583" t="s">
        <v>103</v>
      </c>
      <c r="J583">
        <v>0</v>
      </c>
      <c r="K583">
        <v>9</v>
      </c>
      <c r="L583">
        <v>67.5</v>
      </c>
      <c r="M583">
        <v>47.937235809999997</v>
      </c>
      <c r="N583">
        <v>0.41599678000000001</v>
      </c>
      <c r="O583">
        <v>2.0950346999999998</v>
      </c>
      <c r="P583">
        <v>98.291666669999998</v>
      </c>
      <c r="Q583">
        <v>30.315130790000001</v>
      </c>
      <c r="R583">
        <v>5.0803484000000003E-2</v>
      </c>
      <c r="S583">
        <v>0.42866070000000001</v>
      </c>
      <c r="T583" t="s">
        <v>1014</v>
      </c>
      <c r="U583">
        <v>-30.791666670000001</v>
      </c>
    </row>
    <row r="584" spans="1:21" x14ac:dyDescent="0.25">
      <c r="A584" t="s">
        <v>80</v>
      </c>
      <c r="B584" t="s">
        <v>983</v>
      </c>
      <c r="C584">
        <v>6</v>
      </c>
      <c r="D584" t="s">
        <v>15</v>
      </c>
      <c r="E584" t="s">
        <v>95</v>
      </c>
      <c r="F584" t="s">
        <v>105</v>
      </c>
      <c r="G584" t="s">
        <v>121</v>
      </c>
      <c r="H584" t="s">
        <v>103</v>
      </c>
      <c r="J584">
        <v>0</v>
      </c>
      <c r="K584">
        <v>9</v>
      </c>
      <c r="L584">
        <v>67.5</v>
      </c>
      <c r="M584">
        <v>47.937235809999997</v>
      </c>
      <c r="N584">
        <v>0.41599678000000001</v>
      </c>
      <c r="O584">
        <v>2.0950346999999998</v>
      </c>
      <c r="P584">
        <v>98.291666669999998</v>
      </c>
      <c r="Q584">
        <v>30.315130790000001</v>
      </c>
      <c r="R584">
        <v>5.0803484000000003E-2</v>
      </c>
      <c r="S584">
        <v>0.42866070000000001</v>
      </c>
      <c r="T584" t="s">
        <v>1014</v>
      </c>
      <c r="U584">
        <v>-30.791666670000001</v>
      </c>
    </row>
    <row r="585" spans="1:21" x14ac:dyDescent="0.25">
      <c r="A585" t="s">
        <v>80</v>
      </c>
      <c r="B585" t="s">
        <v>984</v>
      </c>
      <c r="C585">
        <v>6</v>
      </c>
      <c r="D585" t="s">
        <v>15</v>
      </c>
      <c r="E585" t="s">
        <v>95</v>
      </c>
      <c r="F585" t="s">
        <v>113</v>
      </c>
      <c r="G585" t="s">
        <v>113</v>
      </c>
      <c r="H585" t="s">
        <v>113</v>
      </c>
      <c r="J585">
        <v>0</v>
      </c>
      <c r="K585">
        <v>6</v>
      </c>
      <c r="L585">
        <v>83.757575759999995</v>
      </c>
      <c r="M585">
        <v>22.60997987</v>
      </c>
      <c r="N585">
        <v>0.72884000000000004</v>
      </c>
      <c r="O585">
        <v>0.21301339999999999</v>
      </c>
      <c r="P585">
        <v>83.757575759999995</v>
      </c>
      <c r="Q585">
        <v>22.60997987</v>
      </c>
      <c r="R585">
        <v>0.72884000000000004</v>
      </c>
      <c r="S585">
        <v>0.21301339999999999</v>
      </c>
      <c r="T585" t="s">
        <v>1014</v>
      </c>
      <c r="U585">
        <v>0</v>
      </c>
    </row>
    <row r="586" spans="1:21" x14ac:dyDescent="0.25">
      <c r="A586" t="s">
        <v>80</v>
      </c>
      <c r="B586" t="s">
        <v>984</v>
      </c>
      <c r="C586">
        <v>6</v>
      </c>
      <c r="D586" t="s">
        <v>15</v>
      </c>
      <c r="E586" t="s">
        <v>95</v>
      </c>
      <c r="F586" t="s">
        <v>113</v>
      </c>
      <c r="G586" t="s">
        <v>113</v>
      </c>
      <c r="H586" t="s">
        <v>113</v>
      </c>
      <c r="J586">
        <v>0</v>
      </c>
      <c r="K586">
        <v>6</v>
      </c>
      <c r="L586">
        <v>83.757575759999995</v>
      </c>
      <c r="M586">
        <v>22.60997987</v>
      </c>
      <c r="N586">
        <v>0.72884000000000004</v>
      </c>
      <c r="O586">
        <v>0.21301339999999999</v>
      </c>
      <c r="P586">
        <v>83.757575759999995</v>
      </c>
      <c r="Q586">
        <v>22.60997987</v>
      </c>
      <c r="R586">
        <v>0.72884000000000004</v>
      </c>
      <c r="S586">
        <v>0.21301339999999999</v>
      </c>
      <c r="T586" t="s">
        <v>1014</v>
      </c>
      <c r="U586">
        <v>0</v>
      </c>
    </row>
    <row r="587" spans="1:21" x14ac:dyDescent="0.25">
      <c r="A587" t="s">
        <v>80</v>
      </c>
      <c r="B587" t="s">
        <v>984</v>
      </c>
      <c r="C587">
        <v>6</v>
      </c>
      <c r="D587" t="s">
        <v>15</v>
      </c>
      <c r="E587" t="s">
        <v>95</v>
      </c>
      <c r="F587" t="s">
        <v>113</v>
      </c>
      <c r="G587" t="s">
        <v>113</v>
      </c>
      <c r="H587" t="s">
        <v>113</v>
      </c>
      <c r="J587">
        <v>0</v>
      </c>
      <c r="K587">
        <v>6</v>
      </c>
      <c r="L587">
        <v>83.757575759999995</v>
      </c>
      <c r="M587">
        <v>22.60997987</v>
      </c>
      <c r="N587">
        <v>0.72884000000000004</v>
      </c>
      <c r="O587">
        <v>0.21301339999999999</v>
      </c>
      <c r="P587">
        <v>83.757575759999995</v>
      </c>
      <c r="Q587">
        <v>22.60997987</v>
      </c>
      <c r="R587">
        <v>0.72884000000000004</v>
      </c>
      <c r="S587">
        <v>0.21301339999999999</v>
      </c>
      <c r="T587" t="s">
        <v>1014</v>
      </c>
      <c r="U587">
        <v>0</v>
      </c>
    </row>
    <row r="588" spans="1:21" x14ac:dyDescent="0.25">
      <c r="A588" t="s">
        <v>80</v>
      </c>
      <c r="B588" t="s">
        <v>984</v>
      </c>
      <c r="C588">
        <v>6</v>
      </c>
      <c r="D588" t="s">
        <v>15</v>
      </c>
      <c r="E588" t="s">
        <v>95</v>
      </c>
      <c r="F588" t="s">
        <v>113</v>
      </c>
      <c r="G588" t="s">
        <v>113</v>
      </c>
      <c r="H588" t="s">
        <v>113</v>
      </c>
      <c r="J588">
        <v>0</v>
      </c>
      <c r="K588">
        <v>6</v>
      </c>
      <c r="L588">
        <v>83.757575759999995</v>
      </c>
      <c r="M588">
        <v>22.60997987</v>
      </c>
      <c r="N588">
        <v>0.72884000000000004</v>
      </c>
      <c r="O588">
        <v>0.21301339999999999</v>
      </c>
      <c r="P588">
        <v>83.757575759999995</v>
      </c>
      <c r="Q588">
        <v>22.60997987</v>
      </c>
      <c r="R588">
        <v>0.72884000000000004</v>
      </c>
      <c r="S588">
        <v>0.21301339999999999</v>
      </c>
      <c r="T588" t="s">
        <v>1014</v>
      </c>
      <c r="U588">
        <v>0</v>
      </c>
    </row>
    <row r="589" spans="1:21" x14ac:dyDescent="0.25">
      <c r="A589" t="s">
        <v>80</v>
      </c>
      <c r="B589" t="s">
        <v>984</v>
      </c>
      <c r="C589">
        <v>6</v>
      </c>
      <c r="D589" t="s">
        <v>15</v>
      </c>
      <c r="E589" t="s">
        <v>95</v>
      </c>
      <c r="F589" t="s">
        <v>113</v>
      </c>
      <c r="G589" t="s">
        <v>113</v>
      </c>
      <c r="H589" t="s">
        <v>113</v>
      </c>
      <c r="J589">
        <v>0</v>
      </c>
      <c r="K589">
        <v>6</v>
      </c>
      <c r="L589">
        <v>83.757575759999995</v>
      </c>
      <c r="M589">
        <v>22.60997987</v>
      </c>
      <c r="N589">
        <v>0.72884000000000004</v>
      </c>
      <c r="O589">
        <v>0.21301339999999999</v>
      </c>
      <c r="P589">
        <v>83.757575759999995</v>
      </c>
      <c r="Q589">
        <v>22.60997987</v>
      </c>
      <c r="R589">
        <v>0.72884000000000004</v>
      </c>
      <c r="S589">
        <v>0.21301339999999999</v>
      </c>
      <c r="T589" t="s">
        <v>1014</v>
      </c>
      <c r="U589">
        <v>0</v>
      </c>
    </row>
    <row r="590" spans="1:21" x14ac:dyDescent="0.25">
      <c r="A590" t="s">
        <v>80</v>
      </c>
      <c r="B590" t="s">
        <v>984</v>
      </c>
      <c r="C590">
        <v>6</v>
      </c>
      <c r="D590" t="s">
        <v>15</v>
      </c>
      <c r="E590" t="s">
        <v>95</v>
      </c>
      <c r="F590" t="s">
        <v>113</v>
      </c>
      <c r="G590" t="s">
        <v>113</v>
      </c>
      <c r="H590" t="s">
        <v>113</v>
      </c>
      <c r="J590">
        <v>0</v>
      </c>
      <c r="K590">
        <v>6</v>
      </c>
      <c r="L590">
        <v>83.757575759999995</v>
      </c>
      <c r="M590">
        <v>22.60997987</v>
      </c>
      <c r="N590">
        <v>0.72884000000000004</v>
      </c>
      <c r="O590">
        <v>0.21301339999999999</v>
      </c>
      <c r="P590">
        <v>83.757575759999995</v>
      </c>
      <c r="Q590">
        <v>22.60997987</v>
      </c>
      <c r="R590">
        <v>0.72884000000000004</v>
      </c>
      <c r="S590">
        <v>0.21301339999999999</v>
      </c>
      <c r="T590" t="s">
        <v>1014</v>
      </c>
      <c r="U590">
        <v>0</v>
      </c>
    </row>
    <row r="591" spans="1:21" x14ac:dyDescent="0.25">
      <c r="A591" t="s">
        <v>80</v>
      </c>
      <c r="B591" t="s">
        <v>985</v>
      </c>
      <c r="C591">
        <v>6</v>
      </c>
      <c r="D591" t="s">
        <v>15</v>
      </c>
      <c r="E591" t="s">
        <v>95</v>
      </c>
      <c r="F591" t="s">
        <v>103</v>
      </c>
      <c r="G591" t="s">
        <v>113</v>
      </c>
      <c r="H591" t="s">
        <v>113</v>
      </c>
      <c r="J591">
        <v>0</v>
      </c>
      <c r="K591">
        <v>1</v>
      </c>
      <c r="L591">
        <v>98.291666669999998</v>
      </c>
      <c r="M591">
        <v>30.315130790000001</v>
      </c>
      <c r="N591">
        <v>5.0803484000000003E-2</v>
      </c>
      <c r="O591">
        <v>0.42866070000000001</v>
      </c>
      <c r="P591">
        <v>83.757575759999995</v>
      </c>
      <c r="Q591">
        <v>22.60997987</v>
      </c>
      <c r="R591">
        <v>0.72884000000000004</v>
      </c>
      <c r="S591">
        <v>0.21301339999999999</v>
      </c>
      <c r="T591" t="s">
        <v>1014</v>
      </c>
      <c r="U591">
        <v>14.53409091</v>
      </c>
    </row>
    <row r="592" spans="1:21" x14ac:dyDescent="0.25">
      <c r="A592" t="s">
        <v>80</v>
      </c>
      <c r="B592" t="s">
        <v>985</v>
      </c>
      <c r="C592">
        <v>6</v>
      </c>
      <c r="D592" t="s">
        <v>15</v>
      </c>
      <c r="E592" t="s">
        <v>95</v>
      </c>
      <c r="F592" t="s">
        <v>103</v>
      </c>
      <c r="G592" t="s">
        <v>113</v>
      </c>
      <c r="H592" t="s">
        <v>103</v>
      </c>
      <c r="J592">
        <v>0</v>
      </c>
      <c r="K592">
        <v>2</v>
      </c>
      <c r="L592">
        <v>98.291666669999998</v>
      </c>
      <c r="M592">
        <v>30.315130790000001</v>
      </c>
      <c r="N592">
        <v>5.0803484000000003E-2</v>
      </c>
      <c r="O592">
        <v>0.42866070000000001</v>
      </c>
      <c r="P592">
        <v>98.291666669999998</v>
      </c>
      <c r="Q592">
        <v>30.315130790000001</v>
      </c>
      <c r="R592">
        <v>5.0803484000000003E-2</v>
      </c>
      <c r="S592">
        <v>0.42866070000000001</v>
      </c>
      <c r="T592" t="s">
        <v>1014</v>
      </c>
      <c r="U592">
        <v>0</v>
      </c>
    </row>
    <row r="593" spans="1:21" x14ac:dyDescent="0.25">
      <c r="A593" t="s">
        <v>80</v>
      </c>
      <c r="B593" t="s">
        <v>985</v>
      </c>
      <c r="C593">
        <v>6</v>
      </c>
      <c r="D593" t="s">
        <v>15</v>
      </c>
      <c r="E593" t="s">
        <v>95</v>
      </c>
      <c r="F593" t="s">
        <v>103</v>
      </c>
      <c r="G593" t="s">
        <v>113</v>
      </c>
      <c r="H593" t="s">
        <v>103</v>
      </c>
      <c r="J593">
        <v>0</v>
      </c>
      <c r="K593">
        <v>2</v>
      </c>
      <c r="L593">
        <v>98.291666669999998</v>
      </c>
      <c r="M593">
        <v>30.315130790000001</v>
      </c>
      <c r="N593">
        <v>5.0803484000000003E-2</v>
      </c>
      <c r="O593">
        <v>0.42866070000000001</v>
      </c>
      <c r="P593">
        <v>98.291666669999998</v>
      </c>
      <c r="Q593">
        <v>30.315130790000001</v>
      </c>
      <c r="R593">
        <v>5.0803484000000003E-2</v>
      </c>
      <c r="S593">
        <v>0.42866070000000001</v>
      </c>
      <c r="T593" t="s">
        <v>1014</v>
      </c>
      <c r="U593">
        <v>0</v>
      </c>
    </row>
    <row r="594" spans="1:21" x14ac:dyDescent="0.25">
      <c r="A594" t="s">
        <v>81</v>
      </c>
      <c r="B594" t="s">
        <v>986</v>
      </c>
      <c r="C594">
        <v>6</v>
      </c>
      <c r="D594" t="s">
        <v>17</v>
      </c>
      <c r="E594" t="s">
        <v>94</v>
      </c>
      <c r="F594" t="s">
        <v>105</v>
      </c>
      <c r="G594" t="s">
        <v>113</v>
      </c>
      <c r="H594" t="s">
        <v>113</v>
      </c>
      <c r="J594">
        <v>0</v>
      </c>
      <c r="K594">
        <v>6</v>
      </c>
      <c r="L594">
        <v>67.5</v>
      </c>
      <c r="M594">
        <v>47.937235809999997</v>
      </c>
      <c r="N594">
        <v>0.41599678000000001</v>
      </c>
      <c r="O594">
        <v>2.0950346999999998</v>
      </c>
      <c r="P594">
        <v>83.757575759999995</v>
      </c>
      <c r="Q594">
        <v>22.60997987</v>
      </c>
      <c r="R594">
        <v>0.72884000000000004</v>
      </c>
      <c r="S594">
        <v>0.21301339999999999</v>
      </c>
      <c r="T594" t="s">
        <v>1014</v>
      </c>
      <c r="U594">
        <v>-16.257575760000002</v>
      </c>
    </row>
    <row r="595" spans="1:21" x14ac:dyDescent="0.25">
      <c r="A595" t="s">
        <v>81</v>
      </c>
      <c r="B595" t="s">
        <v>986</v>
      </c>
      <c r="C595">
        <v>6</v>
      </c>
      <c r="D595" t="s">
        <v>17</v>
      </c>
      <c r="E595" t="s">
        <v>94</v>
      </c>
      <c r="F595" t="s">
        <v>105</v>
      </c>
      <c r="G595" t="s">
        <v>113</v>
      </c>
      <c r="H595" t="s">
        <v>113</v>
      </c>
      <c r="J595">
        <v>0</v>
      </c>
      <c r="K595">
        <v>6</v>
      </c>
      <c r="L595">
        <v>67.5</v>
      </c>
      <c r="M595">
        <v>47.937235809999997</v>
      </c>
      <c r="N595">
        <v>0.41599678000000001</v>
      </c>
      <c r="O595">
        <v>2.0950346999999998</v>
      </c>
      <c r="P595">
        <v>83.757575759999995</v>
      </c>
      <c r="Q595">
        <v>22.60997987</v>
      </c>
      <c r="R595">
        <v>0.72884000000000004</v>
      </c>
      <c r="S595">
        <v>0.21301339999999999</v>
      </c>
      <c r="T595" t="s">
        <v>1014</v>
      </c>
      <c r="U595">
        <v>-16.257575760000002</v>
      </c>
    </row>
    <row r="596" spans="1:21" x14ac:dyDescent="0.25">
      <c r="A596" t="s">
        <v>81</v>
      </c>
      <c r="B596" t="s">
        <v>986</v>
      </c>
      <c r="C596">
        <v>6</v>
      </c>
      <c r="D596" t="s">
        <v>17</v>
      </c>
      <c r="E596" t="s">
        <v>94</v>
      </c>
      <c r="F596" t="s">
        <v>105</v>
      </c>
      <c r="G596" t="s">
        <v>113</v>
      </c>
      <c r="H596" t="s">
        <v>113</v>
      </c>
      <c r="J596">
        <v>0</v>
      </c>
      <c r="K596">
        <v>6</v>
      </c>
      <c r="L596">
        <v>67.5</v>
      </c>
      <c r="M596">
        <v>47.937235809999997</v>
      </c>
      <c r="N596">
        <v>0.41599678000000001</v>
      </c>
      <c r="O596">
        <v>2.0950346999999998</v>
      </c>
      <c r="P596">
        <v>83.757575759999995</v>
      </c>
      <c r="Q596">
        <v>22.60997987</v>
      </c>
      <c r="R596">
        <v>0.72884000000000004</v>
      </c>
      <c r="S596">
        <v>0.21301339999999999</v>
      </c>
      <c r="T596" t="s">
        <v>1014</v>
      </c>
      <c r="U596">
        <v>-16.257575760000002</v>
      </c>
    </row>
    <row r="597" spans="1:21" x14ac:dyDescent="0.25">
      <c r="A597" t="s">
        <v>81</v>
      </c>
      <c r="B597" t="s">
        <v>986</v>
      </c>
      <c r="C597">
        <v>6</v>
      </c>
      <c r="D597" t="s">
        <v>17</v>
      </c>
      <c r="E597" t="s">
        <v>94</v>
      </c>
      <c r="F597" t="s">
        <v>105</v>
      </c>
      <c r="G597" t="s">
        <v>113</v>
      </c>
      <c r="H597" t="s">
        <v>113</v>
      </c>
      <c r="J597">
        <v>0</v>
      </c>
      <c r="K597">
        <v>6</v>
      </c>
      <c r="L597">
        <v>67.5</v>
      </c>
      <c r="M597">
        <v>47.937235809999997</v>
      </c>
      <c r="N597">
        <v>0.41599678000000001</v>
      </c>
      <c r="O597">
        <v>2.0950346999999998</v>
      </c>
      <c r="P597">
        <v>83.757575759999995</v>
      </c>
      <c r="Q597">
        <v>22.60997987</v>
      </c>
      <c r="R597">
        <v>0.72884000000000004</v>
      </c>
      <c r="S597">
        <v>0.21301339999999999</v>
      </c>
      <c r="T597" t="s">
        <v>1014</v>
      </c>
      <c r="U597">
        <v>-16.257575760000002</v>
      </c>
    </row>
    <row r="598" spans="1:21" x14ac:dyDescent="0.25">
      <c r="A598" t="s">
        <v>81</v>
      </c>
      <c r="B598" t="s">
        <v>986</v>
      </c>
      <c r="C598">
        <v>6</v>
      </c>
      <c r="D598" t="s">
        <v>17</v>
      </c>
      <c r="E598" t="s">
        <v>94</v>
      </c>
      <c r="F598" t="s">
        <v>105</v>
      </c>
      <c r="G598" t="s">
        <v>113</v>
      </c>
      <c r="H598" t="s">
        <v>113</v>
      </c>
      <c r="J598">
        <v>0</v>
      </c>
      <c r="K598">
        <v>6</v>
      </c>
      <c r="L598">
        <v>67.5</v>
      </c>
      <c r="M598">
        <v>47.937235809999997</v>
      </c>
      <c r="N598">
        <v>0.41599678000000001</v>
      </c>
      <c r="O598">
        <v>2.0950346999999998</v>
      </c>
      <c r="P598">
        <v>83.757575759999995</v>
      </c>
      <c r="Q598">
        <v>22.60997987</v>
      </c>
      <c r="R598">
        <v>0.72884000000000004</v>
      </c>
      <c r="S598">
        <v>0.21301339999999999</v>
      </c>
      <c r="T598" t="s">
        <v>1014</v>
      </c>
      <c r="U598">
        <v>-16.257575760000002</v>
      </c>
    </row>
    <row r="599" spans="1:21" x14ac:dyDescent="0.25">
      <c r="A599" t="s">
        <v>81</v>
      </c>
      <c r="B599" t="s">
        <v>986</v>
      </c>
      <c r="C599">
        <v>6</v>
      </c>
      <c r="D599" t="s">
        <v>17</v>
      </c>
      <c r="E599" t="s">
        <v>94</v>
      </c>
      <c r="F599" t="s">
        <v>105</v>
      </c>
      <c r="G599" t="s">
        <v>113</v>
      </c>
      <c r="H599" t="s">
        <v>113</v>
      </c>
      <c r="J599">
        <v>0</v>
      </c>
      <c r="K599">
        <v>6</v>
      </c>
      <c r="L599">
        <v>67.5</v>
      </c>
      <c r="M599">
        <v>47.937235809999997</v>
      </c>
      <c r="N599">
        <v>0.41599678000000001</v>
      </c>
      <c r="O599">
        <v>2.0950346999999998</v>
      </c>
      <c r="P599">
        <v>83.757575759999995</v>
      </c>
      <c r="Q599">
        <v>22.60997987</v>
      </c>
      <c r="R599">
        <v>0.72884000000000004</v>
      </c>
      <c r="S599">
        <v>0.21301339999999999</v>
      </c>
      <c r="T599" t="s">
        <v>1014</v>
      </c>
      <c r="U599">
        <v>-16.257575760000002</v>
      </c>
    </row>
    <row r="600" spans="1:21" x14ac:dyDescent="0.25">
      <c r="A600" t="s">
        <v>81</v>
      </c>
      <c r="B600" t="s">
        <v>987</v>
      </c>
      <c r="C600">
        <v>6</v>
      </c>
      <c r="D600" t="s">
        <v>17</v>
      </c>
      <c r="E600" t="s">
        <v>94</v>
      </c>
      <c r="F600" t="s">
        <v>113</v>
      </c>
      <c r="G600" t="s">
        <v>113</v>
      </c>
      <c r="H600" t="s">
        <v>113</v>
      </c>
      <c r="J600">
        <v>0</v>
      </c>
      <c r="K600">
        <v>6</v>
      </c>
      <c r="L600">
        <v>83.757575759999995</v>
      </c>
      <c r="M600">
        <v>22.60997987</v>
      </c>
      <c r="N600">
        <v>0.72884000000000004</v>
      </c>
      <c r="O600">
        <v>0.21301339999999999</v>
      </c>
      <c r="P600">
        <v>83.757575759999995</v>
      </c>
      <c r="Q600">
        <v>22.60997987</v>
      </c>
      <c r="R600">
        <v>0.72884000000000004</v>
      </c>
      <c r="S600">
        <v>0.21301339999999999</v>
      </c>
      <c r="T600" t="s">
        <v>1014</v>
      </c>
      <c r="U600">
        <v>0</v>
      </c>
    </row>
    <row r="601" spans="1:21" x14ac:dyDescent="0.25">
      <c r="A601" t="s">
        <v>81</v>
      </c>
      <c r="B601" t="s">
        <v>987</v>
      </c>
      <c r="C601">
        <v>6</v>
      </c>
      <c r="D601" t="s">
        <v>17</v>
      </c>
      <c r="E601" t="s">
        <v>94</v>
      </c>
      <c r="F601" t="s">
        <v>113</v>
      </c>
      <c r="G601" t="s">
        <v>113</v>
      </c>
      <c r="H601" t="s">
        <v>113</v>
      </c>
      <c r="J601">
        <v>0</v>
      </c>
      <c r="K601">
        <v>6</v>
      </c>
      <c r="L601">
        <v>83.757575759999995</v>
      </c>
      <c r="M601">
        <v>22.60997987</v>
      </c>
      <c r="N601">
        <v>0.72884000000000004</v>
      </c>
      <c r="O601">
        <v>0.21301339999999999</v>
      </c>
      <c r="P601">
        <v>83.757575759999995</v>
      </c>
      <c r="Q601">
        <v>22.60997987</v>
      </c>
      <c r="R601">
        <v>0.72884000000000004</v>
      </c>
      <c r="S601">
        <v>0.21301339999999999</v>
      </c>
      <c r="T601" t="s">
        <v>1014</v>
      </c>
      <c r="U601">
        <v>0</v>
      </c>
    </row>
    <row r="602" spans="1:21" x14ac:dyDescent="0.25">
      <c r="A602" t="s">
        <v>81</v>
      </c>
      <c r="B602" t="s">
        <v>987</v>
      </c>
      <c r="C602">
        <v>6</v>
      </c>
      <c r="D602" t="s">
        <v>17</v>
      </c>
      <c r="E602" t="s">
        <v>94</v>
      </c>
      <c r="F602" t="s">
        <v>113</v>
      </c>
      <c r="G602" t="s">
        <v>113</v>
      </c>
      <c r="H602" t="s">
        <v>113</v>
      </c>
      <c r="J602">
        <v>0</v>
      </c>
      <c r="K602">
        <v>6</v>
      </c>
      <c r="L602">
        <v>83.757575759999995</v>
      </c>
      <c r="M602">
        <v>22.60997987</v>
      </c>
      <c r="N602">
        <v>0.72884000000000004</v>
      </c>
      <c r="O602">
        <v>0.21301339999999999</v>
      </c>
      <c r="P602">
        <v>83.757575759999995</v>
      </c>
      <c r="Q602">
        <v>22.60997987</v>
      </c>
      <c r="R602">
        <v>0.72884000000000004</v>
      </c>
      <c r="S602">
        <v>0.21301339999999999</v>
      </c>
      <c r="T602" t="s">
        <v>1014</v>
      </c>
      <c r="U602">
        <v>0</v>
      </c>
    </row>
    <row r="603" spans="1:21" x14ac:dyDescent="0.25">
      <c r="A603" t="s">
        <v>81</v>
      </c>
      <c r="B603" t="s">
        <v>987</v>
      </c>
      <c r="C603">
        <v>6</v>
      </c>
      <c r="D603" t="s">
        <v>17</v>
      </c>
      <c r="E603" t="s">
        <v>94</v>
      </c>
      <c r="F603" t="s">
        <v>113</v>
      </c>
      <c r="G603" t="s">
        <v>113</v>
      </c>
      <c r="H603" t="s">
        <v>113</v>
      </c>
      <c r="J603">
        <v>0</v>
      </c>
      <c r="K603">
        <v>6</v>
      </c>
      <c r="L603">
        <v>83.757575759999995</v>
      </c>
      <c r="M603">
        <v>22.60997987</v>
      </c>
      <c r="N603">
        <v>0.72884000000000004</v>
      </c>
      <c r="O603">
        <v>0.21301339999999999</v>
      </c>
      <c r="P603">
        <v>83.757575759999995</v>
      </c>
      <c r="Q603">
        <v>22.60997987</v>
      </c>
      <c r="R603">
        <v>0.72884000000000004</v>
      </c>
      <c r="S603">
        <v>0.21301339999999999</v>
      </c>
      <c r="T603" t="s">
        <v>1014</v>
      </c>
      <c r="U603">
        <v>0</v>
      </c>
    </row>
    <row r="604" spans="1:21" x14ac:dyDescent="0.25">
      <c r="A604" t="s">
        <v>81</v>
      </c>
      <c r="B604" t="s">
        <v>987</v>
      </c>
      <c r="C604">
        <v>6</v>
      </c>
      <c r="D604" t="s">
        <v>17</v>
      </c>
      <c r="E604" t="s">
        <v>94</v>
      </c>
      <c r="F604" t="s">
        <v>113</v>
      </c>
      <c r="G604" t="s">
        <v>113</v>
      </c>
      <c r="H604" t="s">
        <v>113</v>
      </c>
      <c r="J604">
        <v>0</v>
      </c>
      <c r="K604">
        <v>6</v>
      </c>
      <c r="L604">
        <v>83.757575759999995</v>
      </c>
      <c r="M604">
        <v>22.60997987</v>
      </c>
      <c r="N604">
        <v>0.72884000000000004</v>
      </c>
      <c r="O604">
        <v>0.21301339999999999</v>
      </c>
      <c r="P604">
        <v>83.757575759999995</v>
      </c>
      <c r="Q604">
        <v>22.60997987</v>
      </c>
      <c r="R604">
        <v>0.72884000000000004</v>
      </c>
      <c r="S604">
        <v>0.21301339999999999</v>
      </c>
      <c r="T604" t="s">
        <v>1014</v>
      </c>
      <c r="U604">
        <v>0</v>
      </c>
    </row>
    <row r="605" spans="1:21" x14ac:dyDescent="0.25">
      <c r="A605" t="s">
        <v>81</v>
      </c>
      <c r="B605" t="s">
        <v>987</v>
      </c>
      <c r="C605">
        <v>6</v>
      </c>
      <c r="D605" t="s">
        <v>17</v>
      </c>
      <c r="E605" t="s">
        <v>94</v>
      </c>
      <c r="F605" t="s">
        <v>113</v>
      </c>
      <c r="G605" t="s">
        <v>113</v>
      </c>
      <c r="H605" t="s">
        <v>113</v>
      </c>
      <c r="J605">
        <v>0</v>
      </c>
      <c r="K605">
        <v>6</v>
      </c>
      <c r="L605">
        <v>83.757575759999995</v>
      </c>
      <c r="M605">
        <v>22.60997987</v>
      </c>
      <c r="N605">
        <v>0.72884000000000004</v>
      </c>
      <c r="O605">
        <v>0.21301339999999999</v>
      </c>
      <c r="P605">
        <v>83.757575759999995</v>
      </c>
      <c r="Q605">
        <v>22.60997987</v>
      </c>
      <c r="R605">
        <v>0.72884000000000004</v>
      </c>
      <c r="S605">
        <v>0.21301339999999999</v>
      </c>
      <c r="T605" t="s">
        <v>1014</v>
      </c>
      <c r="U605">
        <v>0</v>
      </c>
    </row>
    <row r="606" spans="1:21" x14ac:dyDescent="0.25">
      <c r="A606" t="s">
        <v>81</v>
      </c>
      <c r="B606" t="s">
        <v>988</v>
      </c>
      <c r="C606">
        <v>6</v>
      </c>
      <c r="D606" t="s">
        <v>17</v>
      </c>
      <c r="E606" t="s">
        <v>94</v>
      </c>
      <c r="F606" t="s">
        <v>103</v>
      </c>
      <c r="G606" t="s">
        <v>113</v>
      </c>
      <c r="H606" t="s">
        <v>113</v>
      </c>
      <c r="J606">
        <v>0</v>
      </c>
      <c r="K606">
        <v>5</v>
      </c>
      <c r="L606">
        <v>98.291666669999998</v>
      </c>
      <c r="M606">
        <v>30.315130790000001</v>
      </c>
      <c r="N606">
        <v>5.0803484000000003E-2</v>
      </c>
      <c r="O606">
        <v>0.42866070000000001</v>
      </c>
      <c r="P606">
        <v>83.757575759999995</v>
      </c>
      <c r="Q606">
        <v>22.60997987</v>
      </c>
      <c r="R606">
        <v>0.72884000000000004</v>
      </c>
      <c r="S606">
        <v>0.21301339999999999</v>
      </c>
      <c r="T606" t="s">
        <v>1014</v>
      </c>
      <c r="U606">
        <v>14.53409091</v>
      </c>
    </row>
    <row r="607" spans="1:21" x14ac:dyDescent="0.25">
      <c r="A607" t="s">
        <v>81</v>
      </c>
      <c r="B607" t="s">
        <v>988</v>
      </c>
      <c r="C607">
        <v>6</v>
      </c>
      <c r="D607" t="s">
        <v>17</v>
      </c>
      <c r="E607" t="s">
        <v>94</v>
      </c>
      <c r="F607" t="s">
        <v>103</v>
      </c>
      <c r="G607" t="s">
        <v>113</v>
      </c>
      <c r="H607" t="s">
        <v>113</v>
      </c>
      <c r="J607">
        <v>0</v>
      </c>
      <c r="K607">
        <v>5</v>
      </c>
      <c r="L607">
        <v>98.291666669999998</v>
      </c>
      <c r="M607">
        <v>30.315130790000001</v>
      </c>
      <c r="N607">
        <v>5.0803484000000003E-2</v>
      </c>
      <c r="O607">
        <v>0.42866070000000001</v>
      </c>
      <c r="P607">
        <v>83.757575759999995</v>
      </c>
      <c r="Q607">
        <v>22.60997987</v>
      </c>
      <c r="R607">
        <v>0.72884000000000004</v>
      </c>
      <c r="S607">
        <v>0.21301339999999999</v>
      </c>
      <c r="T607" t="s">
        <v>1014</v>
      </c>
      <c r="U607">
        <v>14.53409091</v>
      </c>
    </row>
    <row r="608" spans="1:21" x14ac:dyDescent="0.25">
      <c r="A608" t="s">
        <v>81</v>
      </c>
      <c r="B608" t="s">
        <v>988</v>
      </c>
      <c r="C608">
        <v>6</v>
      </c>
      <c r="D608" t="s">
        <v>17</v>
      </c>
      <c r="E608" t="s">
        <v>94</v>
      </c>
      <c r="F608" t="s">
        <v>103</v>
      </c>
      <c r="G608" t="s">
        <v>113</v>
      </c>
      <c r="H608" t="s">
        <v>113</v>
      </c>
      <c r="J608">
        <v>0</v>
      </c>
      <c r="K608">
        <v>5</v>
      </c>
      <c r="L608">
        <v>98.291666669999998</v>
      </c>
      <c r="M608">
        <v>30.315130790000001</v>
      </c>
      <c r="N608">
        <v>5.0803484000000003E-2</v>
      </c>
      <c r="O608">
        <v>0.42866070000000001</v>
      </c>
      <c r="P608">
        <v>83.757575759999995</v>
      </c>
      <c r="Q608">
        <v>22.60997987</v>
      </c>
      <c r="R608">
        <v>0.72884000000000004</v>
      </c>
      <c r="S608">
        <v>0.21301339999999999</v>
      </c>
      <c r="T608" t="s">
        <v>1014</v>
      </c>
      <c r="U608">
        <v>14.53409091</v>
      </c>
    </row>
    <row r="609" spans="1:21" x14ac:dyDescent="0.25">
      <c r="A609" t="s">
        <v>81</v>
      </c>
      <c r="B609" t="s">
        <v>988</v>
      </c>
      <c r="C609">
        <v>6</v>
      </c>
      <c r="D609" t="s">
        <v>17</v>
      </c>
      <c r="E609" t="s">
        <v>94</v>
      </c>
      <c r="F609" t="s">
        <v>103</v>
      </c>
      <c r="G609" t="s">
        <v>113</v>
      </c>
      <c r="H609" t="s">
        <v>113</v>
      </c>
      <c r="J609">
        <v>0</v>
      </c>
      <c r="K609">
        <v>5</v>
      </c>
      <c r="L609">
        <v>98.291666669999998</v>
      </c>
      <c r="M609">
        <v>30.315130790000001</v>
      </c>
      <c r="N609">
        <v>5.0803484000000003E-2</v>
      </c>
      <c r="O609">
        <v>0.42866070000000001</v>
      </c>
      <c r="P609">
        <v>83.757575759999995</v>
      </c>
      <c r="Q609">
        <v>22.60997987</v>
      </c>
      <c r="R609">
        <v>0.72884000000000004</v>
      </c>
      <c r="S609">
        <v>0.21301339999999999</v>
      </c>
      <c r="T609" t="s">
        <v>1014</v>
      </c>
      <c r="U609">
        <v>14.53409091</v>
      </c>
    </row>
    <row r="610" spans="1:21" x14ac:dyDescent="0.25">
      <c r="A610" t="s">
        <v>81</v>
      </c>
      <c r="B610" t="s">
        <v>988</v>
      </c>
      <c r="C610">
        <v>6</v>
      </c>
      <c r="D610" t="s">
        <v>17</v>
      </c>
      <c r="E610" t="s">
        <v>94</v>
      </c>
      <c r="F610" t="s">
        <v>103</v>
      </c>
      <c r="G610" t="s">
        <v>113</v>
      </c>
      <c r="H610" t="s">
        <v>113</v>
      </c>
      <c r="J610">
        <v>0</v>
      </c>
      <c r="K610">
        <v>5</v>
      </c>
      <c r="L610">
        <v>98.291666669999998</v>
      </c>
      <c r="M610">
        <v>30.315130790000001</v>
      </c>
      <c r="N610">
        <v>5.0803484000000003E-2</v>
      </c>
      <c r="O610">
        <v>0.42866070000000001</v>
      </c>
      <c r="P610">
        <v>83.757575759999995</v>
      </c>
      <c r="Q610">
        <v>22.60997987</v>
      </c>
      <c r="R610">
        <v>0.72884000000000004</v>
      </c>
      <c r="S610">
        <v>0.21301339999999999</v>
      </c>
      <c r="T610" t="s">
        <v>1014</v>
      </c>
      <c r="U610">
        <v>14.53409091</v>
      </c>
    </row>
    <row r="611" spans="1:21" x14ac:dyDescent="0.25">
      <c r="A611" t="s">
        <v>81</v>
      </c>
      <c r="B611" t="s">
        <v>988</v>
      </c>
      <c r="C611">
        <v>6</v>
      </c>
      <c r="D611" t="s">
        <v>17</v>
      </c>
      <c r="E611" t="s">
        <v>94</v>
      </c>
      <c r="F611" t="s">
        <v>103</v>
      </c>
      <c r="G611" t="s">
        <v>113</v>
      </c>
      <c r="H611" t="s">
        <v>103</v>
      </c>
      <c r="J611">
        <v>0</v>
      </c>
      <c r="K611">
        <v>1</v>
      </c>
      <c r="L611">
        <v>98.291666669999998</v>
      </c>
      <c r="M611">
        <v>30.315130790000001</v>
      </c>
      <c r="N611">
        <v>5.0803484000000003E-2</v>
      </c>
      <c r="O611">
        <v>0.42866070000000001</v>
      </c>
      <c r="P611">
        <v>98.291666669999998</v>
      </c>
      <c r="Q611">
        <v>30.315130790000001</v>
      </c>
      <c r="R611">
        <v>5.0803484000000003E-2</v>
      </c>
      <c r="S611">
        <v>0.42866070000000001</v>
      </c>
      <c r="T611" t="s">
        <v>1014</v>
      </c>
      <c r="U611">
        <v>0</v>
      </c>
    </row>
    <row r="612" spans="1:21" x14ac:dyDescent="0.25">
      <c r="A612" t="s">
        <v>82</v>
      </c>
      <c r="B612" t="s">
        <v>989</v>
      </c>
      <c r="C612">
        <v>6</v>
      </c>
      <c r="D612" t="s">
        <v>19</v>
      </c>
      <c r="E612" t="s">
        <v>94</v>
      </c>
      <c r="F612" t="s">
        <v>102</v>
      </c>
      <c r="G612" t="s">
        <v>102</v>
      </c>
      <c r="H612" t="s">
        <v>102</v>
      </c>
      <c r="J612">
        <v>0</v>
      </c>
      <c r="K612">
        <v>1</v>
      </c>
      <c r="L612">
        <v>84.740740740000007</v>
      </c>
      <c r="M612">
        <v>29.167014049999999</v>
      </c>
      <c r="N612">
        <v>1.1169849999999999</v>
      </c>
      <c r="O612">
        <v>1.1571499000000001</v>
      </c>
      <c r="P612">
        <v>84.740740740000007</v>
      </c>
      <c r="Q612">
        <v>29.167014049999999</v>
      </c>
      <c r="R612">
        <v>1.1169849999999999</v>
      </c>
      <c r="S612">
        <v>1.1571499000000001</v>
      </c>
      <c r="T612" t="s">
        <v>1014</v>
      </c>
      <c r="U612">
        <v>0</v>
      </c>
    </row>
    <row r="613" spans="1:21" x14ac:dyDescent="0.25">
      <c r="A613" t="s">
        <v>82</v>
      </c>
      <c r="B613" t="s">
        <v>990</v>
      </c>
      <c r="C613">
        <v>6</v>
      </c>
      <c r="D613" t="s">
        <v>19</v>
      </c>
      <c r="E613" t="s">
        <v>94</v>
      </c>
      <c r="F613" t="s">
        <v>113</v>
      </c>
      <c r="G613" t="s">
        <v>113</v>
      </c>
      <c r="H613" t="s">
        <v>113</v>
      </c>
      <c r="J613">
        <v>0</v>
      </c>
      <c r="K613">
        <v>4</v>
      </c>
      <c r="L613">
        <v>83.757575759999995</v>
      </c>
      <c r="M613">
        <v>22.60997987</v>
      </c>
      <c r="N613">
        <v>0.72884000000000004</v>
      </c>
      <c r="O613">
        <v>0.21301339999999999</v>
      </c>
      <c r="P613">
        <v>83.757575759999995</v>
      </c>
      <c r="Q613">
        <v>22.60997987</v>
      </c>
      <c r="R613">
        <v>0.72884000000000004</v>
      </c>
      <c r="S613">
        <v>0.21301339999999999</v>
      </c>
      <c r="T613" t="s">
        <v>1014</v>
      </c>
      <c r="U613">
        <v>0</v>
      </c>
    </row>
    <row r="614" spans="1:21" x14ac:dyDescent="0.25">
      <c r="A614" t="s">
        <v>82</v>
      </c>
      <c r="B614" t="s">
        <v>990</v>
      </c>
      <c r="C614">
        <v>6</v>
      </c>
      <c r="D614" t="s">
        <v>19</v>
      </c>
      <c r="E614" t="s">
        <v>94</v>
      </c>
      <c r="F614" t="s">
        <v>113</v>
      </c>
      <c r="G614" t="s">
        <v>113</v>
      </c>
      <c r="H614" t="s">
        <v>113</v>
      </c>
      <c r="J614">
        <v>0</v>
      </c>
      <c r="K614">
        <v>4</v>
      </c>
      <c r="L614">
        <v>83.757575759999995</v>
      </c>
      <c r="M614">
        <v>22.60997987</v>
      </c>
      <c r="N614">
        <v>0.72884000000000004</v>
      </c>
      <c r="O614">
        <v>0.21301339999999999</v>
      </c>
      <c r="P614">
        <v>83.757575759999995</v>
      </c>
      <c r="Q614">
        <v>22.60997987</v>
      </c>
      <c r="R614">
        <v>0.72884000000000004</v>
      </c>
      <c r="S614">
        <v>0.21301339999999999</v>
      </c>
      <c r="T614" t="s">
        <v>1014</v>
      </c>
      <c r="U614">
        <v>0</v>
      </c>
    </row>
    <row r="615" spans="1:21" x14ac:dyDescent="0.25">
      <c r="A615" t="s">
        <v>82</v>
      </c>
      <c r="B615" t="s">
        <v>990</v>
      </c>
      <c r="C615">
        <v>6</v>
      </c>
      <c r="D615" t="s">
        <v>19</v>
      </c>
      <c r="E615" t="s">
        <v>94</v>
      </c>
      <c r="F615" t="s">
        <v>113</v>
      </c>
      <c r="G615" t="s">
        <v>113</v>
      </c>
      <c r="H615" t="s">
        <v>113</v>
      </c>
      <c r="J615">
        <v>0</v>
      </c>
      <c r="K615">
        <v>4</v>
      </c>
      <c r="L615">
        <v>83.757575759999995</v>
      </c>
      <c r="M615">
        <v>22.60997987</v>
      </c>
      <c r="N615">
        <v>0.72884000000000004</v>
      </c>
      <c r="O615">
        <v>0.21301339999999999</v>
      </c>
      <c r="P615">
        <v>83.757575759999995</v>
      </c>
      <c r="Q615">
        <v>22.60997987</v>
      </c>
      <c r="R615">
        <v>0.72884000000000004</v>
      </c>
      <c r="S615">
        <v>0.21301339999999999</v>
      </c>
      <c r="T615" t="s">
        <v>1014</v>
      </c>
      <c r="U615">
        <v>0</v>
      </c>
    </row>
    <row r="616" spans="1:21" x14ac:dyDescent="0.25">
      <c r="A616" t="s">
        <v>82</v>
      </c>
      <c r="B616" t="s">
        <v>990</v>
      </c>
      <c r="C616">
        <v>6</v>
      </c>
      <c r="D616" t="s">
        <v>19</v>
      </c>
      <c r="E616" t="s">
        <v>94</v>
      </c>
      <c r="F616" t="s">
        <v>113</v>
      </c>
      <c r="G616" t="s">
        <v>113</v>
      </c>
      <c r="H616" t="s">
        <v>113</v>
      </c>
      <c r="J616">
        <v>0</v>
      </c>
      <c r="K616">
        <v>4</v>
      </c>
      <c r="L616">
        <v>83.757575759999995</v>
      </c>
      <c r="M616">
        <v>22.60997987</v>
      </c>
      <c r="N616">
        <v>0.72884000000000004</v>
      </c>
      <c r="O616">
        <v>0.21301339999999999</v>
      </c>
      <c r="P616">
        <v>83.757575759999995</v>
      </c>
      <c r="Q616">
        <v>22.60997987</v>
      </c>
      <c r="R616">
        <v>0.72884000000000004</v>
      </c>
      <c r="S616">
        <v>0.21301339999999999</v>
      </c>
      <c r="T616" t="s">
        <v>1014</v>
      </c>
      <c r="U616">
        <v>0</v>
      </c>
    </row>
    <row r="617" spans="1:21" x14ac:dyDescent="0.25">
      <c r="A617" t="s">
        <v>82</v>
      </c>
      <c r="B617" t="s">
        <v>990</v>
      </c>
      <c r="C617">
        <v>6</v>
      </c>
      <c r="D617" t="s">
        <v>19</v>
      </c>
      <c r="E617" t="s">
        <v>94</v>
      </c>
      <c r="F617" t="s">
        <v>113</v>
      </c>
      <c r="G617" t="s">
        <v>113</v>
      </c>
      <c r="H617" t="s">
        <v>241</v>
      </c>
      <c r="J617">
        <v>0</v>
      </c>
      <c r="K617">
        <v>1</v>
      </c>
      <c r="L617">
        <v>83.757575759999995</v>
      </c>
      <c r="M617">
        <v>22.60997987</v>
      </c>
      <c r="N617">
        <v>0.72884000000000004</v>
      </c>
      <c r="O617">
        <v>0.21301339999999999</v>
      </c>
      <c r="P617">
        <v>114</v>
      </c>
      <c r="Q617">
        <v>30.43077242</v>
      </c>
      <c r="R617">
        <v>0.53383111100000002</v>
      </c>
      <c r="S617">
        <v>0.28333332999999999</v>
      </c>
      <c r="T617" t="s">
        <v>1014</v>
      </c>
      <c r="U617">
        <v>-30.242424239999998</v>
      </c>
    </row>
    <row r="618" spans="1:21" x14ac:dyDescent="0.25">
      <c r="A618" t="s">
        <v>82</v>
      </c>
      <c r="B618" t="s">
        <v>990</v>
      </c>
      <c r="C618">
        <v>6</v>
      </c>
      <c r="D618" t="s">
        <v>19</v>
      </c>
      <c r="E618" t="s">
        <v>94</v>
      </c>
      <c r="F618" t="s">
        <v>113</v>
      </c>
      <c r="G618" t="s">
        <v>113</v>
      </c>
      <c r="H618" t="s">
        <v>808</v>
      </c>
      <c r="J618">
        <v>0</v>
      </c>
      <c r="K618">
        <v>1</v>
      </c>
      <c r="L618">
        <v>83.757575759999995</v>
      </c>
      <c r="M618">
        <v>22.60997987</v>
      </c>
      <c r="N618">
        <v>0.72884000000000004</v>
      </c>
      <c r="O618">
        <v>0.21301339999999999</v>
      </c>
      <c r="P618">
        <v>102.79166669999999</v>
      </c>
      <c r="Q618">
        <v>27.057373470000002</v>
      </c>
      <c r="R618">
        <v>6.3567849939999999</v>
      </c>
      <c r="S618" t="s">
        <v>114</v>
      </c>
      <c r="T618" t="s">
        <v>1014</v>
      </c>
      <c r="U618">
        <v>-19.034090939999999</v>
      </c>
    </row>
    <row r="619" spans="1:21" x14ac:dyDescent="0.25">
      <c r="A619" t="s">
        <v>82</v>
      </c>
      <c r="B619" t="s">
        <v>990</v>
      </c>
      <c r="C619">
        <v>6</v>
      </c>
      <c r="D619" t="s">
        <v>19</v>
      </c>
      <c r="E619" t="s">
        <v>94</v>
      </c>
      <c r="F619" t="s">
        <v>113</v>
      </c>
      <c r="G619" t="s">
        <v>113</v>
      </c>
      <c r="H619" t="s">
        <v>103</v>
      </c>
      <c r="J619">
        <v>0</v>
      </c>
      <c r="K619">
        <v>1</v>
      </c>
      <c r="L619">
        <v>83.757575759999995</v>
      </c>
      <c r="M619">
        <v>22.60997987</v>
      </c>
      <c r="N619">
        <v>0.72884000000000004</v>
      </c>
      <c r="O619">
        <v>0.21301339999999999</v>
      </c>
      <c r="P619">
        <v>98.291666669999998</v>
      </c>
      <c r="Q619">
        <v>30.315130790000001</v>
      </c>
      <c r="R619">
        <v>5.0803484000000003E-2</v>
      </c>
      <c r="S619">
        <v>0.42866070000000001</v>
      </c>
      <c r="T619" t="s">
        <v>1014</v>
      </c>
      <c r="U619">
        <v>-14.53409091</v>
      </c>
    </row>
    <row r="620" spans="1:21" x14ac:dyDescent="0.25">
      <c r="A620" t="s">
        <v>82</v>
      </c>
      <c r="B620" t="s">
        <v>991</v>
      </c>
      <c r="C620">
        <v>6</v>
      </c>
      <c r="D620" t="s">
        <v>19</v>
      </c>
      <c r="E620" t="s">
        <v>94</v>
      </c>
      <c r="F620" t="s">
        <v>104</v>
      </c>
      <c r="G620" t="s">
        <v>113</v>
      </c>
      <c r="H620" t="s">
        <v>113</v>
      </c>
      <c r="J620">
        <v>0</v>
      </c>
      <c r="K620">
        <v>3</v>
      </c>
      <c r="L620">
        <v>113.9375</v>
      </c>
      <c r="M620">
        <v>33.375507550000002</v>
      </c>
      <c r="N620">
        <v>2.4262999999999999</v>
      </c>
      <c r="O620">
        <v>0.40692159999999999</v>
      </c>
      <c r="P620">
        <v>83.757575759999995</v>
      </c>
      <c r="Q620">
        <v>22.60997987</v>
      </c>
      <c r="R620">
        <v>0.72884000000000004</v>
      </c>
      <c r="S620">
        <v>0.21301339999999999</v>
      </c>
      <c r="T620" t="s">
        <v>1014</v>
      </c>
      <c r="U620">
        <v>30.179924239999998</v>
      </c>
    </row>
    <row r="621" spans="1:21" x14ac:dyDescent="0.25">
      <c r="A621" t="s">
        <v>82</v>
      </c>
      <c r="B621" t="s">
        <v>991</v>
      </c>
      <c r="C621">
        <v>6</v>
      </c>
      <c r="D621" t="s">
        <v>19</v>
      </c>
      <c r="E621" t="s">
        <v>94</v>
      </c>
      <c r="F621" t="s">
        <v>104</v>
      </c>
      <c r="G621" t="s">
        <v>113</v>
      </c>
      <c r="H621" t="s">
        <v>113</v>
      </c>
      <c r="J621">
        <v>0</v>
      </c>
      <c r="K621">
        <v>3</v>
      </c>
      <c r="L621">
        <v>113.9375</v>
      </c>
      <c r="M621">
        <v>33.375507550000002</v>
      </c>
      <c r="N621">
        <v>2.4262999999999999</v>
      </c>
      <c r="O621">
        <v>0.40692159999999999</v>
      </c>
      <c r="P621">
        <v>83.757575759999995</v>
      </c>
      <c r="Q621">
        <v>22.60997987</v>
      </c>
      <c r="R621">
        <v>0.72884000000000004</v>
      </c>
      <c r="S621">
        <v>0.21301339999999999</v>
      </c>
      <c r="T621" t="s">
        <v>1014</v>
      </c>
      <c r="U621">
        <v>30.179924239999998</v>
      </c>
    </row>
    <row r="622" spans="1:21" x14ac:dyDescent="0.25">
      <c r="A622" t="s">
        <v>82</v>
      </c>
      <c r="B622" t="s">
        <v>991</v>
      </c>
      <c r="C622">
        <v>6</v>
      </c>
      <c r="D622" t="s">
        <v>19</v>
      </c>
      <c r="E622" t="s">
        <v>94</v>
      </c>
      <c r="F622" t="s">
        <v>104</v>
      </c>
      <c r="G622" t="s">
        <v>113</v>
      </c>
      <c r="H622" t="s">
        <v>113</v>
      </c>
      <c r="J622">
        <v>0</v>
      </c>
      <c r="K622">
        <v>3</v>
      </c>
      <c r="L622">
        <v>113.9375</v>
      </c>
      <c r="M622">
        <v>33.375507550000002</v>
      </c>
      <c r="N622">
        <v>2.4262999999999999</v>
      </c>
      <c r="O622">
        <v>0.40692159999999999</v>
      </c>
      <c r="P622">
        <v>83.757575759999995</v>
      </c>
      <c r="Q622">
        <v>22.60997987</v>
      </c>
      <c r="R622">
        <v>0.72884000000000004</v>
      </c>
      <c r="S622">
        <v>0.21301339999999999</v>
      </c>
      <c r="T622" t="s">
        <v>1014</v>
      </c>
      <c r="U622">
        <v>30.179924239999998</v>
      </c>
    </row>
    <row r="623" spans="1:21" x14ac:dyDescent="0.25">
      <c r="A623" t="s">
        <v>83</v>
      </c>
      <c r="B623" t="s">
        <v>992</v>
      </c>
      <c r="C623">
        <v>6</v>
      </c>
      <c r="D623" t="s">
        <v>21</v>
      </c>
      <c r="E623" t="s">
        <v>94</v>
      </c>
      <c r="F623" t="s">
        <v>102</v>
      </c>
      <c r="G623" t="s">
        <v>121</v>
      </c>
      <c r="H623" t="s">
        <v>114</v>
      </c>
      <c r="J623">
        <v>0</v>
      </c>
      <c r="K623">
        <v>0</v>
      </c>
      <c r="L623">
        <v>84.740740740000007</v>
      </c>
      <c r="M623">
        <v>29.167014049999999</v>
      </c>
      <c r="N623">
        <v>1.1169849999999999</v>
      </c>
      <c r="O623">
        <v>1.1571499000000001</v>
      </c>
      <c r="P623" t="s">
        <v>114</v>
      </c>
      <c r="Q623" t="s">
        <v>114</v>
      </c>
      <c r="R623" t="s">
        <v>114</v>
      </c>
      <c r="S623" t="s">
        <v>114</v>
      </c>
      <c r="T623" t="s">
        <v>1014</v>
      </c>
      <c r="U623" t="s">
        <v>114</v>
      </c>
    </row>
    <row r="624" spans="1:21" x14ac:dyDescent="0.25">
      <c r="A624" t="s">
        <v>83</v>
      </c>
      <c r="B624" t="s">
        <v>993</v>
      </c>
      <c r="C624">
        <v>6</v>
      </c>
      <c r="D624" t="s">
        <v>21</v>
      </c>
      <c r="E624" t="s">
        <v>94</v>
      </c>
      <c r="F624" t="s">
        <v>103</v>
      </c>
      <c r="G624" t="s">
        <v>103</v>
      </c>
      <c r="H624" t="s">
        <v>103</v>
      </c>
      <c r="J624">
        <v>0</v>
      </c>
      <c r="K624">
        <v>2</v>
      </c>
      <c r="L624">
        <v>98.291666669999998</v>
      </c>
      <c r="M624">
        <v>30.315130790000001</v>
      </c>
      <c r="N624">
        <v>5.0803484000000003E-2</v>
      </c>
      <c r="O624">
        <v>0.42866070000000001</v>
      </c>
      <c r="P624">
        <v>98.291666669999998</v>
      </c>
      <c r="Q624">
        <v>30.315130790000001</v>
      </c>
      <c r="R624">
        <v>5.0803484000000003E-2</v>
      </c>
      <c r="S624">
        <v>0.42866070000000001</v>
      </c>
      <c r="T624" t="s">
        <v>1014</v>
      </c>
      <c r="U624">
        <v>0</v>
      </c>
    </row>
    <row r="625" spans="1:21" x14ac:dyDescent="0.25">
      <c r="A625" t="s">
        <v>83</v>
      </c>
      <c r="B625" t="s">
        <v>993</v>
      </c>
      <c r="C625">
        <v>6</v>
      </c>
      <c r="D625" t="s">
        <v>21</v>
      </c>
      <c r="E625" t="s">
        <v>94</v>
      </c>
      <c r="F625" t="s">
        <v>103</v>
      </c>
      <c r="G625" t="s">
        <v>103</v>
      </c>
      <c r="H625" t="s">
        <v>103</v>
      </c>
      <c r="J625">
        <v>0</v>
      </c>
      <c r="K625">
        <v>2</v>
      </c>
      <c r="L625">
        <v>98.291666669999998</v>
      </c>
      <c r="M625">
        <v>30.315130790000001</v>
      </c>
      <c r="N625">
        <v>5.0803484000000003E-2</v>
      </c>
      <c r="O625">
        <v>0.42866070000000001</v>
      </c>
      <c r="P625">
        <v>98.291666669999998</v>
      </c>
      <c r="Q625">
        <v>30.315130790000001</v>
      </c>
      <c r="R625">
        <v>5.0803484000000003E-2</v>
      </c>
      <c r="S625">
        <v>0.42866070000000001</v>
      </c>
      <c r="T625" t="s">
        <v>1014</v>
      </c>
      <c r="U625">
        <v>0</v>
      </c>
    </row>
    <row r="626" spans="1:21" x14ac:dyDescent="0.25">
      <c r="A626" t="s">
        <v>83</v>
      </c>
      <c r="B626" t="s">
        <v>993</v>
      </c>
      <c r="C626">
        <v>6</v>
      </c>
      <c r="D626" t="s">
        <v>21</v>
      </c>
      <c r="E626" t="s">
        <v>94</v>
      </c>
      <c r="F626" t="s">
        <v>103</v>
      </c>
      <c r="G626" t="s">
        <v>103</v>
      </c>
      <c r="H626" t="s">
        <v>246</v>
      </c>
      <c r="J626">
        <v>0</v>
      </c>
      <c r="K626">
        <v>1</v>
      </c>
      <c r="L626">
        <v>98.291666669999998</v>
      </c>
      <c r="M626">
        <v>30.315130790000001</v>
      </c>
      <c r="N626">
        <v>5.0803484000000003E-2</v>
      </c>
      <c r="O626">
        <v>0.42866070000000001</v>
      </c>
      <c r="P626">
        <v>120.25</v>
      </c>
      <c r="Q626">
        <v>30.670450110000001</v>
      </c>
      <c r="R626">
        <v>0.91037498500000003</v>
      </c>
      <c r="S626" t="s">
        <v>114</v>
      </c>
      <c r="T626" t="s">
        <v>1014</v>
      </c>
      <c r="U626">
        <v>-21.958333329999999</v>
      </c>
    </row>
    <row r="627" spans="1:21" x14ac:dyDescent="0.25">
      <c r="A627" t="s">
        <v>83</v>
      </c>
      <c r="B627" t="s">
        <v>993</v>
      </c>
      <c r="C627">
        <v>6</v>
      </c>
      <c r="D627" t="s">
        <v>21</v>
      </c>
      <c r="E627" t="s">
        <v>94</v>
      </c>
      <c r="F627" t="s">
        <v>103</v>
      </c>
      <c r="G627" t="s">
        <v>103</v>
      </c>
      <c r="H627" t="s">
        <v>239</v>
      </c>
      <c r="J627">
        <v>0</v>
      </c>
      <c r="K627">
        <v>1</v>
      </c>
      <c r="L627">
        <v>98.291666669999998</v>
      </c>
      <c r="M627">
        <v>30.315130790000001</v>
      </c>
      <c r="N627">
        <v>5.0803484000000003E-2</v>
      </c>
      <c r="O627">
        <v>0.42866070000000001</v>
      </c>
      <c r="P627">
        <v>100.45454549999999</v>
      </c>
      <c r="Q627">
        <v>26.754810689999999</v>
      </c>
      <c r="R627">
        <v>0.75829999999999997</v>
      </c>
      <c r="S627">
        <v>0.40907861000000001</v>
      </c>
      <c r="T627" t="s">
        <v>1014</v>
      </c>
      <c r="U627">
        <v>-2.1628788299999999</v>
      </c>
    </row>
    <row r="628" spans="1:21" x14ac:dyDescent="0.25">
      <c r="A628" t="s">
        <v>83</v>
      </c>
      <c r="B628" t="s">
        <v>994</v>
      </c>
      <c r="C628">
        <v>6</v>
      </c>
      <c r="D628" t="s">
        <v>21</v>
      </c>
      <c r="E628" t="s">
        <v>94</v>
      </c>
      <c r="F628" t="s">
        <v>111</v>
      </c>
      <c r="G628" t="s">
        <v>121</v>
      </c>
      <c r="H628" t="s">
        <v>114</v>
      </c>
      <c r="J628">
        <v>0</v>
      </c>
      <c r="K628">
        <v>0</v>
      </c>
      <c r="L628">
        <v>94.97142857</v>
      </c>
      <c r="M628">
        <v>24.31591813</v>
      </c>
      <c r="N628">
        <v>0.122951111</v>
      </c>
      <c r="O628">
        <v>0.39050790000000002</v>
      </c>
      <c r="P628" t="s">
        <v>114</v>
      </c>
      <c r="Q628" t="s">
        <v>114</v>
      </c>
      <c r="R628" t="s">
        <v>114</v>
      </c>
      <c r="S628" t="s">
        <v>114</v>
      </c>
      <c r="T628" t="s">
        <v>1014</v>
      </c>
      <c r="U628" t="s">
        <v>114</v>
      </c>
    </row>
    <row r="629" spans="1:21" x14ac:dyDescent="0.25">
      <c r="A629" t="s">
        <v>84</v>
      </c>
      <c r="B629" t="s">
        <v>995</v>
      </c>
      <c r="C629">
        <v>6</v>
      </c>
      <c r="D629" t="s">
        <v>23</v>
      </c>
      <c r="E629" t="s">
        <v>95</v>
      </c>
      <c r="F629" t="s">
        <v>102</v>
      </c>
      <c r="G629" t="s">
        <v>121</v>
      </c>
      <c r="H629" t="s">
        <v>254</v>
      </c>
      <c r="J629">
        <v>0</v>
      </c>
      <c r="K629">
        <v>3</v>
      </c>
      <c r="L629">
        <v>84.740740740000007</v>
      </c>
      <c r="M629">
        <v>29.167014049999999</v>
      </c>
      <c r="N629">
        <v>1.1169849999999999</v>
      </c>
      <c r="O629">
        <v>1.1571499000000001</v>
      </c>
      <c r="P629" t="s">
        <v>114</v>
      </c>
      <c r="Q629" t="s">
        <v>114</v>
      </c>
      <c r="R629" t="s">
        <v>114</v>
      </c>
      <c r="S629" t="s">
        <v>114</v>
      </c>
      <c r="T629" t="s">
        <v>1014</v>
      </c>
      <c r="U629" t="s">
        <v>114</v>
      </c>
    </row>
    <row r="630" spans="1:21" x14ac:dyDescent="0.25">
      <c r="A630" t="s">
        <v>84</v>
      </c>
      <c r="B630" t="s">
        <v>995</v>
      </c>
      <c r="C630">
        <v>6</v>
      </c>
      <c r="D630" t="s">
        <v>23</v>
      </c>
      <c r="E630" t="s">
        <v>95</v>
      </c>
      <c r="F630" t="s">
        <v>102</v>
      </c>
      <c r="G630" t="s">
        <v>121</v>
      </c>
      <c r="H630" t="s">
        <v>254</v>
      </c>
      <c r="J630">
        <v>0</v>
      </c>
      <c r="K630">
        <v>3</v>
      </c>
      <c r="L630">
        <v>84.740740740000007</v>
      </c>
      <c r="M630">
        <v>29.167014049999999</v>
      </c>
      <c r="N630">
        <v>1.1169849999999999</v>
      </c>
      <c r="O630">
        <v>1.1571499000000001</v>
      </c>
      <c r="P630" t="s">
        <v>114</v>
      </c>
      <c r="Q630" t="s">
        <v>114</v>
      </c>
      <c r="R630" t="s">
        <v>114</v>
      </c>
      <c r="S630" t="s">
        <v>114</v>
      </c>
      <c r="T630" t="s">
        <v>1014</v>
      </c>
      <c r="U630" t="s">
        <v>114</v>
      </c>
    </row>
    <row r="631" spans="1:21" x14ac:dyDescent="0.25">
      <c r="A631" t="s">
        <v>84</v>
      </c>
      <c r="B631" t="s">
        <v>995</v>
      </c>
      <c r="C631">
        <v>6</v>
      </c>
      <c r="D631" t="s">
        <v>23</v>
      </c>
      <c r="E631" t="s">
        <v>95</v>
      </c>
      <c r="F631" t="s">
        <v>102</v>
      </c>
      <c r="G631" t="s">
        <v>121</v>
      </c>
      <c r="H631" t="s">
        <v>254</v>
      </c>
      <c r="J631">
        <v>0</v>
      </c>
      <c r="K631">
        <v>3</v>
      </c>
      <c r="L631">
        <v>84.740740740000007</v>
      </c>
      <c r="M631">
        <v>29.167014049999999</v>
      </c>
      <c r="N631">
        <v>1.1169849999999999</v>
      </c>
      <c r="O631">
        <v>1.1571499000000001</v>
      </c>
      <c r="P631" t="s">
        <v>114</v>
      </c>
      <c r="Q631" t="s">
        <v>114</v>
      </c>
      <c r="R631" t="s">
        <v>114</v>
      </c>
      <c r="S631" t="s">
        <v>114</v>
      </c>
      <c r="T631" t="s">
        <v>1014</v>
      </c>
      <c r="U631" t="s">
        <v>114</v>
      </c>
    </row>
    <row r="632" spans="1:21" x14ac:dyDescent="0.25">
      <c r="A632" t="s">
        <v>84</v>
      </c>
      <c r="B632" t="s">
        <v>995</v>
      </c>
      <c r="C632">
        <v>6</v>
      </c>
      <c r="D632" t="s">
        <v>23</v>
      </c>
      <c r="E632" t="s">
        <v>95</v>
      </c>
      <c r="F632" t="s">
        <v>102</v>
      </c>
      <c r="G632" t="s">
        <v>121</v>
      </c>
      <c r="H632" t="s">
        <v>248</v>
      </c>
      <c r="J632">
        <v>0</v>
      </c>
      <c r="K632">
        <v>1</v>
      </c>
      <c r="L632">
        <v>84.740740740000007</v>
      </c>
      <c r="M632">
        <v>29.167014049999999</v>
      </c>
      <c r="N632">
        <v>1.1169849999999999</v>
      </c>
      <c r="O632">
        <v>1.1571499000000001</v>
      </c>
      <c r="P632">
        <v>83.92307692</v>
      </c>
      <c r="Q632">
        <v>44.319135699999997</v>
      </c>
      <c r="R632">
        <v>5.9548609999999997E-3</v>
      </c>
      <c r="S632">
        <v>0.18017928</v>
      </c>
      <c r="T632" t="s">
        <v>1014</v>
      </c>
      <c r="U632">
        <v>0.81766382000000004</v>
      </c>
    </row>
    <row r="633" spans="1:21" x14ac:dyDescent="0.25">
      <c r="A633" t="s">
        <v>84</v>
      </c>
      <c r="B633" t="s">
        <v>995</v>
      </c>
      <c r="C633">
        <v>6</v>
      </c>
      <c r="D633" t="s">
        <v>23</v>
      </c>
      <c r="E633" t="s">
        <v>95</v>
      </c>
      <c r="F633" t="s">
        <v>102</v>
      </c>
      <c r="G633" t="s">
        <v>121</v>
      </c>
      <c r="H633" t="s">
        <v>233</v>
      </c>
      <c r="J633">
        <v>0</v>
      </c>
      <c r="K633">
        <v>1</v>
      </c>
      <c r="L633">
        <v>84.740740740000007</v>
      </c>
      <c r="M633">
        <v>29.167014049999999</v>
      </c>
      <c r="N633">
        <v>1.1169849999999999</v>
      </c>
      <c r="O633">
        <v>1.1571499000000001</v>
      </c>
      <c r="P633">
        <v>106.0540541</v>
      </c>
      <c r="Q633">
        <v>52.690533369999997</v>
      </c>
      <c r="R633">
        <v>7.6058968000000005E-2</v>
      </c>
      <c r="S633">
        <v>0.44888888999999998</v>
      </c>
      <c r="T633" t="s">
        <v>1014</v>
      </c>
      <c r="U633">
        <v>-21.313313359999999</v>
      </c>
    </row>
    <row r="634" spans="1:21" x14ac:dyDescent="0.25">
      <c r="A634" t="s">
        <v>84</v>
      </c>
      <c r="B634" t="s">
        <v>995</v>
      </c>
      <c r="C634">
        <v>6</v>
      </c>
      <c r="D634" t="s">
        <v>23</v>
      </c>
      <c r="E634" t="s">
        <v>95</v>
      </c>
      <c r="F634" t="s">
        <v>102</v>
      </c>
      <c r="G634" t="s">
        <v>121</v>
      </c>
      <c r="H634" t="s">
        <v>103</v>
      </c>
      <c r="J634">
        <v>0</v>
      </c>
      <c r="K634">
        <v>5</v>
      </c>
      <c r="L634">
        <v>84.740740740000007</v>
      </c>
      <c r="M634">
        <v>29.167014049999999</v>
      </c>
      <c r="N634">
        <v>1.1169849999999999</v>
      </c>
      <c r="O634">
        <v>1.1571499000000001</v>
      </c>
      <c r="P634">
        <v>98.291666669999998</v>
      </c>
      <c r="Q634">
        <v>30.315130790000001</v>
      </c>
      <c r="R634">
        <v>5.0803484000000003E-2</v>
      </c>
      <c r="S634">
        <v>0.42866070000000001</v>
      </c>
      <c r="T634" t="s">
        <v>1014</v>
      </c>
      <c r="U634">
        <v>-13.55092593</v>
      </c>
    </row>
    <row r="635" spans="1:21" x14ac:dyDescent="0.25">
      <c r="A635" t="s">
        <v>84</v>
      </c>
      <c r="B635" t="s">
        <v>995</v>
      </c>
      <c r="C635">
        <v>6</v>
      </c>
      <c r="D635" t="s">
        <v>23</v>
      </c>
      <c r="E635" t="s">
        <v>95</v>
      </c>
      <c r="F635" t="s">
        <v>102</v>
      </c>
      <c r="G635" t="s">
        <v>121</v>
      </c>
      <c r="H635" t="s">
        <v>103</v>
      </c>
      <c r="J635">
        <v>0</v>
      </c>
      <c r="K635">
        <v>5</v>
      </c>
      <c r="L635">
        <v>84.740740740000007</v>
      </c>
      <c r="M635">
        <v>29.167014049999999</v>
      </c>
      <c r="N635">
        <v>1.1169849999999999</v>
      </c>
      <c r="O635">
        <v>1.1571499000000001</v>
      </c>
      <c r="P635">
        <v>98.291666669999998</v>
      </c>
      <c r="Q635">
        <v>30.315130790000001</v>
      </c>
      <c r="R635">
        <v>5.0803484000000003E-2</v>
      </c>
      <c r="S635">
        <v>0.42866070000000001</v>
      </c>
      <c r="T635" t="s">
        <v>1014</v>
      </c>
      <c r="U635">
        <v>-13.55092593</v>
      </c>
    </row>
    <row r="636" spans="1:21" x14ac:dyDescent="0.25">
      <c r="A636" t="s">
        <v>84</v>
      </c>
      <c r="B636" t="s">
        <v>995</v>
      </c>
      <c r="C636">
        <v>6</v>
      </c>
      <c r="D636" t="s">
        <v>23</v>
      </c>
      <c r="E636" t="s">
        <v>95</v>
      </c>
      <c r="F636" t="s">
        <v>102</v>
      </c>
      <c r="G636" t="s">
        <v>121</v>
      </c>
      <c r="H636" t="s">
        <v>103</v>
      </c>
      <c r="J636">
        <v>0</v>
      </c>
      <c r="K636">
        <v>5</v>
      </c>
      <c r="L636">
        <v>84.740740740000007</v>
      </c>
      <c r="M636">
        <v>29.167014049999999</v>
      </c>
      <c r="N636">
        <v>1.1169849999999999</v>
      </c>
      <c r="O636">
        <v>1.1571499000000001</v>
      </c>
      <c r="P636">
        <v>98.291666669999998</v>
      </c>
      <c r="Q636">
        <v>30.315130790000001</v>
      </c>
      <c r="R636">
        <v>5.0803484000000003E-2</v>
      </c>
      <c r="S636">
        <v>0.42866070000000001</v>
      </c>
      <c r="T636" t="s">
        <v>1014</v>
      </c>
      <c r="U636">
        <v>-13.55092593</v>
      </c>
    </row>
    <row r="637" spans="1:21" x14ac:dyDescent="0.25">
      <c r="A637" t="s">
        <v>84</v>
      </c>
      <c r="B637" t="s">
        <v>995</v>
      </c>
      <c r="C637">
        <v>6</v>
      </c>
      <c r="D637" t="s">
        <v>23</v>
      </c>
      <c r="E637" t="s">
        <v>95</v>
      </c>
      <c r="F637" t="s">
        <v>102</v>
      </c>
      <c r="G637" t="s">
        <v>121</v>
      </c>
      <c r="H637" t="s">
        <v>103</v>
      </c>
      <c r="J637">
        <v>0</v>
      </c>
      <c r="K637">
        <v>5</v>
      </c>
      <c r="L637">
        <v>84.740740740000007</v>
      </c>
      <c r="M637">
        <v>29.167014049999999</v>
      </c>
      <c r="N637">
        <v>1.1169849999999999</v>
      </c>
      <c r="O637">
        <v>1.1571499000000001</v>
      </c>
      <c r="P637">
        <v>98.291666669999998</v>
      </c>
      <c r="Q637">
        <v>30.315130790000001</v>
      </c>
      <c r="R637">
        <v>5.0803484000000003E-2</v>
      </c>
      <c r="S637">
        <v>0.42866070000000001</v>
      </c>
      <c r="T637" t="s">
        <v>1014</v>
      </c>
      <c r="U637">
        <v>-13.55092593</v>
      </c>
    </row>
    <row r="638" spans="1:21" x14ac:dyDescent="0.25">
      <c r="A638" t="s">
        <v>84</v>
      </c>
      <c r="B638" t="s">
        <v>995</v>
      </c>
      <c r="C638">
        <v>6</v>
      </c>
      <c r="D638" t="s">
        <v>23</v>
      </c>
      <c r="E638" t="s">
        <v>95</v>
      </c>
      <c r="F638" t="s">
        <v>102</v>
      </c>
      <c r="G638" t="s">
        <v>121</v>
      </c>
      <c r="H638" t="s">
        <v>103</v>
      </c>
      <c r="J638">
        <v>0</v>
      </c>
      <c r="K638">
        <v>5</v>
      </c>
      <c r="L638">
        <v>84.740740740000007</v>
      </c>
      <c r="M638">
        <v>29.167014049999999</v>
      </c>
      <c r="N638">
        <v>1.1169849999999999</v>
      </c>
      <c r="O638">
        <v>1.1571499000000001</v>
      </c>
      <c r="P638">
        <v>98.291666669999998</v>
      </c>
      <c r="Q638">
        <v>30.315130790000001</v>
      </c>
      <c r="R638">
        <v>5.0803484000000003E-2</v>
      </c>
      <c r="S638">
        <v>0.42866070000000001</v>
      </c>
      <c r="T638" t="s">
        <v>1014</v>
      </c>
      <c r="U638">
        <v>-13.55092593</v>
      </c>
    </row>
    <row r="639" spans="1:21" x14ac:dyDescent="0.25">
      <c r="A639" t="s">
        <v>84</v>
      </c>
      <c r="B639" t="s">
        <v>996</v>
      </c>
      <c r="C639">
        <v>6</v>
      </c>
      <c r="D639" t="s">
        <v>23</v>
      </c>
      <c r="E639" t="s">
        <v>95</v>
      </c>
      <c r="F639" t="s">
        <v>105</v>
      </c>
      <c r="G639" t="s">
        <v>103</v>
      </c>
      <c r="H639" t="s">
        <v>114</v>
      </c>
      <c r="J639">
        <v>0</v>
      </c>
      <c r="K639" t="s">
        <v>114</v>
      </c>
      <c r="L639">
        <v>67.5</v>
      </c>
      <c r="M639">
        <v>47.937235809999997</v>
      </c>
      <c r="N639">
        <v>0.41599678000000001</v>
      </c>
      <c r="O639">
        <v>2.0950346999999998</v>
      </c>
      <c r="P639" t="s">
        <v>114</v>
      </c>
      <c r="Q639" t="s">
        <v>114</v>
      </c>
      <c r="R639" t="s">
        <v>114</v>
      </c>
      <c r="S639" t="s">
        <v>114</v>
      </c>
      <c r="T639" t="s">
        <v>1014</v>
      </c>
      <c r="U639" t="s">
        <v>114</v>
      </c>
    </row>
    <row r="640" spans="1:21" x14ac:dyDescent="0.25">
      <c r="A640" t="s">
        <v>84</v>
      </c>
      <c r="B640" t="s">
        <v>997</v>
      </c>
      <c r="C640">
        <v>6</v>
      </c>
      <c r="D640" t="s">
        <v>23</v>
      </c>
      <c r="E640" t="s">
        <v>95</v>
      </c>
      <c r="F640" t="s">
        <v>111</v>
      </c>
      <c r="G640" t="s">
        <v>103</v>
      </c>
      <c r="H640" t="s">
        <v>103</v>
      </c>
      <c r="J640">
        <v>0</v>
      </c>
      <c r="K640">
        <v>2</v>
      </c>
      <c r="L640">
        <v>94.97142857</v>
      </c>
      <c r="M640">
        <v>24.31591813</v>
      </c>
      <c r="N640">
        <v>0.122951111</v>
      </c>
      <c r="O640">
        <v>0.39050790000000002</v>
      </c>
      <c r="P640">
        <v>98.291666669999998</v>
      </c>
      <c r="Q640">
        <v>30.315130790000001</v>
      </c>
      <c r="R640">
        <v>5.0803484000000003E-2</v>
      </c>
      <c r="S640">
        <v>0.42866070000000001</v>
      </c>
      <c r="T640" t="s">
        <v>1014</v>
      </c>
      <c r="U640">
        <v>-3.3202381000000001</v>
      </c>
    </row>
    <row r="641" spans="1:21" x14ac:dyDescent="0.25">
      <c r="A641" t="s">
        <v>84</v>
      </c>
      <c r="B641" t="s">
        <v>997</v>
      </c>
      <c r="C641">
        <v>6</v>
      </c>
      <c r="D641" t="s">
        <v>23</v>
      </c>
      <c r="E641" t="s">
        <v>95</v>
      </c>
      <c r="F641" t="s">
        <v>111</v>
      </c>
      <c r="G641" t="s">
        <v>103</v>
      </c>
      <c r="H641" t="s">
        <v>103</v>
      </c>
      <c r="J641">
        <v>0</v>
      </c>
      <c r="K641">
        <v>2</v>
      </c>
      <c r="L641">
        <v>94.97142857</v>
      </c>
      <c r="M641">
        <v>24.31591813</v>
      </c>
      <c r="N641">
        <v>0.122951111</v>
      </c>
      <c r="O641">
        <v>0.39050790000000002</v>
      </c>
      <c r="P641">
        <v>98.291666669999998</v>
      </c>
      <c r="Q641">
        <v>30.315130790000001</v>
      </c>
      <c r="R641">
        <v>5.0803484000000003E-2</v>
      </c>
      <c r="S641">
        <v>0.42866070000000001</v>
      </c>
      <c r="T641" t="s">
        <v>1014</v>
      </c>
      <c r="U641">
        <v>-3.3202381000000001</v>
      </c>
    </row>
    <row r="642" spans="1:21" x14ac:dyDescent="0.25">
      <c r="A642" t="s">
        <v>84</v>
      </c>
      <c r="B642" t="s">
        <v>997</v>
      </c>
      <c r="C642">
        <v>6</v>
      </c>
      <c r="D642" t="s">
        <v>23</v>
      </c>
      <c r="E642" t="s">
        <v>95</v>
      </c>
      <c r="F642" t="s">
        <v>111</v>
      </c>
      <c r="G642" t="s">
        <v>103</v>
      </c>
      <c r="H642" t="s">
        <v>247</v>
      </c>
      <c r="J642">
        <v>0</v>
      </c>
      <c r="K642">
        <v>1</v>
      </c>
      <c r="L642">
        <v>94.97142857</v>
      </c>
      <c r="M642">
        <v>24.31591813</v>
      </c>
      <c r="N642">
        <v>0.122951111</v>
      </c>
      <c r="O642">
        <v>0.39050790000000002</v>
      </c>
      <c r="P642">
        <v>65.791044779999993</v>
      </c>
      <c r="Q642">
        <v>22.94519201</v>
      </c>
      <c r="R642">
        <v>8.1320334999999994E-2</v>
      </c>
      <c r="S642">
        <v>0.17285655</v>
      </c>
      <c r="T642" t="s">
        <v>1014</v>
      </c>
      <c r="U642">
        <v>29.18038379</v>
      </c>
    </row>
    <row r="643" spans="1:21" x14ac:dyDescent="0.25">
      <c r="A643" t="s">
        <v>84</v>
      </c>
      <c r="B643" t="s">
        <v>997</v>
      </c>
      <c r="C643">
        <v>6</v>
      </c>
      <c r="D643" t="s">
        <v>23</v>
      </c>
      <c r="E643" t="s">
        <v>95</v>
      </c>
      <c r="F643" t="s">
        <v>111</v>
      </c>
      <c r="G643" t="s">
        <v>103</v>
      </c>
      <c r="H643" t="s">
        <v>233</v>
      </c>
      <c r="J643">
        <v>0</v>
      </c>
      <c r="K643">
        <v>1</v>
      </c>
      <c r="L643">
        <v>94.97142857</v>
      </c>
      <c r="M643">
        <v>24.31591813</v>
      </c>
      <c r="N643">
        <v>0.122951111</v>
      </c>
      <c r="O643">
        <v>0.39050790000000002</v>
      </c>
      <c r="P643">
        <v>106.0540541</v>
      </c>
      <c r="Q643">
        <v>52.690533369999997</v>
      </c>
      <c r="R643">
        <v>7.6058968000000005E-2</v>
      </c>
      <c r="S643">
        <v>0.44888888999999998</v>
      </c>
      <c r="T643" t="s">
        <v>1014</v>
      </c>
      <c r="U643">
        <v>-11.08262553</v>
      </c>
    </row>
    <row r="644" spans="1:21" x14ac:dyDescent="0.25">
      <c r="A644" t="s">
        <v>84</v>
      </c>
      <c r="B644" t="s">
        <v>997</v>
      </c>
      <c r="C644">
        <v>6</v>
      </c>
      <c r="D644" t="s">
        <v>23</v>
      </c>
      <c r="E644" t="s">
        <v>95</v>
      </c>
      <c r="F644" t="s">
        <v>111</v>
      </c>
      <c r="G644" t="s">
        <v>103</v>
      </c>
      <c r="H644" t="s">
        <v>808</v>
      </c>
      <c r="J644">
        <v>0</v>
      </c>
      <c r="K644">
        <v>1</v>
      </c>
      <c r="L644">
        <v>94.97142857</v>
      </c>
      <c r="M644">
        <v>24.31591813</v>
      </c>
      <c r="N644">
        <v>0.122951111</v>
      </c>
      <c r="O644">
        <v>0.39050790000000002</v>
      </c>
      <c r="P644">
        <v>102.79166669999999</v>
      </c>
      <c r="Q644">
        <v>27.057373470000002</v>
      </c>
      <c r="R644">
        <v>6.3567849939999999</v>
      </c>
      <c r="S644" t="s">
        <v>114</v>
      </c>
      <c r="T644" t="s">
        <v>1014</v>
      </c>
      <c r="U644">
        <v>-7.8202381299999999</v>
      </c>
    </row>
    <row r="645" spans="1:21" x14ac:dyDescent="0.25">
      <c r="A645" t="s">
        <v>84</v>
      </c>
      <c r="B645" t="s">
        <v>998</v>
      </c>
      <c r="C645">
        <v>6</v>
      </c>
      <c r="D645" t="s">
        <v>23</v>
      </c>
      <c r="E645" t="s">
        <v>95</v>
      </c>
      <c r="F645" t="s">
        <v>112</v>
      </c>
      <c r="G645" t="s">
        <v>103</v>
      </c>
      <c r="H645" t="s">
        <v>236</v>
      </c>
      <c r="J645">
        <v>0</v>
      </c>
      <c r="K645">
        <v>1</v>
      </c>
      <c r="L645">
        <v>65.09375</v>
      </c>
      <c r="M645">
        <v>37.895352600000002</v>
      </c>
      <c r="N645">
        <v>2.2882677779999998</v>
      </c>
      <c r="O645">
        <v>2.2111774</v>
      </c>
      <c r="P645">
        <v>113.33333330000001</v>
      </c>
      <c r="Q645">
        <v>26.41632581</v>
      </c>
      <c r="R645">
        <v>1.6844570160000001</v>
      </c>
      <c r="S645">
        <v>8.9285710000000004E-2</v>
      </c>
      <c r="T645" t="s">
        <v>1014</v>
      </c>
      <c r="U645">
        <v>-48.2395833</v>
      </c>
    </row>
    <row r="646" spans="1:21" x14ac:dyDescent="0.25">
      <c r="A646" t="s">
        <v>84</v>
      </c>
      <c r="B646" t="s">
        <v>998</v>
      </c>
      <c r="C646">
        <v>6</v>
      </c>
      <c r="D646" t="s">
        <v>23</v>
      </c>
      <c r="E646" t="s">
        <v>95</v>
      </c>
      <c r="F646" t="s">
        <v>112</v>
      </c>
      <c r="G646" t="s">
        <v>103</v>
      </c>
      <c r="H646" t="s">
        <v>103</v>
      </c>
      <c r="J646">
        <v>0</v>
      </c>
      <c r="K646">
        <v>2</v>
      </c>
      <c r="L646">
        <v>65.09375</v>
      </c>
      <c r="M646">
        <v>37.895352600000002</v>
      </c>
      <c r="N646">
        <v>2.2882677779999998</v>
      </c>
      <c r="O646">
        <v>2.2111774</v>
      </c>
      <c r="P646">
        <v>98.291666669999998</v>
      </c>
      <c r="Q646">
        <v>30.315130790000001</v>
      </c>
      <c r="R646">
        <v>5.0803484000000003E-2</v>
      </c>
      <c r="S646">
        <v>0.42866070000000001</v>
      </c>
      <c r="T646" t="s">
        <v>1014</v>
      </c>
      <c r="U646">
        <v>-33.197916669999998</v>
      </c>
    </row>
    <row r="647" spans="1:21" x14ac:dyDescent="0.25">
      <c r="A647" t="s">
        <v>84</v>
      </c>
      <c r="B647" t="s">
        <v>998</v>
      </c>
      <c r="C647">
        <v>6</v>
      </c>
      <c r="D647" t="s">
        <v>23</v>
      </c>
      <c r="E647" t="s">
        <v>95</v>
      </c>
      <c r="F647" t="s">
        <v>112</v>
      </c>
      <c r="G647" t="s">
        <v>103</v>
      </c>
      <c r="H647" t="s">
        <v>103</v>
      </c>
      <c r="J647">
        <v>0</v>
      </c>
      <c r="K647">
        <v>2</v>
      </c>
      <c r="L647">
        <v>65.09375</v>
      </c>
      <c r="M647">
        <v>37.895352600000002</v>
      </c>
      <c r="N647">
        <v>2.2882677779999998</v>
      </c>
      <c r="O647">
        <v>2.2111774</v>
      </c>
      <c r="P647">
        <v>98.291666669999998</v>
      </c>
      <c r="Q647">
        <v>30.315130790000001</v>
      </c>
      <c r="R647">
        <v>5.0803484000000003E-2</v>
      </c>
      <c r="S647">
        <v>0.42866070000000001</v>
      </c>
      <c r="T647" t="s">
        <v>1014</v>
      </c>
      <c r="U647">
        <v>-33.197916669999998</v>
      </c>
    </row>
    <row r="648" spans="1:21" x14ac:dyDescent="0.25">
      <c r="A648" t="s">
        <v>84</v>
      </c>
      <c r="B648" t="s">
        <v>998</v>
      </c>
      <c r="C648">
        <v>6</v>
      </c>
      <c r="D648" t="s">
        <v>23</v>
      </c>
      <c r="E648" t="s">
        <v>95</v>
      </c>
      <c r="F648" t="s">
        <v>112</v>
      </c>
      <c r="G648" t="s">
        <v>103</v>
      </c>
      <c r="H648" t="s">
        <v>808</v>
      </c>
      <c r="J648">
        <v>0</v>
      </c>
      <c r="K648">
        <v>1</v>
      </c>
      <c r="L648">
        <v>65.09375</v>
      </c>
      <c r="M648">
        <v>37.895352600000002</v>
      </c>
      <c r="N648">
        <v>2.2882677779999998</v>
      </c>
      <c r="O648">
        <v>2.2111774</v>
      </c>
      <c r="P648">
        <v>102.79166669999999</v>
      </c>
      <c r="Q648">
        <v>27.057373470000002</v>
      </c>
      <c r="R648">
        <v>6.3567849939999999</v>
      </c>
      <c r="S648" t="s">
        <v>114</v>
      </c>
      <c r="T648" t="s">
        <v>1014</v>
      </c>
      <c r="U648">
        <v>-37.6979167</v>
      </c>
    </row>
    <row r="649" spans="1:21" x14ac:dyDescent="0.25">
      <c r="A649" t="s">
        <v>84</v>
      </c>
      <c r="B649" t="s">
        <v>998</v>
      </c>
      <c r="C649">
        <v>6</v>
      </c>
      <c r="D649" t="s">
        <v>23</v>
      </c>
      <c r="E649" t="s">
        <v>95</v>
      </c>
      <c r="F649" t="s">
        <v>112</v>
      </c>
      <c r="G649" t="s">
        <v>103</v>
      </c>
      <c r="H649" t="s">
        <v>239</v>
      </c>
      <c r="J649">
        <v>0</v>
      </c>
      <c r="K649">
        <v>2</v>
      </c>
      <c r="L649">
        <v>65.09375</v>
      </c>
      <c r="M649">
        <v>37.895352600000002</v>
      </c>
      <c r="N649">
        <v>2.2882677779999998</v>
      </c>
      <c r="O649">
        <v>2.2111774</v>
      </c>
      <c r="P649">
        <v>100.45454549999999</v>
      </c>
      <c r="Q649">
        <v>26.754810689999999</v>
      </c>
      <c r="R649">
        <v>0.75829999999999997</v>
      </c>
      <c r="S649">
        <v>0.40907861000000001</v>
      </c>
      <c r="T649" t="s">
        <v>1014</v>
      </c>
      <c r="U649">
        <v>-35.360795500000002</v>
      </c>
    </row>
    <row r="650" spans="1:21" x14ac:dyDescent="0.25">
      <c r="A650" t="s">
        <v>84</v>
      </c>
      <c r="B650" t="s">
        <v>998</v>
      </c>
      <c r="C650">
        <v>6</v>
      </c>
      <c r="D650" t="s">
        <v>23</v>
      </c>
      <c r="E650" t="s">
        <v>95</v>
      </c>
      <c r="F650" t="s">
        <v>112</v>
      </c>
      <c r="G650" t="s">
        <v>103</v>
      </c>
      <c r="H650" t="s">
        <v>239</v>
      </c>
      <c r="J650">
        <v>0</v>
      </c>
      <c r="K650">
        <v>2</v>
      </c>
      <c r="L650">
        <v>65.09375</v>
      </c>
      <c r="M650">
        <v>37.895352600000002</v>
      </c>
      <c r="N650">
        <v>2.2882677779999998</v>
      </c>
      <c r="O650">
        <v>2.2111774</v>
      </c>
      <c r="P650">
        <v>100.45454549999999</v>
      </c>
      <c r="Q650">
        <v>26.754810689999999</v>
      </c>
      <c r="R650">
        <v>0.75829999999999997</v>
      </c>
      <c r="S650">
        <v>0.40907861000000001</v>
      </c>
      <c r="T650" t="s">
        <v>1014</v>
      </c>
      <c r="U650">
        <v>-35.360795500000002</v>
      </c>
    </row>
    <row r="651" spans="1:21" x14ac:dyDescent="0.25">
      <c r="A651" t="s">
        <v>85</v>
      </c>
      <c r="B651" t="s">
        <v>999</v>
      </c>
      <c r="C651">
        <v>6</v>
      </c>
      <c r="D651" t="s">
        <v>25</v>
      </c>
      <c r="E651" t="s">
        <v>94</v>
      </c>
      <c r="F651" t="s">
        <v>105</v>
      </c>
      <c r="G651" t="s">
        <v>103</v>
      </c>
      <c r="H651" t="s">
        <v>810</v>
      </c>
      <c r="J651">
        <v>0</v>
      </c>
      <c r="K651">
        <v>1</v>
      </c>
      <c r="L651">
        <v>67.5</v>
      </c>
      <c r="M651">
        <v>47.937235809999997</v>
      </c>
      <c r="N651">
        <v>0.41599678000000001</v>
      </c>
      <c r="O651">
        <v>2.0950346999999998</v>
      </c>
      <c r="P651">
        <v>77.055555560000002</v>
      </c>
      <c r="Q651">
        <v>18.389110710000001</v>
      </c>
      <c r="R651">
        <v>1.5559800079999999</v>
      </c>
      <c r="S651" t="s">
        <v>114</v>
      </c>
      <c r="T651" t="s">
        <v>1014</v>
      </c>
      <c r="U651">
        <v>-9.5555555600000002</v>
      </c>
    </row>
    <row r="652" spans="1:21" x14ac:dyDescent="0.25">
      <c r="A652" t="s">
        <v>85</v>
      </c>
      <c r="B652" t="s">
        <v>999</v>
      </c>
      <c r="C652">
        <v>6</v>
      </c>
      <c r="D652" t="s">
        <v>25</v>
      </c>
      <c r="E652" t="s">
        <v>94</v>
      </c>
      <c r="F652" t="s">
        <v>105</v>
      </c>
      <c r="G652" t="s">
        <v>103</v>
      </c>
      <c r="H652" t="s">
        <v>104</v>
      </c>
      <c r="J652">
        <v>0</v>
      </c>
      <c r="K652">
        <v>1</v>
      </c>
      <c r="L652">
        <v>67.5</v>
      </c>
      <c r="M652">
        <v>47.937235809999997</v>
      </c>
      <c r="N652">
        <v>0.41599678000000001</v>
      </c>
      <c r="O652">
        <v>2.0950346999999998</v>
      </c>
      <c r="P652">
        <v>113.9375</v>
      </c>
      <c r="Q652">
        <v>33.375507550000002</v>
      </c>
      <c r="R652">
        <v>2.4262999999999999</v>
      </c>
      <c r="S652">
        <v>0.40692159999999999</v>
      </c>
      <c r="T652" t="s">
        <v>1014</v>
      </c>
      <c r="U652">
        <v>-46.4375</v>
      </c>
    </row>
    <row r="653" spans="1:21" x14ac:dyDescent="0.25">
      <c r="A653" t="s">
        <v>85</v>
      </c>
      <c r="B653" t="s">
        <v>999</v>
      </c>
      <c r="C653">
        <v>6</v>
      </c>
      <c r="D653" t="s">
        <v>25</v>
      </c>
      <c r="E653" t="s">
        <v>94</v>
      </c>
      <c r="F653" t="s">
        <v>105</v>
      </c>
      <c r="G653" t="s">
        <v>103</v>
      </c>
      <c r="H653" t="s">
        <v>110</v>
      </c>
      <c r="J653">
        <v>0</v>
      </c>
      <c r="K653">
        <v>1</v>
      </c>
      <c r="L653">
        <v>67.5</v>
      </c>
      <c r="M653">
        <v>47.937235809999997</v>
      </c>
      <c r="N653">
        <v>0.41599678000000001</v>
      </c>
      <c r="O653">
        <v>2.0950346999999998</v>
      </c>
      <c r="P653">
        <v>73.260869569999997</v>
      </c>
      <c r="Q653">
        <v>34.453830549999999</v>
      </c>
      <c r="R653">
        <v>1.058333333</v>
      </c>
      <c r="S653">
        <v>0.90897070000000002</v>
      </c>
      <c r="T653" t="s">
        <v>1014</v>
      </c>
      <c r="U653">
        <v>-5.7608695699999997</v>
      </c>
    </row>
    <row r="654" spans="1:21" x14ac:dyDescent="0.25">
      <c r="A654" t="s">
        <v>85</v>
      </c>
      <c r="B654" t="s">
        <v>999</v>
      </c>
      <c r="C654">
        <v>6</v>
      </c>
      <c r="D654" t="s">
        <v>25</v>
      </c>
      <c r="E654" t="s">
        <v>94</v>
      </c>
      <c r="F654" t="s">
        <v>105</v>
      </c>
      <c r="G654" t="s">
        <v>103</v>
      </c>
      <c r="H654" t="s">
        <v>103</v>
      </c>
      <c r="J654">
        <v>0</v>
      </c>
      <c r="K654">
        <v>4</v>
      </c>
      <c r="L654">
        <v>67.5</v>
      </c>
      <c r="M654">
        <v>47.937235809999997</v>
      </c>
      <c r="N654">
        <v>0.41599678000000001</v>
      </c>
      <c r="O654">
        <v>2.0950346999999998</v>
      </c>
      <c r="P654">
        <v>98.291666669999998</v>
      </c>
      <c r="Q654">
        <v>30.315130790000001</v>
      </c>
      <c r="R654">
        <v>5.0803484000000003E-2</v>
      </c>
      <c r="S654">
        <v>0.42866070000000001</v>
      </c>
      <c r="T654" t="s">
        <v>1014</v>
      </c>
      <c r="U654">
        <v>-30.791666670000001</v>
      </c>
    </row>
    <row r="655" spans="1:21" x14ac:dyDescent="0.25">
      <c r="A655" t="s">
        <v>85</v>
      </c>
      <c r="B655" t="s">
        <v>999</v>
      </c>
      <c r="C655">
        <v>6</v>
      </c>
      <c r="D655" t="s">
        <v>25</v>
      </c>
      <c r="E655" t="s">
        <v>94</v>
      </c>
      <c r="F655" t="s">
        <v>105</v>
      </c>
      <c r="G655" t="s">
        <v>103</v>
      </c>
      <c r="H655" t="s">
        <v>103</v>
      </c>
      <c r="J655">
        <v>0</v>
      </c>
      <c r="K655">
        <v>4</v>
      </c>
      <c r="L655">
        <v>67.5</v>
      </c>
      <c r="M655">
        <v>47.937235809999997</v>
      </c>
      <c r="N655">
        <v>0.41599678000000001</v>
      </c>
      <c r="O655">
        <v>2.0950346999999998</v>
      </c>
      <c r="P655">
        <v>98.291666669999998</v>
      </c>
      <c r="Q655">
        <v>30.315130790000001</v>
      </c>
      <c r="R655">
        <v>5.0803484000000003E-2</v>
      </c>
      <c r="S655">
        <v>0.42866070000000001</v>
      </c>
      <c r="T655" t="s">
        <v>1014</v>
      </c>
      <c r="U655">
        <v>-30.791666670000001</v>
      </c>
    </row>
    <row r="656" spans="1:21" x14ac:dyDescent="0.25">
      <c r="A656" t="s">
        <v>85</v>
      </c>
      <c r="B656" t="s">
        <v>999</v>
      </c>
      <c r="C656">
        <v>6</v>
      </c>
      <c r="D656" t="s">
        <v>25</v>
      </c>
      <c r="E656" t="s">
        <v>94</v>
      </c>
      <c r="F656" t="s">
        <v>105</v>
      </c>
      <c r="G656" t="s">
        <v>103</v>
      </c>
      <c r="H656" t="s">
        <v>103</v>
      </c>
      <c r="J656">
        <v>0</v>
      </c>
      <c r="K656">
        <v>4</v>
      </c>
      <c r="L656">
        <v>67.5</v>
      </c>
      <c r="M656">
        <v>47.937235809999997</v>
      </c>
      <c r="N656">
        <v>0.41599678000000001</v>
      </c>
      <c r="O656">
        <v>2.0950346999999998</v>
      </c>
      <c r="P656">
        <v>98.291666669999998</v>
      </c>
      <c r="Q656">
        <v>30.315130790000001</v>
      </c>
      <c r="R656">
        <v>5.0803484000000003E-2</v>
      </c>
      <c r="S656">
        <v>0.42866070000000001</v>
      </c>
      <c r="T656" t="s">
        <v>1014</v>
      </c>
      <c r="U656">
        <v>-30.791666670000001</v>
      </c>
    </row>
    <row r="657" spans="1:21" x14ac:dyDescent="0.25">
      <c r="A657" t="s">
        <v>85</v>
      </c>
      <c r="B657" t="s">
        <v>999</v>
      </c>
      <c r="C657">
        <v>6</v>
      </c>
      <c r="D657" t="s">
        <v>25</v>
      </c>
      <c r="E657" t="s">
        <v>94</v>
      </c>
      <c r="F657" t="s">
        <v>105</v>
      </c>
      <c r="G657" t="s">
        <v>103</v>
      </c>
      <c r="H657" t="s">
        <v>103</v>
      </c>
      <c r="J657">
        <v>0</v>
      </c>
      <c r="K657">
        <v>4</v>
      </c>
      <c r="L657">
        <v>67.5</v>
      </c>
      <c r="M657">
        <v>47.937235809999997</v>
      </c>
      <c r="N657">
        <v>0.41599678000000001</v>
      </c>
      <c r="O657">
        <v>2.0950346999999998</v>
      </c>
      <c r="P657">
        <v>98.291666669999998</v>
      </c>
      <c r="Q657">
        <v>30.315130790000001</v>
      </c>
      <c r="R657">
        <v>5.0803484000000003E-2</v>
      </c>
      <c r="S657">
        <v>0.42866070000000001</v>
      </c>
      <c r="T657" t="s">
        <v>1014</v>
      </c>
      <c r="U657">
        <v>-30.791666670000001</v>
      </c>
    </row>
    <row r="658" spans="1:21" x14ac:dyDescent="0.25">
      <c r="A658" t="s">
        <v>85</v>
      </c>
      <c r="B658" t="s">
        <v>1000</v>
      </c>
      <c r="C658">
        <v>6</v>
      </c>
      <c r="D658" t="s">
        <v>25</v>
      </c>
      <c r="E658" t="s">
        <v>94</v>
      </c>
      <c r="F658" t="s">
        <v>110</v>
      </c>
      <c r="G658" t="s">
        <v>103</v>
      </c>
      <c r="H658" t="s">
        <v>103</v>
      </c>
      <c r="J658">
        <v>0</v>
      </c>
      <c r="K658">
        <v>9</v>
      </c>
      <c r="L658">
        <v>73.260869569999997</v>
      </c>
      <c r="M658">
        <v>34.453830549999999</v>
      </c>
      <c r="N658">
        <v>1.058333333</v>
      </c>
      <c r="O658">
        <v>0.90897070000000002</v>
      </c>
      <c r="P658">
        <v>98.291666669999998</v>
      </c>
      <c r="Q658">
        <v>30.315130790000001</v>
      </c>
      <c r="R658">
        <v>5.0803484000000003E-2</v>
      </c>
      <c r="S658">
        <v>0.42866070000000001</v>
      </c>
      <c r="T658" t="s">
        <v>1014</v>
      </c>
      <c r="U658">
        <v>-25.030797100000001</v>
      </c>
    </row>
    <row r="659" spans="1:21" x14ac:dyDescent="0.25">
      <c r="A659" t="s">
        <v>85</v>
      </c>
      <c r="B659" t="s">
        <v>1000</v>
      </c>
      <c r="C659">
        <v>6</v>
      </c>
      <c r="D659" t="s">
        <v>25</v>
      </c>
      <c r="E659" t="s">
        <v>94</v>
      </c>
      <c r="F659" t="s">
        <v>110</v>
      </c>
      <c r="G659" t="s">
        <v>103</v>
      </c>
      <c r="H659" t="s">
        <v>103</v>
      </c>
      <c r="J659">
        <v>0</v>
      </c>
      <c r="K659">
        <v>9</v>
      </c>
      <c r="L659">
        <v>73.260869569999997</v>
      </c>
      <c r="M659">
        <v>34.453830549999999</v>
      </c>
      <c r="N659">
        <v>1.058333333</v>
      </c>
      <c r="O659">
        <v>0.90897070000000002</v>
      </c>
      <c r="P659">
        <v>98.291666669999998</v>
      </c>
      <c r="Q659">
        <v>30.315130790000001</v>
      </c>
      <c r="R659">
        <v>5.0803484000000003E-2</v>
      </c>
      <c r="S659">
        <v>0.42866070000000001</v>
      </c>
      <c r="T659" t="s">
        <v>1014</v>
      </c>
      <c r="U659">
        <v>-25.030797100000001</v>
      </c>
    </row>
    <row r="660" spans="1:21" x14ac:dyDescent="0.25">
      <c r="A660" t="s">
        <v>85</v>
      </c>
      <c r="B660" t="s">
        <v>1000</v>
      </c>
      <c r="C660">
        <v>6</v>
      </c>
      <c r="D660" t="s">
        <v>25</v>
      </c>
      <c r="E660" t="s">
        <v>94</v>
      </c>
      <c r="F660" t="s">
        <v>110</v>
      </c>
      <c r="G660" t="s">
        <v>103</v>
      </c>
      <c r="H660" t="s">
        <v>103</v>
      </c>
      <c r="J660">
        <v>0</v>
      </c>
      <c r="K660">
        <v>9</v>
      </c>
      <c r="L660">
        <v>73.260869569999997</v>
      </c>
      <c r="M660">
        <v>34.453830549999999</v>
      </c>
      <c r="N660">
        <v>1.058333333</v>
      </c>
      <c r="O660">
        <v>0.90897070000000002</v>
      </c>
      <c r="P660">
        <v>98.291666669999998</v>
      </c>
      <c r="Q660">
        <v>30.315130790000001</v>
      </c>
      <c r="R660">
        <v>5.0803484000000003E-2</v>
      </c>
      <c r="S660">
        <v>0.42866070000000001</v>
      </c>
      <c r="T660" t="s">
        <v>1014</v>
      </c>
      <c r="U660">
        <v>-25.030797100000001</v>
      </c>
    </row>
    <row r="661" spans="1:21" x14ac:dyDescent="0.25">
      <c r="A661" t="s">
        <v>85</v>
      </c>
      <c r="B661" t="s">
        <v>1000</v>
      </c>
      <c r="C661">
        <v>6</v>
      </c>
      <c r="D661" t="s">
        <v>25</v>
      </c>
      <c r="E661" t="s">
        <v>94</v>
      </c>
      <c r="F661" t="s">
        <v>110</v>
      </c>
      <c r="G661" t="s">
        <v>103</v>
      </c>
      <c r="H661" t="s">
        <v>103</v>
      </c>
      <c r="J661">
        <v>0</v>
      </c>
      <c r="K661">
        <v>9</v>
      </c>
      <c r="L661">
        <v>73.260869569999997</v>
      </c>
      <c r="M661">
        <v>34.453830549999999</v>
      </c>
      <c r="N661">
        <v>1.058333333</v>
      </c>
      <c r="O661">
        <v>0.90897070000000002</v>
      </c>
      <c r="P661">
        <v>98.291666669999998</v>
      </c>
      <c r="Q661">
        <v>30.315130790000001</v>
      </c>
      <c r="R661">
        <v>5.0803484000000003E-2</v>
      </c>
      <c r="S661">
        <v>0.42866070000000001</v>
      </c>
      <c r="T661" t="s">
        <v>1014</v>
      </c>
      <c r="U661">
        <v>-25.030797100000001</v>
      </c>
    </row>
    <row r="662" spans="1:21" x14ac:dyDescent="0.25">
      <c r="A662" t="s">
        <v>85</v>
      </c>
      <c r="B662" t="s">
        <v>1000</v>
      </c>
      <c r="C662">
        <v>6</v>
      </c>
      <c r="D662" t="s">
        <v>25</v>
      </c>
      <c r="E662" t="s">
        <v>94</v>
      </c>
      <c r="F662" t="s">
        <v>110</v>
      </c>
      <c r="G662" t="s">
        <v>103</v>
      </c>
      <c r="H662" t="s">
        <v>103</v>
      </c>
      <c r="J662">
        <v>0</v>
      </c>
      <c r="K662">
        <v>9</v>
      </c>
      <c r="L662">
        <v>73.260869569999997</v>
      </c>
      <c r="M662">
        <v>34.453830549999999</v>
      </c>
      <c r="N662">
        <v>1.058333333</v>
      </c>
      <c r="O662">
        <v>0.90897070000000002</v>
      </c>
      <c r="P662">
        <v>98.291666669999998</v>
      </c>
      <c r="Q662">
        <v>30.315130790000001</v>
      </c>
      <c r="R662">
        <v>5.0803484000000003E-2</v>
      </c>
      <c r="S662">
        <v>0.42866070000000001</v>
      </c>
      <c r="T662" t="s">
        <v>1014</v>
      </c>
      <c r="U662">
        <v>-25.030797100000001</v>
      </c>
    </row>
    <row r="663" spans="1:21" x14ac:dyDescent="0.25">
      <c r="A663" t="s">
        <v>85</v>
      </c>
      <c r="B663" t="s">
        <v>1000</v>
      </c>
      <c r="C663">
        <v>6</v>
      </c>
      <c r="D663" t="s">
        <v>25</v>
      </c>
      <c r="E663" t="s">
        <v>94</v>
      </c>
      <c r="F663" t="s">
        <v>110</v>
      </c>
      <c r="G663" t="s">
        <v>103</v>
      </c>
      <c r="H663" t="s">
        <v>103</v>
      </c>
      <c r="J663">
        <v>0</v>
      </c>
      <c r="K663">
        <v>9</v>
      </c>
      <c r="L663">
        <v>73.260869569999997</v>
      </c>
      <c r="M663">
        <v>34.453830549999999</v>
      </c>
      <c r="N663">
        <v>1.058333333</v>
      </c>
      <c r="O663">
        <v>0.90897070000000002</v>
      </c>
      <c r="P663">
        <v>98.291666669999998</v>
      </c>
      <c r="Q663">
        <v>30.315130790000001</v>
      </c>
      <c r="R663">
        <v>5.0803484000000003E-2</v>
      </c>
      <c r="S663">
        <v>0.42866070000000001</v>
      </c>
      <c r="T663" t="s">
        <v>1014</v>
      </c>
      <c r="U663">
        <v>-25.030797100000001</v>
      </c>
    </row>
    <row r="664" spans="1:21" x14ac:dyDescent="0.25">
      <c r="A664" t="s">
        <v>85</v>
      </c>
      <c r="B664" t="s">
        <v>1000</v>
      </c>
      <c r="C664">
        <v>6</v>
      </c>
      <c r="D664" t="s">
        <v>25</v>
      </c>
      <c r="E664" t="s">
        <v>94</v>
      </c>
      <c r="F664" t="s">
        <v>110</v>
      </c>
      <c r="G664" t="s">
        <v>103</v>
      </c>
      <c r="H664" t="s">
        <v>103</v>
      </c>
      <c r="J664">
        <v>0</v>
      </c>
      <c r="K664">
        <v>9</v>
      </c>
      <c r="L664">
        <v>73.260869569999997</v>
      </c>
      <c r="M664">
        <v>34.453830549999999</v>
      </c>
      <c r="N664">
        <v>1.058333333</v>
      </c>
      <c r="O664">
        <v>0.90897070000000002</v>
      </c>
      <c r="P664">
        <v>98.291666669999998</v>
      </c>
      <c r="Q664">
        <v>30.315130790000001</v>
      </c>
      <c r="R664">
        <v>5.0803484000000003E-2</v>
      </c>
      <c r="S664">
        <v>0.42866070000000001</v>
      </c>
      <c r="T664" t="s">
        <v>1014</v>
      </c>
      <c r="U664">
        <v>-25.030797100000001</v>
      </c>
    </row>
    <row r="665" spans="1:21" x14ac:dyDescent="0.25">
      <c r="A665" t="s">
        <v>85</v>
      </c>
      <c r="B665" t="s">
        <v>1000</v>
      </c>
      <c r="C665">
        <v>6</v>
      </c>
      <c r="D665" t="s">
        <v>25</v>
      </c>
      <c r="E665" t="s">
        <v>94</v>
      </c>
      <c r="F665" t="s">
        <v>110</v>
      </c>
      <c r="G665" t="s">
        <v>103</v>
      </c>
      <c r="H665" t="s">
        <v>103</v>
      </c>
      <c r="J665">
        <v>0</v>
      </c>
      <c r="K665">
        <v>9</v>
      </c>
      <c r="L665">
        <v>73.260869569999997</v>
      </c>
      <c r="M665">
        <v>34.453830549999999</v>
      </c>
      <c r="N665">
        <v>1.058333333</v>
      </c>
      <c r="O665">
        <v>0.90897070000000002</v>
      </c>
      <c r="P665">
        <v>98.291666669999998</v>
      </c>
      <c r="Q665">
        <v>30.315130790000001</v>
      </c>
      <c r="R665">
        <v>5.0803484000000003E-2</v>
      </c>
      <c r="S665">
        <v>0.42866070000000001</v>
      </c>
      <c r="T665" t="s">
        <v>1014</v>
      </c>
      <c r="U665">
        <v>-25.030797100000001</v>
      </c>
    </row>
    <row r="666" spans="1:21" x14ac:dyDescent="0.25">
      <c r="A666" t="s">
        <v>85</v>
      </c>
      <c r="B666" t="s">
        <v>1000</v>
      </c>
      <c r="C666">
        <v>6</v>
      </c>
      <c r="D666" t="s">
        <v>25</v>
      </c>
      <c r="E666" t="s">
        <v>94</v>
      </c>
      <c r="F666" t="s">
        <v>110</v>
      </c>
      <c r="G666" t="s">
        <v>103</v>
      </c>
      <c r="H666" t="s">
        <v>103</v>
      </c>
      <c r="J666">
        <v>0</v>
      </c>
      <c r="K666">
        <v>9</v>
      </c>
      <c r="L666">
        <v>73.260869569999997</v>
      </c>
      <c r="M666">
        <v>34.453830549999999</v>
      </c>
      <c r="N666">
        <v>1.058333333</v>
      </c>
      <c r="O666">
        <v>0.90897070000000002</v>
      </c>
      <c r="P666">
        <v>98.291666669999998</v>
      </c>
      <c r="Q666">
        <v>30.315130790000001</v>
      </c>
      <c r="R666">
        <v>5.0803484000000003E-2</v>
      </c>
      <c r="S666">
        <v>0.42866070000000001</v>
      </c>
      <c r="T666" t="s">
        <v>1014</v>
      </c>
      <c r="U666">
        <v>-25.030797100000001</v>
      </c>
    </row>
    <row r="667" spans="1:21" x14ac:dyDescent="0.25">
      <c r="A667" t="s">
        <v>85</v>
      </c>
      <c r="B667" t="s">
        <v>1000</v>
      </c>
      <c r="C667">
        <v>6</v>
      </c>
      <c r="D667" t="s">
        <v>25</v>
      </c>
      <c r="E667" t="s">
        <v>94</v>
      </c>
      <c r="F667" t="s">
        <v>110</v>
      </c>
      <c r="G667" t="s">
        <v>103</v>
      </c>
      <c r="H667" t="s">
        <v>248</v>
      </c>
      <c r="J667">
        <v>0</v>
      </c>
      <c r="K667">
        <v>4</v>
      </c>
      <c r="L667">
        <v>73.260869569999997</v>
      </c>
      <c r="M667">
        <v>34.453830549999999</v>
      </c>
      <c r="N667">
        <v>1.058333333</v>
      </c>
      <c r="O667">
        <v>0.90897070000000002</v>
      </c>
      <c r="P667">
        <v>83.92307692</v>
      </c>
      <c r="Q667">
        <v>44.319135699999997</v>
      </c>
      <c r="R667">
        <v>5.9548609999999997E-3</v>
      </c>
      <c r="S667">
        <v>0.18017928</v>
      </c>
      <c r="T667" t="s">
        <v>1014</v>
      </c>
      <c r="U667">
        <v>-10.662207349999999</v>
      </c>
    </row>
    <row r="668" spans="1:21" x14ac:dyDescent="0.25">
      <c r="A668" t="s">
        <v>85</v>
      </c>
      <c r="B668" t="s">
        <v>1000</v>
      </c>
      <c r="C668">
        <v>6</v>
      </c>
      <c r="D668" t="s">
        <v>25</v>
      </c>
      <c r="E668" t="s">
        <v>94</v>
      </c>
      <c r="F668" t="s">
        <v>110</v>
      </c>
      <c r="G668" t="s">
        <v>103</v>
      </c>
      <c r="H668" t="s">
        <v>248</v>
      </c>
      <c r="J668">
        <v>0</v>
      </c>
      <c r="K668">
        <v>4</v>
      </c>
      <c r="L668">
        <v>73.260869569999997</v>
      </c>
      <c r="M668">
        <v>34.453830549999999</v>
      </c>
      <c r="N668">
        <v>1.058333333</v>
      </c>
      <c r="O668">
        <v>0.90897070000000002</v>
      </c>
      <c r="P668">
        <v>83.92307692</v>
      </c>
      <c r="Q668">
        <v>44.319135699999997</v>
      </c>
      <c r="R668">
        <v>5.9548609999999997E-3</v>
      </c>
      <c r="S668">
        <v>0.18017928</v>
      </c>
      <c r="T668" t="s">
        <v>1014</v>
      </c>
      <c r="U668">
        <v>-10.662207349999999</v>
      </c>
    </row>
    <row r="669" spans="1:21" x14ac:dyDescent="0.25">
      <c r="A669" t="s">
        <v>85</v>
      </c>
      <c r="B669" t="s">
        <v>1000</v>
      </c>
      <c r="C669">
        <v>6</v>
      </c>
      <c r="D669" t="s">
        <v>25</v>
      </c>
      <c r="E669" t="s">
        <v>94</v>
      </c>
      <c r="F669" t="s">
        <v>110</v>
      </c>
      <c r="G669" t="s">
        <v>103</v>
      </c>
      <c r="H669" t="s">
        <v>248</v>
      </c>
      <c r="J669">
        <v>0</v>
      </c>
      <c r="K669">
        <v>4</v>
      </c>
      <c r="L669">
        <v>73.260869569999997</v>
      </c>
      <c r="M669">
        <v>34.453830549999999</v>
      </c>
      <c r="N669">
        <v>1.058333333</v>
      </c>
      <c r="O669">
        <v>0.90897070000000002</v>
      </c>
      <c r="P669">
        <v>83.92307692</v>
      </c>
      <c r="Q669">
        <v>44.319135699999997</v>
      </c>
      <c r="R669">
        <v>5.9548609999999997E-3</v>
      </c>
      <c r="S669">
        <v>0.18017928</v>
      </c>
      <c r="T669" t="s">
        <v>1014</v>
      </c>
      <c r="U669">
        <v>-10.662207349999999</v>
      </c>
    </row>
    <row r="670" spans="1:21" x14ac:dyDescent="0.25">
      <c r="A670" t="s">
        <v>85</v>
      </c>
      <c r="B670" t="s">
        <v>1000</v>
      </c>
      <c r="C670">
        <v>6</v>
      </c>
      <c r="D670" t="s">
        <v>25</v>
      </c>
      <c r="E670" t="s">
        <v>94</v>
      </c>
      <c r="F670" t="s">
        <v>110</v>
      </c>
      <c r="G670" t="s">
        <v>103</v>
      </c>
      <c r="H670" t="s">
        <v>248</v>
      </c>
      <c r="J670">
        <v>0</v>
      </c>
      <c r="K670">
        <v>4</v>
      </c>
      <c r="L670">
        <v>73.260869569999997</v>
      </c>
      <c r="M670">
        <v>34.453830549999999</v>
      </c>
      <c r="N670">
        <v>1.058333333</v>
      </c>
      <c r="O670">
        <v>0.90897070000000002</v>
      </c>
      <c r="P670">
        <v>83.92307692</v>
      </c>
      <c r="Q670">
        <v>44.319135699999997</v>
      </c>
      <c r="R670">
        <v>5.9548609999999997E-3</v>
      </c>
      <c r="S670">
        <v>0.18017928</v>
      </c>
      <c r="T670" t="s">
        <v>1014</v>
      </c>
      <c r="U670">
        <v>-10.662207349999999</v>
      </c>
    </row>
    <row r="671" spans="1:21" x14ac:dyDescent="0.25">
      <c r="A671" t="s">
        <v>85</v>
      </c>
      <c r="B671" t="s">
        <v>1000</v>
      </c>
      <c r="C671">
        <v>6</v>
      </c>
      <c r="D671" t="s">
        <v>25</v>
      </c>
      <c r="E671" t="s">
        <v>94</v>
      </c>
      <c r="F671" t="s">
        <v>110</v>
      </c>
      <c r="G671" t="s">
        <v>103</v>
      </c>
      <c r="H671" t="s">
        <v>233</v>
      </c>
      <c r="J671">
        <v>0</v>
      </c>
      <c r="K671">
        <v>3</v>
      </c>
      <c r="L671">
        <v>73.260869569999997</v>
      </c>
      <c r="M671">
        <v>34.453830549999999</v>
      </c>
      <c r="N671">
        <v>1.058333333</v>
      </c>
      <c r="O671">
        <v>0.90897070000000002</v>
      </c>
      <c r="P671">
        <v>106.0540541</v>
      </c>
      <c r="Q671">
        <v>52.690533369999997</v>
      </c>
      <c r="R671">
        <v>7.6058968000000005E-2</v>
      </c>
      <c r="S671">
        <v>0.44888888999999998</v>
      </c>
      <c r="T671" t="s">
        <v>1014</v>
      </c>
      <c r="U671">
        <v>-32.793184529999998</v>
      </c>
    </row>
    <row r="672" spans="1:21" x14ac:dyDescent="0.25">
      <c r="A672" t="s">
        <v>85</v>
      </c>
      <c r="B672" t="s">
        <v>1000</v>
      </c>
      <c r="C672">
        <v>6</v>
      </c>
      <c r="D672" t="s">
        <v>25</v>
      </c>
      <c r="E672" t="s">
        <v>94</v>
      </c>
      <c r="F672" t="s">
        <v>110</v>
      </c>
      <c r="G672" t="s">
        <v>103</v>
      </c>
      <c r="H672" t="s">
        <v>233</v>
      </c>
      <c r="J672">
        <v>0</v>
      </c>
      <c r="K672">
        <v>3</v>
      </c>
      <c r="L672">
        <v>73.260869569999997</v>
      </c>
      <c r="M672">
        <v>34.453830549999999</v>
      </c>
      <c r="N672">
        <v>1.058333333</v>
      </c>
      <c r="O672">
        <v>0.90897070000000002</v>
      </c>
      <c r="P672">
        <v>106.0540541</v>
      </c>
      <c r="Q672">
        <v>52.690533369999997</v>
      </c>
      <c r="R672">
        <v>7.6058968000000005E-2</v>
      </c>
      <c r="S672">
        <v>0.44888888999999998</v>
      </c>
      <c r="T672" t="s">
        <v>1014</v>
      </c>
      <c r="U672">
        <v>-32.793184529999998</v>
      </c>
    </row>
    <row r="673" spans="1:21" x14ac:dyDescent="0.25">
      <c r="A673" t="s">
        <v>85</v>
      </c>
      <c r="B673" t="s">
        <v>1000</v>
      </c>
      <c r="C673">
        <v>6</v>
      </c>
      <c r="D673" t="s">
        <v>25</v>
      </c>
      <c r="E673" t="s">
        <v>94</v>
      </c>
      <c r="F673" t="s">
        <v>110</v>
      </c>
      <c r="G673" t="s">
        <v>103</v>
      </c>
      <c r="H673" t="s">
        <v>233</v>
      </c>
      <c r="J673">
        <v>0</v>
      </c>
      <c r="K673">
        <v>3</v>
      </c>
      <c r="L673">
        <v>73.260869569999997</v>
      </c>
      <c r="M673">
        <v>34.453830549999999</v>
      </c>
      <c r="N673">
        <v>1.058333333</v>
      </c>
      <c r="O673">
        <v>0.90897070000000002</v>
      </c>
      <c r="P673">
        <v>106.0540541</v>
      </c>
      <c r="Q673">
        <v>52.690533369999997</v>
      </c>
      <c r="R673">
        <v>7.6058968000000005E-2</v>
      </c>
      <c r="S673">
        <v>0.44888888999999998</v>
      </c>
      <c r="T673" t="s">
        <v>1014</v>
      </c>
      <c r="U673">
        <v>-32.793184529999998</v>
      </c>
    </row>
    <row r="674" spans="1:21" x14ac:dyDescent="0.25">
      <c r="A674" t="s">
        <v>85</v>
      </c>
      <c r="B674" t="s">
        <v>1000</v>
      </c>
      <c r="C674">
        <v>6</v>
      </c>
      <c r="D674" t="s">
        <v>25</v>
      </c>
      <c r="E674" t="s">
        <v>94</v>
      </c>
      <c r="F674" t="s">
        <v>110</v>
      </c>
      <c r="G674" t="s">
        <v>103</v>
      </c>
      <c r="H674" t="s">
        <v>110</v>
      </c>
      <c r="J674">
        <v>0</v>
      </c>
      <c r="K674">
        <v>1</v>
      </c>
      <c r="L674">
        <v>73.260869569999997</v>
      </c>
      <c r="M674">
        <v>34.453830549999999</v>
      </c>
      <c r="N674">
        <v>1.058333333</v>
      </c>
      <c r="O674">
        <v>0.90897070000000002</v>
      </c>
      <c r="P674">
        <v>73.260869569999997</v>
      </c>
      <c r="Q674">
        <v>34.453830549999999</v>
      </c>
      <c r="R674">
        <v>1.058333333</v>
      </c>
      <c r="S674">
        <v>0.90897070000000002</v>
      </c>
      <c r="T674" t="s">
        <v>1014</v>
      </c>
      <c r="U674">
        <v>0</v>
      </c>
    </row>
    <row r="675" spans="1:21" x14ac:dyDescent="0.25">
      <c r="A675" t="s">
        <v>86</v>
      </c>
      <c r="B675" t="s">
        <v>1001</v>
      </c>
      <c r="C675">
        <v>6</v>
      </c>
      <c r="D675" t="s">
        <v>27</v>
      </c>
      <c r="E675" t="s">
        <v>94</v>
      </c>
      <c r="F675" t="s">
        <v>110</v>
      </c>
      <c r="G675" t="s">
        <v>121</v>
      </c>
      <c r="H675" t="s">
        <v>246</v>
      </c>
      <c r="J675">
        <v>0</v>
      </c>
      <c r="K675">
        <v>1</v>
      </c>
      <c r="L675">
        <v>73.260869569999997</v>
      </c>
      <c r="M675">
        <v>34.453830549999999</v>
      </c>
      <c r="N675">
        <v>1.058333333</v>
      </c>
      <c r="O675">
        <v>0.90897070000000002</v>
      </c>
      <c r="P675">
        <v>120.25</v>
      </c>
      <c r="Q675">
        <v>30.670450110000001</v>
      </c>
      <c r="R675">
        <v>0.91037498500000003</v>
      </c>
      <c r="S675" t="s">
        <v>114</v>
      </c>
      <c r="T675" t="s">
        <v>1014</v>
      </c>
      <c r="U675">
        <v>-46.989130430000003</v>
      </c>
    </row>
    <row r="676" spans="1:21" x14ac:dyDescent="0.25">
      <c r="A676" t="s">
        <v>86</v>
      </c>
      <c r="B676" t="s">
        <v>1001</v>
      </c>
      <c r="C676">
        <v>6</v>
      </c>
      <c r="D676" t="s">
        <v>27</v>
      </c>
      <c r="E676" t="s">
        <v>94</v>
      </c>
      <c r="F676" t="s">
        <v>110</v>
      </c>
      <c r="G676" t="s">
        <v>121</v>
      </c>
      <c r="H676" t="s">
        <v>242</v>
      </c>
      <c r="J676">
        <v>0</v>
      </c>
      <c r="K676">
        <v>2</v>
      </c>
      <c r="L676">
        <v>73.260869569999997</v>
      </c>
      <c r="M676">
        <v>34.453830549999999</v>
      </c>
      <c r="N676">
        <v>1.058333333</v>
      </c>
      <c r="O676">
        <v>0.90897070000000002</v>
      </c>
      <c r="P676">
        <v>139.375</v>
      </c>
      <c r="Q676">
        <v>23.713465920000001</v>
      </c>
      <c r="R676" t="s">
        <v>114</v>
      </c>
      <c r="S676" t="s">
        <v>114</v>
      </c>
      <c r="T676" t="s">
        <v>1014</v>
      </c>
      <c r="U676">
        <v>-66.114130430000003</v>
      </c>
    </row>
    <row r="677" spans="1:21" x14ac:dyDescent="0.25">
      <c r="A677" t="s">
        <v>86</v>
      </c>
      <c r="B677" t="s">
        <v>1001</v>
      </c>
      <c r="C677">
        <v>6</v>
      </c>
      <c r="D677" t="s">
        <v>27</v>
      </c>
      <c r="E677" t="s">
        <v>94</v>
      </c>
      <c r="F677" t="s">
        <v>110</v>
      </c>
      <c r="G677" t="s">
        <v>121</v>
      </c>
      <c r="H677" t="s">
        <v>242</v>
      </c>
      <c r="J677">
        <v>0</v>
      </c>
      <c r="K677">
        <v>2</v>
      </c>
      <c r="L677">
        <v>73.260869569999997</v>
      </c>
      <c r="M677">
        <v>34.453830549999999</v>
      </c>
      <c r="N677">
        <v>1.058333333</v>
      </c>
      <c r="O677">
        <v>0.90897070000000002</v>
      </c>
      <c r="P677">
        <v>139.375</v>
      </c>
      <c r="Q677">
        <v>23.713465920000001</v>
      </c>
      <c r="R677" t="s">
        <v>114</v>
      </c>
      <c r="S677" t="s">
        <v>114</v>
      </c>
      <c r="T677" t="s">
        <v>1014</v>
      </c>
      <c r="U677">
        <v>-66.114130430000003</v>
      </c>
    </row>
    <row r="678" spans="1:21" x14ac:dyDescent="0.25">
      <c r="A678" t="s">
        <v>86</v>
      </c>
      <c r="B678" t="s">
        <v>1002</v>
      </c>
      <c r="C678">
        <v>6</v>
      </c>
      <c r="D678" t="s">
        <v>27</v>
      </c>
      <c r="E678" t="s">
        <v>94</v>
      </c>
      <c r="F678" t="s">
        <v>112</v>
      </c>
      <c r="G678" t="s">
        <v>110</v>
      </c>
      <c r="H678" t="s">
        <v>110</v>
      </c>
      <c r="J678">
        <v>0</v>
      </c>
      <c r="K678">
        <v>1</v>
      </c>
      <c r="L678">
        <v>65.09375</v>
      </c>
      <c r="M678">
        <v>37.895352600000002</v>
      </c>
      <c r="N678">
        <v>2.2882677779999998</v>
      </c>
      <c r="O678">
        <v>2.2111774</v>
      </c>
      <c r="P678">
        <v>73.260869569999997</v>
      </c>
      <c r="Q678">
        <v>34.453830549999999</v>
      </c>
      <c r="R678">
        <v>1.058333333</v>
      </c>
      <c r="S678">
        <v>0.90897070000000002</v>
      </c>
      <c r="T678" t="s">
        <v>1014</v>
      </c>
      <c r="U678">
        <v>-8.1671195700000006</v>
      </c>
    </row>
    <row r="679" spans="1:21" x14ac:dyDescent="0.25">
      <c r="A679" t="s">
        <v>86</v>
      </c>
      <c r="B679" t="s">
        <v>1002</v>
      </c>
      <c r="C679">
        <v>6</v>
      </c>
      <c r="D679" t="s">
        <v>27</v>
      </c>
      <c r="E679" t="s">
        <v>94</v>
      </c>
      <c r="F679" t="s">
        <v>112</v>
      </c>
      <c r="G679" t="s">
        <v>110</v>
      </c>
      <c r="H679" t="s">
        <v>246</v>
      </c>
      <c r="J679">
        <v>0</v>
      </c>
      <c r="K679">
        <v>1</v>
      </c>
      <c r="L679">
        <v>65.09375</v>
      </c>
      <c r="M679">
        <v>37.895352600000002</v>
      </c>
      <c r="N679">
        <v>2.2882677779999998</v>
      </c>
      <c r="O679">
        <v>2.2111774</v>
      </c>
      <c r="P679">
        <v>120.25</v>
      </c>
      <c r="Q679">
        <v>30.670450110000001</v>
      </c>
      <c r="R679">
        <v>0.91037498500000003</v>
      </c>
      <c r="S679" t="s">
        <v>114</v>
      </c>
      <c r="T679" t="s">
        <v>1014</v>
      </c>
      <c r="U679">
        <v>-55.15625</v>
      </c>
    </row>
    <row r="680" spans="1:21" x14ac:dyDescent="0.25">
      <c r="A680" t="s">
        <v>87</v>
      </c>
      <c r="B680" t="s">
        <v>1003</v>
      </c>
      <c r="C680">
        <v>6</v>
      </c>
      <c r="D680" t="s">
        <v>29</v>
      </c>
      <c r="E680" t="s">
        <v>95</v>
      </c>
      <c r="F680" t="s">
        <v>102</v>
      </c>
      <c r="G680" t="s">
        <v>110</v>
      </c>
      <c r="H680" t="s">
        <v>110</v>
      </c>
      <c r="J680">
        <v>0</v>
      </c>
      <c r="K680">
        <v>3</v>
      </c>
      <c r="L680">
        <v>84.740740740000007</v>
      </c>
      <c r="M680">
        <v>29.167014049999999</v>
      </c>
      <c r="N680">
        <v>1.1169849999999999</v>
      </c>
      <c r="O680">
        <v>1.1571499000000001</v>
      </c>
      <c r="P680">
        <v>73.260869569999997</v>
      </c>
      <c r="Q680">
        <v>34.453830549999999</v>
      </c>
      <c r="R680">
        <v>1.058333333</v>
      </c>
      <c r="S680">
        <v>0.90897070000000002</v>
      </c>
      <c r="T680" t="s">
        <v>1014</v>
      </c>
      <c r="U680">
        <v>11.479871169999999</v>
      </c>
    </row>
    <row r="681" spans="1:21" x14ac:dyDescent="0.25">
      <c r="A681" t="s">
        <v>87</v>
      </c>
      <c r="B681" t="s">
        <v>1003</v>
      </c>
      <c r="C681">
        <v>6</v>
      </c>
      <c r="D681" t="s">
        <v>29</v>
      </c>
      <c r="E681" t="s">
        <v>95</v>
      </c>
      <c r="F681" t="s">
        <v>102</v>
      </c>
      <c r="G681" t="s">
        <v>110</v>
      </c>
      <c r="H681" t="s">
        <v>110</v>
      </c>
      <c r="J681">
        <v>0</v>
      </c>
      <c r="K681">
        <v>3</v>
      </c>
      <c r="L681">
        <v>84.740740740000007</v>
      </c>
      <c r="M681">
        <v>29.167014049999999</v>
      </c>
      <c r="N681">
        <v>1.1169849999999999</v>
      </c>
      <c r="O681">
        <v>1.1571499000000001</v>
      </c>
      <c r="P681">
        <v>73.260869569999997</v>
      </c>
      <c r="Q681">
        <v>34.453830549999999</v>
      </c>
      <c r="R681">
        <v>1.058333333</v>
      </c>
      <c r="S681">
        <v>0.90897070000000002</v>
      </c>
      <c r="T681" t="s">
        <v>1014</v>
      </c>
      <c r="U681">
        <v>11.479871169999999</v>
      </c>
    </row>
    <row r="682" spans="1:21" x14ac:dyDescent="0.25">
      <c r="A682" t="s">
        <v>87</v>
      </c>
      <c r="B682" t="s">
        <v>1003</v>
      </c>
      <c r="C682">
        <v>6</v>
      </c>
      <c r="D682" t="s">
        <v>29</v>
      </c>
      <c r="E682" t="s">
        <v>95</v>
      </c>
      <c r="F682" t="s">
        <v>102</v>
      </c>
      <c r="G682" t="s">
        <v>110</v>
      </c>
      <c r="H682" t="s">
        <v>110</v>
      </c>
      <c r="J682">
        <v>0</v>
      </c>
      <c r="K682">
        <v>3</v>
      </c>
      <c r="L682">
        <v>84.740740740000007</v>
      </c>
      <c r="M682">
        <v>29.167014049999999</v>
      </c>
      <c r="N682">
        <v>1.1169849999999999</v>
      </c>
      <c r="O682">
        <v>1.1571499000000001</v>
      </c>
      <c r="P682">
        <v>73.260869569999997</v>
      </c>
      <c r="Q682">
        <v>34.453830549999999</v>
      </c>
      <c r="R682">
        <v>1.058333333</v>
      </c>
      <c r="S682">
        <v>0.90897070000000002</v>
      </c>
      <c r="T682" t="s">
        <v>1014</v>
      </c>
      <c r="U682">
        <v>11.479871169999999</v>
      </c>
    </row>
    <row r="683" spans="1:21" x14ac:dyDescent="0.25">
      <c r="A683" t="s">
        <v>87</v>
      </c>
      <c r="B683" t="s">
        <v>1003</v>
      </c>
      <c r="C683">
        <v>6</v>
      </c>
      <c r="D683" t="s">
        <v>29</v>
      </c>
      <c r="E683" t="s">
        <v>95</v>
      </c>
      <c r="F683" t="s">
        <v>102</v>
      </c>
      <c r="G683" t="s">
        <v>110</v>
      </c>
      <c r="H683" t="s">
        <v>246</v>
      </c>
      <c r="J683">
        <v>0</v>
      </c>
      <c r="K683">
        <v>1</v>
      </c>
      <c r="L683">
        <v>84.740740740000007</v>
      </c>
      <c r="M683">
        <v>29.167014049999999</v>
      </c>
      <c r="N683">
        <v>1.1169849999999999</v>
      </c>
      <c r="O683">
        <v>1.1571499000000001</v>
      </c>
      <c r="P683">
        <v>120.25</v>
      </c>
      <c r="Q683">
        <v>30.670450110000001</v>
      </c>
      <c r="R683">
        <v>0.91037498500000003</v>
      </c>
      <c r="S683" t="s">
        <v>114</v>
      </c>
      <c r="T683" t="s">
        <v>1014</v>
      </c>
      <c r="U683">
        <v>-35.50925926</v>
      </c>
    </row>
    <row r="684" spans="1:21" x14ac:dyDescent="0.25">
      <c r="A684" t="s">
        <v>87</v>
      </c>
      <c r="B684" t="s">
        <v>1003</v>
      </c>
      <c r="C684">
        <v>6</v>
      </c>
      <c r="D684" t="s">
        <v>29</v>
      </c>
      <c r="E684" t="s">
        <v>95</v>
      </c>
      <c r="F684" t="s">
        <v>102</v>
      </c>
      <c r="G684" t="s">
        <v>110</v>
      </c>
      <c r="H684" t="s">
        <v>242</v>
      </c>
      <c r="J684">
        <v>0</v>
      </c>
      <c r="K684">
        <v>2</v>
      </c>
      <c r="L684">
        <v>84.740740740000007</v>
      </c>
      <c r="M684">
        <v>29.167014049999999</v>
      </c>
      <c r="N684">
        <v>1.1169849999999999</v>
      </c>
      <c r="O684">
        <v>1.1571499000000001</v>
      </c>
      <c r="P684">
        <v>139.375</v>
      </c>
      <c r="Q684">
        <v>23.713465920000001</v>
      </c>
      <c r="R684" t="s">
        <v>114</v>
      </c>
      <c r="S684" t="s">
        <v>114</v>
      </c>
      <c r="T684" t="s">
        <v>1014</v>
      </c>
      <c r="U684">
        <v>-54.63425926</v>
      </c>
    </row>
    <row r="685" spans="1:21" x14ac:dyDescent="0.25">
      <c r="A685" t="s">
        <v>87</v>
      </c>
      <c r="B685" t="s">
        <v>1003</v>
      </c>
      <c r="C685">
        <v>6</v>
      </c>
      <c r="D685" t="s">
        <v>29</v>
      </c>
      <c r="E685" t="s">
        <v>95</v>
      </c>
      <c r="F685" t="s">
        <v>102</v>
      </c>
      <c r="G685" t="s">
        <v>110</v>
      </c>
      <c r="H685" t="s">
        <v>242</v>
      </c>
      <c r="J685">
        <v>0</v>
      </c>
      <c r="K685">
        <v>2</v>
      </c>
      <c r="L685">
        <v>84.740740740000007</v>
      </c>
      <c r="M685">
        <v>29.167014049999999</v>
      </c>
      <c r="N685">
        <v>1.1169849999999999</v>
      </c>
      <c r="O685">
        <v>1.1571499000000001</v>
      </c>
      <c r="P685">
        <v>139.375</v>
      </c>
      <c r="Q685">
        <v>23.713465920000001</v>
      </c>
      <c r="R685" t="s">
        <v>114</v>
      </c>
      <c r="S685" t="s">
        <v>114</v>
      </c>
      <c r="T685" t="s">
        <v>1014</v>
      </c>
      <c r="U685">
        <v>-54.63425926</v>
      </c>
    </row>
    <row r="686" spans="1:21" x14ac:dyDescent="0.25">
      <c r="A686" t="s">
        <v>87</v>
      </c>
      <c r="B686" t="s">
        <v>1004</v>
      </c>
      <c r="C686">
        <v>6</v>
      </c>
      <c r="D686" t="s">
        <v>29</v>
      </c>
      <c r="E686" t="s">
        <v>95</v>
      </c>
      <c r="F686" t="s">
        <v>110</v>
      </c>
      <c r="G686" t="s">
        <v>110</v>
      </c>
      <c r="H686" t="s">
        <v>110</v>
      </c>
      <c r="J686">
        <v>0</v>
      </c>
      <c r="K686">
        <v>1</v>
      </c>
      <c r="L686">
        <v>73.260869569999997</v>
      </c>
      <c r="M686">
        <v>34.453830549999999</v>
      </c>
      <c r="N686">
        <v>1.058333333</v>
      </c>
      <c r="O686">
        <v>0.90897070000000002</v>
      </c>
      <c r="P686">
        <v>73.260869569999997</v>
      </c>
      <c r="Q686">
        <v>34.453830549999999</v>
      </c>
      <c r="R686">
        <v>1.058333333</v>
      </c>
      <c r="S686">
        <v>0.90897070000000002</v>
      </c>
      <c r="T686" t="s">
        <v>1014</v>
      </c>
      <c r="U686">
        <v>0</v>
      </c>
    </row>
    <row r="687" spans="1:21" x14ac:dyDescent="0.25">
      <c r="A687" t="s">
        <v>88</v>
      </c>
      <c r="B687" t="s">
        <v>1005</v>
      </c>
      <c r="C687">
        <v>6</v>
      </c>
      <c r="D687" t="s">
        <v>31</v>
      </c>
      <c r="E687" t="s">
        <v>95</v>
      </c>
      <c r="F687" t="s">
        <v>110</v>
      </c>
      <c r="G687" t="s">
        <v>113</v>
      </c>
      <c r="H687" t="s">
        <v>113</v>
      </c>
      <c r="J687">
        <v>0</v>
      </c>
      <c r="K687">
        <v>3</v>
      </c>
      <c r="L687">
        <v>73.260869569999997</v>
      </c>
      <c r="M687">
        <v>34.453830549999999</v>
      </c>
      <c r="N687">
        <v>1.058333333</v>
      </c>
      <c r="O687">
        <v>0.90897070000000002</v>
      </c>
      <c r="P687">
        <v>83.757575759999995</v>
      </c>
      <c r="Q687">
        <v>22.60997987</v>
      </c>
      <c r="R687">
        <v>0.72884000000000004</v>
      </c>
      <c r="S687">
        <v>0.21301339999999999</v>
      </c>
      <c r="T687" t="s">
        <v>1014</v>
      </c>
      <c r="U687">
        <v>-10.496706189999999</v>
      </c>
    </row>
    <row r="688" spans="1:21" x14ac:dyDescent="0.25">
      <c r="A688" t="s">
        <v>88</v>
      </c>
      <c r="B688" t="s">
        <v>1005</v>
      </c>
      <c r="C688">
        <v>6</v>
      </c>
      <c r="D688" t="s">
        <v>31</v>
      </c>
      <c r="E688" t="s">
        <v>95</v>
      </c>
      <c r="F688" t="s">
        <v>110</v>
      </c>
      <c r="G688" t="s">
        <v>113</v>
      </c>
      <c r="H688" t="s">
        <v>113</v>
      </c>
      <c r="J688">
        <v>0</v>
      </c>
      <c r="K688">
        <v>3</v>
      </c>
      <c r="L688">
        <v>73.260869569999997</v>
      </c>
      <c r="M688">
        <v>34.453830549999999</v>
      </c>
      <c r="N688">
        <v>1.058333333</v>
      </c>
      <c r="O688">
        <v>0.90897070000000002</v>
      </c>
      <c r="P688">
        <v>83.757575759999995</v>
      </c>
      <c r="Q688">
        <v>22.60997987</v>
      </c>
      <c r="R688">
        <v>0.72884000000000004</v>
      </c>
      <c r="S688">
        <v>0.21301339999999999</v>
      </c>
      <c r="T688" t="s">
        <v>1014</v>
      </c>
      <c r="U688">
        <v>-10.496706189999999</v>
      </c>
    </row>
    <row r="689" spans="1:21" x14ac:dyDescent="0.25">
      <c r="A689" t="s">
        <v>88</v>
      </c>
      <c r="B689" t="s">
        <v>1005</v>
      </c>
      <c r="C689">
        <v>6</v>
      </c>
      <c r="D689" t="s">
        <v>31</v>
      </c>
      <c r="E689" t="s">
        <v>95</v>
      </c>
      <c r="F689" t="s">
        <v>110</v>
      </c>
      <c r="G689" t="s">
        <v>113</v>
      </c>
      <c r="H689" t="s">
        <v>113</v>
      </c>
      <c r="J689">
        <v>0</v>
      </c>
      <c r="K689">
        <v>3</v>
      </c>
      <c r="L689">
        <v>73.260869569999997</v>
      </c>
      <c r="M689">
        <v>34.453830549999999</v>
      </c>
      <c r="N689">
        <v>1.058333333</v>
      </c>
      <c r="O689">
        <v>0.90897070000000002</v>
      </c>
      <c r="P689">
        <v>83.757575759999995</v>
      </c>
      <c r="Q689">
        <v>22.60997987</v>
      </c>
      <c r="R689">
        <v>0.72884000000000004</v>
      </c>
      <c r="S689">
        <v>0.21301339999999999</v>
      </c>
      <c r="T689" t="s">
        <v>1014</v>
      </c>
      <c r="U689">
        <v>-10.496706189999999</v>
      </c>
    </row>
    <row r="690" spans="1:21" x14ac:dyDescent="0.25">
      <c r="A690" t="s">
        <v>88</v>
      </c>
      <c r="B690" t="s">
        <v>1005</v>
      </c>
      <c r="C690">
        <v>6</v>
      </c>
      <c r="D690" t="s">
        <v>31</v>
      </c>
      <c r="E690" t="s">
        <v>95</v>
      </c>
      <c r="F690" t="s">
        <v>110</v>
      </c>
      <c r="G690" t="s">
        <v>113</v>
      </c>
      <c r="H690" t="s">
        <v>103</v>
      </c>
      <c r="J690">
        <v>0</v>
      </c>
      <c r="K690">
        <v>1</v>
      </c>
      <c r="L690">
        <v>73.260869569999997</v>
      </c>
      <c r="M690">
        <v>34.453830549999999</v>
      </c>
      <c r="N690">
        <v>1.058333333</v>
      </c>
      <c r="O690">
        <v>0.90897070000000002</v>
      </c>
      <c r="P690">
        <v>98.291666669999998</v>
      </c>
      <c r="Q690">
        <v>30.315130790000001</v>
      </c>
      <c r="R690">
        <v>5.0803484000000003E-2</v>
      </c>
      <c r="S690">
        <v>0.42866070000000001</v>
      </c>
      <c r="T690" t="s">
        <v>1014</v>
      </c>
      <c r="U690">
        <v>-25.030797100000001</v>
      </c>
    </row>
    <row r="691" spans="1:21" x14ac:dyDescent="0.25">
      <c r="A691" t="s">
        <v>88</v>
      </c>
      <c r="B691" t="s">
        <v>1006</v>
      </c>
      <c r="C691">
        <v>6</v>
      </c>
      <c r="D691" t="s">
        <v>31</v>
      </c>
      <c r="E691" t="s">
        <v>95</v>
      </c>
      <c r="F691" t="s">
        <v>112</v>
      </c>
      <c r="G691" t="s">
        <v>113</v>
      </c>
      <c r="H691" t="s">
        <v>113</v>
      </c>
      <c r="J691">
        <v>0</v>
      </c>
      <c r="K691">
        <v>2</v>
      </c>
      <c r="L691">
        <v>65.09375</v>
      </c>
      <c r="M691">
        <v>37.895352600000002</v>
      </c>
      <c r="N691">
        <v>2.2882677779999998</v>
      </c>
      <c r="O691">
        <v>2.2111774</v>
      </c>
      <c r="P691">
        <v>83.757575759999995</v>
      </c>
      <c r="Q691">
        <v>22.60997987</v>
      </c>
      <c r="R691">
        <v>0.72884000000000004</v>
      </c>
      <c r="S691">
        <v>0.21301339999999999</v>
      </c>
      <c r="T691" t="s">
        <v>1014</v>
      </c>
      <c r="U691">
        <v>-18.663825760000002</v>
      </c>
    </row>
    <row r="692" spans="1:21" x14ac:dyDescent="0.25">
      <c r="A692" t="s">
        <v>88</v>
      </c>
      <c r="B692" t="s">
        <v>1006</v>
      </c>
      <c r="C692">
        <v>6</v>
      </c>
      <c r="D692" t="s">
        <v>31</v>
      </c>
      <c r="E692" t="s">
        <v>95</v>
      </c>
      <c r="F692" t="s">
        <v>112</v>
      </c>
      <c r="G692" t="s">
        <v>113</v>
      </c>
      <c r="H692" t="s">
        <v>113</v>
      </c>
      <c r="J692">
        <v>0</v>
      </c>
      <c r="K692">
        <v>2</v>
      </c>
      <c r="L692">
        <v>65.09375</v>
      </c>
      <c r="M692">
        <v>37.895352600000002</v>
      </c>
      <c r="N692">
        <v>2.2882677779999998</v>
      </c>
      <c r="O692">
        <v>2.2111774</v>
      </c>
      <c r="P692">
        <v>83.757575759999995</v>
      </c>
      <c r="Q692">
        <v>22.60997987</v>
      </c>
      <c r="R692">
        <v>0.72884000000000004</v>
      </c>
      <c r="S692">
        <v>0.21301339999999999</v>
      </c>
      <c r="T692" t="s">
        <v>1014</v>
      </c>
      <c r="U692">
        <v>-18.663825760000002</v>
      </c>
    </row>
    <row r="693" spans="1:21" x14ac:dyDescent="0.25">
      <c r="A693" t="s">
        <v>89</v>
      </c>
      <c r="B693" t="s">
        <v>1007</v>
      </c>
      <c r="C693">
        <v>6</v>
      </c>
      <c r="D693" t="s">
        <v>33</v>
      </c>
      <c r="E693" t="s">
        <v>95</v>
      </c>
      <c r="F693" t="s">
        <v>104</v>
      </c>
      <c r="G693" t="s">
        <v>104</v>
      </c>
      <c r="H693" t="s">
        <v>104</v>
      </c>
      <c r="J693">
        <v>1</v>
      </c>
      <c r="K693">
        <v>1</v>
      </c>
      <c r="L693">
        <v>113.9375</v>
      </c>
      <c r="M693">
        <v>33.375507550000002</v>
      </c>
      <c r="N693">
        <v>2.4262999999999999</v>
      </c>
      <c r="O693">
        <v>0.40692159999999999</v>
      </c>
      <c r="P693">
        <v>113.9375</v>
      </c>
      <c r="Q693">
        <v>33.375507550000002</v>
      </c>
      <c r="R693">
        <v>2.4262999999999999</v>
      </c>
      <c r="S693">
        <v>0.40692159999999999</v>
      </c>
      <c r="T693" t="s">
        <v>1014</v>
      </c>
      <c r="U693">
        <v>0</v>
      </c>
    </row>
    <row r="694" spans="1:21" x14ac:dyDescent="0.25">
      <c r="A694" t="s">
        <v>89</v>
      </c>
      <c r="B694" t="s">
        <v>1007</v>
      </c>
      <c r="C694">
        <v>6</v>
      </c>
      <c r="D694" t="s">
        <v>33</v>
      </c>
      <c r="E694" t="s">
        <v>95</v>
      </c>
      <c r="F694" t="s">
        <v>104</v>
      </c>
      <c r="G694" t="s">
        <v>104</v>
      </c>
      <c r="H694" t="s">
        <v>103</v>
      </c>
      <c r="J694">
        <v>1</v>
      </c>
      <c r="K694">
        <v>1</v>
      </c>
      <c r="L694">
        <v>113.9375</v>
      </c>
      <c r="M694">
        <v>33.375507550000002</v>
      </c>
      <c r="N694">
        <v>2.4262999999999999</v>
      </c>
      <c r="O694">
        <v>0.40692159999999999</v>
      </c>
      <c r="P694">
        <v>98.291666669999998</v>
      </c>
      <c r="Q694">
        <v>30.315130790000001</v>
      </c>
      <c r="R694">
        <v>5.0803484000000003E-2</v>
      </c>
      <c r="S694">
        <v>0.42866070000000001</v>
      </c>
      <c r="T694" t="s">
        <v>1014</v>
      </c>
      <c r="U694">
        <v>15.64583333</v>
      </c>
    </row>
    <row r="695" spans="1:21" x14ac:dyDescent="0.25">
      <c r="A695" t="s">
        <v>89</v>
      </c>
      <c r="B695" t="s">
        <v>1007</v>
      </c>
      <c r="C695">
        <v>6</v>
      </c>
      <c r="D695" t="s">
        <v>33</v>
      </c>
      <c r="E695" t="s">
        <v>95</v>
      </c>
      <c r="F695" t="s">
        <v>104</v>
      </c>
      <c r="G695" t="s">
        <v>104</v>
      </c>
      <c r="H695" t="s">
        <v>246</v>
      </c>
      <c r="J695">
        <v>1</v>
      </c>
      <c r="K695">
        <v>1</v>
      </c>
      <c r="L695">
        <v>113.9375</v>
      </c>
      <c r="M695">
        <v>33.375507550000002</v>
      </c>
      <c r="N695">
        <v>2.4262999999999999</v>
      </c>
      <c r="O695">
        <v>0.40692159999999999</v>
      </c>
      <c r="P695">
        <v>120.25</v>
      </c>
      <c r="Q695">
        <v>30.670450110000001</v>
      </c>
      <c r="R695">
        <v>0.91037498500000003</v>
      </c>
      <c r="S695" t="s">
        <v>114</v>
      </c>
      <c r="T695" t="s">
        <v>1014</v>
      </c>
      <c r="U695">
        <v>-6.3125</v>
      </c>
    </row>
    <row r="696" spans="1:21" x14ac:dyDescent="0.25">
      <c r="A696" t="s">
        <v>89</v>
      </c>
      <c r="B696" t="s">
        <v>1008</v>
      </c>
      <c r="C696">
        <v>6</v>
      </c>
      <c r="D696" t="s">
        <v>33</v>
      </c>
      <c r="E696" t="s">
        <v>95</v>
      </c>
      <c r="F696" t="s">
        <v>112</v>
      </c>
      <c r="G696" t="s">
        <v>113</v>
      </c>
      <c r="H696" t="s">
        <v>113</v>
      </c>
      <c r="I696" t="s">
        <v>255</v>
      </c>
      <c r="J696">
        <v>0</v>
      </c>
      <c r="K696">
        <v>4</v>
      </c>
      <c r="L696">
        <v>65.09375</v>
      </c>
      <c r="M696">
        <v>37.895352600000002</v>
      </c>
      <c r="N696">
        <v>2.2882677779999998</v>
      </c>
      <c r="O696">
        <v>2.2111774</v>
      </c>
      <c r="P696">
        <v>83.757575759999995</v>
      </c>
      <c r="Q696">
        <v>22.60997987</v>
      </c>
      <c r="R696">
        <v>0.72884000000000004</v>
      </c>
      <c r="S696">
        <v>0.21301339999999999</v>
      </c>
      <c r="T696" t="s">
        <v>1014</v>
      </c>
      <c r="U696">
        <v>-18.663825760000002</v>
      </c>
    </row>
    <row r="697" spans="1:21" x14ac:dyDescent="0.25">
      <c r="A697" t="s">
        <v>89</v>
      </c>
      <c r="B697" t="s">
        <v>1008</v>
      </c>
      <c r="C697">
        <v>6</v>
      </c>
      <c r="D697" t="s">
        <v>33</v>
      </c>
      <c r="E697" t="s">
        <v>95</v>
      </c>
      <c r="F697" t="s">
        <v>112</v>
      </c>
      <c r="G697" t="s">
        <v>113</v>
      </c>
      <c r="H697" t="s">
        <v>113</v>
      </c>
      <c r="I697" t="s">
        <v>255</v>
      </c>
      <c r="J697">
        <v>0</v>
      </c>
      <c r="K697">
        <v>4</v>
      </c>
      <c r="L697">
        <v>65.09375</v>
      </c>
      <c r="M697">
        <v>37.895352600000002</v>
      </c>
      <c r="N697">
        <v>2.2882677779999998</v>
      </c>
      <c r="O697">
        <v>2.2111774</v>
      </c>
      <c r="P697">
        <v>83.757575759999995</v>
      </c>
      <c r="Q697">
        <v>22.60997987</v>
      </c>
      <c r="R697">
        <v>0.72884000000000004</v>
      </c>
      <c r="S697">
        <v>0.21301339999999999</v>
      </c>
      <c r="T697" t="s">
        <v>1014</v>
      </c>
      <c r="U697">
        <v>-18.663825760000002</v>
      </c>
    </row>
    <row r="698" spans="1:21" x14ac:dyDescent="0.25">
      <c r="A698" t="s">
        <v>89</v>
      </c>
      <c r="B698" t="s">
        <v>1008</v>
      </c>
      <c r="C698">
        <v>6</v>
      </c>
      <c r="D698" t="s">
        <v>33</v>
      </c>
      <c r="E698" t="s">
        <v>95</v>
      </c>
      <c r="F698" t="s">
        <v>112</v>
      </c>
      <c r="G698" t="s">
        <v>113</v>
      </c>
      <c r="H698" t="s">
        <v>113</v>
      </c>
      <c r="I698" t="s">
        <v>255</v>
      </c>
      <c r="J698">
        <v>0</v>
      </c>
      <c r="K698">
        <v>4</v>
      </c>
      <c r="L698">
        <v>65.09375</v>
      </c>
      <c r="M698">
        <v>37.895352600000002</v>
      </c>
      <c r="N698">
        <v>2.2882677779999998</v>
      </c>
      <c r="O698">
        <v>2.2111774</v>
      </c>
      <c r="P698">
        <v>83.757575759999995</v>
      </c>
      <c r="Q698">
        <v>22.60997987</v>
      </c>
      <c r="R698">
        <v>0.72884000000000004</v>
      </c>
      <c r="S698">
        <v>0.21301339999999999</v>
      </c>
      <c r="T698" t="s">
        <v>1014</v>
      </c>
      <c r="U698">
        <v>-18.663825760000002</v>
      </c>
    </row>
    <row r="699" spans="1:21" x14ac:dyDescent="0.25">
      <c r="A699" t="s">
        <v>89</v>
      </c>
      <c r="B699" t="s">
        <v>1008</v>
      </c>
      <c r="C699">
        <v>6</v>
      </c>
      <c r="D699" t="s">
        <v>33</v>
      </c>
      <c r="E699" t="s">
        <v>95</v>
      </c>
      <c r="F699" t="s">
        <v>112</v>
      </c>
      <c r="G699" t="s">
        <v>113</v>
      </c>
      <c r="H699" t="s">
        <v>113</v>
      </c>
      <c r="I699" t="s">
        <v>255</v>
      </c>
      <c r="J699">
        <v>0</v>
      </c>
      <c r="K699">
        <v>4</v>
      </c>
      <c r="L699">
        <v>65.09375</v>
      </c>
      <c r="M699">
        <v>37.895352600000002</v>
      </c>
      <c r="N699">
        <v>2.2882677779999998</v>
      </c>
      <c r="O699">
        <v>2.2111774</v>
      </c>
      <c r="P699">
        <v>83.757575759999995</v>
      </c>
      <c r="Q699">
        <v>22.60997987</v>
      </c>
      <c r="R699">
        <v>0.72884000000000004</v>
      </c>
      <c r="S699">
        <v>0.21301339999999999</v>
      </c>
      <c r="T699" t="s">
        <v>1014</v>
      </c>
      <c r="U699">
        <v>-18.663825760000002</v>
      </c>
    </row>
    <row r="700" spans="1:21" x14ac:dyDescent="0.25">
      <c r="A700" t="s">
        <v>90</v>
      </c>
      <c r="B700" t="s">
        <v>1009</v>
      </c>
      <c r="C700">
        <v>6</v>
      </c>
      <c r="D700" t="s">
        <v>35</v>
      </c>
      <c r="E700" t="s">
        <v>94</v>
      </c>
      <c r="F700" t="s">
        <v>111</v>
      </c>
      <c r="G700" t="s">
        <v>121</v>
      </c>
      <c r="H700" t="s">
        <v>253</v>
      </c>
      <c r="J700">
        <v>0</v>
      </c>
      <c r="K700">
        <v>3</v>
      </c>
      <c r="L700">
        <v>94.97142857</v>
      </c>
      <c r="M700">
        <v>24.31591813</v>
      </c>
      <c r="N700">
        <v>0.122951111</v>
      </c>
      <c r="O700">
        <v>0.39050790000000002</v>
      </c>
      <c r="P700">
        <v>172.08823530000001</v>
      </c>
      <c r="Q700">
        <v>29.581605960000001</v>
      </c>
      <c r="R700">
        <v>0.24280444400000001</v>
      </c>
      <c r="S700" t="s">
        <v>114</v>
      </c>
      <c r="T700" t="s">
        <v>1014</v>
      </c>
      <c r="U700">
        <v>-77.116806729999993</v>
      </c>
    </row>
    <row r="701" spans="1:21" x14ac:dyDescent="0.25">
      <c r="A701" t="s">
        <v>90</v>
      </c>
      <c r="B701" t="s">
        <v>1009</v>
      </c>
      <c r="C701">
        <v>6</v>
      </c>
      <c r="D701" t="s">
        <v>35</v>
      </c>
      <c r="E701" t="s">
        <v>94</v>
      </c>
      <c r="F701" t="s">
        <v>111</v>
      </c>
      <c r="G701" t="s">
        <v>121</v>
      </c>
      <c r="H701" t="s">
        <v>253</v>
      </c>
      <c r="J701">
        <v>0</v>
      </c>
      <c r="K701">
        <v>3</v>
      </c>
      <c r="L701">
        <v>94.97142857</v>
      </c>
      <c r="M701">
        <v>24.31591813</v>
      </c>
      <c r="N701">
        <v>0.122951111</v>
      </c>
      <c r="O701">
        <v>0.39050790000000002</v>
      </c>
      <c r="P701">
        <v>172.08823530000001</v>
      </c>
      <c r="Q701">
        <v>29.581605960000001</v>
      </c>
      <c r="R701">
        <v>0.24280444400000001</v>
      </c>
      <c r="S701" t="s">
        <v>114</v>
      </c>
      <c r="T701" t="s">
        <v>1014</v>
      </c>
      <c r="U701">
        <v>-77.116806729999993</v>
      </c>
    </row>
    <row r="702" spans="1:21" x14ac:dyDescent="0.25">
      <c r="A702" t="s">
        <v>90</v>
      </c>
      <c r="B702" t="s">
        <v>1009</v>
      </c>
      <c r="C702">
        <v>6</v>
      </c>
      <c r="D702" t="s">
        <v>35</v>
      </c>
      <c r="E702" t="s">
        <v>94</v>
      </c>
      <c r="F702" t="s">
        <v>111</v>
      </c>
      <c r="G702" t="s">
        <v>121</v>
      </c>
      <c r="H702" t="s">
        <v>253</v>
      </c>
      <c r="J702">
        <v>0</v>
      </c>
      <c r="K702">
        <v>3</v>
      </c>
      <c r="L702">
        <v>94.97142857</v>
      </c>
      <c r="M702">
        <v>24.31591813</v>
      </c>
      <c r="N702">
        <v>0.122951111</v>
      </c>
      <c r="O702">
        <v>0.39050790000000002</v>
      </c>
      <c r="P702">
        <v>172.08823530000001</v>
      </c>
      <c r="Q702">
        <v>29.581605960000001</v>
      </c>
      <c r="R702">
        <v>0.24280444400000001</v>
      </c>
      <c r="S702" t="s">
        <v>114</v>
      </c>
      <c r="T702" t="s">
        <v>1014</v>
      </c>
      <c r="U702">
        <v>-77.116806729999993</v>
      </c>
    </row>
    <row r="703" spans="1:21" x14ac:dyDescent="0.25">
      <c r="A703" t="s">
        <v>90</v>
      </c>
      <c r="B703" t="s">
        <v>1009</v>
      </c>
      <c r="C703">
        <v>6</v>
      </c>
      <c r="D703" t="s">
        <v>35</v>
      </c>
      <c r="E703" t="s">
        <v>94</v>
      </c>
      <c r="F703" t="s">
        <v>111</v>
      </c>
      <c r="G703" t="s">
        <v>121</v>
      </c>
      <c r="H703" t="s">
        <v>162</v>
      </c>
      <c r="J703">
        <v>0</v>
      </c>
      <c r="K703">
        <v>1</v>
      </c>
      <c r="L703">
        <v>94.97142857</v>
      </c>
      <c r="M703">
        <v>24.31591813</v>
      </c>
      <c r="N703">
        <v>0.122951111</v>
      </c>
      <c r="O703">
        <v>0.39050790000000002</v>
      </c>
      <c r="P703">
        <v>82.53846154</v>
      </c>
      <c r="Q703">
        <v>35.660530039999998</v>
      </c>
      <c r="R703">
        <v>3.3754499999999998</v>
      </c>
      <c r="S703" t="s">
        <v>114</v>
      </c>
      <c r="T703" t="s">
        <v>1014</v>
      </c>
      <c r="U703">
        <v>12.43296703</v>
      </c>
    </row>
    <row r="704" spans="1:21" x14ac:dyDescent="0.25">
      <c r="A704" t="s">
        <v>90</v>
      </c>
      <c r="B704" t="s">
        <v>1010</v>
      </c>
      <c r="C704">
        <v>6</v>
      </c>
      <c r="D704" t="s">
        <v>35</v>
      </c>
      <c r="E704" t="s">
        <v>94</v>
      </c>
      <c r="F704" t="s">
        <v>104</v>
      </c>
      <c r="G704" t="s">
        <v>111</v>
      </c>
      <c r="H704" t="s">
        <v>111</v>
      </c>
      <c r="J704">
        <v>1</v>
      </c>
      <c r="K704">
        <v>1</v>
      </c>
      <c r="L704">
        <v>113.9375</v>
      </c>
      <c r="M704">
        <v>33.375507550000002</v>
      </c>
      <c r="N704">
        <v>2.4262999999999999</v>
      </c>
      <c r="O704">
        <v>0.40692159999999999</v>
      </c>
      <c r="P704">
        <v>94.97142857</v>
      </c>
      <c r="Q704">
        <v>24.31591813</v>
      </c>
      <c r="R704">
        <v>0.122951111</v>
      </c>
      <c r="S704">
        <v>0.39050790000000002</v>
      </c>
      <c r="T704" t="s">
        <v>1014</v>
      </c>
      <c r="U704">
        <v>18.96607143</v>
      </c>
    </row>
    <row r="705" spans="1:21" x14ac:dyDescent="0.25">
      <c r="A705" t="s">
        <v>90</v>
      </c>
      <c r="B705" t="s">
        <v>1010</v>
      </c>
      <c r="C705">
        <v>6</v>
      </c>
      <c r="D705" t="s">
        <v>35</v>
      </c>
      <c r="E705" t="s">
        <v>94</v>
      </c>
      <c r="F705" t="s">
        <v>104</v>
      </c>
      <c r="G705" t="s">
        <v>111</v>
      </c>
      <c r="H705" t="s">
        <v>253</v>
      </c>
      <c r="J705">
        <v>1</v>
      </c>
      <c r="K705">
        <v>2</v>
      </c>
      <c r="L705">
        <v>113.9375</v>
      </c>
      <c r="M705">
        <v>33.375507550000002</v>
      </c>
      <c r="N705">
        <v>2.4262999999999999</v>
      </c>
      <c r="O705">
        <v>0.40692159999999999</v>
      </c>
      <c r="P705">
        <v>172.08823530000001</v>
      </c>
      <c r="Q705">
        <v>29.581605960000001</v>
      </c>
      <c r="R705">
        <v>0.24280444400000001</v>
      </c>
      <c r="S705" t="s">
        <v>114</v>
      </c>
      <c r="T705" t="s">
        <v>1014</v>
      </c>
      <c r="U705">
        <v>-58.150735300000001</v>
      </c>
    </row>
    <row r="706" spans="1:21" x14ac:dyDescent="0.25">
      <c r="A706" t="s">
        <v>90</v>
      </c>
      <c r="B706" t="s">
        <v>1010</v>
      </c>
      <c r="C706">
        <v>6</v>
      </c>
      <c r="D706" t="s">
        <v>35</v>
      </c>
      <c r="E706" t="s">
        <v>94</v>
      </c>
      <c r="F706" t="s">
        <v>104</v>
      </c>
      <c r="G706" t="s">
        <v>111</v>
      </c>
      <c r="H706" t="s">
        <v>253</v>
      </c>
      <c r="J706">
        <v>1</v>
      </c>
      <c r="K706">
        <v>2</v>
      </c>
      <c r="L706">
        <v>113.9375</v>
      </c>
      <c r="M706">
        <v>33.375507550000002</v>
      </c>
      <c r="N706">
        <v>2.4262999999999999</v>
      </c>
      <c r="O706">
        <v>0.40692159999999999</v>
      </c>
      <c r="P706">
        <v>172.08823530000001</v>
      </c>
      <c r="Q706">
        <v>29.581605960000001</v>
      </c>
      <c r="R706">
        <v>0.24280444400000001</v>
      </c>
      <c r="S706" t="s">
        <v>114</v>
      </c>
      <c r="T706" t="s">
        <v>1014</v>
      </c>
      <c r="U706">
        <v>-58.150735300000001</v>
      </c>
    </row>
    <row r="707" spans="1:21" x14ac:dyDescent="0.25">
      <c r="A707" t="s">
        <v>91</v>
      </c>
      <c r="B707" t="s">
        <v>1011</v>
      </c>
      <c r="C707">
        <v>6</v>
      </c>
      <c r="D707" t="s">
        <v>37</v>
      </c>
      <c r="E707" t="s">
        <v>94</v>
      </c>
      <c r="F707" t="s">
        <v>112</v>
      </c>
      <c r="G707" t="s">
        <v>112</v>
      </c>
      <c r="H707" t="s">
        <v>112</v>
      </c>
      <c r="J707">
        <v>0</v>
      </c>
      <c r="K707">
        <v>1</v>
      </c>
      <c r="L707">
        <v>65.09375</v>
      </c>
      <c r="M707">
        <v>37.895352600000002</v>
      </c>
      <c r="N707">
        <v>2.2882677779999998</v>
      </c>
      <c r="O707">
        <v>2.2111774</v>
      </c>
      <c r="P707">
        <v>65.09375</v>
      </c>
      <c r="Q707">
        <v>37.895352600000002</v>
      </c>
      <c r="R707">
        <v>2.2882677779999998</v>
      </c>
      <c r="S707">
        <v>2.2111774</v>
      </c>
      <c r="T707" t="s">
        <v>1014</v>
      </c>
      <c r="U707">
        <v>0</v>
      </c>
    </row>
    <row r="708" spans="1:21" x14ac:dyDescent="0.25">
      <c r="A708" t="s">
        <v>92</v>
      </c>
      <c r="B708" t="s">
        <v>1012</v>
      </c>
      <c r="C708">
        <v>6</v>
      </c>
      <c r="D708" t="s">
        <v>64</v>
      </c>
      <c r="E708" t="s">
        <v>94</v>
      </c>
      <c r="F708" t="s">
        <v>112</v>
      </c>
      <c r="G708" t="s">
        <v>102</v>
      </c>
      <c r="H708" t="s">
        <v>102</v>
      </c>
      <c r="J708">
        <v>0</v>
      </c>
      <c r="K708">
        <v>2</v>
      </c>
      <c r="L708">
        <v>65.09375</v>
      </c>
      <c r="M708">
        <v>37.895352600000002</v>
      </c>
      <c r="N708">
        <v>2.2882677779999998</v>
      </c>
      <c r="O708">
        <v>2.2111774</v>
      </c>
      <c r="P708">
        <v>84.740740740000007</v>
      </c>
      <c r="Q708">
        <v>29.167014049999999</v>
      </c>
      <c r="R708">
        <v>1.1169849999999999</v>
      </c>
      <c r="S708">
        <v>1.1571499000000001</v>
      </c>
      <c r="T708" t="s">
        <v>1014</v>
      </c>
      <c r="U708">
        <v>-19.64699074</v>
      </c>
    </row>
    <row r="709" spans="1:21" x14ac:dyDescent="0.25">
      <c r="A709" t="s">
        <v>92</v>
      </c>
      <c r="B709" t="s">
        <v>1012</v>
      </c>
      <c r="C709">
        <v>6</v>
      </c>
      <c r="D709" t="s">
        <v>64</v>
      </c>
      <c r="E709" t="s">
        <v>94</v>
      </c>
      <c r="F709" t="s">
        <v>112</v>
      </c>
      <c r="G709" t="s">
        <v>102</v>
      </c>
      <c r="H709" t="s">
        <v>102</v>
      </c>
      <c r="J709">
        <v>0</v>
      </c>
      <c r="K709">
        <v>2</v>
      </c>
      <c r="L709">
        <v>65.09375</v>
      </c>
      <c r="M709">
        <v>37.895352600000002</v>
      </c>
      <c r="N709">
        <v>2.2882677779999998</v>
      </c>
      <c r="O709">
        <v>2.2111774</v>
      </c>
      <c r="P709">
        <v>84.740740740000007</v>
      </c>
      <c r="Q709">
        <v>29.167014049999999</v>
      </c>
      <c r="R709">
        <v>1.1169849999999999</v>
      </c>
      <c r="S709">
        <v>1.1571499000000001</v>
      </c>
      <c r="T709" t="s">
        <v>1014</v>
      </c>
      <c r="U709">
        <v>-19.64699074</v>
      </c>
    </row>
    <row r="710" spans="1:21" x14ac:dyDescent="0.25">
      <c r="A710" t="s">
        <v>92</v>
      </c>
      <c r="B710" t="s">
        <v>1012</v>
      </c>
      <c r="C710">
        <v>6</v>
      </c>
      <c r="D710" t="s">
        <v>64</v>
      </c>
      <c r="E710" t="s">
        <v>94</v>
      </c>
      <c r="F710" t="s">
        <v>112</v>
      </c>
      <c r="G710" t="s">
        <v>102</v>
      </c>
      <c r="H710" t="s">
        <v>241</v>
      </c>
      <c r="J710">
        <v>0</v>
      </c>
      <c r="K710">
        <v>1</v>
      </c>
      <c r="L710">
        <v>65.09375</v>
      </c>
      <c r="M710">
        <v>37.895352600000002</v>
      </c>
      <c r="N710">
        <v>2.2882677779999998</v>
      </c>
      <c r="O710">
        <v>2.2111774</v>
      </c>
      <c r="P710">
        <v>114</v>
      </c>
      <c r="Q710">
        <v>30.43077242</v>
      </c>
      <c r="R710">
        <v>0.53383111100000002</v>
      </c>
      <c r="S710">
        <v>0.28333332999999999</v>
      </c>
      <c r="T710" t="s">
        <v>1014</v>
      </c>
      <c r="U710">
        <v>-48.90625</v>
      </c>
    </row>
    <row r="711" spans="1:21" x14ac:dyDescent="0.25">
      <c r="A711" t="s">
        <v>93</v>
      </c>
      <c r="B711" t="s">
        <v>1013</v>
      </c>
      <c r="C711">
        <v>6</v>
      </c>
      <c r="D711" t="s">
        <v>66</v>
      </c>
      <c r="E711" t="s">
        <v>95</v>
      </c>
      <c r="F711" t="s">
        <v>104</v>
      </c>
      <c r="G711" t="s">
        <v>103</v>
      </c>
      <c r="H711" t="s">
        <v>104</v>
      </c>
      <c r="J711">
        <v>0</v>
      </c>
      <c r="K711">
        <v>1</v>
      </c>
      <c r="L711">
        <v>113.9375</v>
      </c>
      <c r="M711">
        <v>33.375507550000002</v>
      </c>
      <c r="N711">
        <v>2.4262999999999999</v>
      </c>
      <c r="O711">
        <v>0.40692159999999999</v>
      </c>
      <c r="P711">
        <v>113.9375</v>
      </c>
      <c r="Q711">
        <v>33.375507550000002</v>
      </c>
      <c r="R711">
        <v>2.4262999999999999</v>
      </c>
      <c r="S711">
        <v>0.40692159999999999</v>
      </c>
      <c r="T711" t="s">
        <v>1014</v>
      </c>
      <c r="U711">
        <v>0</v>
      </c>
    </row>
    <row r="712" spans="1:21" x14ac:dyDescent="0.25">
      <c r="A712" t="s">
        <v>93</v>
      </c>
      <c r="B712" t="s">
        <v>1013</v>
      </c>
      <c r="C712">
        <v>6</v>
      </c>
      <c r="D712" t="s">
        <v>66</v>
      </c>
      <c r="E712" t="s">
        <v>95</v>
      </c>
      <c r="F712" t="s">
        <v>104</v>
      </c>
      <c r="G712" t="s">
        <v>103</v>
      </c>
      <c r="H712" t="s">
        <v>111</v>
      </c>
      <c r="J712">
        <v>0</v>
      </c>
      <c r="K712">
        <v>1</v>
      </c>
      <c r="L712">
        <v>113.9375</v>
      </c>
      <c r="M712">
        <v>33.375507550000002</v>
      </c>
      <c r="N712">
        <v>2.4262999999999999</v>
      </c>
      <c r="O712">
        <v>0.40692159999999999</v>
      </c>
      <c r="P712">
        <v>94.97142857</v>
      </c>
      <c r="Q712">
        <v>24.31591813</v>
      </c>
      <c r="R712">
        <v>0.122951111</v>
      </c>
      <c r="S712">
        <v>0.39050790000000002</v>
      </c>
      <c r="T712" t="s">
        <v>1014</v>
      </c>
      <c r="U712">
        <v>18.96607143</v>
      </c>
    </row>
    <row r="713" spans="1:21" x14ac:dyDescent="0.25">
      <c r="A713" t="s">
        <v>93</v>
      </c>
      <c r="B713" t="s">
        <v>1013</v>
      </c>
      <c r="C713">
        <v>6</v>
      </c>
      <c r="D713" t="s">
        <v>66</v>
      </c>
      <c r="E713" t="s">
        <v>95</v>
      </c>
      <c r="F713" t="s">
        <v>104</v>
      </c>
      <c r="G713" t="s">
        <v>103</v>
      </c>
      <c r="H713" t="s">
        <v>103</v>
      </c>
      <c r="J713">
        <v>0</v>
      </c>
      <c r="K713">
        <v>4</v>
      </c>
      <c r="L713">
        <v>113.9375</v>
      </c>
      <c r="M713">
        <v>33.375507550000002</v>
      </c>
      <c r="N713">
        <v>2.4262999999999999</v>
      </c>
      <c r="O713">
        <v>0.40692159999999999</v>
      </c>
      <c r="P713">
        <v>98.291666669999998</v>
      </c>
      <c r="Q713">
        <v>30.315130790000001</v>
      </c>
      <c r="R713">
        <v>5.0803484000000003E-2</v>
      </c>
      <c r="S713">
        <v>0.42866070000000001</v>
      </c>
      <c r="T713" t="s">
        <v>1014</v>
      </c>
      <c r="U713">
        <v>15.64583333</v>
      </c>
    </row>
    <row r="714" spans="1:21" x14ac:dyDescent="0.25">
      <c r="A714" t="s">
        <v>93</v>
      </c>
      <c r="B714" t="s">
        <v>1013</v>
      </c>
      <c r="C714">
        <v>6</v>
      </c>
      <c r="D714" t="s">
        <v>66</v>
      </c>
      <c r="E714" t="s">
        <v>95</v>
      </c>
      <c r="F714" t="s">
        <v>104</v>
      </c>
      <c r="G714" t="s">
        <v>103</v>
      </c>
      <c r="H714" t="s">
        <v>103</v>
      </c>
      <c r="J714">
        <v>0</v>
      </c>
      <c r="K714">
        <v>4</v>
      </c>
      <c r="L714">
        <v>113.9375</v>
      </c>
      <c r="M714">
        <v>33.375507550000002</v>
      </c>
      <c r="N714">
        <v>2.4262999999999999</v>
      </c>
      <c r="O714">
        <v>0.40692159999999999</v>
      </c>
      <c r="P714">
        <v>98.291666669999998</v>
      </c>
      <c r="Q714">
        <v>30.315130790000001</v>
      </c>
      <c r="R714">
        <v>5.0803484000000003E-2</v>
      </c>
      <c r="S714">
        <v>0.42866070000000001</v>
      </c>
      <c r="T714" t="s">
        <v>1014</v>
      </c>
      <c r="U714">
        <v>15.64583333</v>
      </c>
    </row>
    <row r="715" spans="1:21" x14ac:dyDescent="0.25">
      <c r="A715" t="s">
        <v>93</v>
      </c>
      <c r="B715" t="s">
        <v>1013</v>
      </c>
      <c r="C715">
        <v>6</v>
      </c>
      <c r="D715" t="s">
        <v>66</v>
      </c>
      <c r="E715" t="s">
        <v>95</v>
      </c>
      <c r="F715" t="s">
        <v>104</v>
      </c>
      <c r="G715" t="s">
        <v>103</v>
      </c>
      <c r="H715" t="s">
        <v>103</v>
      </c>
      <c r="J715">
        <v>0</v>
      </c>
      <c r="K715">
        <v>4</v>
      </c>
      <c r="L715">
        <v>113.9375</v>
      </c>
      <c r="M715">
        <v>33.375507550000002</v>
      </c>
      <c r="N715">
        <v>2.4262999999999999</v>
      </c>
      <c r="O715">
        <v>0.40692159999999999</v>
      </c>
      <c r="P715">
        <v>98.291666669999998</v>
      </c>
      <c r="Q715">
        <v>30.315130790000001</v>
      </c>
      <c r="R715">
        <v>5.0803484000000003E-2</v>
      </c>
      <c r="S715">
        <v>0.42866070000000001</v>
      </c>
      <c r="T715" t="s">
        <v>1014</v>
      </c>
      <c r="U715">
        <v>15.64583333</v>
      </c>
    </row>
    <row r="716" spans="1:21" x14ac:dyDescent="0.25">
      <c r="A716" t="s">
        <v>93</v>
      </c>
      <c r="B716" t="s">
        <v>1013</v>
      </c>
      <c r="C716">
        <v>6</v>
      </c>
      <c r="D716" t="s">
        <v>66</v>
      </c>
      <c r="E716" t="s">
        <v>95</v>
      </c>
      <c r="F716" t="s">
        <v>104</v>
      </c>
      <c r="G716" t="s">
        <v>103</v>
      </c>
      <c r="H716" t="s">
        <v>103</v>
      </c>
      <c r="J716">
        <v>0</v>
      </c>
      <c r="K716">
        <v>4</v>
      </c>
      <c r="L716">
        <v>113.9375</v>
      </c>
      <c r="M716">
        <v>33.375507550000002</v>
      </c>
      <c r="N716">
        <v>2.4262999999999999</v>
      </c>
      <c r="O716">
        <v>0.40692159999999999</v>
      </c>
      <c r="P716">
        <v>98.291666669999998</v>
      </c>
      <c r="Q716">
        <v>30.315130790000001</v>
      </c>
      <c r="R716">
        <v>5.0803484000000003E-2</v>
      </c>
      <c r="S716">
        <v>0.42866070000000001</v>
      </c>
      <c r="T716" t="s">
        <v>1014</v>
      </c>
      <c r="U716">
        <v>15.64583333</v>
      </c>
    </row>
    <row r="717" spans="1:21" x14ac:dyDescent="0.25">
      <c r="A717" t="s">
        <v>93</v>
      </c>
      <c r="B717" t="s">
        <v>1013</v>
      </c>
      <c r="C717">
        <v>6</v>
      </c>
      <c r="D717" t="s">
        <v>66</v>
      </c>
      <c r="E717" t="s">
        <v>95</v>
      </c>
      <c r="F717" t="s">
        <v>104</v>
      </c>
      <c r="G717" t="s">
        <v>103</v>
      </c>
      <c r="H717" t="s">
        <v>238</v>
      </c>
      <c r="J717">
        <v>0</v>
      </c>
      <c r="K717">
        <v>2</v>
      </c>
      <c r="L717">
        <v>113.9375</v>
      </c>
      <c r="M717">
        <v>33.375507550000002</v>
      </c>
      <c r="N717">
        <v>2.4262999999999999</v>
      </c>
      <c r="O717">
        <v>0.40692159999999999</v>
      </c>
      <c r="P717">
        <v>87.5</v>
      </c>
      <c r="Q717">
        <v>29.478311600000001</v>
      </c>
      <c r="R717">
        <v>3.0797751000000002E-2</v>
      </c>
      <c r="S717">
        <v>0.12931835</v>
      </c>
      <c r="T717" t="s">
        <v>1014</v>
      </c>
      <c r="U717">
        <v>26.4375</v>
      </c>
    </row>
    <row r="718" spans="1:21" x14ac:dyDescent="0.25">
      <c r="A718" t="s">
        <v>93</v>
      </c>
      <c r="B718" t="s">
        <v>1013</v>
      </c>
      <c r="C718">
        <v>6</v>
      </c>
      <c r="D718" t="s">
        <v>66</v>
      </c>
      <c r="E718" t="s">
        <v>95</v>
      </c>
      <c r="F718" t="s">
        <v>104</v>
      </c>
      <c r="G718" t="s">
        <v>103</v>
      </c>
      <c r="H718" t="s">
        <v>238</v>
      </c>
      <c r="J718">
        <v>0</v>
      </c>
      <c r="K718">
        <v>2</v>
      </c>
      <c r="L718">
        <v>113.9375</v>
      </c>
      <c r="M718">
        <v>33.375507550000002</v>
      </c>
      <c r="N718">
        <v>2.4262999999999999</v>
      </c>
      <c r="O718">
        <v>0.40692159999999999</v>
      </c>
      <c r="P718">
        <v>87.5</v>
      </c>
      <c r="Q718">
        <v>29.478311600000001</v>
      </c>
      <c r="R718">
        <v>3.0797751000000002E-2</v>
      </c>
      <c r="S718">
        <v>0.12931835</v>
      </c>
      <c r="T718" t="s">
        <v>1014</v>
      </c>
      <c r="U718">
        <v>26.4375</v>
      </c>
    </row>
    <row r="719" spans="1:21" x14ac:dyDescent="0.25">
      <c r="A719" t="s">
        <v>93</v>
      </c>
      <c r="B719" t="s">
        <v>1013</v>
      </c>
      <c r="C719">
        <v>6</v>
      </c>
      <c r="D719" t="s">
        <v>66</v>
      </c>
      <c r="E719" t="s">
        <v>95</v>
      </c>
      <c r="F719" t="s">
        <v>104</v>
      </c>
      <c r="G719" t="s">
        <v>103</v>
      </c>
      <c r="H719" t="s">
        <v>246</v>
      </c>
      <c r="J719">
        <v>0</v>
      </c>
      <c r="K719">
        <v>1</v>
      </c>
      <c r="L719">
        <v>113.9375</v>
      </c>
      <c r="M719">
        <v>33.375507550000002</v>
      </c>
      <c r="N719">
        <v>2.4262999999999999</v>
      </c>
      <c r="O719">
        <v>0.40692159999999999</v>
      </c>
      <c r="P719">
        <v>120.25</v>
      </c>
      <c r="Q719">
        <v>30.670450110000001</v>
      </c>
      <c r="R719">
        <v>0.91037498500000003</v>
      </c>
      <c r="S719" t="s">
        <v>114</v>
      </c>
      <c r="T719" t="s">
        <v>1014</v>
      </c>
      <c r="U719">
        <v>-6.3125</v>
      </c>
    </row>
    <row r="720" spans="1:21" x14ac:dyDescent="0.25">
      <c r="A720" t="s">
        <v>67</v>
      </c>
      <c r="B720" t="s">
        <v>820</v>
      </c>
      <c r="C720">
        <v>10</v>
      </c>
      <c r="D720" t="s">
        <v>11</v>
      </c>
      <c r="E720" t="s">
        <v>94</v>
      </c>
      <c r="F720" t="s">
        <v>113</v>
      </c>
      <c r="G720" t="s">
        <v>121</v>
      </c>
      <c r="H720" t="s">
        <v>113</v>
      </c>
      <c r="J720">
        <v>0</v>
      </c>
      <c r="K720">
        <v>2</v>
      </c>
      <c r="L720">
        <v>83.757575759999995</v>
      </c>
      <c r="M720">
        <v>22.60997987</v>
      </c>
      <c r="N720">
        <v>0.72884000000000004</v>
      </c>
      <c r="O720">
        <v>0.21301339999999999</v>
      </c>
      <c r="P720">
        <v>83.757575759999995</v>
      </c>
      <c r="Q720">
        <v>22.60997987</v>
      </c>
      <c r="R720">
        <v>0.72884000000000004</v>
      </c>
      <c r="S720">
        <v>0.21301339999999999</v>
      </c>
      <c r="T720" t="s">
        <v>1015</v>
      </c>
      <c r="U720">
        <v>0</v>
      </c>
    </row>
    <row r="721" spans="1:21" x14ac:dyDescent="0.25">
      <c r="A721" t="s">
        <v>67</v>
      </c>
      <c r="B721" t="s">
        <v>820</v>
      </c>
      <c r="C721">
        <v>10</v>
      </c>
      <c r="D721" t="s">
        <v>11</v>
      </c>
      <c r="E721" t="s">
        <v>94</v>
      </c>
      <c r="F721" t="s">
        <v>113</v>
      </c>
      <c r="G721" t="s">
        <v>121</v>
      </c>
      <c r="H721" t="s">
        <v>113</v>
      </c>
      <c r="J721">
        <v>0</v>
      </c>
      <c r="K721">
        <v>2</v>
      </c>
      <c r="L721">
        <v>83.757575759999995</v>
      </c>
      <c r="M721">
        <v>22.60997987</v>
      </c>
      <c r="N721">
        <v>0.72884000000000004</v>
      </c>
      <c r="O721">
        <v>0.21301339999999999</v>
      </c>
      <c r="P721">
        <v>83.757575759999995</v>
      </c>
      <c r="Q721">
        <v>22.60997987</v>
      </c>
      <c r="R721">
        <v>0.72884000000000004</v>
      </c>
      <c r="S721">
        <v>0.21301339999999999</v>
      </c>
      <c r="T721" t="s">
        <v>1015</v>
      </c>
      <c r="U721">
        <v>0</v>
      </c>
    </row>
    <row r="722" spans="1:21" x14ac:dyDescent="0.25">
      <c r="A722" t="s">
        <v>67</v>
      </c>
      <c r="B722" t="s">
        <v>820</v>
      </c>
      <c r="C722">
        <v>10</v>
      </c>
      <c r="D722" t="s">
        <v>11</v>
      </c>
      <c r="E722" t="s">
        <v>94</v>
      </c>
      <c r="F722" t="s">
        <v>113</v>
      </c>
      <c r="G722" t="s">
        <v>121</v>
      </c>
      <c r="H722" t="s">
        <v>248</v>
      </c>
      <c r="J722">
        <v>0</v>
      </c>
      <c r="K722">
        <v>1</v>
      </c>
      <c r="L722">
        <v>83.757575759999995</v>
      </c>
      <c r="M722">
        <v>22.60997987</v>
      </c>
      <c r="N722">
        <v>0.72884000000000004</v>
      </c>
      <c r="O722">
        <v>0.21301339999999999</v>
      </c>
      <c r="P722">
        <v>83.92307692</v>
      </c>
      <c r="Q722">
        <v>44.319135699999997</v>
      </c>
      <c r="R722">
        <v>5.9548609999999997E-3</v>
      </c>
      <c r="S722">
        <v>0.18017928</v>
      </c>
      <c r="T722" t="s">
        <v>1015</v>
      </c>
      <c r="U722">
        <v>0.16550116000000001</v>
      </c>
    </row>
    <row r="723" spans="1:21" x14ac:dyDescent="0.25">
      <c r="A723" t="s">
        <v>67</v>
      </c>
      <c r="B723" t="s">
        <v>821</v>
      </c>
      <c r="C723">
        <v>10</v>
      </c>
      <c r="D723" t="s">
        <v>11</v>
      </c>
      <c r="E723" t="s">
        <v>94</v>
      </c>
      <c r="F723" t="s">
        <v>103</v>
      </c>
      <c r="G723" t="s">
        <v>121</v>
      </c>
      <c r="H723" t="s">
        <v>103</v>
      </c>
      <c r="J723">
        <v>0</v>
      </c>
      <c r="K723">
        <v>1</v>
      </c>
      <c r="L723">
        <v>98.291666669999998</v>
      </c>
      <c r="M723">
        <v>30.315130790000001</v>
      </c>
      <c r="N723">
        <v>5.0803484000000003E-2</v>
      </c>
      <c r="O723">
        <v>0.42866070000000001</v>
      </c>
      <c r="P723">
        <v>98.291666669999998</v>
      </c>
      <c r="Q723">
        <v>30.315130790000001</v>
      </c>
      <c r="R723">
        <v>5.0803484000000003E-2</v>
      </c>
      <c r="S723">
        <v>0.42866070000000001</v>
      </c>
      <c r="T723" t="s">
        <v>1015</v>
      </c>
      <c r="U723">
        <v>0</v>
      </c>
    </row>
    <row r="724" spans="1:21" x14ac:dyDescent="0.25">
      <c r="A724" t="s">
        <v>67</v>
      </c>
      <c r="B724" t="s">
        <v>822</v>
      </c>
      <c r="C724">
        <v>10</v>
      </c>
      <c r="D724" t="s">
        <v>11</v>
      </c>
      <c r="E724" t="s">
        <v>94</v>
      </c>
      <c r="F724" t="s">
        <v>112</v>
      </c>
      <c r="G724" t="s">
        <v>121</v>
      </c>
      <c r="H724" t="s">
        <v>235</v>
      </c>
      <c r="J724">
        <v>0</v>
      </c>
      <c r="K724">
        <v>1</v>
      </c>
      <c r="L724">
        <v>65.09375</v>
      </c>
      <c r="M724">
        <v>37.895352600000002</v>
      </c>
      <c r="N724">
        <v>2.2882677779999998</v>
      </c>
      <c r="O724">
        <v>2.2111774</v>
      </c>
      <c r="P724">
        <v>132.27272730000001</v>
      </c>
      <c r="Q724">
        <v>20.180448590000001</v>
      </c>
      <c r="R724">
        <v>3.7813451999999997E-2</v>
      </c>
      <c r="S724">
        <v>0.41404401000000002</v>
      </c>
      <c r="T724" t="s">
        <v>1015</v>
      </c>
      <c r="U724">
        <v>67.1789773</v>
      </c>
    </row>
    <row r="725" spans="1:21" x14ac:dyDescent="0.25">
      <c r="A725" t="s">
        <v>67</v>
      </c>
      <c r="B725" t="s">
        <v>822</v>
      </c>
      <c r="C725">
        <v>10</v>
      </c>
      <c r="D725" t="s">
        <v>11</v>
      </c>
      <c r="E725" t="s">
        <v>94</v>
      </c>
      <c r="F725" t="s">
        <v>112</v>
      </c>
      <c r="G725" t="s">
        <v>121</v>
      </c>
      <c r="H725" t="s">
        <v>248</v>
      </c>
      <c r="J725">
        <v>0</v>
      </c>
      <c r="K725">
        <v>2</v>
      </c>
      <c r="L725">
        <v>65.09375</v>
      </c>
      <c r="M725">
        <v>37.895352600000002</v>
      </c>
      <c r="N725">
        <v>2.2882677779999998</v>
      </c>
      <c r="O725">
        <v>2.2111774</v>
      </c>
      <c r="P725">
        <v>83.92307692</v>
      </c>
      <c r="Q725">
        <v>44.319135699999997</v>
      </c>
      <c r="R725">
        <v>5.9548609999999997E-3</v>
      </c>
      <c r="S725">
        <v>0.18017928</v>
      </c>
      <c r="T725" t="s">
        <v>1015</v>
      </c>
      <c r="U725">
        <v>18.82932692</v>
      </c>
    </row>
    <row r="726" spans="1:21" x14ac:dyDescent="0.25">
      <c r="A726" t="s">
        <v>67</v>
      </c>
      <c r="B726" t="s">
        <v>822</v>
      </c>
      <c r="C726">
        <v>10</v>
      </c>
      <c r="D726" t="s">
        <v>11</v>
      </c>
      <c r="E726" t="s">
        <v>94</v>
      </c>
      <c r="F726" t="s">
        <v>112</v>
      </c>
      <c r="G726" t="s">
        <v>121</v>
      </c>
      <c r="H726" t="s">
        <v>248</v>
      </c>
      <c r="J726">
        <v>0</v>
      </c>
      <c r="K726">
        <v>2</v>
      </c>
      <c r="L726">
        <v>65.09375</v>
      </c>
      <c r="M726">
        <v>37.895352600000002</v>
      </c>
      <c r="N726">
        <v>2.2882677779999998</v>
      </c>
      <c r="O726">
        <v>2.2111774</v>
      </c>
      <c r="P726">
        <v>83.92307692</v>
      </c>
      <c r="Q726">
        <v>44.319135699999997</v>
      </c>
      <c r="R726">
        <v>5.9548609999999997E-3</v>
      </c>
      <c r="S726">
        <v>0.18017928</v>
      </c>
      <c r="T726" t="s">
        <v>1015</v>
      </c>
      <c r="U726">
        <v>18.82932692</v>
      </c>
    </row>
    <row r="727" spans="1:21" x14ac:dyDescent="0.25">
      <c r="A727" t="s">
        <v>68</v>
      </c>
      <c r="B727" t="s">
        <v>823</v>
      </c>
      <c r="C727">
        <v>10</v>
      </c>
      <c r="D727" t="s">
        <v>15</v>
      </c>
      <c r="E727" t="s">
        <v>95</v>
      </c>
      <c r="F727" t="s">
        <v>113</v>
      </c>
      <c r="G727" t="s">
        <v>121</v>
      </c>
      <c r="H727" t="s">
        <v>113</v>
      </c>
      <c r="J727">
        <v>0</v>
      </c>
      <c r="K727">
        <v>1</v>
      </c>
      <c r="L727">
        <v>83.757575759999995</v>
      </c>
      <c r="M727">
        <v>22.60997987</v>
      </c>
      <c r="N727">
        <v>0.72884000000000004</v>
      </c>
      <c r="O727">
        <v>0.21301339999999999</v>
      </c>
      <c r="P727">
        <v>83.757575759999995</v>
      </c>
      <c r="Q727">
        <v>22.60997987</v>
      </c>
      <c r="R727">
        <v>0.72884000000000004</v>
      </c>
      <c r="S727">
        <v>0.21301339999999999</v>
      </c>
      <c r="T727" t="s">
        <v>1015</v>
      </c>
      <c r="U727">
        <v>0</v>
      </c>
    </row>
    <row r="728" spans="1:21" x14ac:dyDescent="0.25">
      <c r="A728" t="s">
        <v>68</v>
      </c>
      <c r="B728" t="s">
        <v>824</v>
      </c>
      <c r="C728">
        <v>10</v>
      </c>
      <c r="D728" t="s">
        <v>15</v>
      </c>
      <c r="E728" t="s">
        <v>95</v>
      </c>
      <c r="F728" t="s">
        <v>110</v>
      </c>
      <c r="G728" t="s">
        <v>113</v>
      </c>
      <c r="H728" t="s">
        <v>113</v>
      </c>
      <c r="J728">
        <v>0</v>
      </c>
      <c r="K728">
        <v>2</v>
      </c>
      <c r="L728">
        <v>73.260869569999997</v>
      </c>
      <c r="M728">
        <v>34.453830549999999</v>
      </c>
      <c r="N728">
        <v>1.058333333</v>
      </c>
      <c r="O728">
        <v>0.90897070000000002</v>
      </c>
      <c r="P728">
        <v>83.757575759999995</v>
      </c>
      <c r="Q728">
        <v>22.60997987</v>
      </c>
      <c r="R728">
        <v>0.72884000000000004</v>
      </c>
      <c r="S728">
        <v>0.21301339999999999</v>
      </c>
      <c r="T728" t="s">
        <v>1015</v>
      </c>
      <c r="U728">
        <v>10.496706189999999</v>
      </c>
    </row>
    <row r="729" spans="1:21" x14ac:dyDescent="0.25">
      <c r="A729" t="s">
        <v>68</v>
      </c>
      <c r="B729" t="s">
        <v>824</v>
      </c>
      <c r="C729">
        <v>10</v>
      </c>
      <c r="D729" t="s">
        <v>15</v>
      </c>
      <c r="E729" t="s">
        <v>95</v>
      </c>
      <c r="F729" t="s">
        <v>110</v>
      </c>
      <c r="G729" t="s">
        <v>113</v>
      </c>
      <c r="H729" t="s">
        <v>113</v>
      </c>
      <c r="J729">
        <v>0</v>
      </c>
      <c r="K729">
        <v>2</v>
      </c>
      <c r="L729">
        <v>73.260869569999997</v>
      </c>
      <c r="M729">
        <v>34.453830549999999</v>
      </c>
      <c r="N729">
        <v>1.058333333</v>
      </c>
      <c r="O729">
        <v>0.90897070000000002</v>
      </c>
      <c r="P729">
        <v>83.757575759999995</v>
      </c>
      <c r="Q729">
        <v>22.60997987</v>
      </c>
      <c r="R729">
        <v>0.72884000000000004</v>
      </c>
      <c r="S729">
        <v>0.21301339999999999</v>
      </c>
      <c r="T729" t="s">
        <v>1015</v>
      </c>
      <c r="U729">
        <v>10.496706189999999</v>
      </c>
    </row>
    <row r="730" spans="1:21" x14ac:dyDescent="0.25">
      <c r="A730" t="s">
        <v>68</v>
      </c>
      <c r="B730" t="s">
        <v>825</v>
      </c>
      <c r="C730">
        <v>10</v>
      </c>
      <c r="D730" t="s">
        <v>15</v>
      </c>
      <c r="E730" t="s">
        <v>95</v>
      </c>
      <c r="F730" t="s">
        <v>111</v>
      </c>
      <c r="G730" t="s">
        <v>121</v>
      </c>
      <c r="H730" t="s">
        <v>239</v>
      </c>
      <c r="J730">
        <v>0</v>
      </c>
      <c r="K730">
        <v>1</v>
      </c>
      <c r="L730">
        <v>94.97142857</v>
      </c>
      <c r="M730">
        <v>24.31591813</v>
      </c>
      <c r="N730">
        <v>0.122951111</v>
      </c>
      <c r="O730">
        <v>0.39050790000000002</v>
      </c>
      <c r="P730">
        <v>100.45454549999999</v>
      </c>
      <c r="Q730">
        <v>26.754810689999999</v>
      </c>
      <c r="R730">
        <v>0.75829999999999997</v>
      </c>
      <c r="S730">
        <v>0.40907861000000001</v>
      </c>
      <c r="T730" t="s">
        <v>1015</v>
      </c>
      <c r="U730">
        <v>5.4831169299999996</v>
      </c>
    </row>
    <row r="731" spans="1:21" x14ac:dyDescent="0.25">
      <c r="A731" t="s">
        <v>68</v>
      </c>
      <c r="B731" t="s">
        <v>826</v>
      </c>
      <c r="C731">
        <v>10</v>
      </c>
      <c r="D731" t="s">
        <v>15</v>
      </c>
      <c r="E731" t="s">
        <v>95</v>
      </c>
      <c r="F731" t="s">
        <v>104</v>
      </c>
      <c r="G731" t="s">
        <v>121</v>
      </c>
      <c r="H731" t="s">
        <v>114</v>
      </c>
      <c r="I731" t="s">
        <v>161</v>
      </c>
      <c r="J731">
        <v>1</v>
      </c>
      <c r="K731">
        <v>0</v>
      </c>
      <c r="L731">
        <v>113.9375</v>
      </c>
      <c r="M731">
        <v>33.375507550000002</v>
      </c>
      <c r="N731">
        <v>2.4262999999999999</v>
      </c>
      <c r="O731">
        <v>0.40692159999999999</v>
      </c>
      <c r="P731" t="s">
        <v>114</v>
      </c>
      <c r="Q731" t="s">
        <v>114</v>
      </c>
      <c r="R731" t="s">
        <v>114</v>
      </c>
      <c r="S731" t="s">
        <v>114</v>
      </c>
      <c r="T731" t="s">
        <v>1015</v>
      </c>
      <c r="U731" t="s">
        <v>114</v>
      </c>
    </row>
    <row r="732" spans="1:21" x14ac:dyDescent="0.25">
      <c r="A732" t="s">
        <v>69</v>
      </c>
      <c r="B732" t="s">
        <v>827</v>
      </c>
      <c r="C732">
        <v>10</v>
      </c>
      <c r="D732" t="s">
        <v>17</v>
      </c>
      <c r="E732" t="s">
        <v>95</v>
      </c>
      <c r="F732" t="s">
        <v>102</v>
      </c>
      <c r="G732" t="s">
        <v>102</v>
      </c>
      <c r="H732" t="s">
        <v>102</v>
      </c>
      <c r="J732">
        <v>0</v>
      </c>
      <c r="K732">
        <v>1</v>
      </c>
      <c r="L732">
        <v>84.740740740000007</v>
      </c>
      <c r="M732">
        <v>29.167014049999999</v>
      </c>
      <c r="N732">
        <v>1.1169849999999999</v>
      </c>
      <c r="O732">
        <v>1.1571499000000001</v>
      </c>
      <c r="P732">
        <v>84.740740740000007</v>
      </c>
      <c r="Q732">
        <v>29.167014049999999</v>
      </c>
      <c r="R732">
        <v>1.1169849999999999</v>
      </c>
      <c r="S732">
        <v>1.1571499000000001</v>
      </c>
      <c r="T732" t="s">
        <v>1015</v>
      </c>
      <c r="U732">
        <v>0</v>
      </c>
    </row>
    <row r="733" spans="1:21" x14ac:dyDescent="0.25">
      <c r="A733" t="s">
        <v>69</v>
      </c>
      <c r="B733" t="s">
        <v>827</v>
      </c>
      <c r="C733">
        <v>10</v>
      </c>
      <c r="D733" t="s">
        <v>17</v>
      </c>
      <c r="E733" t="s">
        <v>95</v>
      </c>
      <c r="F733" t="s">
        <v>102</v>
      </c>
      <c r="G733" t="s">
        <v>102</v>
      </c>
      <c r="H733" t="s">
        <v>235</v>
      </c>
      <c r="J733">
        <v>0</v>
      </c>
      <c r="K733">
        <v>2</v>
      </c>
      <c r="L733">
        <v>84.740740740000007</v>
      </c>
      <c r="M733">
        <v>29.167014049999999</v>
      </c>
      <c r="N733">
        <v>1.1169849999999999</v>
      </c>
      <c r="O733">
        <v>1.1571499000000001</v>
      </c>
      <c r="P733">
        <v>132.27272730000001</v>
      </c>
      <c r="Q733">
        <v>20.180448590000001</v>
      </c>
      <c r="R733">
        <v>3.7813451999999997E-2</v>
      </c>
      <c r="S733">
        <v>0.41404401000000002</v>
      </c>
      <c r="T733" t="s">
        <v>1015</v>
      </c>
      <c r="U733">
        <v>47.53198656</v>
      </c>
    </row>
    <row r="734" spans="1:21" x14ac:dyDescent="0.25">
      <c r="A734" t="s">
        <v>69</v>
      </c>
      <c r="B734" t="s">
        <v>827</v>
      </c>
      <c r="C734">
        <v>10</v>
      </c>
      <c r="D734" t="s">
        <v>17</v>
      </c>
      <c r="E734" t="s">
        <v>95</v>
      </c>
      <c r="F734" t="s">
        <v>102</v>
      </c>
      <c r="G734" t="s">
        <v>102</v>
      </c>
      <c r="H734" t="s">
        <v>235</v>
      </c>
      <c r="J734">
        <v>0</v>
      </c>
      <c r="K734">
        <v>2</v>
      </c>
      <c r="L734">
        <v>84.740740740000007</v>
      </c>
      <c r="M734">
        <v>29.167014049999999</v>
      </c>
      <c r="N734">
        <v>1.1169849999999999</v>
      </c>
      <c r="O734">
        <v>1.1571499000000001</v>
      </c>
      <c r="P734">
        <v>132.27272730000001</v>
      </c>
      <c r="Q734">
        <v>20.180448590000001</v>
      </c>
      <c r="R734">
        <v>3.7813451999999997E-2</v>
      </c>
      <c r="S734">
        <v>0.41404401000000002</v>
      </c>
      <c r="T734" t="s">
        <v>1015</v>
      </c>
      <c r="U734">
        <v>47.53198656</v>
      </c>
    </row>
    <row r="735" spans="1:21" x14ac:dyDescent="0.25">
      <c r="A735" t="s">
        <v>69</v>
      </c>
      <c r="B735" t="s">
        <v>828</v>
      </c>
      <c r="C735">
        <v>10</v>
      </c>
      <c r="D735" t="s">
        <v>17</v>
      </c>
      <c r="E735" t="s">
        <v>95</v>
      </c>
      <c r="F735" t="s">
        <v>113</v>
      </c>
      <c r="G735" t="s">
        <v>113</v>
      </c>
      <c r="H735" t="s">
        <v>113</v>
      </c>
      <c r="J735">
        <v>0</v>
      </c>
      <c r="K735">
        <v>1</v>
      </c>
      <c r="L735">
        <v>83.757575759999995</v>
      </c>
      <c r="M735">
        <v>22.60997987</v>
      </c>
      <c r="N735">
        <v>0.72884000000000004</v>
      </c>
      <c r="O735">
        <v>0.21301339999999999</v>
      </c>
      <c r="P735">
        <v>83.757575759999995</v>
      </c>
      <c r="Q735">
        <v>22.60997987</v>
      </c>
      <c r="R735">
        <v>0.72884000000000004</v>
      </c>
      <c r="S735">
        <v>0.21301339999999999</v>
      </c>
      <c r="T735" t="s">
        <v>1015</v>
      </c>
      <c r="U735">
        <v>0</v>
      </c>
    </row>
    <row r="736" spans="1:21" x14ac:dyDescent="0.25">
      <c r="A736" t="s">
        <v>69</v>
      </c>
      <c r="B736" t="s">
        <v>828</v>
      </c>
      <c r="C736">
        <v>10</v>
      </c>
      <c r="D736" t="s">
        <v>17</v>
      </c>
      <c r="E736" t="s">
        <v>95</v>
      </c>
      <c r="F736" t="s">
        <v>113</v>
      </c>
      <c r="G736" t="s">
        <v>113</v>
      </c>
      <c r="H736" t="s">
        <v>235</v>
      </c>
      <c r="J736">
        <v>0</v>
      </c>
      <c r="K736">
        <v>2</v>
      </c>
      <c r="L736">
        <v>83.757575759999995</v>
      </c>
      <c r="M736">
        <v>22.60997987</v>
      </c>
      <c r="N736">
        <v>0.72884000000000004</v>
      </c>
      <c r="O736">
        <v>0.21301339999999999</v>
      </c>
      <c r="P736">
        <v>132.27272730000001</v>
      </c>
      <c r="Q736">
        <v>20.180448590000001</v>
      </c>
      <c r="R736">
        <v>3.7813451999999997E-2</v>
      </c>
      <c r="S736">
        <v>0.41404401000000002</v>
      </c>
      <c r="T736" t="s">
        <v>1015</v>
      </c>
      <c r="U736">
        <v>48.515151539999998</v>
      </c>
    </row>
    <row r="737" spans="1:21" x14ac:dyDescent="0.25">
      <c r="A737" t="s">
        <v>69</v>
      </c>
      <c r="B737" t="s">
        <v>828</v>
      </c>
      <c r="C737">
        <v>10</v>
      </c>
      <c r="D737" t="s">
        <v>17</v>
      </c>
      <c r="E737" t="s">
        <v>95</v>
      </c>
      <c r="F737" t="s">
        <v>113</v>
      </c>
      <c r="G737" t="s">
        <v>113</v>
      </c>
      <c r="H737" t="s">
        <v>235</v>
      </c>
      <c r="J737">
        <v>0</v>
      </c>
      <c r="K737">
        <v>2</v>
      </c>
      <c r="L737">
        <v>83.757575759999995</v>
      </c>
      <c r="M737">
        <v>22.60997987</v>
      </c>
      <c r="N737">
        <v>0.72884000000000004</v>
      </c>
      <c r="O737">
        <v>0.21301339999999999</v>
      </c>
      <c r="P737">
        <v>132.27272730000001</v>
      </c>
      <c r="Q737">
        <v>20.180448590000001</v>
      </c>
      <c r="R737">
        <v>3.7813451999999997E-2</v>
      </c>
      <c r="S737">
        <v>0.41404401000000002</v>
      </c>
      <c r="T737" t="s">
        <v>1015</v>
      </c>
      <c r="U737">
        <v>48.515151539999998</v>
      </c>
    </row>
    <row r="738" spans="1:21" x14ac:dyDescent="0.25">
      <c r="A738" t="s">
        <v>69</v>
      </c>
      <c r="B738" t="s">
        <v>829</v>
      </c>
      <c r="C738">
        <v>10</v>
      </c>
      <c r="D738" t="s">
        <v>17</v>
      </c>
      <c r="E738" t="s">
        <v>95</v>
      </c>
      <c r="F738" t="s">
        <v>103</v>
      </c>
      <c r="G738" t="s">
        <v>103</v>
      </c>
      <c r="H738" t="s">
        <v>103</v>
      </c>
      <c r="J738">
        <v>0</v>
      </c>
      <c r="K738">
        <v>1</v>
      </c>
      <c r="L738">
        <v>98.291666669999998</v>
      </c>
      <c r="M738">
        <v>30.315130790000001</v>
      </c>
      <c r="N738">
        <v>5.0803484000000003E-2</v>
      </c>
      <c r="O738">
        <v>0.42866070000000001</v>
      </c>
      <c r="P738">
        <v>98.291666669999998</v>
      </c>
      <c r="Q738">
        <v>30.315130790000001</v>
      </c>
      <c r="R738">
        <v>5.0803484000000003E-2</v>
      </c>
      <c r="S738">
        <v>0.42866070000000001</v>
      </c>
      <c r="T738" t="s">
        <v>1015</v>
      </c>
      <c r="U738">
        <v>0</v>
      </c>
    </row>
    <row r="739" spans="1:21" x14ac:dyDescent="0.25">
      <c r="A739" t="s">
        <v>69</v>
      </c>
      <c r="B739" t="s">
        <v>829</v>
      </c>
      <c r="C739">
        <v>10</v>
      </c>
      <c r="D739" t="s">
        <v>17</v>
      </c>
      <c r="E739" t="s">
        <v>95</v>
      </c>
      <c r="F739" t="s">
        <v>103</v>
      </c>
      <c r="G739" t="s">
        <v>103</v>
      </c>
      <c r="H739" t="s">
        <v>241</v>
      </c>
      <c r="J739">
        <v>0</v>
      </c>
      <c r="K739">
        <v>1</v>
      </c>
      <c r="L739">
        <v>98.291666669999998</v>
      </c>
      <c r="M739">
        <v>30.315130790000001</v>
      </c>
      <c r="N739">
        <v>5.0803484000000003E-2</v>
      </c>
      <c r="O739">
        <v>0.42866070000000001</v>
      </c>
      <c r="P739">
        <v>114</v>
      </c>
      <c r="Q739">
        <v>30.43077242</v>
      </c>
      <c r="R739">
        <v>0.53383111100000002</v>
      </c>
      <c r="S739">
        <v>0.28333332999999999</v>
      </c>
      <c r="T739" t="s">
        <v>1015</v>
      </c>
      <c r="U739">
        <v>15.70833333</v>
      </c>
    </row>
    <row r="740" spans="1:21" x14ac:dyDescent="0.25">
      <c r="A740" t="s">
        <v>69</v>
      </c>
      <c r="B740" t="s">
        <v>829</v>
      </c>
      <c r="C740">
        <v>10</v>
      </c>
      <c r="D740" t="s">
        <v>17</v>
      </c>
      <c r="E740" t="s">
        <v>95</v>
      </c>
      <c r="F740" t="s">
        <v>103</v>
      </c>
      <c r="G740" t="s">
        <v>103</v>
      </c>
      <c r="H740" t="s">
        <v>235</v>
      </c>
      <c r="J740">
        <v>0</v>
      </c>
      <c r="K740">
        <v>1</v>
      </c>
      <c r="L740">
        <v>98.291666669999998</v>
      </c>
      <c r="M740">
        <v>30.315130790000001</v>
      </c>
      <c r="N740">
        <v>5.0803484000000003E-2</v>
      </c>
      <c r="O740">
        <v>0.42866070000000001</v>
      </c>
      <c r="P740">
        <v>132.27272730000001</v>
      </c>
      <c r="Q740">
        <v>20.180448590000001</v>
      </c>
      <c r="R740">
        <v>3.7813451999999997E-2</v>
      </c>
      <c r="S740">
        <v>0.41404401000000002</v>
      </c>
      <c r="T740" t="s">
        <v>1015</v>
      </c>
      <c r="U740">
        <v>33.981060630000002</v>
      </c>
    </row>
    <row r="741" spans="1:21" x14ac:dyDescent="0.25">
      <c r="A741" t="s">
        <v>69</v>
      </c>
      <c r="B741" t="s">
        <v>830</v>
      </c>
      <c r="C741">
        <v>10</v>
      </c>
      <c r="D741" t="s">
        <v>17</v>
      </c>
      <c r="E741" t="s">
        <v>95</v>
      </c>
      <c r="F741" t="s">
        <v>111</v>
      </c>
      <c r="G741" t="s">
        <v>121</v>
      </c>
      <c r="H741" t="s">
        <v>235</v>
      </c>
      <c r="J741">
        <v>0</v>
      </c>
      <c r="K741">
        <v>3</v>
      </c>
      <c r="L741">
        <v>94.97142857</v>
      </c>
      <c r="M741">
        <v>24.31591813</v>
      </c>
      <c r="N741">
        <v>0.122951111</v>
      </c>
      <c r="O741">
        <v>0.39050790000000002</v>
      </c>
      <c r="P741">
        <v>132.27272730000001</v>
      </c>
      <c r="Q741">
        <v>20.180448590000001</v>
      </c>
      <c r="R741">
        <v>3.7813451999999997E-2</v>
      </c>
      <c r="S741">
        <v>0.41404401000000002</v>
      </c>
      <c r="T741" t="s">
        <v>1015</v>
      </c>
      <c r="U741">
        <v>37.301298729999999</v>
      </c>
    </row>
    <row r="742" spans="1:21" x14ac:dyDescent="0.25">
      <c r="A742" t="s">
        <v>69</v>
      </c>
      <c r="B742" t="s">
        <v>830</v>
      </c>
      <c r="C742">
        <v>10</v>
      </c>
      <c r="D742" t="s">
        <v>17</v>
      </c>
      <c r="E742" t="s">
        <v>95</v>
      </c>
      <c r="F742" t="s">
        <v>111</v>
      </c>
      <c r="G742" t="s">
        <v>121</v>
      </c>
      <c r="H742" t="s">
        <v>235</v>
      </c>
      <c r="J742">
        <v>0</v>
      </c>
      <c r="K742">
        <v>3</v>
      </c>
      <c r="L742">
        <v>94.97142857</v>
      </c>
      <c r="M742">
        <v>24.31591813</v>
      </c>
      <c r="N742">
        <v>0.122951111</v>
      </c>
      <c r="O742">
        <v>0.39050790000000002</v>
      </c>
      <c r="P742">
        <v>132.27272730000001</v>
      </c>
      <c r="Q742">
        <v>20.180448590000001</v>
      </c>
      <c r="R742">
        <v>3.7813451999999997E-2</v>
      </c>
      <c r="S742">
        <v>0.41404401000000002</v>
      </c>
      <c r="T742" t="s">
        <v>1015</v>
      </c>
      <c r="U742">
        <v>37.301298729999999</v>
      </c>
    </row>
    <row r="743" spans="1:21" x14ac:dyDescent="0.25">
      <c r="A743" t="s">
        <v>69</v>
      </c>
      <c r="B743" t="s">
        <v>830</v>
      </c>
      <c r="C743">
        <v>10</v>
      </c>
      <c r="D743" t="s">
        <v>17</v>
      </c>
      <c r="E743" t="s">
        <v>95</v>
      </c>
      <c r="F743" t="s">
        <v>111</v>
      </c>
      <c r="G743" t="s">
        <v>121</v>
      </c>
      <c r="H743" t="s">
        <v>235</v>
      </c>
      <c r="J743">
        <v>0</v>
      </c>
      <c r="K743">
        <v>3</v>
      </c>
      <c r="L743">
        <v>94.97142857</v>
      </c>
      <c r="M743">
        <v>24.31591813</v>
      </c>
      <c r="N743">
        <v>0.122951111</v>
      </c>
      <c r="O743">
        <v>0.39050790000000002</v>
      </c>
      <c r="P743">
        <v>132.27272730000001</v>
      </c>
      <c r="Q743">
        <v>20.180448590000001</v>
      </c>
      <c r="R743">
        <v>3.7813451999999997E-2</v>
      </c>
      <c r="S743">
        <v>0.41404401000000002</v>
      </c>
      <c r="T743" t="s">
        <v>1015</v>
      </c>
      <c r="U743">
        <v>37.301298729999999</v>
      </c>
    </row>
    <row r="744" spans="1:21" x14ac:dyDescent="0.25">
      <c r="A744" t="s">
        <v>69</v>
      </c>
      <c r="B744" t="s">
        <v>831</v>
      </c>
      <c r="C744">
        <v>10</v>
      </c>
      <c r="D744" t="s">
        <v>17</v>
      </c>
      <c r="E744" t="s">
        <v>95</v>
      </c>
      <c r="F744" t="s">
        <v>112</v>
      </c>
      <c r="G744" t="s">
        <v>121</v>
      </c>
      <c r="H744" t="s">
        <v>235</v>
      </c>
      <c r="I744" t="s">
        <v>252</v>
      </c>
      <c r="J744">
        <v>1</v>
      </c>
      <c r="K744">
        <v>2</v>
      </c>
      <c r="L744">
        <v>65.09375</v>
      </c>
      <c r="M744">
        <v>37.895352600000002</v>
      </c>
      <c r="N744">
        <v>2.2882677779999998</v>
      </c>
      <c r="O744">
        <v>2.2111774</v>
      </c>
      <c r="P744">
        <v>132.27272730000001</v>
      </c>
      <c r="Q744">
        <v>20.180448590000001</v>
      </c>
      <c r="R744">
        <v>3.7813451999999997E-2</v>
      </c>
      <c r="S744">
        <v>0.41404401000000002</v>
      </c>
      <c r="T744" t="s">
        <v>1015</v>
      </c>
      <c r="U744">
        <v>67.1789773</v>
      </c>
    </row>
    <row r="745" spans="1:21" x14ac:dyDescent="0.25">
      <c r="A745" t="s">
        <v>69</v>
      </c>
      <c r="B745" t="s">
        <v>831</v>
      </c>
      <c r="C745">
        <v>10</v>
      </c>
      <c r="D745" t="s">
        <v>17</v>
      </c>
      <c r="E745" t="s">
        <v>95</v>
      </c>
      <c r="F745" t="s">
        <v>112</v>
      </c>
      <c r="G745" t="s">
        <v>121</v>
      </c>
      <c r="H745" t="s">
        <v>235</v>
      </c>
      <c r="I745" t="s">
        <v>252</v>
      </c>
      <c r="J745">
        <v>1</v>
      </c>
      <c r="K745">
        <v>2</v>
      </c>
      <c r="L745">
        <v>65.09375</v>
      </c>
      <c r="M745">
        <v>37.895352600000002</v>
      </c>
      <c r="N745">
        <v>2.2882677779999998</v>
      </c>
      <c r="O745">
        <v>2.2111774</v>
      </c>
      <c r="P745">
        <v>132.27272730000001</v>
      </c>
      <c r="Q745">
        <v>20.180448590000001</v>
      </c>
      <c r="R745">
        <v>3.7813451999999997E-2</v>
      </c>
      <c r="S745">
        <v>0.41404401000000002</v>
      </c>
      <c r="T745" t="s">
        <v>1015</v>
      </c>
      <c r="U745">
        <v>67.1789773</v>
      </c>
    </row>
    <row r="746" spans="1:21" x14ac:dyDescent="0.25">
      <c r="A746" t="s">
        <v>70</v>
      </c>
      <c r="B746" t="s">
        <v>832</v>
      </c>
      <c r="C746">
        <v>10</v>
      </c>
      <c r="D746" t="s">
        <v>19</v>
      </c>
      <c r="E746" t="s">
        <v>95</v>
      </c>
      <c r="F746" t="s">
        <v>102</v>
      </c>
      <c r="G746" t="s">
        <v>121</v>
      </c>
      <c r="H746" t="s">
        <v>102</v>
      </c>
      <c r="J746">
        <v>0</v>
      </c>
      <c r="K746">
        <v>1</v>
      </c>
      <c r="L746">
        <v>84.740740740000007</v>
      </c>
      <c r="M746">
        <v>29.167014049999999</v>
      </c>
      <c r="N746">
        <v>1.1169849999999999</v>
      </c>
      <c r="O746">
        <v>1.1571499000000001</v>
      </c>
      <c r="P746">
        <v>84.740740740000007</v>
      </c>
      <c r="Q746">
        <v>29.167014049999999</v>
      </c>
      <c r="R746">
        <v>1.1169849999999999</v>
      </c>
      <c r="S746">
        <v>1.1571499000000001</v>
      </c>
      <c r="T746" t="s">
        <v>1015</v>
      </c>
      <c r="U746">
        <v>0</v>
      </c>
    </row>
    <row r="747" spans="1:21" x14ac:dyDescent="0.25">
      <c r="A747" t="s">
        <v>70</v>
      </c>
      <c r="B747" t="s">
        <v>832</v>
      </c>
      <c r="C747">
        <v>10</v>
      </c>
      <c r="D747" t="s">
        <v>19</v>
      </c>
      <c r="E747" t="s">
        <v>95</v>
      </c>
      <c r="F747" t="s">
        <v>102</v>
      </c>
      <c r="G747" t="s">
        <v>121</v>
      </c>
      <c r="H747" t="s">
        <v>236</v>
      </c>
      <c r="J747">
        <v>0</v>
      </c>
      <c r="K747">
        <v>1</v>
      </c>
      <c r="L747">
        <v>84.740740740000007</v>
      </c>
      <c r="M747">
        <v>29.167014049999999</v>
      </c>
      <c r="N747">
        <v>1.1169849999999999</v>
      </c>
      <c r="O747">
        <v>1.1571499000000001</v>
      </c>
      <c r="P747">
        <v>113.33333330000001</v>
      </c>
      <c r="Q747">
        <v>26.41632581</v>
      </c>
      <c r="R747">
        <v>1.6844570160000001</v>
      </c>
      <c r="S747">
        <v>8.9285710000000004E-2</v>
      </c>
      <c r="T747" t="s">
        <v>1015</v>
      </c>
      <c r="U747">
        <v>28.59259256</v>
      </c>
    </row>
    <row r="748" spans="1:21" x14ac:dyDescent="0.25">
      <c r="A748" t="s">
        <v>70</v>
      </c>
      <c r="B748" t="s">
        <v>833</v>
      </c>
      <c r="C748">
        <v>10</v>
      </c>
      <c r="D748" t="s">
        <v>19</v>
      </c>
      <c r="E748" t="s">
        <v>95</v>
      </c>
      <c r="F748" t="s">
        <v>105</v>
      </c>
      <c r="G748" t="s">
        <v>121</v>
      </c>
      <c r="H748" t="s">
        <v>235</v>
      </c>
      <c r="J748">
        <v>0</v>
      </c>
      <c r="K748">
        <v>1</v>
      </c>
      <c r="L748">
        <v>67.5</v>
      </c>
      <c r="M748">
        <v>47.937235809999997</v>
      </c>
      <c r="N748">
        <v>0.41599678000000001</v>
      </c>
      <c r="O748">
        <v>2.0950346999999998</v>
      </c>
      <c r="P748">
        <v>132.27272730000001</v>
      </c>
      <c r="Q748">
        <v>20.180448590000001</v>
      </c>
      <c r="R748">
        <v>3.7813451999999997E-2</v>
      </c>
      <c r="S748">
        <v>0.41404401000000002</v>
      </c>
      <c r="T748" t="s">
        <v>1015</v>
      </c>
      <c r="U748">
        <v>64.7727273</v>
      </c>
    </row>
    <row r="749" spans="1:21" x14ac:dyDescent="0.25">
      <c r="A749" t="s">
        <v>70</v>
      </c>
      <c r="B749" t="s">
        <v>833</v>
      </c>
      <c r="C749">
        <v>10</v>
      </c>
      <c r="D749" t="s">
        <v>19</v>
      </c>
      <c r="E749" t="s">
        <v>95</v>
      </c>
      <c r="F749" t="s">
        <v>105</v>
      </c>
      <c r="G749" t="s">
        <v>121</v>
      </c>
      <c r="H749" t="s">
        <v>236</v>
      </c>
      <c r="J749">
        <v>0</v>
      </c>
      <c r="K749">
        <v>2</v>
      </c>
      <c r="L749">
        <v>67.5</v>
      </c>
      <c r="M749">
        <v>47.937235809999997</v>
      </c>
      <c r="N749">
        <v>0.41599678000000001</v>
      </c>
      <c r="O749">
        <v>2.0950346999999998</v>
      </c>
      <c r="P749">
        <v>113.33333330000001</v>
      </c>
      <c r="Q749">
        <v>26.41632581</v>
      </c>
      <c r="R749">
        <v>1.6844570160000001</v>
      </c>
      <c r="S749">
        <v>8.9285710000000004E-2</v>
      </c>
      <c r="T749" t="s">
        <v>1015</v>
      </c>
      <c r="U749">
        <v>45.8333333</v>
      </c>
    </row>
    <row r="750" spans="1:21" x14ac:dyDescent="0.25">
      <c r="A750" t="s">
        <v>70</v>
      </c>
      <c r="B750" t="s">
        <v>833</v>
      </c>
      <c r="C750">
        <v>10</v>
      </c>
      <c r="D750" t="s">
        <v>19</v>
      </c>
      <c r="E750" t="s">
        <v>95</v>
      </c>
      <c r="F750" t="s">
        <v>105</v>
      </c>
      <c r="G750" t="s">
        <v>121</v>
      </c>
      <c r="H750" t="s">
        <v>236</v>
      </c>
      <c r="J750">
        <v>0</v>
      </c>
      <c r="K750">
        <v>2</v>
      </c>
      <c r="L750">
        <v>67.5</v>
      </c>
      <c r="M750">
        <v>47.937235809999997</v>
      </c>
      <c r="N750">
        <v>0.41599678000000001</v>
      </c>
      <c r="O750">
        <v>2.0950346999999998</v>
      </c>
      <c r="P750">
        <v>113.33333330000001</v>
      </c>
      <c r="Q750">
        <v>26.41632581</v>
      </c>
      <c r="R750">
        <v>1.6844570160000001</v>
      </c>
      <c r="S750">
        <v>8.9285710000000004E-2</v>
      </c>
      <c r="T750" t="s">
        <v>1015</v>
      </c>
      <c r="U750">
        <v>45.8333333</v>
      </c>
    </row>
    <row r="751" spans="1:21" x14ac:dyDescent="0.25">
      <c r="A751" t="s">
        <v>70</v>
      </c>
      <c r="B751" t="s">
        <v>833</v>
      </c>
      <c r="C751">
        <v>10</v>
      </c>
      <c r="D751" t="s">
        <v>19</v>
      </c>
      <c r="E751" t="s">
        <v>95</v>
      </c>
      <c r="F751" t="s">
        <v>105</v>
      </c>
      <c r="G751" t="s">
        <v>121</v>
      </c>
      <c r="H751" t="s">
        <v>162</v>
      </c>
      <c r="J751">
        <v>0</v>
      </c>
      <c r="K751">
        <v>1</v>
      </c>
      <c r="L751">
        <v>67.5</v>
      </c>
      <c r="M751">
        <v>47.937235809999997</v>
      </c>
      <c r="N751">
        <v>0.41599678000000001</v>
      </c>
      <c r="O751">
        <v>2.0950346999999998</v>
      </c>
      <c r="P751">
        <v>82.53846154</v>
      </c>
      <c r="Q751">
        <v>35.660530039999998</v>
      </c>
      <c r="R751">
        <v>3.3754499999999998</v>
      </c>
      <c r="S751" t="s">
        <v>114</v>
      </c>
      <c r="T751" t="s">
        <v>1015</v>
      </c>
      <c r="U751">
        <v>15.03846154</v>
      </c>
    </row>
    <row r="752" spans="1:21" x14ac:dyDescent="0.25">
      <c r="A752" t="s">
        <v>70</v>
      </c>
      <c r="B752" t="s">
        <v>834</v>
      </c>
      <c r="C752">
        <v>10</v>
      </c>
      <c r="D752" t="s">
        <v>19</v>
      </c>
      <c r="E752" t="s">
        <v>95</v>
      </c>
      <c r="F752" t="s">
        <v>111</v>
      </c>
      <c r="G752" t="s">
        <v>121</v>
      </c>
      <c r="H752" t="s">
        <v>235</v>
      </c>
      <c r="J752">
        <v>0</v>
      </c>
      <c r="K752">
        <v>1</v>
      </c>
      <c r="L752">
        <v>94.97142857</v>
      </c>
      <c r="M752">
        <v>24.31591813</v>
      </c>
      <c r="N752">
        <v>0.122951111</v>
      </c>
      <c r="O752">
        <v>0.39050790000000002</v>
      </c>
      <c r="P752">
        <v>132.27272730000001</v>
      </c>
      <c r="Q752">
        <v>20.180448590000001</v>
      </c>
      <c r="R752">
        <v>3.7813451999999997E-2</v>
      </c>
      <c r="S752">
        <v>0.41404401000000002</v>
      </c>
      <c r="T752" t="s">
        <v>1015</v>
      </c>
      <c r="U752">
        <v>37.301298729999999</v>
      </c>
    </row>
    <row r="753" spans="1:21" x14ac:dyDescent="0.25">
      <c r="A753" t="s">
        <v>71</v>
      </c>
      <c r="B753" t="s">
        <v>835</v>
      </c>
      <c r="C753">
        <v>10</v>
      </c>
      <c r="D753" t="s">
        <v>21</v>
      </c>
      <c r="E753" t="s">
        <v>94</v>
      </c>
      <c r="F753" t="s">
        <v>102</v>
      </c>
      <c r="G753" t="s">
        <v>121</v>
      </c>
      <c r="H753" t="s">
        <v>114</v>
      </c>
      <c r="J753">
        <v>0</v>
      </c>
      <c r="K753" t="s">
        <v>114</v>
      </c>
      <c r="L753">
        <v>84.740740740000007</v>
      </c>
      <c r="M753">
        <v>29.167014049999999</v>
      </c>
      <c r="N753">
        <v>1.1169849999999999</v>
      </c>
      <c r="O753">
        <v>1.1571499000000001</v>
      </c>
      <c r="P753" t="s">
        <v>114</v>
      </c>
      <c r="Q753" t="s">
        <v>114</v>
      </c>
      <c r="R753" t="s">
        <v>114</v>
      </c>
      <c r="S753" t="s">
        <v>114</v>
      </c>
      <c r="T753" t="s">
        <v>1015</v>
      </c>
      <c r="U753" t="s">
        <v>114</v>
      </c>
    </row>
    <row r="754" spans="1:21" x14ac:dyDescent="0.25">
      <c r="A754" t="s">
        <v>71</v>
      </c>
      <c r="B754" t="s">
        <v>836</v>
      </c>
      <c r="C754">
        <v>10</v>
      </c>
      <c r="D754" t="s">
        <v>21</v>
      </c>
      <c r="E754" t="s">
        <v>94</v>
      </c>
      <c r="F754" t="s">
        <v>111</v>
      </c>
      <c r="G754" t="s">
        <v>111</v>
      </c>
      <c r="H754" t="s">
        <v>111</v>
      </c>
      <c r="J754">
        <v>0</v>
      </c>
      <c r="K754">
        <v>1</v>
      </c>
      <c r="L754">
        <v>94.97142857</v>
      </c>
      <c r="M754">
        <v>24.31591813</v>
      </c>
      <c r="N754">
        <v>0.122951111</v>
      </c>
      <c r="O754">
        <v>0.39050790000000002</v>
      </c>
      <c r="P754">
        <v>94.97142857</v>
      </c>
      <c r="Q754">
        <v>24.31591813</v>
      </c>
      <c r="R754">
        <v>0.122951111</v>
      </c>
      <c r="S754">
        <v>0.39050790000000002</v>
      </c>
      <c r="T754" t="s">
        <v>1015</v>
      </c>
      <c r="U754">
        <v>0</v>
      </c>
    </row>
    <row r="755" spans="1:21" x14ac:dyDescent="0.25">
      <c r="A755" t="s">
        <v>71</v>
      </c>
      <c r="B755" t="s">
        <v>836</v>
      </c>
      <c r="C755">
        <v>10</v>
      </c>
      <c r="D755" t="s">
        <v>21</v>
      </c>
      <c r="E755" t="s">
        <v>94</v>
      </c>
      <c r="F755" t="s">
        <v>111</v>
      </c>
      <c r="G755" t="s">
        <v>111</v>
      </c>
      <c r="H755" t="s">
        <v>250</v>
      </c>
      <c r="J755">
        <v>0</v>
      </c>
      <c r="K755">
        <v>1</v>
      </c>
      <c r="L755">
        <v>94.97142857</v>
      </c>
      <c r="M755">
        <v>24.31591813</v>
      </c>
      <c r="N755">
        <v>0.122951111</v>
      </c>
      <c r="O755">
        <v>0.39050790000000002</v>
      </c>
      <c r="P755">
        <v>157.14285709999999</v>
      </c>
      <c r="Q755">
        <v>28.969081320000001</v>
      </c>
      <c r="R755">
        <v>0.55164111100000002</v>
      </c>
      <c r="S755" t="s">
        <v>114</v>
      </c>
      <c r="T755" t="s">
        <v>1015</v>
      </c>
      <c r="U755">
        <v>62.17142853</v>
      </c>
    </row>
    <row r="756" spans="1:21" x14ac:dyDescent="0.25">
      <c r="A756" t="s">
        <v>71</v>
      </c>
      <c r="B756" t="s">
        <v>837</v>
      </c>
      <c r="C756">
        <v>10</v>
      </c>
      <c r="D756" t="s">
        <v>21</v>
      </c>
      <c r="E756" t="s">
        <v>94</v>
      </c>
      <c r="F756" t="s">
        <v>104</v>
      </c>
      <c r="G756" t="s">
        <v>104</v>
      </c>
      <c r="H756" t="s">
        <v>104</v>
      </c>
      <c r="J756">
        <v>0</v>
      </c>
      <c r="K756">
        <v>1</v>
      </c>
      <c r="L756">
        <v>113.9375</v>
      </c>
      <c r="M756">
        <v>33.375507550000002</v>
      </c>
      <c r="N756">
        <v>2.4262999999999999</v>
      </c>
      <c r="O756">
        <v>0.40692159999999999</v>
      </c>
      <c r="P756">
        <v>113.9375</v>
      </c>
      <c r="Q756">
        <v>33.375507550000002</v>
      </c>
      <c r="R756">
        <v>2.4262999999999999</v>
      </c>
      <c r="S756">
        <v>0.40692159999999999</v>
      </c>
      <c r="T756" t="s">
        <v>1015</v>
      </c>
      <c r="U756">
        <v>0</v>
      </c>
    </row>
    <row r="757" spans="1:21" x14ac:dyDescent="0.25">
      <c r="A757" t="s">
        <v>72</v>
      </c>
      <c r="B757" t="s">
        <v>838</v>
      </c>
      <c r="C757">
        <v>10</v>
      </c>
      <c r="D757" t="s">
        <v>23</v>
      </c>
      <c r="E757" t="s">
        <v>95</v>
      </c>
      <c r="F757" t="s">
        <v>105</v>
      </c>
      <c r="G757" t="s">
        <v>121</v>
      </c>
      <c r="H757" t="s">
        <v>238</v>
      </c>
      <c r="J757">
        <v>0</v>
      </c>
      <c r="K757">
        <v>1</v>
      </c>
      <c r="L757">
        <v>67.5</v>
      </c>
      <c r="M757">
        <v>47.937235809999997</v>
      </c>
      <c r="N757">
        <v>0.41599678000000001</v>
      </c>
      <c r="O757">
        <v>2.0950346999999998</v>
      </c>
      <c r="P757">
        <v>87.5</v>
      </c>
      <c r="Q757">
        <v>29.478311600000001</v>
      </c>
      <c r="R757">
        <v>3.0797751000000002E-2</v>
      </c>
      <c r="S757">
        <v>0.12931835</v>
      </c>
      <c r="T757" t="s">
        <v>1015</v>
      </c>
      <c r="U757">
        <v>20</v>
      </c>
    </row>
    <row r="758" spans="1:21" x14ac:dyDescent="0.25">
      <c r="A758" t="s">
        <v>72</v>
      </c>
      <c r="B758" t="s">
        <v>839</v>
      </c>
      <c r="C758">
        <v>10</v>
      </c>
      <c r="D758" t="s">
        <v>23</v>
      </c>
      <c r="E758" t="s">
        <v>95</v>
      </c>
      <c r="F758" t="s">
        <v>111</v>
      </c>
      <c r="G758" t="s">
        <v>121</v>
      </c>
      <c r="H758" t="s">
        <v>114</v>
      </c>
      <c r="J758">
        <v>0</v>
      </c>
      <c r="K758">
        <v>0</v>
      </c>
      <c r="L758">
        <v>94.97142857</v>
      </c>
      <c r="M758">
        <v>24.31591813</v>
      </c>
      <c r="N758">
        <v>0.122951111</v>
      </c>
      <c r="O758">
        <v>0.39050790000000002</v>
      </c>
      <c r="P758" t="s">
        <v>114</v>
      </c>
      <c r="Q758" t="s">
        <v>114</v>
      </c>
      <c r="R758" t="s">
        <v>114</v>
      </c>
      <c r="S758" t="s">
        <v>114</v>
      </c>
      <c r="T758" t="s">
        <v>1015</v>
      </c>
      <c r="U758" t="s">
        <v>114</v>
      </c>
    </row>
    <row r="759" spans="1:21" x14ac:dyDescent="0.25">
      <c r="A759" t="s">
        <v>72</v>
      </c>
      <c r="B759" t="s">
        <v>840</v>
      </c>
      <c r="C759">
        <v>10</v>
      </c>
      <c r="D759" t="s">
        <v>23</v>
      </c>
      <c r="E759" t="s">
        <v>95</v>
      </c>
      <c r="F759" t="s">
        <v>104</v>
      </c>
      <c r="G759" t="s">
        <v>104</v>
      </c>
      <c r="H759" t="s">
        <v>104</v>
      </c>
      <c r="J759">
        <v>0</v>
      </c>
      <c r="K759">
        <v>1</v>
      </c>
      <c r="L759">
        <v>113.9375</v>
      </c>
      <c r="M759">
        <v>33.375507550000002</v>
      </c>
      <c r="N759">
        <v>2.4262999999999999</v>
      </c>
      <c r="O759">
        <v>0.40692159999999999</v>
      </c>
      <c r="P759">
        <v>113.9375</v>
      </c>
      <c r="Q759">
        <v>33.375507550000002</v>
      </c>
      <c r="R759">
        <v>2.4262999999999999</v>
      </c>
      <c r="S759">
        <v>0.40692159999999999</v>
      </c>
      <c r="T759" t="s">
        <v>1015</v>
      </c>
      <c r="U759">
        <v>0</v>
      </c>
    </row>
    <row r="760" spans="1:21" x14ac:dyDescent="0.25">
      <c r="A760" t="s">
        <v>72</v>
      </c>
      <c r="B760" t="s">
        <v>840</v>
      </c>
      <c r="C760">
        <v>10</v>
      </c>
      <c r="D760" t="s">
        <v>23</v>
      </c>
      <c r="E760" t="s">
        <v>95</v>
      </c>
      <c r="F760" t="s">
        <v>104</v>
      </c>
      <c r="G760" t="s">
        <v>104</v>
      </c>
      <c r="H760" t="s">
        <v>244</v>
      </c>
      <c r="J760">
        <v>0</v>
      </c>
      <c r="K760">
        <v>1</v>
      </c>
      <c r="L760">
        <v>113.9375</v>
      </c>
      <c r="M760">
        <v>33.375507550000002</v>
      </c>
      <c r="N760">
        <v>2.4262999999999999</v>
      </c>
      <c r="O760">
        <v>0.40692159999999999</v>
      </c>
      <c r="P760">
        <v>75</v>
      </c>
      <c r="Q760">
        <v>28.80614499</v>
      </c>
      <c r="R760">
        <v>2.3860428570000001</v>
      </c>
      <c r="S760">
        <v>0.26400832000000002</v>
      </c>
      <c r="T760" t="s">
        <v>1015</v>
      </c>
      <c r="U760">
        <v>38.9375</v>
      </c>
    </row>
    <row r="761" spans="1:21" x14ac:dyDescent="0.25">
      <c r="A761" t="s">
        <v>72</v>
      </c>
      <c r="B761" t="s">
        <v>841</v>
      </c>
      <c r="C761">
        <v>10</v>
      </c>
      <c r="D761" t="s">
        <v>23</v>
      </c>
      <c r="E761" t="s">
        <v>95</v>
      </c>
      <c r="F761" t="s">
        <v>112</v>
      </c>
      <c r="G761" t="s">
        <v>121</v>
      </c>
      <c r="H761" t="s">
        <v>238</v>
      </c>
      <c r="J761">
        <v>0</v>
      </c>
      <c r="K761">
        <v>1</v>
      </c>
      <c r="L761">
        <v>65.09375</v>
      </c>
      <c r="M761">
        <v>37.895352600000002</v>
      </c>
      <c r="N761">
        <v>2.2882677779999998</v>
      </c>
      <c r="O761">
        <v>2.2111774</v>
      </c>
      <c r="P761">
        <v>87.5</v>
      </c>
      <c r="Q761">
        <v>29.478311600000001</v>
      </c>
      <c r="R761">
        <v>3.0797751000000002E-2</v>
      </c>
      <c r="S761">
        <v>0.12931835</v>
      </c>
      <c r="T761" t="s">
        <v>1015</v>
      </c>
      <c r="U761">
        <v>22.40625</v>
      </c>
    </row>
    <row r="762" spans="1:21" x14ac:dyDescent="0.25">
      <c r="A762" t="s">
        <v>73</v>
      </c>
      <c r="B762" t="s">
        <v>842</v>
      </c>
      <c r="C762">
        <v>10</v>
      </c>
      <c r="D762" t="s">
        <v>25</v>
      </c>
      <c r="E762" t="s">
        <v>94</v>
      </c>
      <c r="F762" t="s">
        <v>105</v>
      </c>
      <c r="G762" t="s">
        <v>112</v>
      </c>
      <c r="H762" t="s">
        <v>112</v>
      </c>
      <c r="J762">
        <v>0</v>
      </c>
      <c r="K762">
        <v>1</v>
      </c>
      <c r="L762">
        <v>67.5</v>
      </c>
      <c r="M762">
        <v>47.937235809999997</v>
      </c>
      <c r="N762">
        <v>0.41599678000000001</v>
      </c>
      <c r="O762">
        <v>2.0950346999999998</v>
      </c>
      <c r="P762">
        <v>65.09375</v>
      </c>
      <c r="Q762">
        <v>37.895352600000002</v>
      </c>
      <c r="R762">
        <v>2.2882677779999998</v>
      </c>
      <c r="S762">
        <v>2.2111774</v>
      </c>
      <c r="T762" t="s">
        <v>1015</v>
      </c>
      <c r="U762">
        <v>2.40625</v>
      </c>
    </row>
    <row r="763" spans="1:21" x14ac:dyDescent="0.25">
      <c r="A763" t="s">
        <v>73</v>
      </c>
      <c r="B763" t="s">
        <v>843</v>
      </c>
      <c r="C763">
        <v>10</v>
      </c>
      <c r="D763" t="s">
        <v>25</v>
      </c>
      <c r="E763" t="s">
        <v>94</v>
      </c>
      <c r="F763" t="s">
        <v>110</v>
      </c>
      <c r="G763" t="s">
        <v>110</v>
      </c>
      <c r="H763" t="s">
        <v>110</v>
      </c>
      <c r="J763">
        <v>0</v>
      </c>
      <c r="K763">
        <v>3</v>
      </c>
      <c r="L763">
        <v>73.260869569999997</v>
      </c>
      <c r="M763">
        <v>34.453830549999999</v>
      </c>
      <c r="N763">
        <v>1.058333333</v>
      </c>
      <c r="O763">
        <v>0.90897070000000002</v>
      </c>
      <c r="P763">
        <v>73.260869569999997</v>
      </c>
      <c r="Q763">
        <v>34.453830549999999</v>
      </c>
      <c r="R763">
        <v>1.058333333</v>
      </c>
      <c r="S763">
        <v>0.90897070000000002</v>
      </c>
      <c r="T763" t="s">
        <v>1015</v>
      </c>
      <c r="U763">
        <v>0</v>
      </c>
    </row>
    <row r="764" spans="1:21" x14ac:dyDescent="0.25">
      <c r="A764" t="s">
        <v>73</v>
      </c>
      <c r="B764" t="s">
        <v>843</v>
      </c>
      <c r="C764">
        <v>10</v>
      </c>
      <c r="D764" t="s">
        <v>25</v>
      </c>
      <c r="E764" t="s">
        <v>94</v>
      </c>
      <c r="F764" t="s">
        <v>110</v>
      </c>
      <c r="G764" t="s">
        <v>110</v>
      </c>
      <c r="H764" t="s">
        <v>110</v>
      </c>
      <c r="J764">
        <v>0</v>
      </c>
      <c r="K764">
        <v>3</v>
      </c>
      <c r="L764">
        <v>73.260869569999997</v>
      </c>
      <c r="M764">
        <v>34.453830549999999</v>
      </c>
      <c r="N764">
        <v>1.058333333</v>
      </c>
      <c r="O764">
        <v>0.90897070000000002</v>
      </c>
      <c r="P764">
        <v>73.260869569999997</v>
      </c>
      <c r="Q764">
        <v>34.453830549999999</v>
      </c>
      <c r="R764">
        <v>1.058333333</v>
      </c>
      <c r="S764">
        <v>0.90897070000000002</v>
      </c>
      <c r="T764" t="s">
        <v>1015</v>
      </c>
      <c r="U764">
        <v>0</v>
      </c>
    </row>
    <row r="765" spans="1:21" x14ac:dyDescent="0.25">
      <c r="A765" t="s">
        <v>73</v>
      </c>
      <c r="B765" t="s">
        <v>843</v>
      </c>
      <c r="C765">
        <v>10</v>
      </c>
      <c r="D765" t="s">
        <v>25</v>
      </c>
      <c r="E765" t="s">
        <v>94</v>
      </c>
      <c r="F765" t="s">
        <v>110</v>
      </c>
      <c r="G765" t="s">
        <v>110</v>
      </c>
      <c r="H765" t="s">
        <v>110</v>
      </c>
      <c r="J765">
        <v>0</v>
      </c>
      <c r="K765">
        <v>3</v>
      </c>
      <c r="L765">
        <v>73.260869569999997</v>
      </c>
      <c r="M765">
        <v>34.453830549999999</v>
      </c>
      <c r="N765">
        <v>1.058333333</v>
      </c>
      <c r="O765">
        <v>0.90897070000000002</v>
      </c>
      <c r="P765">
        <v>73.260869569999997</v>
      </c>
      <c r="Q765">
        <v>34.453830549999999</v>
      </c>
      <c r="R765">
        <v>1.058333333</v>
      </c>
      <c r="S765">
        <v>0.90897070000000002</v>
      </c>
      <c r="T765" t="s">
        <v>1015</v>
      </c>
      <c r="U765">
        <v>0</v>
      </c>
    </row>
    <row r="766" spans="1:21" x14ac:dyDescent="0.25">
      <c r="A766" t="s">
        <v>73</v>
      </c>
      <c r="B766" t="s">
        <v>843</v>
      </c>
      <c r="C766">
        <v>10</v>
      </c>
      <c r="D766" t="s">
        <v>25</v>
      </c>
      <c r="E766" t="s">
        <v>94</v>
      </c>
      <c r="F766" t="s">
        <v>110</v>
      </c>
      <c r="G766" t="s">
        <v>110</v>
      </c>
      <c r="H766" t="s">
        <v>251</v>
      </c>
      <c r="J766">
        <v>0</v>
      </c>
      <c r="K766">
        <v>1</v>
      </c>
      <c r="L766">
        <v>73.260869569999997</v>
      </c>
      <c r="M766">
        <v>34.453830549999999</v>
      </c>
      <c r="N766">
        <v>1.058333333</v>
      </c>
      <c r="O766">
        <v>0.90897070000000002</v>
      </c>
      <c r="P766">
        <v>85</v>
      </c>
      <c r="Q766">
        <v>37.099157669999997</v>
      </c>
      <c r="R766">
        <v>0.65291888899999995</v>
      </c>
      <c r="S766" t="s">
        <v>114</v>
      </c>
      <c r="T766" t="s">
        <v>1015</v>
      </c>
      <c r="U766">
        <v>11.739130429999999</v>
      </c>
    </row>
    <row r="767" spans="1:21" x14ac:dyDescent="0.25">
      <c r="A767" t="s">
        <v>73</v>
      </c>
      <c r="B767" t="s">
        <v>843</v>
      </c>
      <c r="C767">
        <v>10</v>
      </c>
      <c r="D767" t="s">
        <v>25</v>
      </c>
      <c r="E767" t="s">
        <v>94</v>
      </c>
      <c r="F767" t="s">
        <v>110</v>
      </c>
      <c r="G767" t="s">
        <v>110</v>
      </c>
      <c r="H767" t="s">
        <v>246</v>
      </c>
      <c r="J767">
        <v>0</v>
      </c>
      <c r="K767">
        <v>1</v>
      </c>
      <c r="L767">
        <v>73.260869569999997</v>
      </c>
      <c r="M767">
        <v>34.453830549999999</v>
      </c>
      <c r="N767">
        <v>1.058333333</v>
      </c>
      <c r="O767">
        <v>0.90897070000000002</v>
      </c>
      <c r="P767">
        <v>120.25</v>
      </c>
      <c r="Q767">
        <v>30.670450110000001</v>
      </c>
      <c r="R767">
        <v>0.91037498500000003</v>
      </c>
      <c r="S767" t="s">
        <v>114</v>
      </c>
      <c r="T767" t="s">
        <v>1015</v>
      </c>
      <c r="U767">
        <v>46.989130430000003</v>
      </c>
    </row>
    <row r="768" spans="1:21" x14ac:dyDescent="0.25">
      <c r="A768" t="s">
        <v>73</v>
      </c>
      <c r="B768" t="s">
        <v>844</v>
      </c>
      <c r="C768">
        <v>10</v>
      </c>
      <c r="D768" t="s">
        <v>25</v>
      </c>
      <c r="E768" t="s">
        <v>94</v>
      </c>
      <c r="F768" t="s">
        <v>104</v>
      </c>
      <c r="G768" t="s">
        <v>104</v>
      </c>
      <c r="H768" t="s">
        <v>104</v>
      </c>
      <c r="J768">
        <v>0</v>
      </c>
      <c r="K768">
        <v>1</v>
      </c>
      <c r="L768">
        <v>113.9375</v>
      </c>
      <c r="M768">
        <v>33.375507550000002</v>
      </c>
      <c r="N768">
        <v>2.4262999999999999</v>
      </c>
      <c r="O768">
        <v>0.40692159999999999</v>
      </c>
      <c r="P768">
        <v>113.9375</v>
      </c>
      <c r="Q768">
        <v>33.375507550000002</v>
      </c>
      <c r="R768">
        <v>2.4262999999999999</v>
      </c>
      <c r="S768">
        <v>0.40692159999999999</v>
      </c>
      <c r="T768" t="s">
        <v>1015</v>
      </c>
      <c r="U768">
        <v>0</v>
      </c>
    </row>
    <row r="769" spans="1:21" x14ac:dyDescent="0.25">
      <c r="A769" t="s">
        <v>73</v>
      </c>
      <c r="B769" t="s">
        <v>845</v>
      </c>
      <c r="C769">
        <v>10</v>
      </c>
      <c r="D769" t="s">
        <v>25</v>
      </c>
      <c r="E769" t="s">
        <v>94</v>
      </c>
      <c r="F769" t="s">
        <v>112</v>
      </c>
      <c r="G769" t="s">
        <v>121</v>
      </c>
      <c r="H769" t="s">
        <v>114</v>
      </c>
      <c r="J769">
        <v>0</v>
      </c>
      <c r="K769" t="s">
        <v>114</v>
      </c>
      <c r="L769">
        <v>65.09375</v>
      </c>
      <c r="M769">
        <v>37.895352600000002</v>
      </c>
      <c r="N769">
        <v>2.2882677779999998</v>
      </c>
      <c r="O769">
        <v>2.2111774</v>
      </c>
      <c r="P769" t="s">
        <v>114</v>
      </c>
      <c r="Q769" t="s">
        <v>114</v>
      </c>
      <c r="R769" t="s">
        <v>114</v>
      </c>
      <c r="S769" t="s">
        <v>114</v>
      </c>
      <c r="T769" t="s">
        <v>1015</v>
      </c>
      <c r="U769" t="s">
        <v>114</v>
      </c>
    </row>
    <row r="770" spans="1:21" x14ac:dyDescent="0.25">
      <c r="A770" t="s">
        <v>74</v>
      </c>
      <c r="B770" t="s">
        <v>846</v>
      </c>
      <c r="C770">
        <v>10</v>
      </c>
      <c r="D770" t="s">
        <v>27</v>
      </c>
      <c r="E770" t="s">
        <v>95</v>
      </c>
      <c r="F770" t="s">
        <v>102</v>
      </c>
      <c r="G770" t="s">
        <v>113</v>
      </c>
      <c r="H770" t="s">
        <v>113</v>
      </c>
      <c r="J770">
        <v>0</v>
      </c>
      <c r="K770">
        <v>3</v>
      </c>
      <c r="L770">
        <v>84.740740740000007</v>
      </c>
      <c r="M770">
        <v>29.167014049999999</v>
      </c>
      <c r="N770">
        <v>1.1169849999999999</v>
      </c>
      <c r="O770">
        <v>1.1571499000000001</v>
      </c>
      <c r="P770">
        <v>83.757575759999995</v>
      </c>
      <c r="Q770">
        <v>22.60997987</v>
      </c>
      <c r="R770">
        <v>0.72884000000000004</v>
      </c>
      <c r="S770">
        <v>0.21301339999999999</v>
      </c>
      <c r="T770" t="s">
        <v>1015</v>
      </c>
      <c r="U770">
        <v>0.98316497999999997</v>
      </c>
    </row>
    <row r="771" spans="1:21" x14ac:dyDescent="0.25">
      <c r="A771" t="s">
        <v>74</v>
      </c>
      <c r="B771" t="s">
        <v>846</v>
      </c>
      <c r="C771">
        <v>10</v>
      </c>
      <c r="D771" t="s">
        <v>27</v>
      </c>
      <c r="E771" t="s">
        <v>95</v>
      </c>
      <c r="F771" t="s">
        <v>102</v>
      </c>
      <c r="G771" t="s">
        <v>113</v>
      </c>
      <c r="H771" t="s">
        <v>113</v>
      </c>
      <c r="J771">
        <v>0</v>
      </c>
      <c r="K771">
        <v>3</v>
      </c>
      <c r="L771">
        <v>84.740740740000007</v>
      </c>
      <c r="M771">
        <v>29.167014049999999</v>
      </c>
      <c r="N771">
        <v>1.1169849999999999</v>
      </c>
      <c r="O771">
        <v>1.1571499000000001</v>
      </c>
      <c r="P771">
        <v>83.757575759999995</v>
      </c>
      <c r="Q771">
        <v>22.60997987</v>
      </c>
      <c r="R771">
        <v>0.72884000000000004</v>
      </c>
      <c r="S771">
        <v>0.21301339999999999</v>
      </c>
      <c r="T771" t="s">
        <v>1015</v>
      </c>
      <c r="U771">
        <v>0.98316497999999997</v>
      </c>
    </row>
    <row r="772" spans="1:21" x14ac:dyDescent="0.25">
      <c r="A772" t="s">
        <v>74</v>
      </c>
      <c r="B772" t="s">
        <v>846</v>
      </c>
      <c r="C772">
        <v>10</v>
      </c>
      <c r="D772" t="s">
        <v>27</v>
      </c>
      <c r="E772" t="s">
        <v>95</v>
      </c>
      <c r="F772" t="s">
        <v>102</v>
      </c>
      <c r="G772" t="s">
        <v>113</v>
      </c>
      <c r="H772" t="s">
        <v>113</v>
      </c>
      <c r="J772">
        <v>0</v>
      </c>
      <c r="K772">
        <v>3</v>
      </c>
      <c r="L772">
        <v>84.740740740000007</v>
      </c>
      <c r="M772">
        <v>29.167014049999999</v>
      </c>
      <c r="N772">
        <v>1.1169849999999999</v>
      </c>
      <c r="O772">
        <v>1.1571499000000001</v>
      </c>
      <c r="P772">
        <v>83.757575759999995</v>
      </c>
      <c r="Q772">
        <v>22.60997987</v>
      </c>
      <c r="R772">
        <v>0.72884000000000004</v>
      </c>
      <c r="S772">
        <v>0.21301339999999999</v>
      </c>
      <c r="T772" t="s">
        <v>1015</v>
      </c>
      <c r="U772">
        <v>0.98316497999999997</v>
      </c>
    </row>
    <row r="773" spans="1:21" x14ac:dyDescent="0.25">
      <c r="A773" t="s">
        <v>74</v>
      </c>
      <c r="B773" t="s">
        <v>846</v>
      </c>
      <c r="C773">
        <v>10</v>
      </c>
      <c r="D773" t="s">
        <v>27</v>
      </c>
      <c r="E773" t="s">
        <v>95</v>
      </c>
      <c r="F773" t="s">
        <v>102</v>
      </c>
      <c r="G773" t="s">
        <v>113</v>
      </c>
      <c r="H773" t="s">
        <v>103</v>
      </c>
      <c r="J773">
        <v>0</v>
      </c>
      <c r="K773">
        <v>1</v>
      </c>
      <c r="L773">
        <v>84.740740740000007</v>
      </c>
      <c r="M773">
        <v>29.167014049999999</v>
      </c>
      <c r="N773">
        <v>1.1169849999999999</v>
      </c>
      <c r="O773">
        <v>1.1571499000000001</v>
      </c>
      <c r="P773">
        <v>98.291666669999998</v>
      </c>
      <c r="Q773">
        <v>30.315130790000001</v>
      </c>
      <c r="R773">
        <v>5.0803484000000003E-2</v>
      </c>
      <c r="S773">
        <v>0.42866070000000001</v>
      </c>
      <c r="T773" t="s">
        <v>1015</v>
      </c>
      <c r="U773">
        <v>13.55092593</v>
      </c>
    </row>
    <row r="774" spans="1:21" x14ac:dyDescent="0.25">
      <c r="A774" t="s">
        <v>74</v>
      </c>
      <c r="B774" t="s">
        <v>847</v>
      </c>
      <c r="C774">
        <v>10</v>
      </c>
      <c r="D774" t="s">
        <v>27</v>
      </c>
      <c r="E774" t="s">
        <v>95</v>
      </c>
      <c r="F774" t="s">
        <v>113</v>
      </c>
      <c r="G774" t="s">
        <v>113</v>
      </c>
      <c r="H774" t="s">
        <v>113</v>
      </c>
      <c r="J774">
        <v>0</v>
      </c>
      <c r="K774">
        <v>1</v>
      </c>
      <c r="L774">
        <v>83.757575759999995</v>
      </c>
      <c r="M774">
        <v>22.60997987</v>
      </c>
      <c r="N774">
        <v>0.72884000000000004</v>
      </c>
      <c r="O774">
        <v>0.21301339999999999</v>
      </c>
      <c r="P774">
        <v>83.757575759999995</v>
      </c>
      <c r="Q774">
        <v>22.60997987</v>
      </c>
      <c r="R774">
        <v>0.72884000000000004</v>
      </c>
      <c r="S774">
        <v>0.21301339999999999</v>
      </c>
      <c r="T774" t="s">
        <v>1015</v>
      </c>
      <c r="U774">
        <v>0</v>
      </c>
    </row>
    <row r="775" spans="1:21" x14ac:dyDescent="0.25">
      <c r="A775" t="s">
        <v>74</v>
      </c>
      <c r="B775" t="s">
        <v>847</v>
      </c>
      <c r="C775">
        <v>10</v>
      </c>
      <c r="D775" t="s">
        <v>27</v>
      </c>
      <c r="E775" t="s">
        <v>95</v>
      </c>
      <c r="F775" t="s">
        <v>113</v>
      </c>
      <c r="G775" t="s">
        <v>113</v>
      </c>
      <c r="H775" t="s">
        <v>248</v>
      </c>
      <c r="J775">
        <v>0</v>
      </c>
      <c r="K775">
        <v>2</v>
      </c>
      <c r="L775">
        <v>83.757575759999995</v>
      </c>
      <c r="M775">
        <v>22.60997987</v>
      </c>
      <c r="N775">
        <v>0.72884000000000004</v>
      </c>
      <c r="O775">
        <v>0.21301339999999999</v>
      </c>
      <c r="P775">
        <v>83.92307692</v>
      </c>
      <c r="Q775">
        <v>44.319135699999997</v>
      </c>
      <c r="R775">
        <v>5.9548609999999997E-3</v>
      </c>
      <c r="S775">
        <v>0.18017928</v>
      </c>
      <c r="T775" t="s">
        <v>1015</v>
      </c>
      <c r="U775">
        <v>0.16550116000000001</v>
      </c>
    </row>
    <row r="776" spans="1:21" x14ac:dyDescent="0.25">
      <c r="A776" t="s">
        <v>74</v>
      </c>
      <c r="B776" t="s">
        <v>847</v>
      </c>
      <c r="C776">
        <v>10</v>
      </c>
      <c r="D776" t="s">
        <v>27</v>
      </c>
      <c r="E776" t="s">
        <v>95</v>
      </c>
      <c r="F776" t="s">
        <v>113</v>
      </c>
      <c r="G776" t="s">
        <v>113</v>
      </c>
      <c r="H776" t="s">
        <v>248</v>
      </c>
      <c r="J776">
        <v>0</v>
      </c>
      <c r="K776">
        <v>2</v>
      </c>
      <c r="L776">
        <v>83.757575759999995</v>
      </c>
      <c r="M776">
        <v>22.60997987</v>
      </c>
      <c r="N776">
        <v>0.72884000000000004</v>
      </c>
      <c r="O776">
        <v>0.21301339999999999</v>
      </c>
      <c r="P776">
        <v>83.92307692</v>
      </c>
      <c r="Q776">
        <v>44.319135699999997</v>
      </c>
      <c r="R776">
        <v>5.9548609999999997E-3</v>
      </c>
      <c r="S776">
        <v>0.18017928</v>
      </c>
      <c r="T776" t="s">
        <v>1015</v>
      </c>
      <c r="U776">
        <v>0.16550116000000001</v>
      </c>
    </row>
    <row r="777" spans="1:21" x14ac:dyDescent="0.25">
      <c r="A777" t="s">
        <v>74</v>
      </c>
      <c r="B777" t="s">
        <v>848</v>
      </c>
      <c r="C777">
        <v>10</v>
      </c>
      <c r="D777" t="s">
        <v>27</v>
      </c>
      <c r="E777" t="s">
        <v>95</v>
      </c>
      <c r="F777" t="s">
        <v>103</v>
      </c>
      <c r="G777" t="s">
        <v>113</v>
      </c>
      <c r="H777" t="s">
        <v>113</v>
      </c>
      <c r="J777">
        <v>0</v>
      </c>
      <c r="K777">
        <v>1</v>
      </c>
      <c r="L777">
        <v>98.291666669999998</v>
      </c>
      <c r="M777">
        <v>30.315130790000001</v>
      </c>
      <c r="N777">
        <v>5.0803484000000003E-2</v>
      </c>
      <c r="O777">
        <v>0.42866070000000001</v>
      </c>
      <c r="P777">
        <v>83.757575759999995</v>
      </c>
      <c r="Q777">
        <v>22.60997987</v>
      </c>
      <c r="R777">
        <v>0.72884000000000004</v>
      </c>
      <c r="S777">
        <v>0.21301339999999999</v>
      </c>
      <c r="T777" t="s">
        <v>1015</v>
      </c>
      <c r="U777">
        <v>14.53409091</v>
      </c>
    </row>
    <row r="778" spans="1:21" x14ac:dyDescent="0.25">
      <c r="A778" t="s">
        <v>75</v>
      </c>
      <c r="B778" t="s">
        <v>849</v>
      </c>
      <c r="C778">
        <v>10</v>
      </c>
      <c r="D778" t="s">
        <v>29</v>
      </c>
      <c r="E778" t="s">
        <v>94</v>
      </c>
      <c r="F778" t="s">
        <v>105</v>
      </c>
      <c r="G778" t="s">
        <v>121</v>
      </c>
      <c r="H778" t="s">
        <v>251</v>
      </c>
      <c r="J778">
        <v>0</v>
      </c>
      <c r="K778">
        <v>1</v>
      </c>
      <c r="L778">
        <v>67.5</v>
      </c>
      <c r="M778">
        <v>47.937235809999997</v>
      </c>
      <c r="N778">
        <v>0.41599678000000001</v>
      </c>
      <c r="O778">
        <v>2.0950346999999998</v>
      </c>
      <c r="P778">
        <v>85</v>
      </c>
      <c r="Q778">
        <v>37.099157669999997</v>
      </c>
      <c r="R778">
        <v>0.65291888899999995</v>
      </c>
      <c r="S778" t="s">
        <v>114</v>
      </c>
      <c r="T778" t="s">
        <v>1015</v>
      </c>
      <c r="U778">
        <v>17.5</v>
      </c>
    </row>
    <row r="779" spans="1:21" x14ac:dyDescent="0.25">
      <c r="A779" t="s">
        <v>75</v>
      </c>
      <c r="B779" t="s">
        <v>849</v>
      </c>
      <c r="C779">
        <v>10</v>
      </c>
      <c r="D779" t="s">
        <v>29</v>
      </c>
      <c r="E779" t="s">
        <v>94</v>
      </c>
      <c r="F779" t="s">
        <v>105</v>
      </c>
      <c r="G779" t="s">
        <v>121</v>
      </c>
      <c r="H779" t="s">
        <v>244</v>
      </c>
      <c r="J779">
        <v>0</v>
      </c>
      <c r="K779">
        <v>1</v>
      </c>
      <c r="L779">
        <v>67.5</v>
      </c>
      <c r="M779">
        <v>47.937235809999997</v>
      </c>
      <c r="N779">
        <v>0.41599678000000001</v>
      </c>
      <c r="O779">
        <v>2.0950346999999998</v>
      </c>
      <c r="P779">
        <v>75</v>
      </c>
      <c r="Q779">
        <v>28.80614499</v>
      </c>
      <c r="R779">
        <v>2.3860428570000001</v>
      </c>
      <c r="S779">
        <v>0.26400832000000002</v>
      </c>
      <c r="T779" t="s">
        <v>1015</v>
      </c>
      <c r="U779">
        <v>7.5</v>
      </c>
    </row>
    <row r="780" spans="1:21" x14ac:dyDescent="0.25">
      <c r="A780" t="s">
        <v>75</v>
      </c>
      <c r="B780" t="s">
        <v>850</v>
      </c>
      <c r="C780">
        <v>10</v>
      </c>
      <c r="D780" t="s">
        <v>29</v>
      </c>
      <c r="E780" t="s">
        <v>94</v>
      </c>
      <c r="F780" t="s">
        <v>110</v>
      </c>
      <c r="G780" t="s">
        <v>104</v>
      </c>
      <c r="H780" t="s">
        <v>104</v>
      </c>
      <c r="J780">
        <v>0</v>
      </c>
      <c r="K780">
        <v>2</v>
      </c>
      <c r="L780">
        <v>73.260869569999997</v>
      </c>
      <c r="M780">
        <v>34.453830549999999</v>
      </c>
      <c r="N780">
        <v>1.058333333</v>
      </c>
      <c r="O780">
        <v>0.90897070000000002</v>
      </c>
      <c r="P780">
        <v>113.9375</v>
      </c>
      <c r="Q780">
        <v>33.375507550000002</v>
      </c>
      <c r="R780">
        <v>2.4262999999999999</v>
      </c>
      <c r="S780">
        <v>0.40692159999999999</v>
      </c>
      <c r="T780" t="s">
        <v>1015</v>
      </c>
      <c r="U780">
        <v>40.676630430000003</v>
      </c>
    </row>
    <row r="781" spans="1:21" x14ac:dyDescent="0.25">
      <c r="A781" t="s">
        <v>75</v>
      </c>
      <c r="B781" t="s">
        <v>850</v>
      </c>
      <c r="C781">
        <v>10</v>
      </c>
      <c r="D781" t="s">
        <v>29</v>
      </c>
      <c r="E781" t="s">
        <v>94</v>
      </c>
      <c r="F781" t="s">
        <v>110</v>
      </c>
      <c r="G781" t="s">
        <v>104</v>
      </c>
      <c r="H781" t="s">
        <v>104</v>
      </c>
      <c r="J781">
        <v>0</v>
      </c>
      <c r="K781">
        <v>2</v>
      </c>
      <c r="L781">
        <v>73.260869569999997</v>
      </c>
      <c r="M781">
        <v>34.453830549999999</v>
      </c>
      <c r="N781">
        <v>1.058333333</v>
      </c>
      <c r="O781">
        <v>0.90897070000000002</v>
      </c>
      <c r="P781">
        <v>113.9375</v>
      </c>
      <c r="Q781">
        <v>33.375507550000002</v>
      </c>
      <c r="R781">
        <v>2.4262999999999999</v>
      </c>
      <c r="S781">
        <v>0.40692159999999999</v>
      </c>
      <c r="T781" t="s">
        <v>1015</v>
      </c>
      <c r="U781">
        <v>40.676630430000003</v>
      </c>
    </row>
    <row r="782" spans="1:21" x14ac:dyDescent="0.25">
      <c r="A782" t="s">
        <v>75</v>
      </c>
      <c r="B782" t="s">
        <v>851</v>
      </c>
      <c r="C782">
        <v>10</v>
      </c>
      <c r="D782" t="s">
        <v>29</v>
      </c>
      <c r="E782" t="s">
        <v>94</v>
      </c>
      <c r="F782" t="s">
        <v>103</v>
      </c>
      <c r="G782" t="s">
        <v>121</v>
      </c>
      <c r="H782" t="s">
        <v>251</v>
      </c>
      <c r="J782">
        <v>0</v>
      </c>
      <c r="K782">
        <v>1</v>
      </c>
      <c r="L782">
        <v>98.291666669999998</v>
      </c>
      <c r="M782">
        <v>30.315130790000001</v>
      </c>
      <c r="N782">
        <v>5.0803484000000003E-2</v>
      </c>
      <c r="O782">
        <v>0.42866070000000001</v>
      </c>
      <c r="P782">
        <v>85</v>
      </c>
      <c r="Q782">
        <v>37.099157669999997</v>
      </c>
      <c r="R782">
        <v>0.65291888899999995</v>
      </c>
      <c r="S782" t="s">
        <v>114</v>
      </c>
      <c r="T782" t="s">
        <v>1015</v>
      </c>
      <c r="U782">
        <v>13.29166667</v>
      </c>
    </row>
    <row r="783" spans="1:21" x14ac:dyDescent="0.25">
      <c r="A783" t="s">
        <v>75</v>
      </c>
      <c r="B783" t="s">
        <v>851</v>
      </c>
      <c r="C783">
        <v>10</v>
      </c>
      <c r="D783" t="s">
        <v>29</v>
      </c>
      <c r="E783" t="s">
        <v>94</v>
      </c>
      <c r="F783" t="s">
        <v>103</v>
      </c>
      <c r="G783" t="s">
        <v>121</v>
      </c>
      <c r="H783" t="s">
        <v>233</v>
      </c>
      <c r="J783">
        <v>0</v>
      </c>
      <c r="K783">
        <v>1</v>
      </c>
      <c r="L783">
        <v>98.291666669999998</v>
      </c>
      <c r="M783">
        <v>30.315130790000001</v>
      </c>
      <c r="N783">
        <v>5.0803484000000003E-2</v>
      </c>
      <c r="O783">
        <v>0.42866070000000001</v>
      </c>
      <c r="P783">
        <v>106.0540541</v>
      </c>
      <c r="Q783">
        <v>52.690533369999997</v>
      </c>
      <c r="R783">
        <v>7.6058968000000005E-2</v>
      </c>
      <c r="S783">
        <v>0.44888888999999998</v>
      </c>
      <c r="T783" t="s">
        <v>1015</v>
      </c>
      <c r="U783">
        <v>7.7623874300000004</v>
      </c>
    </row>
    <row r="784" spans="1:21" x14ac:dyDescent="0.25">
      <c r="A784" t="s">
        <v>75</v>
      </c>
      <c r="B784" t="s">
        <v>851</v>
      </c>
      <c r="C784">
        <v>10</v>
      </c>
      <c r="D784" t="s">
        <v>29</v>
      </c>
      <c r="E784" t="s">
        <v>94</v>
      </c>
      <c r="F784" t="s">
        <v>103</v>
      </c>
      <c r="G784" t="s">
        <v>121</v>
      </c>
      <c r="H784" t="s">
        <v>105</v>
      </c>
      <c r="J784">
        <v>0</v>
      </c>
      <c r="K784">
        <v>1</v>
      </c>
      <c r="L784">
        <v>98.291666669999998</v>
      </c>
      <c r="M784">
        <v>30.315130790000001</v>
      </c>
      <c r="N784">
        <v>5.0803484000000003E-2</v>
      </c>
      <c r="O784">
        <v>0.42866070000000001</v>
      </c>
      <c r="P784">
        <v>67.5</v>
      </c>
      <c r="Q784">
        <v>47.937235809999997</v>
      </c>
      <c r="R784">
        <v>0.41599678000000001</v>
      </c>
      <c r="S784">
        <v>2.0950346999999998</v>
      </c>
      <c r="T784" t="s">
        <v>1015</v>
      </c>
      <c r="U784">
        <v>30.791666670000001</v>
      </c>
    </row>
    <row r="785" spans="1:21" x14ac:dyDescent="0.25">
      <c r="A785" t="s">
        <v>76</v>
      </c>
      <c r="B785" t="s">
        <v>852</v>
      </c>
      <c r="C785">
        <v>10</v>
      </c>
      <c r="D785" t="s">
        <v>31</v>
      </c>
      <c r="E785" t="s">
        <v>94</v>
      </c>
      <c r="F785" t="s">
        <v>113</v>
      </c>
      <c r="G785" t="s">
        <v>113</v>
      </c>
      <c r="H785" t="s">
        <v>113</v>
      </c>
      <c r="J785">
        <v>0</v>
      </c>
      <c r="K785">
        <v>2</v>
      </c>
      <c r="L785">
        <v>83.757575759999995</v>
      </c>
      <c r="M785">
        <v>22.60997987</v>
      </c>
      <c r="N785">
        <v>0.72884000000000004</v>
      </c>
      <c r="O785">
        <v>0.21301339999999999</v>
      </c>
      <c r="P785">
        <v>83.757575759999995</v>
      </c>
      <c r="Q785">
        <v>22.60997987</v>
      </c>
      <c r="R785">
        <v>0.72884000000000004</v>
      </c>
      <c r="S785">
        <v>0.21301339999999999</v>
      </c>
      <c r="T785" t="s">
        <v>1015</v>
      </c>
      <c r="U785">
        <v>0</v>
      </c>
    </row>
    <row r="786" spans="1:21" x14ac:dyDescent="0.25">
      <c r="A786" t="s">
        <v>76</v>
      </c>
      <c r="B786" t="s">
        <v>852</v>
      </c>
      <c r="C786">
        <v>10</v>
      </c>
      <c r="D786" t="s">
        <v>31</v>
      </c>
      <c r="E786" t="s">
        <v>94</v>
      </c>
      <c r="F786" t="s">
        <v>113</v>
      </c>
      <c r="G786" t="s">
        <v>113</v>
      </c>
      <c r="H786" t="s">
        <v>113</v>
      </c>
      <c r="J786">
        <v>0</v>
      </c>
      <c r="K786">
        <v>2</v>
      </c>
      <c r="L786">
        <v>83.757575759999995</v>
      </c>
      <c r="M786">
        <v>22.60997987</v>
      </c>
      <c r="N786">
        <v>0.72884000000000004</v>
      </c>
      <c r="O786">
        <v>0.21301339999999999</v>
      </c>
      <c r="P786">
        <v>83.757575759999995</v>
      </c>
      <c r="Q786">
        <v>22.60997987</v>
      </c>
      <c r="R786">
        <v>0.72884000000000004</v>
      </c>
      <c r="S786">
        <v>0.21301339999999999</v>
      </c>
      <c r="T786" t="s">
        <v>1015</v>
      </c>
      <c r="U786">
        <v>0</v>
      </c>
    </row>
    <row r="787" spans="1:21" x14ac:dyDescent="0.25">
      <c r="A787" t="s">
        <v>76</v>
      </c>
      <c r="B787" t="s">
        <v>852</v>
      </c>
      <c r="C787">
        <v>10</v>
      </c>
      <c r="D787" t="s">
        <v>31</v>
      </c>
      <c r="E787" t="s">
        <v>94</v>
      </c>
      <c r="F787" t="s">
        <v>113</v>
      </c>
      <c r="G787" t="s">
        <v>113</v>
      </c>
      <c r="H787" t="s">
        <v>238</v>
      </c>
      <c r="J787">
        <v>0</v>
      </c>
      <c r="K787">
        <v>1</v>
      </c>
      <c r="L787">
        <v>83.757575759999995</v>
      </c>
      <c r="M787">
        <v>22.60997987</v>
      </c>
      <c r="N787">
        <v>0.72884000000000004</v>
      </c>
      <c r="O787">
        <v>0.21301339999999999</v>
      </c>
      <c r="P787">
        <v>87.5</v>
      </c>
      <c r="Q787">
        <v>29.478311600000001</v>
      </c>
      <c r="R787">
        <v>3.0797751000000002E-2</v>
      </c>
      <c r="S787">
        <v>0.12931835</v>
      </c>
      <c r="T787" t="s">
        <v>1015</v>
      </c>
      <c r="U787">
        <v>3.7424242400000001</v>
      </c>
    </row>
    <row r="788" spans="1:21" x14ac:dyDescent="0.25">
      <c r="A788" t="s">
        <v>76</v>
      </c>
      <c r="B788" t="s">
        <v>852</v>
      </c>
      <c r="C788">
        <v>10</v>
      </c>
      <c r="D788" t="s">
        <v>31</v>
      </c>
      <c r="E788" t="s">
        <v>94</v>
      </c>
      <c r="F788" t="s">
        <v>113</v>
      </c>
      <c r="G788" t="s">
        <v>113</v>
      </c>
      <c r="H788" t="s">
        <v>235</v>
      </c>
      <c r="J788">
        <v>0</v>
      </c>
      <c r="K788">
        <v>5</v>
      </c>
      <c r="L788">
        <v>83.757575759999995</v>
      </c>
      <c r="M788">
        <v>22.60997987</v>
      </c>
      <c r="N788">
        <v>0.72884000000000004</v>
      </c>
      <c r="O788">
        <v>0.21301339999999999</v>
      </c>
      <c r="P788">
        <v>132.27272730000001</v>
      </c>
      <c r="Q788">
        <v>20.180448590000001</v>
      </c>
      <c r="R788">
        <v>3.7813451999999997E-2</v>
      </c>
      <c r="S788">
        <v>0.41404401000000002</v>
      </c>
      <c r="T788" t="s">
        <v>1015</v>
      </c>
      <c r="U788">
        <v>48.515151539999998</v>
      </c>
    </row>
    <row r="789" spans="1:21" x14ac:dyDescent="0.25">
      <c r="A789" t="s">
        <v>76</v>
      </c>
      <c r="B789" t="s">
        <v>852</v>
      </c>
      <c r="C789">
        <v>10</v>
      </c>
      <c r="D789" t="s">
        <v>31</v>
      </c>
      <c r="E789" t="s">
        <v>94</v>
      </c>
      <c r="F789" t="s">
        <v>113</v>
      </c>
      <c r="G789" t="s">
        <v>113</v>
      </c>
      <c r="H789" t="s">
        <v>235</v>
      </c>
      <c r="J789">
        <v>0</v>
      </c>
      <c r="K789">
        <v>5</v>
      </c>
      <c r="L789">
        <v>83.757575759999995</v>
      </c>
      <c r="M789">
        <v>22.60997987</v>
      </c>
      <c r="N789">
        <v>0.72884000000000004</v>
      </c>
      <c r="O789">
        <v>0.21301339999999999</v>
      </c>
      <c r="P789">
        <v>132.27272730000001</v>
      </c>
      <c r="Q789">
        <v>20.180448590000001</v>
      </c>
      <c r="R789">
        <v>3.7813451999999997E-2</v>
      </c>
      <c r="S789">
        <v>0.41404401000000002</v>
      </c>
      <c r="T789" t="s">
        <v>1015</v>
      </c>
      <c r="U789">
        <v>48.515151539999998</v>
      </c>
    </row>
    <row r="790" spans="1:21" x14ac:dyDescent="0.25">
      <c r="A790" t="s">
        <v>76</v>
      </c>
      <c r="B790" t="s">
        <v>852</v>
      </c>
      <c r="C790">
        <v>10</v>
      </c>
      <c r="D790" t="s">
        <v>31</v>
      </c>
      <c r="E790" t="s">
        <v>94</v>
      </c>
      <c r="F790" t="s">
        <v>113</v>
      </c>
      <c r="G790" t="s">
        <v>113</v>
      </c>
      <c r="H790" t="s">
        <v>235</v>
      </c>
      <c r="J790">
        <v>0</v>
      </c>
      <c r="K790">
        <v>5</v>
      </c>
      <c r="L790">
        <v>83.757575759999995</v>
      </c>
      <c r="M790">
        <v>22.60997987</v>
      </c>
      <c r="N790">
        <v>0.72884000000000004</v>
      </c>
      <c r="O790">
        <v>0.21301339999999999</v>
      </c>
      <c r="P790">
        <v>132.27272730000001</v>
      </c>
      <c r="Q790">
        <v>20.180448590000001</v>
      </c>
      <c r="R790">
        <v>3.7813451999999997E-2</v>
      </c>
      <c r="S790">
        <v>0.41404401000000002</v>
      </c>
      <c r="T790" t="s">
        <v>1015</v>
      </c>
      <c r="U790">
        <v>48.515151539999998</v>
      </c>
    </row>
    <row r="791" spans="1:21" x14ac:dyDescent="0.25">
      <c r="A791" t="s">
        <v>76</v>
      </c>
      <c r="B791" t="s">
        <v>852</v>
      </c>
      <c r="C791">
        <v>10</v>
      </c>
      <c r="D791" t="s">
        <v>31</v>
      </c>
      <c r="E791" t="s">
        <v>94</v>
      </c>
      <c r="F791" t="s">
        <v>113</v>
      </c>
      <c r="G791" t="s">
        <v>113</v>
      </c>
      <c r="H791" t="s">
        <v>235</v>
      </c>
      <c r="J791">
        <v>0</v>
      </c>
      <c r="K791">
        <v>5</v>
      </c>
      <c r="L791">
        <v>83.757575759999995</v>
      </c>
      <c r="M791">
        <v>22.60997987</v>
      </c>
      <c r="N791">
        <v>0.72884000000000004</v>
      </c>
      <c r="O791">
        <v>0.21301339999999999</v>
      </c>
      <c r="P791">
        <v>132.27272730000001</v>
      </c>
      <c r="Q791">
        <v>20.180448590000001</v>
      </c>
      <c r="R791">
        <v>3.7813451999999997E-2</v>
      </c>
      <c r="S791">
        <v>0.41404401000000002</v>
      </c>
      <c r="T791" t="s">
        <v>1015</v>
      </c>
      <c r="U791">
        <v>48.515151539999998</v>
      </c>
    </row>
    <row r="792" spans="1:21" x14ac:dyDescent="0.25">
      <c r="A792" t="s">
        <v>76</v>
      </c>
      <c r="B792" t="s">
        <v>852</v>
      </c>
      <c r="C792">
        <v>10</v>
      </c>
      <c r="D792" t="s">
        <v>31</v>
      </c>
      <c r="E792" t="s">
        <v>94</v>
      </c>
      <c r="F792" t="s">
        <v>113</v>
      </c>
      <c r="G792" t="s">
        <v>113</v>
      </c>
      <c r="H792" t="s">
        <v>235</v>
      </c>
      <c r="J792">
        <v>0</v>
      </c>
      <c r="K792">
        <v>5</v>
      </c>
      <c r="L792">
        <v>83.757575759999995</v>
      </c>
      <c r="M792">
        <v>22.60997987</v>
      </c>
      <c r="N792">
        <v>0.72884000000000004</v>
      </c>
      <c r="O792">
        <v>0.21301339999999999</v>
      </c>
      <c r="P792">
        <v>132.27272730000001</v>
      </c>
      <c r="Q792">
        <v>20.180448590000001</v>
      </c>
      <c r="R792">
        <v>3.7813451999999997E-2</v>
      </c>
      <c r="S792">
        <v>0.41404401000000002</v>
      </c>
      <c r="T792" t="s">
        <v>1015</v>
      </c>
      <c r="U792">
        <v>48.515151539999998</v>
      </c>
    </row>
    <row r="793" spans="1:21" x14ac:dyDescent="0.25">
      <c r="A793" t="s">
        <v>77</v>
      </c>
      <c r="B793" t="s">
        <v>853</v>
      </c>
      <c r="C793">
        <v>10</v>
      </c>
      <c r="D793" t="s">
        <v>33</v>
      </c>
      <c r="E793" t="s">
        <v>94</v>
      </c>
      <c r="F793" t="s">
        <v>102</v>
      </c>
      <c r="G793" t="s">
        <v>110</v>
      </c>
      <c r="H793" t="s">
        <v>110</v>
      </c>
      <c r="J793">
        <v>0</v>
      </c>
      <c r="K793">
        <v>1</v>
      </c>
      <c r="L793">
        <v>84.740740740000007</v>
      </c>
      <c r="M793">
        <v>29.167014049999999</v>
      </c>
      <c r="N793">
        <v>1.1169849999999999</v>
      </c>
      <c r="O793">
        <v>1.1571499000000001</v>
      </c>
      <c r="P793">
        <v>73.260869569999997</v>
      </c>
      <c r="Q793">
        <v>34.453830549999999</v>
      </c>
      <c r="R793">
        <v>1.058333333</v>
      </c>
      <c r="S793">
        <v>0.90897070000000002</v>
      </c>
      <c r="T793" t="s">
        <v>1015</v>
      </c>
      <c r="U793">
        <v>11.479871169999999</v>
      </c>
    </row>
    <row r="794" spans="1:21" x14ac:dyDescent="0.25">
      <c r="A794" t="s">
        <v>77</v>
      </c>
      <c r="B794" t="s">
        <v>853</v>
      </c>
      <c r="C794">
        <v>10</v>
      </c>
      <c r="D794" t="s">
        <v>33</v>
      </c>
      <c r="E794" t="s">
        <v>94</v>
      </c>
      <c r="F794" t="s">
        <v>102</v>
      </c>
      <c r="G794" t="s">
        <v>110</v>
      </c>
      <c r="H794" t="s">
        <v>162</v>
      </c>
      <c r="J794">
        <v>0</v>
      </c>
      <c r="K794">
        <v>1</v>
      </c>
      <c r="L794">
        <v>84.740740740000007</v>
      </c>
      <c r="M794">
        <v>29.167014049999999</v>
      </c>
      <c r="N794">
        <v>1.1169849999999999</v>
      </c>
      <c r="O794">
        <v>1.1571499000000001</v>
      </c>
      <c r="P794">
        <v>82.53846154</v>
      </c>
      <c r="Q794">
        <v>35.660530039999998</v>
      </c>
      <c r="R794">
        <v>3.3754499999999998</v>
      </c>
      <c r="S794" t="s">
        <v>114</v>
      </c>
      <c r="T794" t="s">
        <v>1015</v>
      </c>
      <c r="U794">
        <v>2.2022792</v>
      </c>
    </row>
    <row r="795" spans="1:21" x14ac:dyDescent="0.25">
      <c r="A795" t="s">
        <v>77</v>
      </c>
      <c r="B795" t="s">
        <v>854</v>
      </c>
      <c r="C795">
        <v>10</v>
      </c>
      <c r="D795" t="s">
        <v>33</v>
      </c>
      <c r="E795" t="s">
        <v>94</v>
      </c>
      <c r="F795" t="s">
        <v>110</v>
      </c>
      <c r="G795" t="s">
        <v>110</v>
      </c>
      <c r="H795" t="s">
        <v>110</v>
      </c>
      <c r="J795">
        <v>0</v>
      </c>
      <c r="K795">
        <v>3</v>
      </c>
      <c r="L795">
        <v>73.260869569999997</v>
      </c>
      <c r="M795">
        <v>34.453830549999999</v>
      </c>
      <c r="N795">
        <v>1.058333333</v>
      </c>
      <c r="O795">
        <v>0.90897070000000002</v>
      </c>
      <c r="P795">
        <v>73.260869569999997</v>
      </c>
      <c r="Q795">
        <v>34.453830549999999</v>
      </c>
      <c r="R795">
        <v>1.058333333</v>
      </c>
      <c r="S795">
        <v>0.90897070000000002</v>
      </c>
      <c r="T795" t="s">
        <v>1015</v>
      </c>
      <c r="U795">
        <v>0</v>
      </c>
    </row>
    <row r="796" spans="1:21" x14ac:dyDescent="0.25">
      <c r="A796" t="s">
        <v>77</v>
      </c>
      <c r="B796" t="s">
        <v>854</v>
      </c>
      <c r="C796">
        <v>10</v>
      </c>
      <c r="D796" t="s">
        <v>33</v>
      </c>
      <c r="E796" t="s">
        <v>94</v>
      </c>
      <c r="F796" t="s">
        <v>110</v>
      </c>
      <c r="G796" t="s">
        <v>110</v>
      </c>
      <c r="H796" t="s">
        <v>110</v>
      </c>
      <c r="J796">
        <v>0</v>
      </c>
      <c r="K796">
        <v>3</v>
      </c>
      <c r="L796">
        <v>73.260869569999997</v>
      </c>
      <c r="M796">
        <v>34.453830549999999</v>
      </c>
      <c r="N796">
        <v>1.058333333</v>
      </c>
      <c r="O796">
        <v>0.90897070000000002</v>
      </c>
      <c r="P796">
        <v>73.260869569999997</v>
      </c>
      <c r="Q796">
        <v>34.453830549999999</v>
      </c>
      <c r="R796">
        <v>1.058333333</v>
      </c>
      <c r="S796">
        <v>0.90897070000000002</v>
      </c>
      <c r="T796" t="s">
        <v>1015</v>
      </c>
      <c r="U796">
        <v>0</v>
      </c>
    </row>
    <row r="797" spans="1:21" x14ac:dyDescent="0.25">
      <c r="A797" t="s">
        <v>77</v>
      </c>
      <c r="B797" t="s">
        <v>854</v>
      </c>
      <c r="C797">
        <v>10</v>
      </c>
      <c r="D797" t="s">
        <v>33</v>
      </c>
      <c r="E797" t="s">
        <v>94</v>
      </c>
      <c r="F797" t="s">
        <v>110</v>
      </c>
      <c r="G797" t="s">
        <v>110</v>
      </c>
      <c r="H797" t="s">
        <v>110</v>
      </c>
      <c r="J797">
        <v>0</v>
      </c>
      <c r="K797">
        <v>3</v>
      </c>
      <c r="L797">
        <v>73.260869569999997</v>
      </c>
      <c r="M797">
        <v>34.453830549999999</v>
      </c>
      <c r="N797">
        <v>1.058333333</v>
      </c>
      <c r="O797">
        <v>0.90897070000000002</v>
      </c>
      <c r="P797">
        <v>73.260869569999997</v>
      </c>
      <c r="Q797">
        <v>34.453830549999999</v>
      </c>
      <c r="R797">
        <v>1.058333333</v>
      </c>
      <c r="S797">
        <v>0.90897070000000002</v>
      </c>
      <c r="T797" t="s">
        <v>1015</v>
      </c>
      <c r="U797">
        <v>0</v>
      </c>
    </row>
    <row r="798" spans="1:21" x14ac:dyDescent="0.25">
      <c r="A798" t="s">
        <v>78</v>
      </c>
      <c r="B798" t="s">
        <v>855</v>
      </c>
      <c r="C798">
        <v>10</v>
      </c>
      <c r="D798" t="s">
        <v>35</v>
      </c>
      <c r="E798" t="s">
        <v>94</v>
      </c>
      <c r="F798" t="s">
        <v>111</v>
      </c>
      <c r="G798" t="s">
        <v>121</v>
      </c>
      <c r="H798" t="s">
        <v>114</v>
      </c>
      <c r="J798">
        <v>0</v>
      </c>
      <c r="K798">
        <v>0</v>
      </c>
      <c r="L798">
        <v>94.97142857</v>
      </c>
      <c r="M798">
        <v>24.31591813</v>
      </c>
      <c r="N798">
        <v>0.122951111</v>
      </c>
      <c r="O798">
        <v>0.39050790000000002</v>
      </c>
      <c r="P798" t="s">
        <v>114</v>
      </c>
      <c r="Q798" t="s">
        <v>114</v>
      </c>
      <c r="R798" t="s">
        <v>114</v>
      </c>
      <c r="S798" t="s">
        <v>114</v>
      </c>
      <c r="T798" t="s">
        <v>1015</v>
      </c>
      <c r="U798" t="s">
        <v>114</v>
      </c>
    </row>
    <row r="799" spans="1:21" x14ac:dyDescent="0.25">
      <c r="A799" t="s">
        <v>50</v>
      </c>
      <c r="B799" t="s">
        <v>856</v>
      </c>
      <c r="C799">
        <v>12</v>
      </c>
      <c r="D799" t="s">
        <v>11</v>
      </c>
      <c r="E799" t="s">
        <v>95</v>
      </c>
      <c r="F799" t="s">
        <v>113</v>
      </c>
      <c r="G799" t="s">
        <v>113</v>
      </c>
      <c r="H799" t="s">
        <v>113</v>
      </c>
      <c r="J799">
        <v>0</v>
      </c>
      <c r="K799">
        <v>6</v>
      </c>
      <c r="L799">
        <v>83.757575759999995</v>
      </c>
      <c r="M799">
        <v>22.60997987</v>
      </c>
      <c r="N799">
        <v>0.72884000000000004</v>
      </c>
      <c r="O799">
        <v>0.21301339999999999</v>
      </c>
      <c r="P799">
        <v>83.757575759999995</v>
      </c>
      <c r="Q799">
        <v>22.60997987</v>
      </c>
      <c r="R799">
        <v>0.72884000000000004</v>
      </c>
      <c r="S799">
        <v>0.21301339999999999</v>
      </c>
      <c r="T799" t="s">
        <v>1015</v>
      </c>
      <c r="U799">
        <v>0</v>
      </c>
    </row>
    <row r="800" spans="1:21" x14ac:dyDescent="0.25">
      <c r="A800" t="s">
        <v>50</v>
      </c>
      <c r="B800" t="s">
        <v>856</v>
      </c>
      <c r="C800">
        <v>12</v>
      </c>
      <c r="D800" t="s">
        <v>11</v>
      </c>
      <c r="E800" t="s">
        <v>95</v>
      </c>
      <c r="F800" t="s">
        <v>113</v>
      </c>
      <c r="G800" t="s">
        <v>113</v>
      </c>
      <c r="H800" t="s">
        <v>113</v>
      </c>
      <c r="J800">
        <v>0</v>
      </c>
      <c r="K800">
        <v>6</v>
      </c>
      <c r="L800">
        <v>83.757575759999995</v>
      </c>
      <c r="M800">
        <v>22.60997987</v>
      </c>
      <c r="N800">
        <v>0.72884000000000004</v>
      </c>
      <c r="O800">
        <v>0.21301339999999999</v>
      </c>
      <c r="P800">
        <v>83.757575759999995</v>
      </c>
      <c r="Q800">
        <v>22.60997987</v>
      </c>
      <c r="R800">
        <v>0.72884000000000004</v>
      </c>
      <c r="S800">
        <v>0.21301339999999999</v>
      </c>
      <c r="T800" t="s">
        <v>1015</v>
      </c>
      <c r="U800">
        <v>0</v>
      </c>
    </row>
    <row r="801" spans="1:21" x14ac:dyDescent="0.25">
      <c r="A801" t="s">
        <v>50</v>
      </c>
      <c r="B801" t="s">
        <v>856</v>
      </c>
      <c r="C801">
        <v>12</v>
      </c>
      <c r="D801" t="s">
        <v>11</v>
      </c>
      <c r="E801" t="s">
        <v>95</v>
      </c>
      <c r="F801" t="s">
        <v>113</v>
      </c>
      <c r="G801" t="s">
        <v>113</v>
      </c>
      <c r="H801" t="s">
        <v>113</v>
      </c>
      <c r="J801">
        <v>0</v>
      </c>
      <c r="K801">
        <v>6</v>
      </c>
      <c r="L801">
        <v>83.757575759999995</v>
      </c>
      <c r="M801">
        <v>22.60997987</v>
      </c>
      <c r="N801">
        <v>0.72884000000000004</v>
      </c>
      <c r="O801">
        <v>0.21301339999999999</v>
      </c>
      <c r="P801">
        <v>83.757575759999995</v>
      </c>
      <c r="Q801">
        <v>22.60997987</v>
      </c>
      <c r="R801">
        <v>0.72884000000000004</v>
      </c>
      <c r="S801">
        <v>0.21301339999999999</v>
      </c>
      <c r="T801" t="s">
        <v>1015</v>
      </c>
      <c r="U801">
        <v>0</v>
      </c>
    </row>
    <row r="802" spans="1:21" x14ac:dyDescent="0.25">
      <c r="A802" t="s">
        <v>50</v>
      </c>
      <c r="B802" t="s">
        <v>856</v>
      </c>
      <c r="C802">
        <v>12</v>
      </c>
      <c r="D802" t="s">
        <v>11</v>
      </c>
      <c r="E802" t="s">
        <v>95</v>
      </c>
      <c r="F802" t="s">
        <v>113</v>
      </c>
      <c r="G802" t="s">
        <v>113</v>
      </c>
      <c r="H802" t="s">
        <v>113</v>
      </c>
      <c r="J802">
        <v>0</v>
      </c>
      <c r="K802">
        <v>6</v>
      </c>
      <c r="L802">
        <v>83.757575759999995</v>
      </c>
      <c r="M802">
        <v>22.60997987</v>
      </c>
      <c r="N802">
        <v>0.72884000000000004</v>
      </c>
      <c r="O802">
        <v>0.21301339999999999</v>
      </c>
      <c r="P802">
        <v>83.757575759999995</v>
      </c>
      <c r="Q802">
        <v>22.60997987</v>
      </c>
      <c r="R802">
        <v>0.72884000000000004</v>
      </c>
      <c r="S802">
        <v>0.21301339999999999</v>
      </c>
      <c r="T802" t="s">
        <v>1015</v>
      </c>
      <c r="U802">
        <v>0</v>
      </c>
    </row>
    <row r="803" spans="1:21" x14ac:dyDescent="0.25">
      <c r="A803" t="s">
        <v>50</v>
      </c>
      <c r="B803" t="s">
        <v>856</v>
      </c>
      <c r="C803">
        <v>12</v>
      </c>
      <c r="D803" t="s">
        <v>11</v>
      </c>
      <c r="E803" t="s">
        <v>95</v>
      </c>
      <c r="F803" t="s">
        <v>113</v>
      </c>
      <c r="G803" t="s">
        <v>113</v>
      </c>
      <c r="H803" t="s">
        <v>113</v>
      </c>
      <c r="J803">
        <v>0</v>
      </c>
      <c r="K803">
        <v>6</v>
      </c>
      <c r="L803">
        <v>83.757575759999995</v>
      </c>
      <c r="M803">
        <v>22.60997987</v>
      </c>
      <c r="N803">
        <v>0.72884000000000004</v>
      </c>
      <c r="O803">
        <v>0.21301339999999999</v>
      </c>
      <c r="P803">
        <v>83.757575759999995</v>
      </c>
      <c r="Q803">
        <v>22.60997987</v>
      </c>
      <c r="R803">
        <v>0.72884000000000004</v>
      </c>
      <c r="S803">
        <v>0.21301339999999999</v>
      </c>
      <c r="T803" t="s">
        <v>1015</v>
      </c>
      <c r="U803">
        <v>0</v>
      </c>
    </row>
    <row r="804" spans="1:21" x14ac:dyDescent="0.25">
      <c r="A804" t="s">
        <v>50</v>
      </c>
      <c r="B804" t="s">
        <v>856</v>
      </c>
      <c r="C804">
        <v>12</v>
      </c>
      <c r="D804" t="s">
        <v>11</v>
      </c>
      <c r="E804" t="s">
        <v>95</v>
      </c>
      <c r="F804" t="s">
        <v>113</v>
      </c>
      <c r="G804" t="s">
        <v>113</v>
      </c>
      <c r="H804" t="s">
        <v>113</v>
      </c>
      <c r="J804">
        <v>0</v>
      </c>
      <c r="K804">
        <v>6</v>
      </c>
      <c r="L804">
        <v>83.757575759999995</v>
      </c>
      <c r="M804">
        <v>22.60997987</v>
      </c>
      <c r="N804">
        <v>0.72884000000000004</v>
      </c>
      <c r="O804">
        <v>0.21301339999999999</v>
      </c>
      <c r="P804">
        <v>83.757575759999995</v>
      </c>
      <c r="Q804">
        <v>22.60997987</v>
      </c>
      <c r="R804">
        <v>0.72884000000000004</v>
      </c>
      <c r="S804">
        <v>0.21301339999999999</v>
      </c>
      <c r="T804" t="s">
        <v>1015</v>
      </c>
      <c r="U804">
        <v>0</v>
      </c>
    </row>
    <row r="805" spans="1:21" x14ac:dyDescent="0.25">
      <c r="A805" t="s">
        <v>50</v>
      </c>
      <c r="B805" t="s">
        <v>856</v>
      </c>
      <c r="C805">
        <v>12</v>
      </c>
      <c r="D805" t="s">
        <v>11</v>
      </c>
      <c r="E805" t="s">
        <v>95</v>
      </c>
      <c r="F805" t="s">
        <v>113</v>
      </c>
      <c r="G805" t="s">
        <v>113</v>
      </c>
      <c r="H805" t="s">
        <v>238</v>
      </c>
      <c r="J805">
        <v>0</v>
      </c>
      <c r="K805">
        <v>1</v>
      </c>
      <c r="L805">
        <v>83.757575759999995</v>
      </c>
      <c r="M805">
        <v>22.60997987</v>
      </c>
      <c r="N805">
        <v>0.72884000000000004</v>
      </c>
      <c r="O805">
        <v>0.21301339999999999</v>
      </c>
      <c r="P805">
        <v>87.5</v>
      </c>
      <c r="Q805">
        <v>29.478311600000001</v>
      </c>
      <c r="R805">
        <v>3.0797751000000002E-2</v>
      </c>
      <c r="S805">
        <v>0.12931835</v>
      </c>
      <c r="T805" t="s">
        <v>1015</v>
      </c>
      <c r="U805">
        <v>3.7424242400000001</v>
      </c>
    </row>
    <row r="806" spans="1:21" x14ac:dyDescent="0.25">
      <c r="A806" t="s">
        <v>50</v>
      </c>
      <c r="B806" t="s">
        <v>857</v>
      </c>
      <c r="C806">
        <v>12</v>
      </c>
      <c r="D806" t="s">
        <v>11</v>
      </c>
      <c r="E806" t="s">
        <v>95</v>
      </c>
      <c r="F806" t="s">
        <v>103</v>
      </c>
      <c r="G806" t="s">
        <v>113</v>
      </c>
      <c r="H806" t="s">
        <v>113</v>
      </c>
      <c r="J806">
        <v>0</v>
      </c>
      <c r="K806">
        <v>4</v>
      </c>
      <c r="L806">
        <v>98.291666669999998</v>
      </c>
      <c r="M806">
        <v>30.315130790000001</v>
      </c>
      <c r="N806">
        <v>5.0803484000000003E-2</v>
      </c>
      <c r="O806">
        <v>0.42866070000000001</v>
      </c>
      <c r="P806">
        <v>83.757575759999995</v>
      </c>
      <c r="Q806">
        <v>22.60997987</v>
      </c>
      <c r="R806">
        <v>0.72884000000000004</v>
      </c>
      <c r="S806">
        <v>0.21301339999999999</v>
      </c>
      <c r="T806" t="s">
        <v>1015</v>
      </c>
      <c r="U806">
        <v>14.53409091</v>
      </c>
    </row>
    <row r="807" spans="1:21" x14ac:dyDescent="0.25">
      <c r="A807" t="s">
        <v>50</v>
      </c>
      <c r="B807" t="s">
        <v>857</v>
      </c>
      <c r="C807">
        <v>12</v>
      </c>
      <c r="D807" t="s">
        <v>11</v>
      </c>
      <c r="E807" t="s">
        <v>95</v>
      </c>
      <c r="F807" t="s">
        <v>103</v>
      </c>
      <c r="G807" t="s">
        <v>113</v>
      </c>
      <c r="H807" t="s">
        <v>113</v>
      </c>
      <c r="J807">
        <v>0</v>
      </c>
      <c r="K807">
        <v>4</v>
      </c>
      <c r="L807">
        <v>98.291666669999998</v>
      </c>
      <c r="M807">
        <v>30.315130790000001</v>
      </c>
      <c r="N807">
        <v>5.0803484000000003E-2</v>
      </c>
      <c r="O807">
        <v>0.42866070000000001</v>
      </c>
      <c r="P807">
        <v>83.757575759999995</v>
      </c>
      <c r="Q807">
        <v>22.60997987</v>
      </c>
      <c r="R807">
        <v>0.72884000000000004</v>
      </c>
      <c r="S807">
        <v>0.21301339999999999</v>
      </c>
      <c r="T807" t="s">
        <v>1015</v>
      </c>
      <c r="U807">
        <v>14.53409091</v>
      </c>
    </row>
    <row r="808" spans="1:21" x14ac:dyDescent="0.25">
      <c r="A808" t="s">
        <v>50</v>
      </c>
      <c r="B808" t="s">
        <v>857</v>
      </c>
      <c r="C808">
        <v>12</v>
      </c>
      <c r="D808" t="s">
        <v>11</v>
      </c>
      <c r="E808" t="s">
        <v>95</v>
      </c>
      <c r="F808" t="s">
        <v>103</v>
      </c>
      <c r="G808" t="s">
        <v>113</v>
      </c>
      <c r="H808" t="s">
        <v>113</v>
      </c>
      <c r="J808">
        <v>0</v>
      </c>
      <c r="K808">
        <v>4</v>
      </c>
      <c r="L808">
        <v>98.291666669999998</v>
      </c>
      <c r="M808">
        <v>30.315130790000001</v>
      </c>
      <c r="N808">
        <v>5.0803484000000003E-2</v>
      </c>
      <c r="O808">
        <v>0.42866070000000001</v>
      </c>
      <c r="P808">
        <v>83.757575759999995</v>
      </c>
      <c r="Q808">
        <v>22.60997987</v>
      </c>
      <c r="R808">
        <v>0.72884000000000004</v>
      </c>
      <c r="S808">
        <v>0.21301339999999999</v>
      </c>
      <c r="T808" t="s">
        <v>1015</v>
      </c>
      <c r="U808">
        <v>14.53409091</v>
      </c>
    </row>
    <row r="809" spans="1:21" x14ac:dyDescent="0.25">
      <c r="A809" t="s">
        <v>50</v>
      </c>
      <c r="B809" t="s">
        <v>857</v>
      </c>
      <c r="C809">
        <v>12</v>
      </c>
      <c r="D809" t="s">
        <v>11</v>
      </c>
      <c r="E809" t="s">
        <v>95</v>
      </c>
      <c r="F809" t="s">
        <v>103</v>
      </c>
      <c r="G809" t="s">
        <v>113</v>
      </c>
      <c r="H809" t="s">
        <v>113</v>
      </c>
      <c r="J809">
        <v>0</v>
      </c>
      <c r="K809">
        <v>4</v>
      </c>
      <c r="L809">
        <v>98.291666669999998</v>
      </c>
      <c r="M809">
        <v>30.315130790000001</v>
      </c>
      <c r="N809">
        <v>5.0803484000000003E-2</v>
      </c>
      <c r="O809">
        <v>0.42866070000000001</v>
      </c>
      <c r="P809">
        <v>83.757575759999995</v>
      </c>
      <c r="Q809">
        <v>22.60997987</v>
      </c>
      <c r="R809">
        <v>0.72884000000000004</v>
      </c>
      <c r="S809">
        <v>0.21301339999999999</v>
      </c>
      <c r="T809" t="s">
        <v>1015</v>
      </c>
      <c r="U809">
        <v>14.53409091</v>
      </c>
    </row>
    <row r="810" spans="1:21" x14ac:dyDescent="0.25">
      <c r="A810" t="s">
        <v>50</v>
      </c>
      <c r="B810" t="s">
        <v>857</v>
      </c>
      <c r="C810">
        <v>12</v>
      </c>
      <c r="D810" t="s">
        <v>11</v>
      </c>
      <c r="E810" t="s">
        <v>95</v>
      </c>
      <c r="F810" t="s">
        <v>103</v>
      </c>
      <c r="G810" t="s">
        <v>113</v>
      </c>
      <c r="H810" t="s">
        <v>242</v>
      </c>
      <c r="J810">
        <v>0</v>
      </c>
      <c r="K810">
        <v>3</v>
      </c>
      <c r="L810">
        <v>98.291666669999998</v>
      </c>
      <c r="M810">
        <v>30.315130790000001</v>
      </c>
      <c r="N810">
        <v>5.0803484000000003E-2</v>
      </c>
      <c r="O810">
        <v>0.42866070000000001</v>
      </c>
      <c r="P810">
        <v>139.375</v>
      </c>
      <c r="Q810">
        <v>23.713465920000001</v>
      </c>
      <c r="R810" t="s">
        <v>114</v>
      </c>
      <c r="S810" t="s">
        <v>114</v>
      </c>
      <c r="T810" t="s">
        <v>1015</v>
      </c>
      <c r="U810">
        <v>41.083333330000002</v>
      </c>
    </row>
    <row r="811" spans="1:21" x14ac:dyDescent="0.25">
      <c r="A811" t="s">
        <v>50</v>
      </c>
      <c r="B811" t="s">
        <v>857</v>
      </c>
      <c r="C811">
        <v>12</v>
      </c>
      <c r="D811" t="s">
        <v>11</v>
      </c>
      <c r="E811" t="s">
        <v>95</v>
      </c>
      <c r="F811" t="s">
        <v>103</v>
      </c>
      <c r="G811" t="s">
        <v>113</v>
      </c>
      <c r="H811" t="s">
        <v>242</v>
      </c>
      <c r="J811">
        <v>0</v>
      </c>
      <c r="K811">
        <v>3</v>
      </c>
      <c r="L811">
        <v>98.291666669999998</v>
      </c>
      <c r="M811">
        <v>30.315130790000001</v>
      </c>
      <c r="N811">
        <v>5.0803484000000003E-2</v>
      </c>
      <c r="O811">
        <v>0.42866070000000001</v>
      </c>
      <c r="P811">
        <v>139.375</v>
      </c>
      <c r="Q811">
        <v>23.713465920000001</v>
      </c>
      <c r="R811" t="s">
        <v>114</v>
      </c>
      <c r="S811" t="s">
        <v>114</v>
      </c>
      <c r="T811" t="s">
        <v>1015</v>
      </c>
      <c r="U811">
        <v>41.083333330000002</v>
      </c>
    </row>
    <row r="812" spans="1:21" x14ac:dyDescent="0.25">
      <c r="A812" t="s">
        <v>50</v>
      </c>
      <c r="B812" t="s">
        <v>857</v>
      </c>
      <c r="C812">
        <v>12</v>
      </c>
      <c r="D812" t="s">
        <v>11</v>
      </c>
      <c r="E812" t="s">
        <v>95</v>
      </c>
      <c r="F812" t="s">
        <v>103</v>
      </c>
      <c r="G812" t="s">
        <v>113</v>
      </c>
      <c r="H812" t="s">
        <v>242</v>
      </c>
      <c r="J812">
        <v>0</v>
      </c>
      <c r="K812">
        <v>3</v>
      </c>
      <c r="L812">
        <v>98.291666669999998</v>
      </c>
      <c r="M812">
        <v>30.315130790000001</v>
      </c>
      <c r="N812">
        <v>5.0803484000000003E-2</v>
      </c>
      <c r="O812">
        <v>0.42866070000000001</v>
      </c>
      <c r="P812">
        <v>139.375</v>
      </c>
      <c r="Q812">
        <v>23.713465920000001</v>
      </c>
      <c r="R812" t="s">
        <v>114</v>
      </c>
      <c r="S812" t="s">
        <v>114</v>
      </c>
      <c r="T812" t="s">
        <v>1015</v>
      </c>
      <c r="U812">
        <v>41.083333330000002</v>
      </c>
    </row>
    <row r="813" spans="1:21" x14ac:dyDescent="0.25">
      <c r="A813" t="s">
        <v>50</v>
      </c>
      <c r="B813" t="s">
        <v>858</v>
      </c>
      <c r="C813">
        <v>12</v>
      </c>
      <c r="D813" t="s">
        <v>11</v>
      </c>
      <c r="E813" t="s">
        <v>95</v>
      </c>
      <c r="F813" t="s">
        <v>111</v>
      </c>
      <c r="G813" t="s">
        <v>113</v>
      </c>
      <c r="H813" t="s">
        <v>113</v>
      </c>
      <c r="J813">
        <v>0</v>
      </c>
      <c r="K813">
        <v>3</v>
      </c>
      <c r="L813">
        <v>94.97142857</v>
      </c>
      <c r="M813">
        <v>24.31591813</v>
      </c>
      <c r="N813">
        <v>0.122951111</v>
      </c>
      <c r="O813">
        <v>0.39050790000000002</v>
      </c>
      <c r="P813">
        <v>83.757575759999995</v>
      </c>
      <c r="Q813">
        <v>22.60997987</v>
      </c>
      <c r="R813">
        <v>0.72884000000000004</v>
      </c>
      <c r="S813">
        <v>0.21301339999999999</v>
      </c>
      <c r="T813" t="s">
        <v>1015</v>
      </c>
      <c r="U813">
        <v>11.213852810000001</v>
      </c>
    </row>
    <row r="814" spans="1:21" x14ac:dyDescent="0.25">
      <c r="A814" t="s">
        <v>50</v>
      </c>
      <c r="B814" t="s">
        <v>858</v>
      </c>
      <c r="C814">
        <v>12</v>
      </c>
      <c r="D814" t="s">
        <v>11</v>
      </c>
      <c r="E814" t="s">
        <v>95</v>
      </c>
      <c r="F814" t="s">
        <v>111</v>
      </c>
      <c r="G814" t="s">
        <v>113</v>
      </c>
      <c r="H814" t="s">
        <v>113</v>
      </c>
      <c r="J814">
        <v>0</v>
      </c>
      <c r="K814">
        <v>3</v>
      </c>
      <c r="L814">
        <v>94.97142857</v>
      </c>
      <c r="M814">
        <v>24.31591813</v>
      </c>
      <c r="N814">
        <v>0.122951111</v>
      </c>
      <c r="O814">
        <v>0.39050790000000002</v>
      </c>
      <c r="P814">
        <v>83.757575759999995</v>
      </c>
      <c r="Q814">
        <v>22.60997987</v>
      </c>
      <c r="R814">
        <v>0.72884000000000004</v>
      </c>
      <c r="S814">
        <v>0.21301339999999999</v>
      </c>
      <c r="T814" t="s">
        <v>1015</v>
      </c>
      <c r="U814">
        <v>11.213852810000001</v>
      </c>
    </row>
    <row r="815" spans="1:21" x14ac:dyDescent="0.25">
      <c r="A815" t="s">
        <v>50</v>
      </c>
      <c r="B815" t="s">
        <v>858</v>
      </c>
      <c r="C815">
        <v>12</v>
      </c>
      <c r="D815" t="s">
        <v>11</v>
      </c>
      <c r="E815" t="s">
        <v>95</v>
      </c>
      <c r="F815" t="s">
        <v>111</v>
      </c>
      <c r="G815" t="s">
        <v>113</v>
      </c>
      <c r="H815" t="s">
        <v>113</v>
      </c>
      <c r="J815">
        <v>0</v>
      </c>
      <c r="K815">
        <v>3</v>
      </c>
      <c r="L815">
        <v>94.97142857</v>
      </c>
      <c r="M815">
        <v>24.31591813</v>
      </c>
      <c r="N815">
        <v>0.122951111</v>
      </c>
      <c r="O815">
        <v>0.39050790000000002</v>
      </c>
      <c r="P815">
        <v>83.757575759999995</v>
      </c>
      <c r="Q815">
        <v>22.60997987</v>
      </c>
      <c r="R815">
        <v>0.72884000000000004</v>
      </c>
      <c r="S815">
        <v>0.21301339999999999</v>
      </c>
      <c r="T815" t="s">
        <v>1015</v>
      </c>
      <c r="U815">
        <v>11.213852810000001</v>
      </c>
    </row>
    <row r="816" spans="1:21" x14ac:dyDescent="0.25">
      <c r="A816" t="s">
        <v>50</v>
      </c>
      <c r="B816" t="s">
        <v>858</v>
      </c>
      <c r="C816">
        <v>12</v>
      </c>
      <c r="D816" t="s">
        <v>11</v>
      </c>
      <c r="E816" t="s">
        <v>95</v>
      </c>
      <c r="F816" t="s">
        <v>111</v>
      </c>
      <c r="G816" t="s">
        <v>113</v>
      </c>
      <c r="H816" t="s">
        <v>242</v>
      </c>
      <c r="J816">
        <v>0</v>
      </c>
      <c r="K816">
        <v>2</v>
      </c>
      <c r="L816">
        <v>94.97142857</v>
      </c>
      <c r="M816">
        <v>24.31591813</v>
      </c>
      <c r="N816">
        <v>0.122951111</v>
      </c>
      <c r="O816">
        <v>0.39050790000000002</v>
      </c>
      <c r="P816">
        <v>139.375</v>
      </c>
      <c r="Q816">
        <v>23.713465920000001</v>
      </c>
      <c r="R816" t="s">
        <v>114</v>
      </c>
      <c r="S816" t="s">
        <v>114</v>
      </c>
      <c r="T816" t="s">
        <v>1015</v>
      </c>
      <c r="U816">
        <v>44.40357143</v>
      </c>
    </row>
    <row r="817" spans="1:21" x14ac:dyDescent="0.25">
      <c r="A817" t="s">
        <v>50</v>
      </c>
      <c r="B817" t="s">
        <v>858</v>
      </c>
      <c r="C817">
        <v>12</v>
      </c>
      <c r="D817" t="s">
        <v>11</v>
      </c>
      <c r="E817" t="s">
        <v>95</v>
      </c>
      <c r="F817" t="s">
        <v>111</v>
      </c>
      <c r="G817" t="s">
        <v>113</v>
      </c>
      <c r="H817" t="s">
        <v>242</v>
      </c>
      <c r="J817">
        <v>0</v>
      </c>
      <c r="K817">
        <v>2</v>
      </c>
      <c r="L817">
        <v>94.97142857</v>
      </c>
      <c r="M817">
        <v>24.31591813</v>
      </c>
      <c r="N817">
        <v>0.122951111</v>
      </c>
      <c r="O817">
        <v>0.39050790000000002</v>
      </c>
      <c r="P817">
        <v>139.375</v>
      </c>
      <c r="Q817">
        <v>23.713465920000001</v>
      </c>
      <c r="R817" t="s">
        <v>114</v>
      </c>
      <c r="S817" t="s">
        <v>114</v>
      </c>
      <c r="T817" t="s">
        <v>1015</v>
      </c>
      <c r="U817">
        <v>44.40357143</v>
      </c>
    </row>
    <row r="818" spans="1:21" x14ac:dyDescent="0.25">
      <c r="A818" t="s">
        <v>50</v>
      </c>
      <c r="B818" t="s">
        <v>859</v>
      </c>
      <c r="C818">
        <v>12</v>
      </c>
      <c r="D818" t="s">
        <v>11</v>
      </c>
      <c r="E818" t="s">
        <v>95</v>
      </c>
      <c r="F818" t="s">
        <v>104</v>
      </c>
      <c r="G818" t="s">
        <v>121</v>
      </c>
      <c r="H818" t="s">
        <v>103</v>
      </c>
      <c r="J818">
        <v>0</v>
      </c>
      <c r="K818">
        <v>1</v>
      </c>
      <c r="L818">
        <v>113.9375</v>
      </c>
      <c r="M818">
        <v>33.375507550000002</v>
      </c>
      <c r="N818">
        <v>2.4262999999999999</v>
      </c>
      <c r="O818">
        <v>0.40692159999999999</v>
      </c>
      <c r="P818">
        <v>98.291666669999998</v>
      </c>
      <c r="Q818">
        <v>30.315130790000001</v>
      </c>
      <c r="R818">
        <v>5.0803484000000003E-2</v>
      </c>
      <c r="S818">
        <v>0.42866070000000001</v>
      </c>
      <c r="T818" t="s">
        <v>1015</v>
      </c>
      <c r="U818">
        <v>15.64583333</v>
      </c>
    </row>
    <row r="819" spans="1:21" x14ac:dyDescent="0.25">
      <c r="A819" t="s">
        <v>50</v>
      </c>
      <c r="B819" t="s">
        <v>859</v>
      </c>
      <c r="C819">
        <v>12</v>
      </c>
      <c r="D819" t="s">
        <v>11</v>
      </c>
      <c r="E819" t="s">
        <v>95</v>
      </c>
      <c r="F819" t="s">
        <v>104</v>
      </c>
      <c r="G819" t="s">
        <v>121</v>
      </c>
      <c r="H819" t="s">
        <v>238</v>
      </c>
      <c r="J819">
        <v>0</v>
      </c>
      <c r="K819">
        <v>1</v>
      </c>
      <c r="L819">
        <v>113.9375</v>
      </c>
      <c r="M819">
        <v>33.375507550000002</v>
      </c>
      <c r="N819">
        <v>2.4262999999999999</v>
      </c>
      <c r="O819">
        <v>0.40692159999999999</v>
      </c>
      <c r="P819">
        <v>87.5</v>
      </c>
      <c r="Q819">
        <v>29.478311600000001</v>
      </c>
      <c r="R819">
        <v>3.0797751000000002E-2</v>
      </c>
      <c r="S819">
        <v>0.12931835</v>
      </c>
      <c r="T819" t="s">
        <v>1015</v>
      </c>
      <c r="U819">
        <v>26.4375</v>
      </c>
    </row>
    <row r="820" spans="1:21" x14ac:dyDescent="0.25">
      <c r="A820" t="s">
        <v>51</v>
      </c>
      <c r="B820" t="s">
        <v>860</v>
      </c>
      <c r="C820">
        <v>12</v>
      </c>
      <c r="D820" t="s">
        <v>15</v>
      </c>
      <c r="E820" t="s">
        <v>94</v>
      </c>
      <c r="F820" t="s">
        <v>105</v>
      </c>
      <c r="G820" t="s">
        <v>104</v>
      </c>
      <c r="H820" t="s">
        <v>104</v>
      </c>
      <c r="J820">
        <v>0</v>
      </c>
      <c r="K820">
        <v>2</v>
      </c>
      <c r="L820">
        <v>67.5</v>
      </c>
      <c r="M820">
        <v>47.937235809999997</v>
      </c>
      <c r="N820">
        <v>0.41599678000000001</v>
      </c>
      <c r="O820">
        <v>2.0950346999999998</v>
      </c>
      <c r="P820">
        <v>113.9375</v>
      </c>
      <c r="Q820">
        <v>33.375507550000002</v>
      </c>
      <c r="R820">
        <v>2.4262999999999999</v>
      </c>
      <c r="S820">
        <v>0.40692159999999999</v>
      </c>
      <c r="T820" t="s">
        <v>1015</v>
      </c>
      <c r="U820">
        <v>46.4375</v>
      </c>
    </row>
    <row r="821" spans="1:21" x14ac:dyDescent="0.25">
      <c r="A821" t="s">
        <v>51</v>
      </c>
      <c r="B821" t="s">
        <v>860</v>
      </c>
      <c r="C821">
        <v>12</v>
      </c>
      <c r="D821" t="s">
        <v>15</v>
      </c>
      <c r="E821" t="s">
        <v>94</v>
      </c>
      <c r="F821" t="s">
        <v>105</v>
      </c>
      <c r="G821" t="s">
        <v>104</v>
      </c>
      <c r="H821" t="s">
        <v>104</v>
      </c>
      <c r="J821">
        <v>0</v>
      </c>
      <c r="K821">
        <v>2</v>
      </c>
      <c r="L821">
        <v>67.5</v>
      </c>
      <c r="M821">
        <v>47.937235809999997</v>
      </c>
      <c r="N821">
        <v>0.41599678000000001</v>
      </c>
      <c r="O821">
        <v>2.0950346999999998</v>
      </c>
      <c r="P821">
        <v>113.9375</v>
      </c>
      <c r="Q821">
        <v>33.375507550000002</v>
      </c>
      <c r="R821">
        <v>2.4262999999999999</v>
      </c>
      <c r="S821">
        <v>0.40692159999999999</v>
      </c>
      <c r="T821" t="s">
        <v>1015</v>
      </c>
      <c r="U821">
        <v>46.4375</v>
      </c>
    </row>
    <row r="822" spans="1:21" x14ac:dyDescent="0.25">
      <c r="A822" t="s">
        <v>51</v>
      </c>
      <c r="B822" t="s">
        <v>861</v>
      </c>
      <c r="C822">
        <v>12</v>
      </c>
      <c r="D822" t="s">
        <v>15</v>
      </c>
      <c r="E822" t="s">
        <v>94</v>
      </c>
      <c r="F822" t="s">
        <v>111</v>
      </c>
      <c r="G822" t="s">
        <v>121</v>
      </c>
      <c r="H822" t="s">
        <v>241</v>
      </c>
      <c r="J822">
        <v>0</v>
      </c>
      <c r="K822">
        <v>1</v>
      </c>
      <c r="L822">
        <v>94.97142857</v>
      </c>
      <c r="M822">
        <v>24.31591813</v>
      </c>
      <c r="N822">
        <v>0.122951111</v>
      </c>
      <c r="O822">
        <v>0.39050790000000002</v>
      </c>
      <c r="P822">
        <v>114</v>
      </c>
      <c r="Q822">
        <v>30.43077242</v>
      </c>
      <c r="R822">
        <v>0.53383111100000002</v>
      </c>
      <c r="S822">
        <v>0.28333332999999999</v>
      </c>
      <c r="T822" t="s">
        <v>1015</v>
      </c>
      <c r="U822">
        <v>19.02857143</v>
      </c>
    </row>
    <row r="823" spans="1:21" x14ac:dyDescent="0.25">
      <c r="A823" t="s">
        <v>51</v>
      </c>
      <c r="B823" t="s">
        <v>862</v>
      </c>
      <c r="C823">
        <v>12</v>
      </c>
      <c r="D823" t="s">
        <v>15</v>
      </c>
      <c r="E823" t="s">
        <v>94</v>
      </c>
      <c r="F823" t="s">
        <v>112</v>
      </c>
      <c r="G823" t="s">
        <v>112</v>
      </c>
      <c r="H823" t="s">
        <v>112</v>
      </c>
      <c r="J823">
        <v>0</v>
      </c>
      <c r="K823">
        <v>2</v>
      </c>
      <c r="L823">
        <v>65.09375</v>
      </c>
      <c r="M823">
        <v>37.895352600000002</v>
      </c>
      <c r="N823">
        <v>2.2882677779999998</v>
      </c>
      <c r="O823">
        <v>2.2111774</v>
      </c>
      <c r="P823">
        <v>65.09375</v>
      </c>
      <c r="Q823">
        <v>37.895352600000002</v>
      </c>
      <c r="R823">
        <v>2.2882677779999998</v>
      </c>
      <c r="S823">
        <v>2.2111774</v>
      </c>
      <c r="T823" t="s">
        <v>1015</v>
      </c>
      <c r="U823">
        <v>0</v>
      </c>
    </row>
    <row r="824" spans="1:21" x14ac:dyDescent="0.25">
      <c r="A824" t="s">
        <v>51</v>
      </c>
      <c r="B824" t="s">
        <v>862</v>
      </c>
      <c r="C824">
        <v>12</v>
      </c>
      <c r="D824" t="s">
        <v>15</v>
      </c>
      <c r="E824" t="s">
        <v>94</v>
      </c>
      <c r="F824" t="s">
        <v>112</v>
      </c>
      <c r="G824" t="s">
        <v>112</v>
      </c>
      <c r="H824" t="s">
        <v>112</v>
      </c>
      <c r="J824">
        <v>0</v>
      </c>
      <c r="K824">
        <v>2</v>
      </c>
      <c r="L824">
        <v>65.09375</v>
      </c>
      <c r="M824">
        <v>37.895352600000002</v>
      </c>
      <c r="N824">
        <v>2.2882677779999998</v>
      </c>
      <c r="O824">
        <v>2.2111774</v>
      </c>
      <c r="P824">
        <v>65.09375</v>
      </c>
      <c r="Q824">
        <v>37.895352600000002</v>
      </c>
      <c r="R824">
        <v>2.2882677779999998</v>
      </c>
      <c r="S824">
        <v>2.2111774</v>
      </c>
      <c r="T824" t="s">
        <v>1015</v>
      </c>
      <c r="U824">
        <v>0</v>
      </c>
    </row>
    <row r="825" spans="1:21" x14ac:dyDescent="0.25">
      <c r="A825" t="s">
        <v>52</v>
      </c>
      <c r="B825" t="s">
        <v>863</v>
      </c>
      <c r="C825">
        <v>12</v>
      </c>
      <c r="D825" t="s">
        <v>17</v>
      </c>
      <c r="E825" t="s">
        <v>95</v>
      </c>
      <c r="F825" t="s">
        <v>102</v>
      </c>
      <c r="G825" t="s">
        <v>121</v>
      </c>
      <c r="H825" t="s">
        <v>238</v>
      </c>
      <c r="J825">
        <v>0</v>
      </c>
      <c r="K825">
        <v>1</v>
      </c>
      <c r="L825">
        <v>84.740740740000007</v>
      </c>
      <c r="M825">
        <v>29.167014049999999</v>
      </c>
      <c r="N825">
        <v>1.1169849999999999</v>
      </c>
      <c r="O825">
        <v>1.1571499000000001</v>
      </c>
      <c r="P825">
        <v>87.5</v>
      </c>
      <c r="Q825">
        <v>29.478311600000001</v>
      </c>
      <c r="R825">
        <v>3.0797751000000002E-2</v>
      </c>
      <c r="S825">
        <v>0.12931835</v>
      </c>
      <c r="T825" t="s">
        <v>1015</v>
      </c>
      <c r="U825">
        <v>2.7592592599999999</v>
      </c>
    </row>
    <row r="826" spans="1:21" x14ac:dyDescent="0.25">
      <c r="A826" t="s">
        <v>52</v>
      </c>
      <c r="B826" t="s">
        <v>863</v>
      </c>
      <c r="C826">
        <v>12</v>
      </c>
      <c r="D826" t="s">
        <v>17</v>
      </c>
      <c r="E826" t="s">
        <v>95</v>
      </c>
      <c r="F826" t="s">
        <v>102</v>
      </c>
      <c r="G826" t="s">
        <v>121</v>
      </c>
      <c r="H826" t="s">
        <v>113</v>
      </c>
      <c r="J826">
        <v>0</v>
      </c>
      <c r="K826">
        <v>1</v>
      </c>
      <c r="L826">
        <v>84.740740740000007</v>
      </c>
      <c r="M826">
        <v>29.167014049999999</v>
      </c>
      <c r="N826">
        <v>1.1169849999999999</v>
      </c>
      <c r="O826">
        <v>1.1571499000000001</v>
      </c>
      <c r="P826">
        <v>83.757575759999995</v>
      </c>
      <c r="Q826">
        <v>22.60997987</v>
      </c>
      <c r="R826">
        <v>0.72884000000000004</v>
      </c>
      <c r="S826">
        <v>0.21301339999999999</v>
      </c>
      <c r="T826" t="s">
        <v>1015</v>
      </c>
      <c r="U826">
        <v>0.98316497999999997</v>
      </c>
    </row>
    <row r="827" spans="1:21" x14ac:dyDescent="0.25">
      <c r="A827" t="s">
        <v>52</v>
      </c>
      <c r="B827" t="s">
        <v>864</v>
      </c>
      <c r="C827">
        <v>12</v>
      </c>
      <c r="D827" t="s">
        <v>17</v>
      </c>
      <c r="E827" t="s">
        <v>95</v>
      </c>
      <c r="F827" t="s">
        <v>103</v>
      </c>
      <c r="G827" t="s">
        <v>121</v>
      </c>
      <c r="H827" t="s">
        <v>234</v>
      </c>
      <c r="J827">
        <v>0</v>
      </c>
      <c r="K827">
        <v>5</v>
      </c>
      <c r="L827">
        <v>98.291666669999998</v>
      </c>
      <c r="M827">
        <v>30.315130790000001</v>
      </c>
      <c r="N827">
        <v>5.0803484000000003E-2</v>
      </c>
      <c r="O827">
        <v>0.42866070000000001</v>
      </c>
      <c r="P827">
        <v>89.8125</v>
      </c>
      <c r="Q827">
        <v>34.754706650000003</v>
      </c>
      <c r="R827">
        <v>2.3065078999999999E-2</v>
      </c>
      <c r="S827">
        <v>2.4791666700000001</v>
      </c>
      <c r="T827" t="s">
        <v>1015</v>
      </c>
      <c r="U827">
        <v>8.4791666699999997</v>
      </c>
    </row>
    <row r="828" spans="1:21" x14ac:dyDescent="0.25">
      <c r="A828" t="s">
        <v>52</v>
      </c>
      <c r="B828" t="s">
        <v>864</v>
      </c>
      <c r="C828">
        <v>12</v>
      </c>
      <c r="D828" t="s">
        <v>17</v>
      </c>
      <c r="E828" t="s">
        <v>95</v>
      </c>
      <c r="F828" t="s">
        <v>103</v>
      </c>
      <c r="G828" t="s">
        <v>121</v>
      </c>
      <c r="H828" t="s">
        <v>234</v>
      </c>
      <c r="J828">
        <v>0</v>
      </c>
      <c r="K828">
        <v>5</v>
      </c>
      <c r="L828">
        <v>98.291666669999998</v>
      </c>
      <c r="M828">
        <v>30.315130790000001</v>
      </c>
      <c r="N828">
        <v>5.0803484000000003E-2</v>
      </c>
      <c r="O828">
        <v>0.42866070000000001</v>
      </c>
      <c r="P828">
        <v>89.8125</v>
      </c>
      <c r="Q828">
        <v>34.754706650000003</v>
      </c>
      <c r="R828">
        <v>2.3065078999999999E-2</v>
      </c>
      <c r="S828">
        <v>2.4791666700000001</v>
      </c>
      <c r="T828" t="s">
        <v>1015</v>
      </c>
      <c r="U828">
        <v>8.4791666699999997</v>
      </c>
    </row>
    <row r="829" spans="1:21" x14ac:dyDescent="0.25">
      <c r="A829" t="s">
        <v>52</v>
      </c>
      <c r="B829" t="s">
        <v>864</v>
      </c>
      <c r="C829">
        <v>12</v>
      </c>
      <c r="D829" t="s">
        <v>17</v>
      </c>
      <c r="E829" t="s">
        <v>95</v>
      </c>
      <c r="F829" t="s">
        <v>103</v>
      </c>
      <c r="G829" t="s">
        <v>121</v>
      </c>
      <c r="H829" t="s">
        <v>234</v>
      </c>
      <c r="J829">
        <v>0</v>
      </c>
      <c r="K829">
        <v>5</v>
      </c>
      <c r="L829">
        <v>98.291666669999998</v>
      </c>
      <c r="M829">
        <v>30.315130790000001</v>
      </c>
      <c r="N829">
        <v>5.0803484000000003E-2</v>
      </c>
      <c r="O829">
        <v>0.42866070000000001</v>
      </c>
      <c r="P829">
        <v>89.8125</v>
      </c>
      <c r="Q829">
        <v>34.754706650000003</v>
      </c>
      <c r="R829">
        <v>2.3065078999999999E-2</v>
      </c>
      <c r="S829">
        <v>2.4791666700000001</v>
      </c>
      <c r="T829" t="s">
        <v>1015</v>
      </c>
      <c r="U829">
        <v>8.4791666699999997</v>
      </c>
    </row>
    <row r="830" spans="1:21" x14ac:dyDescent="0.25">
      <c r="A830" t="s">
        <v>52</v>
      </c>
      <c r="B830" t="s">
        <v>864</v>
      </c>
      <c r="C830">
        <v>12</v>
      </c>
      <c r="D830" t="s">
        <v>17</v>
      </c>
      <c r="E830" t="s">
        <v>95</v>
      </c>
      <c r="F830" t="s">
        <v>103</v>
      </c>
      <c r="G830" t="s">
        <v>121</v>
      </c>
      <c r="H830" t="s">
        <v>234</v>
      </c>
      <c r="J830">
        <v>0</v>
      </c>
      <c r="K830">
        <v>5</v>
      </c>
      <c r="L830">
        <v>98.291666669999998</v>
      </c>
      <c r="M830">
        <v>30.315130790000001</v>
      </c>
      <c r="N830">
        <v>5.0803484000000003E-2</v>
      </c>
      <c r="O830">
        <v>0.42866070000000001</v>
      </c>
      <c r="P830">
        <v>89.8125</v>
      </c>
      <c r="Q830">
        <v>34.754706650000003</v>
      </c>
      <c r="R830">
        <v>2.3065078999999999E-2</v>
      </c>
      <c r="S830">
        <v>2.4791666700000001</v>
      </c>
      <c r="T830" t="s">
        <v>1015</v>
      </c>
      <c r="U830">
        <v>8.4791666699999997</v>
      </c>
    </row>
    <row r="831" spans="1:21" x14ac:dyDescent="0.25">
      <c r="A831" t="s">
        <v>52</v>
      </c>
      <c r="B831" t="s">
        <v>864</v>
      </c>
      <c r="C831">
        <v>12</v>
      </c>
      <c r="D831" t="s">
        <v>17</v>
      </c>
      <c r="E831" t="s">
        <v>95</v>
      </c>
      <c r="F831" t="s">
        <v>103</v>
      </c>
      <c r="G831" t="s">
        <v>121</v>
      </c>
      <c r="H831" t="s">
        <v>234</v>
      </c>
      <c r="J831">
        <v>0</v>
      </c>
      <c r="K831">
        <v>5</v>
      </c>
      <c r="L831">
        <v>98.291666669999998</v>
      </c>
      <c r="M831">
        <v>30.315130790000001</v>
      </c>
      <c r="N831">
        <v>5.0803484000000003E-2</v>
      </c>
      <c r="O831">
        <v>0.42866070000000001</v>
      </c>
      <c r="P831">
        <v>89.8125</v>
      </c>
      <c r="Q831">
        <v>34.754706650000003</v>
      </c>
      <c r="R831">
        <v>2.3065078999999999E-2</v>
      </c>
      <c r="S831">
        <v>2.4791666700000001</v>
      </c>
      <c r="T831" t="s">
        <v>1015</v>
      </c>
      <c r="U831">
        <v>8.4791666699999997</v>
      </c>
    </row>
    <row r="832" spans="1:21" x14ac:dyDescent="0.25">
      <c r="A832" t="s">
        <v>52</v>
      </c>
      <c r="B832" t="s">
        <v>865</v>
      </c>
      <c r="C832">
        <v>12</v>
      </c>
      <c r="D832" t="s">
        <v>17</v>
      </c>
      <c r="E832" t="s">
        <v>95</v>
      </c>
      <c r="F832" t="s">
        <v>111</v>
      </c>
      <c r="G832" t="s">
        <v>103</v>
      </c>
      <c r="H832" t="s">
        <v>103</v>
      </c>
      <c r="J832">
        <v>0</v>
      </c>
      <c r="K832">
        <v>1</v>
      </c>
      <c r="L832">
        <v>94.97142857</v>
      </c>
      <c r="M832">
        <v>24.31591813</v>
      </c>
      <c r="N832">
        <v>0.122951111</v>
      </c>
      <c r="O832">
        <v>0.39050790000000002</v>
      </c>
      <c r="P832">
        <v>98.291666669999998</v>
      </c>
      <c r="Q832">
        <v>30.315130790000001</v>
      </c>
      <c r="R832">
        <v>5.0803484000000003E-2</v>
      </c>
      <c r="S832">
        <v>0.42866070000000001</v>
      </c>
      <c r="T832" t="s">
        <v>1015</v>
      </c>
      <c r="U832">
        <v>3.3202381000000001</v>
      </c>
    </row>
    <row r="833" spans="1:21" x14ac:dyDescent="0.25">
      <c r="A833" t="s">
        <v>52</v>
      </c>
      <c r="B833" t="s">
        <v>866</v>
      </c>
      <c r="C833">
        <v>12</v>
      </c>
      <c r="D833" t="s">
        <v>17</v>
      </c>
      <c r="E833" t="s">
        <v>95</v>
      </c>
      <c r="F833" t="s">
        <v>112</v>
      </c>
      <c r="G833" t="s">
        <v>121</v>
      </c>
      <c r="H833" t="s">
        <v>235</v>
      </c>
      <c r="J833">
        <v>0</v>
      </c>
      <c r="K833">
        <v>1</v>
      </c>
      <c r="L833">
        <v>65.09375</v>
      </c>
      <c r="M833">
        <v>37.895352600000002</v>
      </c>
      <c r="N833">
        <v>2.2882677779999998</v>
      </c>
      <c r="O833">
        <v>2.2111774</v>
      </c>
      <c r="P833">
        <v>132.27272730000001</v>
      </c>
      <c r="Q833">
        <v>20.180448590000001</v>
      </c>
      <c r="R833">
        <v>3.7813451999999997E-2</v>
      </c>
      <c r="S833">
        <v>0.41404401000000002</v>
      </c>
      <c r="T833" t="s">
        <v>1015</v>
      </c>
      <c r="U833">
        <v>67.1789773</v>
      </c>
    </row>
    <row r="834" spans="1:21" x14ac:dyDescent="0.25">
      <c r="A834" t="s">
        <v>53</v>
      </c>
      <c r="B834" t="s">
        <v>867</v>
      </c>
      <c r="C834">
        <v>12</v>
      </c>
      <c r="D834" t="s">
        <v>19</v>
      </c>
      <c r="E834" t="s">
        <v>94</v>
      </c>
      <c r="F834" t="s">
        <v>102</v>
      </c>
      <c r="G834" t="s">
        <v>121</v>
      </c>
      <c r="H834" t="s">
        <v>808</v>
      </c>
      <c r="J834">
        <v>0</v>
      </c>
      <c r="K834">
        <v>1</v>
      </c>
      <c r="L834">
        <v>84.740740740000007</v>
      </c>
      <c r="M834">
        <v>29.167014049999999</v>
      </c>
      <c r="N834">
        <v>1.1169849999999999</v>
      </c>
      <c r="O834">
        <v>1.1571499000000001</v>
      </c>
      <c r="P834">
        <v>102.79166669999999</v>
      </c>
      <c r="Q834">
        <v>27.057373470000002</v>
      </c>
      <c r="R834">
        <v>6.3567849939999999</v>
      </c>
      <c r="S834" t="s">
        <v>114</v>
      </c>
      <c r="T834" t="s">
        <v>1015</v>
      </c>
      <c r="U834">
        <v>18.050925960000001</v>
      </c>
    </row>
    <row r="835" spans="1:21" x14ac:dyDescent="0.25">
      <c r="A835" t="s">
        <v>53</v>
      </c>
      <c r="B835" t="s">
        <v>867</v>
      </c>
      <c r="C835">
        <v>12</v>
      </c>
      <c r="D835" t="s">
        <v>19</v>
      </c>
      <c r="E835" t="s">
        <v>94</v>
      </c>
      <c r="F835" t="s">
        <v>102</v>
      </c>
      <c r="G835" t="s">
        <v>121</v>
      </c>
      <c r="H835" t="s">
        <v>241</v>
      </c>
      <c r="J835">
        <v>0</v>
      </c>
      <c r="K835">
        <v>1</v>
      </c>
      <c r="L835">
        <v>84.740740740000007</v>
      </c>
      <c r="M835">
        <v>29.167014049999999</v>
      </c>
      <c r="N835">
        <v>1.1169849999999999</v>
      </c>
      <c r="O835">
        <v>1.1571499000000001</v>
      </c>
      <c r="P835">
        <v>114</v>
      </c>
      <c r="Q835">
        <v>30.43077242</v>
      </c>
      <c r="R835">
        <v>0.53383111100000002</v>
      </c>
      <c r="S835">
        <v>0.28333332999999999</v>
      </c>
      <c r="T835" t="s">
        <v>1015</v>
      </c>
      <c r="U835">
        <v>29.25925926</v>
      </c>
    </row>
    <row r="836" spans="1:21" x14ac:dyDescent="0.25">
      <c r="A836" t="s">
        <v>53</v>
      </c>
      <c r="B836" t="s">
        <v>868</v>
      </c>
      <c r="C836">
        <v>12</v>
      </c>
      <c r="D836" t="s">
        <v>19</v>
      </c>
      <c r="E836" t="s">
        <v>94</v>
      </c>
      <c r="F836" t="s">
        <v>113</v>
      </c>
      <c r="G836" t="s">
        <v>121</v>
      </c>
      <c r="H836" t="s">
        <v>103</v>
      </c>
      <c r="J836">
        <v>0</v>
      </c>
      <c r="K836">
        <v>1</v>
      </c>
      <c r="L836">
        <v>83.757575759999995</v>
      </c>
      <c r="M836">
        <v>22.60997987</v>
      </c>
      <c r="N836">
        <v>0.72884000000000004</v>
      </c>
      <c r="O836">
        <v>0.21301339999999999</v>
      </c>
      <c r="P836">
        <v>98.291666669999998</v>
      </c>
      <c r="Q836">
        <v>30.315130790000001</v>
      </c>
      <c r="R836">
        <v>5.0803484000000003E-2</v>
      </c>
      <c r="S836">
        <v>0.42866070000000001</v>
      </c>
      <c r="T836" t="s">
        <v>1015</v>
      </c>
      <c r="U836">
        <v>14.53409091</v>
      </c>
    </row>
    <row r="837" spans="1:21" x14ac:dyDescent="0.25">
      <c r="A837" t="s">
        <v>53</v>
      </c>
      <c r="B837" t="s">
        <v>868</v>
      </c>
      <c r="C837">
        <v>12</v>
      </c>
      <c r="D837" t="s">
        <v>19</v>
      </c>
      <c r="E837" t="s">
        <v>94</v>
      </c>
      <c r="F837" t="s">
        <v>113</v>
      </c>
      <c r="G837" t="s">
        <v>121</v>
      </c>
      <c r="H837" t="s">
        <v>238</v>
      </c>
      <c r="J837">
        <v>0</v>
      </c>
      <c r="K837">
        <v>1</v>
      </c>
      <c r="L837">
        <v>83.757575759999995</v>
      </c>
      <c r="M837">
        <v>22.60997987</v>
      </c>
      <c r="N837">
        <v>0.72884000000000004</v>
      </c>
      <c r="O837">
        <v>0.21301339999999999</v>
      </c>
      <c r="P837">
        <v>87.5</v>
      </c>
      <c r="Q837">
        <v>29.478311600000001</v>
      </c>
      <c r="R837">
        <v>3.0797751000000002E-2</v>
      </c>
      <c r="S837">
        <v>0.12931835</v>
      </c>
      <c r="T837" t="s">
        <v>1015</v>
      </c>
      <c r="U837">
        <v>3.7424242400000001</v>
      </c>
    </row>
    <row r="838" spans="1:21" x14ac:dyDescent="0.25">
      <c r="A838" t="s">
        <v>53</v>
      </c>
      <c r="B838" t="s">
        <v>868</v>
      </c>
      <c r="C838">
        <v>12</v>
      </c>
      <c r="D838" t="s">
        <v>19</v>
      </c>
      <c r="E838" t="s">
        <v>94</v>
      </c>
      <c r="F838" t="s">
        <v>113</v>
      </c>
      <c r="G838" t="s">
        <v>121</v>
      </c>
      <c r="H838" t="s">
        <v>235</v>
      </c>
      <c r="J838">
        <v>0</v>
      </c>
      <c r="K838">
        <v>1</v>
      </c>
      <c r="L838">
        <v>83.757575759999995</v>
      </c>
      <c r="M838">
        <v>22.60997987</v>
      </c>
      <c r="N838">
        <v>0.72884000000000004</v>
      </c>
      <c r="O838">
        <v>0.21301339999999999</v>
      </c>
      <c r="P838">
        <v>132.27272730000001</v>
      </c>
      <c r="Q838">
        <v>20.180448590000001</v>
      </c>
      <c r="R838">
        <v>3.7813451999999997E-2</v>
      </c>
      <c r="S838">
        <v>0.41404401000000002</v>
      </c>
      <c r="T838" t="s">
        <v>1015</v>
      </c>
      <c r="U838">
        <v>48.515151539999998</v>
      </c>
    </row>
    <row r="839" spans="1:21" x14ac:dyDescent="0.25">
      <c r="A839" t="s">
        <v>53</v>
      </c>
      <c r="B839" t="s">
        <v>868</v>
      </c>
      <c r="C839">
        <v>12</v>
      </c>
      <c r="D839" t="s">
        <v>19</v>
      </c>
      <c r="E839" t="s">
        <v>94</v>
      </c>
      <c r="F839" t="s">
        <v>113</v>
      </c>
      <c r="G839" t="s">
        <v>121</v>
      </c>
      <c r="H839" t="s">
        <v>241</v>
      </c>
      <c r="J839">
        <v>0</v>
      </c>
      <c r="K839">
        <v>2</v>
      </c>
      <c r="L839">
        <v>83.757575759999995</v>
      </c>
      <c r="M839">
        <v>22.60997987</v>
      </c>
      <c r="N839">
        <v>0.72884000000000004</v>
      </c>
      <c r="O839">
        <v>0.21301339999999999</v>
      </c>
      <c r="P839">
        <v>114</v>
      </c>
      <c r="Q839">
        <v>30.43077242</v>
      </c>
      <c r="R839">
        <v>0.53383111100000002</v>
      </c>
      <c r="S839">
        <v>0.28333332999999999</v>
      </c>
      <c r="T839" t="s">
        <v>1015</v>
      </c>
      <c r="U839">
        <v>30.242424239999998</v>
      </c>
    </row>
    <row r="840" spans="1:21" x14ac:dyDescent="0.25">
      <c r="A840" t="s">
        <v>53</v>
      </c>
      <c r="B840" t="s">
        <v>868</v>
      </c>
      <c r="C840">
        <v>12</v>
      </c>
      <c r="D840" t="s">
        <v>19</v>
      </c>
      <c r="E840" t="s">
        <v>94</v>
      </c>
      <c r="F840" t="s">
        <v>113</v>
      </c>
      <c r="G840" t="s">
        <v>121</v>
      </c>
      <c r="H840" t="s">
        <v>241</v>
      </c>
      <c r="J840">
        <v>0</v>
      </c>
      <c r="K840">
        <v>2</v>
      </c>
      <c r="L840">
        <v>83.757575759999995</v>
      </c>
      <c r="M840">
        <v>22.60997987</v>
      </c>
      <c r="N840">
        <v>0.72884000000000004</v>
      </c>
      <c r="O840">
        <v>0.21301339999999999</v>
      </c>
      <c r="P840">
        <v>114</v>
      </c>
      <c r="Q840">
        <v>30.43077242</v>
      </c>
      <c r="R840">
        <v>0.53383111100000002</v>
      </c>
      <c r="S840">
        <v>0.28333332999999999</v>
      </c>
      <c r="T840" t="s">
        <v>1015</v>
      </c>
      <c r="U840">
        <v>30.242424239999998</v>
      </c>
    </row>
    <row r="841" spans="1:21" x14ac:dyDescent="0.25">
      <c r="A841" t="s">
        <v>53</v>
      </c>
      <c r="B841" t="s">
        <v>868</v>
      </c>
      <c r="C841">
        <v>12</v>
      </c>
      <c r="D841" t="s">
        <v>19</v>
      </c>
      <c r="E841" t="s">
        <v>94</v>
      </c>
      <c r="F841" t="s">
        <v>113</v>
      </c>
      <c r="G841" t="s">
        <v>121</v>
      </c>
      <c r="H841" t="s">
        <v>242</v>
      </c>
      <c r="J841">
        <v>0</v>
      </c>
      <c r="K841">
        <v>1</v>
      </c>
      <c r="L841">
        <v>83.757575759999995</v>
      </c>
      <c r="M841">
        <v>22.60997987</v>
      </c>
      <c r="N841">
        <v>0.72884000000000004</v>
      </c>
      <c r="O841">
        <v>0.21301339999999999</v>
      </c>
      <c r="P841">
        <v>139.375</v>
      </c>
      <c r="Q841">
        <v>23.713465920000001</v>
      </c>
      <c r="R841" t="s">
        <v>114</v>
      </c>
      <c r="S841" t="s">
        <v>114</v>
      </c>
      <c r="T841" t="s">
        <v>1015</v>
      </c>
      <c r="U841">
        <v>55.617424239999998</v>
      </c>
    </row>
    <row r="842" spans="1:21" x14ac:dyDescent="0.25">
      <c r="A842" t="s">
        <v>53</v>
      </c>
      <c r="B842" t="s">
        <v>868</v>
      </c>
      <c r="C842">
        <v>12</v>
      </c>
      <c r="D842" t="s">
        <v>19</v>
      </c>
      <c r="E842" t="s">
        <v>94</v>
      </c>
      <c r="F842" t="s">
        <v>113</v>
      </c>
      <c r="G842" t="s">
        <v>121</v>
      </c>
      <c r="H842" t="s">
        <v>112</v>
      </c>
      <c r="J842">
        <v>0</v>
      </c>
      <c r="K842">
        <v>1</v>
      </c>
      <c r="L842">
        <v>83.757575759999995</v>
      </c>
      <c r="M842">
        <v>22.60997987</v>
      </c>
      <c r="N842">
        <v>0.72884000000000004</v>
      </c>
      <c r="O842">
        <v>0.21301339999999999</v>
      </c>
      <c r="P842">
        <v>65.09375</v>
      </c>
      <c r="Q842">
        <v>37.895352600000002</v>
      </c>
      <c r="R842">
        <v>2.2882677779999998</v>
      </c>
      <c r="S842">
        <v>2.2111774</v>
      </c>
      <c r="T842" t="s">
        <v>1015</v>
      </c>
      <c r="U842">
        <v>18.663825760000002</v>
      </c>
    </row>
    <row r="843" spans="1:21" x14ac:dyDescent="0.25">
      <c r="A843" t="s">
        <v>53</v>
      </c>
      <c r="B843" t="s">
        <v>869</v>
      </c>
      <c r="C843">
        <v>12</v>
      </c>
      <c r="D843" t="s">
        <v>19</v>
      </c>
      <c r="E843" t="s">
        <v>94</v>
      </c>
      <c r="F843" t="s">
        <v>103</v>
      </c>
      <c r="G843" t="s">
        <v>121</v>
      </c>
      <c r="H843" t="s">
        <v>103</v>
      </c>
      <c r="J843">
        <v>0</v>
      </c>
      <c r="K843">
        <v>1</v>
      </c>
      <c r="L843">
        <v>98.291666669999998</v>
      </c>
      <c r="M843">
        <v>30.315130790000001</v>
      </c>
      <c r="N843">
        <v>5.0803484000000003E-2</v>
      </c>
      <c r="O843">
        <v>0.42866070000000001</v>
      </c>
      <c r="P843">
        <v>98.291666669999998</v>
      </c>
      <c r="Q843">
        <v>30.315130790000001</v>
      </c>
      <c r="R843">
        <v>5.0803484000000003E-2</v>
      </c>
      <c r="S843">
        <v>0.42866070000000001</v>
      </c>
      <c r="T843" t="s">
        <v>1015</v>
      </c>
      <c r="U843">
        <v>0</v>
      </c>
    </row>
    <row r="844" spans="1:21" x14ac:dyDescent="0.25">
      <c r="A844" t="s">
        <v>53</v>
      </c>
      <c r="B844" t="s">
        <v>869</v>
      </c>
      <c r="C844">
        <v>12</v>
      </c>
      <c r="D844" t="s">
        <v>19</v>
      </c>
      <c r="E844" t="s">
        <v>94</v>
      </c>
      <c r="F844" t="s">
        <v>103</v>
      </c>
      <c r="G844" t="s">
        <v>121</v>
      </c>
      <c r="H844" t="s">
        <v>241</v>
      </c>
      <c r="J844">
        <v>0</v>
      </c>
      <c r="K844">
        <v>1</v>
      </c>
      <c r="L844">
        <v>98.291666669999998</v>
      </c>
      <c r="M844">
        <v>30.315130790000001</v>
      </c>
      <c r="N844">
        <v>5.0803484000000003E-2</v>
      </c>
      <c r="O844">
        <v>0.42866070000000001</v>
      </c>
      <c r="P844">
        <v>114</v>
      </c>
      <c r="Q844">
        <v>30.43077242</v>
      </c>
      <c r="R844">
        <v>0.53383111100000002</v>
      </c>
      <c r="S844">
        <v>0.28333332999999999</v>
      </c>
      <c r="T844" t="s">
        <v>1015</v>
      </c>
      <c r="U844">
        <v>15.70833333</v>
      </c>
    </row>
    <row r="845" spans="1:21" x14ac:dyDescent="0.25">
      <c r="A845" t="s">
        <v>53</v>
      </c>
      <c r="B845" t="s">
        <v>870</v>
      </c>
      <c r="C845">
        <v>12</v>
      </c>
      <c r="D845" t="s">
        <v>19</v>
      </c>
      <c r="E845" t="s">
        <v>94</v>
      </c>
      <c r="F845" t="s">
        <v>112</v>
      </c>
      <c r="G845" t="s">
        <v>121</v>
      </c>
      <c r="H845" t="s">
        <v>114</v>
      </c>
      <c r="J845">
        <v>0</v>
      </c>
      <c r="K845">
        <v>0</v>
      </c>
      <c r="L845">
        <v>65.09375</v>
      </c>
      <c r="M845">
        <v>37.895352600000002</v>
      </c>
      <c r="N845">
        <v>2.2882677779999998</v>
      </c>
      <c r="O845">
        <v>2.2111774</v>
      </c>
      <c r="P845" t="s">
        <v>114</v>
      </c>
      <c r="Q845" t="s">
        <v>114</v>
      </c>
      <c r="R845" t="s">
        <v>114</v>
      </c>
      <c r="S845" t="s">
        <v>114</v>
      </c>
      <c r="T845" t="s">
        <v>1015</v>
      </c>
      <c r="U845" t="s">
        <v>114</v>
      </c>
    </row>
    <row r="846" spans="1:21" x14ac:dyDescent="0.25">
      <c r="A846" t="s">
        <v>54</v>
      </c>
      <c r="B846" t="s">
        <v>871</v>
      </c>
      <c r="C846">
        <v>12</v>
      </c>
      <c r="D846" t="s">
        <v>21</v>
      </c>
      <c r="E846" t="s">
        <v>95</v>
      </c>
      <c r="F846" t="s">
        <v>113</v>
      </c>
      <c r="G846" t="s">
        <v>121</v>
      </c>
      <c r="H846" t="s">
        <v>241</v>
      </c>
      <c r="J846">
        <v>0</v>
      </c>
      <c r="K846">
        <v>2</v>
      </c>
      <c r="L846">
        <v>83.757575759999995</v>
      </c>
      <c r="M846">
        <v>22.60997987</v>
      </c>
      <c r="N846">
        <v>0.72884000000000004</v>
      </c>
      <c r="O846">
        <v>0.21301339999999999</v>
      </c>
      <c r="P846">
        <v>114</v>
      </c>
      <c r="Q846">
        <v>30.43077242</v>
      </c>
      <c r="R846">
        <v>0.53383111100000002</v>
      </c>
      <c r="S846">
        <v>0.28333332999999999</v>
      </c>
      <c r="T846" t="s">
        <v>1015</v>
      </c>
      <c r="U846">
        <v>30.242424239999998</v>
      </c>
    </row>
    <row r="847" spans="1:21" x14ac:dyDescent="0.25">
      <c r="A847" t="s">
        <v>54</v>
      </c>
      <c r="B847" t="s">
        <v>871</v>
      </c>
      <c r="C847">
        <v>12</v>
      </c>
      <c r="D847" t="s">
        <v>21</v>
      </c>
      <c r="E847" t="s">
        <v>95</v>
      </c>
      <c r="F847" t="s">
        <v>113</v>
      </c>
      <c r="G847" t="s">
        <v>121</v>
      </c>
      <c r="H847" t="s">
        <v>241</v>
      </c>
      <c r="J847">
        <v>0</v>
      </c>
      <c r="K847">
        <v>2</v>
      </c>
      <c r="L847">
        <v>83.757575759999995</v>
      </c>
      <c r="M847">
        <v>22.60997987</v>
      </c>
      <c r="N847">
        <v>0.72884000000000004</v>
      </c>
      <c r="O847">
        <v>0.21301339999999999</v>
      </c>
      <c r="P847">
        <v>114</v>
      </c>
      <c r="Q847">
        <v>30.43077242</v>
      </c>
      <c r="R847">
        <v>0.53383111100000002</v>
      </c>
      <c r="S847">
        <v>0.28333332999999999</v>
      </c>
      <c r="T847" t="s">
        <v>1015</v>
      </c>
      <c r="U847">
        <v>30.242424239999998</v>
      </c>
    </row>
    <row r="848" spans="1:21" x14ac:dyDescent="0.25">
      <c r="A848" t="s">
        <v>54</v>
      </c>
      <c r="B848" t="s">
        <v>872</v>
      </c>
      <c r="C848">
        <v>12</v>
      </c>
      <c r="D848" t="s">
        <v>21</v>
      </c>
      <c r="E848" t="s">
        <v>95</v>
      </c>
      <c r="F848" t="s">
        <v>110</v>
      </c>
      <c r="G848" t="s">
        <v>121</v>
      </c>
      <c r="H848" t="s">
        <v>241</v>
      </c>
      <c r="I848" t="s">
        <v>162</v>
      </c>
      <c r="J848">
        <v>1</v>
      </c>
      <c r="K848">
        <v>2</v>
      </c>
      <c r="L848">
        <v>73.260869569999997</v>
      </c>
      <c r="M848">
        <v>34.453830549999999</v>
      </c>
      <c r="N848">
        <v>1.058333333</v>
      </c>
      <c r="O848">
        <v>0.90897070000000002</v>
      </c>
      <c r="P848">
        <v>114</v>
      </c>
      <c r="Q848">
        <v>30.43077242</v>
      </c>
      <c r="R848">
        <v>0.53383111100000002</v>
      </c>
      <c r="S848">
        <v>0.28333332999999999</v>
      </c>
      <c r="T848" t="s">
        <v>1015</v>
      </c>
      <c r="U848">
        <v>40.739130430000003</v>
      </c>
    </row>
    <row r="849" spans="1:21" x14ac:dyDescent="0.25">
      <c r="A849" t="s">
        <v>54</v>
      </c>
      <c r="B849" t="s">
        <v>872</v>
      </c>
      <c r="C849">
        <v>12</v>
      </c>
      <c r="D849" t="s">
        <v>21</v>
      </c>
      <c r="E849" t="s">
        <v>95</v>
      </c>
      <c r="F849" t="s">
        <v>110</v>
      </c>
      <c r="G849" t="s">
        <v>121</v>
      </c>
      <c r="H849" t="s">
        <v>241</v>
      </c>
      <c r="I849" t="s">
        <v>162</v>
      </c>
      <c r="J849">
        <v>1</v>
      </c>
      <c r="K849">
        <v>2</v>
      </c>
      <c r="L849">
        <v>73.260869569999997</v>
      </c>
      <c r="M849">
        <v>34.453830549999999</v>
      </c>
      <c r="N849">
        <v>1.058333333</v>
      </c>
      <c r="O849">
        <v>0.90897070000000002</v>
      </c>
      <c r="P849">
        <v>114</v>
      </c>
      <c r="Q849">
        <v>30.43077242</v>
      </c>
      <c r="R849">
        <v>0.53383111100000002</v>
      </c>
      <c r="S849">
        <v>0.28333332999999999</v>
      </c>
      <c r="T849" t="s">
        <v>1015</v>
      </c>
      <c r="U849">
        <v>40.739130430000003</v>
      </c>
    </row>
    <row r="850" spans="1:21" x14ac:dyDescent="0.25">
      <c r="A850" t="s">
        <v>54</v>
      </c>
      <c r="B850" t="s">
        <v>873</v>
      </c>
      <c r="C850">
        <v>12</v>
      </c>
      <c r="D850" t="s">
        <v>21</v>
      </c>
      <c r="E850" t="s">
        <v>95</v>
      </c>
      <c r="F850" t="s">
        <v>111</v>
      </c>
      <c r="G850" t="s">
        <v>121</v>
      </c>
      <c r="H850" t="s">
        <v>162</v>
      </c>
      <c r="J850">
        <v>0</v>
      </c>
      <c r="K850">
        <v>1</v>
      </c>
      <c r="L850">
        <v>94.97142857</v>
      </c>
      <c r="M850">
        <v>24.31591813</v>
      </c>
      <c r="N850">
        <v>0.122951111</v>
      </c>
      <c r="O850">
        <v>0.39050790000000002</v>
      </c>
      <c r="P850">
        <v>82.53846154</v>
      </c>
      <c r="Q850">
        <v>35.660530039999998</v>
      </c>
      <c r="R850">
        <v>3.3754499999999998</v>
      </c>
      <c r="S850" t="s">
        <v>114</v>
      </c>
      <c r="T850" t="s">
        <v>1015</v>
      </c>
      <c r="U850">
        <v>12.43296703</v>
      </c>
    </row>
    <row r="851" spans="1:21" x14ac:dyDescent="0.25">
      <c r="A851" t="s">
        <v>55</v>
      </c>
      <c r="B851" t="s">
        <v>874</v>
      </c>
      <c r="C851">
        <v>12</v>
      </c>
      <c r="D851" t="s">
        <v>23</v>
      </c>
      <c r="E851" t="s">
        <v>94</v>
      </c>
      <c r="F851" t="s">
        <v>113</v>
      </c>
      <c r="G851" t="s">
        <v>110</v>
      </c>
      <c r="H851" t="s">
        <v>238</v>
      </c>
      <c r="J851">
        <v>0</v>
      </c>
      <c r="K851">
        <v>1</v>
      </c>
      <c r="L851">
        <v>83.757575759999995</v>
      </c>
      <c r="M851">
        <v>22.60997987</v>
      </c>
      <c r="N851">
        <v>0.72884000000000004</v>
      </c>
      <c r="O851">
        <v>0.21301339999999999</v>
      </c>
      <c r="P851">
        <v>87.5</v>
      </c>
      <c r="Q851">
        <v>29.478311600000001</v>
      </c>
      <c r="R851">
        <v>3.0797751000000002E-2</v>
      </c>
      <c r="S851">
        <v>0.12931835</v>
      </c>
      <c r="T851" t="s">
        <v>1015</v>
      </c>
      <c r="U851">
        <v>3.7424242400000001</v>
      </c>
    </row>
    <row r="852" spans="1:21" x14ac:dyDescent="0.25">
      <c r="A852" t="s">
        <v>55</v>
      </c>
      <c r="B852" t="s">
        <v>874</v>
      </c>
      <c r="C852">
        <v>12</v>
      </c>
      <c r="D852" t="s">
        <v>23</v>
      </c>
      <c r="E852" t="s">
        <v>94</v>
      </c>
      <c r="F852" t="s">
        <v>113</v>
      </c>
      <c r="G852" t="s">
        <v>110</v>
      </c>
      <c r="H852" t="s">
        <v>103</v>
      </c>
      <c r="J852">
        <v>0</v>
      </c>
      <c r="K852">
        <v>1</v>
      </c>
      <c r="L852">
        <v>83.757575759999995</v>
      </c>
      <c r="M852">
        <v>22.60997987</v>
      </c>
      <c r="N852">
        <v>0.72884000000000004</v>
      </c>
      <c r="O852">
        <v>0.21301339999999999</v>
      </c>
      <c r="P852">
        <v>98.291666669999998</v>
      </c>
      <c r="Q852">
        <v>30.315130790000001</v>
      </c>
      <c r="R852">
        <v>5.0803484000000003E-2</v>
      </c>
      <c r="S852">
        <v>0.42866070000000001</v>
      </c>
      <c r="T852" t="s">
        <v>1015</v>
      </c>
      <c r="U852">
        <v>14.53409091</v>
      </c>
    </row>
    <row r="853" spans="1:21" x14ac:dyDescent="0.25">
      <c r="A853" t="s">
        <v>55</v>
      </c>
      <c r="B853" t="s">
        <v>874</v>
      </c>
      <c r="C853">
        <v>12</v>
      </c>
      <c r="D853" t="s">
        <v>23</v>
      </c>
      <c r="E853" t="s">
        <v>94</v>
      </c>
      <c r="F853" t="s">
        <v>113</v>
      </c>
      <c r="G853" t="s">
        <v>110</v>
      </c>
      <c r="H853" t="s">
        <v>808</v>
      </c>
      <c r="J853">
        <v>0</v>
      </c>
      <c r="K853">
        <v>1</v>
      </c>
      <c r="L853">
        <v>83.757575759999995</v>
      </c>
      <c r="M853">
        <v>22.60997987</v>
      </c>
      <c r="N853">
        <v>0.72884000000000004</v>
      </c>
      <c r="O853">
        <v>0.21301339999999999</v>
      </c>
      <c r="P853">
        <v>102.79166669999999</v>
      </c>
      <c r="Q853">
        <v>27.057373470000002</v>
      </c>
      <c r="R853">
        <v>6.3567849939999999</v>
      </c>
      <c r="S853" t="s">
        <v>114</v>
      </c>
      <c r="T853" t="s">
        <v>1015</v>
      </c>
      <c r="U853">
        <v>19.034090939999999</v>
      </c>
    </row>
    <row r="854" spans="1:21" x14ac:dyDescent="0.25">
      <c r="A854" t="s">
        <v>55</v>
      </c>
      <c r="B854" t="s">
        <v>874</v>
      </c>
      <c r="C854">
        <v>12</v>
      </c>
      <c r="D854" t="s">
        <v>23</v>
      </c>
      <c r="E854" t="s">
        <v>94</v>
      </c>
      <c r="F854" t="s">
        <v>113</v>
      </c>
      <c r="G854" t="s">
        <v>110</v>
      </c>
      <c r="H854" t="s">
        <v>113</v>
      </c>
      <c r="J854">
        <v>0</v>
      </c>
      <c r="K854">
        <v>1</v>
      </c>
      <c r="L854">
        <v>83.757575759999995</v>
      </c>
      <c r="M854">
        <v>22.60997987</v>
      </c>
      <c r="N854">
        <v>0.72884000000000004</v>
      </c>
      <c r="O854">
        <v>0.21301339999999999</v>
      </c>
      <c r="P854">
        <v>83.757575759999995</v>
      </c>
      <c r="Q854">
        <v>22.60997987</v>
      </c>
      <c r="R854">
        <v>0.72884000000000004</v>
      </c>
      <c r="S854">
        <v>0.21301339999999999</v>
      </c>
      <c r="T854" t="s">
        <v>1015</v>
      </c>
      <c r="U854">
        <v>0</v>
      </c>
    </row>
    <row r="855" spans="1:21" x14ac:dyDescent="0.25">
      <c r="A855" t="s">
        <v>55</v>
      </c>
      <c r="B855" t="s">
        <v>875</v>
      </c>
      <c r="C855">
        <v>12</v>
      </c>
      <c r="D855" t="s">
        <v>23</v>
      </c>
      <c r="E855" t="s">
        <v>94</v>
      </c>
      <c r="F855" t="s">
        <v>110</v>
      </c>
      <c r="G855" t="s">
        <v>103</v>
      </c>
      <c r="H855" t="s">
        <v>114</v>
      </c>
      <c r="J855">
        <v>0</v>
      </c>
      <c r="K855" t="s">
        <v>114</v>
      </c>
      <c r="L855">
        <v>73.260869569999997</v>
      </c>
      <c r="M855">
        <v>34.453830549999999</v>
      </c>
      <c r="N855">
        <v>1.058333333</v>
      </c>
      <c r="O855">
        <v>0.90897070000000002</v>
      </c>
      <c r="P855" t="s">
        <v>114</v>
      </c>
      <c r="Q855" t="s">
        <v>114</v>
      </c>
      <c r="R855" t="s">
        <v>114</v>
      </c>
      <c r="S855" t="s">
        <v>114</v>
      </c>
      <c r="T855" t="s">
        <v>1015</v>
      </c>
      <c r="U855" t="s">
        <v>114</v>
      </c>
    </row>
    <row r="856" spans="1:21" x14ac:dyDescent="0.25">
      <c r="A856" t="s">
        <v>55</v>
      </c>
      <c r="B856" t="s">
        <v>876</v>
      </c>
      <c r="C856">
        <v>12</v>
      </c>
      <c r="D856" t="s">
        <v>23</v>
      </c>
      <c r="E856" t="s">
        <v>94</v>
      </c>
      <c r="F856" t="s">
        <v>103</v>
      </c>
      <c r="G856" t="s">
        <v>103</v>
      </c>
      <c r="H856" t="s">
        <v>114</v>
      </c>
      <c r="J856">
        <v>0</v>
      </c>
      <c r="K856" t="s">
        <v>114</v>
      </c>
      <c r="L856">
        <v>98.291666669999998</v>
      </c>
      <c r="M856">
        <v>30.315130790000001</v>
      </c>
      <c r="N856">
        <v>5.0803484000000003E-2</v>
      </c>
      <c r="O856">
        <v>0.42866070000000001</v>
      </c>
      <c r="P856" t="s">
        <v>114</v>
      </c>
      <c r="Q856" t="s">
        <v>114</v>
      </c>
      <c r="R856" t="s">
        <v>114</v>
      </c>
      <c r="S856" t="s">
        <v>114</v>
      </c>
      <c r="T856" t="s">
        <v>1015</v>
      </c>
      <c r="U856" t="s">
        <v>114</v>
      </c>
    </row>
    <row r="857" spans="1:21" x14ac:dyDescent="0.25">
      <c r="A857" t="s">
        <v>55</v>
      </c>
      <c r="B857" t="s">
        <v>877</v>
      </c>
      <c r="C857">
        <v>12</v>
      </c>
      <c r="D857" t="s">
        <v>23</v>
      </c>
      <c r="E857" t="s">
        <v>94</v>
      </c>
      <c r="F857" t="s">
        <v>111</v>
      </c>
      <c r="G857" t="s">
        <v>113</v>
      </c>
      <c r="H857" t="s">
        <v>113</v>
      </c>
      <c r="J857">
        <v>0</v>
      </c>
      <c r="K857">
        <v>2</v>
      </c>
      <c r="L857">
        <v>94.97142857</v>
      </c>
      <c r="M857">
        <v>24.31591813</v>
      </c>
      <c r="N857">
        <v>0.122951111</v>
      </c>
      <c r="O857">
        <v>0.39050790000000002</v>
      </c>
      <c r="P857">
        <v>83.757575759999995</v>
      </c>
      <c r="Q857">
        <v>22.60997987</v>
      </c>
      <c r="R857">
        <v>0.72884000000000004</v>
      </c>
      <c r="S857">
        <v>0.21301339999999999</v>
      </c>
      <c r="T857" t="s">
        <v>1015</v>
      </c>
      <c r="U857">
        <v>11.213852810000001</v>
      </c>
    </row>
    <row r="858" spans="1:21" x14ac:dyDescent="0.25">
      <c r="A858" t="s">
        <v>55</v>
      </c>
      <c r="B858" t="s">
        <v>877</v>
      </c>
      <c r="C858">
        <v>12</v>
      </c>
      <c r="D858" t="s">
        <v>23</v>
      </c>
      <c r="E858" t="s">
        <v>94</v>
      </c>
      <c r="F858" t="s">
        <v>111</v>
      </c>
      <c r="G858" t="s">
        <v>113</v>
      </c>
      <c r="H858" t="s">
        <v>113</v>
      </c>
      <c r="J858">
        <v>0</v>
      </c>
      <c r="K858">
        <v>2</v>
      </c>
      <c r="L858">
        <v>94.97142857</v>
      </c>
      <c r="M858">
        <v>24.31591813</v>
      </c>
      <c r="N858">
        <v>0.122951111</v>
      </c>
      <c r="O858">
        <v>0.39050790000000002</v>
      </c>
      <c r="P858">
        <v>83.757575759999995</v>
      </c>
      <c r="Q858">
        <v>22.60997987</v>
      </c>
      <c r="R858">
        <v>0.72884000000000004</v>
      </c>
      <c r="S858">
        <v>0.21301339999999999</v>
      </c>
      <c r="T858" t="s">
        <v>1015</v>
      </c>
      <c r="U858">
        <v>11.213852810000001</v>
      </c>
    </row>
    <row r="859" spans="1:21" x14ac:dyDescent="0.25">
      <c r="A859" t="s">
        <v>55</v>
      </c>
      <c r="B859" t="s">
        <v>877</v>
      </c>
      <c r="C859">
        <v>12</v>
      </c>
      <c r="D859" t="s">
        <v>23</v>
      </c>
      <c r="E859" t="s">
        <v>94</v>
      </c>
      <c r="F859" t="s">
        <v>111</v>
      </c>
      <c r="G859" t="s">
        <v>113</v>
      </c>
      <c r="H859" t="s">
        <v>797</v>
      </c>
      <c r="J859">
        <v>0</v>
      </c>
      <c r="K859">
        <v>1</v>
      </c>
      <c r="L859">
        <v>94.97142857</v>
      </c>
      <c r="M859">
        <v>24.31591813</v>
      </c>
      <c r="N859">
        <v>0.122951111</v>
      </c>
      <c r="O859">
        <v>0.39050790000000002</v>
      </c>
      <c r="P859">
        <v>179.45454549999999</v>
      </c>
      <c r="Q859">
        <v>26.326869609999999</v>
      </c>
      <c r="R859">
        <v>2.3456094639999998</v>
      </c>
      <c r="S859">
        <v>0.18833116</v>
      </c>
      <c r="T859" t="s">
        <v>1015</v>
      </c>
      <c r="U859">
        <v>84.483116929999994</v>
      </c>
    </row>
    <row r="860" spans="1:21" x14ac:dyDescent="0.25">
      <c r="A860" t="s">
        <v>56</v>
      </c>
      <c r="B860" t="s">
        <v>878</v>
      </c>
      <c r="C860">
        <v>12</v>
      </c>
      <c r="D860" t="s">
        <v>25</v>
      </c>
      <c r="E860" t="s">
        <v>94</v>
      </c>
      <c r="F860" t="s">
        <v>113</v>
      </c>
      <c r="G860" t="s">
        <v>113</v>
      </c>
      <c r="H860" t="s">
        <v>113</v>
      </c>
      <c r="J860">
        <v>0</v>
      </c>
      <c r="K860">
        <v>3</v>
      </c>
      <c r="L860">
        <v>83.757575759999995</v>
      </c>
      <c r="M860">
        <v>22.60997987</v>
      </c>
      <c r="N860">
        <v>0.72884000000000004</v>
      </c>
      <c r="O860">
        <v>0.21301339999999999</v>
      </c>
      <c r="P860">
        <v>83.757575759999995</v>
      </c>
      <c r="Q860">
        <v>22.60997987</v>
      </c>
      <c r="R860">
        <v>0.72884000000000004</v>
      </c>
      <c r="S860">
        <v>0.21301339999999999</v>
      </c>
      <c r="T860" t="s">
        <v>1015</v>
      </c>
      <c r="U860">
        <v>0</v>
      </c>
    </row>
    <row r="861" spans="1:21" x14ac:dyDescent="0.25">
      <c r="A861" t="s">
        <v>56</v>
      </c>
      <c r="B861" t="s">
        <v>878</v>
      </c>
      <c r="C861">
        <v>12</v>
      </c>
      <c r="D861" t="s">
        <v>25</v>
      </c>
      <c r="E861" t="s">
        <v>94</v>
      </c>
      <c r="F861" t="s">
        <v>113</v>
      </c>
      <c r="G861" t="s">
        <v>113</v>
      </c>
      <c r="H861" t="s">
        <v>113</v>
      </c>
      <c r="J861">
        <v>0</v>
      </c>
      <c r="K861">
        <v>3</v>
      </c>
      <c r="L861">
        <v>83.757575759999995</v>
      </c>
      <c r="M861">
        <v>22.60997987</v>
      </c>
      <c r="N861">
        <v>0.72884000000000004</v>
      </c>
      <c r="O861">
        <v>0.21301339999999999</v>
      </c>
      <c r="P861">
        <v>83.757575759999995</v>
      </c>
      <c r="Q861">
        <v>22.60997987</v>
      </c>
      <c r="R861">
        <v>0.72884000000000004</v>
      </c>
      <c r="S861">
        <v>0.21301339999999999</v>
      </c>
      <c r="T861" t="s">
        <v>1015</v>
      </c>
      <c r="U861">
        <v>0</v>
      </c>
    </row>
    <row r="862" spans="1:21" x14ac:dyDescent="0.25">
      <c r="A862" t="s">
        <v>56</v>
      </c>
      <c r="B862" t="s">
        <v>878</v>
      </c>
      <c r="C862">
        <v>12</v>
      </c>
      <c r="D862" t="s">
        <v>25</v>
      </c>
      <c r="E862" t="s">
        <v>94</v>
      </c>
      <c r="F862" t="s">
        <v>113</v>
      </c>
      <c r="G862" t="s">
        <v>113</v>
      </c>
      <c r="H862" t="s">
        <v>113</v>
      </c>
      <c r="J862">
        <v>0</v>
      </c>
      <c r="K862">
        <v>3</v>
      </c>
      <c r="L862">
        <v>83.757575759999995</v>
      </c>
      <c r="M862">
        <v>22.60997987</v>
      </c>
      <c r="N862">
        <v>0.72884000000000004</v>
      </c>
      <c r="O862">
        <v>0.21301339999999999</v>
      </c>
      <c r="P862">
        <v>83.757575759999995</v>
      </c>
      <c r="Q862">
        <v>22.60997987</v>
      </c>
      <c r="R862">
        <v>0.72884000000000004</v>
      </c>
      <c r="S862">
        <v>0.21301339999999999</v>
      </c>
      <c r="T862" t="s">
        <v>1015</v>
      </c>
      <c r="U862">
        <v>0</v>
      </c>
    </row>
    <row r="863" spans="1:21" x14ac:dyDescent="0.25">
      <c r="A863" t="s">
        <v>56</v>
      </c>
      <c r="B863" t="s">
        <v>879</v>
      </c>
      <c r="C863">
        <v>12</v>
      </c>
      <c r="D863" t="s">
        <v>25</v>
      </c>
      <c r="E863" t="s">
        <v>94</v>
      </c>
      <c r="F863" t="s">
        <v>111</v>
      </c>
      <c r="G863" t="s">
        <v>121</v>
      </c>
      <c r="H863" t="s">
        <v>112</v>
      </c>
      <c r="J863">
        <v>0</v>
      </c>
      <c r="K863">
        <v>1</v>
      </c>
      <c r="L863">
        <v>94.97142857</v>
      </c>
      <c r="M863">
        <v>24.31591813</v>
      </c>
      <c r="N863">
        <v>0.122951111</v>
      </c>
      <c r="O863">
        <v>0.39050790000000002</v>
      </c>
      <c r="P863">
        <v>65.09375</v>
      </c>
      <c r="Q863">
        <v>37.895352600000002</v>
      </c>
      <c r="R863">
        <v>2.2882677779999998</v>
      </c>
      <c r="S863">
        <v>2.2111774</v>
      </c>
      <c r="T863" t="s">
        <v>1015</v>
      </c>
      <c r="U863">
        <v>29.87767857</v>
      </c>
    </row>
    <row r="864" spans="1:21" x14ac:dyDescent="0.25">
      <c r="A864" t="s">
        <v>56</v>
      </c>
      <c r="B864" t="s">
        <v>880</v>
      </c>
      <c r="C864">
        <v>12</v>
      </c>
      <c r="D864" t="s">
        <v>25</v>
      </c>
      <c r="E864" t="s">
        <v>94</v>
      </c>
      <c r="F864" t="s">
        <v>104</v>
      </c>
      <c r="G864" t="s">
        <v>121</v>
      </c>
      <c r="H864" t="s">
        <v>104</v>
      </c>
      <c r="J864">
        <v>0</v>
      </c>
      <c r="K864">
        <v>1</v>
      </c>
      <c r="L864">
        <v>113.9375</v>
      </c>
      <c r="M864">
        <v>33.375507550000002</v>
      </c>
      <c r="N864">
        <v>2.4262999999999999</v>
      </c>
      <c r="O864">
        <v>0.40692159999999999</v>
      </c>
      <c r="P864">
        <v>113.9375</v>
      </c>
      <c r="Q864">
        <v>33.375507550000002</v>
      </c>
      <c r="R864">
        <v>2.4262999999999999</v>
      </c>
      <c r="S864">
        <v>0.40692159999999999</v>
      </c>
      <c r="T864" t="s">
        <v>1015</v>
      </c>
      <c r="U864">
        <v>0</v>
      </c>
    </row>
    <row r="865" spans="1:21" x14ac:dyDescent="0.25">
      <c r="A865" t="s">
        <v>56</v>
      </c>
      <c r="B865" t="s">
        <v>881</v>
      </c>
      <c r="C865">
        <v>12</v>
      </c>
      <c r="D865" t="s">
        <v>25</v>
      </c>
      <c r="E865" t="s">
        <v>94</v>
      </c>
      <c r="F865" t="s">
        <v>112</v>
      </c>
      <c r="G865" t="s">
        <v>121</v>
      </c>
      <c r="H865" t="s">
        <v>241</v>
      </c>
      <c r="J865">
        <v>0</v>
      </c>
      <c r="K865">
        <v>4</v>
      </c>
      <c r="L865">
        <v>65.09375</v>
      </c>
      <c r="M865">
        <v>37.895352600000002</v>
      </c>
      <c r="N865">
        <v>2.2882677779999998</v>
      </c>
      <c r="O865">
        <v>2.2111774</v>
      </c>
      <c r="P865">
        <v>114</v>
      </c>
      <c r="Q865">
        <v>30.43077242</v>
      </c>
      <c r="R865">
        <v>0.53383111100000002</v>
      </c>
      <c r="S865">
        <v>0.28333332999999999</v>
      </c>
      <c r="T865" t="s">
        <v>1015</v>
      </c>
      <c r="U865">
        <v>48.90625</v>
      </c>
    </row>
    <row r="866" spans="1:21" x14ac:dyDescent="0.25">
      <c r="A866" t="s">
        <v>56</v>
      </c>
      <c r="B866" t="s">
        <v>881</v>
      </c>
      <c r="C866">
        <v>12</v>
      </c>
      <c r="D866" t="s">
        <v>25</v>
      </c>
      <c r="E866" t="s">
        <v>94</v>
      </c>
      <c r="F866" t="s">
        <v>112</v>
      </c>
      <c r="G866" t="s">
        <v>121</v>
      </c>
      <c r="H866" t="s">
        <v>241</v>
      </c>
      <c r="J866">
        <v>0</v>
      </c>
      <c r="K866">
        <v>4</v>
      </c>
      <c r="L866">
        <v>65.09375</v>
      </c>
      <c r="M866">
        <v>37.895352600000002</v>
      </c>
      <c r="N866">
        <v>2.2882677779999998</v>
      </c>
      <c r="O866">
        <v>2.2111774</v>
      </c>
      <c r="P866">
        <v>114</v>
      </c>
      <c r="Q866">
        <v>30.43077242</v>
      </c>
      <c r="R866">
        <v>0.53383111100000002</v>
      </c>
      <c r="S866">
        <v>0.28333332999999999</v>
      </c>
      <c r="T866" t="s">
        <v>1015</v>
      </c>
      <c r="U866">
        <v>48.90625</v>
      </c>
    </row>
    <row r="867" spans="1:21" x14ac:dyDescent="0.25">
      <c r="A867" t="s">
        <v>56</v>
      </c>
      <c r="B867" t="s">
        <v>881</v>
      </c>
      <c r="C867">
        <v>12</v>
      </c>
      <c r="D867" t="s">
        <v>25</v>
      </c>
      <c r="E867" t="s">
        <v>94</v>
      </c>
      <c r="F867" t="s">
        <v>112</v>
      </c>
      <c r="G867" t="s">
        <v>121</v>
      </c>
      <c r="H867" t="s">
        <v>241</v>
      </c>
      <c r="J867">
        <v>0</v>
      </c>
      <c r="K867">
        <v>4</v>
      </c>
      <c r="L867">
        <v>65.09375</v>
      </c>
      <c r="M867">
        <v>37.895352600000002</v>
      </c>
      <c r="N867">
        <v>2.2882677779999998</v>
      </c>
      <c r="O867">
        <v>2.2111774</v>
      </c>
      <c r="P867">
        <v>114</v>
      </c>
      <c r="Q867">
        <v>30.43077242</v>
      </c>
      <c r="R867">
        <v>0.53383111100000002</v>
      </c>
      <c r="S867">
        <v>0.28333332999999999</v>
      </c>
      <c r="T867" t="s">
        <v>1015</v>
      </c>
      <c r="U867">
        <v>48.90625</v>
      </c>
    </row>
    <row r="868" spans="1:21" x14ac:dyDescent="0.25">
      <c r="A868" t="s">
        <v>56</v>
      </c>
      <c r="B868" t="s">
        <v>881</v>
      </c>
      <c r="C868">
        <v>12</v>
      </c>
      <c r="D868" t="s">
        <v>25</v>
      </c>
      <c r="E868" t="s">
        <v>94</v>
      </c>
      <c r="F868" t="s">
        <v>112</v>
      </c>
      <c r="G868" t="s">
        <v>121</v>
      </c>
      <c r="H868" t="s">
        <v>241</v>
      </c>
      <c r="J868">
        <v>0</v>
      </c>
      <c r="K868">
        <v>4</v>
      </c>
      <c r="L868">
        <v>65.09375</v>
      </c>
      <c r="M868">
        <v>37.895352600000002</v>
      </c>
      <c r="N868">
        <v>2.2882677779999998</v>
      </c>
      <c r="O868">
        <v>2.2111774</v>
      </c>
      <c r="P868">
        <v>114</v>
      </c>
      <c r="Q868">
        <v>30.43077242</v>
      </c>
      <c r="R868">
        <v>0.53383111100000002</v>
      </c>
      <c r="S868">
        <v>0.28333332999999999</v>
      </c>
      <c r="T868" t="s">
        <v>1015</v>
      </c>
      <c r="U868">
        <v>48.90625</v>
      </c>
    </row>
    <row r="869" spans="1:21" x14ac:dyDescent="0.25">
      <c r="A869" t="s">
        <v>57</v>
      </c>
      <c r="B869" t="s">
        <v>882</v>
      </c>
      <c r="C869">
        <v>12</v>
      </c>
      <c r="D869" t="s">
        <v>27</v>
      </c>
      <c r="E869" t="s">
        <v>94</v>
      </c>
      <c r="F869" t="s">
        <v>105</v>
      </c>
      <c r="G869" t="s">
        <v>121</v>
      </c>
      <c r="H869" t="s">
        <v>247</v>
      </c>
      <c r="J869">
        <v>0</v>
      </c>
      <c r="K869">
        <v>1</v>
      </c>
      <c r="L869">
        <v>67.5</v>
      </c>
      <c r="M869">
        <v>47.937235809999997</v>
      </c>
      <c r="N869">
        <v>0.41599678000000001</v>
      </c>
      <c r="O869">
        <v>2.0950346999999998</v>
      </c>
      <c r="P869">
        <v>65.791044779999993</v>
      </c>
      <c r="Q869">
        <v>22.94519201</v>
      </c>
      <c r="R869">
        <v>8.1320334999999994E-2</v>
      </c>
      <c r="S869">
        <v>0.17285655</v>
      </c>
      <c r="T869" t="s">
        <v>1015</v>
      </c>
      <c r="U869">
        <v>1.70895522</v>
      </c>
    </row>
    <row r="870" spans="1:21" x14ac:dyDescent="0.25">
      <c r="A870" t="s">
        <v>57</v>
      </c>
      <c r="B870" t="s">
        <v>882</v>
      </c>
      <c r="C870">
        <v>12</v>
      </c>
      <c r="D870" t="s">
        <v>27</v>
      </c>
      <c r="E870" t="s">
        <v>94</v>
      </c>
      <c r="F870" t="s">
        <v>105</v>
      </c>
      <c r="G870" t="s">
        <v>121</v>
      </c>
      <c r="H870" t="s">
        <v>103</v>
      </c>
      <c r="J870">
        <v>0</v>
      </c>
      <c r="K870">
        <v>1</v>
      </c>
      <c r="L870">
        <v>67.5</v>
      </c>
      <c r="M870">
        <v>47.937235809999997</v>
      </c>
      <c r="N870">
        <v>0.41599678000000001</v>
      </c>
      <c r="O870">
        <v>2.0950346999999998</v>
      </c>
      <c r="P870">
        <v>98.291666669999998</v>
      </c>
      <c r="Q870">
        <v>30.315130790000001</v>
      </c>
      <c r="R870">
        <v>5.0803484000000003E-2</v>
      </c>
      <c r="S870">
        <v>0.42866070000000001</v>
      </c>
      <c r="T870" t="s">
        <v>1015</v>
      </c>
      <c r="U870">
        <v>30.791666670000001</v>
      </c>
    </row>
    <row r="871" spans="1:21" x14ac:dyDescent="0.25">
      <c r="A871" t="s">
        <v>57</v>
      </c>
      <c r="B871" t="s">
        <v>882</v>
      </c>
      <c r="C871">
        <v>12</v>
      </c>
      <c r="D871" t="s">
        <v>27</v>
      </c>
      <c r="E871" t="s">
        <v>94</v>
      </c>
      <c r="F871" t="s">
        <v>105</v>
      </c>
      <c r="G871" t="s">
        <v>121</v>
      </c>
      <c r="H871" t="s">
        <v>233</v>
      </c>
      <c r="J871">
        <v>0</v>
      </c>
      <c r="K871">
        <v>6</v>
      </c>
      <c r="L871">
        <v>67.5</v>
      </c>
      <c r="M871">
        <v>47.937235809999997</v>
      </c>
      <c r="N871">
        <v>0.41599678000000001</v>
      </c>
      <c r="O871">
        <v>2.0950346999999998</v>
      </c>
      <c r="P871">
        <v>106.0540541</v>
      </c>
      <c r="Q871">
        <v>52.690533369999997</v>
      </c>
      <c r="R871">
        <v>7.6058968000000005E-2</v>
      </c>
      <c r="S871">
        <v>0.44888888999999998</v>
      </c>
      <c r="T871" t="s">
        <v>1015</v>
      </c>
      <c r="U871">
        <v>38.554054100000002</v>
      </c>
    </row>
    <row r="872" spans="1:21" x14ac:dyDescent="0.25">
      <c r="A872" t="s">
        <v>57</v>
      </c>
      <c r="B872" t="s">
        <v>882</v>
      </c>
      <c r="C872">
        <v>12</v>
      </c>
      <c r="D872" t="s">
        <v>27</v>
      </c>
      <c r="E872" t="s">
        <v>94</v>
      </c>
      <c r="F872" t="s">
        <v>105</v>
      </c>
      <c r="G872" t="s">
        <v>121</v>
      </c>
      <c r="H872" t="s">
        <v>233</v>
      </c>
      <c r="J872">
        <v>0</v>
      </c>
      <c r="K872">
        <v>6</v>
      </c>
      <c r="L872">
        <v>67.5</v>
      </c>
      <c r="M872">
        <v>47.937235809999997</v>
      </c>
      <c r="N872">
        <v>0.41599678000000001</v>
      </c>
      <c r="O872">
        <v>2.0950346999999998</v>
      </c>
      <c r="P872">
        <v>106.0540541</v>
      </c>
      <c r="Q872">
        <v>52.690533369999997</v>
      </c>
      <c r="R872">
        <v>7.6058968000000005E-2</v>
      </c>
      <c r="S872">
        <v>0.44888888999999998</v>
      </c>
      <c r="T872" t="s">
        <v>1015</v>
      </c>
      <c r="U872">
        <v>38.554054100000002</v>
      </c>
    </row>
    <row r="873" spans="1:21" x14ac:dyDescent="0.25">
      <c r="A873" t="s">
        <v>57</v>
      </c>
      <c r="B873" t="s">
        <v>882</v>
      </c>
      <c r="C873">
        <v>12</v>
      </c>
      <c r="D873" t="s">
        <v>27</v>
      </c>
      <c r="E873" t="s">
        <v>94</v>
      </c>
      <c r="F873" t="s">
        <v>105</v>
      </c>
      <c r="G873" t="s">
        <v>121</v>
      </c>
      <c r="H873" t="s">
        <v>233</v>
      </c>
      <c r="J873">
        <v>0</v>
      </c>
      <c r="K873">
        <v>6</v>
      </c>
      <c r="L873">
        <v>67.5</v>
      </c>
      <c r="M873">
        <v>47.937235809999997</v>
      </c>
      <c r="N873">
        <v>0.41599678000000001</v>
      </c>
      <c r="O873">
        <v>2.0950346999999998</v>
      </c>
      <c r="P873">
        <v>106.0540541</v>
      </c>
      <c r="Q873">
        <v>52.690533369999997</v>
      </c>
      <c r="R873">
        <v>7.6058968000000005E-2</v>
      </c>
      <c r="S873">
        <v>0.44888888999999998</v>
      </c>
      <c r="T873" t="s">
        <v>1015</v>
      </c>
      <c r="U873">
        <v>38.554054100000002</v>
      </c>
    </row>
    <row r="874" spans="1:21" x14ac:dyDescent="0.25">
      <c r="A874" t="s">
        <v>57</v>
      </c>
      <c r="B874" t="s">
        <v>882</v>
      </c>
      <c r="C874">
        <v>12</v>
      </c>
      <c r="D874" t="s">
        <v>27</v>
      </c>
      <c r="E874" t="s">
        <v>94</v>
      </c>
      <c r="F874" t="s">
        <v>105</v>
      </c>
      <c r="G874" t="s">
        <v>121</v>
      </c>
      <c r="H874" t="s">
        <v>233</v>
      </c>
      <c r="J874">
        <v>0</v>
      </c>
      <c r="K874">
        <v>6</v>
      </c>
      <c r="L874">
        <v>67.5</v>
      </c>
      <c r="M874">
        <v>47.937235809999997</v>
      </c>
      <c r="N874">
        <v>0.41599678000000001</v>
      </c>
      <c r="O874">
        <v>2.0950346999999998</v>
      </c>
      <c r="P874">
        <v>106.0540541</v>
      </c>
      <c r="Q874">
        <v>52.690533369999997</v>
      </c>
      <c r="R874">
        <v>7.6058968000000005E-2</v>
      </c>
      <c r="S874">
        <v>0.44888888999999998</v>
      </c>
      <c r="T874" t="s">
        <v>1015</v>
      </c>
      <c r="U874">
        <v>38.554054100000002</v>
      </c>
    </row>
    <row r="875" spans="1:21" x14ac:dyDescent="0.25">
      <c r="A875" t="s">
        <v>57</v>
      </c>
      <c r="B875" t="s">
        <v>882</v>
      </c>
      <c r="C875">
        <v>12</v>
      </c>
      <c r="D875" t="s">
        <v>27</v>
      </c>
      <c r="E875" t="s">
        <v>94</v>
      </c>
      <c r="F875" t="s">
        <v>105</v>
      </c>
      <c r="G875" t="s">
        <v>121</v>
      </c>
      <c r="H875" t="s">
        <v>233</v>
      </c>
      <c r="J875">
        <v>0</v>
      </c>
      <c r="K875">
        <v>6</v>
      </c>
      <c r="L875">
        <v>67.5</v>
      </c>
      <c r="M875">
        <v>47.937235809999997</v>
      </c>
      <c r="N875">
        <v>0.41599678000000001</v>
      </c>
      <c r="O875">
        <v>2.0950346999999998</v>
      </c>
      <c r="P875">
        <v>106.0540541</v>
      </c>
      <c r="Q875">
        <v>52.690533369999997</v>
      </c>
      <c r="R875">
        <v>7.6058968000000005E-2</v>
      </c>
      <c r="S875">
        <v>0.44888888999999998</v>
      </c>
      <c r="T875" t="s">
        <v>1015</v>
      </c>
      <c r="U875">
        <v>38.554054100000002</v>
      </c>
    </row>
    <row r="876" spans="1:21" x14ac:dyDescent="0.25">
      <c r="A876" t="s">
        <v>57</v>
      </c>
      <c r="B876" t="s">
        <v>882</v>
      </c>
      <c r="C876">
        <v>12</v>
      </c>
      <c r="D876" t="s">
        <v>27</v>
      </c>
      <c r="E876" t="s">
        <v>94</v>
      </c>
      <c r="F876" t="s">
        <v>105</v>
      </c>
      <c r="G876" t="s">
        <v>121</v>
      </c>
      <c r="H876" t="s">
        <v>233</v>
      </c>
      <c r="J876">
        <v>0</v>
      </c>
      <c r="K876">
        <v>6</v>
      </c>
      <c r="L876">
        <v>67.5</v>
      </c>
      <c r="M876">
        <v>47.937235809999997</v>
      </c>
      <c r="N876">
        <v>0.41599678000000001</v>
      </c>
      <c r="O876">
        <v>2.0950346999999998</v>
      </c>
      <c r="P876">
        <v>106.0540541</v>
      </c>
      <c r="Q876">
        <v>52.690533369999997</v>
      </c>
      <c r="R876">
        <v>7.6058968000000005E-2</v>
      </c>
      <c r="S876">
        <v>0.44888888999999998</v>
      </c>
      <c r="T876" t="s">
        <v>1015</v>
      </c>
      <c r="U876">
        <v>38.554054100000002</v>
      </c>
    </row>
    <row r="877" spans="1:21" x14ac:dyDescent="0.25">
      <c r="A877" t="s">
        <v>57</v>
      </c>
      <c r="B877" t="s">
        <v>883</v>
      </c>
      <c r="C877">
        <v>12</v>
      </c>
      <c r="D877" t="s">
        <v>27</v>
      </c>
      <c r="E877" t="s">
        <v>94</v>
      </c>
      <c r="F877" t="s">
        <v>113</v>
      </c>
      <c r="G877" t="s">
        <v>121</v>
      </c>
      <c r="H877" t="s">
        <v>114</v>
      </c>
      <c r="J877">
        <v>0</v>
      </c>
      <c r="K877" t="s">
        <v>114</v>
      </c>
      <c r="L877">
        <v>83.757575759999995</v>
      </c>
      <c r="M877">
        <v>22.60997987</v>
      </c>
      <c r="N877">
        <v>0.72884000000000004</v>
      </c>
      <c r="O877">
        <v>0.21301339999999999</v>
      </c>
      <c r="P877" t="s">
        <v>114</v>
      </c>
      <c r="Q877" t="s">
        <v>114</v>
      </c>
      <c r="R877" t="s">
        <v>114</v>
      </c>
      <c r="S877" t="s">
        <v>114</v>
      </c>
      <c r="T877" t="s">
        <v>1015</v>
      </c>
      <c r="U877" t="s">
        <v>114</v>
      </c>
    </row>
    <row r="878" spans="1:21" x14ac:dyDescent="0.25">
      <c r="A878" t="s">
        <v>57</v>
      </c>
      <c r="B878" t="s">
        <v>884</v>
      </c>
      <c r="C878">
        <v>12</v>
      </c>
      <c r="D878" t="s">
        <v>27</v>
      </c>
      <c r="E878" t="s">
        <v>94</v>
      </c>
      <c r="F878" t="s">
        <v>112</v>
      </c>
      <c r="G878" t="s">
        <v>112</v>
      </c>
      <c r="H878" t="s">
        <v>112</v>
      </c>
      <c r="J878">
        <v>0</v>
      </c>
      <c r="K878">
        <v>2</v>
      </c>
      <c r="L878">
        <v>65.09375</v>
      </c>
      <c r="M878">
        <v>37.895352600000002</v>
      </c>
      <c r="N878">
        <v>2.2882677779999998</v>
      </c>
      <c r="O878">
        <v>2.2111774</v>
      </c>
      <c r="P878">
        <v>65.09375</v>
      </c>
      <c r="Q878">
        <v>37.895352600000002</v>
      </c>
      <c r="R878">
        <v>2.2882677779999998</v>
      </c>
      <c r="S878">
        <v>2.2111774</v>
      </c>
      <c r="T878" t="s">
        <v>1015</v>
      </c>
      <c r="U878">
        <v>0</v>
      </c>
    </row>
    <row r="879" spans="1:21" x14ac:dyDescent="0.25">
      <c r="A879" t="s">
        <v>57</v>
      </c>
      <c r="B879" t="s">
        <v>884</v>
      </c>
      <c r="C879">
        <v>12</v>
      </c>
      <c r="D879" t="s">
        <v>27</v>
      </c>
      <c r="E879" t="s">
        <v>94</v>
      </c>
      <c r="F879" t="s">
        <v>112</v>
      </c>
      <c r="G879" t="s">
        <v>112</v>
      </c>
      <c r="H879" t="s">
        <v>112</v>
      </c>
      <c r="J879">
        <v>0</v>
      </c>
      <c r="K879">
        <v>2</v>
      </c>
      <c r="L879">
        <v>65.09375</v>
      </c>
      <c r="M879">
        <v>37.895352600000002</v>
      </c>
      <c r="N879">
        <v>2.2882677779999998</v>
      </c>
      <c r="O879">
        <v>2.2111774</v>
      </c>
      <c r="P879">
        <v>65.09375</v>
      </c>
      <c r="Q879">
        <v>37.895352600000002</v>
      </c>
      <c r="R879">
        <v>2.2882677779999998</v>
      </c>
      <c r="S879">
        <v>2.2111774</v>
      </c>
      <c r="T879" t="s">
        <v>1015</v>
      </c>
      <c r="U879">
        <v>0</v>
      </c>
    </row>
    <row r="880" spans="1:21" x14ac:dyDescent="0.25">
      <c r="A880" t="s">
        <v>57</v>
      </c>
      <c r="B880" t="s">
        <v>884</v>
      </c>
      <c r="C880">
        <v>12</v>
      </c>
      <c r="D880" t="s">
        <v>27</v>
      </c>
      <c r="E880" t="s">
        <v>94</v>
      </c>
      <c r="F880" t="s">
        <v>112</v>
      </c>
      <c r="G880" t="s">
        <v>112</v>
      </c>
      <c r="H880" t="s">
        <v>247</v>
      </c>
      <c r="J880">
        <v>0</v>
      </c>
      <c r="K880">
        <v>1</v>
      </c>
      <c r="L880">
        <v>65.09375</v>
      </c>
      <c r="M880">
        <v>37.895352600000002</v>
      </c>
      <c r="N880">
        <v>2.2882677779999998</v>
      </c>
      <c r="O880">
        <v>2.2111774</v>
      </c>
      <c r="P880">
        <v>65.791044779999993</v>
      </c>
      <c r="Q880">
        <v>22.94519201</v>
      </c>
      <c r="R880">
        <v>8.1320334999999994E-2</v>
      </c>
      <c r="S880">
        <v>0.17285655</v>
      </c>
      <c r="T880" t="s">
        <v>1015</v>
      </c>
      <c r="U880">
        <v>0.69729478</v>
      </c>
    </row>
    <row r="881" spans="1:21" x14ac:dyDescent="0.25">
      <c r="A881" t="s">
        <v>58</v>
      </c>
      <c r="B881" t="s">
        <v>885</v>
      </c>
      <c r="C881">
        <v>12</v>
      </c>
      <c r="D881" t="s">
        <v>29</v>
      </c>
      <c r="E881" t="s">
        <v>95</v>
      </c>
      <c r="F881" t="s">
        <v>102</v>
      </c>
      <c r="G881" t="s">
        <v>104</v>
      </c>
      <c r="H881" t="s">
        <v>104</v>
      </c>
      <c r="J881">
        <v>0</v>
      </c>
      <c r="K881">
        <v>1</v>
      </c>
      <c r="L881">
        <v>84.740740740000007</v>
      </c>
      <c r="M881">
        <v>29.167014049999999</v>
      </c>
      <c r="N881">
        <v>1.1169849999999999</v>
      </c>
      <c r="O881">
        <v>1.1571499000000001</v>
      </c>
      <c r="P881">
        <v>113.9375</v>
      </c>
      <c r="Q881">
        <v>33.375507550000002</v>
      </c>
      <c r="R881">
        <v>2.4262999999999999</v>
      </c>
      <c r="S881">
        <v>0.40692159999999999</v>
      </c>
      <c r="T881" t="s">
        <v>1015</v>
      </c>
      <c r="U881">
        <v>29.19675926</v>
      </c>
    </row>
    <row r="882" spans="1:21" x14ac:dyDescent="0.25">
      <c r="A882" t="s">
        <v>58</v>
      </c>
      <c r="B882" t="s">
        <v>885</v>
      </c>
      <c r="C882">
        <v>12</v>
      </c>
      <c r="D882" t="s">
        <v>29</v>
      </c>
      <c r="E882" t="s">
        <v>95</v>
      </c>
      <c r="F882" t="s">
        <v>102</v>
      </c>
      <c r="G882" t="s">
        <v>104</v>
      </c>
      <c r="H882" t="s">
        <v>246</v>
      </c>
      <c r="J882">
        <v>0</v>
      </c>
      <c r="K882">
        <v>1</v>
      </c>
      <c r="L882">
        <v>84.740740740000007</v>
      </c>
      <c r="M882">
        <v>29.167014049999999</v>
      </c>
      <c r="N882">
        <v>1.1169849999999999</v>
      </c>
      <c r="O882">
        <v>1.1571499000000001</v>
      </c>
      <c r="P882">
        <v>120.25</v>
      </c>
      <c r="Q882">
        <v>30.670450110000001</v>
      </c>
      <c r="R882">
        <v>0.91037498500000003</v>
      </c>
      <c r="S882" t="s">
        <v>114</v>
      </c>
      <c r="T882" t="s">
        <v>1015</v>
      </c>
      <c r="U882">
        <v>35.50925926</v>
      </c>
    </row>
    <row r="883" spans="1:21" x14ac:dyDescent="0.25">
      <c r="A883" t="s">
        <v>58</v>
      </c>
      <c r="B883" t="s">
        <v>886</v>
      </c>
      <c r="C883">
        <v>12</v>
      </c>
      <c r="D883" t="s">
        <v>29</v>
      </c>
      <c r="E883" t="s">
        <v>95</v>
      </c>
      <c r="F883" t="s">
        <v>110</v>
      </c>
      <c r="G883" t="s">
        <v>121</v>
      </c>
      <c r="H883" t="s">
        <v>246</v>
      </c>
      <c r="I883" t="s">
        <v>162</v>
      </c>
      <c r="J883">
        <v>1</v>
      </c>
      <c r="K883">
        <v>1</v>
      </c>
      <c r="L883">
        <v>73.260869569999997</v>
      </c>
      <c r="M883">
        <v>34.453830549999999</v>
      </c>
      <c r="N883">
        <v>1.058333333</v>
      </c>
      <c r="O883">
        <v>0.90897070000000002</v>
      </c>
      <c r="P883">
        <v>120.25</v>
      </c>
      <c r="Q883">
        <v>30.670450110000001</v>
      </c>
      <c r="R883">
        <v>0.91037498500000003</v>
      </c>
      <c r="S883" t="s">
        <v>114</v>
      </c>
      <c r="T883" t="s">
        <v>1015</v>
      </c>
      <c r="U883">
        <v>46.989130430000003</v>
      </c>
    </row>
    <row r="884" spans="1:21" x14ac:dyDescent="0.25">
      <c r="A884" t="s">
        <v>58</v>
      </c>
      <c r="B884" t="s">
        <v>886</v>
      </c>
      <c r="C884">
        <v>12</v>
      </c>
      <c r="D884" t="s">
        <v>29</v>
      </c>
      <c r="E884" t="s">
        <v>95</v>
      </c>
      <c r="F884" t="s">
        <v>110</v>
      </c>
      <c r="G884" t="s">
        <v>121</v>
      </c>
      <c r="H884" t="s">
        <v>239</v>
      </c>
      <c r="J884">
        <v>1</v>
      </c>
      <c r="K884">
        <v>1</v>
      </c>
      <c r="L884">
        <v>73.260869569999997</v>
      </c>
      <c r="M884">
        <v>34.453830549999999</v>
      </c>
      <c r="N884">
        <v>1.058333333</v>
      </c>
      <c r="O884">
        <v>0.90897070000000002</v>
      </c>
      <c r="P884">
        <v>100.45454549999999</v>
      </c>
      <c r="Q884">
        <v>26.754810689999999</v>
      </c>
      <c r="R884">
        <v>0.75829999999999997</v>
      </c>
      <c r="S884">
        <v>0.40907861000000001</v>
      </c>
      <c r="T884" t="s">
        <v>1015</v>
      </c>
      <c r="U884">
        <v>27.193675930000001</v>
      </c>
    </row>
    <row r="885" spans="1:21" x14ac:dyDescent="0.25">
      <c r="A885" t="s">
        <v>58</v>
      </c>
      <c r="B885" t="s">
        <v>887</v>
      </c>
      <c r="C885">
        <v>12</v>
      </c>
      <c r="D885" t="s">
        <v>29</v>
      </c>
      <c r="E885" t="s">
        <v>95</v>
      </c>
      <c r="F885" t="s">
        <v>103</v>
      </c>
      <c r="G885" t="s">
        <v>121</v>
      </c>
      <c r="H885" t="s">
        <v>249</v>
      </c>
      <c r="J885">
        <v>0</v>
      </c>
      <c r="K885">
        <v>1</v>
      </c>
      <c r="L885">
        <v>98.291666669999998</v>
      </c>
      <c r="M885">
        <v>30.315130790000001</v>
      </c>
      <c r="N885">
        <v>5.0803484000000003E-2</v>
      </c>
      <c r="O885">
        <v>0.42866070000000001</v>
      </c>
      <c r="P885">
        <v>81.666666669999998</v>
      </c>
      <c r="Q885">
        <v>48.056268459999998</v>
      </c>
      <c r="R885">
        <v>0.120291364</v>
      </c>
      <c r="S885" t="s">
        <v>114</v>
      </c>
      <c r="T885" t="s">
        <v>1015</v>
      </c>
      <c r="U885">
        <v>16.625</v>
      </c>
    </row>
    <row r="886" spans="1:21" x14ac:dyDescent="0.25">
      <c r="A886" t="s">
        <v>58</v>
      </c>
      <c r="B886" t="s">
        <v>887</v>
      </c>
      <c r="C886">
        <v>12</v>
      </c>
      <c r="D886" t="s">
        <v>29</v>
      </c>
      <c r="E886" t="s">
        <v>95</v>
      </c>
      <c r="F886" t="s">
        <v>103</v>
      </c>
      <c r="G886" t="s">
        <v>121</v>
      </c>
      <c r="H886" t="s">
        <v>238</v>
      </c>
      <c r="J886">
        <v>0</v>
      </c>
      <c r="K886">
        <v>1</v>
      </c>
      <c r="L886">
        <v>98.291666669999998</v>
      </c>
      <c r="M886">
        <v>30.315130790000001</v>
      </c>
      <c r="N886">
        <v>5.0803484000000003E-2</v>
      </c>
      <c r="O886">
        <v>0.42866070000000001</v>
      </c>
      <c r="P886">
        <v>87.5</v>
      </c>
      <c r="Q886">
        <v>29.478311600000001</v>
      </c>
      <c r="R886">
        <v>3.0797751000000002E-2</v>
      </c>
      <c r="S886">
        <v>0.12931835</v>
      </c>
      <c r="T886" t="s">
        <v>1015</v>
      </c>
      <c r="U886">
        <v>10.79166667</v>
      </c>
    </row>
    <row r="887" spans="1:21" x14ac:dyDescent="0.25">
      <c r="A887" t="s">
        <v>59</v>
      </c>
      <c r="B887" t="s">
        <v>888</v>
      </c>
      <c r="C887">
        <v>12</v>
      </c>
      <c r="D887" t="s">
        <v>31</v>
      </c>
      <c r="E887" t="s">
        <v>94</v>
      </c>
      <c r="F887" t="s">
        <v>105</v>
      </c>
      <c r="G887" t="s">
        <v>121</v>
      </c>
      <c r="H887" t="s">
        <v>241</v>
      </c>
      <c r="J887">
        <v>0</v>
      </c>
      <c r="K887">
        <v>1</v>
      </c>
      <c r="L887">
        <v>67.5</v>
      </c>
      <c r="M887">
        <v>47.937235809999997</v>
      </c>
      <c r="N887">
        <v>0.41599678000000001</v>
      </c>
      <c r="O887">
        <v>2.0950346999999998</v>
      </c>
      <c r="P887">
        <v>114</v>
      </c>
      <c r="Q887">
        <v>30.43077242</v>
      </c>
      <c r="R887">
        <v>0.53383111100000002</v>
      </c>
      <c r="S887">
        <v>0.28333332999999999</v>
      </c>
      <c r="T887" t="s">
        <v>1015</v>
      </c>
      <c r="U887">
        <v>46.5</v>
      </c>
    </row>
    <row r="888" spans="1:21" x14ac:dyDescent="0.25">
      <c r="A888" t="s">
        <v>59</v>
      </c>
      <c r="B888" t="s">
        <v>889</v>
      </c>
      <c r="C888">
        <v>12</v>
      </c>
      <c r="D888" t="s">
        <v>31</v>
      </c>
      <c r="E888" t="s">
        <v>94</v>
      </c>
      <c r="F888" t="s">
        <v>110</v>
      </c>
      <c r="G888" t="s">
        <v>121</v>
      </c>
      <c r="H888" t="s">
        <v>241</v>
      </c>
      <c r="J888">
        <v>0</v>
      </c>
      <c r="K888">
        <v>2</v>
      </c>
      <c r="L888">
        <v>73.260869569999997</v>
      </c>
      <c r="M888">
        <v>34.453830549999999</v>
      </c>
      <c r="N888">
        <v>1.058333333</v>
      </c>
      <c r="O888">
        <v>0.90897070000000002</v>
      </c>
      <c r="P888">
        <v>114</v>
      </c>
      <c r="Q888">
        <v>30.43077242</v>
      </c>
      <c r="R888">
        <v>0.53383111100000002</v>
      </c>
      <c r="S888">
        <v>0.28333332999999999</v>
      </c>
      <c r="T888" t="s">
        <v>1015</v>
      </c>
      <c r="U888">
        <v>40.739130430000003</v>
      </c>
    </row>
    <row r="889" spans="1:21" x14ac:dyDescent="0.25">
      <c r="A889" t="s">
        <v>59</v>
      </c>
      <c r="B889" t="s">
        <v>889</v>
      </c>
      <c r="C889">
        <v>12</v>
      </c>
      <c r="D889" t="s">
        <v>31</v>
      </c>
      <c r="E889" t="s">
        <v>94</v>
      </c>
      <c r="F889" t="s">
        <v>110</v>
      </c>
      <c r="G889" t="s">
        <v>121</v>
      </c>
      <c r="H889" t="s">
        <v>241</v>
      </c>
      <c r="J889">
        <v>0</v>
      </c>
      <c r="K889">
        <v>2</v>
      </c>
      <c r="L889">
        <v>73.260869569999997</v>
      </c>
      <c r="M889">
        <v>34.453830549999999</v>
      </c>
      <c r="N889">
        <v>1.058333333</v>
      </c>
      <c r="O889">
        <v>0.90897070000000002</v>
      </c>
      <c r="P889">
        <v>114</v>
      </c>
      <c r="Q889">
        <v>30.43077242</v>
      </c>
      <c r="R889">
        <v>0.53383111100000002</v>
      </c>
      <c r="S889">
        <v>0.28333332999999999</v>
      </c>
      <c r="T889" t="s">
        <v>1015</v>
      </c>
      <c r="U889">
        <v>40.739130430000003</v>
      </c>
    </row>
    <row r="890" spans="1:21" x14ac:dyDescent="0.25">
      <c r="A890" t="s">
        <v>60</v>
      </c>
      <c r="B890" t="s">
        <v>890</v>
      </c>
      <c r="C890">
        <v>12</v>
      </c>
      <c r="D890" t="s">
        <v>33</v>
      </c>
      <c r="E890" t="s">
        <v>95</v>
      </c>
      <c r="F890" t="s">
        <v>102</v>
      </c>
      <c r="G890" t="s">
        <v>104</v>
      </c>
      <c r="H890" t="s">
        <v>104</v>
      </c>
      <c r="J890">
        <v>0</v>
      </c>
      <c r="K890">
        <v>1</v>
      </c>
      <c r="L890">
        <v>84.740740740000007</v>
      </c>
      <c r="M890">
        <v>29.167014049999999</v>
      </c>
      <c r="N890">
        <v>1.1169849999999999</v>
      </c>
      <c r="O890">
        <v>1.1571499000000001</v>
      </c>
      <c r="P890">
        <v>113.9375</v>
      </c>
      <c r="Q890">
        <v>33.375507550000002</v>
      </c>
      <c r="R890">
        <v>2.4262999999999999</v>
      </c>
      <c r="S890">
        <v>0.40692159999999999</v>
      </c>
      <c r="T890" t="s">
        <v>1015</v>
      </c>
      <c r="U890">
        <v>29.19675926</v>
      </c>
    </row>
    <row r="891" spans="1:21" x14ac:dyDescent="0.25">
      <c r="A891" t="s">
        <v>60</v>
      </c>
      <c r="B891" t="s">
        <v>891</v>
      </c>
      <c r="C891">
        <v>12</v>
      </c>
      <c r="D891" t="s">
        <v>33</v>
      </c>
      <c r="E891" t="s">
        <v>95</v>
      </c>
      <c r="F891" t="s">
        <v>110</v>
      </c>
      <c r="G891" t="s">
        <v>121</v>
      </c>
      <c r="H891" t="s">
        <v>241</v>
      </c>
      <c r="J891">
        <v>0</v>
      </c>
      <c r="K891">
        <v>2</v>
      </c>
      <c r="L891">
        <v>73.260869569999997</v>
      </c>
      <c r="M891">
        <v>34.453830549999999</v>
      </c>
      <c r="N891">
        <v>1.058333333</v>
      </c>
      <c r="O891">
        <v>0.90897070000000002</v>
      </c>
      <c r="P891">
        <v>114</v>
      </c>
      <c r="Q891">
        <v>30.43077242</v>
      </c>
      <c r="R891">
        <v>0.53383111100000002</v>
      </c>
      <c r="S891">
        <v>0.28333332999999999</v>
      </c>
      <c r="T891" t="s">
        <v>1015</v>
      </c>
      <c r="U891">
        <v>40.739130430000003</v>
      </c>
    </row>
    <row r="892" spans="1:21" x14ac:dyDescent="0.25">
      <c r="A892" t="s">
        <v>60</v>
      </c>
      <c r="B892" t="s">
        <v>891</v>
      </c>
      <c r="C892">
        <v>12</v>
      </c>
      <c r="D892" t="s">
        <v>33</v>
      </c>
      <c r="E892" t="s">
        <v>95</v>
      </c>
      <c r="F892" t="s">
        <v>110</v>
      </c>
      <c r="G892" t="s">
        <v>121</v>
      </c>
      <c r="H892" t="s">
        <v>241</v>
      </c>
      <c r="J892">
        <v>0</v>
      </c>
      <c r="K892">
        <v>2</v>
      </c>
      <c r="L892">
        <v>73.260869569999997</v>
      </c>
      <c r="M892">
        <v>34.453830549999999</v>
      </c>
      <c r="N892">
        <v>1.058333333</v>
      </c>
      <c r="O892">
        <v>0.90897070000000002</v>
      </c>
      <c r="P892">
        <v>114</v>
      </c>
      <c r="Q892">
        <v>30.43077242</v>
      </c>
      <c r="R892">
        <v>0.53383111100000002</v>
      </c>
      <c r="S892">
        <v>0.28333332999999999</v>
      </c>
      <c r="T892" t="s">
        <v>1015</v>
      </c>
      <c r="U892">
        <v>40.739130430000003</v>
      </c>
    </row>
    <row r="893" spans="1:21" x14ac:dyDescent="0.25">
      <c r="A893" t="s">
        <v>60</v>
      </c>
      <c r="B893" t="s">
        <v>891</v>
      </c>
      <c r="C893">
        <v>12</v>
      </c>
      <c r="D893" t="s">
        <v>33</v>
      </c>
      <c r="E893" t="s">
        <v>95</v>
      </c>
      <c r="F893" t="s">
        <v>110</v>
      </c>
      <c r="G893" t="s">
        <v>121</v>
      </c>
      <c r="H893" t="s">
        <v>246</v>
      </c>
      <c r="J893">
        <v>0</v>
      </c>
      <c r="K893">
        <v>2</v>
      </c>
      <c r="L893">
        <v>73.260869569999997</v>
      </c>
      <c r="M893">
        <v>34.453830549999999</v>
      </c>
      <c r="N893">
        <v>1.058333333</v>
      </c>
      <c r="O893">
        <v>0.90897070000000002</v>
      </c>
      <c r="P893">
        <v>120.25</v>
      </c>
      <c r="Q893">
        <v>30.670450110000001</v>
      </c>
      <c r="R893">
        <v>0.91037498500000003</v>
      </c>
      <c r="S893" t="s">
        <v>114</v>
      </c>
      <c r="T893" t="s">
        <v>1015</v>
      </c>
      <c r="U893">
        <v>46.989130430000003</v>
      </c>
    </row>
    <row r="894" spans="1:21" x14ac:dyDescent="0.25">
      <c r="A894" t="s">
        <v>60</v>
      </c>
      <c r="B894" t="s">
        <v>891</v>
      </c>
      <c r="C894">
        <v>12</v>
      </c>
      <c r="D894" t="s">
        <v>33</v>
      </c>
      <c r="E894" t="s">
        <v>95</v>
      </c>
      <c r="F894" t="s">
        <v>110</v>
      </c>
      <c r="G894" t="s">
        <v>121</v>
      </c>
      <c r="H894" t="s">
        <v>246</v>
      </c>
      <c r="J894">
        <v>0</v>
      </c>
      <c r="K894">
        <v>2</v>
      </c>
      <c r="L894">
        <v>73.260869569999997</v>
      </c>
      <c r="M894">
        <v>34.453830549999999</v>
      </c>
      <c r="N894">
        <v>1.058333333</v>
      </c>
      <c r="O894">
        <v>0.90897070000000002</v>
      </c>
      <c r="P894">
        <v>120.25</v>
      </c>
      <c r="Q894">
        <v>30.670450110000001</v>
      </c>
      <c r="R894">
        <v>0.91037498500000003</v>
      </c>
      <c r="S894" t="s">
        <v>114</v>
      </c>
      <c r="T894" t="s">
        <v>1015</v>
      </c>
      <c r="U894">
        <v>46.989130430000003</v>
      </c>
    </row>
    <row r="895" spans="1:21" x14ac:dyDescent="0.25">
      <c r="A895" t="s">
        <v>60</v>
      </c>
      <c r="B895" t="s">
        <v>892</v>
      </c>
      <c r="C895">
        <v>12</v>
      </c>
      <c r="D895" t="s">
        <v>33</v>
      </c>
      <c r="E895" t="s">
        <v>95</v>
      </c>
      <c r="F895" t="s">
        <v>104</v>
      </c>
      <c r="G895" t="s">
        <v>104</v>
      </c>
      <c r="H895" t="s">
        <v>104</v>
      </c>
      <c r="J895">
        <v>0</v>
      </c>
      <c r="K895">
        <v>1</v>
      </c>
      <c r="L895">
        <v>113.9375</v>
      </c>
      <c r="M895">
        <v>33.375507550000002</v>
      </c>
      <c r="N895">
        <v>2.4262999999999999</v>
      </c>
      <c r="O895">
        <v>0.40692159999999999</v>
      </c>
      <c r="P895">
        <v>113.9375</v>
      </c>
      <c r="Q895">
        <v>33.375507550000002</v>
      </c>
      <c r="R895">
        <v>2.4262999999999999</v>
      </c>
      <c r="S895">
        <v>0.40692159999999999</v>
      </c>
      <c r="T895" t="s">
        <v>1015</v>
      </c>
      <c r="U895">
        <v>0</v>
      </c>
    </row>
    <row r="896" spans="1:21" x14ac:dyDescent="0.25">
      <c r="A896" t="s">
        <v>60</v>
      </c>
      <c r="B896" t="s">
        <v>892</v>
      </c>
      <c r="C896">
        <v>12</v>
      </c>
      <c r="D896" t="s">
        <v>33</v>
      </c>
      <c r="E896" t="s">
        <v>95</v>
      </c>
      <c r="F896" t="s">
        <v>104</v>
      </c>
      <c r="G896" t="s">
        <v>104</v>
      </c>
      <c r="H896" t="s">
        <v>246</v>
      </c>
      <c r="J896">
        <v>0</v>
      </c>
      <c r="K896">
        <v>2</v>
      </c>
      <c r="L896">
        <v>113.9375</v>
      </c>
      <c r="M896">
        <v>33.375507550000002</v>
      </c>
      <c r="N896">
        <v>2.4262999999999999</v>
      </c>
      <c r="O896">
        <v>0.40692159999999999</v>
      </c>
      <c r="P896">
        <v>120.25</v>
      </c>
      <c r="Q896">
        <v>30.670450110000001</v>
      </c>
      <c r="R896">
        <v>0.91037498500000003</v>
      </c>
      <c r="S896" t="s">
        <v>114</v>
      </c>
      <c r="T896" t="s">
        <v>1015</v>
      </c>
      <c r="U896">
        <v>6.3125</v>
      </c>
    </row>
    <row r="897" spans="1:21" x14ac:dyDescent="0.25">
      <c r="A897" t="s">
        <v>60</v>
      </c>
      <c r="B897" t="s">
        <v>892</v>
      </c>
      <c r="C897">
        <v>12</v>
      </c>
      <c r="D897" t="s">
        <v>33</v>
      </c>
      <c r="E897" t="s">
        <v>95</v>
      </c>
      <c r="F897" t="s">
        <v>104</v>
      </c>
      <c r="G897" t="s">
        <v>104</v>
      </c>
      <c r="H897" t="s">
        <v>246</v>
      </c>
      <c r="J897">
        <v>0</v>
      </c>
      <c r="K897">
        <v>2</v>
      </c>
      <c r="L897">
        <v>113.9375</v>
      </c>
      <c r="M897">
        <v>33.375507550000002</v>
      </c>
      <c r="N897">
        <v>2.4262999999999999</v>
      </c>
      <c r="O897">
        <v>0.40692159999999999</v>
      </c>
      <c r="P897">
        <v>120.25</v>
      </c>
      <c r="Q897">
        <v>30.670450110000001</v>
      </c>
      <c r="R897">
        <v>0.91037498500000003</v>
      </c>
      <c r="S897" t="s">
        <v>114</v>
      </c>
      <c r="T897" t="s">
        <v>1015</v>
      </c>
      <c r="U897">
        <v>6.3125</v>
      </c>
    </row>
    <row r="898" spans="1:21" x14ac:dyDescent="0.25">
      <c r="A898" t="s">
        <v>60</v>
      </c>
      <c r="B898" t="s">
        <v>892</v>
      </c>
      <c r="C898">
        <v>12</v>
      </c>
      <c r="D898" t="s">
        <v>33</v>
      </c>
      <c r="E898" t="s">
        <v>95</v>
      </c>
      <c r="F898" t="s">
        <v>104</v>
      </c>
      <c r="G898" t="s">
        <v>104</v>
      </c>
      <c r="H898" t="s">
        <v>797</v>
      </c>
      <c r="J898">
        <v>0</v>
      </c>
      <c r="K898">
        <v>1</v>
      </c>
      <c r="L898">
        <v>113.9375</v>
      </c>
      <c r="M898">
        <v>33.375507550000002</v>
      </c>
      <c r="N898">
        <v>2.4262999999999999</v>
      </c>
      <c r="O898">
        <v>0.40692159999999999</v>
      </c>
      <c r="P898">
        <v>179.45454549999999</v>
      </c>
      <c r="Q898">
        <v>26.326869609999999</v>
      </c>
      <c r="R898">
        <v>2.3456094639999998</v>
      </c>
      <c r="S898">
        <v>0.18833116</v>
      </c>
      <c r="T898" t="s">
        <v>1015</v>
      </c>
      <c r="U898">
        <v>65.517045499999995</v>
      </c>
    </row>
    <row r="899" spans="1:21" x14ac:dyDescent="0.25">
      <c r="A899" t="s">
        <v>60</v>
      </c>
      <c r="B899" t="s">
        <v>892</v>
      </c>
      <c r="C899">
        <v>12</v>
      </c>
      <c r="D899" t="s">
        <v>33</v>
      </c>
      <c r="E899" t="s">
        <v>95</v>
      </c>
      <c r="F899" t="s">
        <v>104</v>
      </c>
      <c r="G899" t="s">
        <v>104</v>
      </c>
      <c r="H899" t="s">
        <v>247</v>
      </c>
      <c r="J899">
        <v>0</v>
      </c>
      <c r="K899">
        <v>1</v>
      </c>
      <c r="L899">
        <v>113.9375</v>
      </c>
      <c r="M899">
        <v>33.375507550000002</v>
      </c>
      <c r="N899">
        <v>2.4262999999999999</v>
      </c>
      <c r="O899">
        <v>0.40692159999999999</v>
      </c>
      <c r="P899">
        <v>65.791044779999993</v>
      </c>
      <c r="Q899">
        <v>22.94519201</v>
      </c>
      <c r="R899">
        <v>8.1320334999999994E-2</v>
      </c>
      <c r="S899">
        <v>0.17285655</v>
      </c>
      <c r="T899" t="s">
        <v>1015</v>
      </c>
      <c r="U899">
        <v>48.14645522</v>
      </c>
    </row>
    <row r="900" spans="1:21" x14ac:dyDescent="0.25">
      <c r="A900" t="s">
        <v>60</v>
      </c>
      <c r="B900" t="s">
        <v>893</v>
      </c>
      <c r="C900">
        <v>12</v>
      </c>
      <c r="D900" t="s">
        <v>33</v>
      </c>
      <c r="E900" t="s">
        <v>95</v>
      </c>
      <c r="F900" t="s">
        <v>112</v>
      </c>
      <c r="G900" t="s">
        <v>121</v>
      </c>
      <c r="H900" t="s">
        <v>114</v>
      </c>
      <c r="J900">
        <v>0</v>
      </c>
      <c r="K900">
        <v>0</v>
      </c>
      <c r="L900">
        <v>65.09375</v>
      </c>
      <c r="M900">
        <v>37.895352600000002</v>
      </c>
      <c r="N900">
        <v>2.2882677779999998</v>
      </c>
      <c r="O900">
        <v>2.2111774</v>
      </c>
      <c r="P900" t="s">
        <v>114</v>
      </c>
      <c r="Q900" t="s">
        <v>114</v>
      </c>
      <c r="R900" t="s">
        <v>114</v>
      </c>
      <c r="S900" t="s">
        <v>114</v>
      </c>
      <c r="T900" t="s">
        <v>1015</v>
      </c>
      <c r="U900" t="s">
        <v>114</v>
      </c>
    </row>
    <row r="901" spans="1:21" x14ac:dyDescent="0.25">
      <c r="A901" t="s">
        <v>61</v>
      </c>
      <c r="B901" t="s">
        <v>894</v>
      </c>
      <c r="C901">
        <v>12</v>
      </c>
      <c r="D901" t="s">
        <v>35</v>
      </c>
      <c r="E901" t="s">
        <v>94</v>
      </c>
      <c r="F901" t="s">
        <v>102</v>
      </c>
      <c r="G901" t="s">
        <v>121</v>
      </c>
      <c r="H901" t="s">
        <v>162</v>
      </c>
      <c r="J901">
        <v>1</v>
      </c>
      <c r="K901">
        <v>1</v>
      </c>
      <c r="L901">
        <v>84.740740740000007</v>
      </c>
      <c r="M901">
        <v>29.167014049999999</v>
      </c>
      <c r="N901">
        <v>1.1169849999999999</v>
      </c>
      <c r="O901">
        <v>1.1571499000000001</v>
      </c>
      <c r="P901">
        <v>82.53846154</v>
      </c>
      <c r="Q901">
        <v>35.660530039999998</v>
      </c>
      <c r="R901">
        <v>3.3754499999999998</v>
      </c>
      <c r="S901" t="s">
        <v>114</v>
      </c>
      <c r="T901" t="s">
        <v>1015</v>
      </c>
      <c r="U901">
        <v>2.2022792</v>
      </c>
    </row>
    <row r="902" spans="1:21" x14ac:dyDescent="0.25">
      <c r="A902" t="s">
        <v>61</v>
      </c>
      <c r="B902" t="s">
        <v>895</v>
      </c>
      <c r="C902">
        <v>12</v>
      </c>
      <c r="D902" t="s">
        <v>35</v>
      </c>
      <c r="E902" t="s">
        <v>94</v>
      </c>
      <c r="F902" t="s">
        <v>110</v>
      </c>
      <c r="G902" t="s">
        <v>121</v>
      </c>
      <c r="H902" t="s">
        <v>162</v>
      </c>
      <c r="J902">
        <v>0</v>
      </c>
      <c r="K902">
        <v>1</v>
      </c>
      <c r="L902">
        <v>73.260869569999997</v>
      </c>
      <c r="M902">
        <v>34.453830549999999</v>
      </c>
      <c r="N902">
        <v>1.058333333</v>
      </c>
      <c r="O902">
        <v>0.90897070000000002</v>
      </c>
      <c r="P902">
        <v>82.53846154</v>
      </c>
      <c r="Q902">
        <v>35.660530039999998</v>
      </c>
      <c r="R902">
        <v>3.3754499999999998</v>
      </c>
      <c r="S902" t="s">
        <v>114</v>
      </c>
      <c r="T902" t="s">
        <v>1015</v>
      </c>
      <c r="U902">
        <v>9.2775919699999996</v>
      </c>
    </row>
    <row r="903" spans="1:21" x14ac:dyDescent="0.25">
      <c r="A903" t="s">
        <v>61</v>
      </c>
      <c r="B903" t="s">
        <v>895</v>
      </c>
      <c r="C903">
        <v>12</v>
      </c>
      <c r="D903" t="s">
        <v>35</v>
      </c>
      <c r="E903" t="s">
        <v>94</v>
      </c>
      <c r="F903" t="s">
        <v>110</v>
      </c>
      <c r="G903" t="s">
        <v>121</v>
      </c>
      <c r="H903" t="s">
        <v>102</v>
      </c>
      <c r="J903">
        <v>0</v>
      </c>
      <c r="K903">
        <v>1</v>
      </c>
      <c r="L903">
        <v>73.260869569999997</v>
      </c>
      <c r="M903">
        <v>34.453830549999999</v>
      </c>
      <c r="N903">
        <v>1.058333333</v>
      </c>
      <c r="O903">
        <v>0.90897070000000002</v>
      </c>
      <c r="P903">
        <v>84.740740740000007</v>
      </c>
      <c r="Q903">
        <v>29.167014049999999</v>
      </c>
      <c r="R903">
        <v>1.1169849999999999</v>
      </c>
      <c r="S903">
        <v>1.1571499000000001</v>
      </c>
      <c r="T903" t="s">
        <v>1015</v>
      </c>
      <c r="U903">
        <v>11.479871169999999</v>
      </c>
    </row>
    <row r="904" spans="1:21" x14ac:dyDescent="0.25">
      <c r="A904" t="s">
        <v>61</v>
      </c>
      <c r="B904" t="s">
        <v>896</v>
      </c>
      <c r="C904">
        <v>12</v>
      </c>
      <c r="D904" t="s">
        <v>35</v>
      </c>
      <c r="E904" t="s">
        <v>94</v>
      </c>
      <c r="F904" t="s">
        <v>112</v>
      </c>
      <c r="G904" t="s">
        <v>121</v>
      </c>
      <c r="H904" t="s">
        <v>162</v>
      </c>
      <c r="J904">
        <v>0</v>
      </c>
      <c r="K904">
        <v>1</v>
      </c>
      <c r="L904">
        <v>65.09375</v>
      </c>
      <c r="M904">
        <v>37.895352600000002</v>
      </c>
      <c r="N904">
        <v>2.2882677779999998</v>
      </c>
      <c r="O904">
        <v>2.2111774</v>
      </c>
      <c r="P904">
        <v>82.53846154</v>
      </c>
      <c r="Q904">
        <v>35.660530039999998</v>
      </c>
      <c r="R904">
        <v>3.3754499999999998</v>
      </c>
      <c r="S904" t="s">
        <v>114</v>
      </c>
      <c r="T904" t="s">
        <v>1015</v>
      </c>
      <c r="U904">
        <v>17.44471154</v>
      </c>
    </row>
    <row r="905" spans="1:21" x14ac:dyDescent="0.25">
      <c r="A905" t="s">
        <v>62</v>
      </c>
      <c r="B905" t="s">
        <v>897</v>
      </c>
      <c r="C905">
        <v>12</v>
      </c>
      <c r="D905" t="s">
        <v>37</v>
      </c>
      <c r="E905" t="s">
        <v>95</v>
      </c>
      <c r="F905" t="s">
        <v>102</v>
      </c>
      <c r="G905" t="s">
        <v>121</v>
      </c>
      <c r="H905" t="s">
        <v>114</v>
      </c>
      <c r="J905">
        <v>0</v>
      </c>
      <c r="K905">
        <v>0</v>
      </c>
      <c r="L905">
        <v>84.740740740000007</v>
      </c>
      <c r="M905">
        <v>29.167014049999999</v>
      </c>
      <c r="N905">
        <v>1.1169849999999999</v>
      </c>
      <c r="O905">
        <v>1.1571499000000001</v>
      </c>
      <c r="P905" t="s">
        <v>114</v>
      </c>
      <c r="Q905" t="s">
        <v>114</v>
      </c>
      <c r="R905" t="s">
        <v>114</v>
      </c>
      <c r="S905" t="s">
        <v>114</v>
      </c>
      <c r="T905" t="s">
        <v>1015</v>
      </c>
      <c r="U905" t="s">
        <v>114</v>
      </c>
    </row>
    <row r="906" spans="1:21" x14ac:dyDescent="0.25">
      <c r="A906" t="s">
        <v>62</v>
      </c>
      <c r="B906" t="s">
        <v>898</v>
      </c>
      <c r="C906">
        <v>12</v>
      </c>
      <c r="D906" t="s">
        <v>37</v>
      </c>
      <c r="E906" t="s">
        <v>95</v>
      </c>
      <c r="F906" t="s">
        <v>103</v>
      </c>
      <c r="G906" t="s">
        <v>121</v>
      </c>
      <c r="H906" t="s">
        <v>233</v>
      </c>
      <c r="J906">
        <v>0</v>
      </c>
      <c r="K906">
        <v>1</v>
      </c>
      <c r="L906">
        <v>98.291666669999998</v>
      </c>
      <c r="M906">
        <v>30.315130790000001</v>
      </c>
      <c r="N906">
        <v>5.0803484000000003E-2</v>
      </c>
      <c r="O906">
        <v>0.42866070000000001</v>
      </c>
      <c r="P906">
        <v>106.0540541</v>
      </c>
      <c r="Q906">
        <v>52.690533369999997</v>
      </c>
      <c r="R906">
        <v>7.6058968000000005E-2</v>
      </c>
      <c r="S906">
        <v>0.44888888999999998</v>
      </c>
      <c r="T906" t="s">
        <v>1015</v>
      </c>
      <c r="U906">
        <v>7.7623874300000004</v>
      </c>
    </row>
    <row r="907" spans="1:21" x14ac:dyDescent="0.25">
      <c r="A907" t="s">
        <v>62</v>
      </c>
      <c r="B907" t="s">
        <v>898</v>
      </c>
      <c r="C907">
        <v>12</v>
      </c>
      <c r="D907" t="s">
        <v>37</v>
      </c>
      <c r="E907" t="s">
        <v>95</v>
      </c>
      <c r="F907" t="s">
        <v>103</v>
      </c>
      <c r="G907" t="s">
        <v>121</v>
      </c>
      <c r="H907" t="s">
        <v>234</v>
      </c>
      <c r="J907">
        <v>0</v>
      </c>
      <c r="K907">
        <v>1</v>
      </c>
      <c r="L907">
        <v>98.291666669999998</v>
      </c>
      <c r="M907">
        <v>30.315130790000001</v>
      </c>
      <c r="N907">
        <v>5.0803484000000003E-2</v>
      </c>
      <c r="O907">
        <v>0.42866070000000001</v>
      </c>
      <c r="P907">
        <v>89.8125</v>
      </c>
      <c r="Q907">
        <v>34.754706650000003</v>
      </c>
      <c r="R907">
        <v>2.3065078999999999E-2</v>
      </c>
      <c r="S907">
        <v>2.4791666700000001</v>
      </c>
      <c r="T907" t="s">
        <v>1015</v>
      </c>
      <c r="U907">
        <v>8.4791666699999997</v>
      </c>
    </row>
    <row r="908" spans="1:21" x14ac:dyDescent="0.25">
      <c r="A908" t="s">
        <v>62</v>
      </c>
      <c r="B908" t="s">
        <v>898</v>
      </c>
      <c r="C908">
        <v>12</v>
      </c>
      <c r="D908" t="s">
        <v>37</v>
      </c>
      <c r="E908" t="s">
        <v>95</v>
      </c>
      <c r="F908" t="s">
        <v>103</v>
      </c>
      <c r="G908" t="s">
        <v>121</v>
      </c>
      <c r="H908" t="s">
        <v>241</v>
      </c>
      <c r="J908">
        <v>0</v>
      </c>
      <c r="K908">
        <v>1</v>
      </c>
      <c r="L908">
        <v>98.291666669999998</v>
      </c>
      <c r="M908">
        <v>30.315130790000001</v>
      </c>
      <c r="N908">
        <v>5.0803484000000003E-2</v>
      </c>
      <c r="O908">
        <v>0.42866070000000001</v>
      </c>
      <c r="P908">
        <v>114</v>
      </c>
      <c r="Q908">
        <v>30.43077242</v>
      </c>
      <c r="R908">
        <v>0.53383111100000002</v>
      </c>
      <c r="S908">
        <v>0.28333332999999999</v>
      </c>
      <c r="T908" t="s">
        <v>1015</v>
      </c>
      <c r="U908">
        <v>15.70833333</v>
      </c>
    </row>
    <row r="909" spans="1:21" x14ac:dyDescent="0.25">
      <c r="A909" t="s">
        <v>63</v>
      </c>
      <c r="B909" t="s">
        <v>899</v>
      </c>
      <c r="C909">
        <v>12</v>
      </c>
      <c r="D909" t="s">
        <v>64</v>
      </c>
      <c r="E909" t="s">
        <v>94</v>
      </c>
      <c r="F909" t="s">
        <v>104</v>
      </c>
      <c r="G909" t="s">
        <v>121</v>
      </c>
      <c r="H909" t="s">
        <v>238</v>
      </c>
      <c r="J909">
        <v>0</v>
      </c>
      <c r="K909">
        <v>2</v>
      </c>
      <c r="L909">
        <v>113.9375</v>
      </c>
      <c r="M909">
        <v>33.375507550000002</v>
      </c>
      <c r="N909">
        <v>2.4262999999999999</v>
      </c>
      <c r="O909">
        <v>0.40692159999999999</v>
      </c>
      <c r="P909">
        <v>87.5</v>
      </c>
      <c r="Q909">
        <v>29.478311600000001</v>
      </c>
      <c r="R909">
        <v>3.0797751000000002E-2</v>
      </c>
      <c r="S909">
        <v>0.12931835</v>
      </c>
      <c r="T909" t="s">
        <v>1015</v>
      </c>
      <c r="U909">
        <v>26.4375</v>
      </c>
    </row>
    <row r="910" spans="1:21" x14ac:dyDescent="0.25">
      <c r="A910" t="s">
        <v>63</v>
      </c>
      <c r="B910" t="s">
        <v>899</v>
      </c>
      <c r="C910">
        <v>12</v>
      </c>
      <c r="D910" t="s">
        <v>64</v>
      </c>
      <c r="E910" t="s">
        <v>94</v>
      </c>
      <c r="F910" t="s">
        <v>104</v>
      </c>
      <c r="G910" t="s">
        <v>121</v>
      </c>
      <c r="H910" t="s">
        <v>238</v>
      </c>
      <c r="J910">
        <v>0</v>
      </c>
      <c r="K910">
        <v>2</v>
      </c>
      <c r="L910">
        <v>113.9375</v>
      </c>
      <c r="M910">
        <v>33.375507550000002</v>
      </c>
      <c r="N910">
        <v>2.4262999999999999</v>
      </c>
      <c r="O910">
        <v>0.40692159999999999</v>
      </c>
      <c r="P910">
        <v>87.5</v>
      </c>
      <c r="Q910">
        <v>29.478311600000001</v>
      </c>
      <c r="R910">
        <v>3.0797751000000002E-2</v>
      </c>
      <c r="S910">
        <v>0.12931835</v>
      </c>
      <c r="T910" t="s">
        <v>1015</v>
      </c>
      <c r="U910">
        <v>26.4375</v>
      </c>
    </row>
    <row r="911" spans="1:21" x14ac:dyDescent="0.25">
      <c r="A911" t="s">
        <v>63</v>
      </c>
      <c r="B911" t="s">
        <v>899</v>
      </c>
      <c r="C911">
        <v>12</v>
      </c>
      <c r="D911" t="s">
        <v>64</v>
      </c>
      <c r="E911" t="s">
        <v>94</v>
      </c>
      <c r="F911" t="s">
        <v>104</v>
      </c>
      <c r="G911" t="s">
        <v>121</v>
      </c>
      <c r="H911" t="s">
        <v>103</v>
      </c>
      <c r="J911">
        <v>0</v>
      </c>
      <c r="K911">
        <v>1</v>
      </c>
      <c r="L911">
        <v>113.9375</v>
      </c>
      <c r="M911">
        <v>33.375507550000002</v>
      </c>
      <c r="N911">
        <v>2.4262999999999999</v>
      </c>
      <c r="O911">
        <v>0.40692159999999999</v>
      </c>
      <c r="P911">
        <v>98.291666669999998</v>
      </c>
      <c r="Q911">
        <v>30.315130790000001</v>
      </c>
      <c r="R911">
        <v>5.0803484000000003E-2</v>
      </c>
      <c r="S911">
        <v>0.42866070000000001</v>
      </c>
      <c r="T911" t="s">
        <v>1015</v>
      </c>
      <c r="U911">
        <v>15.64583333</v>
      </c>
    </row>
    <row r="912" spans="1:21" x14ac:dyDescent="0.25">
      <c r="A912" t="s">
        <v>63</v>
      </c>
      <c r="B912" t="s">
        <v>899</v>
      </c>
      <c r="C912">
        <v>12</v>
      </c>
      <c r="D912" t="s">
        <v>64</v>
      </c>
      <c r="E912" t="s">
        <v>94</v>
      </c>
      <c r="F912" t="s">
        <v>104</v>
      </c>
      <c r="G912" t="s">
        <v>121</v>
      </c>
      <c r="H912" t="s">
        <v>248</v>
      </c>
      <c r="J912">
        <v>0</v>
      </c>
      <c r="K912">
        <v>2</v>
      </c>
      <c r="L912">
        <v>113.9375</v>
      </c>
      <c r="M912">
        <v>33.375507550000002</v>
      </c>
      <c r="N912">
        <v>2.4262999999999999</v>
      </c>
      <c r="O912">
        <v>0.40692159999999999</v>
      </c>
      <c r="P912">
        <v>83.92307692</v>
      </c>
      <c r="Q912">
        <v>44.319135699999997</v>
      </c>
      <c r="R912">
        <v>5.9548609999999997E-3</v>
      </c>
      <c r="S912">
        <v>0.18017928</v>
      </c>
      <c r="T912" t="s">
        <v>1015</v>
      </c>
      <c r="U912">
        <v>30.01442308</v>
      </c>
    </row>
    <row r="913" spans="1:21" x14ac:dyDescent="0.25">
      <c r="A913" t="s">
        <v>63</v>
      </c>
      <c r="B913" t="s">
        <v>899</v>
      </c>
      <c r="C913">
        <v>12</v>
      </c>
      <c r="D913" t="s">
        <v>64</v>
      </c>
      <c r="E913" t="s">
        <v>94</v>
      </c>
      <c r="F913" t="s">
        <v>104</v>
      </c>
      <c r="G913" t="s">
        <v>121</v>
      </c>
      <c r="H913" t="s">
        <v>248</v>
      </c>
      <c r="J913">
        <v>0</v>
      </c>
      <c r="K913">
        <v>2</v>
      </c>
      <c r="L913">
        <v>113.9375</v>
      </c>
      <c r="M913">
        <v>33.375507550000002</v>
      </c>
      <c r="N913">
        <v>2.4262999999999999</v>
      </c>
      <c r="O913">
        <v>0.40692159999999999</v>
      </c>
      <c r="P913">
        <v>83.92307692</v>
      </c>
      <c r="Q913">
        <v>44.319135699999997</v>
      </c>
      <c r="R913">
        <v>5.9548609999999997E-3</v>
      </c>
      <c r="S913">
        <v>0.18017928</v>
      </c>
      <c r="T913" t="s">
        <v>1015</v>
      </c>
      <c r="U913">
        <v>30.01442308</v>
      </c>
    </row>
    <row r="914" spans="1:21" x14ac:dyDescent="0.25">
      <c r="A914" t="s">
        <v>65</v>
      </c>
      <c r="B914" t="s">
        <v>900</v>
      </c>
      <c r="C914">
        <v>12</v>
      </c>
      <c r="D914" t="s">
        <v>66</v>
      </c>
      <c r="E914" t="s">
        <v>95</v>
      </c>
      <c r="F914" t="s">
        <v>105</v>
      </c>
      <c r="G914" t="s">
        <v>121</v>
      </c>
      <c r="H914" t="s">
        <v>111</v>
      </c>
      <c r="J914">
        <v>0</v>
      </c>
      <c r="K914">
        <v>1</v>
      </c>
      <c r="L914">
        <v>67.5</v>
      </c>
      <c r="M914">
        <v>47.937235809999997</v>
      </c>
      <c r="N914">
        <v>0.41599678000000001</v>
      </c>
      <c r="O914">
        <v>2.0950346999999998</v>
      </c>
      <c r="P914">
        <v>94.97142857</v>
      </c>
      <c r="Q914">
        <v>24.31591813</v>
      </c>
      <c r="R914">
        <v>0.122951111</v>
      </c>
      <c r="S914">
        <v>0.39050790000000002</v>
      </c>
      <c r="T914" t="s">
        <v>1015</v>
      </c>
      <c r="U914">
        <v>27.47142857</v>
      </c>
    </row>
    <row r="915" spans="1:21" x14ac:dyDescent="0.25">
      <c r="A915" t="s">
        <v>65</v>
      </c>
      <c r="B915" t="s">
        <v>900</v>
      </c>
      <c r="C915">
        <v>12</v>
      </c>
      <c r="D915" t="s">
        <v>66</v>
      </c>
      <c r="E915" t="s">
        <v>95</v>
      </c>
      <c r="F915" t="s">
        <v>105</v>
      </c>
      <c r="G915" t="s">
        <v>121</v>
      </c>
      <c r="H915" t="s">
        <v>808</v>
      </c>
      <c r="J915">
        <v>0</v>
      </c>
      <c r="K915">
        <v>1</v>
      </c>
      <c r="L915">
        <v>67.5</v>
      </c>
      <c r="M915">
        <v>47.937235809999997</v>
      </c>
      <c r="N915">
        <v>0.41599678000000001</v>
      </c>
      <c r="O915">
        <v>2.0950346999999998</v>
      </c>
      <c r="P915">
        <v>102.79166669999999</v>
      </c>
      <c r="Q915">
        <v>27.057373470000002</v>
      </c>
      <c r="R915">
        <v>6.3567849939999999</v>
      </c>
      <c r="S915" t="s">
        <v>114</v>
      </c>
      <c r="T915" t="s">
        <v>1015</v>
      </c>
      <c r="U915">
        <v>35.2916667</v>
      </c>
    </row>
    <row r="916" spans="1:21" x14ac:dyDescent="0.25">
      <c r="A916" t="s">
        <v>65</v>
      </c>
      <c r="B916" t="s">
        <v>900</v>
      </c>
      <c r="C916">
        <v>12</v>
      </c>
      <c r="D916" t="s">
        <v>66</v>
      </c>
      <c r="E916" t="s">
        <v>95</v>
      </c>
      <c r="F916" t="s">
        <v>105</v>
      </c>
      <c r="G916" t="s">
        <v>121</v>
      </c>
      <c r="H916" t="s">
        <v>247</v>
      </c>
      <c r="J916">
        <v>0</v>
      </c>
      <c r="K916">
        <v>1</v>
      </c>
      <c r="L916">
        <v>67.5</v>
      </c>
      <c r="M916">
        <v>47.937235809999997</v>
      </c>
      <c r="N916">
        <v>0.41599678000000001</v>
      </c>
      <c r="O916">
        <v>2.0950346999999998</v>
      </c>
      <c r="P916">
        <v>65.791044779999993</v>
      </c>
      <c r="Q916">
        <v>22.94519201</v>
      </c>
      <c r="R916">
        <v>8.1320334999999994E-2</v>
      </c>
      <c r="S916">
        <v>0.17285655</v>
      </c>
      <c r="T916" t="s">
        <v>1015</v>
      </c>
      <c r="U916">
        <v>1.70895522</v>
      </c>
    </row>
    <row r="917" spans="1:21" x14ac:dyDescent="0.25">
      <c r="A917" t="s">
        <v>65</v>
      </c>
      <c r="B917" t="s">
        <v>900</v>
      </c>
      <c r="C917">
        <v>12</v>
      </c>
      <c r="D917" t="s">
        <v>66</v>
      </c>
      <c r="E917" t="s">
        <v>95</v>
      </c>
      <c r="F917" t="s">
        <v>105</v>
      </c>
      <c r="G917" t="s">
        <v>121</v>
      </c>
      <c r="H917" t="s">
        <v>248</v>
      </c>
      <c r="J917">
        <v>0</v>
      </c>
      <c r="K917">
        <v>2</v>
      </c>
      <c r="L917">
        <v>67.5</v>
      </c>
      <c r="M917">
        <v>47.937235809999997</v>
      </c>
      <c r="N917">
        <v>0.41599678000000001</v>
      </c>
      <c r="O917">
        <v>2.0950346999999998</v>
      </c>
      <c r="P917">
        <v>83.92307692</v>
      </c>
      <c r="Q917">
        <v>44.319135699999997</v>
      </c>
      <c r="R917">
        <v>5.9548609999999997E-3</v>
      </c>
      <c r="S917">
        <v>0.18017928</v>
      </c>
      <c r="T917" t="s">
        <v>1015</v>
      </c>
      <c r="U917">
        <v>16.42307692</v>
      </c>
    </row>
    <row r="918" spans="1:21" x14ac:dyDescent="0.25">
      <c r="A918" t="s">
        <v>65</v>
      </c>
      <c r="B918" t="s">
        <v>900</v>
      </c>
      <c r="C918">
        <v>12</v>
      </c>
      <c r="D918" t="s">
        <v>66</v>
      </c>
      <c r="E918" t="s">
        <v>95</v>
      </c>
      <c r="F918" t="s">
        <v>105</v>
      </c>
      <c r="G918" t="s">
        <v>121</v>
      </c>
      <c r="H918" t="s">
        <v>248</v>
      </c>
      <c r="J918">
        <v>0</v>
      </c>
      <c r="K918">
        <v>2</v>
      </c>
      <c r="L918">
        <v>67.5</v>
      </c>
      <c r="M918">
        <v>47.937235809999997</v>
      </c>
      <c r="N918">
        <v>0.41599678000000001</v>
      </c>
      <c r="O918">
        <v>2.0950346999999998</v>
      </c>
      <c r="P918">
        <v>83.92307692</v>
      </c>
      <c r="Q918">
        <v>44.319135699999997</v>
      </c>
      <c r="R918">
        <v>5.9548609999999997E-3</v>
      </c>
      <c r="S918">
        <v>0.18017928</v>
      </c>
      <c r="T918" t="s">
        <v>1015</v>
      </c>
      <c r="U918">
        <v>16.42307692</v>
      </c>
    </row>
    <row r="919" spans="1:21" x14ac:dyDescent="0.25">
      <c r="A919" t="s">
        <v>10</v>
      </c>
      <c r="B919" t="s">
        <v>901</v>
      </c>
      <c r="C919">
        <v>15</v>
      </c>
      <c r="D919" t="s">
        <v>11</v>
      </c>
      <c r="E919" t="s">
        <v>94</v>
      </c>
      <c r="F919" t="s">
        <v>102</v>
      </c>
      <c r="G919" t="s">
        <v>102</v>
      </c>
      <c r="H919" t="s">
        <v>102</v>
      </c>
      <c r="J919">
        <v>0</v>
      </c>
      <c r="K919">
        <v>1</v>
      </c>
      <c r="L919">
        <v>84.740740740000007</v>
      </c>
      <c r="M919">
        <v>29.167014049999999</v>
      </c>
      <c r="N919">
        <v>1.1169849999999999</v>
      </c>
      <c r="O919">
        <v>1.1571499000000001</v>
      </c>
      <c r="P919">
        <v>84.740740740000007</v>
      </c>
      <c r="Q919">
        <v>29.167014049999999</v>
      </c>
      <c r="R919">
        <v>1.1169849999999999</v>
      </c>
      <c r="S919">
        <v>1.1571499000000001</v>
      </c>
      <c r="T919" t="s">
        <v>1015</v>
      </c>
      <c r="U919">
        <v>0</v>
      </c>
    </row>
    <row r="920" spans="1:21" x14ac:dyDescent="0.25">
      <c r="A920" t="s">
        <v>10</v>
      </c>
      <c r="B920" t="s">
        <v>901</v>
      </c>
      <c r="C920">
        <v>16</v>
      </c>
      <c r="D920" t="s">
        <v>11</v>
      </c>
      <c r="E920" t="s">
        <v>94</v>
      </c>
      <c r="F920" t="s">
        <v>102</v>
      </c>
      <c r="G920" t="s">
        <v>102</v>
      </c>
      <c r="H920" t="s">
        <v>111</v>
      </c>
      <c r="J920">
        <v>0</v>
      </c>
      <c r="K920">
        <v>1</v>
      </c>
      <c r="L920">
        <v>84.740740740000007</v>
      </c>
      <c r="M920">
        <v>29.167014049999999</v>
      </c>
      <c r="N920">
        <v>1.1169849999999999</v>
      </c>
      <c r="O920">
        <v>1.1571499000000001</v>
      </c>
      <c r="P920">
        <v>94.97142857</v>
      </c>
      <c r="Q920">
        <v>24.31591813</v>
      </c>
      <c r="R920">
        <v>0.122951111</v>
      </c>
      <c r="S920">
        <v>0.39050790000000002</v>
      </c>
      <c r="T920" t="s">
        <v>1015</v>
      </c>
      <c r="U920">
        <v>10.230687830000001</v>
      </c>
    </row>
    <row r="921" spans="1:21" x14ac:dyDescent="0.25">
      <c r="A921" t="s">
        <v>10</v>
      </c>
      <c r="B921" t="s">
        <v>902</v>
      </c>
      <c r="C921">
        <v>15</v>
      </c>
      <c r="D921" t="s">
        <v>11</v>
      </c>
      <c r="E921" t="s">
        <v>94</v>
      </c>
      <c r="F921" t="s">
        <v>105</v>
      </c>
      <c r="G921" t="s">
        <v>121</v>
      </c>
      <c r="H921" t="s">
        <v>244</v>
      </c>
      <c r="J921">
        <v>0</v>
      </c>
      <c r="K921">
        <v>2</v>
      </c>
      <c r="L921">
        <v>67.5</v>
      </c>
      <c r="M921">
        <v>47.937235809999997</v>
      </c>
      <c r="N921">
        <v>0.41599678000000001</v>
      </c>
      <c r="O921">
        <v>2.0950346999999998</v>
      </c>
      <c r="P921">
        <v>75</v>
      </c>
      <c r="Q921">
        <v>28.80614499</v>
      </c>
      <c r="R921">
        <v>2.3860428570000001</v>
      </c>
      <c r="S921">
        <v>0.26400832000000002</v>
      </c>
      <c r="T921" t="s">
        <v>1015</v>
      </c>
      <c r="U921">
        <v>7.5</v>
      </c>
    </row>
    <row r="922" spans="1:21" x14ac:dyDescent="0.25">
      <c r="A922" t="s">
        <v>10</v>
      </c>
      <c r="B922" t="s">
        <v>902</v>
      </c>
      <c r="C922">
        <v>15</v>
      </c>
      <c r="D922" t="s">
        <v>11</v>
      </c>
      <c r="E922" t="s">
        <v>94</v>
      </c>
      <c r="F922" t="s">
        <v>105</v>
      </c>
      <c r="G922" t="s">
        <v>121</v>
      </c>
      <c r="H922" t="s">
        <v>244</v>
      </c>
      <c r="J922">
        <v>0</v>
      </c>
      <c r="K922">
        <v>2</v>
      </c>
      <c r="L922">
        <v>67.5</v>
      </c>
      <c r="M922">
        <v>47.937235809999997</v>
      </c>
      <c r="N922">
        <v>0.41599678000000001</v>
      </c>
      <c r="O922">
        <v>2.0950346999999998</v>
      </c>
      <c r="P922">
        <v>75</v>
      </c>
      <c r="Q922">
        <v>28.80614499</v>
      </c>
      <c r="R922">
        <v>2.3860428570000001</v>
      </c>
      <c r="S922">
        <v>0.26400832000000002</v>
      </c>
      <c r="T922" t="s">
        <v>1015</v>
      </c>
      <c r="U922">
        <v>7.5</v>
      </c>
    </row>
    <row r="923" spans="1:21" x14ac:dyDescent="0.25">
      <c r="A923" t="s">
        <v>10</v>
      </c>
      <c r="B923" t="s">
        <v>902</v>
      </c>
      <c r="C923">
        <v>16</v>
      </c>
      <c r="D923" t="s">
        <v>11</v>
      </c>
      <c r="E923" t="s">
        <v>94</v>
      </c>
      <c r="F923" t="s">
        <v>105</v>
      </c>
      <c r="G923" t="s">
        <v>121</v>
      </c>
      <c r="H923" t="s">
        <v>104</v>
      </c>
      <c r="J923">
        <v>0</v>
      </c>
      <c r="K923">
        <v>1</v>
      </c>
      <c r="L923">
        <v>67.5</v>
      </c>
      <c r="M923">
        <v>47.937235809999997</v>
      </c>
      <c r="N923">
        <v>0.41599678000000001</v>
      </c>
      <c r="O923">
        <v>2.0950346999999998</v>
      </c>
      <c r="P923">
        <v>113.9375</v>
      </c>
      <c r="Q923">
        <v>33.375507550000002</v>
      </c>
      <c r="R923">
        <v>2.4262999999999999</v>
      </c>
      <c r="S923">
        <v>0.40692159999999999</v>
      </c>
      <c r="T923" t="s">
        <v>1015</v>
      </c>
      <c r="U923">
        <v>46.4375</v>
      </c>
    </row>
    <row r="924" spans="1:21" x14ac:dyDescent="0.25">
      <c r="A924" t="s">
        <v>10</v>
      </c>
      <c r="B924" t="s">
        <v>903</v>
      </c>
      <c r="C924">
        <v>15</v>
      </c>
      <c r="D924" t="s">
        <v>11</v>
      </c>
      <c r="E924" t="s">
        <v>94</v>
      </c>
      <c r="F924" t="s">
        <v>103</v>
      </c>
      <c r="G924" t="s">
        <v>121</v>
      </c>
      <c r="H924" t="s">
        <v>245</v>
      </c>
      <c r="J924">
        <v>0</v>
      </c>
      <c r="K924">
        <v>1</v>
      </c>
      <c r="L924">
        <v>98.291666669999998</v>
      </c>
      <c r="M924">
        <v>30.315130790000001</v>
      </c>
      <c r="N924">
        <v>5.0803484000000003E-2</v>
      </c>
      <c r="O924">
        <v>0.42866070000000001</v>
      </c>
      <c r="P924" t="s">
        <v>114</v>
      </c>
      <c r="Q924" t="s">
        <v>114</v>
      </c>
      <c r="R924" t="s">
        <v>114</v>
      </c>
      <c r="S924" t="s">
        <v>114</v>
      </c>
      <c r="T924" t="s">
        <v>1015</v>
      </c>
      <c r="U924" t="s">
        <v>114</v>
      </c>
    </row>
    <row r="925" spans="1:21" x14ac:dyDescent="0.25">
      <c r="A925" t="s">
        <v>10</v>
      </c>
      <c r="B925" t="s">
        <v>904</v>
      </c>
      <c r="C925">
        <v>15</v>
      </c>
      <c r="D925" t="s">
        <v>11</v>
      </c>
      <c r="E925" t="s">
        <v>94</v>
      </c>
      <c r="F925" t="s">
        <v>104</v>
      </c>
      <c r="G925" t="s">
        <v>121</v>
      </c>
      <c r="H925" t="s">
        <v>242</v>
      </c>
      <c r="J925">
        <v>0</v>
      </c>
      <c r="K925">
        <v>6</v>
      </c>
      <c r="L925">
        <v>113.9375</v>
      </c>
      <c r="M925">
        <v>33.375507550000002</v>
      </c>
      <c r="N925">
        <v>2.4262999999999999</v>
      </c>
      <c r="O925">
        <v>0.40692159999999999</v>
      </c>
      <c r="P925">
        <v>139.375</v>
      </c>
      <c r="Q925">
        <v>23.713465920000001</v>
      </c>
      <c r="R925" t="s">
        <v>114</v>
      </c>
      <c r="S925" t="s">
        <v>114</v>
      </c>
      <c r="T925" t="s">
        <v>1015</v>
      </c>
      <c r="U925">
        <v>25.4375</v>
      </c>
    </row>
    <row r="926" spans="1:21" x14ac:dyDescent="0.25">
      <c r="A926" t="s">
        <v>10</v>
      </c>
      <c r="B926" t="s">
        <v>904</v>
      </c>
      <c r="C926">
        <v>15</v>
      </c>
      <c r="D926" t="s">
        <v>11</v>
      </c>
      <c r="E926" t="s">
        <v>94</v>
      </c>
      <c r="F926" t="s">
        <v>104</v>
      </c>
      <c r="G926" t="s">
        <v>121</v>
      </c>
      <c r="H926" t="s">
        <v>242</v>
      </c>
      <c r="J926">
        <v>0</v>
      </c>
      <c r="K926">
        <v>6</v>
      </c>
      <c r="L926">
        <v>113.9375</v>
      </c>
      <c r="M926">
        <v>33.375507550000002</v>
      </c>
      <c r="N926">
        <v>2.4262999999999999</v>
      </c>
      <c r="O926">
        <v>0.40692159999999999</v>
      </c>
      <c r="P926">
        <v>139.375</v>
      </c>
      <c r="Q926">
        <v>23.713465920000001</v>
      </c>
      <c r="R926" t="s">
        <v>114</v>
      </c>
      <c r="S926" t="s">
        <v>114</v>
      </c>
      <c r="T926" t="s">
        <v>1015</v>
      </c>
      <c r="U926">
        <v>25.4375</v>
      </c>
    </row>
    <row r="927" spans="1:21" x14ac:dyDescent="0.25">
      <c r="A927" t="s">
        <v>10</v>
      </c>
      <c r="B927" t="s">
        <v>904</v>
      </c>
      <c r="C927">
        <v>15</v>
      </c>
      <c r="D927" t="s">
        <v>11</v>
      </c>
      <c r="E927" t="s">
        <v>94</v>
      </c>
      <c r="F927" t="s">
        <v>104</v>
      </c>
      <c r="G927" t="s">
        <v>121</v>
      </c>
      <c r="H927" t="s">
        <v>242</v>
      </c>
      <c r="J927">
        <v>0</v>
      </c>
      <c r="K927">
        <v>6</v>
      </c>
      <c r="L927">
        <v>113.9375</v>
      </c>
      <c r="M927">
        <v>33.375507550000002</v>
      </c>
      <c r="N927">
        <v>2.4262999999999999</v>
      </c>
      <c r="O927">
        <v>0.40692159999999999</v>
      </c>
      <c r="P927">
        <v>139.375</v>
      </c>
      <c r="Q927">
        <v>23.713465920000001</v>
      </c>
      <c r="R927" t="s">
        <v>114</v>
      </c>
      <c r="S927" t="s">
        <v>114</v>
      </c>
      <c r="T927" t="s">
        <v>1015</v>
      </c>
      <c r="U927">
        <v>25.4375</v>
      </c>
    </row>
    <row r="928" spans="1:21" x14ac:dyDescent="0.25">
      <c r="A928" t="s">
        <v>10</v>
      </c>
      <c r="B928" t="s">
        <v>904</v>
      </c>
      <c r="C928">
        <v>15</v>
      </c>
      <c r="D928" t="s">
        <v>11</v>
      </c>
      <c r="E928" t="s">
        <v>94</v>
      </c>
      <c r="F928" t="s">
        <v>104</v>
      </c>
      <c r="G928" t="s">
        <v>121</v>
      </c>
      <c r="H928" t="s">
        <v>242</v>
      </c>
      <c r="J928">
        <v>0</v>
      </c>
      <c r="K928">
        <v>6</v>
      </c>
      <c r="L928">
        <v>113.9375</v>
      </c>
      <c r="M928">
        <v>33.375507550000002</v>
      </c>
      <c r="N928">
        <v>2.4262999999999999</v>
      </c>
      <c r="O928">
        <v>0.40692159999999999</v>
      </c>
      <c r="P928">
        <v>139.375</v>
      </c>
      <c r="Q928">
        <v>23.713465920000001</v>
      </c>
      <c r="R928" t="s">
        <v>114</v>
      </c>
      <c r="S928" t="s">
        <v>114</v>
      </c>
      <c r="T928" t="s">
        <v>1015</v>
      </c>
      <c r="U928">
        <v>25.4375</v>
      </c>
    </row>
    <row r="929" spans="1:21" x14ac:dyDescent="0.25">
      <c r="A929" t="s">
        <v>10</v>
      </c>
      <c r="B929" t="s">
        <v>904</v>
      </c>
      <c r="C929">
        <v>15</v>
      </c>
      <c r="D929" t="s">
        <v>11</v>
      </c>
      <c r="E929" t="s">
        <v>94</v>
      </c>
      <c r="F929" t="s">
        <v>104</v>
      </c>
      <c r="G929" t="s">
        <v>121</v>
      </c>
      <c r="H929" t="s">
        <v>242</v>
      </c>
      <c r="J929">
        <v>0</v>
      </c>
      <c r="K929">
        <v>6</v>
      </c>
      <c r="L929">
        <v>113.9375</v>
      </c>
      <c r="M929">
        <v>33.375507550000002</v>
      </c>
      <c r="N929">
        <v>2.4262999999999999</v>
      </c>
      <c r="O929">
        <v>0.40692159999999999</v>
      </c>
      <c r="P929">
        <v>139.375</v>
      </c>
      <c r="Q929">
        <v>23.713465920000001</v>
      </c>
      <c r="R929" t="s">
        <v>114</v>
      </c>
      <c r="S929" t="s">
        <v>114</v>
      </c>
      <c r="T929" t="s">
        <v>1015</v>
      </c>
      <c r="U929">
        <v>25.4375</v>
      </c>
    </row>
    <row r="930" spans="1:21" x14ac:dyDescent="0.25">
      <c r="A930" t="s">
        <v>10</v>
      </c>
      <c r="B930" t="s">
        <v>904</v>
      </c>
      <c r="C930">
        <v>15</v>
      </c>
      <c r="D930" t="s">
        <v>11</v>
      </c>
      <c r="E930" t="s">
        <v>94</v>
      </c>
      <c r="F930" t="s">
        <v>104</v>
      </c>
      <c r="G930" t="s">
        <v>121</v>
      </c>
      <c r="H930" t="s">
        <v>242</v>
      </c>
      <c r="J930">
        <v>0</v>
      </c>
      <c r="K930">
        <v>6</v>
      </c>
      <c r="L930">
        <v>113.9375</v>
      </c>
      <c r="M930">
        <v>33.375507550000002</v>
      </c>
      <c r="N930">
        <v>2.4262999999999999</v>
      </c>
      <c r="O930">
        <v>0.40692159999999999</v>
      </c>
      <c r="P930">
        <v>139.375</v>
      </c>
      <c r="Q930">
        <v>23.713465920000001</v>
      </c>
      <c r="R930" t="s">
        <v>114</v>
      </c>
      <c r="S930" t="s">
        <v>114</v>
      </c>
      <c r="T930" t="s">
        <v>1015</v>
      </c>
      <c r="U930">
        <v>25.4375</v>
      </c>
    </row>
    <row r="931" spans="1:21" x14ac:dyDescent="0.25">
      <c r="A931" t="s">
        <v>14</v>
      </c>
      <c r="B931" t="s">
        <v>905</v>
      </c>
      <c r="C931">
        <v>15</v>
      </c>
      <c r="D931" t="s">
        <v>15</v>
      </c>
      <c r="E931" t="s">
        <v>94</v>
      </c>
      <c r="F931" t="s">
        <v>102</v>
      </c>
      <c r="G931" t="s">
        <v>121</v>
      </c>
      <c r="H931" t="s">
        <v>114</v>
      </c>
      <c r="J931">
        <v>0</v>
      </c>
      <c r="K931" t="s">
        <v>114</v>
      </c>
      <c r="L931">
        <v>84.740740740000007</v>
      </c>
      <c r="M931">
        <v>29.167014049999999</v>
      </c>
      <c r="N931">
        <v>1.1169849999999999</v>
      </c>
      <c r="O931">
        <v>1.1571499000000001</v>
      </c>
      <c r="P931" t="s">
        <v>114</v>
      </c>
      <c r="Q931" t="s">
        <v>114</v>
      </c>
      <c r="R931" t="s">
        <v>114</v>
      </c>
      <c r="S931" t="s">
        <v>114</v>
      </c>
      <c r="T931" t="s">
        <v>1015</v>
      </c>
      <c r="U931" t="s">
        <v>114</v>
      </c>
    </row>
    <row r="932" spans="1:21" x14ac:dyDescent="0.25">
      <c r="A932" t="s">
        <v>14</v>
      </c>
      <c r="B932" t="s">
        <v>906</v>
      </c>
      <c r="C932">
        <v>15</v>
      </c>
      <c r="D932" t="s">
        <v>15</v>
      </c>
      <c r="E932" t="s">
        <v>94</v>
      </c>
      <c r="F932" t="s">
        <v>110</v>
      </c>
      <c r="G932" t="s">
        <v>121</v>
      </c>
      <c r="H932" t="s">
        <v>114</v>
      </c>
      <c r="J932">
        <v>0</v>
      </c>
      <c r="K932" t="s">
        <v>114</v>
      </c>
      <c r="L932">
        <v>73.260869569999997</v>
      </c>
      <c r="M932">
        <v>34.453830549999999</v>
      </c>
      <c r="N932">
        <v>1.058333333</v>
      </c>
      <c r="O932">
        <v>0.90897070000000002</v>
      </c>
      <c r="P932" t="s">
        <v>114</v>
      </c>
      <c r="Q932" t="s">
        <v>114</v>
      </c>
      <c r="R932" t="s">
        <v>114</v>
      </c>
      <c r="S932" t="s">
        <v>114</v>
      </c>
      <c r="T932" t="s">
        <v>1015</v>
      </c>
      <c r="U932" t="s">
        <v>114</v>
      </c>
    </row>
    <row r="933" spans="1:21" x14ac:dyDescent="0.25">
      <c r="A933" t="s">
        <v>14</v>
      </c>
      <c r="B933" t="s">
        <v>907</v>
      </c>
      <c r="C933">
        <v>15</v>
      </c>
      <c r="D933" t="s">
        <v>15</v>
      </c>
      <c r="E933" t="s">
        <v>94</v>
      </c>
      <c r="F933" t="s">
        <v>111</v>
      </c>
      <c r="G933" t="s">
        <v>110</v>
      </c>
      <c r="H933" t="s">
        <v>110</v>
      </c>
      <c r="J933">
        <v>0</v>
      </c>
      <c r="K933">
        <v>1</v>
      </c>
      <c r="L933">
        <v>94.97142857</v>
      </c>
      <c r="M933">
        <v>24.31591813</v>
      </c>
      <c r="N933">
        <v>0.122951111</v>
      </c>
      <c r="O933">
        <v>0.39050790000000002</v>
      </c>
      <c r="P933">
        <v>73.260869569999997</v>
      </c>
      <c r="Q933">
        <v>34.453830549999999</v>
      </c>
      <c r="R933">
        <v>1.058333333</v>
      </c>
      <c r="S933">
        <v>0.90897070000000002</v>
      </c>
      <c r="T933" t="s">
        <v>1015</v>
      </c>
      <c r="U933">
        <v>21.710559</v>
      </c>
    </row>
    <row r="934" spans="1:21" x14ac:dyDescent="0.25">
      <c r="A934" t="s">
        <v>14</v>
      </c>
      <c r="B934" t="s">
        <v>908</v>
      </c>
      <c r="C934">
        <v>15</v>
      </c>
      <c r="D934" t="s">
        <v>15</v>
      </c>
      <c r="E934" t="s">
        <v>94</v>
      </c>
      <c r="F934" t="s">
        <v>104</v>
      </c>
      <c r="G934" t="s">
        <v>110</v>
      </c>
      <c r="H934" t="s">
        <v>110</v>
      </c>
      <c r="J934">
        <v>0</v>
      </c>
      <c r="K934">
        <v>1</v>
      </c>
      <c r="L934">
        <v>113.9375</v>
      </c>
      <c r="M934">
        <v>33.375507550000002</v>
      </c>
      <c r="N934">
        <v>2.4262999999999999</v>
      </c>
      <c r="O934">
        <v>0.40692159999999999</v>
      </c>
      <c r="P934">
        <v>73.260869569999997</v>
      </c>
      <c r="Q934">
        <v>34.453830549999999</v>
      </c>
      <c r="R934">
        <v>1.058333333</v>
      </c>
      <c r="S934">
        <v>0.90897070000000002</v>
      </c>
      <c r="T934" t="s">
        <v>1015</v>
      </c>
      <c r="U934">
        <v>40.676630430000003</v>
      </c>
    </row>
    <row r="935" spans="1:21" x14ac:dyDescent="0.25">
      <c r="A935" t="s">
        <v>14</v>
      </c>
      <c r="B935" t="s">
        <v>908</v>
      </c>
      <c r="C935">
        <v>16</v>
      </c>
      <c r="D935" t="s">
        <v>15</v>
      </c>
      <c r="E935" t="s">
        <v>94</v>
      </c>
      <c r="F935" t="s">
        <v>104</v>
      </c>
      <c r="G935" t="s">
        <v>110</v>
      </c>
      <c r="H935" t="s">
        <v>104</v>
      </c>
      <c r="J935">
        <v>0</v>
      </c>
      <c r="K935">
        <v>2</v>
      </c>
      <c r="L935">
        <v>113.9375</v>
      </c>
      <c r="M935">
        <v>33.375507550000002</v>
      </c>
      <c r="N935">
        <v>2.4262999999999999</v>
      </c>
      <c r="O935">
        <v>0.40692159999999999</v>
      </c>
      <c r="P935">
        <v>113.9375</v>
      </c>
      <c r="Q935">
        <v>33.375507550000002</v>
      </c>
      <c r="R935">
        <v>2.4262999999999999</v>
      </c>
      <c r="S935">
        <v>0.40692159999999999</v>
      </c>
      <c r="T935" t="s">
        <v>1015</v>
      </c>
      <c r="U935">
        <v>0</v>
      </c>
    </row>
    <row r="936" spans="1:21" x14ac:dyDescent="0.25">
      <c r="A936" t="s">
        <v>14</v>
      </c>
      <c r="B936" t="s">
        <v>908</v>
      </c>
      <c r="C936">
        <v>16</v>
      </c>
      <c r="D936" t="s">
        <v>15</v>
      </c>
      <c r="E936" t="s">
        <v>94</v>
      </c>
      <c r="F936" t="s">
        <v>104</v>
      </c>
      <c r="G936" t="s">
        <v>110</v>
      </c>
      <c r="H936" t="s">
        <v>104</v>
      </c>
      <c r="J936">
        <v>0</v>
      </c>
      <c r="K936">
        <v>2</v>
      </c>
      <c r="L936">
        <v>113.9375</v>
      </c>
      <c r="M936">
        <v>33.375507550000002</v>
      </c>
      <c r="N936">
        <v>2.4262999999999999</v>
      </c>
      <c r="O936">
        <v>0.40692159999999999</v>
      </c>
      <c r="P936">
        <v>113.9375</v>
      </c>
      <c r="Q936">
        <v>33.375507550000002</v>
      </c>
      <c r="R936">
        <v>2.4262999999999999</v>
      </c>
      <c r="S936">
        <v>0.40692159999999999</v>
      </c>
      <c r="T936" t="s">
        <v>1015</v>
      </c>
      <c r="U936">
        <v>0</v>
      </c>
    </row>
    <row r="937" spans="1:21" x14ac:dyDescent="0.25">
      <c r="A937" t="s">
        <v>16</v>
      </c>
      <c r="B937" t="s">
        <v>909</v>
      </c>
      <c r="C937">
        <v>15</v>
      </c>
      <c r="D937" t="s">
        <v>17</v>
      </c>
      <c r="E937" t="s">
        <v>95</v>
      </c>
      <c r="F937" t="s">
        <v>113</v>
      </c>
      <c r="G937" t="s">
        <v>104</v>
      </c>
      <c r="H937" t="s">
        <v>104</v>
      </c>
      <c r="J937">
        <v>0</v>
      </c>
      <c r="K937">
        <v>1</v>
      </c>
      <c r="L937">
        <v>83.757575759999995</v>
      </c>
      <c r="M937">
        <v>22.60997987</v>
      </c>
      <c r="N937">
        <v>0.72884000000000004</v>
      </c>
      <c r="O937">
        <v>0.21301339999999999</v>
      </c>
      <c r="P937">
        <v>113.9375</v>
      </c>
      <c r="Q937">
        <v>33.375507550000002</v>
      </c>
      <c r="R937">
        <v>2.4262999999999999</v>
      </c>
      <c r="S937">
        <v>0.40692159999999999</v>
      </c>
      <c r="T937" t="s">
        <v>1015</v>
      </c>
      <c r="U937">
        <v>30.179924239999998</v>
      </c>
    </row>
    <row r="938" spans="1:21" x14ac:dyDescent="0.25">
      <c r="A938" t="s">
        <v>16</v>
      </c>
      <c r="B938" t="s">
        <v>909</v>
      </c>
      <c r="C938">
        <v>16</v>
      </c>
      <c r="D938" t="s">
        <v>17</v>
      </c>
      <c r="E938" t="s">
        <v>95</v>
      </c>
      <c r="F938" t="s">
        <v>113</v>
      </c>
      <c r="G938" t="s">
        <v>104</v>
      </c>
      <c r="H938" t="s">
        <v>113</v>
      </c>
      <c r="J938">
        <v>0</v>
      </c>
      <c r="K938">
        <v>3</v>
      </c>
      <c r="L938">
        <v>83.757575759999995</v>
      </c>
      <c r="M938">
        <v>22.60997987</v>
      </c>
      <c r="N938">
        <v>0.72884000000000004</v>
      </c>
      <c r="O938">
        <v>0.21301339999999999</v>
      </c>
      <c r="P938">
        <v>83.757575759999995</v>
      </c>
      <c r="Q938">
        <v>22.60997987</v>
      </c>
      <c r="R938">
        <v>0.72884000000000004</v>
      </c>
      <c r="S938">
        <v>0.21301339999999999</v>
      </c>
      <c r="T938" t="s">
        <v>1015</v>
      </c>
      <c r="U938">
        <v>0</v>
      </c>
    </row>
    <row r="939" spans="1:21" x14ac:dyDescent="0.25">
      <c r="A939" t="s">
        <v>16</v>
      </c>
      <c r="B939" t="s">
        <v>909</v>
      </c>
      <c r="C939">
        <v>16</v>
      </c>
      <c r="D939" t="s">
        <v>17</v>
      </c>
      <c r="E939" t="s">
        <v>95</v>
      </c>
      <c r="F939" t="s">
        <v>113</v>
      </c>
      <c r="G939" t="s">
        <v>104</v>
      </c>
      <c r="H939" t="s">
        <v>113</v>
      </c>
      <c r="J939">
        <v>0</v>
      </c>
      <c r="K939">
        <v>3</v>
      </c>
      <c r="L939">
        <v>83.757575759999995</v>
      </c>
      <c r="M939">
        <v>22.60997987</v>
      </c>
      <c r="N939">
        <v>0.72884000000000004</v>
      </c>
      <c r="O939">
        <v>0.21301339999999999</v>
      </c>
      <c r="P939">
        <v>83.757575759999995</v>
      </c>
      <c r="Q939">
        <v>22.60997987</v>
      </c>
      <c r="R939">
        <v>0.72884000000000004</v>
      </c>
      <c r="S939">
        <v>0.21301339999999999</v>
      </c>
      <c r="T939" t="s">
        <v>1015</v>
      </c>
      <c r="U939">
        <v>0</v>
      </c>
    </row>
    <row r="940" spans="1:21" x14ac:dyDescent="0.25">
      <c r="A940" t="s">
        <v>16</v>
      </c>
      <c r="B940" t="s">
        <v>909</v>
      </c>
      <c r="C940">
        <v>16</v>
      </c>
      <c r="D940" t="s">
        <v>17</v>
      </c>
      <c r="E940" t="s">
        <v>95</v>
      </c>
      <c r="F940" t="s">
        <v>113</v>
      </c>
      <c r="G940" t="s">
        <v>104</v>
      </c>
      <c r="H940" t="s">
        <v>113</v>
      </c>
      <c r="J940">
        <v>0</v>
      </c>
      <c r="K940">
        <v>3</v>
      </c>
      <c r="L940">
        <v>83.757575759999995</v>
      </c>
      <c r="M940">
        <v>22.60997987</v>
      </c>
      <c r="N940">
        <v>0.72884000000000004</v>
      </c>
      <c r="O940">
        <v>0.21301339999999999</v>
      </c>
      <c r="P940">
        <v>83.757575759999995</v>
      </c>
      <c r="Q940">
        <v>22.60997987</v>
      </c>
      <c r="R940">
        <v>0.72884000000000004</v>
      </c>
      <c r="S940">
        <v>0.21301339999999999</v>
      </c>
      <c r="T940" t="s">
        <v>1015</v>
      </c>
      <c r="U940">
        <v>0</v>
      </c>
    </row>
    <row r="941" spans="1:21" x14ac:dyDescent="0.25">
      <c r="A941" t="s">
        <v>16</v>
      </c>
      <c r="B941" t="s">
        <v>910</v>
      </c>
      <c r="C941">
        <v>15</v>
      </c>
      <c r="D941" t="s">
        <v>17</v>
      </c>
      <c r="E941" t="s">
        <v>95</v>
      </c>
      <c r="F941" t="s">
        <v>110</v>
      </c>
      <c r="G941" t="s">
        <v>121</v>
      </c>
      <c r="H941" t="s">
        <v>104</v>
      </c>
      <c r="J941">
        <v>0</v>
      </c>
      <c r="K941">
        <v>1</v>
      </c>
      <c r="L941">
        <v>73.260869569999997</v>
      </c>
      <c r="M941">
        <v>34.453830549999999</v>
      </c>
      <c r="N941">
        <v>1.058333333</v>
      </c>
      <c r="O941">
        <v>0.90897070000000002</v>
      </c>
      <c r="P941">
        <v>113.9375</v>
      </c>
      <c r="Q941">
        <v>33.375507550000002</v>
      </c>
      <c r="R941">
        <v>2.4262999999999999</v>
      </c>
      <c r="S941">
        <v>0.40692159999999999</v>
      </c>
      <c r="T941" t="s">
        <v>1015</v>
      </c>
      <c r="U941">
        <v>40.676630430000003</v>
      </c>
    </row>
    <row r="942" spans="1:21" x14ac:dyDescent="0.25">
      <c r="A942" t="s">
        <v>16</v>
      </c>
      <c r="B942" t="s">
        <v>910</v>
      </c>
      <c r="C942">
        <v>16</v>
      </c>
      <c r="D942" t="s">
        <v>17</v>
      </c>
      <c r="E942" t="s">
        <v>95</v>
      </c>
      <c r="F942" t="s">
        <v>110</v>
      </c>
      <c r="G942" t="s">
        <v>121</v>
      </c>
      <c r="H942" t="s">
        <v>241</v>
      </c>
      <c r="J942">
        <v>0</v>
      </c>
      <c r="K942">
        <v>1</v>
      </c>
      <c r="L942">
        <v>73.260869569999997</v>
      </c>
      <c r="M942">
        <v>34.453830549999999</v>
      </c>
      <c r="N942">
        <v>1.058333333</v>
      </c>
      <c r="O942">
        <v>0.90897070000000002</v>
      </c>
      <c r="P942">
        <v>114</v>
      </c>
      <c r="Q942">
        <v>30.43077242</v>
      </c>
      <c r="R942">
        <v>0.53383111100000002</v>
      </c>
      <c r="S942">
        <v>0.28333332999999999</v>
      </c>
      <c r="T942" t="s">
        <v>1015</v>
      </c>
      <c r="U942">
        <v>40.739130430000003</v>
      </c>
    </row>
    <row r="943" spans="1:21" x14ac:dyDescent="0.25">
      <c r="A943" t="s">
        <v>16</v>
      </c>
      <c r="B943" t="s">
        <v>911</v>
      </c>
      <c r="C943">
        <v>15</v>
      </c>
      <c r="D943" t="s">
        <v>17</v>
      </c>
      <c r="E943" t="s">
        <v>95</v>
      </c>
      <c r="F943" t="s">
        <v>111</v>
      </c>
      <c r="G943" t="s">
        <v>113</v>
      </c>
      <c r="H943" t="s">
        <v>113</v>
      </c>
      <c r="J943">
        <v>0</v>
      </c>
      <c r="K943">
        <v>2</v>
      </c>
      <c r="L943">
        <v>94.97142857</v>
      </c>
      <c r="M943">
        <v>24.31591813</v>
      </c>
      <c r="N943">
        <v>0.122951111</v>
      </c>
      <c r="O943">
        <v>0.39050790000000002</v>
      </c>
      <c r="P943">
        <v>83.757575759999995</v>
      </c>
      <c r="Q943">
        <v>22.60997987</v>
      </c>
      <c r="R943">
        <v>0.72884000000000004</v>
      </c>
      <c r="S943">
        <v>0.21301339999999999</v>
      </c>
      <c r="T943" t="s">
        <v>1015</v>
      </c>
      <c r="U943">
        <v>11.213852810000001</v>
      </c>
    </row>
    <row r="944" spans="1:21" x14ac:dyDescent="0.25">
      <c r="A944" t="s">
        <v>16</v>
      </c>
      <c r="B944" t="s">
        <v>911</v>
      </c>
      <c r="C944">
        <v>15</v>
      </c>
      <c r="D944" t="s">
        <v>17</v>
      </c>
      <c r="E944" t="s">
        <v>95</v>
      </c>
      <c r="F944" t="s">
        <v>111</v>
      </c>
      <c r="G944" t="s">
        <v>113</v>
      </c>
      <c r="H944" t="s">
        <v>113</v>
      </c>
      <c r="J944">
        <v>0</v>
      </c>
      <c r="K944">
        <v>2</v>
      </c>
      <c r="L944">
        <v>94.97142857</v>
      </c>
      <c r="M944">
        <v>24.31591813</v>
      </c>
      <c r="N944">
        <v>0.122951111</v>
      </c>
      <c r="O944">
        <v>0.39050790000000002</v>
      </c>
      <c r="P944">
        <v>83.757575759999995</v>
      </c>
      <c r="Q944">
        <v>22.60997987</v>
      </c>
      <c r="R944">
        <v>0.72884000000000004</v>
      </c>
      <c r="S944">
        <v>0.21301339999999999</v>
      </c>
      <c r="T944" t="s">
        <v>1015</v>
      </c>
      <c r="U944">
        <v>11.213852810000001</v>
      </c>
    </row>
    <row r="945" spans="1:21" x14ac:dyDescent="0.25">
      <c r="A945" t="s">
        <v>16</v>
      </c>
      <c r="B945" t="s">
        <v>911</v>
      </c>
      <c r="C945">
        <v>16</v>
      </c>
      <c r="D945" t="s">
        <v>17</v>
      </c>
      <c r="E945" t="s">
        <v>95</v>
      </c>
      <c r="F945" t="s">
        <v>111</v>
      </c>
      <c r="G945" t="s">
        <v>113</v>
      </c>
      <c r="H945" t="s">
        <v>247</v>
      </c>
      <c r="J945">
        <v>0</v>
      </c>
      <c r="K945">
        <v>3</v>
      </c>
      <c r="L945">
        <v>94.97142857</v>
      </c>
      <c r="M945">
        <v>24.31591813</v>
      </c>
      <c r="N945">
        <v>0.122951111</v>
      </c>
      <c r="O945">
        <v>0.39050790000000002</v>
      </c>
      <c r="P945">
        <v>65.791044779999993</v>
      </c>
      <c r="Q945">
        <v>22.94519201</v>
      </c>
      <c r="R945">
        <v>8.1320334999999994E-2</v>
      </c>
      <c r="S945">
        <v>0.17285655</v>
      </c>
      <c r="T945" t="s">
        <v>1015</v>
      </c>
      <c r="U945">
        <v>29.18038379</v>
      </c>
    </row>
    <row r="946" spans="1:21" x14ac:dyDescent="0.25">
      <c r="A946" t="s">
        <v>16</v>
      </c>
      <c r="B946" t="s">
        <v>911</v>
      </c>
      <c r="C946">
        <v>16</v>
      </c>
      <c r="D946" t="s">
        <v>17</v>
      </c>
      <c r="E946" t="s">
        <v>95</v>
      </c>
      <c r="F946" t="s">
        <v>111</v>
      </c>
      <c r="G946" t="s">
        <v>113</v>
      </c>
      <c r="H946" t="s">
        <v>247</v>
      </c>
      <c r="J946">
        <v>0</v>
      </c>
      <c r="K946">
        <v>3</v>
      </c>
      <c r="L946">
        <v>94.97142857</v>
      </c>
      <c r="M946">
        <v>24.31591813</v>
      </c>
      <c r="N946">
        <v>0.122951111</v>
      </c>
      <c r="O946">
        <v>0.39050790000000002</v>
      </c>
      <c r="P946">
        <v>65.791044779999993</v>
      </c>
      <c r="Q946">
        <v>22.94519201</v>
      </c>
      <c r="R946">
        <v>8.1320334999999994E-2</v>
      </c>
      <c r="S946">
        <v>0.17285655</v>
      </c>
      <c r="T946" t="s">
        <v>1015</v>
      </c>
      <c r="U946">
        <v>29.18038379</v>
      </c>
    </row>
    <row r="947" spans="1:21" x14ac:dyDescent="0.25">
      <c r="A947" t="s">
        <v>16</v>
      </c>
      <c r="B947" t="s">
        <v>911</v>
      </c>
      <c r="C947">
        <v>16</v>
      </c>
      <c r="D947" t="s">
        <v>17</v>
      </c>
      <c r="E947" t="s">
        <v>95</v>
      </c>
      <c r="F947" t="s">
        <v>111</v>
      </c>
      <c r="G947" t="s">
        <v>113</v>
      </c>
      <c r="H947" t="s">
        <v>247</v>
      </c>
      <c r="J947">
        <v>0</v>
      </c>
      <c r="K947">
        <v>3</v>
      </c>
      <c r="L947">
        <v>94.97142857</v>
      </c>
      <c r="M947">
        <v>24.31591813</v>
      </c>
      <c r="N947">
        <v>0.122951111</v>
      </c>
      <c r="O947">
        <v>0.39050790000000002</v>
      </c>
      <c r="P947">
        <v>65.791044779999993</v>
      </c>
      <c r="Q947">
        <v>22.94519201</v>
      </c>
      <c r="R947">
        <v>8.1320334999999994E-2</v>
      </c>
      <c r="S947">
        <v>0.17285655</v>
      </c>
      <c r="T947" t="s">
        <v>1015</v>
      </c>
      <c r="U947">
        <v>29.18038379</v>
      </c>
    </row>
    <row r="948" spans="1:21" x14ac:dyDescent="0.25">
      <c r="A948" t="s">
        <v>16</v>
      </c>
      <c r="B948" t="s">
        <v>912</v>
      </c>
      <c r="C948">
        <v>15</v>
      </c>
      <c r="D948" t="s">
        <v>17</v>
      </c>
      <c r="E948" t="s">
        <v>95</v>
      </c>
      <c r="F948" t="s">
        <v>104</v>
      </c>
      <c r="G948" t="s">
        <v>121</v>
      </c>
      <c r="H948" t="s">
        <v>247</v>
      </c>
      <c r="J948">
        <v>0</v>
      </c>
      <c r="K948">
        <v>1</v>
      </c>
      <c r="L948">
        <v>113.9375</v>
      </c>
      <c r="M948">
        <v>33.375507550000002</v>
      </c>
      <c r="N948">
        <v>2.4262999999999999</v>
      </c>
      <c r="O948">
        <v>0.40692159999999999</v>
      </c>
      <c r="P948">
        <v>65.791044779999993</v>
      </c>
      <c r="Q948">
        <v>22.94519201</v>
      </c>
      <c r="R948">
        <v>8.1320334999999994E-2</v>
      </c>
      <c r="S948">
        <v>0.17285655</v>
      </c>
      <c r="T948" t="s">
        <v>1015</v>
      </c>
      <c r="U948">
        <v>48.14645522</v>
      </c>
    </row>
    <row r="949" spans="1:21" x14ac:dyDescent="0.25">
      <c r="A949" t="s">
        <v>16</v>
      </c>
      <c r="B949" t="s">
        <v>912</v>
      </c>
      <c r="C949">
        <v>16</v>
      </c>
      <c r="D949" t="s">
        <v>17</v>
      </c>
      <c r="E949" t="s">
        <v>95</v>
      </c>
      <c r="F949" t="s">
        <v>104</v>
      </c>
      <c r="G949" t="s">
        <v>121</v>
      </c>
      <c r="H949" t="s">
        <v>111</v>
      </c>
      <c r="J949">
        <v>0</v>
      </c>
      <c r="K949">
        <v>1</v>
      </c>
      <c r="L949">
        <v>113.9375</v>
      </c>
      <c r="M949">
        <v>33.375507550000002</v>
      </c>
      <c r="N949">
        <v>2.4262999999999999</v>
      </c>
      <c r="O949">
        <v>0.40692159999999999</v>
      </c>
      <c r="P949">
        <v>94.97142857</v>
      </c>
      <c r="Q949">
        <v>24.31591813</v>
      </c>
      <c r="R949">
        <v>0.122951111</v>
      </c>
      <c r="S949">
        <v>0.39050790000000002</v>
      </c>
      <c r="T949" t="s">
        <v>1015</v>
      </c>
      <c r="U949">
        <v>18.96607143</v>
      </c>
    </row>
    <row r="950" spans="1:21" x14ac:dyDescent="0.25">
      <c r="A950" t="s">
        <v>18</v>
      </c>
      <c r="B950" t="s">
        <v>913</v>
      </c>
      <c r="C950">
        <v>15</v>
      </c>
      <c r="D950" t="s">
        <v>19</v>
      </c>
      <c r="E950" t="s">
        <v>95</v>
      </c>
      <c r="F950" t="s">
        <v>113</v>
      </c>
      <c r="G950" t="s">
        <v>121</v>
      </c>
      <c r="H950" t="s">
        <v>113</v>
      </c>
      <c r="J950">
        <v>0</v>
      </c>
      <c r="K950">
        <v>3</v>
      </c>
      <c r="L950">
        <v>83.757575759999995</v>
      </c>
      <c r="M950">
        <v>22.60997987</v>
      </c>
      <c r="N950">
        <v>0.72884000000000004</v>
      </c>
      <c r="O950">
        <v>0.21301339999999999</v>
      </c>
      <c r="P950">
        <v>83.757575759999995</v>
      </c>
      <c r="Q950">
        <v>22.60997987</v>
      </c>
      <c r="R950">
        <v>0.72884000000000004</v>
      </c>
      <c r="S950">
        <v>0.21301339999999999</v>
      </c>
      <c r="T950" t="s">
        <v>1015</v>
      </c>
      <c r="U950">
        <v>0</v>
      </c>
    </row>
    <row r="951" spans="1:21" x14ac:dyDescent="0.25">
      <c r="A951" t="s">
        <v>18</v>
      </c>
      <c r="B951" t="s">
        <v>913</v>
      </c>
      <c r="C951">
        <v>15</v>
      </c>
      <c r="D951" t="s">
        <v>19</v>
      </c>
      <c r="E951" t="s">
        <v>95</v>
      </c>
      <c r="F951" t="s">
        <v>113</v>
      </c>
      <c r="G951" t="s">
        <v>121</v>
      </c>
      <c r="H951" t="s">
        <v>113</v>
      </c>
      <c r="J951">
        <v>0</v>
      </c>
      <c r="K951">
        <v>3</v>
      </c>
      <c r="L951">
        <v>83.757575759999995</v>
      </c>
      <c r="M951">
        <v>22.60997987</v>
      </c>
      <c r="N951">
        <v>0.72884000000000004</v>
      </c>
      <c r="O951">
        <v>0.21301339999999999</v>
      </c>
      <c r="P951">
        <v>83.757575759999995</v>
      </c>
      <c r="Q951">
        <v>22.60997987</v>
      </c>
      <c r="R951">
        <v>0.72884000000000004</v>
      </c>
      <c r="S951">
        <v>0.21301339999999999</v>
      </c>
      <c r="T951" t="s">
        <v>1015</v>
      </c>
      <c r="U951">
        <v>0</v>
      </c>
    </row>
    <row r="952" spans="1:21" x14ac:dyDescent="0.25">
      <c r="A952" t="s">
        <v>18</v>
      </c>
      <c r="B952" t="s">
        <v>913</v>
      </c>
      <c r="C952">
        <v>15</v>
      </c>
      <c r="D952" t="s">
        <v>19</v>
      </c>
      <c r="E952" t="s">
        <v>95</v>
      </c>
      <c r="F952" t="s">
        <v>113</v>
      </c>
      <c r="G952" t="s">
        <v>121</v>
      </c>
      <c r="H952" t="s">
        <v>113</v>
      </c>
      <c r="J952">
        <v>0</v>
      </c>
      <c r="K952">
        <v>3</v>
      </c>
      <c r="L952">
        <v>83.757575759999995</v>
      </c>
      <c r="M952">
        <v>22.60997987</v>
      </c>
      <c r="N952">
        <v>0.72884000000000004</v>
      </c>
      <c r="O952">
        <v>0.21301339999999999</v>
      </c>
      <c r="P952">
        <v>83.757575759999995</v>
      </c>
      <c r="Q952">
        <v>22.60997987</v>
      </c>
      <c r="R952">
        <v>0.72884000000000004</v>
      </c>
      <c r="S952">
        <v>0.21301339999999999</v>
      </c>
      <c r="T952" t="s">
        <v>1015</v>
      </c>
      <c r="U952">
        <v>0</v>
      </c>
    </row>
    <row r="953" spans="1:21" x14ac:dyDescent="0.25">
      <c r="A953" t="s">
        <v>18</v>
      </c>
      <c r="B953" t="s">
        <v>913</v>
      </c>
      <c r="C953">
        <v>16</v>
      </c>
      <c r="D953" t="s">
        <v>19</v>
      </c>
      <c r="E953" t="s">
        <v>95</v>
      </c>
      <c r="F953" t="s">
        <v>113</v>
      </c>
      <c r="G953" t="s">
        <v>121</v>
      </c>
      <c r="H953" t="s">
        <v>808</v>
      </c>
      <c r="J953">
        <v>0</v>
      </c>
      <c r="K953">
        <v>1</v>
      </c>
      <c r="L953">
        <v>83.757575759999995</v>
      </c>
      <c r="M953">
        <v>22.60997987</v>
      </c>
      <c r="N953">
        <v>0.72884000000000004</v>
      </c>
      <c r="O953">
        <v>0.21301339999999999</v>
      </c>
      <c r="P953">
        <v>102.79166669999999</v>
      </c>
      <c r="Q953">
        <v>27.057373470000002</v>
      </c>
      <c r="R953">
        <v>6.3567849939999999</v>
      </c>
      <c r="S953" t="s">
        <v>114</v>
      </c>
      <c r="T953" t="s">
        <v>1015</v>
      </c>
      <c r="U953">
        <v>19.034090939999999</v>
      </c>
    </row>
    <row r="954" spans="1:21" x14ac:dyDescent="0.25">
      <c r="A954" t="s">
        <v>18</v>
      </c>
      <c r="B954" t="s">
        <v>913</v>
      </c>
      <c r="C954">
        <v>17</v>
      </c>
      <c r="D954" t="s">
        <v>19</v>
      </c>
      <c r="E954" t="s">
        <v>95</v>
      </c>
      <c r="F954" t="s">
        <v>113</v>
      </c>
      <c r="G954" t="s">
        <v>121</v>
      </c>
      <c r="H954" t="s">
        <v>242</v>
      </c>
      <c r="J954">
        <v>0</v>
      </c>
      <c r="K954">
        <v>15</v>
      </c>
      <c r="L954">
        <v>83.757575759999995</v>
      </c>
      <c r="M954">
        <v>22.60997987</v>
      </c>
      <c r="N954">
        <v>0.72884000000000004</v>
      </c>
      <c r="O954">
        <v>0.21301339999999999</v>
      </c>
      <c r="P954">
        <v>139.375</v>
      </c>
      <c r="Q954">
        <v>23.713465920000001</v>
      </c>
      <c r="R954" t="s">
        <v>114</v>
      </c>
      <c r="S954" t="s">
        <v>114</v>
      </c>
      <c r="T954" t="s">
        <v>1015</v>
      </c>
      <c r="U954">
        <v>55.617424239999998</v>
      </c>
    </row>
    <row r="955" spans="1:21" x14ac:dyDescent="0.25">
      <c r="A955" t="s">
        <v>18</v>
      </c>
      <c r="B955" t="s">
        <v>913</v>
      </c>
      <c r="C955">
        <v>17</v>
      </c>
      <c r="D955" t="s">
        <v>19</v>
      </c>
      <c r="E955" t="s">
        <v>95</v>
      </c>
      <c r="F955" t="s">
        <v>113</v>
      </c>
      <c r="G955" t="s">
        <v>121</v>
      </c>
      <c r="H955" t="s">
        <v>242</v>
      </c>
      <c r="J955">
        <v>0</v>
      </c>
      <c r="K955">
        <v>15</v>
      </c>
      <c r="L955">
        <v>83.757575759999995</v>
      </c>
      <c r="M955">
        <v>22.60997987</v>
      </c>
      <c r="N955">
        <v>0.72884000000000004</v>
      </c>
      <c r="O955">
        <v>0.21301339999999999</v>
      </c>
      <c r="P955">
        <v>139.375</v>
      </c>
      <c r="Q955">
        <v>23.713465920000001</v>
      </c>
      <c r="R955" t="s">
        <v>114</v>
      </c>
      <c r="S955" t="s">
        <v>114</v>
      </c>
      <c r="T955" t="s">
        <v>1015</v>
      </c>
      <c r="U955">
        <v>55.617424239999998</v>
      </c>
    </row>
    <row r="956" spans="1:21" x14ac:dyDescent="0.25">
      <c r="A956" t="s">
        <v>18</v>
      </c>
      <c r="B956" t="s">
        <v>913</v>
      </c>
      <c r="C956">
        <v>17</v>
      </c>
      <c r="D956" t="s">
        <v>19</v>
      </c>
      <c r="E956" t="s">
        <v>95</v>
      </c>
      <c r="F956" t="s">
        <v>113</v>
      </c>
      <c r="G956" t="s">
        <v>121</v>
      </c>
      <c r="H956" t="s">
        <v>242</v>
      </c>
      <c r="J956">
        <v>0</v>
      </c>
      <c r="K956">
        <v>15</v>
      </c>
      <c r="L956">
        <v>83.757575759999995</v>
      </c>
      <c r="M956">
        <v>22.60997987</v>
      </c>
      <c r="N956">
        <v>0.72884000000000004</v>
      </c>
      <c r="O956">
        <v>0.21301339999999999</v>
      </c>
      <c r="P956">
        <v>139.375</v>
      </c>
      <c r="Q956">
        <v>23.713465920000001</v>
      </c>
      <c r="R956" t="s">
        <v>114</v>
      </c>
      <c r="S956" t="s">
        <v>114</v>
      </c>
      <c r="T956" t="s">
        <v>1015</v>
      </c>
      <c r="U956">
        <v>55.617424239999998</v>
      </c>
    </row>
    <row r="957" spans="1:21" x14ac:dyDescent="0.25">
      <c r="A957" t="s">
        <v>18</v>
      </c>
      <c r="B957" t="s">
        <v>913</v>
      </c>
      <c r="C957">
        <v>17</v>
      </c>
      <c r="D957" t="s">
        <v>19</v>
      </c>
      <c r="E957" t="s">
        <v>95</v>
      </c>
      <c r="F957" t="s">
        <v>113</v>
      </c>
      <c r="G957" t="s">
        <v>121</v>
      </c>
      <c r="H957" t="s">
        <v>242</v>
      </c>
      <c r="J957">
        <v>0</v>
      </c>
      <c r="K957">
        <v>15</v>
      </c>
      <c r="L957">
        <v>83.757575759999995</v>
      </c>
      <c r="M957">
        <v>22.60997987</v>
      </c>
      <c r="N957">
        <v>0.72884000000000004</v>
      </c>
      <c r="O957">
        <v>0.21301339999999999</v>
      </c>
      <c r="P957">
        <v>139.375</v>
      </c>
      <c r="Q957">
        <v>23.713465920000001</v>
      </c>
      <c r="R957" t="s">
        <v>114</v>
      </c>
      <c r="S957" t="s">
        <v>114</v>
      </c>
      <c r="T957" t="s">
        <v>1015</v>
      </c>
      <c r="U957">
        <v>55.617424239999998</v>
      </c>
    </row>
    <row r="958" spans="1:21" x14ac:dyDescent="0.25">
      <c r="A958" t="s">
        <v>18</v>
      </c>
      <c r="B958" t="s">
        <v>913</v>
      </c>
      <c r="C958">
        <v>17</v>
      </c>
      <c r="D958" t="s">
        <v>19</v>
      </c>
      <c r="E958" t="s">
        <v>95</v>
      </c>
      <c r="F958" t="s">
        <v>113</v>
      </c>
      <c r="G958" t="s">
        <v>121</v>
      </c>
      <c r="H958" t="s">
        <v>242</v>
      </c>
      <c r="J958">
        <v>0</v>
      </c>
      <c r="K958">
        <v>15</v>
      </c>
      <c r="L958">
        <v>83.757575759999995</v>
      </c>
      <c r="M958">
        <v>22.60997987</v>
      </c>
      <c r="N958">
        <v>0.72884000000000004</v>
      </c>
      <c r="O958">
        <v>0.21301339999999999</v>
      </c>
      <c r="P958">
        <v>139.375</v>
      </c>
      <c r="Q958">
        <v>23.713465920000001</v>
      </c>
      <c r="R958" t="s">
        <v>114</v>
      </c>
      <c r="S958" t="s">
        <v>114</v>
      </c>
      <c r="T958" t="s">
        <v>1015</v>
      </c>
      <c r="U958">
        <v>55.617424239999998</v>
      </c>
    </row>
    <row r="959" spans="1:21" x14ac:dyDescent="0.25">
      <c r="A959" t="s">
        <v>18</v>
      </c>
      <c r="B959" t="s">
        <v>913</v>
      </c>
      <c r="C959">
        <v>17</v>
      </c>
      <c r="D959" t="s">
        <v>19</v>
      </c>
      <c r="E959" t="s">
        <v>95</v>
      </c>
      <c r="F959" t="s">
        <v>113</v>
      </c>
      <c r="G959" t="s">
        <v>121</v>
      </c>
      <c r="H959" t="s">
        <v>242</v>
      </c>
      <c r="J959">
        <v>0</v>
      </c>
      <c r="K959">
        <v>15</v>
      </c>
      <c r="L959">
        <v>83.757575759999995</v>
      </c>
      <c r="M959">
        <v>22.60997987</v>
      </c>
      <c r="N959">
        <v>0.72884000000000004</v>
      </c>
      <c r="O959">
        <v>0.21301339999999999</v>
      </c>
      <c r="P959">
        <v>139.375</v>
      </c>
      <c r="Q959">
        <v>23.713465920000001</v>
      </c>
      <c r="R959" t="s">
        <v>114</v>
      </c>
      <c r="S959" t="s">
        <v>114</v>
      </c>
      <c r="T959" t="s">
        <v>1015</v>
      </c>
      <c r="U959">
        <v>55.617424239999998</v>
      </c>
    </row>
    <row r="960" spans="1:21" x14ac:dyDescent="0.25">
      <c r="A960" t="s">
        <v>18</v>
      </c>
      <c r="B960" t="s">
        <v>913</v>
      </c>
      <c r="C960">
        <v>17</v>
      </c>
      <c r="D960" t="s">
        <v>19</v>
      </c>
      <c r="E960" t="s">
        <v>95</v>
      </c>
      <c r="F960" t="s">
        <v>113</v>
      </c>
      <c r="G960" t="s">
        <v>121</v>
      </c>
      <c r="H960" t="s">
        <v>242</v>
      </c>
      <c r="J960">
        <v>0</v>
      </c>
      <c r="K960">
        <v>15</v>
      </c>
      <c r="L960">
        <v>83.757575759999995</v>
      </c>
      <c r="M960">
        <v>22.60997987</v>
      </c>
      <c r="N960">
        <v>0.72884000000000004</v>
      </c>
      <c r="O960">
        <v>0.21301339999999999</v>
      </c>
      <c r="P960">
        <v>139.375</v>
      </c>
      <c r="Q960">
        <v>23.713465920000001</v>
      </c>
      <c r="R960" t="s">
        <v>114</v>
      </c>
      <c r="S960" t="s">
        <v>114</v>
      </c>
      <c r="T960" t="s">
        <v>1015</v>
      </c>
      <c r="U960">
        <v>55.617424239999998</v>
      </c>
    </row>
    <row r="961" spans="1:21" x14ac:dyDescent="0.25">
      <c r="A961" t="s">
        <v>18</v>
      </c>
      <c r="B961" t="s">
        <v>913</v>
      </c>
      <c r="C961">
        <v>17</v>
      </c>
      <c r="D961" t="s">
        <v>19</v>
      </c>
      <c r="E961" t="s">
        <v>95</v>
      </c>
      <c r="F961" t="s">
        <v>113</v>
      </c>
      <c r="G961" t="s">
        <v>121</v>
      </c>
      <c r="H961" t="s">
        <v>242</v>
      </c>
      <c r="J961">
        <v>0</v>
      </c>
      <c r="K961">
        <v>15</v>
      </c>
      <c r="L961">
        <v>83.757575759999995</v>
      </c>
      <c r="M961">
        <v>22.60997987</v>
      </c>
      <c r="N961">
        <v>0.72884000000000004</v>
      </c>
      <c r="O961">
        <v>0.21301339999999999</v>
      </c>
      <c r="P961">
        <v>139.375</v>
      </c>
      <c r="Q961">
        <v>23.713465920000001</v>
      </c>
      <c r="R961" t="s">
        <v>114</v>
      </c>
      <c r="S961" t="s">
        <v>114</v>
      </c>
      <c r="T961" t="s">
        <v>1015</v>
      </c>
      <c r="U961">
        <v>55.617424239999998</v>
      </c>
    </row>
    <row r="962" spans="1:21" x14ac:dyDescent="0.25">
      <c r="A962" t="s">
        <v>18</v>
      </c>
      <c r="B962" t="s">
        <v>913</v>
      </c>
      <c r="C962">
        <v>17</v>
      </c>
      <c r="D962" t="s">
        <v>19</v>
      </c>
      <c r="E962" t="s">
        <v>95</v>
      </c>
      <c r="F962" t="s">
        <v>113</v>
      </c>
      <c r="G962" t="s">
        <v>121</v>
      </c>
      <c r="H962" t="s">
        <v>242</v>
      </c>
      <c r="J962">
        <v>0</v>
      </c>
      <c r="K962">
        <v>15</v>
      </c>
      <c r="L962">
        <v>83.757575759999995</v>
      </c>
      <c r="M962">
        <v>22.60997987</v>
      </c>
      <c r="N962">
        <v>0.72884000000000004</v>
      </c>
      <c r="O962">
        <v>0.21301339999999999</v>
      </c>
      <c r="P962">
        <v>139.375</v>
      </c>
      <c r="Q962">
        <v>23.713465920000001</v>
      </c>
      <c r="R962" t="s">
        <v>114</v>
      </c>
      <c r="S962" t="s">
        <v>114</v>
      </c>
      <c r="T962" t="s">
        <v>1015</v>
      </c>
      <c r="U962">
        <v>55.617424239999998</v>
      </c>
    </row>
    <row r="963" spans="1:21" x14ac:dyDescent="0.25">
      <c r="A963" t="s">
        <v>18</v>
      </c>
      <c r="B963" t="s">
        <v>913</v>
      </c>
      <c r="C963">
        <v>17</v>
      </c>
      <c r="D963" t="s">
        <v>19</v>
      </c>
      <c r="E963" t="s">
        <v>95</v>
      </c>
      <c r="F963" t="s">
        <v>113</v>
      </c>
      <c r="G963" t="s">
        <v>121</v>
      </c>
      <c r="H963" t="s">
        <v>242</v>
      </c>
      <c r="J963">
        <v>0</v>
      </c>
      <c r="K963">
        <v>15</v>
      </c>
      <c r="L963">
        <v>83.757575759999995</v>
      </c>
      <c r="M963">
        <v>22.60997987</v>
      </c>
      <c r="N963">
        <v>0.72884000000000004</v>
      </c>
      <c r="O963">
        <v>0.21301339999999999</v>
      </c>
      <c r="P963">
        <v>139.375</v>
      </c>
      <c r="Q963">
        <v>23.713465920000001</v>
      </c>
      <c r="R963" t="s">
        <v>114</v>
      </c>
      <c r="S963" t="s">
        <v>114</v>
      </c>
      <c r="T963" t="s">
        <v>1015</v>
      </c>
      <c r="U963">
        <v>55.617424239999998</v>
      </c>
    </row>
    <row r="964" spans="1:21" x14ac:dyDescent="0.25">
      <c r="A964" t="s">
        <v>18</v>
      </c>
      <c r="B964" t="s">
        <v>913</v>
      </c>
      <c r="C964">
        <v>17</v>
      </c>
      <c r="D964" t="s">
        <v>19</v>
      </c>
      <c r="E964" t="s">
        <v>95</v>
      </c>
      <c r="F964" t="s">
        <v>113</v>
      </c>
      <c r="G964" t="s">
        <v>121</v>
      </c>
      <c r="H964" t="s">
        <v>242</v>
      </c>
      <c r="J964">
        <v>0</v>
      </c>
      <c r="K964">
        <v>15</v>
      </c>
      <c r="L964">
        <v>83.757575759999995</v>
      </c>
      <c r="M964">
        <v>22.60997987</v>
      </c>
      <c r="N964">
        <v>0.72884000000000004</v>
      </c>
      <c r="O964">
        <v>0.21301339999999999</v>
      </c>
      <c r="P964">
        <v>139.375</v>
      </c>
      <c r="Q964">
        <v>23.713465920000001</v>
      </c>
      <c r="R964" t="s">
        <v>114</v>
      </c>
      <c r="S964" t="s">
        <v>114</v>
      </c>
      <c r="T964" t="s">
        <v>1015</v>
      </c>
      <c r="U964">
        <v>55.617424239999998</v>
      </c>
    </row>
    <row r="965" spans="1:21" x14ac:dyDescent="0.25">
      <c r="A965" t="s">
        <v>18</v>
      </c>
      <c r="B965" t="s">
        <v>913</v>
      </c>
      <c r="C965">
        <v>17</v>
      </c>
      <c r="D965" t="s">
        <v>19</v>
      </c>
      <c r="E965" t="s">
        <v>95</v>
      </c>
      <c r="F965" t="s">
        <v>113</v>
      </c>
      <c r="G965" t="s">
        <v>121</v>
      </c>
      <c r="H965" t="s">
        <v>242</v>
      </c>
      <c r="J965">
        <v>0</v>
      </c>
      <c r="K965">
        <v>15</v>
      </c>
      <c r="L965">
        <v>83.757575759999995</v>
      </c>
      <c r="M965">
        <v>22.60997987</v>
      </c>
      <c r="N965">
        <v>0.72884000000000004</v>
      </c>
      <c r="O965">
        <v>0.21301339999999999</v>
      </c>
      <c r="P965">
        <v>139.375</v>
      </c>
      <c r="Q965">
        <v>23.713465920000001</v>
      </c>
      <c r="R965" t="s">
        <v>114</v>
      </c>
      <c r="S965" t="s">
        <v>114</v>
      </c>
      <c r="T965" t="s">
        <v>1015</v>
      </c>
      <c r="U965">
        <v>55.617424239999998</v>
      </c>
    </row>
    <row r="966" spans="1:21" x14ac:dyDescent="0.25">
      <c r="A966" t="s">
        <v>18</v>
      </c>
      <c r="B966" t="s">
        <v>913</v>
      </c>
      <c r="C966">
        <v>17</v>
      </c>
      <c r="D966" t="s">
        <v>19</v>
      </c>
      <c r="E966" t="s">
        <v>95</v>
      </c>
      <c r="F966" t="s">
        <v>113</v>
      </c>
      <c r="G966" t="s">
        <v>121</v>
      </c>
      <c r="H966" t="s">
        <v>242</v>
      </c>
      <c r="J966">
        <v>0</v>
      </c>
      <c r="K966">
        <v>15</v>
      </c>
      <c r="L966">
        <v>83.757575759999995</v>
      </c>
      <c r="M966">
        <v>22.60997987</v>
      </c>
      <c r="N966">
        <v>0.72884000000000004</v>
      </c>
      <c r="O966">
        <v>0.21301339999999999</v>
      </c>
      <c r="P966">
        <v>139.375</v>
      </c>
      <c r="Q966">
        <v>23.713465920000001</v>
      </c>
      <c r="R966" t="s">
        <v>114</v>
      </c>
      <c r="S966" t="s">
        <v>114</v>
      </c>
      <c r="T966" t="s">
        <v>1015</v>
      </c>
      <c r="U966">
        <v>55.617424239999998</v>
      </c>
    </row>
    <row r="967" spans="1:21" x14ac:dyDescent="0.25">
      <c r="A967" t="s">
        <v>18</v>
      </c>
      <c r="B967" t="s">
        <v>913</v>
      </c>
      <c r="C967">
        <v>17</v>
      </c>
      <c r="D967" t="s">
        <v>19</v>
      </c>
      <c r="E967" t="s">
        <v>95</v>
      </c>
      <c r="F967" t="s">
        <v>113</v>
      </c>
      <c r="G967" t="s">
        <v>121</v>
      </c>
      <c r="H967" t="s">
        <v>242</v>
      </c>
      <c r="J967">
        <v>0</v>
      </c>
      <c r="K967">
        <v>15</v>
      </c>
      <c r="L967">
        <v>83.757575759999995</v>
      </c>
      <c r="M967">
        <v>22.60997987</v>
      </c>
      <c r="N967">
        <v>0.72884000000000004</v>
      </c>
      <c r="O967">
        <v>0.21301339999999999</v>
      </c>
      <c r="P967">
        <v>139.375</v>
      </c>
      <c r="Q967">
        <v>23.713465920000001</v>
      </c>
      <c r="R967" t="s">
        <v>114</v>
      </c>
      <c r="S967" t="s">
        <v>114</v>
      </c>
      <c r="T967" t="s">
        <v>1015</v>
      </c>
      <c r="U967">
        <v>55.617424239999998</v>
      </c>
    </row>
    <row r="968" spans="1:21" x14ac:dyDescent="0.25">
      <c r="A968" t="s">
        <v>18</v>
      </c>
      <c r="B968" t="s">
        <v>913</v>
      </c>
      <c r="C968">
        <v>17</v>
      </c>
      <c r="D968" t="s">
        <v>19</v>
      </c>
      <c r="E968" t="s">
        <v>95</v>
      </c>
      <c r="F968" t="s">
        <v>113</v>
      </c>
      <c r="G968" t="s">
        <v>121</v>
      </c>
      <c r="H968" t="s">
        <v>242</v>
      </c>
      <c r="J968">
        <v>0</v>
      </c>
      <c r="K968">
        <v>15</v>
      </c>
      <c r="L968">
        <v>83.757575759999995</v>
      </c>
      <c r="M968">
        <v>22.60997987</v>
      </c>
      <c r="N968">
        <v>0.72884000000000004</v>
      </c>
      <c r="O968">
        <v>0.21301339999999999</v>
      </c>
      <c r="P968">
        <v>139.375</v>
      </c>
      <c r="Q968">
        <v>23.713465920000001</v>
      </c>
      <c r="R968" t="s">
        <v>114</v>
      </c>
      <c r="S968" t="s">
        <v>114</v>
      </c>
      <c r="T968" t="s">
        <v>1015</v>
      </c>
      <c r="U968">
        <v>55.617424239999998</v>
      </c>
    </row>
    <row r="969" spans="1:21" x14ac:dyDescent="0.25">
      <c r="A969" t="s">
        <v>18</v>
      </c>
      <c r="B969" t="s">
        <v>914</v>
      </c>
      <c r="C969">
        <v>15</v>
      </c>
      <c r="D969" t="s">
        <v>19</v>
      </c>
      <c r="E969" t="s">
        <v>95</v>
      </c>
      <c r="F969" t="s">
        <v>111</v>
      </c>
      <c r="G969" t="s">
        <v>121</v>
      </c>
      <c r="H969" t="s">
        <v>113</v>
      </c>
      <c r="J969">
        <v>0</v>
      </c>
      <c r="K969">
        <v>2</v>
      </c>
      <c r="L969">
        <v>94.97142857</v>
      </c>
      <c r="M969">
        <v>24.31591813</v>
      </c>
      <c r="N969">
        <v>0.122951111</v>
      </c>
      <c r="O969">
        <v>0.39050790000000002</v>
      </c>
      <c r="P969">
        <v>83.757575759999995</v>
      </c>
      <c r="Q969">
        <v>22.60997987</v>
      </c>
      <c r="R969">
        <v>0.72884000000000004</v>
      </c>
      <c r="S969">
        <v>0.21301339999999999</v>
      </c>
      <c r="T969" t="s">
        <v>1015</v>
      </c>
      <c r="U969">
        <v>11.213852810000001</v>
      </c>
    </row>
    <row r="970" spans="1:21" x14ac:dyDescent="0.25">
      <c r="A970" t="s">
        <v>18</v>
      </c>
      <c r="B970" t="s">
        <v>914</v>
      </c>
      <c r="C970">
        <v>15</v>
      </c>
      <c r="D970" t="s">
        <v>19</v>
      </c>
      <c r="E970" t="s">
        <v>95</v>
      </c>
      <c r="F970" t="s">
        <v>111</v>
      </c>
      <c r="G970" t="s">
        <v>121</v>
      </c>
      <c r="H970" t="s">
        <v>113</v>
      </c>
      <c r="J970">
        <v>0</v>
      </c>
      <c r="K970">
        <v>2</v>
      </c>
      <c r="L970">
        <v>94.97142857</v>
      </c>
      <c r="M970">
        <v>24.31591813</v>
      </c>
      <c r="N970">
        <v>0.122951111</v>
      </c>
      <c r="O970">
        <v>0.39050790000000002</v>
      </c>
      <c r="P970">
        <v>83.757575759999995</v>
      </c>
      <c r="Q970">
        <v>22.60997987</v>
      </c>
      <c r="R970">
        <v>0.72884000000000004</v>
      </c>
      <c r="S970">
        <v>0.21301339999999999</v>
      </c>
      <c r="T970" t="s">
        <v>1015</v>
      </c>
      <c r="U970">
        <v>11.213852810000001</v>
      </c>
    </row>
    <row r="971" spans="1:21" x14ac:dyDescent="0.25">
      <c r="A971" t="s">
        <v>18</v>
      </c>
      <c r="B971" t="s">
        <v>914</v>
      </c>
      <c r="C971">
        <v>16</v>
      </c>
      <c r="D971" t="s">
        <v>19</v>
      </c>
      <c r="E971" t="s">
        <v>95</v>
      </c>
      <c r="F971" t="s">
        <v>111</v>
      </c>
      <c r="G971" t="s">
        <v>121</v>
      </c>
      <c r="H971" t="s">
        <v>242</v>
      </c>
      <c r="J971">
        <v>0</v>
      </c>
      <c r="K971">
        <v>2</v>
      </c>
      <c r="L971">
        <v>94.97142857</v>
      </c>
      <c r="M971">
        <v>24.31591813</v>
      </c>
      <c r="N971">
        <v>0.122951111</v>
      </c>
      <c r="O971">
        <v>0.39050790000000002</v>
      </c>
      <c r="P971">
        <v>139.375</v>
      </c>
      <c r="Q971">
        <v>23.713465920000001</v>
      </c>
      <c r="R971" t="s">
        <v>114</v>
      </c>
      <c r="S971" t="s">
        <v>114</v>
      </c>
      <c r="T971" t="s">
        <v>1015</v>
      </c>
      <c r="U971">
        <v>44.40357143</v>
      </c>
    </row>
    <row r="972" spans="1:21" x14ac:dyDescent="0.25">
      <c r="A972" t="s">
        <v>18</v>
      </c>
      <c r="B972" t="s">
        <v>914</v>
      </c>
      <c r="C972">
        <v>16</v>
      </c>
      <c r="D972" t="s">
        <v>19</v>
      </c>
      <c r="E972" t="s">
        <v>95</v>
      </c>
      <c r="F972" t="s">
        <v>111</v>
      </c>
      <c r="G972" t="s">
        <v>121</v>
      </c>
      <c r="H972" t="s">
        <v>242</v>
      </c>
      <c r="J972">
        <v>0</v>
      </c>
      <c r="K972">
        <v>2</v>
      </c>
      <c r="L972">
        <v>94.97142857</v>
      </c>
      <c r="M972">
        <v>24.31591813</v>
      </c>
      <c r="N972">
        <v>0.122951111</v>
      </c>
      <c r="O972">
        <v>0.39050790000000002</v>
      </c>
      <c r="P972">
        <v>139.375</v>
      </c>
      <c r="Q972">
        <v>23.713465920000001</v>
      </c>
      <c r="R972" t="s">
        <v>114</v>
      </c>
      <c r="S972" t="s">
        <v>114</v>
      </c>
      <c r="T972" t="s">
        <v>1015</v>
      </c>
      <c r="U972">
        <v>44.40357143</v>
      </c>
    </row>
    <row r="973" spans="1:21" x14ac:dyDescent="0.25">
      <c r="A973" t="s">
        <v>18</v>
      </c>
      <c r="B973" t="s">
        <v>915</v>
      </c>
      <c r="C973">
        <v>15</v>
      </c>
      <c r="D973" t="s">
        <v>19</v>
      </c>
      <c r="E973" t="s">
        <v>95</v>
      </c>
      <c r="F973" t="s">
        <v>104</v>
      </c>
      <c r="G973" t="s">
        <v>121</v>
      </c>
      <c r="H973" t="s">
        <v>247</v>
      </c>
      <c r="J973">
        <v>0</v>
      </c>
      <c r="K973">
        <v>1</v>
      </c>
      <c r="L973">
        <v>113.9375</v>
      </c>
      <c r="M973">
        <v>33.375507550000002</v>
      </c>
      <c r="N973">
        <v>2.4262999999999999</v>
      </c>
      <c r="O973">
        <v>0.40692159999999999</v>
      </c>
      <c r="P973">
        <v>65.791044779999993</v>
      </c>
      <c r="Q973">
        <v>22.94519201</v>
      </c>
      <c r="R973">
        <v>8.1320334999999994E-2</v>
      </c>
      <c r="S973">
        <v>0.17285655</v>
      </c>
      <c r="T973" t="s">
        <v>1015</v>
      </c>
      <c r="U973">
        <v>48.14645522</v>
      </c>
    </row>
    <row r="974" spans="1:21" x14ac:dyDescent="0.25">
      <c r="A974" t="s">
        <v>18</v>
      </c>
      <c r="B974" t="s">
        <v>915</v>
      </c>
      <c r="C974">
        <v>16</v>
      </c>
      <c r="D974" t="s">
        <v>19</v>
      </c>
      <c r="E974" t="s">
        <v>95</v>
      </c>
      <c r="F974" t="s">
        <v>104</v>
      </c>
      <c r="G974" t="s">
        <v>121</v>
      </c>
      <c r="H974" t="s">
        <v>113</v>
      </c>
      <c r="J974">
        <v>0</v>
      </c>
      <c r="K974">
        <v>3</v>
      </c>
      <c r="L974">
        <v>113.9375</v>
      </c>
      <c r="M974">
        <v>33.375507550000002</v>
      </c>
      <c r="N974">
        <v>2.4262999999999999</v>
      </c>
      <c r="O974">
        <v>0.40692159999999999</v>
      </c>
      <c r="P974">
        <v>83.757575759999995</v>
      </c>
      <c r="Q974">
        <v>22.60997987</v>
      </c>
      <c r="R974">
        <v>0.72884000000000004</v>
      </c>
      <c r="S974">
        <v>0.21301339999999999</v>
      </c>
      <c r="T974" t="s">
        <v>1015</v>
      </c>
      <c r="U974">
        <v>30.179924239999998</v>
      </c>
    </row>
    <row r="975" spans="1:21" x14ac:dyDescent="0.25">
      <c r="A975" t="s">
        <v>18</v>
      </c>
      <c r="B975" t="s">
        <v>915</v>
      </c>
      <c r="C975">
        <v>16</v>
      </c>
      <c r="D975" t="s">
        <v>19</v>
      </c>
      <c r="E975" t="s">
        <v>95</v>
      </c>
      <c r="F975" t="s">
        <v>104</v>
      </c>
      <c r="G975" t="s">
        <v>121</v>
      </c>
      <c r="H975" t="s">
        <v>113</v>
      </c>
      <c r="J975">
        <v>0</v>
      </c>
      <c r="K975">
        <v>3</v>
      </c>
      <c r="L975">
        <v>113.9375</v>
      </c>
      <c r="M975">
        <v>33.375507550000002</v>
      </c>
      <c r="N975">
        <v>2.4262999999999999</v>
      </c>
      <c r="O975">
        <v>0.40692159999999999</v>
      </c>
      <c r="P975">
        <v>83.757575759999995</v>
      </c>
      <c r="Q975">
        <v>22.60997987</v>
      </c>
      <c r="R975">
        <v>0.72884000000000004</v>
      </c>
      <c r="S975">
        <v>0.21301339999999999</v>
      </c>
      <c r="T975" t="s">
        <v>1015</v>
      </c>
      <c r="U975">
        <v>30.179924239999998</v>
      </c>
    </row>
    <row r="976" spans="1:21" x14ac:dyDescent="0.25">
      <c r="A976" t="s">
        <v>18</v>
      </c>
      <c r="B976" t="s">
        <v>915</v>
      </c>
      <c r="C976">
        <v>16</v>
      </c>
      <c r="D976" t="s">
        <v>19</v>
      </c>
      <c r="E976" t="s">
        <v>95</v>
      </c>
      <c r="F976" t="s">
        <v>104</v>
      </c>
      <c r="G976" t="s">
        <v>121</v>
      </c>
      <c r="H976" t="s">
        <v>113</v>
      </c>
      <c r="J976">
        <v>0</v>
      </c>
      <c r="K976">
        <v>3</v>
      </c>
      <c r="L976">
        <v>113.9375</v>
      </c>
      <c r="M976">
        <v>33.375507550000002</v>
      </c>
      <c r="N976">
        <v>2.4262999999999999</v>
      </c>
      <c r="O976">
        <v>0.40692159999999999</v>
      </c>
      <c r="P976">
        <v>83.757575759999995</v>
      </c>
      <c r="Q976">
        <v>22.60997987</v>
      </c>
      <c r="R976">
        <v>0.72884000000000004</v>
      </c>
      <c r="S976">
        <v>0.21301339999999999</v>
      </c>
      <c r="T976" t="s">
        <v>1015</v>
      </c>
      <c r="U976">
        <v>30.179924239999998</v>
      </c>
    </row>
    <row r="977" spans="1:21" x14ac:dyDescent="0.25">
      <c r="A977" t="s">
        <v>18</v>
      </c>
      <c r="B977" t="s">
        <v>916</v>
      </c>
      <c r="C977">
        <v>15</v>
      </c>
      <c r="D977" t="s">
        <v>19</v>
      </c>
      <c r="E977" t="s">
        <v>95</v>
      </c>
      <c r="F977" t="s">
        <v>112</v>
      </c>
      <c r="G977" t="s">
        <v>113</v>
      </c>
      <c r="H977" t="s">
        <v>113</v>
      </c>
      <c r="J977">
        <v>0</v>
      </c>
      <c r="K977">
        <v>1</v>
      </c>
      <c r="L977">
        <v>65.09375</v>
      </c>
      <c r="M977">
        <v>37.895352600000002</v>
      </c>
      <c r="N977">
        <v>2.2882677779999998</v>
      </c>
      <c r="O977">
        <v>2.2111774</v>
      </c>
      <c r="P977">
        <v>83.757575759999995</v>
      </c>
      <c r="Q977">
        <v>22.60997987</v>
      </c>
      <c r="R977">
        <v>0.72884000000000004</v>
      </c>
      <c r="S977">
        <v>0.21301339999999999</v>
      </c>
      <c r="T977" t="s">
        <v>1015</v>
      </c>
      <c r="U977">
        <v>18.663825760000002</v>
      </c>
    </row>
    <row r="978" spans="1:21" x14ac:dyDescent="0.25">
      <c r="A978" t="s">
        <v>20</v>
      </c>
      <c r="B978" t="s">
        <v>917</v>
      </c>
      <c r="C978">
        <v>15</v>
      </c>
      <c r="D978" t="s">
        <v>21</v>
      </c>
      <c r="E978" t="s">
        <v>94</v>
      </c>
      <c r="F978" t="s">
        <v>102</v>
      </c>
      <c r="G978" t="s">
        <v>121</v>
      </c>
      <c r="H978" t="s">
        <v>246</v>
      </c>
      <c r="J978">
        <v>0</v>
      </c>
      <c r="K978">
        <v>1</v>
      </c>
      <c r="L978">
        <v>84.740740740000007</v>
      </c>
      <c r="M978">
        <v>29.167014049999999</v>
      </c>
      <c r="N978">
        <v>1.1169849999999999</v>
      </c>
      <c r="O978">
        <v>1.1571499000000001</v>
      </c>
      <c r="P978">
        <v>120.25</v>
      </c>
      <c r="Q978">
        <v>30.670450110000001</v>
      </c>
      <c r="R978">
        <v>0.91037498500000003</v>
      </c>
      <c r="S978" t="s">
        <v>114</v>
      </c>
      <c r="T978" t="s">
        <v>1015</v>
      </c>
      <c r="U978">
        <v>35.50925926</v>
      </c>
    </row>
    <row r="979" spans="1:21" x14ac:dyDescent="0.25">
      <c r="A979" t="s">
        <v>20</v>
      </c>
      <c r="B979" t="s">
        <v>918</v>
      </c>
      <c r="C979">
        <v>15</v>
      </c>
      <c r="D979" t="s">
        <v>21</v>
      </c>
      <c r="E979" t="s">
        <v>94</v>
      </c>
      <c r="F979" t="s">
        <v>113</v>
      </c>
      <c r="G979" t="s">
        <v>113</v>
      </c>
      <c r="H979" t="s">
        <v>113</v>
      </c>
      <c r="J979">
        <v>0</v>
      </c>
      <c r="K979">
        <v>1</v>
      </c>
      <c r="L979">
        <v>83.757575759999995</v>
      </c>
      <c r="M979">
        <v>22.60997987</v>
      </c>
      <c r="N979">
        <v>0.72884000000000004</v>
      </c>
      <c r="O979">
        <v>0.21301339999999999</v>
      </c>
      <c r="P979">
        <v>83.757575759999995</v>
      </c>
      <c r="Q979">
        <v>22.60997987</v>
      </c>
      <c r="R979">
        <v>0.72884000000000004</v>
      </c>
      <c r="S979">
        <v>0.21301339999999999</v>
      </c>
      <c r="T979" t="s">
        <v>1015</v>
      </c>
      <c r="U979">
        <v>0</v>
      </c>
    </row>
    <row r="980" spans="1:21" x14ac:dyDescent="0.25">
      <c r="A980" t="s">
        <v>20</v>
      </c>
      <c r="B980" t="s">
        <v>919</v>
      </c>
      <c r="C980">
        <v>15</v>
      </c>
      <c r="D980" t="s">
        <v>21</v>
      </c>
      <c r="E980" t="s">
        <v>94</v>
      </c>
      <c r="F980" t="s">
        <v>110</v>
      </c>
      <c r="G980" t="s">
        <v>121</v>
      </c>
      <c r="H980" t="s">
        <v>113</v>
      </c>
      <c r="J980">
        <v>0</v>
      </c>
      <c r="K980">
        <v>2</v>
      </c>
      <c r="L980">
        <v>73.260869569999997</v>
      </c>
      <c r="M980">
        <v>34.453830549999999</v>
      </c>
      <c r="N980">
        <v>1.058333333</v>
      </c>
      <c r="O980">
        <v>0.90897070000000002</v>
      </c>
      <c r="P980">
        <v>83.757575759999995</v>
      </c>
      <c r="Q980">
        <v>22.60997987</v>
      </c>
      <c r="R980">
        <v>0.72884000000000004</v>
      </c>
      <c r="S980">
        <v>0.21301339999999999</v>
      </c>
      <c r="T980" t="s">
        <v>1015</v>
      </c>
      <c r="U980">
        <v>10.496706189999999</v>
      </c>
    </row>
    <row r="981" spans="1:21" x14ac:dyDescent="0.25">
      <c r="A981" t="s">
        <v>20</v>
      </c>
      <c r="B981" t="s">
        <v>919</v>
      </c>
      <c r="C981">
        <v>15</v>
      </c>
      <c r="D981" t="s">
        <v>21</v>
      </c>
      <c r="E981" t="s">
        <v>94</v>
      </c>
      <c r="F981" t="s">
        <v>110</v>
      </c>
      <c r="G981" t="s">
        <v>121</v>
      </c>
      <c r="H981" t="s">
        <v>113</v>
      </c>
      <c r="J981">
        <v>0</v>
      </c>
      <c r="K981">
        <v>2</v>
      </c>
      <c r="L981">
        <v>73.260869569999997</v>
      </c>
      <c r="M981">
        <v>34.453830549999999</v>
      </c>
      <c r="N981">
        <v>1.058333333</v>
      </c>
      <c r="O981">
        <v>0.90897070000000002</v>
      </c>
      <c r="P981">
        <v>83.757575759999995</v>
      </c>
      <c r="Q981">
        <v>22.60997987</v>
      </c>
      <c r="R981">
        <v>0.72884000000000004</v>
      </c>
      <c r="S981">
        <v>0.21301339999999999</v>
      </c>
      <c r="T981" t="s">
        <v>1015</v>
      </c>
      <c r="U981">
        <v>10.496706189999999</v>
      </c>
    </row>
    <row r="982" spans="1:21" x14ac:dyDescent="0.25">
      <c r="A982" t="s">
        <v>20</v>
      </c>
      <c r="B982" t="s">
        <v>919</v>
      </c>
      <c r="C982">
        <v>16</v>
      </c>
      <c r="D982" t="s">
        <v>21</v>
      </c>
      <c r="E982" t="s">
        <v>94</v>
      </c>
      <c r="F982" t="s">
        <v>110</v>
      </c>
      <c r="G982" t="s">
        <v>121</v>
      </c>
      <c r="H982" t="s">
        <v>102</v>
      </c>
      <c r="J982">
        <v>0</v>
      </c>
      <c r="K982">
        <v>1</v>
      </c>
      <c r="L982">
        <v>73.260869569999997</v>
      </c>
      <c r="M982">
        <v>34.453830549999999</v>
      </c>
      <c r="N982">
        <v>1.058333333</v>
      </c>
      <c r="O982">
        <v>0.90897070000000002</v>
      </c>
      <c r="P982">
        <v>84.740740740000007</v>
      </c>
      <c r="Q982">
        <v>29.167014049999999</v>
      </c>
      <c r="R982">
        <v>1.1169849999999999</v>
      </c>
      <c r="S982">
        <v>1.1571499000000001</v>
      </c>
      <c r="T982" t="s">
        <v>1015</v>
      </c>
      <c r="U982">
        <v>11.479871169999999</v>
      </c>
    </row>
    <row r="983" spans="1:21" x14ac:dyDescent="0.25">
      <c r="A983" t="s">
        <v>20</v>
      </c>
      <c r="B983" t="s">
        <v>920</v>
      </c>
      <c r="C983">
        <v>15</v>
      </c>
      <c r="D983" t="s">
        <v>21</v>
      </c>
      <c r="E983" t="s">
        <v>94</v>
      </c>
      <c r="F983" t="s">
        <v>111</v>
      </c>
      <c r="G983" t="s">
        <v>121</v>
      </c>
      <c r="H983" t="s">
        <v>110</v>
      </c>
      <c r="J983">
        <v>0</v>
      </c>
      <c r="K983">
        <v>1</v>
      </c>
      <c r="L983">
        <v>94.97142857</v>
      </c>
      <c r="M983">
        <v>24.31591813</v>
      </c>
      <c r="N983">
        <v>0.122951111</v>
      </c>
      <c r="O983">
        <v>0.39050790000000002</v>
      </c>
      <c r="P983">
        <v>73.260869569999997</v>
      </c>
      <c r="Q983">
        <v>34.453830549999999</v>
      </c>
      <c r="R983">
        <v>1.058333333</v>
      </c>
      <c r="S983">
        <v>0.90897070000000002</v>
      </c>
      <c r="T983" t="s">
        <v>1015</v>
      </c>
      <c r="U983">
        <v>21.710559</v>
      </c>
    </row>
    <row r="984" spans="1:21" x14ac:dyDescent="0.25">
      <c r="A984" t="s">
        <v>22</v>
      </c>
      <c r="B984" t="s">
        <v>921</v>
      </c>
      <c r="C984">
        <v>15</v>
      </c>
      <c r="D984" t="s">
        <v>23</v>
      </c>
      <c r="E984" t="s">
        <v>95</v>
      </c>
      <c r="F984" t="s">
        <v>102</v>
      </c>
      <c r="G984" t="s">
        <v>121</v>
      </c>
      <c r="H984" t="s">
        <v>236</v>
      </c>
      <c r="J984">
        <v>0</v>
      </c>
      <c r="K984">
        <v>1</v>
      </c>
      <c r="L984">
        <v>84.740740740000007</v>
      </c>
      <c r="M984">
        <v>29.167014049999999</v>
      </c>
      <c r="N984">
        <v>1.1169849999999999</v>
      </c>
      <c r="O984">
        <v>1.1571499000000001</v>
      </c>
      <c r="P984">
        <v>113.33333330000001</v>
      </c>
      <c r="Q984">
        <v>26.41632581</v>
      </c>
      <c r="R984">
        <v>1.6844570160000001</v>
      </c>
      <c r="S984">
        <v>8.9285710000000004E-2</v>
      </c>
      <c r="T984" t="s">
        <v>1015</v>
      </c>
      <c r="U984">
        <v>28.59259256</v>
      </c>
    </row>
    <row r="985" spans="1:21" x14ac:dyDescent="0.25">
      <c r="A985" t="s">
        <v>22</v>
      </c>
      <c r="B985" t="s">
        <v>922</v>
      </c>
      <c r="C985">
        <v>15</v>
      </c>
      <c r="D985" t="s">
        <v>23</v>
      </c>
      <c r="E985" t="s">
        <v>95</v>
      </c>
      <c r="F985" t="s">
        <v>105</v>
      </c>
      <c r="G985" t="s">
        <v>121</v>
      </c>
      <c r="H985" t="s">
        <v>113</v>
      </c>
      <c r="J985">
        <v>0</v>
      </c>
      <c r="K985">
        <v>4</v>
      </c>
      <c r="L985">
        <v>67.5</v>
      </c>
      <c r="M985">
        <v>47.937235809999997</v>
      </c>
      <c r="N985">
        <v>0.41599678000000001</v>
      </c>
      <c r="O985">
        <v>2.0950346999999998</v>
      </c>
      <c r="P985">
        <v>83.757575759999995</v>
      </c>
      <c r="Q985">
        <v>22.60997987</v>
      </c>
      <c r="R985">
        <v>0.72884000000000004</v>
      </c>
      <c r="S985">
        <v>0.21301339999999999</v>
      </c>
      <c r="T985" t="s">
        <v>1015</v>
      </c>
      <c r="U985">
        <v>16.257575760000002</v>
      </c>
    </row>
    <row r="986" spans="1:21" x14ac:dyDescent="0.25">
      <c r="A986" t="s">
        <v>22</v>
      </c>
      <c r="B986" t="s">
        <v>922</v>
      </c>
      <c r="C986">
        <v>15</v>
      </c>
      <c r="D986" t="s">
        <v>23</v>
      </c>
      <c r="E986" t="s">
        <v>95</v>
      </c>
      <c r="F986" t="s">
        <v>105</v>
      </c>
      <c r="G986" t="s">
        <v>121</v>
      </c>
      <c r="H986" t="s">
        <v>113</v>
      </c>
      <c r="J986">
        <v>0</v>
      </c>
      <c r="K986">
        <v>4</v>
      </c>
      <c r="L986">
        <v>67.5</v>
      </c>
      <c r="M986">
        <v>47.937235809999997</v>
      </c>
      <c r="N986">
        <v>0.41599678000000001</v>
      </c>
      <c r="O986">
        <v>2.0950346999999998</v>
      </c>
      <c r="P986">
        <v>83.757575759999995</v>
      </c>
      <c r="Q986">
        <v>22.60997987</v>
      </c>
      <c r="R986">
        <v>0.72884000000000004</v>
      </c>
      <c r="S986">
        <v>0.21301339999999999</v>
      </c>
      <c r="T986" t="s">
        <v>1015</v>
      </c>
      <c r="U986">
        <v>16.257575760000002</v>
      </c>
    </row>
    <row r="987" spans="1:21" x14ac:dyDescent="0.25">
      <c r="A987" t="s">
        <v>22</v>
      </c>
      <c r="B987" t="s">
        <v>922</v>
      </c>
      <c r="C987">
        <v>15</v>
      </c>
      <c r="D987" t="s">
        <v>23</v>
      </c>
      <c r="E987" t="s">
        <v>95</v>
      </c>
      <c r="F987" t="s">
        <v>105</v>
      </c>
      <c r="G987" t="s">
        <v>121</v>
      </c>
      <c r="H987" t="s">
        <v>113</v>
      </c>
      <c r="J987">
        <v>0</v>
      </c>
      <c r="K987">
        <v>4</v>
      </c>
      <c r="L987">
        <v>67.5</v>
      </c>
      <c r="M987">
        <v>47.937235809999997</v>
      </c>
      <c r="N987">
        <v>0.41599678000000001</v>
      </c>
      <c r="O987">
        <v>2.0950346999999998</v>
      </c>
      <c r="P987">
        <v>83.757575759999995</v>
      </c>
      <c r="Q987">
        <v>22.60997987</v>
      </c>
      <c r="R987">
        <v>0.72884000000000004</v>
      </c>
      <c r="S987">
        <v>0.21301339999999999</v>
      </c>
      <c r="T987" t="s">
        <v>1015</v>
      </c>
      <c r="U987">
        <v>16.257575760000002</v>
      </c>
    </row>
    <row r="988" spans="1:21" x14ac:dyDescent="0.25">
      <c r="A988" t="s">
        <v>22</v>
      </c>
      <c r="B988" t="s">
        <v>922</v>
      </c>
      <c r="C988">
        <v>15</v>
      </c>
      <c r="D988" t="s">
        <v>23</v>
      </c>
      <c r="E988" t="s">
        <v>95</v>
      </c>
      <c r="F988" t="s">
        <v>105</v>
      </c>
      <c r="G988" t="s">
        <v>121</v>
      </c>
      <c r="H988" t="s">
        <v>113</v>
      </c>
      <c r="J988">
        <v>0</v>
      </c>
      <c r="K988">
        <v>4</v>
      </c>
      <c r="L988">
        <v>67.5</v>
      </c>
      <c r="M988">
        <v>47.937235809999997</v>
      </c>
      <c r="N988">
        <v>0.41599678000000001</v>
      </c>
      <c r="O988">
        <v>2.0950346999999998</v>
      </c>
      <c r="P988">
        <v>83.757575759999995</v>
      </c>
      <c r="Q988">
        <v>22.60997987</v>
      </c>
      <c r="R988">
        <v>0.72884000000000004</v>
      </c>
      <c r="S988">
        <v>0.21301339999999999</v>
      </c>
      <c r="T988" t="s">
        <v>1015</v>
      </c>
      <c r="U988">
        <v>16.257575760000002</v>
      </c>
    </row>
    <row r="989" spans="1:21" x14ac:dyDescent="0.25">
      <c r="A989" t="s">
        <v>22</v>
      </c>
      <c r="B989" t="s">
        <v>922</v>
      </c>
      <c r="C989">
        <v>16</v>
      </c>
      <c r="D989" t="s">
        <v>23</v>
      </c>
      <c r="E989" t="s">
        <v>95</v>
      </c>
      <c r="F989" t="s">
        <v>105</v>
      </c>
      <c r="G989" t="s">
        <v>121</v>
      </c>
      <c r="H989" t="s">
        <v>103</v>
      </c>
      <c r="J989">
        <v>0</v>
      </c>
      <c r="K989">
        <v>1</v>
      </c>
      <c r="L989">
        <v>67.5</v>
      </c>
      <c r="M989">
        <v>47.937235809999997</v>
      </c>
      <c r="N989">
        <v>0.41599678000000001</v>
      </c>
      <c r="O989">
        <v>2.0950346999999998</v>
      </c>
      <c r="P989">
        <v>98.291666669999998</v>
      </c>
      <c r="Q989">
        <v>30.315130790000001</v>
      </c>
      <c r="R989">
        <v>5.0803484000000003E-2</v>
      </c>
      <c r="S989">
        <v>0.42866070000000001</v>
      </c>
      <c r="T989" t="s">
        <v>1015</v>
      </c>
      <c r="U989">
        <v>30.791666670000001</v>
      </c>
    </row>
    <row r="990" spans="1:21" x14ac:dyDescent="0.25">
      <c r="A990" t="s">
        <v>22</v>
      </c>
      <c r="B990" t="s">
        <v>922</v>
      </c>
      <c r="C990">
        <v>17</v>
      </c>
      <c r="D990" t="s">
        <v>23</v>
      </c>
      <c r="E990" t="s">
        <v>95</v>
      </c>
      <c r="F990" t="s">
        <v>105</v>
      </c>
      <c r="G990" t="s">
        <v>121</v>
      </c>
      <c r="H990" t="s">
        <v>234</v>
      </c>
      <c r="J990">
        <v>0</v>
      </c>
      <c r="K990">
        <v>1</v>
      </c>
      <c r="L990">
        <v>67.5</v>
      </c>
      <c r="M990">
        <v>47.937235809999997</v>
      </c>
      <c r="N990">
        <v>0.41599678000000001</v>
      </c>
      <c r="O990">
        <v>2.0950346999999998</v>
      </c>
      <c r="P990">
        <v>89.8125</v>
      </c>
      <c r="Q990">
        <v>34.754706650000003</v>
      </c>
      <c r="R990">
        <v>2.3065078999999999E-2</v>
      </c>
      <c r="S990">
        <v>2.4791666700000001</v>
      </c>
      <c r="T990" t="s">
        <v>1015</v>
      </c>
      <c r="U990">
        <v>22.3125</v>
      </c>
    </row>
    <row r="991" spans="1:21" x14ac:dyDescent="0.25">
      <c r="A991" t="s">
        <v>22</v>
      </c>
      <c r="B991" t="s">
        <v>923</v>
      </c>
      <c r="C991">
        <v>15</v>
      </c>
      <c r="D991" t="s">
        <v>23</v>
      </c>
      <c r="E991" t="s">
        <v>95</v>
      </c>
      <c r="F991" t="s">
        <v>103</v>
      </c>
      <c r="G991" t="s">
        <v>103</v>
      </c>
      <c r="H991" t="s">
        <v>103</v>
      </c>
      <c r="J991">
        <v>0</v>
      </c>
      <c r="K991">
        <v>6</v>
      </c>
      <c r="L991">
        <v>98.291666669999998</v>
      </c>
      <c r="M991">
        <v>30.315130790000001</v>
      </c>
      <c r="N991">
        <v>5.0803484000000003E-2</v>
      </c>
      <c r="O991">
        <v>0.42866070000000001</v>
      </c>
      <c r="P991">
        <v>98.291666669999998</v>
      </c>
      <c r="Q991">
        <v>30.315130790000001</v>
      </c>
      <c r="R991">
        <v>5.0803484000000003E-2</v>
      </c>
      <c r="S991">
        <v>0.42866070000000001</v>
      </c>
      <c r="T991" t="s">
        <v>1015</v>
      </c>
      <c r="U991">
        <v>0</v>
      </c>
    </row>
    <row r="992" spans="1:21" x14ac:dyDescent="0.25">
      <c r="A992" t="s">
        <v>22</v>
      </c>
      <c r="B992" t="s">
        <v>923</v>
      </c>
      <c r="C992">
        <v>15</v>
      </c>
      <c r="D992" t="s">
        <v>23</v>
      </c>
      <c r="E992" t="s">
        <v>95</v>
      </c>
      <c r="F992" t="s">
        <v>103</v>
      </c>
      <c r="G992" t="s">
        <v>103</v>
      </c>
      <c r="H992" t="s">
        <v>103</v>
      </c>
      <c r="J992">
        <v>0</v>
      </c>
      <c r="K992">
        <v>6</v>
      </c>
      <c r="L992">
        <v>98.291666669999998</v>
      </c>
      <c r="M992">
        <v>30.315130790000001</v>
      </c>
      <c r="N992">
        <v>5.0803484000000003E-2</v>
      </c>
      <c r="O992">
        <v>0.42866070000000001</v>
      </c>
      <c r="P992">
        <v>98.291666669999998</v>
      </c>
      <c r="Q992">
        <v>30.315130790000001</v>
      </c>
      <c r="R992">
        <v>5.0803484000000003E-2</v>
      </c>
      <c r="S992">
        <v>0.42866070000000001</v>
      </c>
      <c r="T992" t="s">
        <v>1015</v>
      </c>
      <c r="U992">
        <v>0</v>
      </c>
    </row>
    <row r="993" spans="1:21" x14ac:dyDescent="0.25">
      <c r="A993" t="s">
        <v>22</v>
      </c>
      <c r="B993" t="s">
        <v>923</v>
      </c>
      <c r="C993">
        <v>15</v>
      </c>
      <c r="D993" t="s">
        <v>23</v>
      </c>
      <c r="E993" t="s">
        <v>95</v>
      </c>
      <c r="F993" t="s">
        <v>103</v>
      </c>
      <c r="G993" t="s">
        <v>103</v>
      </c>
      <c r="H993" t="s">
        <v>103</v>
      </c>
      <c r="J993">
        <v>0</v>
      </c>
      <c r="K993">
        <v>6</v>
      </c>
      <c r="L993">
        <v>98.291666669999998</v>
      </c>
      <c r="M993">
        <v>30.315130790000001</v>
      </c>
      <c r="N993">
        <v>5.0803484000000003E-2</v>
      </c>
      <c r="O993">
        <v>0.42866070000000001</v>
      </c>
      <c r="P993">
        <v>98.291666669999998</v>
      </c>
      <c r="Q993">
        <v>30.315130790000001</v>
      </c>
      <c r="R993">
        <v>5.0803484000000003E-2</v>
      </c>
      <c r="S993">
        <v>0.42866070000000001</v>
      </c>
      <c r="T993" t="s">
        <v>1015</v>
      </c>
      <c r="U993">
        <v>0</v>
      </c>
    </row>
    <row r="994" spans="1:21" x14ac:dyDescent="0.25">
      <c r="A994" t="s">
        <v>22</v>
      </c>
      <c r="B994" t="s">
        <v>923</v>
      </c>
      <c r="C994">
        <v>15</v>
      </c>
      <c r="D994" t="s">
        <v>23</v>
      </c>
      <c r="E994" t="s">
        <v>95</v>
      </c>
      <c r="F994" t="s">
        <v>103</v>
      </c>
      <c r="G994" t="s">
        <v>103</v>
      </c>
      <c r="H994" t="s">
        <v>103</v>
      </c>
      <c r="J994">
        <v>0</v>
      </c>
      <c r="K994">
        <v>6</v>
      </c>
      <c r="L994">
        <v>98.291666669999998</v>
      </c>
      <c r="M994">
        <v>30.315130790000001</v>
      </c>
      <c r="N994">
        <v>5.0803484000000003E-2</v>
      </c>
      <c r="O994">
        <v>0.42866070000000001</v>
      </c>
      <c r="P994">
        <v>98.291666669999998</v>
      </c>
      <c r="Q994">
        <v>30.315130790000001</v>
      </c>
      <c r="R994">
        <v>5.0803484000000003E-2</v>
      </c>
      <c r="S994">
        <v>0.42866070000000001</v>
      </c>
      <c r="T994" t="s">
        <v>1015</v>
      </c>
      <c r="U994">
        <v>0</v>
      </c>
    </row>
    <row r="995" spans="1:21" x14ac:dyDescent="0.25">
      <c r="A995" t="s">
        <v>22</v>
      </c>
      <c r="B995" t="s">
        <v>923</v>
      </c>
      <c r="C995">
        <v>15</v>
      </c>
      <c r="D995" t="s">
        <v>23</v>
      </c>
      <c r="E995" t="s">
        <v>95</v>
      </c>
      <c r="F995" t="s">
        <v>103</v>
      </c>
      <c r="G995" t="s">
        <v>103</v>
      </c>
      <c r="H995" t="s">
        <v>103</v>
      </c>
      <c r="J995">
        <v>0</v>
      </c>
      <c r="K995">
        <v>6</v>
      </c>
      <c r="L995">
        <v>98.291666669999998</v>
      </c>
      <c r="M995">
        <v>30.315130790000001</v>
      </c>
      <c r="N995">
        <v>5.0803484000000003E-2</v>
      </c>
      <c r="O995">
        <v>0.42866070000000001</v>
      </c>
      <c r="P995">
        <v>98.291666669999998</v>
      </c>
      <c r="Q995">
        <v>30.315130790000001</v>
      </c>
      <c r="R995">
        <v>5.0803484000000003E-2</v>
      </c>
      <c r="S995">
        <v>0.42866070000000001</v>
      </c>
      <c r="T995" t="s">
        <v>1015</v>
      </c>
      <c r="U995">
        <v>0</v>
      </c>
    </row>
    <row r="996" spans="1:21" x14ac:dyDescent="0.25">
      <c r="A996" t="s">
        <v>22</v>
      </c>
      <c r="B996" t="s">
        <v>923</v>
      </c>
      <c r="C996">
        <v>15</v>
      </c>
      <c r="D996" t="s">
        <v>23</v>
      </c>
      <c r="E996" t="s">
        <v>95</v>
      </c>
      <c r="F996" t="s">
        <v>103</v>
      </c>
      <c r="G996" t="s">
        <v>103</v>
      </c>
      <c r="H996" t="s">
        <v>103</v>
      </c>
      <c r="J996">
        <v>0</v>
      </c>
      <c r="K996">
        <v>6</v>
      </c>
      <c r="L996">
        <v>98.291666669999998</v>
      </c>
      <c r="M996">
        <v>30.315130790000001</v>
      </c>
      <c r="N996">
        <v>5.0803484000000003E-2</v>
      </c>
      <c r="O996">
        <v>0.42866070000000001</v>
      </c>
      <c r="P996">
        <v>98.291666669999998</v>
      </c>
      <c r="Q996">
        <v>30.315130790000001</v>
      </c>
      <c r="R996">
        <v>5.0803484000000003E-2</v>
      </c>
      <c r="S996">
        <v>0.42866070000000001</v>
      </c>
      <c r="T996" t="s">
        <v>1015</v>
      </c>
      <c r="U996">
        <v>0</v>
      </c>
    </row>
    <row r="997" spans="1:21" x14ac:dyDescent="0.25">
      <c r="A997" t="s">
        <v>22</v>
      </c>
      <c r="B997" t="s">
        <v>923</v>
      </c>
      <c r="C997">
        <v>16</v>
      </c>
      <c r="D997" t="s">
        <v>23</v>
      </c>
      <c r="E997" t="s">
        <v>95</v>
      </c>
      <c r="F997" t="s">
        <v>103</v>
      </c>
      <c r="G997" t="s">
        <v>103</v>
      </c>
      <c r="H997" t="s">
        <v>248</v>
      </c>
      <c r="J997">
        <v>0</v>
      </c>
      <c r="K997">
        <v>4</v>
      </c>
      <c r="L997">
        <v>98.291666669999998</v>
      </c>
      <c r="M997">
        <v>30.315130790000001</v>
      </c>
      <c r="N997">
        <v>5.0803484000000003E-2</v>
      </c>
      <c r="O997">
        <v>0.42866070000000001</v>
      </c>
      <c r="P997">
        <v>83.92307692</v>
      </c>
      <c r="Q997">
        <v>44.319135699999997</v>
      </c>
      <c r="R997">
        <v>5.9548609999999997E-3</v>
      </c>
      <c r="S997">
        <v>0.18017928</v>
      </c>
      <c r="T997" t="s">
        <v>1015</v>
      </c>
      <c r="U997">
        <v>14.36858975</v>
      </c>
    </row>
    <row r="998" spans="1:21" x14ac:dyDescent="0.25">
      <c r="A998" t="s">
        <v>22</v>
      </c>
      <c r="B998" t="s">
        <v>923</v>
      </c>
      <c r="C998">
        <v>16</v>
      </c>
      <c r="D998" t="s">
        <v>23</v>
      </c>
      <c r="E998" t="s">
        <v>95</v>
      </c>
      <c r="F998" t="s">
        <v>103</v>
      </c>
      <c r="G998" t="s">
        <v>103</v>
      </c>
      <c r="H998" t="s">
        <v>248</v>
      </c>
      <c r="J998">
        <v>0</v>
      </c>
      <c r="K998">
        <v>4</v>
      </c>
      <c r="L998">
        <v>98.291666669999998</v>
      </c>
      <c r="M998">
        <v>30.315130790000001</v>
      </c>
      <c r="N998">
        <v>5.0803484000000003E-2</v>
      </c>
      <c r="O998">
        <v>0.42866070000000001</v>
      </c>
      <c r="P998">
        <v>83.92307692</v>
      </c>
      <c r="Q998">
        <v>44.319135699999997</v>
      </c>
      <c r="R998">
        <v>5.9548609999999997E-3</v>
      </c>
      <c r="S998">
        <v>0.18017928</v>
      </c>
      <c r="T998" t="s">
        <v>1015</v>
      </c>
      <c r="U998">
        <v>14.36858975</v>
      </c>
    </row>
    <row r="999" spans="1:21" x14ac:dyDescent="0.25">
      <c r="A999" t="s">
        <v>22</v>
      </c>
      <c r="B999" t="s">
        <v>923</v>
      </c>
      <c r="C999">
        <v>16</v>
      </c>
      <c r="D999" t="s">
        <v>23</v>
      </c>
      <c r="E999" t="s">
        <v>95</v>
      </c>
      <c r="F999" t="s">
        <v>103</v>
      </c>
      <c r="G999" t="s">
        <v>103</v>
      </c>
      <c r="H999" t="s">
        <v>248</v>
      </c>
      <c r="J999">
        <v>0</v>
      </c>
      <c r="K999">
        <v>4</v>
      </c>
      <c r="L999">
        <v>98.291666669999998</v>
      </c>
      <c r="M999">
        <v>30.315130790000001</v>
      </c>
      <c r="N999">
        <v>5.0803484000000003E-2</v>
      </c>
      <c r="O999">
        <v>0.42866070000000001</v>
      </c>
      <c r="P999">
        <v>83.92307692</v>
      </c>
      <c r="Q999">
        <v>44.319135699999997</v>
      </c>
      <c r="R999">
        <v>5.9548609999999997E-3</v>
      </c>
      <c r="S999">
        <v>0.18017928</v>
      </c>
      <c r="T999" t="s">
        <v>1015</v>
      </c>
      <c r="U999">
        <v>14.36858975</v>
      </c>
    </row>
    <row r="1000" spans="1:21" x14ac:dyDescent="0.25">
      <c r="A1000" t="s">
        <v>22</v>
      </c>
      <c r="B1000" t="s">
        <v>923</v>
      </c>
      <c r="C1000">
        <v>16</v>
      </c>
      <c r="D1000" t="s">
        <v>23</v>
      </c>
      <c r="E1000" t="s">
        <v>95</v>
      </c>
      <c r="F1000" t="s">
        <v>103</v>
      </c>
      <c r="G1000" t="s">
        <v>103</v>
      </c>
      <c r="H1000" t="s">
        <v>248</v>
      </c>
      <c r="J1000">
        <v>0</v>
      </c>
      <c r="K1000">
        <v>4</v>
      </c>
      <c r="L1000">
        <v>98.291666669999998</v>
      </c>
      <c r="M1000">
        <v>30.315130790000001</v>
      </c>
      <c r="N1000">
        <v>5.0803484000000003E-2</v>
      </c>
      <c r="O1000">
        <v>0.42866070000000001</v>
      </c>
      <c r="P1000">
        <v>83.92307692</v>
      </c>
      <c r="Q1000">
        <v>44.319135699999997</v>
      </c>
      <c r="R1000">
        <v>5.9548609999999997E-3</v>
      </c>
      <c r="S1000">
        <v>0.18017928</v>
      </c>
      <c r="T1000" t="s">
        <v>1015</v>
      </c>
      <c r="U1000">
        <v>14.36858975</v>
      </c>
    </row>
    <row r="1001" spans="1:21" x14ac:dyDescent="0.25">
      <c r="A1001" t="s">
        <v>22</v>
      </c>
      <c r="B1001" t="s">
        <v>924</v>
      </c>
      <c r="C1001">
        <v>15</v>
      </c>
      <c r="D1001" t="s">
        <v>23</v>
      </c>
      <c r="E1001" t="s">
        <v>95</v>
      </c>
      <c r="F1001" t="s">
        <v>111</v>
      </c>
      <c r="G1001" t="s">
        <v>121</v>
      </c>
      <c r="H1001" t="s">
        <v>112</v>
      </c>
      <c r="J1001">
        <v>1</v>
      </c>
      <c r="K1001">
        <v>1</v>
      </c>
      <c r="L1001">
        <v>94.97142857</v>
      </c>
      <c r="M1001">
        <v>24.31591813</v>
      </c>
      <c r="N1001">
        <v>0.122951111</v>
      </c>
      <c r="O1001">
        <v>0.39050790000000002</v>
      </c>
      <c r="P1001">
        <v>65.09375</v>
      </c>
      <c r="Q1001">
        <v>37.895352600000002</v>
      </c>
      <c r="R1001">
        <v>2.2882677779999998</v>
      </c>
      <c r="S1001">
        <v>2.2111774</v>
      </c>
      <c r="T1001" t="s">
        <v>1015</v>
      </c>
      <c r="U1001">
        <v>29.87767857</v>
      </c>
    </row>
    <row r="1002" spans="1:21" x14ac:dyDescent="0.25">
      <c r="A1002" t="s">
        <v>22</v>
      </c>
      <c r="B1002" t="s">
        <v>924</v>
      </c>
      <c r="C1002">
        <v>16</v>
      </c>
      <c r="D1002" t="s">
        <v>23</v>
      </c>
      <c r="E1002" t="s">
        <v>95</v>
      </c>
      <c r="F1002" t="s">
        <v>111</v>
      </c>
      <c r="G1002" t="s">
        <v>121</v>
      </c>
      <c r="H1002" t="s">
        <v>239</v>
      </c>
      <c r="J1002">
        <v>1</v>
      </c>
      <c r="K1002">
        <v>1</v>
      </c>
      <c r="L1002">
        <v>94.97142857</v>
      </c>
      <c r="M1002">
        <v>24.31591813</v>
      </c>
      <c r="N1002">
        <v>0.122951111</v>
      </c>
      <c r="O1002">
        <v>0.39050790000000002</v>
      </c>
      <c r="P1002">
        <v>100.45454549999999</v>
      </c>
      <c r="Q1002">
        <v>26.754810689999999</v>
      </c>
      <c r="R1002">
        <v>0.75829999999999997</v>
      </c>
      <c r="S1002">
        <v>0.40907861000000001</v>
      </c>
      <c r="T1002" t="s">
        <v>1015</v>
      </c>
      <c r="U1002">
        <v>5.4831169299999996</v>
      </c>
    </row>
    <row r="1003" spans="1:21" x14ac:dyDescent="0.25">
      <c r="A1003" t="s">
        <v>22</v>
      </c>
      <c r="B1003" t="s">
        <v>924</v>
      </c>
      <c r="C1003">
        <v>17</v>
      </c>
      <c r="D1003" t="s">
        <v>23</v>
      </c>
      <c r="E1003" t="s">
        <v>95</v>
      </c>
      <c r="F1003" t="s">
        <v>111</v>
      </c>
      <c r="G1003" t="s">
        <v>121</v>
      </c>
      <c r="H1003" t="s">
        <v>248</v>
      </c>
      <c r="J1003">
        <v>1</v>
      </c>
      <c r="K1003">
        <v>5</v>
      </c>
      <c r="L1003">
        <v>94.97142857</v>
      </c>
      <c r="M1003">
        <v>24.31591813</v>
      </c>
      <c r="N1003">
        <v>0.122951111</v>
      </c>
      <c r="O1003">
        <v>0.39050790000000002</v>
      </c>
      <c r="P1003">
        <v>83.92307692</v>
      </c>
      <c r="Q1003">
        <v>44.319135699999997</v>
      </c>
      <c r="R1003">
        <v>5.9548609999999997E-3</v>
      </c>
      <c r="S1003">
        <v>0.18017928</v>
      </c>
      <c r="T1003" t="s">
        <v>1015</v>
      </c>
      <c r="U1003">
        <v>11.048351650000001</v>
      </c>
    </row>
    <row r="1004" spans="1:21" x14ac:dyDescent="0.25">
      <c r="A1004" t="s">
        <v>22</v>
      </c>
      <c r="B1004" t="s">
        <v>924</v>
      </c>
      <c r="C1004">
        <v>17</v>
      </c>
      <c r="D1004" t="s">
        <v>23</v>
      </c>
      <c r="E1004" t="s">
        <v>95</v>
      </c>
      <c r="F1004" t="s">
        <v>111</v>
      </c>
      <c r="G1004" t="s">
        <v>121</v>
      </c>
      <c r="H1004" t="s">
        <v>248</v>
      </c>
      <c r="J1004">
        <v>1</v>
      </c>
      <c r="K1004">
        <v>5</v>
      </c>
      <c r="L1004">
        <v>94.97142857</v>
      </c>
      <c r="M1004">
        <v>24.31591813</v>
      </c>
      <c r="N1004">
        <v>0.122951111</v>
      </c>
      <c r="O1004">
        <v>0.39050790000000002</v>
      </c>
      <c r="P1004">
        <v>83.92307692</v>
      </c>
      <c r="Q1004">
        <v>44.319135699999997</v>
      </c>
      <c r="R1004">
        <v>5.9548609999999997E-3</v>
      </c>
      <c r="S1004">
        <v>0.18017928</v>
      </c>
      <c r="T1004" t="s">
        <v>1015</v>
      </c>
      <c r="U1004">
        <v>11.048351650000001</v>
      </c>
    </row>
    <row r="1005" spans="1:21" x14ac:dyDescent="0.25">
      <c r="A1005" t="s">
        <v>22</v>
      </c>
      <c r="B1005" t="s">
        <v>924</v>
      </c>
      <c r="C1005">
        <v>17</v>
      </c>
      <c r="D1005" t="s">
        <v>23</v>
      </c>
      <c r="E1005" t="s">
        <v>95</v>
      </c>
      <c r="F1005" t="s">
        <v>111</v>
      </c>
      <c r="G1005" t="s">
        <v>121</v>
      </c>
      <c r="H1005" t="s">
        <v>248</v>
      </c>
      <c r="J1005">
        <v>1</v>
      </c>
      <c r="K1005">
        <v>5</v>
      </c>
      <c r="L1005">
        <v>94.97142857</v>
      </c>
      <c r="M1005">
        <v>24.31591813</v>
      </c>
      <c r="N1005">
        <v>0.122951111</v>
      </c>
      <c r="O1005">
        <v>0.39050790000000002</v>
      </c>
      <c r="P1005">
        <v>83.92307692</v>
      </c>
      <c r="Q1005">
        <v>44.319135699999997</v>
      </c>
      <c r="R1005">
        <v>5.9548609999999997E-3</v>
      </c>
      <c r="S1005">
        <v>0.18017928</v>
      </c>
      <c r="T1005" t="s">
        <v>1015</v>
      </c>
      <c r="U1005">
        <v>11.048351650000001</v>
      </c>
    </row>
    <row r="1006" spans="1:21" x14ac:dyDescent="0.25">
      <c r="A1006" t="s">
        <v>22</v>
      </c>
      <c r="B1006" t="s">
        <v>924</v>
      </c>
      <c r="C1006">
        <v>17</v>
      </c>
      <c r="D1006" t="s">
        <v>23</v>
      </c>
      <c r="E1006" t="s">
        <v>95</v>
      </c>
      <c r="F1006" t="s">
        <v>111</v>
      </c>
      <c r="G1006" t="s">
        <v>121</v>
      </c>
      <c r="H1006" t="s">
        <v>248</v>
      </c>
      <c r="J1006">
        <v>1</v>
      </c>
      <c r="K1006">
        <v>5</v>
      </c>
      <c r="L1006">
        <v>94.97142857</v>
      </c>
      <c r="M1006">
        <v>24.31591813</v>
      </c>
      <c r="N1006">
        <v>0.122951111</v>
      </c>
      <c r="O1006">
        <v>0.39050790000000002</v>
      </c>
      <c r="P1006">
        <v>83.92307692</v>
      </c>
      <c r="Q1006">
        <v>44.319135699999997</v>
      </c>
      <c r="R1006">
        <v>5.9548609999999997E-3</v>
      </c>
      <c r="S1006">
        <v>0.18017928</v>
      </c>
      <c r="T1006" t="s">
        <v>1015</v>
      </c>
      <c r="U1006">
        <v>11.048351650000001</v>
      </c>
    </row>
    <row r="1007" spans="1:21" x14ac:dyDescent="0.25">
      <c r="A1007" t="s">
        <v>22</v>
      </c>
      <c r="B1007" t="s">
        <v>924</v>
      </c>
      <c r="C1007">
        <v>17</v>
      </c>
      <c r="D1007" t="s">
        <v>23</v>
      </c>
      <c r="E1007" t="s">
        <v>95</v>
      </c>
      <c r="F1007" t="s">
        <v>111</v>
      </c>
      <c r="G1007" t="s">
        <v>121</v>
      </c>
      <c r="H1007" t="s">
        <v>248</v>
      </c>
      <c r="J1007">
        <v>1</v>
      </c>
      <c r="K1007">
        <v>5</v>
      </c>
      <c r="L1007">
        <v>94.97142857</v>
      </c>
      <c r="M1007">
        <v>24.31591813</v>
      </c>
      <c r="N1007">
        <v>0.122951111</v>
      </c>
      <c r="O1007">
        <v>0.39050790000000002</v>
      </c>
      <c r="P1007">
        <v>83.92307692</v>
      </c>
      <c r="Q1007">
        <v>44.319135699999997</v>
      </c>
      <c r="R1007">
        <v>5.9548609999999997E-3</v>
      </c>
      <c r="S1007">
        <v>0.18017928</v>
      </c>
      <c r="T1007" t="s">
        <v>1015</v>
      </c>
      <c r="U1007">
        <v>11.048351650000001</v>
      </c>
    </row>
    <row r="1008" spans="1:21" x14ac:dyDescent="0.25">
      <c r="A1008" t="s">
        <v>22</v>
      </c>
      <c r="B1008" t="s">
        <v>925</v>
      </c>
      <c r="C1008">
        <v>15</v>
      </c>
      <c r="D1008" t="s">
        <v>23</v>
      </c>
      <c r="E1008" t="s">
        <v>95</v>
      </c>
      <c r="F1008" t="s">
        <v>112</v>
      </c>
      <c r="G1008" t="s">
        <v>103</v>
      </c>
      <c r="H1008" t="s">
        <v>103</v>
      </c>
      <c r="J1008">
        <v>0</v>
      </c>
      <c r="K1008">
        <v>3</v>
      </c>
      <c r="L1008">
        <v>65.09375</v>
      </c>
      <c r="M1008">
        <v>37.895352600000002</v>
      </c>
      <c r="N1008">
        <v>2.2882677779999998</v>
      </c>
      <c r="O1008">
        <v>2.2111774</v>
      </c>
      <c r="P1008">
        <v>98.291666669999998</v>
      </c>
      <c r="Q1008">
        <v>30.315130790000001</v>
      </c>
      <c r="R1008">
        <v>5.0803484000000003E-2</v>
      </c>
      <c r="S1008">
        <v>0.42866070000000001</v>
      </c>
      <c r="T1008" t="s">
        <v>1015</v>
      </c>
      <c r="U1008">
        <v>33.197916669999998</v>
      </c>
    </row>
    <row r="1009" spans="1:21" x14ac:dyDescent="0.25">
      <c r="A1009" t="s">
        <v>22</v>
      </c>
      <c r="B1009" t="s">
        <v>925</v>
      </c>
      <c r="C1009">
        <v>15</v>
      </c>
      <c r="D1009" t="s">
        <v>23</v>
      </c>
      <c r="E1009" t="s">
        <v>95</v>
      </c>
      <c r="F1009" t="s">
        <v>112</v>
      </c>
      <c r="G1009" t="s">
        <v>103</v>
      </c>
      <c r="H1009" t="s">
        <v>103</v>
      </c>
      <c r="J1009">
        <v>0</v>
      </c>
      <c r="K1009">
        <v>3</v>
      </c>
      <c r="L1009">
        <v>65.09375</v>
      </c>
      <c r="M1009">
        <v>37.895352600000002</v>
      </c>
      <c r="N1009">
        <v>2.2882677779999998</v>
      </c>
      <c r="O1009">
        <v>2.2111774</v>
      </c>
      <c r="P1009">
        <v>98.291666669999998</v>
      </c>
      <c r="Q1009">
        <v>30.315130790000001</v>
      </c>
      <c r="R1009">
        <v>5.0803484000000003E-2</v>
      </c>
      <c r="S1009">
        <v>0.42866070000000001</v>
      </c>
      <c r="T1009" t="s">
        <v>1015</v>
      </c>
      <c r="U1009">
        <v>33.197916669999998</v>
      </c>
    </row>
    <row r="1010" spans="1:21" x14ac:dyDescent="0.25">
      <c r="A1010" t="s">
        <v>22</v>
      </c>
      <c r="B1010" t="s">
        <v>925</v>
      </c>
      <c r="C1010">
        <v>15</v>
      </c>
      <c r="D1010" t="s">
        <v>23</v>
      </c>
      <c r="E1010" t="s">
        <v>95</v>
      </c>
      <c r="F1010" t="s">
        <v>112</v>
      </c>
      <c r="G1010" t="s">
        <v>103</v>
      </c>
      <c r="H1010" t="s">
        <v>103</v>
      </c>
      <c r="J1010">
        <v>0</v>
      </c>
      <c r="K1010">
        <v>3</v>
      </c>
      <c r="L1010">
        <v>65.09375</v>
      </c>
      <c r="M1010">
        <v>37.895352600000002</v>
      </c>
      <c r="N1010">
        <v>2.2882677779999998</v>
      </c>
      <c r="O1010">
        <v>2.2111774</v>
      </c>
      <c r="P1010">
        <v>98.291666669999998</v>
      </c>
      <c r="Q1010">
        <v>30.315130790000001</v>
      </c>
      <c r="R1010">
        <v>5.0803484000000003E-2</v>
      </c>
      <c r="S1010">
        <v>0.42866070000000001</v>
      </c>
      <c r="T1010" t="s">
        <v>1015</v>
      </c>
      <c r="U1010">
        <v>33.197916669999998</v>
      </c>
    </row>
    <row r="1011" spans="1:21" x14ac:dyDescent="0.25">
      <c r="A1011" t="s">
        <v>22</v>
      </c>
      <c r="B1011" t="s">
        <v>925</v>
      </c>
      <c r="C1011">
        <v>16</v>
      </c>
      <c r="D1011" t="s">
        <v>23</v>
      </c>
      <c r="E1011" t="s">
        <v>95</v>
      </c>
      <c r="F1011" t="s">
        <v>112</v>
      </c>
      <c r="G1011" t="s">
        <v>103</v>
      </c>
      <c r="H1011" t="s">
        <v>113</v>
      </c>
      <c r="J1011">
        <v>0</v>
      </c>
      <c r="K1011">
        <v>2</v>
      </c>
      <c r="L1011">
        <v>65.09375</v>
      </c>
      <c r="M1011">
        <v>37.895352600000002</v>
      </c>
      <c r="N1011">
        <v>2.2882677779999998</v>
      </c>
      <c r="O1011">
        <v>2.2111774</v>
      </c>
      <c r="P1011">
        <v>83.757575759999995</v>
      </c>
      <c r="Q1011">
        <v>22.60997987</v>
      </c>
      <c r="R1011">
        <v>0.72884000000000004</v>
      </c>
      <c r="S1011">
        <v>0.21301339999999999</v>
      </c>
      <c r="T1011" t="s">
        <v>1015</v>
      </c>
      <c r="U1011">
        <v>18.663825760000002</v>
      </c>
    </row>
    <row r="1012" spans="1:21" x14ac:dyDescent="0.25">
      <c r="A1012" t="s">
        <v>22</v>
      </c>
      <c r="B1012" t="s">
        <v>925</v>
      </c>
      <c r="C1012">
        <v>16</v>
      </c>
      <c r="D1012" t="s">
        <v>23</v>
      </c>
      <c r="E1012" t="s">
        <v>95</v>
      </c>
      <c r="F1012" t="s">
        <v>112</v>
      </c>
      <c r="G1012" t="s">
        <v>103</v>
      </c>
      <c r="H1012" t="s">
        <v>113</v>
      </c>
      <c r="J1012">
        <v>0</v>
      </c>
      <c r="K1012">
        <v>2</v>
      </c>
      <c r="L1012">
        <v>65.09375</v>
      </c>
      <c r="M1012">
        <v>37.895352600000002</v>
      </c>
      <c r="N1012">
        <v>2.2882677779999998</v>
      </c>
      <c r="O1012">
        <v>2.2111774</v>
      </c>
      <c r="P1012">
        <v>83.757575759999995</v>
      </c>
      <c r="Q1012">
        <v>22.60997987</v>
      </c>
      <c r="R1012">
        <v>0.72884000000000004</v>
      </c>
      <c r="S1012">
        <v>0.21301339999999999</v>
      </c>
      <c r="T1012" t="s">
        <v>1015</v>
      </c>
      <c r="U1012">
        <v>18.663825760000002</v>
      </c>
    </row>
    <row r="1013" spans="1:21" x14ac:dyDescent="0.25">
      <c r="A1013" t="s">
        <v>22</v>
      </c>
      <c r="B1013" t="s">
        <v>925</v>
      </c>
      <c r="C1013">
        <v>17</v>
      </c>
      <c r="D1013" t="s">
        <v>23</v>
      </c>
      <c r="E1013" t="s">
        <v>95</v>
      </c>
      <c r="F1013" t="s">
        <v>112</v>
      </c>
      <c r="G1013" t="s">
        <v>103</v>
      </c>
      <c r="H1013" t="s">
        <v>247</v>
      </c>
      <c r="J1013">
        <v>0</v>
      </c>
      <c r="K1013">
        <v>1</v>
      </c>
      <c r="L1013">
        <v>65.09375</v>
      </c>
      <c r="M1013">
        <v>37.895352600000002</v>
      </c>
      <c r="N1013">
        <v>2.2882677779999998</v>
      </c>
      <c r="O1013">
        <v>2.2111774</v>
      </c>
      <c r="P1013">
        <v>65.791044779999993</v>
      </c>
      <c r="Q1013">
        <v>22.94519201</v>
      </c>
      <c r="R1013">
        <v>8.1320334999999994E-2</v>
      </c>
      <c r="S1013">
        <v>0.17285655</v>
      </c>
      <c r="T1013" t="s">
        <v>1015</v>
      </c>
      <c r="U1013">
        <v>0.69729478</v>
      </c>
    </row>
    <row r="1014" spans="1:21" x14ac:dyDescent="0.25">
      <c r="A1014" t="s">
        <v>22</v>
      </c>
      <c r="B1014" t="s">
        <v>925</v>
      </c>
      <c r="C1014">
        <v>18</v>
      </c>
      <c r="D1014" t="s">
        <v>23</v>
      </c>
      <c r="E1014" t="s">
        <v>95</v>
      </c>
      <c r="F1014" t="s">
        <v>112</v>
      </c>
      <c r="G1014" t="s">
        <v>103</v>
      </c>
      <c r="H1014" t="s">
        <v>248</v>
      </c>
      <c r="J1014">
        <v>0</v>
      </c>
      <c r="K1014">
        <v>3</v>
      </c>
      <c r="L1014">
        <v>65.09375</v>
      </c>
      <c r="M1014">
        <v>37.895352600000002</v>
      </c>
      <c r="N1014">
        <v>2.2882677779999998</v>
      </c>
      <c r="O1014">
        <v>2.2111774</v>
      </c>
      <c r="P1014">
        <v>83.92307692</v>
      </c>
      <c r="Q1014">
        <v>44.319135699999997</v>
      </c>
      <c r="R1014">
        <v>5.9548609999999997E-3</v>
      </c>
      <c r="S1014">
        <v>0.18017928</v>
      </c>
      <c r="T1014" t="s">
        <v>1015</v>
      </c>
      <c r="U1014">
        <v>18.82932692</v>
      </c>
    </row>
    <row r="1015" spans="1:21" x14ac:dyDescent="0.25">
      <c r="A1015" t="s">
        <v>22</v>
      </c>
      <c r="B1015" t="s">
        <v>925</v>
      </c>
      <c r="C1015">
        <v>18</v>
      </c>
      <c r="D1015" t="s">
        <v>23</v>
      </c>
      <c r="E1015" t="s">
        <v>95</v>
      </c>
      <c r="F1015" t="s">
        <v>112</v>
      </c>
      <c r="G1015" t="s">
        <v>103</v>
      </c>
      <c r="H1015" t="s">
        <v>248</v>
      </c>
      <c r="J1015">
        <v>0</v>
      </c>
      <c r="K1015">
        <v>3</v>
      </c>
      <c r="L1015">
        <v>65.09375</v>
      </c>
      <c r="M1015">
        <v>37.895352600000002</v>
      </c>
      <c r="N1015">
        <v>2.2882677779999998</v>
      </c>
      <c r="O1015">
        <v>2.2111774</v>
      </c>
      <c r="P1015">
        <v>83.92307692</v>
      </c>
      <c r="Q1015">
        <v>44.319135699999997</v>
      </c>
      <c r="R1015">
        <v>5.9548609999999997E-3</v>
      </c>
      <c r="S1015">
        <v>0.18017928</v>
      </c>
      <c r="T1015" t="s">
        <v>1015</v>
      </c>
      <c r="U1015">
        <v>18.82932692</v>
      </c>
    </row>
    <row r="1016" spans="1:21" x14ac:dyDescent="0.25">
      <c r="A1016" t="s">
        <v>22</v>
      </c>
      <c r="B1016" t="s">
        <v>925</v>
      </c>
      <c r="C1016">
        <v>18</v>
      </c>
      <c r="D1016" t="s">
        <v>23</v>
      </c>
      <c r="E1016" t="s">
        <v>95</v>
      </c>
      <c r="F1016" t="s">
        <v>112</v>
      </c>
      <c r="G1016" t="s">
        <v>103</v>
      </c>
      <c r="H1016" t="s">
        <v>248</v>
      </c>
      <c r="J1016">
        <v>0</v>
      </c>
      <c r="K1016">
        <v>3</v>
      </c>
      <c r="L1016">
        <v>65.09375</v>
      </c>
      <c r="M1016">
        <v>37.895352600000002</v>
      </c>
      <c r="N1016">
        <v>2.2882677779999998</v>
      </c>
      <c r="O1016">
        <v>2.2111774</v>
      </c>
      <c r="P1016">
        <v>83.92307692</v>
      </c>
      <c r="Q1016">
        <v>44.319135699999997</v>
      </c>
      <c r="R1016">
        <v>5.9548609999999997E-3</v>
      </c>
      <c r="S1016">
        <v>0.18017928</v>
      </c>
      <c r="T1016" t="s">
        <v>1015</v>
      </c>
      <c r="U1016">
        <v>18.82932692</v>
      </c>
    </row>
    <row r="1017" spans="1:21" x14ac:dyDescent="0.25">
      <c r="A1017" t="s">
        <v>24</v>
      </c>
      <c r="B1017" t="s">
        <v>926</v>
      </c>
      <c r="C1017">
        <v>15</v>
      </c>
      <c r="D1017" t="s">
        <v>25</v>
      </c>
      <c r="E1017" t="s">
        <v>95</v>
      </c>
      <c r="F1017" t="s">
        <v>105</v>
      </c>
      <c r="G1017" t="s">
        <v>121</v>
      </c>
      <c r="H1017" t="s">
        <v>111</v>
      </c>
      <c r="J1017">
        <v>0</v>
      </c>
      <c r="K1017">
        <v>1</v>
      </c>
      <c r="L1017">
        <v>67.5</v>
      </c>
      <c r="M1017">
        <v>47.937235809999997</v>
      </c>
      <c r="N1017">
        <v>0.41599678000000001</v>
      </c>
      <c r="O1017">
        <v>2.0950346999999998</v>
      </c>
      <c r="P1017">
        <v>94.97142857</v>
      </c>
      <c r="Q1017">
        <v>24.31591813</v>
      </c>
      <c r="R1017">
        <v>0.122951111</v>
      </c>
      <c r="S1017">
        <v>0.39050790000000002</v>
      </c>
      <c r="T1017" t="s">
        <v>1015</v>
      </c>
      <c r="U1017">
        <v>27.47142857</v>
      </c>
    </row>
    <row r="1018" spans="1:21" x14ac:dyDescent="0.25">
      <c r="A1018" t="s">
        <v>24</v>
      </c>
      <c r="B1018" t="s">
        <v>926</v>
      </c>
      <c r="C1018">
        <v>16</v>
      </c>
      <c r="D1018" t="s">
        <v>25</v>
      </c>
      <c r="E1018" t="s">
        <v>95</v>
      </c>
      <c r="F1018" t="s">
        <v>105</v>
      </c>
      <c r="G1018" t="s">
        <v>121</v>
      </c>
      <c r="H1018" t="s">
        <v>104</v>
      </c>
      <c r="J1018">
        <v>0</v>
      </c>
      <c r="K1018">
        <v>1</v>
      </c>
      <c r="L1018">
        <v>67.5</v>
      </c>
      <c r="M1018">
        <v>47.937235809999997</v>
      </c>
      <c r="N1018">
        <v>0.41599678000000001</v>
      </c>
      <c r="O1018">
        <v>2.0950346999999998</v>
      </c>
      <c r="P1018">
        <v>113.9375</v>
      </c>
      <c r="Q1018">
        <v>33.375507550000002</v>
      </c>
      <c r="R1018">
        <v>2.4262999999999999</v>
      </c>
      <c r="S1018">
        <v>0.40692159999999999</v>
      </c>
      <c r="T1018" t="s">
        <v>1015</v>
      </c>
      <c r="U1018">
        <v>46.4375</v>
      </c>
    </row>
    <row r="1019" spans="1:21" x14ac:dyDescent="0.25">
      <c r="A1019" t="s">
        <v>24</v>
      </c>
      <c r="B1019" t="s">
        <v>927</v>
      </c>
      <c r="C1019">
        <v>15</v>
      </c>
      <c r="D1019" t="s">
        <v>25</v>
      </c>
      <c r="E1019" t="s">
        <v>95</v>
      </c>
      <c r="F1019" t="s">
        <v>112</v>
      </c>
      <c r="G1019" t="s">
        <v>112</v>
      </c>
      <c r="H1019" t="s">
        <v>112</v>
      </c>
      <c r="J1019">
        <v>0</v>
      </c>
      <c r="K1019">
        <v>1</v>
      </c>
      <c r="L1019">
        <v>65.09375</v>
      </c>
      <c r="M1019">
        <v>37.895352600000002</v>
      </c>
      <c r="N1019">
        <v>2.2882677779999998</v>
      </c>
      <c r="O1019">
        <v>2.2111774</v>
      </c>
      <c r="P1019">
        <v>65.09375</v>
      </c>
      <c r="Q1019">
        <v>37.895352600000002</v>
      </c>
      <c r="R1019">
        <v>2.2882677779999998</v>
      </c>
      <c r="S1019">
        <v>2.2111774</v>
      </c>
      <c r="T1019" t="s">
        <v>1015</v>
      </c>
      <c r="U1019">
        <v>0</v>
      </c>
    </row>
    <row r="1020" spans="1:21" x14ac:dyDescent="0.25">
      <c r="A1020" t="s">
        <v>26</v>
      </c>
      <c r="B1020" t="s">
        <v>928</v>
      </c>
      <c r="C1020">
        <v>15</v>
      </c>
      <c r="D1020" t="s">
        <v>27</v>
      </c>
      <c r="E1020" t="s">
        <v>95</v>
      </c>
      <c r="F1020" t="s">
        <v>105</v>
      </c>
      <c r="G1020" t="s">
        <v>102</v>
      </c>
      <c r="H1020" t="s">
        <v>102</v>
      </c>
      <c r="J1020">
        <v>0</v>
      </c>
      <c r="K1020">
        <v>1</v>
      </c>
      <c r="L1020">
        <v>67.5</v>
      </c>
      <c r="M1020">
        <v>47.937235809999997</v>
      </c>
      <c r="N1020">
        <v>0.41599678000000001</v>
      </c>
      <c r="O1020">
        <v>2.0950346999999998</v>
      </c>
      <c r="P1020">
        <v>84.740740740000007</v>
      </c>
      <c r="Q1020">
        <v>29.167014049999999</v>
      </c>
      <c r="R1020">
        <v>1.1169849999999999</v>
      </c>
      <c r="S1020">
        <v>1.1571499000000001</v>
      </c>
      <c r="T1020" t="s">
        <v>1015</v>
      </c>
      <c r="U1020">
        <v>17.24074074</v>
      </c>
    </row>
    <row r="1021" spans="1:21" x14ac:dyDescent="0.25">
      <c r="A1021" t="s">
        <v>26</v>
      </c>
      <c r="B1021" t="s">
        <v>928</v>
      </c>
      <c r="C1021">
        <v>16</v>
      </c>
      <c r="D1021" t="s">
        <v>27</v>
      </c>
      <c r="E1021" t="s">
        <v>95</v>
      </c>
      <c r="F1021" t="s">
        <v>105</v>
      </c>
      <c r="G1021" t="s">
        <v>102</v>
      </c>
      <c r="H1021" t="s">
        <v>111</v>
      </c>
      <c r="J1021">
        <v>0</v>
      </c>
      <c r="K1021">
        <v>1</v>
      </c>
      <c r="L1021">
        <v>67.5</v>
      </c>
      <c r="M1021">
        <v>47.937235809999997</v>
      </c>
      <c r="N1021">
        <v>0.41599678000000001</v>
      </c>
      <c r="O1021">
        <v>2.0950346999999998</v>
      </c>
      <c r="P1021">
        <v>94.97142857</v>
      </c>
      <c r="Q1021">
        <v>24.31591813</v>
      </c>
      <c r="R1021">
        <v>0.122951111</v>
      </c>
      <c r="S1021">
        <v>0.39050790000000002</v>
      </c>
      <c r="T1021" t="s">
        <v>1015</v>
      </c>
      <c r="U1021">
        <v>27.47142857</v>
      </c>
    </row>
    <row r="1022" spans="1:21" x14ac:dyDescent="0.25">
      <c r="A1022" t="s">
        <v>26</v>
      </c>
      <c r="B1022" t="s">
        <v>928</v>
      </c>
      <c r="C1022">
        <v>17</v>
      </c>
      <c r="D1022" t="s">
        <v>27</v>
      </c>
      <c r="E1022" t="s">
        <v>95</v>
      </c>
      <c r="F1022" t="s">
        <v>105</v>
      </c>
      <c r="G1022" t="s">
        <v>102</v>
      </c>
      <c r="H1022" t="s">
        <v>242</v>
      </c>
      <c r="J1022">
        <v>0</v>
      </c>
      <c r="K1022">
        <v>1</v>
      </c>
      <c r="L1022">
        <v>67.5</v>
      </c>
      <c r="M1022">
        <v>47.937235809999997</v>
      </c>
      <c r="N1022">
        <v>0.41599678000000001</v>
      </c>
      <c r="O1022">
        <v>2.0950346999999998</v>
      </c>
      <c r="P1022">
        <v>139.375</v>
      </c>
      <c r="Q1022">
        <v>23.713465920000001</v>
      </c>
      <c r="R1022" t="s">
        <v>114</v>
      </c>
      <c r="S1022" t="s">
        <v>114</v>
      </c>
      <c r="T1022" t="s">
        <v>1015</v>
      </c>
      <c r="U1022">
        <v>71.875</v>
      </c>
    </row>
    <row r="1023" spans="1:21" x14ac:dyDescent="0.25">
      <c r="A1023" t="s">
        <v>26</v>
      </c>
      <c r="B1023" t="s">
        <v>929</v>
      </c>
      <c r="C1023">
        <v>15</v>
      </c>
      <c r="D1023" t="s">
        <v>27</v>
      </c>
      <c r="E1023" t="s">
        <v>95</v>
      </c>
      <c r="F1023" t="s">
        <v>110</v>
      </c>
      <c r="G1023" t="s">
        <v>111</v>
      </c>
      <c r="H1023" t="s">
        <v>111</v>
      </c>
      <c r="J1023">
        <v>0</v>
      </c>
      <c r="K1023">
        <v>1</v>
      </c>
      <c r="L1023">
        <v>73.260869569999997</v>
      </c>
      <c r="M1023">
        <v>34.453830549999999</v>
      </c>
      <c r="N1023">
        <v>1.058333333</v>
      </c>
      <c r="O1023">
        <v>0.90897070000000002</v>
      </c>
      <c r="P1023">
        <v>94.97142857</v>
      </c>
      <c r="Q1023">
        <v>24.31591813</v>
      </c>
      <c r="R1023">
        <v>0.122951111</v>
      </c>
      <c r="S1023">
        <v>0.39050790000000002</v>
      </c>
      <c r="T1023" t="s">
        <v>1015</v>
      </c>
      <c r="U1023">
        <v>21.710559</v>
      </c>
    </row>
    <row r="1024" spans="1:21" x14ac:dyDescent="0.25">
      <c r="A1024" t="s">
        <v>26</v>
      </c>
      <c r="B1024" t="s">
        <v>929</v>
      </c>
      <c r="C1024">
        <v>16</v>
      </c>
      <c r="D1024" t="s">
        <v>27</v>
      </c>
      <c r="E1024" t="s">
        <v>95</v>
      </c>
      <c r="F1024" t="s">
        <v>110</v>
      </c>
      <c r="G1024" t="s">
        <v>111</v>
      </c>
      <c r="H1024" t="s">
        <v>242</v>
      </c>
      <c r="J1024">
        <v>0</v>
      </c>
      <c r="K1024">
        <v>8</v>
      </c>
      <c r="L1024">
        <v>73.260869569999997</v>
      </c>
      <c r="M1024">
        <v>34.453830549999999</v>
      </c>
      <c r="N1024">
        <v>1.058333333</v>
      </c>
      <c r="O1024">
        <v>0.90897070000000002</v>
      </c>
      <c r="P1024">
        <v>139.375</v>
      </c>
      <c r="Q1024">
        <v>23.713465920000001</v>
      </c>
      <c r="R1024" t="s">
        <v>114</v>
      </c>
      <c r="S1024" t="s">
        <v>114</v>
      </c>
      <c r="T1024" t="s">
        <v>1015</v>
      </c>
      <c r="U1024">
        <v>66.114130430000003</v>
      </c>
    </row>
    <row r="1025" spans="1:21" x14ac:dyDescent="0.25">
      <c r="A1025" t="s">
        <v>26</v>
      </c>
      <c r="B1025" t="s">
        <v>929</v>
      </c>
      <c r="C1025">
        <v>16</v>
      </c>
      <c r="D1025" t="s">
        <v>27</v>
      </c>
      <c r="E1025" t="s">
        <v>95</v>
      </c>
      <c r="F1025" t="s">
        <v>110</v>
      </c>
      <c r="G1025" t="s">
        <v>111</v>
      </c>
      <c r="H1025" t="s">
        <v>242</v>
      </c>
      <c r="J1025">
        <v>0</v>
      </c>
      <c r="K1025">
        <v>8</v>
      </c>
      <c r="L1025">
        <v>73.260869569999997</v>
      </c>
      <c r="M1025">
        <v>34.453830549999999</v>
      </c>
      <c r="N1025">
        <v>1.058333333</v>
      </c>
      <c r="O1025">
        <v>0.90897070000000002</v>
      </c>
      <c r="P1025">
        <v>139.375</v>
      </c>
      <c r="Q1025">
        <v>23.713465920000001</v>
      </c>
      <c r="R1025" t="s">
        <v>114</v>
      </c>
      <c r="S1025" t="s">
        <v>114</v>
      </c>
      <c r="T1025" t="s">
        <v>1015</v>
      </c>
      <c r="U1025">
        <v>66.114130430000003</v>
      </c>
    </row>
    <row r="1026" spans="1:21" x14ac:dyDescent="0.25">
      <c r="A1026" t="s">
        <v>26</v>
      </c>
      <c r="B1026" t="s">
        <v>929</v>
      </c>
      <c r="C1026">
        <v>16</v>
      </c>
      <c r="D1026" t="s">
        <v>27</v>
      </c>
      <c r="E1026" t="s">
        <v>95</v>
      </c>
      <c r="F1026" t="s">
        <v>110</v>
      </c>
      <c r="G1026" t="s">
        <v>111</v>
      </c>
      <c r="H1026" t="s">
        <v>242</v>
      </c>
      <c r="J1026">
        <v>0</v>
      </c>
      <c r="K1026">
        <v>8</v>
      </c>
      <c r="L1026">
        <v>73.260869569999997</v>
      </c>
      <c r="M1026">
        <v>34.453830549999999</v>
      </c>
      <c r="N1026">
        <v>1.058333333</v>
      </c>
      <c r="O1026">
        <v>0.90897070000000002</v>
      </c>
      <c r="P1026">
        <v>139.375</v>
      </c>
      <c r="Q1026">
        <v>23.713465920000001</v>
      </c>
      <c r="R1026" t="s">
        <v>114</v>
      </c>
      <c r="S1026" t="s">
        <v>114</v>
      </c>
      <c r="T1026" t="s">
        <v>1015</v>
      </c>
      <c r="U1026">
        <v>66.114130430000003</v>
      </c>
    </row>
    <row r="1027" spans="1:21" x14ac:dyDescent="0.25">
      <c r="A1027" t="s">
        <v>26</v>
      </c>
      <c r="B1027" t="s">
        <v>929</v>
      </c>
      <c r="C1027">
        <v>16</v>
      </c>
      <c r="D1027" t="s">
        <v>27</v>
      </c>
      <c r="E1027" t="s">
        <v>95</v>
      </c>
      <c r="F1027" t="s">
        <v>110</v>
      </c>
      <c r="G1027" t="s">
        <v>111</v>
      </c>
      <c r="H1027" t="s">
        <v>242</v>
      </c>
      <c r="J1027">
        <v>0</v>
      </c>
      <c r="K1027">
        <v>8</v>
      </c>
      <c r="L1027">
        <v>73.260869569999997</v>
      </c>
      <c r="M1027">
        <v>34.453830549999999</v>
      </c>
      <c r="N1027">
        <v>1.058333333</v>
      </c>
      <c r="O1027">
        <v>0.90897070000000002</v>
      </c>
      <c r="P1027">
        <v>139.375</v>
      </c>
      <c r="Q1027">
        <v>23.713465920000001</v>
      </c>
      <c r="R1027" t="s">
        <v>114</v>
      </c>
      <c r="S1027" t="s">
        <v>114</v>
      </c>
      <c r="T1027" t="s">
        <v>1015</v>
      </c>
      <c r="U1027">
        <v>66.114130430000003</v>
      </c>
    </row>
    <row r="1028" spans="1:21" x14ac:dyDescent="0.25">
      <c r="A1028" t="s">
        <v>26</v>
      </c>
      <c r="B1028" t="s">
        <v>929</v>
      </c>
      <c r="C1028">
        <v>16</v>
      </c>
      <c r="D1028" t="s">
        <v>27</v>
      </c>
      <c r="E1028" t="s">
        <v>95</v>
      </c>
      <c r="F1028" t="s">
        <v>110</v>
      </c>
      <c r="G1028" t="s">
        <v>111</v>
      </c>
      <c r="H1028" t="s">
        <v>242</v>
      </c>
      <c r="J1028">
        <v>0</v>
      </c>
      <c r="K1028">
        <v>8</v>
      </c>
      <c r="L1028">
        <v>73.260869569999997</v>
      </c>
      <c r="M1028">
        <v>34.453830549999999</v>
      </c>
      <c r="N1028">
        <v>1.058333333</v>
      </c>
      <c r="O1028">
        <v>0.90897070000000002</v>
      </c>
      <c r="P1028">
        <v>139.375</v>
      </c>
      <c r="Q1028">
        <v>23.713465920000001</v>
      </c>
      <c r="R1028" t="s">
        <v>114</v>
      </c>
      <c r="S1028" t="s">
        <v>114</v>
      </c>
      <c r="T1028" t="s">
        <v>1015</v>
      </c>
      <c r="U1028">
        <v>66.114130430000003</v>
      </c>
    </row>
    <row r="1029" spans="1:21" x14ac:dyDescent="0.25">
      <c r="A1029" t="s">
        <v>26</v>
      </c>
      <c r="B1029" t="s">
        <v>929</v>
      </c>
      <c r="C1029">
        <v>16</v>
      </c>
      <c r="D1029" t="s">
        <v>27</v>
      </c>
      <c r="E1029" t="s">
        <v>95</v>
      </c>
      <c r="F1029" t="s">
        <v>110</v>
      </c>
      <c r="G1029" t="s">
        <v>111</v>
      </c>
      <c r="H1029" t="s">
        <v>242</v>
      </c>
      <c r="J1029">
        <v>0</v>
      </c>
      <c r="K1029">
        <v>8</v>
      </c>
      <c r="L1029">
        <v>73.260869569999997</v>
      </c>
      <c r="M1029">
        <v>34.453830549999999</v>
      </c>
      <c r="N1029">
        <v>1.058333333</v>
      </c>
      <c r="O1029">
        <v>0.90897070000000002</v>
      </c>
      <c r="P1029">
        <v>139.375</v>
      </c>
      <c r="Q1029">
        <v>23.713465920000001</v>
      </c>
      <c r="R1029" t="s">
        <v>114</v>
      </c>
      <c r="S1029" t="s">
        <v>114</v>
      </c>
      <c r="T1029" t="s">
        <v>1015</v>
      </c>
      <c r="U1029">
        <v>66.114130430000003</v>
      </c>
    </row>
    <row r="1030" spans="1:21" x14ac:dyDescent="0.25">
      <c r="A1030" t="s">
        <v>26</v>
      </c>
      <c r="B1030" t="s">
        <v>929</v>
      </c>
      <c r="C1030">
        <v>16</v>
      </c>
      <c r="D1030" t="s">
        <v>27</v>
      </c>
      <c r="E1030" t="s">
        <v>95</v>
      </c>
      <c r="F1030" t="s">
        <v>110</v>
      </c>
      <c r="G1030" t="s">
        <v>111</v>
      </c>
      <c r="H1030" t="s">
        <v>242</v>
      </c>
      <c r="J1030">
        <v>0</v>
      </c>
      <c r="K1030">
        <v>8</v>
      </c>
      <c r="L1030">
        <v>73.260869569999997</v>
      </c>
      <c r="M1030">
        <v>34.453830549999999</v>
      </c>
      <c r="N1030">
        <v>1.058333333</v>
      </c>
      <c r="O1030">
        <v>0.90897070000000002</v>
      </c>
      <c r="P1030">
        <v>139.375</v>
      </c>
      <c r="Q1030">
        <v>23.713465920000001</v>
      </c>
      <c r="R1030" t="s">
        <v>114</v>
      </c>
      <c r="S1030" t="s">
        <v>114</v>
      </c>
      <c r="T1030" t="s">
        <v>1015</v>
      </c>
      <c r="U1030">
        <v>66.114130430000003</v>
      </c>
    </row>
    <row r="1031" spans="1:21" x14ac:dyDescent="0.25">
      <c r="A1031" t="s">
        <v>26</v>
      </c>
      <c r="B1031" t="s">
        <v>929</v>
      </c>
      <c r="C1031">
        <v>16</v>
      </c>
      <c r="D1031" t="s">
        <v>27</v>
      </c>
      <c r="E1031" t="s">
        <v>95</v>
      </c>
      <c r="F1031" t="s">
        <v>110</v>
      </c>
      <c r="G1031" t="s">
        <v>111</v>
      </c>
      <c r="H1031" t="s">
        <v>242</v>
      </c>
      <c r="J1031">
        <v>0</v>
      </c>
      <c r="K1031">
        <v>8</v>
      </c>
      <c r="L1031">
        <v>73.260869569999997</v>
      </c>
      <c r="M1031">
        <v>34.453830549999999</v>
      </c>
      <c r="N1031">
        <v>1.058333333</v>
      </c>
      <c r="O1031">
        <v>0.90897070000000002</v>
      </c>
      <c r="P1031">
        <v>139.375</v>
      </c>
      <c r="Q1031">
        <v>23.713465920000001</v>
      </c>
      <c r="R1031" t="s">
        <v>114</v>
      </c>
      <c r="S1031" t="s">
        <v>114</v>
      </c>
      <c r="T1031" t="s">
        <v>1015</v>
      </c>
      <c r="U1031">
        <v>66.114130430000003</v>
      </c>
    </row>
    <row r="1032" spans="1:21" x14ac:dyDescent="0.25">
      <c r="A1032" t="s">
        <v>26</v>
      </c>
      <c r="B1032" t="s">
        <v>930</v>
      </c>
      <c r="C1032">
        <v>15</v>
      </c>
      <c r="D1032" t="s">
        <v>27</v>
      </c>
      <c r="E1032" t="s">
        <v>95</v>
      </c>
      <c r="F1032" t="s">
        <v>111</v>
      </c>
      <c r="G1032" t="s">
        <v>102</v>
      </c>
      <c r="H1032" t="s">
        <v>244</v>
      </c>
      <c r="J1032">
        <v>0</v>
      </c>
      <c r="K1032">
        <v>1</v>
      </c>
      <c r="L1032">
        <v>94.97142857</v>
      </c>
      <c r="M1032">
        <v>24.31591813</v>
      </c>
      <c r="N1032">
        <v>0.122951111</v>
      </c>
      <c r="O1032">
        <v>0.39050790000000002</v>
      </c>
      <c r="P1032">
        <v>75</v>
      </c>
      <c r="Q1032">
        <v>28.80614499</v>
      </c>
      <c r="R1032">
        <v>2.3860428570000001</v>
      </c>
      <c r="S1032">
        <v>0.26400832000000002</v>
      </c>
      <c r="T1032" t="s">
        <v>1015</v>
      </c>
      <c r="U1032">
        <v>19.97142857</v>
      </c>
    </row>
    <row r="1033" spans="1:21" x14ac:dyDescent="0.25">
      <c r="A1033" t="s">
        <v>26</v>
      </c>
      <c r="B1033" t="s">
        <v>930</v>
      </c>
      <c r="C1033">
        <v>16</v>
      </c>
      <c r="D1033" t="s">
        <v>27</v>
      </c>
      <c r="E1033" t="s">
        <v>95</v>
      </c>
      <c r="F1033" t="s">
        <v>111</v>
      </c>
      <c r="G1033" t="s">
        <v>102</v>
      </c>
      <c r="H1033" t="s">
        <v>236</v>
      </c>
      <c r="J1033">
        <v>0</v>
      </c>
      <c r="K1033">
        <v>1</v>
      </c>
      <c r="L1033">
        <v>94.97142857</v>
      </c>
      <c r="M1033">
        <v>24.31591813</v>
      </c>
      <c r="N1033">
        <v>0.122951111</v>
      </c>
      <c r="O1033">
        <v>0.39050790000000002</v>
      </c>
      <c r="P1033">
        <v>113.33333330000001</v>
      </c>
      <c r="Q1033">
        <v>26.41632581</v>
      </c>
      <c r="R1033">
        <v>1.6844570160000001</v>
      </c>
      <c r="S1033">
        <v>8.9285710000000004E-2</v>
      </c>
      <c r="T1033" t="s">
        <v>1015</v>
      </c>
      <c r="U1033">
        <v>18.361904729999999</v>
      </c>
    </row>
    <row r="1034" spans="1:21" x14ac:dyDescent="0.25">
      <c r="A1034" t="s">
        <v>26</v>
      </c>
      <c r="B1034" t="s">
        <v>930</v>
      </c>
      <c r="C1034">
        <v>17</v>
      </c>
      <c r="D1034" t="s">
        <v>27</v>
      </c>
      <c r="E1034" t="s">
        <v>95</v>
      </c>
      <c r="F1034" t="s">
        <v>111</v>
      </c>
      <c r="G1034" t="s">
        <v>102</v>
      </c>
      <c r="H1034" t="s">
        <v>102</v>
      </c>
      <c r="J1034">
        <v>0</v>
      </c>
      <c r="K1034">
        <v>1</v>
      </c>
      <c r="L1034">
        <v>94.97142857</v>
      </c>
      <c r="M1034">
        <v>24.31591813</v>
      </c>
      <c r="N1034">
        <v>0.122951111</v>
      </c>
      <c r="O1034">
        <v>0.39050790000000002</v>
      </c>
      <c r="P1034">
        <v>84.740740740000007</v>
      </c>
      <c r="Q1034">
        <v>29.167014049999999</v>
      </c>
      <c r="R1034">
        <v>1.1169849999999999</v>
      </c>
      <c r="S1034">
        <v>1.1571499000000001</v>
      </c>
      <c r="T1034" t="s">
        <v>1015</v>
      </c>
      <c r="U1034">
        <v>10.230687830000001</v>
      </c>
    </row>
    <row r="1035" spans="1:21" x14ac:dyDescent="0.25">
      <c r="A1035" t="s">
        <v>26</v>
      </c>
      <c r="B1035" t="s">
        <v>930</v>
      </c>
      <c r="C1035">
        <v>18</v>
      </c>
      <c r="D1035" t="s">
        <v>27</v>
      </c>
      <c r="E1035" t="s">
        <v>95</v>
      </c>
      <c r="F1035" t="s">
        <v>111</v>
      </c>
      <c r="G1035" t="s">
        <v>102</v>
      </c>
      <c r="H1035" t="s">
        <v>242</v>
      </c>
      <c r="J1035">
        <v>0</v>
      </c>
      <c r="K1035">
        <v>3</v>
      </c>
      <c r="L1035">
        <v>94.97142857</v>
      </c>
      <c r="M1035">
        <v>24.31591813</v>
      </c>
      <c r="N1035">
        <v>0.122951111</v>
      </c>
      <c r="O1035">
        <v>0.39050790000000002</v>
      </c>
      <c r="P1035">
        <v>139.375</v>
      </c>
      <c r="Q1035">
        <v>23.713465920000001</v>
      </c>
      <c r="R1035" t="s">
        <v>114</v>
      </c>
      <c r="S1035" t="s">
        <v>114</v>
      </c>
      <c r="T1035" t="s">
        <v>1015</v>
      </c>
      <c r="U1035">
        <v>44.40357143</v>
      </c>
    </row>
    <row r="1036" spans="1:21" x14ac:dyDescent="0.25">
      <c r="A1036" t="s">
        <v>26</v>
      </c>
      <c r="B1036" t="s">
        <v>930</v>
      </c>
      <c r="C1036">
        <v>18</v>
      </c>
      <c r="D1036" t="s">
        <v>27</v>
      </c>
      <c r="E1036" t="s">
        <v>95</v>
      </c>
      <c r="F1036" t="s">
        <v>111</v>
      </c>
      <c r="G1036" t="s">
        <v>102</v>
      </c>
      <c r="H1036" t="s">
        <v>242</v>
      </c>
      <c r="J1036">
        <v>0</v>
      </c>
      <c r="K1036">
        <v>3</v>
      </c>
      <c r="L1036">
        <v>94.97142857</v>
      </c>
      <c r="M1036">
        <v>24.31591813</v>
      </c>
      <c r="N1036">
        <v>0.122951111</v>
      </c>
      <c r="O1036">
        <v>0.39050790000000002</v>
      </c>
      <c r="P1036">
        <v>139.375</v>
      </c>
      <c r="Q1036">
        <v>23.713465920000001</v>
      </c>
      <c r="R1036" t="s">
        <v>114</v>
      </c>
      <c r="S1036" t="s">
        <v>114</v>
      </c>
      <c r="T1036" t="s">
        <v>1015</v>
      </c>
      <c r="U1036">
        <v>44.40357143</v>
      </c>
    </row>
    <row r="1037" spans="1:21" x14ac:dyDescent="0.25">
      <c r="A1037" t="s">
        <v>26</v>
      </c>
      <c r="B1037" t="s">
        <v>930</v>
      </c>
      <c r="C1037">
        <v>18</v>
      </c>
      <c r="D1037" t="s">
        <v>27</v>
      </c>
      <c r="E1037" t="s">
        <v>95</v>
      </c>
      <c r="F1037" t="s">
        <v>111</v>
      </c>
      <c r="G1037" t="s">
        <v>102</v>
      </c>
      <c r="H1037" t="s">
        <v>242</v>
      </c>
      <c r="J1037">
        <v>0</v>
      </c>
      <c r="K1037">
        <v>3</v>
      </c>
      <c r="L1037">
        <v>94.97142857</v>
      </c>
      <c r="M1037">
        <v>24.31591813</v>
      </c>
      <c r="N1037">
        <v>0.122951111</v>
      </c>
      <c r="O1037">
        <v>0.39050790000000002</v>
      </c>
      <c r="P1037">
        <v>139.375</v>
      </c>
      <c r="Q1037">
        <v>23.713465920000001</v>
      </c>
      <c r="R1037" t="s">
        <v>114</v>
      </c>
      <c r="S1037" t="s">
        <v>114</v>
      </c>
      <c r="T1037" t="s">
        <v>1015</v>
      </c>
      <c r="U1037">
        <v>44.40357143</v>
      </c>
    </row>
    <row r="1038" spans="1:21" x14ac:dyDescent="0.25">
      <c r="A1038" t="s">
        <v>28</v>
      </c>
      <c r="B1038" t="s">
        <v>931</v>
      </c>
      <c r="C1038">
        <v>15</v>
      </c>
      <c r="D1038" t="s">
        <v>29</v>
      </c>
      <c r="E1038" t="s">
        <v>94</v>
      </c>
      <c r="F1038" t="s">
        <v>113</v>
      </c>
      <c r="G1038" t="s">
        <v>113</v>
      </c>
      <c r="H1038" t="s">
        <v>113</v>
      </c>
      <c r="J1038">
        <v>0</v>
      </c>
      <c r="K1038">
        <v>2</v>
      </c>
      <c r="L1038">
        <v>83.757575759999995</v>
      </c>
      <c r="M1038">
        <v>22.60997987</v>
      </c>
      <c r="N1038">
        <v>0.72884000000000004</v>
      </c>
      <c r="O1038">
        <v>0.21301339999999999</v>
      </c>
      <c r="P1038">
        <v>83.757575759999995</v>
      </c>
      <c r="Q1038">
        <v>22.60997987</v>
      </c>
      <c r="R1038">
        <v>0.72884000000000004</v>
      </c>
      <c r="S1038">
        <v>0.21301339999999999</v>
      </c>
      <c r="T1038" t="s">
        <v>1015</v>
      </c>
      <c r="U1038">
        <v>0</v>
      </c>
    </row>
    <row r="1039" spans="1:21" x14ac:dyDescent="0.25">
      <c r="A1039" t="s">
        <v>28</v>
      </c>
      <c r="B1039" t="s">
        <v>931</v>
      </c>
      <c r="C1039">
        <v>15</v>
      </c>
      <c r="D1039" t="s">
        <v>29</v>
      </c>
      <c r="E1039" t="s">
        <v>94</v>
      </c>
      <c r="F1039" t="s">
        <v>113</v>
      </c>
      <c r="G1039" t="s">
        <v>113</v>
      </c>
      <c r="H1039" t="s">
        <v>113</v>
      </c>
      <c r="J1039">
        <v>0</v>
      </c>
      <c r="K1039">
        <v>2</v>
      </c>
      <c r="L1039">
        <v>83.757575759999995</v>
      </c>
      <c r="M1039">
        <v>22.60997987</v>
      </c>
      <c r="N1039">
        <v>0.72884000000000004</v>
      </c>
      <c r="O1039">
        <v>0.21301339999999999</v>
      </c>
      <c r="P1039">
        <v>83.757575759999995</v>
      </c>
      <c r="Q1039">
        <v>22.60997987</v>
      </c>
      <c r="R1039">
        <v>0.72884000000000004</v>
      </c>
      <c r="S1039">
        <v>0.21301339999999999</v>
      </c>
      <c r="T1039" t="s">
        <v>1015</v>
      </c>
      <c r="U1039">
        <v>0</v>
      </c>
    </row>
    <row r="1040" spans="1:21" x14ac:dyDescent="0.25">
      <c r="A1040" t="s">
        <v>28</v>
      </c>
      <c r="B1040" t="s">
        <v>931</v>
      </c>
      <c r="C1040">
        <v>16</v>
      </c>
      <c r="D1040" t="s">
        <v>29</v>
      </c>
      <c r="E1040" t="s">
        <v>94</v>
      </c>
      <c r="F1040" t="s">
        <v>113</v>
      </c>
      <c r="G1040" t="s">
        <v>113</v>
      </c>
      <c r="H1040" t="s">
        <v>248</v>
      </c>
      <c r="J1040">
        <v>0</v>
      </c>
      <c r="K1040">
        <v>12</v>
      </c>
      <c r="L1040">
        <v>83.757575759999995</v>
      </c>
      <c r="M1040">
        <v>22.60997987</v>
      </c>
      <c r="N1040">
        <v>0.72884000000000004</v>
      </c>
      <c r="O1040">
        <v>0.21301339999999999</v>
      </c>
      <c r="P1040">
        <v>83.92307692</v>
      </c>
      <c r="Q1040">
        <v>44.319135699999997</v>
      </c>
      <c r="R1040">
        <v>5.9548609999999997E-3</v>
      </c>
      <c r="S1040">
        <v>0.18017928</v>
      </c>
      <c r="T1040" t="s">
        <v>1015</v>
      </c>
      <c r="U1040">
        <v>0.16550116000000001</v>
      </c>
    </row>
    <row r="1041" spans="1:21" x14ac:dyDescent="0.25">
      <c r="A1041" t="s">
        <v>28</v>
      </c>
      <c r="B1041" t="s">
        <v>931</v>
      </c>
      <c r="C1041">
        <v>16</v>
      </c>
      <c r="D1041" t="s">
        <v>29</v>
      </c>
      <c r="E1041" t="s">
        <v>94</v>
      </c>
      <c r="F1041" t="s">
        <v>113</v>
      </c>
      <c r="G1041" t="s">
        <v>113</v>
      </c>
      <c r="H1041" t="s">
        <v>248</v>
      </c>
      <c r="J1041">
        <v>0</v>
      </c>
      <c r="K1041">
        <v>12</v>
      </c>
      <c r="L1041">
        <v>83.757575759999995</v>
      </c>
      <c r="M1041">
        <v>22.60997987</v>
      </c>
      <c r="N1041">
        <v>0.72884000000000004</v>
      </c>
      <c r="O1041">
        <v>0.21301339999999999</v>
      </c>
      <c r="P1041">
        <v>83.92307692</v>
      </c>
      <c r="Q1041">
        <v>44.319135699999997</v>
      </c>
      <c r="R1041">
        <v>5.9548609999999997E-3</v>
      </c>
      <c r="S1041">
        <v>0.18017928</v>
      </c>
      <c r="T1041" t="s">
        <v>1015</v>
      </c>
      <c r="U1041">
        <v>0.16550116000000001</v>
      </c>
    </row>
    <row r="1042" spans="1:21" x14ac:dyDescent="0.25">
      <c r="A1042" t="s">
        <v>28</v>
      </c>
      <c r="B1042" t="s">
        <v>931</v>
      </c>
      <c r="C1042">
        <v>16</v>
      </c>
      <c r="D1042" t="s">
        <v>29</v>
      </c>
      <c r="E1042" t="s">
        <v>94</v>
      </c>
      <c r="F1042" t="s">
        <v>113</v>
      </c>
      <c r="G1042" t="s">
        <v>113</v>
      </c>
      <c r="H1042" t="s">
        <v>248</v>
      </c>
      <c r="J1042">
        <v>0</v>
      </c>
      <c r="K1042">
        <v>12</v>
      </c>
      <c r="L1042">
        <v>83.757575759999995</v>
      </c>
      <c r="M1042">
        <v>22.60997987</v>
      </c>
      <c r="N1042">
        <v>0.72884000000000004</v>
      </c>
      <c r="O1042">
        <v>0.21301339999999999</v>
      </c>
      <c r="P1042">
        <v>83.92307692</v>
      </c>
      <c r="Q1042">
        <v>44.319135699999997</v>
      </c>
      <c r="R1042">
        <v>5.9548609999999997E-3</v>
      </c>
      <c r="S1042">
        <v>0.18017928</v>
      </c>
      <c r="T1042" t="s">
        <v>1015</v>
      </c>
      <c r="U1042">
        <v>0.16550116000000001</v>
      </c>
    </row>
    <row r="1043" spans="1:21" x14ac:dyDescent="0.25">
      <c r="A1043" t="s">
        <v>28</v>
      </c>
      <c r="B1043" t="s">
        <v>931</v>
      </c>
      <c r="C1043">
        <v>16</v>
      </c>
      <c r="D1043" t="s">
        <v>29</v>
      </c>
      <c r="E1043" t="s">
        <v>94</v>
      </c>
      <c r="F1043" t="s">
        <v>113</v>
      </c>
      <c r="G1043" t="s">
        <v>113</v>
      </c>
      <c r="H1043" t="s">
        <v>248</v>
      </c>
      <c r="J1043">
        <v>0</v>
      </c>
      <c r="K1043">
        <v>12</v>
      </c>
      <c r="L1043">
        <v>83.757575759999995</v>
      </c>
      <c r="M1043">
        <v>22.60997987</v>
      </c>
      <c r="N1043">
        <v>0.72884000000000004</v>
      </c>
      <c r="O1043">
        <v>0.21301339999999999</v>
      </c>
      <c r="P1043">
        <v>83.92307692</v>
      </c>
      <c r="Q1043">
        <v>44.319135699999997</v>
      </c>
      <c r="R1043">
        <v>5.9548609999999997E-3</v>
      </c>
      <c r="S1043">
        <v>0.18017928</v>
      </c>
      <c r="T1043" t="s">
        <v>1015</v>
      </c>
      <c r="U1043">
        <v>0.16550116000000001</v>
      </c>
    </row>
    <row r="1044" spans="1:21" x14ac:dyDescent="0.25">
      <c r="A1044" t="s">
        <v>28</v>
      </c>
      <c r="B1044" t="s">
        <v>931</v>
      </c>
      <c r="C1044">
        <v>16</v>
      </c>
      <c r="D1044" t="s">
        <v>29</v>
      </c>
      <c r="E1044" t="s">
        <v>94</v>
      </c>
      <c r="F1044" t="s">
        <v>113</v>
      </c>
      <c r="G1044" t="s">
        <v>113</v>
      </c>
      <c r="H1044" t="s">
        <v>248</v>
      </c>
      <c r="J1044">
        <v>0</v>
      </c>
      <c r="K1044">
        <v>12</v>
      </c>
      <c r="L1044">
        <v>83.757575759999995</v>
      </c>
      <c r="M1044">
        <v>22.60997987</v>
      </c>
      <c r="N1044">
        <v>0.72884000000000004</v>
      </c>
      <c r="O1044">
        <v>0.21301339999999999</v>
      </c>
      <c r="P1044">
        <v>83.92307692</v>
      </c>
      <c r="Q1044">
        <v>44.319135699999997</v>
      </c>
      <c r="R1044">
        <v>5.9548609999999997E-3</v>
      </c>
      <c r="S1044">
        <v>0.18017928</v>
      </c>
      <c r="T1044" t="s">
        <v>1015</v>
      </c>
      <c r="U1044">
        <v>0.16550116000000001</v>
      </c>
    </row>
    <row r="1045" spans="1:21" x14ac:dyDescent="0.25">
      <c r="A1045" t="s">
        <v>28</v>
      </c>
      <c r="B1045" t="s">
        <v>931</v>
      </c>
      <c r="C1045">
        <v>16</v>
      </c>
      <c r="D1045" t="s">
        <v>29</v>
      </c>
      <c r="E1045" t="s">
        <v>94</v>
      </c>
      <c r="F1045" t="s">
        <v>113</v>
      </c>
      <c r="G1045" t="s">
        <v>113</v>
      </c>
      <c r="H1045" t="s">
        <v>248</v>
      </c>
      <c r="J1045">
        <v>0</v>
      </c>
      <c r="K1045">
        <v>12</v>
      </c>
      <c r="L1045">
        <v>83.757575759999995</v>
      </c>
      <c r="M1045">
        <v>22.60997987</v>
      </c>
      <c r="N1045">
        <v>0.72884000000000004</v>
      </c>
      <c r="O1045">
        <v>0.21301339999999999</v>
      </c>
      <c r="P1045">
        <v>83.92307692</v>
      </c>
      <c r="Q1045">
        <v>44.319135699999997</v>
      </c>
      <c r="R1045">
        <v>5.9548609999999997E-3</v>
      </c>
      <c r="S1045">
        <v>0.18017928</v>
      </c>
      <c r="T1045" t="s">
        <v>1015</v>
      </c>
      <c r="U1045">
        <v>0.16550116000000001</v>
      </c>
    </row>
    <row r="1046" spans="1:21" x14ac:dyDescent="0.25">
      <c r="A1046" t="s">
        <v>28</v>
      </c>
      <c r="B1046" t="s">
        <v>931</v>
      </c>
      <c r="C1046">
        <v>16</v>
      </c>
      <c r="D1046" t="s">
        <v>29</v>
      </c>
      <c r="E1046" t="s">
        <v>94</v>
      </c>
      <c r="F1046" t="s">
        <v>113</v>
      </c>
      <c r="G1046" t="s">
        <v>113</v>
      </c>
      <c r="H1046" t="s">
        <v>248</v>
      </c>
      <c r="J1046">
        <v>0</v>
      </c>
      <c r="K1046">
        <v>12</v>
      </c>
      <c r="L1046">
        <v>83.757575759999995</v>
      </c>
      <c r="M1046">
        <v>22.60997987</v>
      </c>
      <c r="N1046">
        <v>0.72884000000000004</v>
      </c>
      <c r="O1046">
        <v>0.21301339999999999</v>
      </c>
      <c r="P1046">
        <v>83.92307692</v>
      </c>
      <c r="Q1046">
        <v>44.319135699999997</v>
      </c>
      <c r="R1046">
        <v>5.9548609999999997E-3</v>
      </c>
      <c r="S1046">
        <v>0.18017928</v>
      </c>
      <c r="T1046" t="s">
        <v>1015</v>
      </c>
      <c r="U1046">
        <v>0.16550116000000001</v>
      </c>
    </row>
    <row r="1047" spans="1:21" x14ac:dyDescent="0.25">
      <c r="A1047" t="s">
        <v>28</v>
      </c>
      <c r="B1047" t="s">
        <v>931</v>
      </c>
      <c r="C1047">
        <v>16</v>
      </c>
      <c r="D1047" t="s">
        <v>29</v>
      </c>
      <c r="E1047" t="s">
        <v>94</v>
      </c>
      <c r="F1047" t="s">
        <v>113</v>
      </c>
      <c r="G1047" t="s">
        <v>113</v>
      </c>
      <c r="H1047" t="s">
        <v>248</v>
      </c>
      <c r="J1047">
        <v>0</v>
      </c>
      <c r="K1047">
        <v>12</v>
      </c>
      <c r="L1047">
        <v>83.757575759999995</v>
      </c>
      <c r="M1047">
        <v>22.60997987</v>
      </c>
      <c r="N1047">
        <v>0.72884000000000004</v>
      </c>
      <c r="O1047">
        <v>0.21301339999999999</v>
      </c>
      <c r="P1047">
        <v>83.92307692</v>
      </c>
      <c r="Q1047">
        <v>44.319135699999997</v>
      </c>
      <c r="R1047">
        <v>5.9548609999999997E-3</v>
      </c>
      <c r="S1047">
        <v>0.18017928</v>
      </c>
      <c r="T1047" t="s">
        <v>1015</v>
      </c>
      <c r="U1047">
        <v>0.16550116000000001</v>
      </c>
    </row>
    <row r="1048" spans="1:21" x14ac:dyDescent="0.25">
      <c r="A1048" t="s">
        <v>28</v>
      </c>
      <c r="B1048" t="s">
        <v>931</v>
      </c>
      <c r="C1048">
        <v>16</v>
      </c>
      <c r="D1048" t="s">
        <v>29</v>
      </c>
      <c r="E1048" t="s">
        <v>94</v>
      </c>
      <c r="F1048" t="s">
        <v>113</v>
      </c>
      <c r="G1048" t="s">
        <v>113</v>
      </c>
      <c r="H1048" t="s">
        <v>248</v>
      </c>
      <c r="J1048">
        <v>0</v>
      </c>
      <c r="K1048">
        <v>12</v>
      </c>
      <c r="L1048">
        <v>83.757575759999995</v>
      </c>
      <c r="M1048">
        <v>22.60997987</v>
      </c>
      <c r="N1048">
        <v>0.72884000000000004</v>
      </c>
      <c r="O1048">
        <v>0.21301339999999999</v>
      </c>
      <c r="P1048">
        <v>83.92307692</v>
      </c>
      <c r="Q1048">
        <v>44.319135699999997</v>
      </c>
      <c r="R1048">
        <v>5.9548609999999997E-3</v>
      </c>
      <c r="S1048">
        <v>0.18017928</v>
      </c>
      <c r="T1048" t="s">
        <v>1015</v>
      </c>
      <c r="U1048">
        <v>0.16550116000000001</v>
      </c>
    </row>
    <row r="1049" spans="1:21" x14ac:dyDescent="0.25">
      <c r="A1049" t="s">
        <v>28</v>
      </c>
      <c r="B1049" t="s">
        <v>931</v>
      </c>
      <c r="C1049">
        <v>16</v>
      </c>
      <c r="D1049" t="s">
        <v>29</v>
      </c>
      <c r="E1049" t="s">
        <v>94</v>
      </c>
      <c r="F1049" t="s">
        <v>113</v>
      </c>
      <c r="G1049" t="s">
        <v>113</v>
      </c>
      <c r="H1049" t="s">
        <v>248</v>
      </c>
      <c r="J1049">
        <v>0</v>
      </c>
      <c r="K1049">
        <v>12</v>
      </c>
      <c r="L1049">
        <v>83.757575759999995</v>
      </c>
      <c r="M1049">
        <v>22.60997987</v>
      </c>
      <c r="N1049">
        <v>0.72884000000000004</v>
      </c>
      <c r="O1049">
        <v>0.21301339999999999</v>
      </c>
      <c r="P1049">
        <v>83.92307692</v>
      </c>
      <c r="Q1049">
        <v>44.319135699999997</v>
      </c>
      <c r="R1049">
        <v>5.9548609999999997E-3</v>
      </c>
      <c r="S1049">
        <v>0.18017928</v>
      </c>
      <c r="T1049" t="s">
        <v>1015</v>
      </c>
      <c r="U1049">
        <v>0.16550116000000001</v>
      </c>
    </row>
    <row r="1050" spans="1:21" x14ac:dyDescent="0.25">
      <c r="A1050" t="s">
        <v>28</v>
      </c>
      <c r="B1050" t="s">
        <v>931</v>
      </c>
      <c r="C1050">
        <v>16</v>
      </c>
      <c r="D1050" t="s">
        <v>29</v>
      </c>
      <c r="E1050" t="s">
        <v>94</v>
      </c>
      <c r="F1050" t="s">
        <v>113</v>
      </c>
      <c r="G1050" t="s">
        <v>113</v>
      </c>
      <c r="H1050" t="s">
        <v>248</v>
      </c>
      <c r="J1050">
        <v>0</v>
      </c>
      <c r="K1050">
        <v>12</v>
      </c>
      <c r="L1050">
        <v>83.757575759999995</v>
      </c>
      <c r="M1050">
        <v>22.60997987</v>
      </c>
      <c r="N1050">
        <v>0.72884000000000004</v>
      </c>
      <c r="O1050">
        <v>0.21301339999999999</v>
      </c>
      <c r="P1050">
        <v>83.92307692</v>
      </c>
      <c r="Q1050">
        <v>44.319135699999997</v>
      </c>
      <c r="R1050">
        <v>5.9548609999999997E-3</v>
      </c>
      <c r="S1050">
        <v>0.18017928</v>
      </c>
      <c r="T1050" t="s">
        <v>1015</v>
      </c>
      <c r="U1050">
        <v>0.16550116000000001</v>
      </c>
    </row>
    <row r="1051" spans="1:21" x14ac:dyDescent="0.25">
      <c r="A1051" t="s">
        <v>28</v>
      </c>
      <c r="B1051" t="s">
        <v>931</v>
      </c>
      <c r="C1051">
        <v>16</v>
      </c>
      <c r="D1051" t="s">
        <v>29</v>
      </c>
      <c r="E1051" t="s">
        <v>94</v>
      </c>
      <c r="F1051" t="s">
        <v>113</v>
      </c>
      <c r="G1051" t="s">
        <v>113</v>
      </c>
      <c r="H1051" t="s">
        <v>248</v>
      </c>
      <c r="J1051">
        <v>0</v>
      </c>
      <c r="K1051">
        <v>12</v>
      </c>
      <c r="L1051">
        <v>83.757575759999995</v>
      </c>
      <c r="M1051">
        <v>22.60997987</v>
      </c>
      <c r="N1051">
        <v>0.72884000000000004</v>
      </c>
      <c r="O1051">
        <v>0.21301339999999999</v>
      </c>
      <c r="P1051">
        <v>83.92307692</v>
      </c>
      <c r="Q1051">
        <v>44.319135699999997</v>
      </c>
      <c r="R1051">
        <v>5.9548609999999997E-3</v>
      </c>
      <c r="S1051">
        <v>0.18017928</v>
      </c>
      <c r="T1051" t="s">
        <v>1015</v>
      </c>
      <c r="U1051">
        <v>0.16550116000000001</v>
      </c>
    </row>
    <row r="1052" spans="1:21" x14ac:dyDescent="0.25">
      <c r="A1052" t="s">
        <v>28</v>
      </c>
      <c r="B1052" t="s">
        <v>931</v>
      </c>
      <c r="C1052">
        <v>17</v>
      </c>
      <c r="D1052" t="s">
        <v>29</v>
      </c>
      <c r="E1052" t="s">
        <v>94</v>
      </c>
      <c r="F1052" t="s">
        <v>113</v>
      </c>
      <c r="G1052" t="s">
        <v>113</v>
      </c>
      <c r="H1052" t="s">
        <v>247</v>
      </c>
      <c r="J1052">
        <v>0</v>
      </c>
      <c r="K1052">
        <v>1</v>
      </c>
      <c r="L1052">
        <v>83.757575759999995</v>
      </c>
      <c r="M1052">
        <v>22.60997987</v>
      </c>
      <c r="N1052">
        <v>0.72884000000000004</v>
      </c>
      <c r="O1052">
        <v>0.21301339999999999</v>
      </c>
      <c r="P1052">
        <v>65.791044779999993</v>
      </c>
      <c r="Q1052">
        <v>22.94519201</v>
      </c>
      <c r="R1052">
        <v>8.1320334999999994E-2</v>
      </c>
      <c r="S1052">
        <v>0.17285655</v>
      </c>
      <c r="T1052" t="s">
        <v>1015</v>
      </c>
      <c r="U1052">
        <v>17.966530980000002</v>
      </c>
    </row>
    <row r="1053" spans="1:21" x14ac:dyDescent="0.25">
      <c r="A1053" t="s">
        <v>28</v>
      </c>
      <c r="B1053" t="s">
        <v>931</v>
      </c>
      <c r="C1053">
        <v>18</v>
      </c>
      <c r="D1053" t="s">
        <v>29</v>
      </c>
      <c r="E1053" t="s">
        <v>94</v>
      </c>
      <c r="F1053" t="s">
        <v>113</v>
      </c>
      <c r="G1053" t="s">
        <v>113</v>
      </c>
      <c r="H1053" t="s">
        <v>239</v>
      </c>
      <c r="J1053">
        <v>0</v>
      </c>
      <c r="K1053">
        <v>1</v>
      </c>
      <c r="L1053">
        <v>83.757575759999995</v>
      </c>
      <c r="M1053">
        <v>22.60997987</v>
      </c>
      <c r="N1053">
        <v>0.72884000000000004</v>
      </c>
      <c r="O1053">
        <v>0.21301339999999999</v>
      </c>
      <c r="P1053">
        <v>100.45454549999999</v>
      </c>
      <c r="Q1053">
        <v>26.754810689999999</v>
      </c>
      <c r="R1053">
        <v>0.75829999999999997</v>
      </c>
      <c r="S1053">
        <v>0.40907861000000001</v>
      </c>
      <c r="T1053" t="s">
        <v>1015</v>
      </c>
      <c r="U1053">
        <v>16.69696974</v>
      </c>
    </row>
    <row r="1054" spans="1:21" x14ac:dyDescent="0.25">
      <c r="A1054" t="s">
        <v>28</v>
      </c>
      <c r="B1054" t="s">
        <v>932</v>
      </c>
      <c r="C1054">
        <v>15</v>
      </c>
      <c r="D1054" t="s">
        <v>29</v>
      </c>
      <c r="E1054" t="s">
        <v>94</v>
      </c>
      <c r="F1054" t="s">
        <v>103</v>
      </c>
      <c r="G1054" t="s">
        <v>102</v>
      </c>
      <c r="H1054" t="s">
        <v>102</v>
      </c>
      <c r="J1054">
        <v>0</v>
      </c>
      <c r="K1054">
        <v>1</v>
      </c>
      <c r="L1054">
        <v>98.291666669999998</v>
      </c>
      <c r="M1054">
        <v>30.315130790000001</v>
      </c>
      <c r="N1054">
        <v>5.0803484000000003E-2</v>
      </c>
      <c r="O1054">
        <v>0.42866070000000001</v>
      </c>
      <c r="P1054">
        <v>84.740740740000007</v>
      </c>
      <c r="Q1054">
        <v>29.167014049999999</v>
      </c>
      <c r="R1054">
        <v>1.1169849999999999</v>
      </c>
      <c r="S1054">
        <v>1.1571499000000001</v>
      </c>
      <c r="T1054" t="s">
        <v>1015</v>
      </c>
      <c r="U1054">
        <v>13.55092593</v>
      </c>
    </row>
    <row r="1055" spans="1:21" x14ac:dyDescent="0.25">
      <c r="A1055" t="s">
        <v>28</v>
      </c>
      <c r="B1055" t="s">
        <v>932</v>
      </c>
      <c r="C1055">
        <v>16</v>
      </c>
      <c r="D1055" t="s">
        <v>29</v>
      </c>
      <c r="E1055" t="s">
        <v>94</v>
      </c>
      <c r="F1055" t="s">
        <v>103</v>
      </c>
      <c r="G1055" t="s">
        <v>102</v>
      </c>
      <c r="H1055" t="s">
        <v>103</v>
      </c>
      <c r="J1055">
        <v>0</v>
      </c>
      <c r="K1055">
        <v>2</v>
      </c>
      <c r="L1055">
        <v>98.291666669999998</v>
      </c>
      <c r="M1055">
        <v>30.315130790000001</v>
      </c>
      <c r="N1055">
        <v>5.0803484000000003E-2</v>
      </c>
      <c r="O1055">
        <v>0.42866070000000001</v>
      </c>
      <c r="P1055">
        <v>98.291666669999998</v>
      </c>
      <c r="Q1055">
        <v>30.315130790000001</v>
      </c>
      <c r="R1055">
        <v>5.0803484000000003E-2</v>
      </c>
      <c r="S1055">
        <v>0.42866070000000001</v>
      </c>
      <c r="T1055" t="s">
        <v>1015</v>
      </c>
      <c r="U1055">
        <v>0</v>
      </c>
    </row>
    <row r="1056" spans="1:21" x14ac:dyDescent="0.25">
      <c r="A1056" t="s">
        <v>28</v>
      </c>
      <c r="B1056" t="s">
        <v>932</v>
      </c>
      <c r="C1056">
        <v>16</v>
      </c>
      <c r="D1056" t="s">
        <v>29</v>
      </c>
      <c r="E1056" t="s">
        <v>94</v>
      </c>
      <c r="F1056" t="s">
        <v>103</v>
      </c>
      <c r="G1056" t="s">
        <v>102</v>
      </c>
      <c r="H1056" t="s">
        <v>103</v>
      </c>
      <c r="J1056">
        <v>0</v>
      </c>
      <c r="K1056">
        <v>2</v>
      </c>
      <c r="L1056">
        <v>98.291666669999998</v>
      </c>
      <c r="M1056">
        <v>30.315130790000001</v>
      </c>
      <c r="N1056">
        <v>5.0803484000000003E-2</v>
      </c>
      <c r="O1056">
        <v>0.42866070000000001</v>
      </c>
      <c r="P1056">
        <v>98.291666669999998</v>
      </c>
      <c r="Q1056">
        <v>30.315130790000001</v>
      </c>
      <c r="R1056">
        <v>5.0803484000000003E-2</v>
      </c>
      <c r="S1056">
        <v>0.42866070000000001</v>
      </c>
      <c r="T1056" t="s">
        <v>1015</v>
      </c>
      <c r="U1056">
        <v>0</v>
      </c>
    </row>
    <row r="1057" spans="1:21" x14ac:dyDescent="0.25">
      <c r="A1057" t="s">
        <v>28</v>
      </c>
      <c r="B1057" t="s">
        <v>933</v>
      </c>
      <c r="C1057">
        <v>15</v>
      </c>
      <c r="D1057" t="s">
        <v>29</v>
      </c>
      <c r="E1057" t="s">
        <v>94</v>
      </c>
      <c r="F1057" t="s">
        <v>111</v>
      </c>
      <c r="G1057" t="s">
        <v>121</v>
      </c>
      <c r="H1057" t="s">
        <v>247</v>
      </c>
      <c r="J1057">
        <v>0</v>
      </c>
      <c r="K1057">
        <v>1</v>
      </c>
      <c r="L1057">
        <v>94.97142857</v>
      </c>
      <c r="M1057">
        <v>24.31591813</v>
      </c>
      <c r="N1057">
        <v>0.122951111</v>
      </c>
      <c r="O1057">
        <v>0.39050790000000002</v>
      </c>
      <c r="P1057">
        <v>65.791044779999993</v>
      </c>
      <c r="Q1057">
        <v>22.94519201</v>
      </c>
      <c r="R1057">
        <v>8.1320334999999994E-2</v>
      </c>
      <c r="S1057">
        <v>0.17285655</v>
      </c>
      <c r="T1057" t="s">
        <v>1015</v>
      </c>
      <c r="U1057">
        <v>29.18038379</v>
      </c>
    </row>
    <row r="1058" spans="1:21" x14ac:dyDescent="0.25">
      <c r="A1058" t="s">
        <v>28</v>
      </c>
      <c r="B1058" t="s">
        <v>933</v>
      </c>
      <c r="C1058">
        <v>16</v>
      </c>
      <c r="D1058" t="s">
        <v>29</v>
      </c>
      <c r="E1058" t="s">
        <v>94</v>
      </c>
      <c r="F1058" t="s">
        <v>111</v>
      </c>
      <c r="G1058" t="s">
        <v>121</v>
      </c>
      <c r="H1058" t="s">
        <v>113</v>
      </c>
      <c r="J1058">
        <v>0</v>
      </c>
      <c r="K1058">
        <v>3</v>
      </c>
      <c r="L1058">
        <v>94.97142857</v>
      </c>
      <c r="M1058">
        <v>24.31591813</v>
      </c>
      <c r="N1058">
        <v>0.122951111</v>
      </c>
      <c r="O1058">
        <v>0.39050790000000002</v>
      </c>
      <c r="P1058">
        <v>83.757575759999995</v>
      </c>
      <c r="Q1058">
        <v>22.60997987</v>
      </c>
      <c r="R1058">
        <v>0.72884000000000004</v>
      </c>
      <c r="S1058">
        <v>0.21301339999999999</v>
      </c>
      <c r="T1058" t="s">
        <v>1015</v>
      </c>
      <c r="U1058">
        <v>11.213852810000001</v>
      </c>
    </row>
    <row r="1059" spans="1:21" x14ac:dyDescent="0.25">
      <c r="A1059" t="s">
        <v>28</v>
      </c>
      <c r="B1059" t="s">
        <v>933</v>
      </c>
      <c r="C1059">
        <v>16</v>
      </c>
      <c r="D1059" t="s">
        <v>29</v>
      </c>
      <c r="E1059" t="s">
        <v>94</v>
      </c>
      <c r="F1059" t="s">
        <v>111</v>
      </c>
      <c r="G1059" t="s">
        <v>121</v>
      </c>
      <c r="H1059" t="s">
        <v>113</v>
      </c>
      <c r="J1059">
        <v>0</v>
      </c>
      <c r="K1059">
        <v>3</v>
      </c>
      <c r="L1059">
        <v>94.97142857</v>
      </c>
      <c r="M1059">
        <v>24.31591813</v>
      </c>
      <c r="N1059">
        <v>0.122951111</v>
      </c>
      <c r="O1059">
        <v>0.39050790000000002</v>
      </c>
      <c r="P1059">
        <v>83.757575759999995</v>
      </c>
      <c r="Q1059">
        <v>22.60997987</v>
      </c>
      <c r="R1059">
        <v>0.72884000000000004</v>
      </c>
      <c r="S1059">
        <v>0.21301339999999999</v>
      </c>
      <c r="T1059" t="s">
        <v>1015</v>
      </c>
      <c r="U1059">
        <v>11.213852810000001</v>
      </c>
    </row>
    <row r="1060" spans="1:21" x14ac:dyDescent="0.25">
      <c r="A1060" t="s">
        <v>28</v>
      </c>
      <c r="B1060" t="s">
        <v>933</v>
      </c>
      <c r="C1060">
        <v>16</v>
      </c>
      <c r="D1060" t="s">
        <v>29</v>
      </c>
      <c r="E1060" t="s">
        <v>94</v>
      </c>
      <c r="F1060" t="s">
        <v>111</v>
      </c>
      <c r="G1060" t="s">
        <v>121</v>
      </c>
      <c r="H1060" t="s">
        <v>113</v>
      </c>
      <c r="J1060">
        <v>0</v>
      </c>
      <c r="K1060">
        <v>3</v>
      </c>
      <c r="L1060">
        <v>94.97142857</v>
      </c>
      <c r="M1060">
        <v>24.31591813</v>
      </c>
      <c r="N1060">
        <v>0.122951111</v>
      </c>
      <c r="O1060">
        <v>0.39050790000000002</v>
      </c>
      <c r="P1060">
        <v>83.757575759999995</v>
      </c>
      <c r="Q1060">
        <v>22.60997987</v>
      </c>
      <c r="R1060">
        <v>0.72884000000000004</v>
      </c>
      <c r="S1060">
        <v>0.21301339999999999</v>
      </c>
      <c r="T1060" t="s">
        <v>1015</v>
      </c>
      <c r="U1060">
        <v>11.213852810000001</v>
      </c>
    </row>
    <row r="1061" spans="1:21" x14ac:dyDescent="0.25">
      <c r="A1061" t="s">
        <v>28</v>
      </c>
      <c r="B1061" t="s">
        <v>933</v>
      </c>
      <c r="C1061">
        <v>17</v>
      </c>
      <c r="D1061" t="s">
        <v>29</v>
      </c>
      <c r="E1061" t="s">
        <v>94</v>
      </c>
      <c r="F1061" t="s">
        <v>111</v>
      </c>
      <c r="G1061" t="s">
        <v>121</v>
      </c>
      <c r="H1061" t="s">
        <v>248</v>
      </c>
      <c r="J1061">
        <v>0</v>
      </c>
      <c r="K1061">
        <v>1</v>
      </c>
      <c r="L1061">
        <v>94.97142857</v>
      </c>
      <c r="M1061">
        <v>24.31591813</v>
      </c>
      <c r="N1061">
        <v>0.122951111</v>
      </c>
      <c r="O1061">
        <v>0.39050790000000002</v>
      </c>
      <c r="P1061">
        <v>83.92307692</v>
      </c>
      <c r="Q1061">
        <v>44.319135699999997</v>
      </c>
      <c r="R1061">
        <v>5.9548609999999997E-3</v>
      </c>
      <c r="S1061">
        <v>0.18017928</v>
      </c>
      <c r="T1061" t="s">
        <v>1015</v>
      </c>
      <c r="U1061">
        <v>11.048351650000001</v>
      </c>
    </row>
    <row r="1062" spans="1:21" x14ac:dyDescent="0.25">
      <c r="A1062" t="s">
        <v>28</v>
      </c>
      <c r="B1062" t="s">
        <v>934</v>
      </c>
      <c r="C1062">
        <v>15</v>
      </c>
      <c r="D1062" t="s">
        <v>29</v>
      </c>
      <c r="E1062" t="s">
        <v>94</v>
      </c>
      <c r="F1062" t="s">
        <v>112</v>
      </c>
      <c r="G1062" t="s">
        <v>121</v>
      </c>
      <c r="H1062" t="s">
        <v>103</v>
      </c>
      <c r="J1062">
        <v>0</v>
      </c>
      <c r="K1062">
        <v>4</v>
      </c>
      <c r="L1062">
        <v>65.09375</v>
      </c>
      <c r="M1062">
        <v>37.895352600000002</v>
      </c>
      <c r="N1062">
        <v>2.2882677779999998</v>
      </c>
      <c r="O1062">
        <v>2.2111774</v>
      </c>
      <c r="P1062">
        <v>98.291666669999998</v>
      </c>
      <c r="Q1062">
        <v>30.315130790000001</v>
      </c>
      <c r="R1062">
        <v>5.0803484000000003E-2</v>
      </c>
      <c r="S1062">
        <v>0.42866070000000001</v>
      </c>
      <c r="T1062" t="s">
        <v>1015</v>
      </c>
      <c r="U1062">
        <v>33.197916669999998</v>
      </c>
    </row>
    <row r="1063" spans="1:21" x14ac:dyDescent="0.25">
      <c r="A1063" t="s">
        <v>28</v>
      </c>
      <c r="B1063" t="s">
        <v>934</v>
      </c>
      <c r="C1063">
        <v>15</v>
      </c>
      <c r="D1063" t="s">
        <v>29</v>
      </c>
      <c r="E1063" t="s">
        <v>94</v>
      </c>
      <c r="F1063" t="s">
        <v>112</v>
      </c>
      <c r="G1063" t="s">
        <v>121</v>
      </c>
      <c r="H1063" t="s">
        <v>103</v>
      </c>
      <c r="J1063">
        <v>0</v>
      </c>
      <c r="K1063">
        <v>4</v>
      </c>
      <c r="L1063">
        <v>65.09375</v>
      </c>
      <c r="M1063">
        <v>37.895352600000002</v>
      </c>
      <c r="N1063">
        <v>2.2882677779999998</v>
      </c>
      <c r="O1063">
        <v>2.2111774</v>
      </c>
      <c r="P1063">
        <v>98.291666669999998</v>
      </c>
      <c r="Q1063">
        <v>30.315130790000001</v>
      </c>
      <c r="R1063">
        <v>5.0803484000000003E-2</v>
      </c>
      <c r="S1063">
        <v>0.42866070000000001</v>
      </c>
      <c r="T1063" t="s">
        <v>1015</v>
      </c>
      <c r="U1063">
        <v>33.197916669999998</v>
      </c>
    </row>
    <row r="1064" spans="1:21" x14ac:dyDescent="0.25">
      <c r="A1064" t="s">
        <v>28</v>
      </c>
      <c r="B1064" t="s">
        <v>934</v>
      </c>
      <c r="C1064">
        <v>15</v>
      </c>
      <c r="D1064" t="s">
        <v>29</v>
      </c>
      <c r="E1064" t="s">
        <v>94</v>
      </c>
      <c r="F1064" t="s">
        <v>112</v>
      </c>
      <c r="G1064" t="s">
        <v>121</v>
      </c>
      <c r="H1064" t="s">
        <v>103</v>
      </c>
      <c r="J1064">
        <v>0</v>
      </c>
      <c r="K1064">
        <v>4</v>
      </c>
      <c r="L1064">
        <v>65.09375</v>
      </c>
      <c r="M1064">
        <v>37.895352600000002</v>
      </c>
      <c r="N1064">
        <v>2.2882677779999998</v>
      </c>
      <c r="O1064">
        <v>2.2111774</v>
      </c>
      <c r="P1064">
        <v>98.291666669999998</v>
      </c>
      <c r="Q1064">
        <v>30.315130790000001</v>
      </c>
      <c r="R1064">
        <v>5.0803484000000003E-2</v>
      </c>
      <c r="S1064">
        <v>0.42866070000000001</v>
      </c>
      <c r="T1064" t="s">
        <v>1015</v>
      </c>
      <c r="U1064">
        <v>33.197916669999998</v>
      </c>
    </row>
    <row r="1065" spans="1:21" x14ac:dyDescent="0.25">
      <c r="A1065" t="s">
        <v>28</v>
      </c>
      <c r="B1065" t="s">
        <v>934</v>
      </c>
      <c r="C1065">
        <v>15</v>
      </c>
      <c r="D1065" t="s">
        <v>29</v>
      </c>
      <c r="E1065" t="s">
        <v>94</v>
      </c>
      <c r="F1065" t="s">
        <v>112</v>
      </c>
      <c r="G1065" t="s">
        <v>121</v>
      </c>
      <c r="H1065" t="s">
        <v>103</v>
      </c>
      <c r="J1065">
        <v>0</v>
      </c>
      <c r="K1065">
        <v>4</v>
      </c>
      <c r="L1065">
        <v>65.09375</v>
      </c>
      <c r="M1065">
        <v>37.895352600000002</v>
      </c>
      <c r="N1065">
        <v>2.2882677779999998</v>
      </c>
      <c r="O1065">
        <v>2.2111774</v>
      </c>
      <c r="P1065">
        <v>98.291666669999998</v>
      </c>
      <c r="Q1065">
        <v>30.315130790000001</v>
      </c>
      <c r="R1065">
        <v>5.0803484000000003E-2</v>
      </c>
      <c r="S1065">
        <v>0.42866070000000001</v>
      </c>
      <c r="T1065" t="s">
        <v>1015</v>
      </c>
      <c r="U1065">
        <v>33.197916669999998</v>
      </c>
    </row>
    <row r="1066" spans="1:21" x14ac:dyDescent="0.25">
      <c r="A1066" t="s">
        <v>28</v>
      </c>
      <c r="B1066" t="s">
        <v>934</v>
      </c>
      <c r="C1066">
        <v>16</v>
      </c>
      <c r="D1066" t="s">
        <v>29</v>
      </c>
      <c r="E1066" t="s">
        <v>94</v>
      </c>
      <c r="F1066" t="s">
        <v>112</v>
      </c>
      <c r="G1066" t="s">
        <v>121</v>
      </c>
      <c r="H1066" t="s">
        <v>113</v>
      </c>
      <c r="J1066">
        <v>0</v>
      </c>
      <c r="K1066">
        <v>6</v>
      </c>
      <c r="L1066">
        <v>65.09375</v>
      </c>
      <c r="M1066">
        <v>37.895352600000002</v>
      </c>
      <c r="N1066">
        <v>2.2882677779999998</v>
      </c>
      <c r="O1066">
        <v>2.2111774</v>
      </c>
      <c r="P1066">
        <v>83.757575759999995</v>
      </c>
      <c r="Q1066">
        <v>22.60997987</v>
      </c>
      <c r="R1066">
        <v>0.72884000000000004</v>
      </c>
      <c r="S1066">
        <v>0.21301339999999999</v>
      </c>
      <c r="T1066" t="s">
        <v>1015</v>
      </c>
      <c r="U1066">
        <v>18.663825760000002</v>
      </c>
    </row>
    <row r="1067" spans="1:21" x14ac:dyDescent="0.25">
      <c r="A1067" t="s">
        <v>28</v>
      </c>
      <c r="B1067" t="s">
        <v>934</v>
      </c>
      <c r="C1067">
        <v>16</v>
      </c>
      <c r="D1067" t="s">
        <v>29</v>
      </c>
      <c r="E1067" t="s">
        <v>94</v>
      </c>
      <c r="F1067" t="s">
        <v>112</v>
      </c>
      <c r="G1067" t="s">
        <v>121</v>
      </c>
      <c r="H1067" t="s">
        <v>113</v>
      </c>
      <c r="J1067">
        <v>0</v>
      </c>
      <c r="K1067">
        <v>6</v>
      </c>
      <c r="L1067">
        <v>65.09375</v>
      </c>
      <c r="M1067">
        <v>37.895352600000002</v>
      </c>
      <c r="N1067">
        <v>2.2882677779999998</v>
      </c>
      <c r="O1067">
        <v>2.2111774</v>
      </c>
      <c r="P1067">
        <v>83.757575759999995</v>
      </c>
      <c r="Q1067">
        <v>22.60997987</v>
      </c>
      <c r="R1067">
        <v>0.72884000000000004</v>
      </c>
      <c r="S1067">
        <v>0.21301339999999999</v>
      </c>
      <c r="T1067" t="s">
        <v>1015</v>
      </c>
      <c r="U1067">
        <v>18.663825760000002</v>
      </c>
    </row>
    <row r="1068" spans="1:21" x14ac:dyDescent="0.25">
      <c r="A1068" t="s">
        <v>28</v>
      </c>
      <c r="B1068" t="s">
        <v>934</v>
      </c>
      <c r="C1068">
        <v>16</v>
      </c>
      <c r="D1068" t="s">
        <v>29</v>
      </c>
      <c r="E1068" t="s">
        <v>94</v>
      </c>
      <c r="F1068" t="s">
        <v>112</v>
      </c>
      <c r="G1068" t="s">
        <v>121</v>
      </c>
      <c r="H1068" t="s">
        <v>113</v>
      </c>
      <c r="J1068">
        <v>0</v>
      </c>
      <c r="K1068">
        <v>6</v>
      </c>
      <c r="L1068">
        <v>65.09375</v>
      </c>
      <c r="M1068">
        <v>37.895352600000002</v>
      </c>
      <c r="N1068">
        <v>2.2882677779999998</v>
      </c>
      <c r="O1068">
        <v>2.2111774</v>
      </c>
      <c r="P1068">
        <v>83.757575759999995</v>
      </c>
      <c r="Q1068">
        <v>22.60997987</v>
      </c>
      <c r="R1068">
        <v>0.72884000000000004</v>
      </c>
      <c r="S1068">
        <v>0.21301339999999999</v>
      </c>
      <c r="T1068" t="s">
        <v>1015</v>
      </c>
      <c r="U1068">
        <v>18.663825760000002</v>
      </c>
    </row>
    <row r="1069" spans="1:21" x14ac:dyDescent="0.25">
      <c r="A1069" t="s">
        <v>28</v>
      </c>
      <c r="B1069" t="s">
        <v>934</v>
      </c>
      <c r="C1069">
        <v>16</v>
      </c>
      <c r="D1069" t="s">
        <v>29</v>
      </c>
      <c r="E1069" t="s">
        <v>94</v>
      </c>
      <c r="F1069" t="s">
        <v>112</v>
      </c>
      <c r="G1069" t="s">
        <v>121</v>
      </c>
      <c r="H1069" t="s">
        <v>113</v>
      </c>
      <c r="J1069">
        <v>0</v>
      </c>
      <c r="K1069">
        <v>6</v>
      </c>
      <c r="L1069">
        <v>65.09375</v>
      </c>
      <c r="M1069">
        <v>37.895352600000002</v>
      </c>
      <c r="N1069">
        <v>2.2882677779999998</v>
      </c>
      <c r="O1069">
        <v>2.2111774</v>
      </c>
      <c r="P1069">
        <v>83.757575759999995</v>
      </c>
      <c r="Q1069">
        <v>22.60997987</v>
      </c>
      <c r="R1069">
        <v>0.72884000000000004</v>
      </c>
      <c r="S1069">
        <v>0.21301339999999999</v>
      </c>
      <c r="T1069" t="s">
        <v>1015</v>
      </c>
      <c r="U1069">
        <v>18.663825760000002</v>
      </c>
    </row>
    <row r="1070" spans="1:21" x14ac:dyDescent="0.25">
      <c r="A1070" t="s">
        <v>28</v>
      </c>
      <c r="B1070" t="s">
        <v>934</v>
      </c>
      <c r="C1070">
        <v>16</v>
      </c>
      <c r="D1070" t="s">
        <v>29</v>
      </c>
      <c r="E1070" t="s">
        <v>94</v>
      </c>
      <c r="F1070" t="s">
        <v>112</v>
      </c>
      <c r="G1070" t="s">
        <v>121</v>
      </c>
      <c r="H1070" t="s">
        <v>113</v>
      </c>
      <c r="J1070">
        <v>0</v>
      </c>
      <c r="K1070">
        <v>6</v>
      </c>
      <c r="L1070">
        <v>65.09375</v>
      </c>
      <c r="M1070">
        <v>37.895352600000002</v>
      </c>
      <c r="N1070">
        <v>2.2882677779999998</v>
      </c>
      <c r="O1070">
        <v>2.2111774</v>
      </c>
      <c r="P1070">
        <v>83.757575759999995</v>
      </c>
      <c r="Q1070">
        <v>22.60997987</v>
      </c>
      <c r="R1070">
        <v>0.72884000000000004</v>
      </c>
      <c r="S1070">
        <v>0.21301339999999999</v>
      </c>
      <c r="T1070" t="s">
        <v>1015</v>
      </c>
      <c r="U1070">
        <v>18.663825760000002</v>
      </c>
    </row>
    <row r="1071" spans="1:21" x14ac:dyDescent="0.25">
      <c r="A1071" t="s">
        <v>28</v>
      </c>
      <c r="B1071" t="s">
        <v>934</v>
      </c>
      <c r="C1071">
        <v>16</v>
      </c>
      <c r="D1071" t="s">
        <v>29</v>
      </c>
      <c r="E1071" t="s">
        <v>94</v>
      </c>
      <c r="F1071" t="s">
        <v>112</v>
      </c>
      <c r="G1071" t="s">
        <v>121</v>
      </c>
      <c r="H1071" t="s">
        <v>113</v>
      </c>
      <c r="J1071">
        <v>0</v>
      </c>
      <c r="K1071">
        <v>6</v>
      </c>
      <c r="L1071">
        <v>65.09375</v>
      </c>
      <c r="M1071">
        <v>37.895352600000002</v>
      </c>
      <c r="N1071">
        <v>2.2882677779999998</v>
      </c>
      <c r="O1071">
        <v>2.2111774</v>
      </c>
      <c r="P1071">
        <v>83.757575759999995</v>
      </c>
      <c r="Q1071">
        <v>22.60997987</v>
      </c>
      <c r="R1071">
        <v>0.72884000000000004</v>
      </c>
      <c r="S1071">
        <v>0.21301339999999999</v>
      </c>
      <c r="T1071" t="s">
        <v>1015</v>
      </c>
      <c r="U1071">
        <v>18.663825760000002</v>
      </c>
    </row>
    <row r="1072" spans="1:21" x14ac:dyDescent="0.25">
      <c r="A1072" t="s">
        <v>28</v>
      </c>
      <c r="B1072" t="s">
        <v>934</v>
      </c>
      <c r="C1072">
        <v>17</v>
      </c>
      <c r="D1072" t="s">
        <v>29</v>
      </c>
      <c r="E1072" t="s">
        <v>94</v>
      </c>
      <c r="F1072" t="s">
        <v>112</v>
      </c>
      <c r="G1072" t="s">
        <v>121</v>
      </c>
      <c r="H1072" t="s">
        <v>248</v>
      </c>
      <c r="J1072">
        <v>0</v>
      </c>
      <c r="K1072">
        <v>3</v>
      </c>
      <c r="L1072">
        <v>65.09375</v>
      </c>
      <c r="M1072">
        <v>37.895352600000002</v>
      </c>
      <c r="N1072">
        <v>2.2882677779999998</v>
      </c>
      <c r="O1072">
        <v>2.2111774</v>
      </c>
      <c r="P1072">
        <v>83.92307692</v>
      </c>
      <c r="Q1072">
        <v>44.319135699999997</v>
      </c>
      <c r="R1072">
        <v>5.9548609999999997E-3</v>
      </c>
      <c r="S1072">
        <v>0.18017928</v>
      </c>
      <c r="T1072" t="s">
        <v>1015</v>
      </c>
      <c r="U1072">
        <v>18.82932692</v>
      </c>
    </row>
    <row r="1073" spans="1:21" x14ac:dyDescent="0.25">
      <c r="A1073" t="s">
        <v>28</v>
      </c>
      <c r="B1073" t="s">
        <v>934</v>
      </c>
      <c r="C1073">
        <v>17</v>
      </c>
      <c r="D1073" t="s">
        <v>29</v>
      </c>
      <c r="E1073" t="s">
        <v>94</v>
      </c>
      <c r="F1073" t="s">
        <v>112</v>
      </c>
      <c r="G1073" t="s">
        <v>121</v>
      </c>
      <c r="H1073" t="s">
        <v>248</v>
      </c>
      <c r="J1073">
        <v>0</v>
      </c>
      <c r="K1073">
        <v>3</v>
      </c>
      <c r="L1073">
        <v>65.09375</v>
      </c>
      <c r="M1073">
        <v>37.895352600000002</v>
      </c>
      <c r="N1073">
        <v>2.2882677779999998</v>
      </c>
      <c r="O1073">
        <v>2.2111774</v>
      </c>
      <c r="P1073">
        <v>83.92307692</v>
      </c>
      <c r="Q1073">
        <v>44.319135699999997</v>
      </c>
      <c r="R1073">
        <v>5.9548609999999997E-3</v>
      </c>
      <c r="S1073">
        <v>0.18017928</v>
      </c>
      <c r="T1073" t="s">
        <v>1015</v>
      </c>
      <c r="U1073">
        <v>18.82932692</v>
      </c>
    </row>
    <row r="1074" spans="1:21" x14ac:dyDescent="0.25">
      <c r="A1074" t="s">
        <v>28</v>
      </c>
      <c r="B1074" t="s">
        <v>934</v>
      </c>
      <c r="C1074">
        <v>17</v>
      </c>
      <c r="D1074" t="s">
        <v>29</v>
      </c>
      <c r="E1074" t="s">
        <v>94</v>
      </c>
      <c r="F1074" t="s">
        <v>112</v>
      </c>
      <c r="G1074" t="s">
        <v>121</v>
      </c>
      <c r="H1074" t="s">
        <v>248</v>
      </c>
      <c r="J1074">
        <v>0</v>
      </c>
      <c r="K1074">
        <v>3</v>
      </c>
      <c r="L1074">
        <v>65.09375</v>
      </c>
      <c r="M1074">
        <v>37.895352600000002</v>
      </c>
      <c r="N1074">
        <v>2.2882677779999998</v>
      </c>
      <c r="O1074">
        <v>2.2111774</v>
      </c>
      <c r="P1074">
        <v>83.92307692</v>
      </c>
      <c r="Q1074">
        <v>44.319135699999997</v>
      </c>
      <c r="R1074">
        <v>5.9548609999999997E-3</v>
      </c>
      <c r="S1074">
        <v>0.18017928</v>
      </c>
      <c r="T1074" t="s">
        <v>1015</v>
      </c>
      <c r="U1074">
        <v>18.82932692</v>
      </c>
    </row>
    <row r="1075" spans="1:21" x14ac:dyDescent="0.25">
      <c r="A1075" t="s">
        <v>30</v>
      </c>
      <c r="B1075" t="s">
        <v>935</v>
      </c>
      <c r="C1075">
        <v>15</v>
      </c>
      <c r="D1075" t="s">
        <v>31</v>
      </c>
      <c r="E1075" t="s">
        <v>95</v>
      </c>
      <c r="F1075" t="s">
        <v>113</v>
      </c>
      <c r="G1075" t="s">
        <v>121</v>
      </c>
      <c r="H1075" t="s">
        <v>113</v>
      </c>
      <c r="J1075">
        <v>0</v>
      </c>
      <c r="K1075">
        <v>1</v>
      </c>
      <c r="L1075">
        <v>83.757575759999995</v>
      </c>
      <c r="M1075">
        <v>22.60997987</v>
      </c>
      <c r="N1075">
        <v>0.72884000000000004</v>
      </c>
      <c r="O1075">
        <v>0.21301339999999999</v>
      </c>
      <c r="P1075">
        <v>83.757575759999995</v>
      </c>
      <c r="Q1075">
        <v>22.60997987</v>
      </c>
      <c r="R1075">
        <v>0.72884000000000004</v>
      </c>
      <c r="S1075">
        <v>0.21301339999999999</v>
      </c>
      <c r="T1075" t="s">
        <v>1015</v>
      </c>
      <c r="U1075">
        <v>0</v>
      </c>
    </row>
    <row r="1076" spans="1:21" x14ac:dyDescent="0.25">
      <c r="A1076" t="s">
        <v>30</v>
      </c>
      <c r="B1076" t="s">
        <v>935</v>
      </c>
      <c r="C1076">
        <v>16</v>
      </c>
      <c r="D1076" t="s">
        <v>31</v>
      </c>
      <c r="E1076" t="s">
        <v>95</v>
      </c>
      <c r="F1076" t="s">
        <v>113</v>
      </c>
      <c r="G1076" t="s">
        <v>121</v>
      </c>
      <c r="H1076" t="s">
        <v>103</v>
      </c>
      <c r="J1076">
        <v>0</v>
      </c>
      <c r="K1076">
        <v>2</v>
      </c>
      <c r="L1076">
        <v>83.757575759999995</v>
      </c>
      <c r="M1076">
        <v>22.60997987</v>
      </c>
      <c r="N1076">
        <v>0.72884000000000004</v>
      </c>
      <c r="O1076">
        <v>0.21301339999999999</v>
      </c>
      <c r="P1076">
        <v>98.291666669999998</v>
      </c>
      <c r="Q1076">
        <v>30.315130790000001</v>
      </c>
      <c r="R1076">
        <v>5.0803484000000003E-2</v>
      </c>
      <c r="S1076">
        <v>0.42866070000000001</v>
      </c>
      <c r="T1076" t="s">
        <v>1015</v>
      </c>
      <c r="U1076">
        <v>14.53409091</v>
      </c>
    </row>
    <row r="1077" spans="1:21" x14ac:dyDescent="0.25">
      <c r="A1077" t="s">
        <v>30</v>
      </c>
      <c r="B1077" t="s">
        <v>935</v>
      </c>
      <c r="C1077">
        <v>16</v>
      </c>
      <c r="D1077" t="s">
        <v>31</v>
      </c>
      <c r="E1077" t="s">
        <v>95</v>
      </c>
      <c r="F1077" t="s">
        <v>113</v>
      </c>
      <c r="G1077" t="s">
        <v>121</v>
      </c>
      <c r="H1077" t="s">
        <v>103</v>
      </c>
      <c r="J1077">
        <v>0</v>
      </c>
      <c r="K1077">
        <v>2</v>
      </c>
      <c r="L1077">
        <v>83.757575759999995</v>
      </c>
      <c r="M1077">
        <v>22.60997987</v>
      </c>
      <c r="N1077">
        <v>0.72884000000000004</v>
      </c>
      <c r="O1077">
        <v>0.21301339999999999</v>
      </c>
      <c r="P1077">
        <v>98.291666669999998</v>
      </c>
      <c r="Q1077">
        <v>30.315130790000001</v>
      </c>
      <c r="R1077">
        <v>5.0803484000000003E-2</v>
      </c>
      <c r="S1077">
        <v>0.42866070000000001</v>
      </c>
      <c r="T1077" t="s">
        <v>1015</v>
      </c>
      <c r="U1077">
        <v>14.53409091</v>
      </c>
    </row>
    <row r="1078" spans="1:21" x14ac:dyDescent="0.25">
      <c r="A1078" t="s">
        <v>30</v>
      </c>
      <c r="B1078" t="s">
        <v>935</v>
      </c>
      <c r="C1078">
        <v>17</v>
      </c>
      <c r="D1078" t="s">
        <v>31</v>
      </c>
      <c r="E1078" t="s">
        <v>95</v>
      </c>
      <c r="F1078" t="s">
        <v>113</v>
      </c>
      <c r="G1078" t="s">
        <v>121</v>
      </c>
      <c r="H1078" t="s">
        <v>248</v>
      </c>
      <c r="J1078">
        <v>0</v>
      </c>
      <c r="K1078">
        <v>9</v>
      </c>
      <c r="L1078">
        <v>83.757575759999995</v>
      </c>
      <c r="M1078">
        <v>22.60997987</v>
      </c>
      <c r="N1078">
        <v>0.72884000000000004</v>
      </c>
      <c r="O1078">
        <v>0.21301339999999999</v>
      </c>
      <c r="P1078">
        <v>83.92307692</v>
      </c>
      <c r="Q1078">
        <v>44.319135699999997</v>
      </c>
      <c r="R1078">
        <v>5.9548609999999997E-3</v>
      </c>
      <c r="S1078">
        <v>0.18017928</v>
      </c>
      <c r="T1078" t="s">
        <v>1015</v>
      </c>
      <c r="U1078">
        <v>0.16550116000000001</v>
      </c>
    </row>
    <row r="1079" spans="1:21" x14ac:dyDescent="0.25">
      <c r="A1079" t="s">
        <v>30</v>
      </c>
      <c r="B1079" t="s">
        <v>935</v>
      </c>
      <c r="C1079">
        <v>17</v>
      </c>
      <c r="D1079" t="s">
        <v>31</v>
      </c>
      <c r="E1079" t="s">
        <v>95</v>
      </c>
      <c r="F1079" t="s">
        <v>113</v>
      </c>
      <c r="G1079" t="s">
        <v>121</v>
      </c>
      <c r="H1079" t="s">
        <v>248</v>
      </c>
      <c r="J1079">
        <v>0</v>
      </c>
      <c r="K1079">
        <v>9</v>
      </c>
      <c r="L1079">
        <v>83.757575759999995</v>
      </c>
      <c r="M1079">
        <v>22.60997987</v>
      </c>
      <c r="N1079">
        <v>0.72884000000000004</v>
      </c>
      <c r="O1079">
        <v>0.21301339999999999</v>
      </c>
      <c r="P1079">
        <v>83.92307692</v>
      </c>
      <c r="Q1079">
        <v>44.319135699999997</v>
      </c>
      <c r="R1079">
        <v>5.9548609999999997E-3</v>
      </c>
      <c r="S1079">
        <v>0.18017928</v>
      </c>
      <c r="T1079" t="s">
        <v>1015</v>
      </c>
      <c r="U1079">
        <v>0.16550116000000001</v>
      </c>
    </row>
    <row r="1080" spans="1:21" x14ac:dyDescent="0.25">
      <c r="A1080" t="s">
        <v>30</v>
      </c>
      <c r="B1080" t="s">
        <v>935</v>
      </c>
      <c r="C1080">
        <v>17</v>
      </c>
      <c r="D1080" t="s">
        <v>31</v>
      </c>
      <c r="E1080" t="s">
        <v>95</v>
      </c>
      <c r="F1080" t="s">
        <v>113</v>
      </c>
      <c r="G1080" t="s">
        <v>121</v>
      </c>
      <c r="H1080" t="s">
        <v>248</v>
      </c>
      <c r="J1080">
        <v>0</v>
      </c>
      <c r="K1080">
        <v>9</v>
      </c>
      <c r="L1080">
        <v>83.757575759999995</v>
      </c>
      <c r="M1080">
        <v>22.60997987</v>
      </c>
      <c r="N1080">
        <v>0.72884000000000004</v>
      </c>
      <c r="O1080">
        <v>0.21301339999999999</v>
      </c>
      <c r="P1080">
        <v>83.92307692</v>
      </c>
      <c r="Q1080">
        <v>44.319135699999997</v>
      </c>
      <c r="R1080">
        <v>5.9548609999999997E-3</v>
      </c>
      <c r="S1080">
        <v>0.18017928</v>
      </c>
      <c r="T1080" t="s">
        <v>1015</v>
      </c>
      <c r="U1080">
        <v>0.16550116000000001</v>
      </c>
    </row>
    <row r="1081" spans="1:21" x14ac:dyDescent="0.25">
      <c r="A1081" t="s">
        <v>30</v>
      </c>
      <c r="B1081" t="s">
        <v>935</v>
      </c>
      <c r="C1081">
        <v>17</v>
      </c>
      <c r="D1081" t="s">
        <v>31</v>
      </c>
      <c r="E1081" t="s">
        <v>95</v>
      </c>
      <c r="F1081" t="s">
        <v>113</v>
      </c>
      <c r="G1081" t="s">
        <v>121</v>
      </c>
      <c r="H1081" t="s">
        <v>248</v>
      </c>
      <c r="J1081">
        <v>0</v>
      </c>
      <c r="K1081">
        <v>9</v>
      </c>
      <c r="L1081">
        <v>83.757575759999995</v>
      </c>
      <c r="M1081">
        <v>22.60997987</v>
      </c>
      <c r="N1081">
        <v>0.72884000000000004</v>
      </c>
      <c r="O1081">
        <v>0.21301339999999999</v>
      </c>
      <c r="P1081">
        <v>83.92307692</v>
      </c>
      <c r="Q1081">
        <v>44.319135699999997</v>
      </c>
      <c r="R1081">
        <v>5.9548609999999997E-3</v>
      </c>
      <c r="S1081">
        <v>0.18017928</v>
      </c>
      <c r="T1081" t="s">
        <v>1015</v>
      </c>
      <c r="U1081">
        <v>0.16550116000000001</v>
      </c>
    </row>
    <row r="1082" spans="1:21" x14ac:dyDescent="0.25">
      <c r="A1082" t="s">
        <v>30</v>
      </c>
      <c r="B1082" t="s">
        <v>935</v>
      </c>
      <c r="C1082">
        <v>17</v>
      </c>
      <c r="D1082" t="s">
        <v>31</v>
      </c>
      <c r="E1082" t="s">
        <v>95</v>
      </c>
      <c r="F1082" t="s">
        <v>113</v>
      </c>
      <c r="G1082" t="s">
        <v>121</v>
      </c>
      <c r="H1082" t="s">
        <v>248</v>
      </c>
      <c r="J1082">
        <v>0</v>
      </c>
      <c r="K1082">
        <v>9</v>
      </c>
      <c r="L1082">
        <v>83.757575759999995</v>
      </c>
      <c r="M1082">
        <v>22.60997987</v>
      </c>
      <c r="N1082">
        <v>0.72884000000000004</v>
      </c>
      <c r="O1082">
        <v>0.21301339999999999</v>
      </c>
      <c r="P1082">
        <v>83.92307692</v>
      </c>
      <c r="Q1082">
        <v>44.319135699999997</v>
      </c>
      <c r="R1082">
        <v>5.9548609999999997E-3</v>
      </c>
      <c r="S1082">
        <v>0.18017928</v>
      </c>
      <c r="T1082" t="s">
        <v>1015</v>
      </c>
      <c r="U1082">
        <v>0.16550116000000001</v>
      </c>
    </row>
    <row r="1083" spans="1:21" x14ac:dyDescent="0.25">
      <c r="A1083" t="s">
        <v>30</v>
      </c>
      <c r="B1083" t="s">
        <v>935</v>
      </c>
      <c r="C1083">
        <v>17</v>
      </c>
      <c r="D1083" t="s">
        <v>31</v>
      </c>
      <c r="E1083" t="s">
        <v>95</v>
      </c>
      <c r="F1083" t="s">
        <v>113</v>
      </c>
      <c r="G1083" t="s">
        <v>121</v>
      </c>
      <c r="H1083" t="s">
        <v>248</v>
      </c>
      <c r="J1083">
        <v>0</v>
      </c>
      <c r="K1083">
        <v>9</v>
      </c>
      <c r="L1083">
        <v>83.757575759999995</v>
      </c>
      <c r="M1083">
        <v>22.60997987</v>
      </c>
      <c r="N1083">
        <v>0.72884000000000004</v>
      </c>
      <c r="O1083">
        <v>0.21301339999999999</v>
      </c>
      <c r="P1083">
        <v>83.92307692</v>
      </c>
      <c r="Q1083">
        <v>44.319135699999997</v>
      </c>
      <c r="R1083">
        <v>5.9548609999999997E-3</v>
      </c>
      <c r="S1083">
        <v>0.18017928</v>
      </c>
      <c r="T1083" t="s">
        <v>1015</v>
      </c>
      <c r="U1083">
        <v>0.16550116000000001</v>
      </c>
    </row>
    <row r="1084" spans="1:21" x14ac:dyDescent="0.25">
      <c r="A1084" t="s">
        <v>30</v>
      </c>
      <c r="B1084" t="s">
        <v>935</v>
      </c>
      <c r="C1084">
        <v>17</v>
      </c>
      <c r="D1084" t="s">
        <v>31</v>
      </c>
      <c r="E1084" t="s">
        <v>95</v>
      </c>
      <c r="F1084" t="s">
        <v>113</v>
      </c>
      <c r="G1084" t="s">
        <v>121</v>
      </c>
      <c r="H1084" t="s">
        <v>248</v>
      </c>
      <c r="J1084">
        <v>0</v>
      </c>
      <c r="K1084">
        <v>9</v>
      </c>
      <c r="L1084">
        <v>83.757575759999995</v>
      </c>
      <c r="M1084">
        <v>22.60997987</v>
      </c>
      <c r="N1084">
        <v>0.72884000000000004</v>
      </c>
      <c r="O1084">
        <v>0.21301339999999999</v>
      </c>
      <c r="P1084">
        <v>83.92307692</v>
      </c>
      <c r="Q1084">
        <v>44.319135699999997</v>
      </c>
      <c r="R1084">
        <v>5.9548609999999997E-3</v>
      </c>
      <c r="S1084">
        <v>0.18017928</v>
      </c>
      <c r="T1084" t="s">
        <v>1015</v>
      </c>
      <c r="U1084">
        <v>0.16550116000000001</v>
      </c>
    </row>
    <row r="1085" spans="1:21" x14ac:dyDescent="0.25">
      <c r="A1085" t="s">
        <v>30</v>
      </c>
      <c r="B1085" t="s">
        <v>935</v>
      </c>
      <c r="C1085">
        <v>17</v>
      </c>
      <c r="D1085" t="s">
        <v>31</v>
      </c>
      <c r="E1085" t="s">
        <v>95</v>
      </c>
      <c r="F1085" t="s">
        <v>113</v>
      </c>
      <c r="G1085" t="s">
        <v>121</v>
      </c>
      <c r="H1085" t="s">
        <v>248</v>
      </c>
      <c r="J1085">
        <v>0</v>
      </c>
      <c r="K1085">
        <v>9</v>
      </c>
      <c r="L1085">
        <v>83.757575759999995</v>
      </c>
      <c r="M1085">
        <v>22.60997987</v>
      </c>
      <c r="N1085">
        <v>0.72884000000000004</v>
      </c>
      <c r="O1085">
        <v>0.21301339999999999</v>
      </c>
      <c r="P1085">
        <v>83.92307692</v>
      </c>
      <c r="Q1085">
        <v>44.319135699999997</v>
      </c>
      <c r="R1085">
        <v>5.9548609999999997E-3</v>
      </c>
      <c r="S1085">
        <v>0.18017928</v>
      </c>
      <c r="T1085" t="s">
        <v>1015</v>
      </c>
      <c r="U1085">
        <v>0.16550116000000001</v>
      </c>
    </row>
    <row r="1086" spans="1:21" x14ac:dyDescent="0.25">
      <c r="A1086" t="s">
        <v>30</v>
      </c>
      <c r="B1086" t="s">
        <v>935</v>
      </c>
      <c r="C1086">
        <v>17</v>
      </c>
      <c r="D1086" t="s">
        <v>31</v>
      </c>
      <c r="E1086" t="s">
        <v>95</v>
      </c>
      <c r="F1086" t="s">
        <v>113</v>
      </c>
      <c r="G1086" t="s">
        <v>121</v>
      </c>
      <c r="H1086" t="s">
        <v>248</v>
      </c>
      <c r="J1086">
        <v>0</v>
      </c>
      <c r="K1086">
        <v>9</v>
      </c>
      <c r="L1086">
        <v>83.757575759999995</v>
      </c>
      <c r="M1086">
        <v>22.60997987</v>
      </c>
      <c r="N1086">
        <v>0.72884000000000004</v>
      </c>
      <c r="O1086">
        <v>0.21301339999999999</v>
      </c>
      <c r="P1086">
        <v>83.92307692</v>
      </c>
      <c r="Q1086">
        <v>44.319135699999997</v>
      </c>
      <c r="R1086">
        <v>5.9548609999999997E-3</v>
      </c>
      <c r="S1086">
        <v>0.18017928</v>
      </c>
      <c r="T1086" t="s">
        <v>1015</v>
      </c>
      <c r="U1086">
        <v>0.16550116000000001</v>
      </c>
    </row>
    <row r="1087" spans="1:21" x14ac:dyDescent="0.25">
      <c r="A1087" t="s">
        <v>30</v>
      </c>
      <c r="B1087" t="s">
        <v>935</v>
      </c>
      <c r="C1087">
        <v>18</v>
      </c>
      <c r="D1087" t="s">
        <v>31</v>
      </c>
      <c r="E1087" t="s">
        <v>95</v>
      </c>
      <c r="F1087" t="s">
        <v>113</v>
      </c>
      <c r="G1087" t="s">
        <v>121</v>
      </c>
      <c r="H1087" t="s">
        <v>111</v>
      </c>
      <c r="J1087">
        <v>0</v>
      </c>
      <c r="K1087">
        <v>1</v>
      </c>
      <c r="L1087">
        <v>83.757575759999995</v>
      </c>
      <c r="M1087">
        <v>22.60997987</v>
      </c>
      <c r="N1087">
        <v>0.72884000000000004</v>
      </c>
      <c r="O1087">
        <v>0.21301339999999999</v>
      </c>
      <c r="P1087">
        <v>94.97142857</v>
      </c>
      <c r="Q1087">
        <v>24.31591813</v>
      </c>
      <c r="R1087">
        <v>0.122951111</v>
      </c>
      <c r="S1087">
        <v>0.39050790000000002</v>
      </c>
      <c r="T1087" t="s">
        <v>1015</v>
      </c>
      <c r="U1087">
        <v>11.213852810000001</v>
      </c>
    </row>
    <row r="1088" spans="1:21" x14ac:dyDescent="0.25">
      <c r="A1088" t="s">
        <v>30</v>
      </c>
      <c r="B1088" t="s">
        <v>936</v>
      </c>
      <c r="C1088">
        <v>15</v>
      </c>
      <c r="D1088" t="s">
        <v>31</v>
      </c>
      <c r="E1088" t="s">
        <v>95</v>
      </c>
      <c r="F1088" t="s">
        <v>103</v>
      </c>
      <c r="G1088" t="s">
        <v>113</v>
      </c>
      <c r="H1088" t="s">
        <v>113</v>
      </c>
      <c r="J1088">
        <v>0</v>
      </c>
      <c r="K1088">
        <v>3</v>
      </c>
      <c r="L1088">
        <v>98.291666669999998</v>
      </c>
      <c r="M1088">
        <v>30.315130790000001</v>
      </c>
      <c r="N1088">
        <v>5.0803484000000003E-2</v>
      </c>
      <c r="O1088">
        <v>0.42866070000000001</v>
      </c>
      <c r="P1088">
        <v>83.757575759999995</v>
      </c>
      <c r="Q1088">
        <v>22.60997987</v>
      </c>
      <c r="R1088">
        <v>0.72884000000000004</v>
      </c>
      <c r="S1088">
        <v>0.21301339999999999</v>
      </c>
      <c r="T1088" t="s">
        <v>1015</v>
      </c>
      <c r="U1088">
        <v>14.53409091</v>
      </c>
    </row>
    <row r="1089" spans="1:21" x14ac:dyDescent="0.25">
      <c r="A1089" t="s">
        <v>30</v>
      </c>
      <c r="B1089" t="s">
        <v>936</v>
      </c>
      <c r="C1089">
        <v>15</v>
      </c>
      <c r="D1089" t="s">
        <v>31</v>
      </c>
      <c r="E1089" t="s">
        <v>95</v>
      </c>
      <c r="F1089" t="s">
        <v>103</v>
      </c>
      <c r="G1089" t="s">
        <v>113</v>
      </c>
      <c r="H1089" t="s">
        <v>113</v>
      </c>
      <c r="J1089">
        <v>0</v>
      </c>
      <c r="K1089">
        <v>3</v>
      </c>
      <c r="L1089">
        <v>98.291666669999998</v>
      </c>
      <c r="M1089">
        <v>30.315130790000001</v>
      </c>
      <c r="N1089">
        <v>5.0803484000000003E-2</v>
      </c>
      <c r="O1089">
        <v>0.42866070000000001</v>
      </c>
      <c r="P1089">
        <v>83.757575759999995</v>
      </c>
      <c r="Q1089">
        <v>22.60997987</v>
      </c>
      <c r="R1089">
        <v>0.72884000000000004</v>
      </c>
      <c r="S1089">
        <v>0.21301339999999999</v>
      </c>
      <c r="T1089" t="s">
        <v>1015</v>
      </c>
      <c r="U1089">
        <v>14.53409091</v>
      </c>
    </row>
    <row r="1090" spans="1:21" x14ac:dyDescent="0.25">
      <c r="A1090" t="s">
        <v>30</v>
      </c>
      <c r="B1090" t="s">
        <v>936</v>
      </c>
      <c r="C1090">
        <v>15</v>
      </c>
      <c r="D1090" t="s">
        <v>31</v>
      </c>
      <c r="E1090" t="s">
        <v>95</v>
      </c>
      <c r="F1090" t="s">
        <v>103</v>
      </c>
      <c r="G1090" t="s">
        <v>113</v>
      </c>
      <c r="H1090" t="s">
        <v>113</v>
      </c>
      <c r="J1090">
        <v>0</v>
      </c>
      <c r="K1090">
        <v>3</v>
      </c>
      <c r="L1090">
        <v>98.291666669999998</v>
      </c>
      <c r="M1090">
        <v>30.315130790000001</v>
      </c>
      <c r="N1090">
        <v>5.0803484000000003E-2</v>
      </c>
      <c r="O1090">
        <v>0.42866070000000001</v>
      </c>
      <c r="P1090">
        <v>83.757575759999995</v>
      </c>
      <c r="Q1090">
        <v>22.60997987</v>
      </c>
      <c r="R1090">
        <v>0.72884000000000004</v>
      </c>
      <c r="S1090">
        <v>0.21301339999999999</v>
      </c>
      <c r="T1090" t="s">
        <v>1015</v>
      </c>
      <c r="U1090">
        <v>14.53409091</v>
      </c>
    </row>
    <row r="1091" spans="1:21" x14ac:dyDescent="0.25">
      <c r="A1091" t="s">
        <v>30</v>
      </c>
      <c r="B1091" t="s">
        <v>936</v>
      </c>
      <c r="C1091">
        <v>16</v>
      </c>
      <c r="D1091" t="s">
        <v>31</v>
      </c>
      <c r="E1091" t="s">
        <v>95</v>
      </c>
      <c r="F1091" t="s">
        <v>103</v>
      </c>
      <c r="G1091" t="s">
        <v>113</v>
      </c>
      <c r="H1091" t="s">
        <v>247</v>
      </c>
      <c r="J1091">
        <v>0</v>
      </c>
      <c r="K1091">
        <v>1</v>
      </c>
      <c r="L1091">
        <v>98.291666669999998</v>
      </c>
      <c r="M1091">
        <v>30.315130790000001</v>
      </c>
      <c r="N1091">
        <v>5.0803484000000003E-2</v>
      </c>
      <c r="O1091">
        <v>0.42866070000000001</v>
      </c>
      <c r="P1091">
        <v>65.791044779999993</v>
      </c>
      <c r="Q1091">
        <v>22.94519201</v>
      </c>
      <c r="R1091">
        <v>8.1320334999999994E-2</v>
      </c>
      <c r="S1091">
        <v>0.17285655</v>
      </c>
      <c r="T1091" t="s">
        <v>1015</v>
      </c>
      <c r="U1091">
        <v>32.500621889999998</v>
      </c>
    </row>
    <row r="1092" spans="1:21" x14ac:dyDescent="0.25">
      <c r="A1092" t="s">
        <v>30</v>
      </c>
      <c r="B1092" t="s">
        <v>936</v>
      </c>
      <c r="C1092">
        <v>17</v>
      </c>
      <c r="D1092" t="s">
        <v>31</v>
      </c>
      <c r="E1092" t="s">
        <v>95</v>
      </c>
      <c r="F1092" t="s">
        <v>103</v>
      </c>
      <c r="G1092" t="s">
        <v>113</v>
      </c>
      <c r="H1092" t="s">
        <v>111</v>
      </c>
      <c r="J1092">
        <v>0</v>
      </c>
      <c r="K1092">
        <v>1</v>
      </c>
      <c r="L1092">
        <v>98.291666669999998</v>
      </c>
      <c r="M1092">
        <v>30.315130790000001</v>
      </c>
      <c r="N1092">
        <v>5.0803484000000003E-2</v>
      </c>
      <c r="O1092">
        <v>0.42866070000000001</v>
      </c>
      <c r="P1092">
        <v>94.97142857</v>
      </c>
      <c r="Q1092">
        <v>24.31591813</v>
      </c>
      <c r="R1092">
        <v>0.122951111</v>
      </c>
      <c r="S1092">
        <v>0.39050790000000002</v>
      </c>
      <c r="T1092" t="s">
        <v>1015</v>
      </c>
      <c r="U1092">
        <v>3.3202381000000001</v>
      </c>
    </row>
    <row r="1093" spans="1:21" x14ac:dyDescent="0.25">
      <c r="A1093" t="s">
        <v>30</v>
      </c>
      <c r="B1093" t="s">
        <v>936</v>
      </c>
      <c r="C1093">
        <v>18</v>
      </c>
      <c r="D1093" t="s">
        <v>31</v>
      </c>
      <c r="E1093" t="s">
        <v>95</v>
      </c>
      <c r="F1093" t="s">
        <v>103</v>
      </c>
      <c r="G1093" t="s">
        <v>113</v>
      </c>
      <c r="H1093" t="s">
        <v>234</v>
      </c>
      <c r="J1093">
        <v>0</v>
      </c>
      <c r="K1093">
        <v>1</v>
      </c>
      <c r="L1093">
        <v>98.291666669999998</v>
      </c>
      <c r="M1093">
        <v>30.315130790000001</v>
      </c>
      <c r="N1093">
        <v>5.0803484000000003E-2</v>
      </c>
      <c r="O1093">
        <v>0.42866070000000001</v>
      </c>
      <c r="P1093">
        <v>89.8125</v>
      </c>
      <c r="Q1093">
        <v>34.754706650000003</v>
      </c>
      <c r="R1093">
        <v>2.3065078999999999E-2</v>
      </c>
      <c r="S1093">
        <v>2.4791666700000001</v>
      </c>
      <c r="T1093" t="s">
        <v>1015</v>
      </c>
      <c r="U1093">
        <v>8.4791666699999997</v>
      </c>
    </row>
    <row r="1094" spans="1:21" x14ac:dyDescent="0.25">
      <c r="A1094" t="s">
        <v>30</v>
      </c>
      <c r="B1094" t="s">
        <v>936</v>
      </c>
      <c r="C1094">
        <v>19</v>
      </c>
      <c r="D1094" t="s">
        <v>31</v>
      </c>
      <c r="E1094" t="s">
        <v>95</v>
      </c>
      <c r="F1094" t="s">
        <v>103</v>
      </c>
      <c r="G1094" t="s">
        <v>113</v>
      </c>
      <c r="H1094" t="s">
        <v>241</v>
      </c>
      <c r="J1094">
        <v>0</v>
      </c>
      <c r="K1094">
        <v>1</v>
      </c>
      <c r="L1094">
        <v>98.291666669999998</v>
      </c>
      <c r="M1094">
        <v>30.315130790000001</v>
      </c>
      <c r="N1094">
        <v>5.0803484000000003E-2</v>
      </c>
      <c r="O1094">
        <v>0.42866070000000001</v>
      </c>
      <c r="P1094">
        <v>114</v>
      </c>
      <c r="Q1094">
        <v>30.43077242</v>
      </c>
      <c r="R1094">
        <v>0.53383111100000002</v>
      </c>
      <c r="S1094">
        <v>0.28333332999999999</v>
      </c>
      <c r="T1094" t="s">
        <v>1015</v>
      </c>
      <c r="U1094">
        <v>15.70833333</v>
      </c>
    </row>
    <row r="1095" spans="1:21" x14ac:dyDescent="0.25">
      <c r="A1095" t="s">
        <v>30</v>
      </c>
      <c r="B1095" t="s">
        <v>937</v>
      </c>
      <c r="C1095">
        <v>15</v>
      </c>
      <c r="D1095" t="s">
        <v>31</v>
      </c>
      <c r="E1095" t="s">
        <v>95</v>
      </c>
      <c r="F1095" t="s">
        <v>112</v>
      </c>
      <c r="G1095" t="s">
        <v>103</v>
      </c>
      <c r="H1095" t="s">
        <v>114</v>
      </c>
      <c r="J1095">
        <v>0</v>
      </c>
      <c r="K1095" t="s">
        <v>114</v>
      </c>
      <c r="L1095">
        <v>65.09375</v>
      </c>
      <c r="M1095">
        <v>37.895352600000002</v>
      </c>
      <c r="N1095">
        <v>2.2882677779999998</v>
      </c>
      <c r="O1095">
        <v>2.2111774</v>
      </c>
      <c r="P1095" t="s">
        <v>114</v>
      </c>
      <c r="Q1095" t="s">
        <v>114</v>
      </c>
      <c r="R1095" t="s">
        <v>114</v>
      </c>
      <c r="S1095" t="s">
        <v>114</v>
      </c>
      <c r="T1095" t="s">
        <v>1015</v>
      </c>
      <c r="U1095" t="s">
        <v>114</v>
      </c>
    </row>
    <row r="1096" spans="1:21" x14ac:dyDescent="0.25">
      <c r="A1096" t="s">
        <v>32</v>
      </c>
      <c r="B1096" t="s">
        <v>938</v>
      </c>
      <c r="C1096">
        <v>15</v>
      </c>
      <c r="D1096" t="s">
        <v>33</v>
      </c>
      <c r="E1096" t="s">
        <v>94</v>
      </c>
      <c r="F1096" t="s">
        <v>105</v>
      </c>
      <c r="G1096" t="s">
        <v>121</v>
      </c>
      <c r="H1096" t="s">
        <v>247</v>
      </c>
      <c r="J1096">
        <v>0</v>
      </c>
      <c r="K1096">
        <v>2</v>
      </c>
      <c r="L1096">
        <v>67.5</v>
      </c>
      <c r="M1096">
        <v>47.937235809999997</v>
      </c>
      <c r="N1096">
        <v>0.41599678000000001</v>
      </c>
      <c r="O1096">
        <v>2.0950346999999998</v>
      </c>
      <c r="P1096">
        <v>65.791044779999993</v>
      </c>
      <c r="Q1096">
        <v>22.94519201</v>
      </c>
      <c r="R1096">
        <v>8.1320334999999994E-2</v>
      </c>
      <c r="S1096">
        <v>0.17285655</v>
      </c>
      <c r="T1096" t="s">
        <v>1015</v>
      </c>
      <c r="U1096">
        <v>1.70895522</v>
      </c>
    </row>
    <row r="1097" spans="1:21" x14ac:dyDescent="0.25">
      <c r="A1097" t="s">
        <v>32</v>
      </c>
      <c r="B1097" t="s">
        <v>938</v>
      </c>
      <c r="C1097">
        <v>15</v>
      </c>
      <c r="D1097" t="s">
        <v>33</v>
      </c>
      <c r="E1097" t="s">
        <v>94</v>
      </c>
      <c r="F1097" t="s">
        <v>105</v>
      </c>
      <c r="G1097" t="s">
        <v>121</v>
      </c>
      <c r="H1097" t="s">
        <v>247</v>
      </c>
      <c r="J1097">
        <v>0</v>
      </c>
      <c r="K1097">
        <v>2</v>
      </c>
      <c r="L1097">
        <v>67.5</v>
      </c>
      <c r="M1097">
        <v>47.937235809999997</v>
      </c>
      <c r="N1097">
        <v>0.41599678000000001</v>
      </c>
      <c r="O1097">
        <v>2.0950346999999998</v>
      </c>
      <c r="P1097">
        <v>65.791044779999993</v>
      </c>
      <c r="Q1097">
        <v>22.94519201</v>
      </c>
      <c r="R1097">
        <v>8.1320334999999994E-2</v>
      </c>
      <c r="S1097">
        <v>0.17285655</v>
      </c>
      <c r="T1097" t="s">
        <v>1015</v>
      </c>
      <c r="U1097">
        <v>1.70895522</v>
      </c>
    </row>
    <row r="1098" spans="1:21" x14ac:dyDescent="0.25">
      <c r="A1098" t="s">
        <v>32</v>
      </c>
      <c r="B1098" t="s">
        <v>938</v>
      </c>
      <c r="C1098">
        <v>16</v>
      </c>
      <c r="D1098" t="s">
        <v>33</v>
      </c>
      <c r="E1098" t="s">
        <v>94</v>
      </c>
      <c r="F1098" t="s">
        <v>105</v>
      </c>
      <c r="G1098" t="s">
        <v>121</v>
      </c>
      <c r="H1098" t="s">
        <v>249</v>
      </c>
      <c r="J1098">
        <v>0</v>
      </c>
      <c r="K1098">
        <v>1</v>
      </c>
      <c r="L1098">
        <v>67.5</v>
      </c>
      <c r="M1098">
        <v>47.937235809999997</v>
      </c>
      <c r="N1098">
        <v>0.41599678000000001</v>
      </c>
      <c r="O1098">
        <v>2.0950346999999998</v>
      </c>
      <c r="P1098">
        <v>81.666666669999998</v>
      </c>
      <c r="Q1098">
        <v>48.056268459999998</v>
      </c>
      <c r="R1098">
        <v>0.120291364</v>
      </c>
      <c r="S1098" t="s">
        <v>114</v>
      </c>
      <c r="T1098" t="s">
        <v>1015</v>
      </c>
      <c r="U1098">
        <v>14.16666667</v>
      </c>
    </row>
    <row r="1099" spans="1:21" x14ac:dyDescent="0.25">
      <c r="A1099" t="s">
        <v>34</v>
      </c>
      <c r="B1099" t="s">
        <v>939</v>
      </c>
      <c r="C1099">
        <v>15</v>
      </c>
      <c r="D1099" t="s">
        <v>35</v>
      </c>
      <c r="E1099" t="s">
        <v>94</v>
      </c>
      <c r="F1099" t="s">
        <v>112</v>
      </c>
      <c r="G1099" t="s">
        <v>112</v>
      </c>
      <c r="H1099" t="s">
        <v>112</v>
      </c>
      <c r="J1099">
        <v>0</v>
      </c>
      <c r="K1099">
        <v>1</v>
      </c>
      <c r="L1099">
        <v>65.09375</v>
      </c>
      <c r="M1099">
        <v>37.895352600000002</v>
      </c>
      <c r="N1099">
        <v>2.2882677779999998</v>
      </c>
      <c r="O1099">
        <v>2.2111774</v>
      </c>
      <c r="P1099">
        <v>65.09375</v>
      </c>
      <c r="Q1099">
        <v>37.895352600000002</v>
      </c>
      <c r="R1099">
        <v>2.2882677779999998</v>
      </c>
      <c r="S1099">
        <v>2.2111774</v>
      </c>
      <c r="T1099" t="s">
        <v>1015</v>
      </c>
      <c r="U1099">
        <v>0</v>
      </c>
    </row>
    <row r="1100" spans="1:21" x14ac:dyDescent="0.25">
      <c r="A1100" t="s">
        <v>36</v>
      </c>
      <c r="B1100" t="s">
        <v>940</v>
      </c>
      <c r="C1100">
        <v>15</v>
      </c>
      <c r="D1100" t="s">
        <v>37</v>
      </c>
      <c r="E1100" t="s">
        <v>95</v>
      </c>
      <c r="F1100" t="s">
        <v>110</v>
      </c>
      <c r="G1100" t="s">
        <v>121</v>
      </c>
      <c r="H1100" t="s">
        <v>110</v>
      </c>
      <c r="J1100">
        <v>0</v>
      </c>
      <c r="K1100">
        <v>1</v>
      </c>
      <c r="L1100">
        <v>73.260869569999997</v>
      </c>
      <c r="M1100">
        <v>34.453830549999999</v>
      </c>
      <c r="N1100">
        <v>1.058333333</v>
      </c>
      <c r="O1100">
        <v>0.90897070000000002</v>
      </c>
      <c r="P1100">
        <v>73.260869569999997</v>
      </c>
      <c r="Q1100">
        <v>34.453830549999999</v>
      </c>
      <c r="R1100">
        <v>1.058333333</v>
      </c>
      <c r="S1100">
        <v>0.90897070000000002</v>
      </c>
      <c r="T1100" t="s">
        <v>1015</v>
      </c>
      <c r="U1100">
        <v>0</v>
      </c>
    </row>
    <row r="1101" spans="1:21" x14ac:dyDescent="0.25">
      <c r="A1101" t="s">
        <v>36</v>
      </c>
      <c r="B1101" t="s">
        <v>941</v>
      </c>
      <c r="C1101">
        <v>15</v>
      </c>
      <c r="D1101" t="s">
        <v>37</v>
      </c>
      <c r="E1101" t="s">
        <v>95</v>
      </c>
      <c r="F1101" t="s">
        <v>104</v>
      </c>
      <c r="G1101" t="s">
        <v>121</v>
      </c>
      <c r="H1101" t="s">
        <v>104</v>
      </c>
      <c r="J1101">
        <v>0</v>
      </c>
      <c r="K1101">
        <v>1</v>
      </c>
      <c r="L1101">
        <v>113.9375</v>
      </c>
      <c r="M1101">
        <v>33.375507550000002</v>
      </c>
      <c r="N1101">
        <v>2.4262999999999999</v>
      </c>
      <c r="O1101">
        <v>0.40692159999999999</v>
      </c>
      <c r="P1101">
        <v>113.9375</v>
      </c>
      <c r="Q1101">
        <v>33.375507550000002</v>
      </c>
      <c r="R1101">
        <v>2.4262999999999999</v>
      </c>
      <c r="S1101">
        <v>0.40692159999999999</v>
      </c>
      <c r="T1101" t="s">
        <v>1015</v>
      </c>
      <c r="U1101">
        <v>0</v>
      </c>
    </row>
    <row r="1102" spans="1:21" x14ac:dyDescent="0.25">
      <c r="A1102" t="s">
        <v>36</v>
      </c>
      <c r="B1102" t="s">
        <v>941</v>
      </c>
      <c r="C1102">
        <v>16</v>
      </c>
      <c r="D1102" t="s">
        <v>37</v>
      </c>
      <c r="E1102" t="s">
        <v>95</v>
      </c>
      <c r="F1102" t="s">
        <v>104</v>
      </c>
      <c r="G1102" t="s">
        <v>121</v>
      </c>
      <c r="H1102" t="s">
        <v>111</v>
      </c>
      <c r="J1102">
        <v>0</v>
      </c>
      <c r="K1102">
        <v>1</v>
      </c>
      <c r="L1102">
        <v>113.9375</v>
      </c>
      <c r="M1102">
        <v>33.375507550000002</v>
      </c>
      <c r="N1102">
        <v>2.4262999999999999</v>
      </c>
      <c r="O1102">
        <v>0.40692159999999999</v>
      </c>
      <c r="P1102">
        <v>94.97142857</v>
      </c>
      <c r="Q1102">
        <v>24.31591813</v>
      </c>
      <c r="R1102">
        <v>0.122951111</v>
      </c>
      <c r="S1102">
        <v>0.39050790000000002</v>
      </c>
      <c r="T1102" t="s">
        <v>1015</v>
      </c>
      <c r="U1102">
        <v>18.96607143</v>
      </c>
    </row>
    <row r="1103" spans="1:21" x14ac:dyDescent="0.25">
      <c r="A1103" t="s">
        <v>36</v>
      </c>
      <c r="B1103" t="s">
        <v>941</v>
      </c>
      <c r="C1103">
        <v>17</v>
      </c>
      <c r="D1103" t="s">
        <v>37</v>
      </c>
      <c r="E1103" t="s">
        <v>95</v>
      </c>
      <c r="F1103" t="s">
        <v>104</v>
      </c>
      <c r="G1103" t="s">
        <v>121</v>
      </c>
      <c r="H1103" t="s">
        <v>162</v>
      </c>
      <c r="J1103">
        <v>0</v>
      </c>
      <c r="K1103">
        <v>1</v>
      </c>
      <c r="L1103">
        <v>113.9375</v>
      </c>
      <c r="M1103">
        <v>33.375507550000002</v>
      </c>
      <c r="N1103">
        <v>2.4262999999999999</v>
      </c>
      <c r="O1103">
        <v>0.40692159999999999</v>
      </c>
      <c r="P1103">
        <v>82.53846154</v>
      </c>
      <c r="Q1103">
        <v>35.660530039999998</v>
      </c>
      <c r="R1103">
        <v>3.3754499999999998</v>
      </c>
      <c r="S1103" t="s">
        <v>114</v>
      </c>
      <c r="T1103" t="s">
        <v>1015</v>
      </c>
      <c r="U1103">
        <v>31.39903846</v>
      </c>
    </row>
    <row r="1104" spans="1:21" x14ac:dyDescent="0.25">
      <c r="A1104" t="s">
        <v>38</v>
      </c>
      <c r="B1104" t="s">
        <v>942</v>
      </c>
      <c r="C1104">
        <v>2</v>
      </c>
      <c r="D1104" t="s">
        <v>11</v>
      </c>
      <c r="E1104" t="s">
        <v>95</v>
      </c>
      <c r="F1104" t="s">
        <v>113</v>
      </c>
      <c r="G1104" t="s">
        <v>103</v>
      </c>
      <c r="H1104" t="s">
        <v>103</v>
      </c>
      <c r="J1104">
        <v>0</v>
      </c>
      <c r="K1104">
        <v>3</v>
      </c>
      <c r="L1104">
        <v>83.757575759999995</v>
      </c>
      <c r="M1104">
        <v>22.60997987</v>
      </c>
      <c r="N1104">
        <v>0.72884000000000004</v>
      </c>
      <c r="O1104">
        <v>0.21301339999999999</v>
      </c>
      <c r="P1104">
        <v>98.291666669999998</v>
      </c>
      <c r="Q1104">
        <v>30.315130790000001</v>
      </c>
      <c r="R1104">
        <v>5.0803484000000003E-2</v>
      </c>
      <c r="S1104">
        <v>0.42866070000000001</v>
      </c>
      <c r="T1104" t="s">
        <v>1015</v>
      </c>
      <c r="U1104">
        <v>14.53409091</v>
      </c>
    </row>
    <row r="1105" spans="1:21" x14ac:dyDescent="0.25">
      <c r="A1105" t="s">
        <v>38</v>
      </c>
      <c r="B1105" t="s">
        <v>942</v>
      </c>
      <c r="C1105">
        <v>2</v>
      </c>
      <c r="D1105" t="s">
        <v>11</v>
      </c>
      <c r="E1105" t="s">
        <v>95</v>
      </c>
      <c r="F1105" t="s">
        <v>113</v>
      </c>
      <c r="G1105" t="s">
        <v>103</v>
      </c>
      <c r="H1105" t="s">
        <v>103</v>
      </c>
      <c r="J1105">
        <v>0</v>
      </c>
      <c r="K1105">
        <v>3</v>
      </c>
      <c r="L1105">
        <v>83.757575759999995</v>
      </c>
      <c r="M1105">
        <v>22.60997987</v>
      </c>
      <c r="N1105">
        <v>0.72884000000000004</v>
      </c>
      <c r="O1105">
        <v>0.21301339999999999</v>
      </c>
      <c r="P1105">
        <v>98.291666669999998</v>
      </c>
      <c r="Q1105">
        <v>30.315130790000001</v>
      </c>
      <c r="R1105">
        <v>5.0803484000000003E-2</v>
      </c>
      <c r="S1105">
        <v>0.42866070000000001</v>
      </c>
      <c r="T1105" t="s">
        <v>1015</v>
      </c>
      <c r="U1105">
        <v>14.53409091</v>
      </c>
    </row>
    <row r="1106" spans="1:21" x14ac:dyDescent="0.25">
      <c r="A1106" t="s">
        <v>38</v>
      </c>
      <c r="B1106" t="s">
        <v>942</v>
      </c>
      <c r="C1106">
        <v>2</v>
      </c>
      <c r="D1106" t="s">
        <v>11</v>
      </c>
      <c r="E1106" t="s">
        <v>95</v>
      </c>
      <c r="F1106" t="s">
        <v>113</v>
      </c>
      <c r="G1106" t="s">
        <v>103</v>
      </c>
      <c r="H1106" t="s">
        <v>103</v>
      </c>
      <c r="J1106">
        <v>0</v>
      </c>
      <c r="K1106">
        <v>3</v>
      </c>
      <c r="L1106">
        <v>83.757575759999995</v>
      </c>
      <c r="M1106">
        <v>22.60997987</v>
      </c>
      <c r="N1106">
        <v>0.72884000000000004</v>
      </c>
      <c r="O1106">
        <v>0.21301339999999999</v>
      </c>
      <c r="P1106">
        <v>98.291666669999998</v>
      </c>
      <c r="Q1106">
        <v>30.315130790000001</v>
      </c>
      <c r="R1106">
        <v>5.0803484000000003E-2</v>
      </c>
      <c r="S1106">
        <v>0.42866070000000001</v>
      </c>
      <c r="T1106" t="s">
        <v>1015</v>
      </c>
      <c r="U1106">
        <v>14.53409091</v>
      </c>
    </row>
    <row r="1107" spans="1:21" x14ac:dyDescent="0.25">
      <c r="A1107" t="s">
        <v>38</v>
      </c>
      <c r="B1107" t="s">
        <v>943</v>
      </c>
      <c r="C1107">
        <v>2</v>
      </c>
      <c r="D1107" t="s">
        <v>11</v>
      </c>
      <c r="E1107" t="s">
        <v>95</v>
      </c>
      <c r="F1107" t="s">
        <v>103</v>
      </c>
      <c r="G1107" t="s">
        <v>103</v>
      </c>
      <c r="H1107" t="s">
        <v>103</v>
      </c>
      <c r="J1107">
        <v>0</v>
      </c>
      <c r="K1107">
        <v>7</v>
      </c>
      <c r="L1107">
        <v>98.291666669999998</v>
      </c>
      <c r="M1107">
        <v>30.315130790000001</v>
      </c>
      <c r="N1107">
        <v>5.0803484000000003E-2</v>
      </c>
      <c r="O1107">
        <v>0.42866070000000001</v>
      </c>
      <c r="P1107">
        <v>98.291666669999998</v>
      </c>
      <c r="Q1107">
        <v>30.315130790000001</v>
      </c>
      <c r="R1107">
        <v>5.0803484000000003E-2</v>
      </c>
      <c r="S1107">
        <v>0.42866070000000001</v>
      </c>
      <c r="T1107" t="s">
        <v>1015</v>
      </c>
      <c r="U1107">
        <v>0</v>
      </c>
    </row>
    <row r="1108" spans="1:21" x14ac:dyDescent="0.25">
      <c r="A1108" t="s">
        <v>38</v>
      </c>
      <c r="B1108" t="s">
        <v>943</v>
      </c>
      <c r="C1108">
        <v>2</v>
      </c>
      <c r="D1108" t="s">
        <v>11</v>
      </c>
      <c r="E1108" t="s">
        <v>95</v>
      </c>
      <c r="F1108" t="s">
        <v>103</v>
      </c>
      <c r="G1108" t="s">
        <v>103</v>
      </c>
      <c r="H1108" t="s">
        <v>103</v>
      </c>
      <c r="J1108">
        <v>0</v>
      </c>
      <c r="K1108">
        <v>7</v>
      </c>
      <c r="L1108">
        <v>98.291666669999998</v>
      </c>
      <c r="M1108">
        <v>30.315130790000001</v>
      </c>
      <c r="N1108">
        <v>5.0803484000000003E-2</v>
      </c>
      <c r="O1108">
        <v>0.42866070000000001</v>
      </c>
      <c r="P1108">
        <v>98.291666669999998</v>
      </c>
      <c r="Q1108">
        <v>30.315130790000001</v>
      </c>
      <c r="R1108">
        <v>5.0803484000000003E-2</v>
      </c>
      <c r="S1108">
        <v>0.42866070000000001</v>
      </c>
      <c r="T1108" t="s">
        <v>1015</v>
      </c>
      <c r="U1108">
        <v>0</v>
      </c>
    </row>
    <row r="1109" spans="1:21" x14ac:dyDescent="0.25">
      <c r="A1109" t="s">
        <v>38</v>
      </c>
      <c r="B1109" t="s">
        <v>943</v>
      </c>
      <c r="C1109">
        <v>2</v>
      </c>
      <c r="D1109" t="s">
        <v>11</v>
      </c>
      <c r="E1109" t="s">
        <v>95</v>
      </c>
      <c r="F1109" t="s">
        <v>103</v>
      </c>
      <c r="G1109" t="s">
        <v>103</v>
      </c>
      <c r="H1109" t="s">
        <v>103</v>
      </c>
      <c r="J1109">
        <v>0</v>
      </c>
      <c r="K1109">
        <v>7</v>
      </c>
      <c r="L1109">
        <v>98.291666669999998</v>
      </c>
      <c r="M1109">
        <v>30.315130790000001</v>
      </c>
      <c r="N1109">
        <v>5.0803484000000003E-2</v>
      </c>
      <c r="O1109">
        <v>0.42866070000000001</v>
      </c>
      <c r="P1109">
        <v>98.291666669999998</v>
      </c>
      <c r="Q1109">
        <v>30.315130790000001</v>
      </c>
      <c r="R1109">
        <v>5.0803484000000003E-2</v>
      </c>
      <c r="S1109">
        <v>0.42866070000000001</v>
      </c>
      <c r="T1109" t="s">
        <v>1015</v>
      </c>
      <c r="U1109">
        <v>0</v>
      </c>
    </row>
    <row r="1110" spans="1:21" x14ac:dyDescent="0.25">
      <c r="A1110" t="s">
        <v>38</v>
      </c>
      <c r="B1110" t="s">
        <v>943</v>
      </c>
      <c r="C1110">
        <v>2</v>
      </c>
      <c r="D1110" t="s">
        <v>11</v>
      </c>
      <c r="E1110" t="s">
        <v>95</v>
      </c>
      <c r="F1110" t="s">
        <v>103</v>
      </c>
      <c r="G1110" t="s">
        <v>103</v>
      </c>
      <c r="H1110" t="s">
        <v>103</v>
      </c>
      <c r="J1110">
        <v>0</v>
      </c>
      <c r="K1110">
        <v>7</v>
      </c>
      <c r="L1110">
        <v>98.291666669999998</v>
      </c>
      <c r="M1110">
        <v>30.315130790000001</v>
      </c>
      <c r="N1110">
        <v>5.0803484000000003E-2</v>
      </c>
      <c r="O1110">
        <v>0.42866070000000001</v>
      </c>
      <c r="P1110">
        <v>98.291666669999998</v>
      </c>
      <c r="Q1110">
        <v>30.315130790000001</v>
      </c>
      <c r="R1110">
        <v>5.0803484000000003E-2</v>
      </c>
      <c r="S1110">
        <v>0.42866070000000001</v>
      </c>
      <c r="T1110" t="s">
        <v>1015</v>
      </c>
      <c r="U1110">
        <v>0</v>
      </c>
    </row>
    <row r="1111" spans="1:21" x14ac:dyDescent="0.25">
      <c r="A1111" t="s">
        <v>38</v>
      </c>
      <c r="B1111" t="s">
        <v>943</v>
      </c>
      <c r="C1111">
        <v>2</v>
      </c>
      <c r="D1111" t="s">
        <v>11</v>
      </c>
      <c r="E1111" t="s">
        <v>95</v>
      </c>
      <c r="F1111" t="s">
        <v>103</v>
      </c>
      <c r="G1111" t="s">
        <v>103</v>
      </c>
      <c r="H1111" t="s">
        <v>103</v>
      </c>
      <c r="J1111">
        <v>0</v>
      </c>
      <c r="K1111">
        <v>7</v>
      </c>
      <c r="L1111">
        <v>98.291666669999998</v>
      </c>
      <c r="M1111">
        <v>30.315130790000001</v>
      </c>
      <c r="N1111">
        <v>5.0803484000000003E-2</v>
      </c>
      <c r="O1111">
        <v>0.42866070000000001</v>
      </c>
      <c r="P1111">
        <v>98.291666669999998</v>
      </c>
      <c r="Q1111">
        <v>30.315130790000001</v>
      </c>
      <c r="R1111">
        <v>5.0803484000000003E-2</v>
      </c>
      <c r="S1111">
        <v>0.42866070000000001</v>
      </c>
      <c r="T1111" t="s">
        <v>1015</v>
      </c>
      <c r="U1111">
        <v>0</v>
      </c>
    </row>
    <row r="1112" spans="1:21" x14ac:dyDescent="0.25">
      <c r="A1112" t="s">
        <v>38</v>
      </c>
      <c r="B1112" t="s">
        <v>943</v>
      </c>
      <c r="C1112">
        <v>2</v>
      </c>
      <c r="D1112" t="s">
        <v>11</v>
      </c>
      <c r="E1112" t="s">
        <v>95</v>
      </c>
      <c r="F1112" t="s">
        <v>103</v>
      </c>
      <c r="G1112" t="s">
        <v>103</v>
      </c>
      <c r="H1112" t="s">
        <v>103</v>
      </c>
      <c r="J1112">
        <v>0</v>
      </c>
      <c r="K1112">
        <v>7</v>
      </c>
      <c r="L1112">
        <v>98.291666669999998</v>
      </c>
      <c r="M1112">
        <v>30.315130790000001</v>
      </c>
      <c r="N1112">
        <v>5.0803484000000003E-2</v>
      </c>
      <c r="O1112">
        <v>0.42866070000000001</v>
      </c>
      <c r="P1112">
        <v>98.291666669999998</v>
      </c>
      <c r="Q1112">
        <v>30.315130790000001</v>
      </c>
      <c r="R1112">
        <v>5.0803484000000003E-2</v>
      </c>
      <c r="S1112">
        <v>0.42866070000000001</v>
      </c>
      <c r="T1112" t="s">
        <v>1015</v>
      </c>
      <c r="U1112">
        <v>0</v>
      </c>
    </row>
    <row r="1113" spans="1:21" x14ac:dyDescent="0.25">
      <c r="A1113" t="s">
        <v>38</v>
      </c>
      <c r="B1113" t="s">
        <v>943</v>
      </c>
      <c r="C1113">
        <v>2</v>
      </c>
      <c r="D1113" t="s">
        <v>11</v>
      </c>
      <c r="E1113" t="s">
        <v>95</v>
      </c>
      <c r="F1113" t="s">
        <v>103</v>
      </c>
      <c r="G1113" t="s">
        <v>103</v>
      </c>
      <c r="H1113" t="s">
        <v>103</v>
      </c>
      <c r="J1113">
        <v>0</v>
      </c>
      <c r="K1113">
        <v>7</v>
      </c>
      <c r="L1113">
        <v>98.291666669999998</v>
      </c>
      <c r="M1113">
        <v>30.315130790000001</v>
      </c>
      <c r="N1113">
        <v>5.0803484000000003E-2</v>
      </c>
      <c r="O1113">
        <v>0.42866070000000001</v>
      </c>
      <c r="P1113">
        <v>98.291666669999998</v>
      </c>
      <c r="Q1113">
        <v>30.315130790000001</v>
      </c>
      <c r="R1113">
        <v>5.0803484000000003E-2</v>
      </c>
      <c r="S1113">
        <v>0.42866070000000001</v>
      </c>
      <c r="T1113" t="s">
        <v>1015</v>
      </c>
      <c r="U1113">
        <v>0</v>
      </c>
    </row>
    <row r="1114" spans="1:21" x14ac:dyDescent="0.25">
      <c r="A1114" t="s">
        <v>38</v>
      </c>
      <c r="B1114" t="s">
        <v>943</v>
      </c>
      <c r="C1114">
        <v>2</v>
      </c>
      <c r="D1114" t="s">
        <v>11</v>
      </c>
      <c r="E1114" t="s">
        <v>95</v>
      </c>
      <c r="F1114" t="s">
        <v>103</v>
      </c>
      <c r="G1114" t="s">
        <v>103</v>
      </c>
      <c r="H1114" t="s">
        <v>113</v>
      </c>
      <c r="J1114">
        <v>0</v>
      </c>
      <c r="K1114">
        <v>2</v>
      </c>
      <c r="L1114">
        <v>98.291666669999998</v>
      </c>
      <c r="M1114">
        <v>30.315130790000001</v>
      </c>
      <c r="N1114">
        <v>5.0803484000000003E-2</v>
      </c>
      <c r="O1114">
        <v>0.42866070000000001</v>
      </c>
      <c r="P1114">
        <v>83.757575759999995</v>
      </c>
      <c r="Q1114">
        <v>22.60997987</v>
      </c>
      <c r="R1114">
        <v>0.72884000000000004</v>
      </c>
      <c r="S1114">
        <v>0.21301339999999999</v>
      </c>
      <c r="T1114" t="s">
        <v>1015</v>
      </c>
      <c r="U1114">
        <v>14.53409091</v>
      </c>
    </row>
    <row r="1115" spans="1:21" x14ac:dyDescent="0.25">
      <c r="A1115" t="s">
        <v>38</v>
      </c>
      <c r="B1115" t="s">
        <v>943</v>
      </c>
      <c r="C1115">
        <v>2</v>
      </c>
      <c r="D1115" t="s">
        <v>11</v>
      </c>
      <c r="E1115" t="s">
        <v>95</v>
      </c>
      <c r="F1115" t="s">
        <v>103</v>
      </c>
      <c r="G1115" t="s">
        <v>103</v>
      </c>
      <c r="H1115" t="s">
        <v>113</v>
      </c>
      <c r="J1115">
        <v>0</v>
      </c>
      <c r="K1115">
        <v>2</v>
      </c>
      <c r="L1115">
        <v>98.291666669999998</v>
      </c>
      <c r="M1115">
        <v>30.315130790000001</v>
      </c>
      <c r="N1115">
        <v>5.0803484000000003E-2</v>
      </c>
      <c r="O1115">
        <v>0.42866070000000001</v>
      </c>
      <c r="P1115">
        <v>83.757575759999995</v>
      </c>
      <c r="Q1115">
        <v>22.60997987</v>
      </c>
      <c r="R1115">
        <v>0.72884000000000004</v>
      </c>
      <c r="S1115">
        <v>0.21301339999999999</v>
      </c>
      <c r="T1115" t="s">
        <v>1015</v>
      </c>
      <c r="U1115">
        <v>14.53409091</v>
      </c>
    </row>
    <row r="1116" spans="1:21" x14ac:dyDescent="0.25">
      <c r="A1116" t="s">
        <v>38</v>
      </c>
      <c r="B1116" t="s">
        <v>944</v>
      </c>
      <c r="C1116">
        <v>2</v>
      </c>
      <c r="D1116" t="s">
        <v>11</v>
      </c>
      <c r="E1116" t="s">
        <v>95</v>
      </c>
      <c r="F1116" t="s">
        <v>111</v>
      </c>
      <c r="G1116" t="s">
        <v>103</v>
      </c>
      <c r="H1116" t="s">
        <v>103</v>
      </c>
      <c r="J1116">
        <v>0</v>
      </c>
      <c r="K1116">
        <v>2</v>
      </c>
      <c r="L1116">
        <v>94.97142857</v>
      </c>
      <c r="M1116">
        <v>24.31591813</v>
      </c>
      <c r="N1116">
        <v>0.122951111</v>
      </c>
      <c r="O1116">
        <v>0.39050790000000002</v>
      </c>
      <c r="P1116">
        <v>98.291666669999998</v>
      </c>
      <c r="Q1116">
        <v>30.315130790000001</v>
      </c>
      <c r="R1116">
        <v>5.0803484000000003E-2</v>
      </c>
      <c r="S1116">
        <v>0.42866070000000001</v>
      </c>
      <c r="T1116" t="s">
        <v>1015</v>
      </c>
      <c r="U1116">
        <v>3.3202381000000001</v>
      </c>
    </row>
    <row r="1117" spans="1:21" x14ac:dyDescent="0.25">
      <c r="A1117" t="s">
        <v>38</v>
      </c>
      <c r="B1117" t="s">
        <v>944</v>
      </c>
      <c r="C1117">
        <v>2</v>
      </c>
      <c r="D1117" t="s">
        <v>11</v>
      </c>
      <c r="E1117" t="s">
        <v>95</v>
      </c>
      <c r="F1117" t="s">
        <v>111</v>
      </c>
      <c r="G1117" t="s">
        <v>103</v>
      </c>
      <c r="H1117" t="s">
        <v>103</v>
      </c>
      <c r="J1117">
        <v>0</v>
      </c>
      <c r="K1117">
        <v>2</v>
      </c>
      <c r="L1117">
        <v>94.97142857</v>
      </c>
      <c r="M1117">
        <v>24.31591813</v>
      </c>
      <c r="N1117">
        <v>0.122951111</v>
      </c>
      <c r="O1117">
        <v>0.39050790000000002</v>
      </c>
      <c r="P1117">
        <v>98.291666669999998</v>
      </c>
      <c r="Q1117">
        <v>30.315130790000001</v>
      </c>
      <c r="R1117">
        <v>5.0803484000000003E-2</v>
      </c>
      <c r="S1117">
        <v>0.42866070000000001</v>
      </c>
      <c r="T1117" t="s">
        <v>1015</v>
      </c>
      <c r="U1117">
        <v>3.3202381000000001</v>
      </c>
    </row>
    <row r="1118" spans="1:21" x14ac:dyDescent="0.25">
      <c r="A1118" t="s">
        <v>39</v>
      </c>
      <c r="B1118" t="s">
        <v>945</v>
      </c>
      <c r="C1118">
        <v>2</v>
      </c>
      <c r="D1118" t="s">
        <v>15</v>
      </c>
      <c r="E1118" t="s">
        <v>94</v>
      </c>
      <c r="F1118" t="s">
        <v>102</v>
      </c>
      <c r="G1118" t="s">
        <v>102</v>
      </c>
      <c r="H1118" t="s">
        <v>235</v>
      </c>
      <c r="J1118">
        <v>0</v>
      </c>
      <c r="K1118">
        <v>1</v>
      </c>
      <c r="L1118">
        <v>84.740740740000007</v>
      </c>
      <c r="M1118">
        <v>29.167014049999999</v>
      </c>
      <c r="N1118">
        <v>1.1169849999999999</v>
      </c>
      <c r="O1118">
        <v>1.1571499000000001</v>
      </c>
      <c r="P1118">
        <v>132.27272730000001</v>
      </c>
      <c r="Q1118">
        <v>20.180448590000001</v>
      </c>
      <c r="R1118">
        <v>3.7813451999999997E-2</v>
      </c>
      <c r="S1118">
        <v>0.41404401000000002</v>
      </c>
      <c r="T1118" t="s">
        <v>1015</v>
      </c>
      <c r="U1118">
        <v>47.53198656</v>
      </c>
    </row>
    <row r="1119" spans="1:21" x14ac:dyDescent="0.25">
      <c r="A1119" t="s">
        <v>39</v>
      </c>
      <c r="B1119" t="s">
        <v>945</v>
      </c>
      <c r="C1119">
        <v>2</v>
      </c>
      <c r="D1119" t="s">
        <v>15</v>
      </c>
      <c r="E1119" t="s">
        <v>94</v>
      </c>
      <c r="F1119" t="s">
        <v>102</v>
      </c>
      <c r="G1119" t="s">
        <v>102</v>
      </c>
      <c r="H1119" t="s">
        <v>113</v>
      </c>
      <c r="J1119">
        <v>0</v>
      </c>
      <c r="K1119">
        <v>2</v>
      </c>
      <c r="L1119">
        <v>84.740740740000007</v>
      </c>
      <c r="M1119">
        <v>29.167014049999999</v>
      </c>
      <c r="N1119">
        <v>1.1169849999999999</v>
      </c>
      <c r="O1119">
        <v>1.1571499000000001</v>
      </c>
      <c r="P1119">
        <v>83.757575759999995</v>
      </c>
      <c r="Q1119">
        <v>22.60997987</v>
      </c>
      <c r="R1119">
        <v>0.72884000000000004</v>
      </c>
      <c r="S1119">
        <v>0.21301339999999999</v>
      </c>
      <c r="T1119" t="s">
        <v>1015</v>
      </c>
      <c r="U1119">
        <v>0.98316497999999997</v>
      </c>
    </row>
    <row r="1120" spans="1:21" x14ac:dyDescent="0.25">
      <c r="A1120" t="s">
        <v>39</v>
      </c>
      <c r="B1120" t="s">
        <v>945</v>
      </c>
      <c r="C1120">
        <v>2</v>
      </c>
      <c r="D1120" t="s">
        <v>15</v>
      </c>
      <c r="E1120" t="s">
        <v>94</v>
      </c>
      <c r="F1120" t="s">
        <v>102</v>
      </c>
      <c r="G1120" t="s">
        <v>102</v>
      </c>
      <c r="H1120" t="s">
        <v>113</v>
      </c>
      <c r="J1120">
        <v>0</v>
      </c>
      <c r="K1120">
        <v>2</v>
      </c>
      <c r="L1120">
        <v>84.740740740000007</v>
      </c>
      <c r="M1120">
        <v>29.167014049999999</v>
      </c>
      <c r="N1120">
        <v>1.1169849999999999</v>
      </c>
      <c r="O1120">
        <v>1.1571499000000001</v>
      </c>
      <c r="P1120">
        <v>83.757575759999995</v>
      </c>
      <c r="Q1120">
        <v>22.60997987</v>
      </c>
      <c r="R1120">
        <v>0.72884000000000004</v>
      </c>
      <c r="S1120">
        <v>0.21301339999999999</v>
      </c>
      <c r="T1120" t="s">
        <v>1015</v>
      </c>
      <c r="U1120">
        <v>0.98316497999999997</v>
      </c>
    </row>
    <row r="1121" spans="1:21" x14ac:dyDescent="0.25">
      <c r="A1121" t="s">
        <v>39</v>
      </c>
      <c r="B1121" t="s">
        <v>945</v>
      </c>
      <c r="C1121">
        <v>2</v>
      </c>
      <c r="D1121" t="s">
        <v>15</v>
      </c>
      <c r="E1121" t="s">
        <v>94</v>
      </c>
      <c r="F1121" t="s">
        <v>102</v>
      </c>
      <c r="G1121" t="s">
        <v>102</v>
      </c>
      <c r="H1121" t="s">
        <v>103</v>
      </c>
      <c r="J1121">
        <v>0</v>
      </c>
      <c r="K1121">
        <v>3</v>
      </c>
      <c r="L1121">
        <v>84.740740740000007</v>
      </c>
      <c r="M1121">
        <v>29.167014049999999</v>
      </c>
      <c r="N1121">
        <v>1.1169849999999999</v>
      </c>
      <c r="O1121">
        <v>1.1571499000000001</v>
      </c>
      <c r="P1121">
        <v>98.291666669999998</v>
      </c>
      <c r="Q1121">
        <v>30.315130790000001</v>
      </c>
      <c r="R1121">
        <v>5.0803484000000003E-2</v>
      </c>
      <c r="S1121">
        <v>0.42866070000000001</v>
      </c>
      <c r="T1121" t="s">
        <v>1015</v>
      </c>
      <c r="U1121">
        <v>13.55092593</v>
      </c>
    </row>
    <row r="1122" spans="1:21" x14ac:dyDescent="0.25">
      <c r="A1122" t="s">
        <v>39</v>
      </c>
      <c r="B1122" t="s">
        <v>945</v>
      </c>
      <c r="C1122">
        <v>2</v>
      </c>
      <c r="D1122" t="s">
        <v>15</v>
      </c>
      <c r="E1122" t="s">
        <v>94</v>
      </c>
      <c r="F1122" t="s">
        <v>102</v>
      </c>
      <c r="G1122" t="s">
        <v>102</v>
      </c>
      <c r="H1122" t="s">
        <v>103</v>
      </c>
      <c r="J1122">
        <v>0</v>
      </c>
      <c r="K1122">
        <v>3</v>
      </c>
      <c r="L1122">
        <v>84.740740740000007</v>
      </c>
      <c r="M1122">
        <v>29.167014049999999</v>
      </c>
      <c r="N1122">
        <v>1.1169849999999999</v>
      </c>
      <c r="O1122">
        <v>1.1571499000000001</v>
      </c>
      <c r="P1122">
        <v>98.291666669999998</v>
      </c>
      <c r="Q1122">
        <v>30.315130790000001</v>
      </c>
      <c r="R1122">
        <v>5.0803484000000003E-2</v>
      </c>
      <c r="S1122">
        <v>0.42866070000000001</v>
      </c>
      <c r="T1122" t="s">
        <v>1015</v>
      </c>
      <c r="U1122">
        <v>13.55092593</v>
      </c>
    </row>
    <row r="1123" spans="1:21" x14ac:dyDescent="0.25">
      <c r="A1123" t="s">
        <v>39</v>
      </c>
      <c r="B1123" t="s">
        <v>945</v>
      </c>
      <c r="C1123">
        <v>2</v>
      </c>
      <c r="D1123" t="s">
        <v>15</v>
      </c>
      <c r="E1123" t="s">
        <v>94</v>
      </c>
      <c r="F1123" t="s">
        <v>102</v>
      </c>
      <c r="G1123" t="s">
        <v>102</v>
      </c>
      <c r="H1123" t="s">
        <v>103</v>
      </c>
      <c r="J1123">
        <v>0</v>
      </c>
      <c r="K1123">
        <v>3</v>
      </c>
      <c r="L1123">
        <v>84.740740740000007</v>
      </c>
      <c r="M1123">
        <v>29.167014049999999</v>
      </c>
      <c r="N1123">
        <v>1.1169849999999999</v>
      </c>
      <c r="O1123">
        <v>1.1571499000000001</v>
      </c>
      <c r="P1123">
        <v>98.291666669999998</v>
      </c>
      <c r="Q1123">
        <v>30.315130790000001</v>
      </c>
      <c r="R1123">
        <v>5.0803484000000003E-2</v>
      </c>
      <c r="S1123">
        <v>0.42866070000000001</v>
      </c>
      <c r="T1123" t="s">
        <v>1015</v>
      </c>
      <c r="U1123">
        <v>13.55092593</v>
      </c>
    </row>
    <row r="1124" spans="1:21" x14ac:dyDescent="0.25">
      <c r="A1124" t="s">
        <v>39</v>
      </c>
      <c r="B1124" t="s">
        <v>945</v>
      </c>
      <c r="C1124">
        <v>2</v>
      </c>
      <c r="D1124" t="s">
        <v>15</v>
      </c>
      <c r="E1124" t="s">
        <v>94</v>
      </c>
      <c r="F1124" t="s">
        <v>102</v>
      </c>
      <c r="G1124" t="s">
        <v>102</v>
      </c>
      <c r="H1124" t="s">
        <v>233</v>
      </c>
      <c r="J1124">
        <v>0</v>
      </c>
      <c r="K1124">
        <v>1</v>
      </c>
      <c r="L1124">
        <v>84.740740740000007</v>
      </c>
      <c r="M1124">
        <v>29.167014049999999</v>
      </c>
      <c r="N1124">
        <v>1.1169849999999999</v>
      </c>
      <c r="O1124">
        <v>1.1571499000000001</v>
      </c>
      <c r="P1124">
        <v>106.0540541</v>
      </c>
      <c r="Q1124">
        <v>52.690533369999997</v>
      </c>
      <c r="R1124">
        <v>7.6058968000000005E-2</v>
      </c>
      <c r="S1124">
        <v>0.44888888999999998</v>
      </c>
      <c r="T1124" t="s">
        <v>1015</v>
      </c>
      <c r="U1124">
        <v>21.313313359999999</v>
      </c>
    </row>
    <row r="1125" spans="1:21" x14ac:dyDescent="0.25">
      <c r="A1125" t="s">
        <v>39</v>
      </c>
      <c r="B1125" t="s">
        <v>945</v>
      </c>
      <c r="C1125">
        <v>2</v>
      </c>
      <c r="D1125" t="s">
        <v>15</v>
      </c>
      <c r="E1125" t="s">
        <v>94</v>
      </c>
      <c r="F1125" t="s">
        <v>102</v>
      </c>
      <c r="G1125" t="s">
        <v>102</v>
      </c>
      <c r="H1125" t="s">
        <v>104</v>
      </c>
      <c r="J1125">
        <v>0</v>
      </c>
      <c r="K1125">
        <v>1</v>
      </c>
      <c r="L1125">
        <v>84.740740740000007</v>
      </c>
      <c r="M1125">
        <v>29.167014049999999</v>
      </c>
      <c r="N1125">
        <v>1.1169849999999999</v>
      </c>
      <c r="O1125">
        <v>1.1571499000000001</v>
      </c>
      <c r="P1125">
        <v>113.9375</v>
      </c>
      <c r="Q1125">
        <v>33.375507550000002</v>
      </c>
      <c r="R1125">
        <v>2.4262999999999999</v>
      </c>
      <c r="S1125">
        <v>0.40692159999999999</v>
      </c>
      <c r="T1125" t="s">
        <v>1015</v>
      </c>
      <c r="U1125">
        <v>29.19675926</v>
      </c>
    </row>
    <row r="1126" spans="1:21" x14ac:dyDescent="0.25">
      <c r="A1126" t="s">
        <v>39</v>
      </c>
      <c r="B1126" t="s">
        <v>946</v>
      </c>
      <c r="C1126">
        <v>2</v>
      </c>
      <c r="D1126" t="s">
        <v>15</v>
      </c>
      <c r="E1126" t="s">
        <v>94</v>
      </c>
      <c r="F1126" t="s">
        <v>113</v>
      </c>
      <c r="G1126" t="s">
        <v>113</v>
      </c>
      <c r="H1126" t="s">
        <v>113</v>
      </c>
      <c r="J1126">
        <v>0</v>
      </c>
      <c r="K1126">
        <v>5</v>
      </c>
      <c r="L1126">
        <v>83.757575759999995</v>
      </c>
      <c r="M1126">
        <v>22.60997987</v>
      </c>
      <c r="N1126">
        <v>0.72884000000000004</v>
      </c>
      <c r="O1126">
        <v>0.21301339999999999</v>
      </c>
      <c r="P1126">
        <v>83.757575759999995</v>
      </c>
      <c r="Q1126">
        <v>22.60997987</v>
      </c>
      <c r="R1126">
        <v>0.72884000000000004</v>
      </c>
      <c r="S1126">
        <v>0.21301339999999999</v>
      </c>
      <c r="T1126" t="s">
        <v>1015</v>
      </c>
      <c r="U1126">
        <v>0</v>
      </c>
    </row>
    <row r="1127" spans="1:21" x14ac:dyDescent="0.25">
      <c r="A1127" t="s">
        <v>39</v>
      </c>
      <c r="B1127" t="s">
        <v>946</v>
      </c>
      <c r="C1127">
        <v>2</v>
      </c>
      <c r="D1127" t="s">
        <v>15</v>
      </c>
      <c r="E1127" t="s">
        <v>94</v>
      </c>
      <c r="F1127" t="s">
        <v>113</v>
      </c>
      <c r="G1127" t="s">
        <v>113</v>
      </c>
      <c r="H1127" t="s">
        <v>113</v>
      </c>
      <c r="J1127">
        <v>0</v>
      </c>
      <c r="K1127">
        <v>5</v>
      </c>
      <c r="L1127">
        <v>83.757575759999995</v>
      </c>
      <c r="M1127">
        <v>22.60997987</v>
      </c>
      <c r="N1127">
        <v>0.72884000000000004</v>
      </c>
      <c r="O1127">
        <v>0.21301339999999999</v>
      </c>
      <c r="P1127">
        <v>83.757575759999995</v>
      </c>
      <c r="Q1127">
        <v>22.60997987</v>
      </c>
      <c r="R1127">
        <v>0.72884000000000004</v>
      </c>
      <c r="S1127">
        <v>0.21301339999999999</v>
      </c>
      <c r="T1127" t="s">
        <v>1015</v>
      </c>
      <c r="U1127">
        <v>0</v>
      </c>
    </row>
    <row r="1128" spans="1:21" x14ac:dyDescent="0.25">
      <c r="A1128" t="s">
        <v>39</v>
      </c>
      <c r="B1128" t="s">
        <v>946</v>
      </c>
      <c r="C1128">
        <v>2</v>
      </c>
      <c r="D1128" t="s">
        <v>15</v>
      </c>
      <c r="E1128" t="s">
        <v>94</v>
      </c>
      <c r="F1128" t="s">
        <v>113</v>
      </c>
      <c r="G1128" t="s">
        <v>113</v>
      </c>
      <c r="H1128" t="s">
        <v>113</v>
      </c>
      <c r="J1128">
        <v>0</v>
      </c>
      <c r="K1128">
        <v>5</v>
      </c>
      <c r="L1128">
        <v>83.757575759999995</v>
      </c>
      <c r="M1128">
        <v>22.60997987</v>
      </c>
      <c r="N1128">
        <v>0.72884000000000004</v>
      </c>
      <c r="O1128">
        <v>0.21301339999999999</v>
      </c>
      <c r="P1128">
        <v>83.757575759999995</v>
      </c>
      <c r="Q1128">
        <v>22.60997987</v>
      </c>
      <c r="R1128">
        <v>0.72884000000000004</v>
      </c>
      <c r="S1128">
        <v>0.21301339999999999</v>
      </c>
      <c r="T1128" t="s">
        <v>1015</v>
      </c>
      <c r="U1128">
        <v>0</v>
      </c>
    </row>
    <row r="1129" spans="1:21" x14ac:dyDescent="0.25">
      <c r="A1129" t="s">
        <v>39</v>
      </c>
      <c r="B1129" t="s">
        <v>946</v>
      </c>
      <c r="C1129">
        <v>2</v>
      </c>
      <c r="D1129" t="s">
        <v>15</v>
      </c>
      <c r="E1129" t="s">
        <v>94</v>
      </c>
      <c r="F1129" t="s">
        <v>113</v>
      </c>
      <c r="G1129" t="s">
        <v>113</v>
      </c>
      <c r="H1129" t="s">
        <v>113</v>
      </c>
      <c r="J1129">
        <v>0</v>
      </c>
      <c r="K1129">
        <v>5</v>
      </c>
      <c r="L1129">
        <v>83.757575759999995</v>
      </c>
      <c r="M1129">
        <v>22.60997987</v>
      </c>
      <c r="N1129">
        <v>0.72884000000000004</v>
      </c>
      <c r="O1129">
        <v>0.21301339999999999</v>
      </c>
      <c r="P1129">
        <v>83.757575759999995</v>
      </c>
      <c r="Q1129">
        <v>22.60997987</v>
      </c>
      <c r="R1129">
        <v>0.72884000000000004</v>
      </c>
      <c r="S1129">
        <v>0.21301339999999999</v>
      </c>
      <c r="T1129" t="s">
        <v>1015</v>
      </c>
      <c r="U1129">
        <v>0</v>
      </c>
    </row>
    <row r="1130" spans="1:21" x14ac:dyDescent="0.25">
      <c r="A1130" t="s">
        <v>39</v>
      </c>
      <c r="B1130" t="s">
        <v>946</v>
      </c>
      <c r="C1130">
        <v>2</v>
      </c>
      <c r="D1130" t="s">
        <v>15</v>
      </c>
      <c r="E1130" t="s">
        <v>94</v>
      </c>
      <c r="F1130" t="s">
        <v>113</v>
      </c>
      <c r="G1130" t="s">
        <v>113</v>
      </c>
      <c r="H1130" t="s">
        <v>113</v>
      </c>
      <c r="J1130">
        <v>0</v>
      </c>
      <c r="K1130">
        <v>5</v>
      </c>
      <c r="L1130">
        <v>83.757575759999995</v>
      </c>
      <c r="M1130">
        <v>22.60997987</v>
      </c>
      <c r="N1130">
        <v>0.72884000000000004</v>
      </c>
      <c r="O1130">
        <v>0.21301339999999999</v>
      </c>
      <c r="P1130">
        <v>83.757575759999995</v>
      </c>
      <c r="Q1130">
        <v>22.60997987</v>
      </c>
      <c r="R1130">
        <v>0.72884000000000004</v>
      </c>
      <c r="S1130">
        <v>0.21301339999999999</v>
      </c>
      <c r="T1130" t="s">
        <v>1015</v>
      </c>
      <c r="U1130">
        <v>0</v>
      </c>
    </row>
    <row r="1131" spans="1:21" x14ac:dyDescent="0.25">
      <c r="A1131" t="s">
        <v>39</v>
      </c>
      <c r="B1131" t="s">
        <v>946</v>
      </c>
      <c r="C1131">
        <v>2</v>
      </c>
      <c r="D1131" t="s">
        <v>15</v>
      </c>
      <c r="E1131" t="s">
        <v>94</v>
      </c>
      <c r="F1131" t="s">
        <v>113</v>
      </c>
      <c r="G1131" t="s">
        <v>113</v>
      </c>
      <c r="H1131" t="s">
        <v>233</v>
      </c>
      <c r="J1131">
        <v>0</v>
      </c>
      <c r="K1131">
        <v>4</v>
      </c>
      <c r="L1131">
        <v>83.757575759999995</v>
      </c>
      <c r="M1131">
        <v>22.60997987</v>
      </c>
      <c r="N1131">
        <v>0.72884000000000004</v>
      </c>
      <c r="O1131">
        <v>0.21301339999999999</v>
      </c>
      <c r="P1131">
        <v>106.0540541</v>
      </c>
      <c r="Q1131">
        <v>52.690533369999997</v>
      </c>
      <c r="R1131">
        <v>7.6058968000000005E-2</v>
      </c>
      <c r="S1131">
        <v>0.44888888999999998</v>
      </c>
      <c r="T1131" t="s">
        <v>1015</v>
      </c>
      <c r="U1131">
        <v>22.29647834</v>
      </c>
    </row>
    <row r="1132" spans="1:21" x14ac:dyDescent="0.25">
      <c r="A1132" t="s">
        <v>39</v>
      </c>
      <c r="B1132" t="s">
        <v>946</v>
      </c>
      <c r="C1132">
        <v>2</v>
      </c>
      <c r="D1132" t="s">
        <v>15</v>
      </c>
      <c r="E1132" t="s">
        <v>94</v>
      </c>
      <c r="F1132" t="s">
        <v>113</v>
      </c>
      <c r="G1132" t="s">
        <v>113</v>
      </c>
      <c r="H1132" t="s">
        <v>233</v>
      </c>
      <c r="J1132">
        <v>0</v>
      </c>
      <c r="K1132">
        <v>4</v>
      </c>
      <c r="L1132">
        <v>83.757575759999995</v>
      </c>
      <c r="M1132">
        <v>22.60997987</v>
      </c>
      <c r="N1132">
        <v>0.72884000000000004</v>
      </c>
      <c r="O1132">
        <v>0.21301339999999999</v>
      </c>
      <c r="P1132">
        <v>106.0540541</v>
      </c>
      <c r="Q1132">
        <v>52.690533369999997</v>
      </c>
      <c r="R1132">
        <v>7.6058968000000005E-2</v>
      </c>
      <c r="S1132">
        <v>0.44888888999999998</v>
      </c>
      <c r="T1132" t="s">
        <v>1015</v>
      </c>
      <c r="U1132">
        <v>22.29647834</v>
      </c>
    </row>
    <row r="1133" spans="1:21" x14ac:dyDescent="0.25">
      <c r="A1133" t="s">
        <v>39</v>
      </c>
      <c r="B1133" t="s">
        <v>946</v>
      </c>
      <c r="C1133">
        <v>2</v>
      </c>
      <c r="D1133" t="s">
        <v>15</v>
      </c>
      <c r="E1133" t="s">
        <v>94</v>
      </c>
      <c r="F1133" t="s">
        <v>113</v>
      </c>
      <c r="G1133" t="s">
        <v>113</v>
      </c>
      <c r="H1133" t="s">
        <v>233</v>
      </c>
      <c r="J1133">
        <v>0</v>
      </c>
      <c r="K1133">
        <v>4</v>
      </c>
      <c r="L1133">
        <v>83.757575759999995</v>
      </c>
      <c r="M1133">
        <v>22.60997987</v>
      </c>
      <c r="N1133">
        <v>0.72884000000000004</v>
      </c>
      <c r="O1133">
        <v>0.21301339999999999</v>
      </c>
      <c r="P1133">
        <v>106.0540541</v>
      </c>
      <c r="Q1133">
        <v>52.690533369999997</v>
      </c>
      <c r="R1133">
        <v>7.6058968000000005E-2</v>
      </c>
      <c r="S1133">
        <v>0.44888888999999998</v>
      </c>
      <c r="T1133" t="s">
        <v>1015</v>
      </c>
      <c r="U1133">
        <v>22.29647834</v>
      </c>
    </row>
    <row r="1134" spans="1:21" x14ac:dyDescent="0.25">
      <c r="A1134" t="s">
        <v>39</v>
      </c>
      <c r="B1134" t="s">
        <v>946</v>
      </c>
      <c r="C1134">
        <v>2</v>
      </c>
      <c r="D1134" t="s">
        <v>15</v>
      </c>
      <c r="E1134" t="s">
        <v>94</v>
      </c>
      <c r="F1134" t="s">
        <v>113</v>
      </c>
      <c r="G1134" t="s">
        <v>113</v>
      </c>
      <c r="H1134" t="s">
        <v>233</v>
      </c>
      <c r="J1134">
        <v>0</v>
      </c>
      <c r="K1134">
        <v>4</v>
      </c>
      <c r="L1134">
        <v>83.757575759999995</v>
      </c>
      <c r="M1134">
        <v>22.60997987</v>
      </c>
      <c r="N1134">
        <v>0.72884000000000004</v>
      </c>
      <c r="O1134">
        <v>0.21301339999999999</v>
      </c>
      <c r="P1134">
        <v>106.0540541</v>
      </c>
      <c r="Q1134">
        <v>52.690533369999997</v>
      </c>
      <c r="R1134">
        <v>7.6058968000000005E-2</v>
      </c>
      <c r="S1134">
        <v>0.44888888999999998</v>
      </c>
      <c r="T1134" t="s">
        <v>1015</v>
      </c>
      <c r="U1134">
        <v>22.29647834</v>
      </c>
    </row>
    <row r="1135" spans="1:21" x14ac:dyDescent="0.25">
      <c r="A1135" t="s">
        <v>39</v>
      </c>
      <c r="B1135" t="s">
        <v>946</v>
      </c>
      <c r="C1135">
        <v>2</v>
      </c>
      <c r="D1135" t="s">
        <v>15</v>
      </c>
      <c r="E1135" t="s">
        <v>94</v>
      </c>
      <c r="F1135" t="s">
        <v>113</v>
      </c>
      <c r="G1135" t="s">
        <v>113</v>
      </c>
      <c r="H1135" t="s">
        <v>234</v>
      </c>
      <c r="J1135">
        <v>0</v>
      </c>
      <c r="K1135">
        <v>1</v>
      </c>
      <c r="L1135">
        <v>83.757575759999995</v>
      </c>
      <c r="M1135">
        <v>22.60997987</v>
      </c>
      <c r="N1135">
        <v>0.72884000000000004</v>
      </c>
      <c r="O1135">
        <v>0.21301339999999999</v>
      </c>
      <c r="P1135">
        <v>89.8125</v>
      </c>
      <c r="Q1135">
        <v>34.754706650000003</v>
      </c>
      <c r="R1135">
        <v>2.3065078999999999E-2</v>
      </c>
      <c r="S1135">
        <v>2.4791666700000001</v>
      </c>
      <c r="T1135" t="s">
        <v>1015</v>
      </c>
      <c r="U1135">
        <v>6.0549242400000001</v>
      </c>
    </row>
    <row r="1136" spans="1:21" x14ac:dyDescent="0.25">
      <c r="A1136" t="s">
        <v>39</v>
      </c>
      <c r="B1136" t="s">
        <v>947</v>
      </c>
      <c r="C1136">
        <v>2</v>
      </c>
      <c r="D1136" t="s">
        <v>15</v>
      </c>
      <c r="E1136" t="s">
        <v>94</v>
      </c>
      <c r="F1136" t="s">
        <v>103</v>
      </c>
      <c r="G1136" t="s">
        <v>103</v>
      </c>
      <c r="H1136" t="s">
        <v>103</v>
      </c>
      <c r="J1136">
        <v>0</v>
      </c>
      <c r="K1136">
        <v>3</v>
      </c>
      <c r="L1136">
        <v>98.291666669999998</v>
      </c>
      <c r="M1136">
        <v>30.315130790000001</v>
      </c>
      <c r="N1136">
        <v>5.0803484000000003E-2</v>
      </c>
      <c r="O1136">
        <v>0.42866070000000001</v>
      </c>
      <c r="P1136">
        <v>98.291666669999998</v>
      </c>
      <c r="Q1136">
        <v>30.315130790000001</v>
      </c>
      <c r="R1136">
        <v>5.0803484000000003E-2</v>
      </c>
      <c r="S1136">
        <v>0.42866070000000001</v>
      </c>
      <c r="T1136" t="s">
        <v>1015</v>
      </c>
      <c r="U1136">
        <v>0</v>
      </c>
    </row>
    <row r="1137" spans="1:21" x14ac:dyDescent="0.25">
      <c r="A1137" t="s">
        <v>39</v>
      </c>
      <c r="B1137" t="s">
        <v>947</v>
      </c>
      <c r="C1137">
        <v>2</v>
      </c>
      <c r="D1137" t="s">
        <v>15</v>
      </c>
      <c r="E1137" t="s">
        <v>94</v>
      </c>
      <c r="F1137" t="s">
        <v>103</v>
      </c>
      <c r="G1137" t="s">
        <v>103</v>
      </c>
      <c r="H1137" t="s">
        <v>103</v>
      </c>
      <c r="J1137">
        <v>0</v>
      </c>
      <c r="K1137">
        <v>3</v>
      </c>
      <c r="L1137">
        <v>98.291666669999998</v>
      </c>
      <c r="M1137">
        <v>30.315130790000001</v>
      </c>
      <c r="N1137">
        <v>5.0803484000000003E-2</v>
      </c>
      <c r="O1137">
        <v>0.42866070000000001</v>
      </c>
      <c r="P1137">
        <v>98.291666669999998</v>
      </c>
      <c r="Q1137">
        <v>30.315130790000001</v>
      </c>
      <c r="R1137">
        <v>5.0803484000000003E-2</v>
      </c>
      <c r="S1137">
        <v>0.42866070000000001</v>
      </c>
      <c r="T1137" t="s">
        <v>1015</v>
      </c>
      <c r="U1137">
        <v>0</v>
      </c>
    </row>
    <row r="1138" spans="1:21" x14ac:dyDescent="0.25">
      <c r="A1138" t="s">
        <v>39</v>
      </c>
      <c r="B1138" t="s">
        <v>947</v>
      </c>
      <c r="C1138">
        <v>2</v>
      </c>
      <c r="D1138" t="s">
        <v>15</v>
      </c>
      <c r="E1138" t="s">
        <v>94</v>
      </c>
      <c r="F1138" t="s">
        <v>103</v>
      </c>
      <c r="G1138" t="s">
        <v>103</v>
      </c>
      <c r="H1138" t="s">
        <v>103</v>
      </c>
      <c r="J1138">
        <v>0</v>
      </c>
      <c r="K1138">
        <v>3</v>
      </c>
      <c r="L1138">
        <v>98.291666669999998</v>
      </c>
      <c r="M1138">
        <v>30.315130790000001</v>
      </c>
      <c r="N1138">
        <v>5.0803484000000003E-2</v>
      </c>
      <c r="O1138">
        <v>0.42866070000000001</v>
      </c>
      <c r="P1138">
        <v>98.291666669999998</v>
      </c>
      <c r="Q1138">
        <v>30.315130790000001</v>
      </c>
      <c r="R1138">
        <v>5.0803484000000003E-2</v>
      </c>
      <c r="S1138">
        <v>0.42866070000000001</v>
      </c>
      <c r="T1138" t="s">
        <v>1015</v>
      </c>
      <c r="U1138">
        <v>0</v>
      </c>
    </row>
    <row r="1139" spans="1:21" x14ac:dyDescent="0.25">
      <c r="A1139" t="s">
        <v>39</v>
      </c>
      <c r="B1139" t="s">
        <v>947</v>
      </c>
      <c r="C1139">
        <v>2</v>
      </c>
      <c r="D1139" t="s">
        <v>15</v>
      </c>
      <c r="E1139" t="s">
        <v>94</v>
      </c>
      <c r="F1139" t="s">
        <v>103</v>
      </c>
      <c r="G1139" t="s">
        <v>103</v>
      </c>
      <c r="H1139" t="s">
        <v>104</v>
      </c>
      <c r="J1139">
        <v>0</v>
      </c>
      <c r="K1139">
        <v>1</v>
      </c>
      <c r="L1139">
        <v>98.291666669999998</v>
      </c>
      <c r="M1139">
        <v>30.315130790000001</v>
      </c>
      <c r="N1139">
        <v>5.0803484000000003E-2</v>
      </c>
      <c r="O1139">
        <v>0.42866070000000001</v>
      </c>
      <c r="P1139">
        <v>113.9375</v>
      </c>
      <c r="Q1139">
        <v>33.375507550000002</v>
      </c>
      <c r="R1139">
        <v>2.4262999999999999</v>
      </c>
      <c r="S1139">
        <v>0.40692159999999999</v>
      </c>
      <c r="T1139" t="s">
        <v>1015</v>
      </c>
      <c r="U1139">
        <v>15.64583333</v>
      </c>
    </row>
    <row r="1140" spans="1:21" x14ac:dyDescent="0.25">
      <c r="A1140" t="s">
        <v>39</v>
      </c>
      <c r="B1140" t="s">
        <v>947</v>
      </c>
      <c r="C1140">
        <v>2</v>
      </c>
      <c r="D1140" t="s">
        <v>15</v>
      </c>
      <c r="E1140" t="s">
        <v>94</v>
      </c>
      <c r="F1140" t="s">
        <v>103</v>
      </c>
      <c r="G1140" t="s">
        <v>103</v>
      </c>
      <c r="H1140" t="s">
        <v>113</v>
      </c>
      <c r="J1140">
        <v>0</v>
      </c>
      <c r="K1140">
        <v>4</v>
      </c>
      <c r="L1140">
        <v>98.291666669999998</v>
      </c>
      <c r="M1140">
        <v>30.315130790000001</v>
      </c>
      <c r="N1140">
        <v>5.0803484000000003E-2</v>
      </c>
      <c r="O1140">
        <v>0.42866070000000001</v>
      </c>
      <c r="P1140">
        <v>83.757575759999995</v>
      </c>
      <c r="Q1140">
        <v>22.60997987</v>
      </c>
      <c r="R1140">
        <v>0.72884000000000004</v>
      </c>
      <c r="S1140">
        <v>0.21301339999999999</v>
      </c>
      <c r="T1140" t="s">
        <v>1015</v>
      </c>
      <c r="U1140">
        <v>14.53409091</v>
      </c>
    </row>
    <row r="1141" spans="1:21" x14ac:dyDescent="0.25">
      <c r="A1141" t="s">
        <v>39</v>
      </c>
      <c r="B1141" t="s">
        <v>947</v>
      </c>
      <c r="C1141">
        <v>2</v>
      </c>
      <c r="D1141" t="s">
        <v>15</v>
      </c>
      <c r="E1141" t="s">
        <v>94</v>
      </c>
      <c r="F1141" t="s">
        <v>103</v>
      </c>
      <c r="G1141" t="s">
        <v>103</v>
      </c>
      <c r="H1141" t="s">
        <v>113</v>
      </c>
      <c r="J1141">
        <v>0</v>
      </c>
      <c r="K1141">
        <v>4</v>
      </c>
      <c r="L1141">
        <v>98.291666669999998</v>
      </c>
      <c r="M1141">
        <v>30.315130790000001</v>
      </c>
      <c r="N1141">
        <v>5.0803484000000003E-2</v>
      </c>
      <c r="O1141">
        <v>0.42866070000000001</v>
      </c>
      <c r="P1141">
        <v>83.757575759999995</v>
      </c>
      <c r="Q1141">
        <v>22.60997987</v>
      </c>
      <c r="R1141">
        <v>0.72884000000000004</v>
      </c>
      <c r="S1141">
        <v>0.21301339999999999</v>
      </c>
      <c r="T1141" t="s">
        <v>1015</v>
      </c>
      <c r="U1141">
        <v>14.53409091</v>
      </c>
    </row>
    <row r="1142" spans="1:21" x14ac:dyDescent="0.25">
      <c r="A1142" t="s">
        <v>39</v>
      </c>
      <c r="B1142" t="s">
        <v>947</v>
      </c>
      <c r="C1142">
        <v>2</v>
      </c>
      <c r="D1142" t="s">
        <v>15</v>
      </c>
      <c r="E1142" t="s">
        <v>94</v>
      </c>
      <c r="F1142" t="s">
        <v>103</v>
      </c>
      <c r="G1142" t="s">
        <v>103</v>
      </c>
      <c r="H1142" t="s">
        <v>113</v>
      </c>
      <c r="J1142">
        <v>0</v>
      </c>
      <c r="K1142">
        <v>4</v>
      </c>
      <c r="L1142">
        <v>98.291666669999998</v>
      </c>
      <c r="M1142">
        <v>30.315130790000001</v>
      </c>
      <c r="N1142">
        <v>5.0803484000000003E-2</v>
      </c>
      <c r="O1142">
        <v>0.42866070000000001</v>
      </c>
      <c r="P1142">
        <v>83.757575759999995</v>
      </c>
      <c r="Q1142">
        <v>22.60997987</v>
      </c>
      <c r="R1142">
        <v>0.72884000000000004</v>
      </c>
      <c r="S1142">
        <v>0.21301339999999999</v>
      </c>
      <c r="T1142" t="s">
        <v>1015</v>
      </c>
      <c r="U1142">
        <v>14.53409091</v>
      </c>
    </row>
    <row r="1143" spans="1:21" x14ac:dyDescent="0.25">
      <c r="A1143" t="s">
        <v>39</v>
      </c>
      <c r="B1143" t="s">
        <v>947</v>
      </c>
      <c r="C1143">
        <v>2</v>
      </c>
      <c r="D1143" t="s">
        <v>15</v>
      </c>
      <c r="E1143" t="s">
        <v>94</v>
      </c>
      <c r="F1143" t="s">
        <v>103</v>
      </c>
      <c r="G1143" t="s">
        <v>103</v>
      </c>
      <c r="H1143" t="s">
        <v>113</v>
      </c>
      <c r="J1143">
        <v>0</v>
      </c>
      <c r="K1143">
        <v>4</v>
      </c>
      <c r="L1143">
        <v>98.291666669999998</v>
      </c>
      <c r="M1143">
        <v>30.315130790000001</v>
      </c>
      <c r="N1143">
        <v>5.0803484000000003E-2</v>
      </c>
      <c r="O1143">
        <v>0.42866070000000001</v>
      </c>
      <c r="P1143">
        <v>83.757575759999995</v>
      </c>
      <c r="Q1143">
        <v>22.60997987</v>
      </c>
      <c r="R1143">
        <v>0.72884000000000004</v>
      </c>
      <c r="S1143">
        <v>0.21301339999999999</v>
      </c>
      <c r="T1143" t="s">
        <v>1015</v>
      </c>
      <c r="U1143">
        <v>14.53409091</v>
      </c>
    </row>
    <row r="1144" spans="1:21" x14ac:dyDescent="0.25">
      <c r="A1144" t="s">
        <v>39</v>
      </c>
      <c r="B1144" t="s">
        <v>948</v>
      </c>
      <c r="C1144">
        <v>2</v>
      </c>
      <c r="D1144" t="s">
        <v>15</v>
      </c>
      <c r="E1144" t="s">
        <v>94</v>
      </c>
      <c r="F1144" t="s">
        <v>111</v>
      </c>
      <c r="G1144" t="s">
        <v>104</v>
      </c>
      <c r="H1144" t="s">
        <v>236</v>
      </c>
      <c r="J1144">
        <v>0</v>
      </c>
      <c r="K1144">
        <v>1</v>
      </c>
      <c r="L1144">
        <v>94.97142857</v>
      </c>
      <c r="M1144">
        <v>24.31591813</v>
      </c>
      <c r="N1144">
        <v>0.122951111</v>
      </c>
      <c r="O1144">
        <v>0.39050790000000002</v>
      </c>
      <c r="P1144">
        <v>113.33333330000001</v>
      </c>
      <c r="Q1144">
        <v>26.41632581</v>
      </c>
      <c r="R1144">
        <v>1.6844570160000001</v>
      </c>
      <c r="S1144">
        <v>8.9285710000000004E-2</v>
      </c>
      <c r="T1144" t="s">
        <v>1015</v>
      </c>
      <c r="U1144">
        <v>18.361904729999999</v>
      </c>
    </row>
    <row r="1145" spans="1:21" x14ac:dyDescent="0.25">
      <c r="A1145" t="s">
        <v>39</v>
      </c>
      <c r="B1145" t="s">
        <v>948</v>
      </c>
      <c r="C1145">
        <v>2</v>
      </c>
      <c r="D1145" t="s">
        <v>15</v>
      </c>
      <c r="E1145" t="s">
        <v>94</v>
      </c>
      <c r="F1145" t="s">
        <v>111</v>
      </c>
      <c r="G1145" t="s">
        <v>104</v>
      </c>
      <c r="H1145" t="s">
        <v>103</v>
      </c>
      <c r="J1145">
        <v>0</v>
      </c>
      <c r="K1145">
        <v>1</v>
      </c>
      <c r="L1145">
        <v>94.97142857</v>
      </c>
      <c r="M1145">
        <v>24.31591813</v>
      </c>
      <c r="N1145">
        <v>0.122951111</v>
      </c>
      <c r="O1145">
        <v>0.39050790000000002</v>
      </c>
      <c r="P1145">
        <v>98.291666669999998</v>
      </c>
      <c r="Q1145">
        <v>30.315130790000001</v>
      </c>
      <c r="R1145">
        <v>5.0803484000000003E-2</v>
      </c>
      <c r="S1145">
        <v>0.42866070000000001</v>
      </c>
      <c r="T1145" t="s">
        <v>1015</v>
      </c>
      <c r="U1145">
        <v>3.3202381000000001</v>
      </c>
    </row>
    <row r="1146" spans="1:21" x14ac:dyDescent="0.25">
      <c r="A1146" t="s">
        <v>39</v>
      </c>
      <c r="B1146" t="s">
        <v>948</v>
      </c>
      <c r="C1146">
        <v>2</v>
      </c>
      <c r="D1146" t="s">
        <v>15</v>
      </c>
      <c r="E1146" t="s">
        <v>94</v>
      </c>
      <c r="F1146" t="s">
        <v>111</v>
      </c>
      <c r="G1146" t="s">
        <v>104</v>
      </c>
      <c r="H1146" t="s">
        <v>104</v>
      </c>
      <c r="J1146">
        <v>0</v>
      </c>
      <c r="K1146">
        <v>1</v>
      </c>
      <c r="L1146">
        <v>94.97142857</v>
      </c>
      <c r="M1146">
        <v>24.31591813</v>
      </c>
      <c r="N1146">
        <v>0.122951111</v>
      </c>
      <c r="O1146">
        <v>0.39050790000000002</v>
      </c>
      <c r="P1146">
        <v>113.9375</v>
      </c>
      <c r="Q1146">
        <v>33.375507550000002</v>
      </c>
      <c r="R1146">
        <v>2.4262999999999999</v>
      </c>
      <c r="S1146">
        <v>0.40692159999999999</v>
      </c>
      <c r="T1146" t="s">
        <v>1015</v>
      </c>
      <c r="U1146">
        <v>18.96607143</v>
      </c>
    </row>
    <row r="1147" spans="1:21" x14ac:dyDescent="0.25">
      <c r="A1147" t="s">
        <v>39</v>
      </c>
      <c r="B1147" t="s">
        <v>949</v>
      </c>
      <c r="C1147">
        <v>2</v>
      </c>
      <c r="D1147" t="s">
        <v>15</v>
      </c>
      <c r="E1147" t="s">
        <v>94</v>
      </c>
      <c r="F1147" t="s">
        <v>104</v>
      </c>
      <c r="G1147" t="s">
        <v>104</v>
      </c>
      <c r="H1147" t="s">
        <v>104</v>
      </c>
      <c r="J1147">
        <v>0</v>
      </c>
      <c r="K1147">
        <v>3</v>
      </c>
      <c r="L1147">
        <v>113.9375</v>
      </c>
      <c r="M1147">
        <v>33.375507550000002</v>
      </c>
      <c r="N1147">
        <v>2.4262999999999999</v>
      </c>
      <c r="O1147">
        <v>0.40692159999999999</v>
      </c>
      <c r="P1147">
        <v>113.9375</v>
      </c>
      <c r="Q1147">
        <v>33.375507550000002</v>
      </c>
      <c r="R1147">
        <v>2.4262999999999999</v>
      </c>
      <c r="S1147">
        <v>0.40692159999999999</v>
      </c>
      <c r="T1147" t="s">
        <v>1015</v>
      </c>
      <c r="U1147">
        <v>0</v>
      </c>
    </row>
    <row r="1148" spans="1:21" x14ac:dyDescent="0.25">
      <c r="A1148" t="s">
        <v>39</v>
      </c>
      <c r="B1148" t="s">
        <v>949</v>
      </c>
      <c r="C1148">
        <v>2</v>
      </c>
      <c r="D1148" t="s">
        <v>15</v>
      </c>
      <c r="E1148" t="s">
        <v>94</v>
      </c>
      <c r="F1148" t="s">
        <v>104</v>
      </c>
      <c r="G1148" t="s">
        <v>104</v>
      </c>
      <c r="H1148" t="s">
        <v>104</v>
      </c>
      <c r="J1148">
        <v>0</v>
      </c>
      <c r="K1148">
        <v>3</v>
      </c>
      <c r="L1148">
        <v>113.9375</v>
      </c>
      <c r="M1148">
        <v>33.375507550000002</v>
      </c>
      <c r="N1148">
        <v>2.4262999999999999</v>
      </c>
      <c r="O1148">
        <v>0.40692159999999999</v>
      </c>
      <c r="P1148">
        <v>113.9375</v>
      </c>
      <c r="Q1148">
        <v>33.375507550000002</v>
      </c>
      <c r="R1148">
        <v>2.4262999999999999</v>
      </c>
      <c r="S1148">
        <v>0.40692159999999999</v>
      </c>
      <c r="T1148" t="s">
        <v>1015</v>
      </c>
      <c r="U1148">
        <v>0</v>
      </c>
    </row>
    <row r="1149" spans="1:21" x14ac:dyDescent="0.25">
      <c r="A1149" t="s">
        <v>39</v>
      </c>
      <c r="B1149" t="s">
        <v>949</v>
      </c>
      <c r="C1149">
        <v>2</v>
      </c>
      <c r="D1149" t="s">
        <v>15</v>
      </c>
      <c r="E1149" t="s">
        <v>94</v>
      </c>
      <c r="F1149" t="s">
        <v>104</v>
      </c>
      <c r="G1149" t="s">
        <v>104</v>
      </c>
      <c r="H1149" t="s">
        <v>104</v>
      </c>
      <c r="J1149">
        <v>0</v>
      </c>
      <c r="K1149">
        <v>3</v>
      </c>
      <c r="L1149">
        <v>113.9375</v>
      </c>
      <c r="M1149">
        <v>33.375507550000002</v>
      </c>
      <c r="N1149">
        <v>2.4262999999999999</v>
      </c>
      <c r="O1149">
        <v>0.40692159999999999</v>
      </c>
      <c r="P1149">
        <v>113.9375</v>
      </c>
      <c r="Q1149">
        <v>33.375507550000002</v>
      </c>
      <c r="R1149">
        <v>2.4262999999999999</v>
      </c>
      <c r="S1149">
        <v>0.40692159999999999</v>
      </c>
      <c r="T1149" t="s">
        <v>1015</v>
      </c>
      <c r="U1149">
        <v>0</v>
      </c>
    </row>
    <row r="1150" spans="1:21" x14ac:dyDescent="0.25">
      <c r="A1150" t="s">
        <v>39</v>
      </c>
      <c r="B1150" t="s">
        <v>949</v>
      </c>
      <c r="C1150">
        <v>2</v>
      </c>
      <c r="D1150" t="s">
        <v>15</v>
      </c>
      <c r="E1150" t="s">
        <v>94</v>
      </c>
      <c r="F1150" t="s">
        <v>104</v>
      </c>
      <c r="G1150" t="s">
        <v>104</v>
      </c>
      <c r="H1150" t="s">
        <v>113</v>
      </c>
      <c r="J1150">
        <v>0</v>
      </c>
      <c r="K1150">
        <v>1</v>
      </c>
      <c r="L1150">
        <v>113.9375</v>
      </c>
      <c r="M1150">
        <v>33.375507550000002</v>
      </c>
      <c r="N1150">
        <v>2.4262999999999999</v>
      </c>
      <c r="O1150">
        <v>0.40692159999999999</v>
      </c>
      <c r="P1150">
        <v>83.757575759999995</v>
      </c>
      <c r="Q1150">
        <v>22.60997987</v>
      </c>
      <c r="R1150">
        <v>0.72884000000000004</v>
      </c>
      <c r="S1150">
        <v>0.21301339999999999</v>
      </c>
      <c r="T1150" t="s">
        <v>1015</v>
      </c>
      <c r="U1150">
        <v>30.179924239999998</v>
      </c>
    </row>
    <row r="1151" spans="1:21" x14ac:dyDescent="0.25">
      <c r="A1151" t="s">
        <v>40</v>
      </c>
      <c r="B1151" t="s">
        <v>950</v>
      </c>
      <c r="C1151">
        <v>2</v>
      </c>
      <c r="D1151" t="s">
        <v>17</v>
      </c>
      <c r="E1151" t="s">
        <v>95</v>
      </c>
      <c r="F1151" t="s">
        <v>113</v>
      </c>
      <c r="G1151" t="s">
        <v>113</v>
      </c>
      <c r="H1151" t="s">
        <v>113</v>
      </c>
      <c r="J1151">
        <v>0</v>
      </c>
      <c r="K1151">
        <v>1</v>
      </c>
      <c r="L1151">
        <v>83.757575759999995</v>
      </c>
      <c r="M1151">
        <v>22.60997987</v>
      </c>
      <c r="N1151">
        <v>0.72884000000000004</v>
      </c>
      <c r="O1151">
        <v>0.21301339999999999</v>
      </c>
      <c r="P1151">
        <v>83.757575759999995</v>
      </c>
      <c r="Q1151">
        <v>22.60997987</v>
      </c>
      <c r="R1151">
        <v>0.72884000000000004</v>
      </c>
      <c r="S1151">
        <v>0.21301339999999999</v>
      </c>
      <c r="T1151" t="s">
        <v>1015</v>
      </c>
      <c r="U1151">
        <v>0</v>
      </c>
    </row>
    <row r="1152" spans="1:21" x14ac:dyDescent="0.25">
      <c r="A1152" t="s">
        <v>40</v>
      </c>
      <c r="B1152" t="s">
        <v>950</v>
      </c>
      <c r="C1152">
        <v>2</v>
      </c>
      <c r="D1152" t="s">
        <v>17</v>
      </c>
      <c r="E1152" t="s">
        <v>95</v>
      </c>
      <c r="F1152" t="s">
        <v>113</v>
      </c>
      <c r="G1152" t="s">
        <v>113</v>
      </c>
      <c r="H1152" t="s">
        <v>103</v>
      </c>
      <c r="J1152">
        <v>0</v>
      </c>
      <c r="K1152">
        <v>2</v>
      </c>
      <c r="L1152">
        <v>83.757575759999995</v>
      </c>
      <c r="M1152">
        <v>22.60997987</v>
      </c>
      <c r="N1152">
        <v>0.72884000000000004</v>
      </c>
      <c r="O1152">
        <v>0.21301339999999999</v>
      </c>
      <c r="P1152">
        <v>98.291666669999998</v>
      </c>
      <c r="Q1152">
        <v>30.315130790000001</v>
      </c>
      <c r="R1152">
        <v>5.0803484000000003E-2</v>
      </c>
      <c r="S1152">
        <v>0.42866070000000001</v>
      </c>
      <c r="T1152" t="s">
        <v>1015</v>
      </c>
      <c r="U1152">
        <v>14.53409091</v>
      </c>
    </row>
    <row r="1153" spans="1:21" x14ac:dyDescent="0.25">
      <c r="A1153" t="s">
        <v>40</v>
      </c>
      <c r="B1153" t="s">
        <v>950</v>
      </c>
      <c r="C1153">
        <v>2</v>
      </c>
      <c r="D1153" t="s">
        <v>17</v>
      </c>
      <c r="E1153" t="s">
        <v>95</v>
      </c>
      <c r="F1153" t="s">
        <v>113</v>
      </c>
      <c r="G1153" t="s">
        <v>113</v>
      </c>
      <c r="H1153" t="s">
        <v>103</v>
      </c>
      <c r="J1153">
        <v>0</v>
      </c>
      <c r="K1153">
        <v>2</v>
      </c>
      <c r="L1153">
        <v>83.757575759999995</v>
      </c>
      <c r="M1153">
        <v>22.60997987</v>
      </c>
      <c r="N1153">
        <v>0.72884000000000004</v>
      </c>
      <c r="O1153">
        <v>0.21301339999999999</v>
      </c>
      <c r="P1153">
        <v>98.291666669999998</v>
      </c>
      <c r="Q1153">
        <v>30.315130790000001</v>
      </c>
      <c r="R1153">
        <v>5.0803484000000003E-2</v>
      </c>
      <c r="S1153">
        <v>0.42866070000000001</v>
      </c>
      <c r="T1153" t="s">
        <v>1015</v>
      </c>
      <c r="U1153">
        <v>14.53409091</v>
      </c>
    </row>
    <row r="1154" spans="1:21" x14ac:dyDescent="0.25">
      <c r="A1154" t="s">
        <v>40</v>
      </c>
      <c r="B1154" t="s">
        <v>951</v>
      </c>
      <c r="C1154">
        <v>2</v>
      </c>
      <c r="D1154" t="s">
        <v>17</v>
      </c>
      <c r="E1154" t="s">
        <v>95</v>
      </c>
      <c r="F1154" t="s">
        <v>103</v>
      </c>
      <c r="G1154" t="s">
        <v>103</v>
      </c>
      <c r="H1154" t="s">
        <v>103</v>
      </c>
      <c r="J1154">
        <v>0</v>
      </c>
      <c r="K1154">
        <v>6</v>
      </c>
      <c r="L1154">
        <v>98.291666669999998</v>
      </c>
      <c r="M1154">
        <v>30.315130790000001</v>
      </c>
      <c r="N1154">
        <v>5.0803484000000003E-2</v>
      </c>
      <c r="O1154">
        <v>0.42866070000000001</v>
      </c>
      <c r="P1154">
        <v>98.291666669999998</v>
      </c>
      <c r="Q1154">
        <v>30.315130790000001</v>
      </c>
      <c r="R1154">
        <v>5.0803484000000003E-2</v>
      </c>
      <c r="S1154">
        <v>0.42866070000000001</v>
      </c>
      <c r="T1154" t="s">
        <v>1015</v>
      </c>
      <c r="U1154">
        <v>0</v>
      </c>
    </row>
    <row r="1155" spans="1:21" x14ac:dyDescent="0.25">
      <c r="A1155" t="s">
        <v>40</v>
      </c>
      <c r="B1155" t="s">
        <v>951</v>
      </c>
      <c r="C1155">
        <v>2</v>
      </c>
      <c r="D1155" t="s">
        <v>17</v>
      </c>
      <c r="E1155" t="s">
        <v>95</v>
      </c>
      <c r="F1155" t="s">
        <v>103</v>
      </c>
      <c r="G1155" t="s">
        <v>103</v>
      </c>
      <c r="H1155" t="s">
        <v>103</v>
      </c>
      <c r="J1155">
        <v>0</v>
      </c>
      <c r="K1155">
        <v>6</v>
      </c>
      <c r="L1155">
        <v>98.291666669999998</v>
      </c>
      <c r="M1155">
        <v>30.315130790000001</v>
      </c>
      <c r="N1155">
        <v>5.0803484000000003E-2</v>
      </c>
      <c r="O1155">
        <v>0.42866070000000001</v>
      </c>
      <c r="P1155">
        <v>98.291666669999998</v>
      </c>
      <c r="Q1155">
        <v>30.315130790000001</v>
      </c>
      <c r="R1155">
        <v>5.0803484000000003E-2</v>
      </c>
      <c r="S1155">
        <v>0.42866070000000001</v>
      </c>
      <c r="T1155" t="s">
        <v>1015</v>
      </c>
      <c r="U1155">
        <v>0</v>
      </c>
    </row>
    <row r="1156" spans="1:21" x14ac:dyDescent="0.25">
      <c r="A1156" t="s">
        <v>40</v>
      </c>
      <c r="B1156" t="s">
        <v>951</v>
      </c>
      <c r="C1156">
        <v>2</v>
      </c>
      <c r="D1156" t="s">
        <v>17</v>
      </c>
      <c r="E1156" t="s">
        <v>95</v>
      </c>
      <c r="F1156" t="s">
        <v>103</v>
      </c>
      <c r="G1156" t="s">
        <v>103</v>
      </c>
      <c r="H1156" t="s">
        <v>103</v>
      </c>
      <c r="J1156">
        <v>0</v>
      </c>
      <c r="K1156">
        <v>6</v>
      </c>
      <c r="L1156">
        <v>98.291666669999998</v>
      </c>
      <c r="M1156">
        <v>30.315130790000001</v>
      </c>
      <c r="N1156">
        <v>5.0803484000000003E-2</v>
      </c>
      <c r="O1156">
        <v>0.42866070000000001</v>
      </c>
      <c r="P1156">
        <v>98.291666669999998</v>
      </c>
      <c r="Q1156">
        <v>30.315130790000001</v>
      </c>
      <c r="R1156">
        <v>5.0803484000000003E-2</v>
      </c>
      <c r="S1156">
        <v>0.42866070000000001</v>
      </c>
      <c r="T1156" t="s">
        <v>1015</v>
      </c>
      <c r="U1156">
        <v>0</v>
      </c>
    </row>
    <row r="1157" spans="1:21" x14ac:dyDescent="0.25">
      <c r="A1157" t="s">
        <v>40</v>
      </c>
      <c r="B1157" t="s">
        <v>951</v>
      </c>
      <c r="C1157">
        <v>2</v>
      </c>
      <c r="D1157" t="s">
        <v>17</v>
      </c>
      <c r="E1157" t="s">
        <v>95</v>
      </c>
      <c r="F1157" t="s">
        <v>103</v>
      </c>
      <c r="G1157" t="s">
        <v>103</v>
      </c>
      <c r="H1157" t="s">
        <v>103</v>
      </c>
      <c r="J1157">
        <v>0</v>
      </c>
      <c r="K1157">
        <v>6</v>
      </c>
      <c r="L1157">
        <v>98.291666669999998</v>
      </c>
      <c r="M1157">
        <v>30.315130790000001</v>
      </c>
      <c r="N1157">
        <v>5.0803484000000003E-2</v>
      </c>
      <c r="O1157">
        <v>0.42866070000000001</v>
      </c>
      <c r="P1157">
        <v>98.291666669999998</v>
      </c>
      <c r="Q1157">
        <v>30.315130790000001</v>
      </c>
      <c r="R1157">
        <v>5.0803484000000003E-2</v>
      </c>
      <c r="S1157">
        <v>0.42866070000000001</v>
      </c>
      <c r="T1157" t="s">
        <v>1015</v>
      </c>
      <c r="U1157">
        <v>0</v>
      </c>
    </row>
    <row r="1158" spans="1:21" x14ac:dyDescent="0.25">
      <c r="A1158" t="s">
        <v>40</v>
      </c>
      <c r="B1158" t="s">
        <v>951</v>
      </c>
      <c r="C1158">
        <v>2</v>
      </c>
      <c r="D1158" t="s">
        <v>17</v>
      </c>
      <c r="E1158" t="s">
        <v>95</v>
      </c>
      <c r="F1158" t="s">
        <v>103</v>
      </c>
      <c r="G1158" t="s">
        <v>103</v>
      </c>
      <c r="H1158" t="s">
        <v>103</v>
      </c>
      <c r="J1158">
        <v>0</v>
      </c>
      <c r="K1158">
        <v>6</v>
      </c>
      <c r="L1158">
        <v>98.291666669999998</v>
      </c>
      <c r="M1158">
        <v>30.315130790000001</v>
      </c>
      <c r="N1158">
        <v>5.0803484000000003E-2</v>
      </c>
      <c r="O1158">
        <v>0.42866070000000001</v>
      </c>
      <c r="P1158">
        <v>98.291666669999998</v>
      </c>
      <c r="Q1158">
        <v>30.315130790000001</v>
      </c>
      <c r="R1158">
        <v>5.0803484000000003E-2</v>
      </c>
      <c r="S1158">
        <v>0.42866070000000001</v>
      </c>
      <c r="T1158" t="s">
        <v>1015</v>
      </c>
      <c r="U1158">
        <v>0</v>
      </c>
    </row>
    <row r="1159" spans="1:21" x14ac:dyDescent="0.25">
      <c r="A1159" t="s">
        <v>40</v>
      </c>
      <c r="B1159" t="s">
        <v>951</v>
      </c>
      <c r="C1159">
        <v>2</v>
      </c>
      <c r="D1159" t="s">
        <v>17</v>
      </c>
      <c r="E1159" t="s">
        <v>95</v>
      </c>
      <c r="F1159" t="s">
        <v>103</v>
      </c>
      <c r="G1159" t="s">
        <v>103</v>
      </c>
      <c r="H1159" t="s">
        <v>103</v>
      </c>
      <c r="J1159">
        <v>0</v>
      </c>
      <c r="K1159">
        <v>6</v>
      </c>
      <c r="L1159">
        <v>98.291666669999998</v>
      </c>
      <c r="M1159">
        <v>30.315130790000001</v>
      </c>
      <c r="N1159">
        <v>5.0803484000000003E-2</v>
      </c>
      <c r="O1159">
        <v>0.42866070000000001</v>
      </c>
      <c r="P1159">
        <v>98.291666669999998</v>
      </c>
      <c r="Q1159">
        <v>30.315130790000001</v>
      </c>
      <c r="R1159">
        <v>5.0803484000000003E-2</v>
      </c>
      <c r="S1159">
        <v>0.42866070000000001</v>
      </c>
      <c r="T1159" t="s">
        <v>1015</v>
      </c>
      <c r="U1159">
        <v>0</v>
      </c>
    </row>
    <row r="1160" spans="1:21" x14ac:dyDescent="0.25">
      <c r="A1160" t="s">
        <v>40</v>
      </c>
      <c r="B1160" t="s">
        <v>952</v>
      </c>
      <c r="C1160">
        <v>2</v>
      </c>
      <c r="D1160" t="s">
        <v>17</v>
      </c>
      <c r="E1160" t="s">
        <v>95</v>
      </c>
      <c r="F1160" t="s">
        <v>112</v>
      </c>
      <c r="G1160" t="s">
        <v>103</v>
      </c>
      <c r="H1160" t="s">
        <v>103</v>
      </c>
      <c r="I1160" t="s">
        <v>243</v>
      </c>
      <c r="J1160">
        <v>1</v>
      </c>
      <c r="K1160">
        <v>7</v>
      </c>
      <c r="L1160">
        <v>65.09375</v>
      </c>
      <c r="M1160">
        <v>37.895352600000002</v>
      </c>
      <c r="N1160">
        <v>2.2882677779999998</v>
      </c>
      <c r="O1160">
        <v>2.2111774</v>
      </c>
      <c r="P1160">
        <v>98.291666669999998</v>
      </c>
      <c r="Q1160">
        <v>30.315130790000001</v>
      </c>
      <c r="R1160">
        <v>5.0803484000000003E-2</v>
      </c>
      <c r="S1160">
        <v>0.42866070000000001</v>
      </c>
      <c r="T1160" t="s">
        <v>1015</v>
      </c>
      <c r="U1160">
        <v>33.197916669999998</v>
      </c>
    </row>
    <row r="1161" spans="1:21" x14ac:dyDescent="0.25">
      <c r="A1161" t="s">
        <v>40</v>
      </c>
      <c r="B1161" t="s">
        <v>952</v>
      </c>
      <c r="C1161">
        <v>2</v>
      </c>
      <c r="D1161" t="s">
        <v>17</v>
      </c>
      <c r="E1161" t="s">
        <v>95</v>
      </c>
      <c r="F1161" t="s">
        <v>112</v>
      </c>
      <c r="G1161" t="s">
        <v>103</v>
      </c>
      <c r="H1161" t="s">
        <v>103</v>
      </c>
      <c r="I1161" t="s">
        <v>243</v>
      </c>
      <c r="J1161">
        <v>1</v>
      </c>
      <c r="K1161">
        <v>7</v>
      </c>
      <c r="L1161">
        <v>65.09375</v>
      </c>
      <c r="M1161">
        <v>37.895352600000002</v>
      </c>
      <c r="N1161">
        <v>2.2882677779999998</v>
      </c>
      <c r="O1161">
        <v>2.2111774</v>
      </c>
      <c r="P1161">
        <v>98.291666669999998</v>
      </c>
      <c r="Q1161">
        <v>30.315130790000001</v>
      </c>
      <c r="R1161">
        <v>5.0803484000000003E-2</v>
      </c>
      <c r="S1161">
        <v>0.42866070000000001</v>
      </c>
      <c r="T1161" t="s">
        <v>1015</v>
      </c>
      <c r="U1161">
        <v>33.197916669999998</v>
      </c>
    </row>
    <row r="1162" spans="1:21" x14ac:dyDescent="0.25">
      <c r="A1162" t="s">
        <v>40</v>
      </c>
      <c r="B1162" t="s">
        <v>952</v>
      </c>
      <c r="C1162">
        <v>2</v>
      </c>
      <c r="D1162" t="s">
        <v>17</v>
      </c>
      <c r="E1162" t="s">
        <v>95</v>
      </c>
      <c r="F1162" t="s">
        <v>112</v>
      </c>
      <c r="G1162" t="s">
        <v>103</v>
      </c>
      <c r="H1162" t="s">
        <v>103</v>
      </c>
      <c r="I1162" t="s">
        <v>243</v>
      </c>
      <c r="J1162">
        <v>1</v>
      </c>
      <c r="K1162">
        <v>7</v>
      </c>
      <c r="L1162">
        <v>65.09375</v>
      </c>
      <c r="M1162">
        <v>37.895352600000002</v>
      </c>
      <c r="N1162">
        <v>2.2882677779999998</v>
      </c>
      <c r="O1162">
        <v>2.2111774</v>
      </c>
      <c r="P1162">
        <v>98.291666669999998</v>
      </c>
      <c r="Q1162">
        <v>30.315130790000001</v>
      </c>
      <c r="R1162">
        <v>5.0803484000000003E-2</v>
      </c>
      <c r="S1162">
        <v>0.42866070000000001</v>
      </c>
      <c r="T1162" t="s">
        <v>1015</v>
      </c>
      <c r="U1162">
        <v>33.197916669999998</v>
      </c>
    </row>
    <row r="1163" spans="1:21" x14ac:dyDescent="0.25">
      <c r="A1163" t="s">
        <v>40</v>
      </c>
      <c r="B1163" t="s">
        <v>952</v>
      </c>
      <c r="C1163">
        <v>2</v>
      </c>
      <c r="D1163" t="s">
        <v>17</v>
      </c>
      <c r="E1163" t="s">
        <v>95</v>
      </c>
      <c r="F1163" t="s">
        <v>112</v>
      </c>
      <c r="G1163" t="s">
        <v>103</v>
      </c>
      <c r="H1163" t="s">
        <v>103</v>
      </c>
      <c r="I1163" t="s">
        <v>243</v>
      </c>
      <c r="J1163">
        <v>1</v>
      </c>
      <c r="K1163">
        <v>7</v>
      </c>
      <c r="L1163">
        <v>65.09375</v>
      </c>
      <c r="M1163">
        <v>37.895352600000002</v>
      </c>
      <c r="N1163">
        <v>2.2882677779999998</v>
      </c>
      <c r="O1163">
        <v>2.2111774</v>
      </c>
      <c r="P1163">
        <v>98.291666669999998</v>
      </c>
      <c r="Q1163">
        <v>30.315130790000001</v>
      </c>
      <c r="R1163">
        <v>5.0803484000000003E-2</v>
      </c>
      <c r="S1163">
        <v>0.42866070000000001</v>
      </c>
      <c r="T1163" t="s">
        <v>1015</v>
      </c>
      <c r="U1163">
        <v>33.197916669999998</v>
      </c>
    </row>
    <row r="1164" spans="1:21" x14ac:dyDescent="0.25">
      <c r="A1164" t="s">
        <v>40</v>
      </c>
      <c r="B1164" t="s">
        <v>952</v>
      </c>
      <c r="C1164">
        <v>2</v>
      </c>
      <c r="D1164" t="s">
        <v>17</v>
      </c>
      <c r="E1164" t="s">
        <v>95</v>
      </c>
      <c r="F1164" t="s">
        <v>112</v>
      </c>
      <c r="G1164" t="s">
        <v>103</v>
      </c>
      <c r="H1164" t="s">
        <v>103</v>
      </c>
      <c r="I1164" t="s">
        <v>243</v>
      </c>
      <c r="J1164">
        <v>1</v>
      </c>
      <c r="K1164">
        <v>7</v>
      </c>
      <c r="L1164">
        <v>65.09375</v>
      </c>
      <c r="M1164">
        <v>37.895352600000002</v>
      </c>
      <c r="N1164">
        <v>2.2882677779999998</v>
      </c>
      <c r="O1164">
        <v>2.2111774</v>
      </c>
      <c r="P1164">
        <v>98.291666669999998</v>
      </c>
      <c r="Q1164">
        <v>30.315130790000001</v>
      </c>
      <c r="R1164">
        <v>5.0803484000000003E-2</v>
      </c>
      <c r="S1164">
        <v>0.42866070000000001</v>
      </c>
      <c r="T1164" t="s">
        <v>1015</v>
      </c>
      <c r="U1164">
        <v>33.197916669999998</v>
      </c>
    </row>
    <row r="1165" spans="1:21" x14ac:dyDescent="0.25">
      <c r="A1165" t="s">
        <v>40</v>
      </c>
      <c r="B1165" t="s">
        <v>952</v>
      </c>
      <c r="C1165">
        <v>2</v>
      </c>
      <c r="D1165" t="s">
        <v>17</v>
      </c>
      <c r="E1165" t="s">
        <v>95</v>
      </c>
      <c r="F1165" t="s">
        <v>112</v>
      </c>
      <c r="G1165" t="s">
        <v>103</v>
      </c>
      <c r="H1165" t="s">
        <v>103</v>
      </c>
      <c r="I1165" t="s">
        <v>243</v>
      </c>
      <c r="J1165">
        <v>1</v>
      </c>
      <c r="K1165">
        <v>7</v>
      </c>
      <c r="L1165">
        <v>65.09375</v>
      </c>
      <c r="M1165">
        <v>37.895352600000002</v>
      </c>
      <c r="N1165">
        <v>2.2882677779999998</v>
      </c>
      <c r="O1165">
        <v>2.2111774</v>
      </c>
      <c r="P1165">
        <v>98.291666669999998</v>
      </c>
      <c r="Q1165">
        <v>30.315130790000001</v>
      </c>
      <c r="R1165">
        <v>5.0803484000000003E-2</v>
      </c>
      <c r="S1165">
        <v>0.42866070000000001</v>
      </c>
      <c r="T1165" t="s">
        <v>1015</v>
      </c>
      <c r="U1165">
        <v>33.197916669999998</v>
      </c>
    </row>
    <row r="1166" spans="1:21" x14ac:dyDescent="0.25">
      <c r="A1166" t="s">
        <v>40</v>
      </c>
      <c r="B1166" t="s">
        <v>952</v>
      </c>
      <c r="C1166">
        <v>2</v>
      </c>
      <c r="D1166" t="s">
        <v>17</v>
      </c>
      <c r="E1166" t="s">
        <v>95</v>
      </c>
      <c r="F1166" t="s">
        <v>112</v>
      </c>
      <c r="G1166" t="s">
        <v>103</v>
      </c>
      <c r="H1166" t="s">
        <v>103</v>
      </c>
      <c r="I1166" t="s">
        <v>243</v>
      </c>
      <c r="J1166">
        <v>1</v>
      </c>
      <c r="K1166">
        <v>7</v>
      </c>
      <c r="L1166">
        <v>65.09375</v>
      </c>
      <c r="M1166">
        <v>37.895352600000002</v>
      </c>
      <c r="N1166">
        <v>2.2882677779999998</v>
      </c>
      <c r="O1166">
        <v>2.2111774</v>
      </c>
      <c r="P1166">
        <v>98.291666669999998</v>
      </c>
      <c r="Q1166">
        <v>30.315130790000001</v>
      </c>
      <c r="R1166">
        <v>5.0803484000000003E-2</v>
      </c>
      <c r="S1166">
        <v>0.42866070000000001</v>
      </c>
      <c r="T1166" t="s">
        <v>1015</v>
      </c>
      <c r="U1166">
        <v>33.197916669999998</v>
      </c>
    </row>
    <row r="1167" spans="1:21" x14ac:dyDescent="0.25">
      <c r="A1167" t="s">
        <v>40</v>
      </c>
      <c r="B1167" t="s">
        <v>952</v>
      </c>
      <c r="C1167">
        <v>2</v>
      </c>
      <c r="D1167" t="s">
        <v>17</v>
      </c>
      <c r="E1167" t="s">
        <v>95</v>
      </c>
      <c r="F1167" t="s">
        <v>112</v>
      </c>
      <c r="G1167" t="s">
        <v>103</v>
      </c>
      <c r="H1167" t="s">
        <v>113</v>
      </c>
      <c r="J1167">
        <v>1</v>
      </c>
      <c r="K1167">
        <v>5</v>
      </c>
      <c r="L1167">
        <v>65.09375</v>
      </c>
      <c r="M1167">
        <v>37.895352600000002</v>
      </c>
      <c r="N1167">
        <v>2.2882677779999998</v>
      </c>
      <c r="O1167">
        <v>2.2111774</v>
      </c>
      <c r="P1167">
        <v>83.757575759999995</v>
      </c>
      <c r="Q1167">
        <v>22.60997987</v>
      </c>
      <c r="R1167">
        <v>0.72884000000000004</v>
      </c>
      <c r="S1167">
        <v>0.21301339999999999</v>
      </c>
      <c r="T1167" t="s">
        <v>1015</v>
      </c>
      <c r="U1167">
        <v>18.663825760000002</v>
      </c>
    </row>
    <row r="1168" spans="1:21" x14ac:dyDescent="0.25">
      <c r="A1168" t="s">
        <v>40</v>
      </c>
      <c r="B1168" t="s">
        <v>952</v>
      </c>
      <c r="C1168">
        <v>2</v>
      </c>
      <c r="D1168" t="s">
        <v>17</v>
      </c>
      <c r="E1168" t="s">
        <v>95</v>
      </c>
      <c r="F1168" t="s">
        <v>112</v>
      </c>
      <c r="G1168" t="s">
        <v>103</v>
      </c>
      <c r="H1168" t="s">
        <v>113</v>
      </c>
      <c r="J1168">
        <v>1</v>
      </c>
      <c r="K1168">
        <v>5</v>
      </c>
      <c r="L1168">
        <v>65.09375</v>
      </c>
      <c r="M1168">
        <v>37.895352600000002</v>
      </c>
      <c r="N1168">
        <v>2.2882677779999998</v>
      </c>
      <c r="O1168">
        <v>2.2111774</v>
      </c>
      <c r="P1168">
        <v>83.757575759999995</v>
      </c>
      <c r="Q1168">
        <v>22.60997987</v>
      </c>
      <c r="R1168">
        <v>0.72884000000000004</v>
      </c>
      <c r="S1168">
        <v>0.21301339999999999</v>
      </c>
      <c r="T1168" t="s">
        <v>1015</v>
      </c>
      <c r="U1168">
        <v>18.663825760000002</v>
      </c>
    </row>
    <row r="1169" spans="1:21" x14ac:dyDescent="0.25">
      <c r="A1169" t="s">
        <v>40</v>
      </c>
      <c r="B1169" t="s">
        <v>952</v>
      </c>
      <c r="C1169">
        <v>2</v>
      </c>
      <c r="D1169" t="s">
        <v>17</v>
      </c>
      <c r="E1169" t="s">
        <v>95</v>
      </c>
      <c r="F1169" t="s">
        <v>112</v>
      </c>
      <c r="G1169" t="s">
        <v>103</v>
      </c>
      <c r="H1169" t="s">
        <v>113</v>
      </c>
      <c r="J1169">
        <v>1</v>
      </c>
      <c r="K1169">
        <v>5</v>
      </c>
      <c r="L1169">
        <v>65.09375</v>
      </c>
      <c r="M1169">
        <v>37.895352600000002</v>
      </c>
      <c r="N1169">
        <v>2.2882677779999998</v>
      </c>
      <c r="O1169">
        <v>2.2111774</v>
      </c>
      <c r="P1169">
        <v>83.757575759999995</v>
      </c>
      <c r="Q1169">
        <v>22.60997987</v>
      </c>
      <c r="R1169">
        <v>0.72884000000000004</v>
      </c>
      <c r="S1169">
        <v>0.21301339999999999</v>
      </c>
      <c r="T1169" t="s">
        <v>1015</v>
      </c>
      <c r="U1169">
        <v>18.663825760000002</v>
      </c>
    </row>
    <row r="1170" spans="1:21" x14ac:dyDescent="0.25">
      <c r="A1170" t="s">
        <v>40</v>
      </c>
      <c r="B1170" t="s">
        <v>952</v>
      </c>
      <c r="C1170">
        <v>2</v>
      </c>
      <c r="D1170" t="s">
        <v>17</v>
      </c>
      <c r="E1170" t="s">
        <v>95</v>
      </c>
      <c r="F1170" t="s">
        <v>112</v>
      </c>
      <c r="G1170" t="s">
        <v>103</v>
      </c>
      <c r="H1170" t="s">
        <v>113</v>
      </c>
      <c r="J1170">
        <v>1</v>
      </c>
      <c r="K1170">
        <v>5</v>
      </c>
      <c r="L1170">
        <v>65.09375</v>
      </c>
      <c r="M1170">
        <v>37.895352600000002</v>
      </c>
      <c r="N1170">
        <v>2.2882677779999998</v>
      </c>
      <c r="O1170">
        <v>2.2111774</v>
      </c>
      <c r="P1170">
        <v>83.757575759999995</v>
      </c>
      <c r="Q1170">
        <v>22.60997987</v>
      </c>
      <c r="R1170">
        <v>0.72884000000000004</v>
      </c>
      <c r="S1170">
        <v>0.21301339999999999</v>
      </c>
      <c r="T1170" t="s">
        <v>1015</v>
      </c>
      <c r="U1170">
        <v>18.663825760000002</v>
      </c>
    </row>
    <row r="1171" spans="1:21" x14ac:dyDescent="0.25">
      <c r="A1171" t="s">
        <v>40</v>
      </c>
      <c r="B1171" t="s">
        <v>952</v>
      </c>
      <c r="C1171">
        <v>2</v>
      </c>
      <c r="D1171" t="s">
        <v>17</v>
      </c>
      <c r="E1171" t="s">
        <v>95</v>
      </c>
      <c r="F1171" t="s">
        <v>112</v>
      </c>
      <c r="G1171" t="s">
        <v>103</v>
      </c>
      <c r="H1171" t="s">
        <v>113</v>
      </c>
      <c r="J1171">
        <v>1</v>
      </c>
      <c r="K1171">
        <v>5</v>
      </c>
      <c r="L1171">
        <v>65.09375</v>
      </c>
      <c r="M1171">
        <v>37.895352600000002</v>
      </c>
      <c r="N1171">
        <v>2.2882677779999998</v>
      </c>
      <c r="O1171">
        <v>2.2111774</v>
      </c>
      <c r="P1171">
        <v>83.757575759999995</v>
      </c>
      <c r="Q1171">
        <v>22.60997987</v>
      </c>
      <c r="R1171">
        <v>0.72884000000000004</v>
      </c>
      <c r="S1171">
        <v>0.21301339999999999</v>
      </c>
      <c r="T1171" t="s">
        <v>1015</v>
      </c>
      <c r="U1171">
        <v>18.663825760000002</v>
      </c>
    </row>
    <row r="1172" spans="1:21" x14ac:dyDescent="0.25">
      <c r="A1172" t="s">
        <v>41</v>
      </c>
      <c r="B1172" t="s">
        <v>953</v>
      </c>
      <c r="C1172">
        <v>2</v>
      </c>
      <c r="D1172" t="s">
        <v>19</v>
      </c>
      <c r="E1172" t="s">
        <v>94</v>
      </c>
      <c r="F1172" t="s">
        <v>105</v>
      </c>
      <c r="G1172" t="s">
        <v>104</v>
      </c>
      <c r="H1172" t="s">
        <v>104</v>
      </c>
      <c r="J1172">
        <v>0</v>
      </c>
      <c r="K1172">
        <v>3</v>
      </c>
      <c r="L1172">
        <v>67.5</v>
      </c>
      <c r="M1172">
        <v>47.937235809999997</v>
      </c>
      <c r="N1172">
        <v>0.41599678000000001</v>
      </c>
      <c r="O1172">
        <v>2.0950346999999998</v>
      </c>
      <c r="P1172">
        <v>113.9375</v>
      </c>
      <c r="Q1172">
        <v>33.375507550000002</v>
      </c>
      <c r="R1172">
        <v>2.4262999999999999</v>
      </c>
      <c r="S1172">
        <v>0.40692159999999999</v>
      </c>
      <c r="T1172" t="s">
        <v>1015</v>
      </c>
      <c r="U1172">
        <v>46.4375</v>
      </c>
    </row>
    <row r="1173" spans="1:21" x14ac:dyDescent="0.25">
      <c r="A1173" t="s">
        <v>41</v>
      </c>
      <c r="B1173" t="s">
        <v>953</v>
      </c>
      <c r="C1173">
        <v>2</v>
      </c>
      <c r="D1173" t="s">
        <v>19</v>
      </c>
      <c r="E1173" t="s">
        <v>94</v>
      </c>
      <c r="F1173" t="s">
        <v>105</v>
      </c>
      <c r="G1173" t="s">
        <v>104</v>
      </c>
      <c r="H1173" t="s">
        <v>104</v>
      </c>
      <c r="J1173">
        <v>0</v>
      </c>
      <c r="K1173">
        <v>3</v>
      </c>
      <c r="L1173">
        <v>67.5</v>
      </c>
      <c r="M1173">
        <v>47.937235809999997</v>
      </c>
      <c r="N1173">
        <v>0.41599678000000001</v>
      </c>
      <c r="O1173">
        <v>2.0950346999999998</v>
      </c>
      <c r="P1173">
        <v>113.9375</v>
      </c>
      <c r="Q1173">
        <v>33.375507550000002</v>
      </c>
      <c r="R1173">
        <v>2.4262999999999999</v>
      </c>
      <c r="S1173">
        <v>0.40692159999999999</v>
      </c>
      <c r="T1173" t="s">
        <v>1015</v>
      </c>
      <c r="U1173">
        <v>46.4375</v>
      </c>
    </row>
    <row r="1174" spans="1:21" x14ac:dyDescent="0.25">
      <c r="A1174" t="s">
        <v>41</v>
      </c>
      <c r="B1174" t="s">
        <v>953</v>
      </c>
      <c r="C1174">
        <v>2</v>
      </c>
      <c r="D1174" t="s">
        <v>19</v>
      </c>
      <c r="E1174" t="s">
        <v>94</v>
      </c>
      <c r="F1174" t="s">
        <v>105</v>
      </c>
      <c r="G1174" t="s">
        <v>104</v>
      </c>
      <c r="H1174" t="s">
        <v>104</v>
      </c>
      <c r="J1174">
        <v>0</v>
      </c>
      <c r="K1174">
        <v>3</v>
      </c>
      <c r="L1174">
        <v>67.5</v>
      </c>
      <c r="M1174">
        <v>47.937235809999997</v>
      </c>
      <c r="N1174">
        <v>0.41599678000000001</v>
      </c>
      <c r="O1174">
        <v>2.0950346999999998</v>
      </c>
      <c r="P1174">
        <v>113.9375</v>
      </c>
      <c r="Q1174">
        <v>33.375507550000002</v>
      </c>
      <c r="R1174">
        <v>2.4262999999999999</v>
      </c>
      <c r="S1174">
        <v>0.40692159999999999</v>
      </c>
      <c r="T1174" t="s">
        <v>1015</v>
      </c>
      <c r="U1174">
        <v>46.4375</v>
      </c>
    </row>
    <row r="1175" spans="1:21" x14ac:dyDescent="0.25">
      <c r="A1175" t="s">
        <v>41</v>
      </c>
      <c r="B1175" t="s">
        <v>953</v>
      </c>
      <c r="C1175">
        <v>2</v>
      </c>
      <c r="D1175" t="s">
        <v>19</v>
      </c>
      <c r="E1175" t="s">
        <v>94</v>
      </c>
      <c r="F1175" t="s">
        <v>105</v>
      </c>
      <c r="G1175" t="s">
        <v>104</v>
      </c>
      <c r="H1175" t="s">
        <v>113</v>
      </c>
      <c r="J1175">
        <v>0</v>
      </c>
      <c r="K1175">
        <v>1</v>
      </c>
      <c r="L1175">
        <v>67.5</v>
      </c>
      <c r="M1175">
        <v>47.937235809999997</v>
      </c>
      <c r="N1175">
        <v>0.41599678000000001</v>
      </c>
      <c r="O1175">
        <v>2.0950346999999998</v>
      </c>
      <c r="P1175">
        <v>83.757575759999995</v>
      </c>
      <c r="Q1175">
        <v>22.60997987</v>
      </c>
      <c r="R1175">
        <v>0.72884000000000004</v>
      </c>
      <c r="S1175">
        <v>0.21301339999999999</v>
      </c>
      <c r="T1175" t="s">
        <v>1015</v>
      </c>
      <c r="U1175">
        <v>16.257575760000002</v>
      </c>
    </row>
    <row r="1176" spans="1:21" x14ac:dyDescent="0.25">
      <c r="A1176" t="s">
        <v>41</v>
      </c>
      <c r="B1176" t="s">
        <v>953</v>
      </c>
      <c r="C1176">
        <v>2</v>
      </c>
      <c r="D1176" t="s">
        <v>19</v>
      </c>
      <c r="E1176" t="s">
        <v>94</v>
      </c>
      <c r="F1176" t="s">
        <v>105</v>
      </c>
      <c r="G1176" t="s">
        <v>104</v>
      </c>
      <c r="H1176" t="s">
        <v>237</v>
      </c>
      <c r="J1176">
        <v>0</v>
      </c>
      <c r="K1176">
        <v>1</v>
      </c>
      <c r="L1176">
        <v>67.5</v>
      </c>
      <c r="M1176">
        <v>47.937235809999997</v>
      </c>
      <c r="N1176">
        <v>0.41599678000000001</v>
      </c>
      <c r="O1176">
        <v>2.0950346999999998</v>
      </c>
      <c r="P1176">
        <v>83.888888890000004</v>
      </c>
      <c r="Q1176">
        <v>31.026943280000001</v>
      </c>
      <c r="R1176">
        <v>0.53083999999999998</v>
      </c>
      <c r="S1176">
        <v>0.24845418999999999</v>
      </c>
      <c r="T1176" t="s">
        <v>1015</v>
      </c>
      <c r="U1176">
        <v>16.38888889</v>
      </c>
    </row>
    <row r="1177" spans="1:21" x14ac:dyDescent="0.25">
      <c r="A1177" t="s">
        <v>41</v>
      </c>
      <c r="B1177" t="s">
        <v>953</v>
      </c>
      <c r="C1177">
        <v>2</v>
      </c>
      <c r="D1177" t="s">
        <v>19</v>
      </c>
      <c r="E1177" t="s">
        <v>94</v>
      </c>
      <c r="F1177" t="s">
        <v>105</v>
      </c>
      <c r="G1177" t="s">
        <v>104</v>
      </c>
      <c r="H1177" t="s">
        <v>239</v>
      </c>
      <c r="J1177">
        <v>0</v>
      </c>
      <c r="K1177">
        <v>1</v>
      </c>
      <c r="L1177">
        <v>67.5</v>
      </c>
      <c r="M1177">
        <v>47.937235809999997</v>
      </c>
      <c r="N1177">
        <v>0.41599678000000001</v>
      </c>
      <c r="O1177">
        <v>2.0950346999999998</v>
      </c>
      <c r="P1177">
        <v>100.45454549999999</v>
      </c>
      <c r="Q1177">
        <v>26.754810689999999</v>
      </c>
      <c r="R1177">
        <v>0.75829999999999997</v>
      </c>
      <c r="S1177">
        <v>0.40907861000000001</v>
      </c>
      <c r="T1177" t="s">
        <v>1015</v>
      </c>
      <c r="U1177">
        <v>32.954545500000002</v>
      </c>
    </row>
    <row r="1178" spans="1:21" x14ac:dyDescent="0.25">
      <c r="A1178" t="s">
        <v>41</v>
      </c>
      <c r="B1178" t="s">
        <v>954</v>
      </c>
      <c r="C1178">
        <v>2</v>
      </c>
      <c r="D1178" t="s">
        <v>19</v>
      </c>
      <c r="E1178" t="s">
        <v>94</v>
      </c>
      <c r="F1178" t="s">
        <v>113</v>
      </c>
      <c r="G1178" t="s">
        <v>104</v>
      </c>
      <c r="H1178" t="s">
        <v>237</v>
      </c>
      <c r="J1178">
        <v>0</v>
      </c>
      <c r="K1178">
        <v>1</v>
      </c>
      <c r="L1178">
        <v>83.757575759999995</v>
      </c>
      <c r="M1178">
        <v>22.60997987</v>
      </c>
      <c r="N1178">
        <v>0.72884000000000004</v>
      </c>
      <c r="O1178">
        <v>0.21301339999999999</v>
      </c>
      <c r="P1178">
        <v>83.888888890000004</v>
      </c>
      <c r="Q1178">
        <v>31.026943280000001</v>
      </c>
      <c r="R1178">
        <v>0.53083999999999998</v>
      </c>
      <c r="S1178">
        <v>0.24845418999999999</v>
      </c>
      <c r="T1178" t="s">
        <v>1015</v>
      </c>
      <c r="U1178">
        <v>0.13131313</v>
      </c>
    </row>
    <row r="1179" spans="1:21" x14ac:dyDescent="0.25">
      <c r="A1179" t="s">
        <v>41</v>
      </c>
      <c r="B1179" t="s">
        <v>954</v>
      </c>
      <c r="C1179">
        <v>2</v>
      </c>
      <c r="D1179" t="s">
        <v>19</v>
      </c>
      <c r="E1179" t="s">
        <v>94</v>
      </c>
      <c r="F1179" t="s">
        <v>113</v>
      </c>
      <c r="G1179" t="s">
        <v>104</v>
      </c>
      <c r="H1179" t="s">
        <v>113</v>
      </c>
      <c r="J1179">
        <v>0</v>
      </c>
      <c r="K1179">
        <v>7</v>
      </c>
      <c r="L1179">
        <v>83.757575759999995</v>
      </c>
      <c r="M1179">
        <v>22.60997987</v>
      </c>
      <c r="N1179">
        <v>0.72884000000000004</v>
      </c>
      <c r="O1179">
        <v>0.21301339999999999</v>
      </c>
      <c r="P1179">
        <v>83.757575759999995</v>
      </c>
      <c r="Q1179">
        <v>22.60997987</v>
      </c>
      <c r="R1179">
        <v>0.72884000000000004</v>
      </c>
      <c r="S1179">
        <v>0.21301339999999999</v>
      </c>
      <c r="T1179" t="s">
        <v>1015</v>
      </c>
      <c r="U1179">
        <v>0</v>
      </c>
    </row>
    <row r="1180" spans="1:21" x14ac:dyDescent="0.25">
      <c r="A1180" t="s">
        <v>41</v>
      </c>
      <c r="B1180" t="s">
        <v>954</v>
      </c>
      <c r="C1180">
        <v>2</v>
      </c>
      <c r="D1180" t="s">
        <v>19</v>
      </c>
      <c r="E1180" t="s">
        <v>94</v>
      </c>
      <c r="F1180" t="s">
        <v>113</v>
      </c>
      <c r="G1180" t="s">
        <v>104</v>
      </c>
      <c r="H1180" t="s">
        <v>113</v>
      </c>
      <c r="J1180">
        <v>0</v>
      </c>
      <c r="K1180">
        <v>7</v>
      </c>
      <c r="L1180">
        <v>83.757575759999995</v>
      </c>
      <c r="M1180">
        <v>22.60997987</v>
      </c>
      <c r="N1180">
        <v>0.72884000000000004</v>
      </c>
      <c r="O1180">
        <v>0.21301339999999999</v>
      </c>
      <c r="P1180">
        <v>83.757575759999995</v>
      </c>
      <c r="Q1180">
        <v>22.60997987</v>
      </c>
      <c r="R1180">
        <v>0.72884000000000004</v>
      </c>
      <c r="S1180">
        <v>0.21301339999999999</v>
      </c>
      <c r="T1180" t="s">
        <v>1015</v>
      </c>
      <c r="U1180">
        <v>0</v>
      </c>
    </row>
    <row r="1181" spans="1:21" x14ac:dyDescent="0.25">
      <c r="A1181" t="s">
        <v>41</v>
      </c>
      <c r="B1181" t="s">
        <v>954</v>
      </c>
      <c r="C1181">
        <v>2</v>
      </c>
      <c r="D1181" t="s">
        <v>19</v>
      </c>
      <c r="E1181" t="s">
        <v>94</v>
      </c>
      <c r="F1181" t="s">
        <v>113</v>
      </c>
      <c r="G1181" t="s">
        <v>104</v>
      </c>
      <c r="H1181" t="s">
        <v>113</v>
      </c>
      <c r="J1181">
        <v>0</v>
      </c>
      <c r="K1181">
        <v>7</v>
      </c>
      <c r="L1181">
        <v>83.757575759999995</v>
      </c>
      <c r="M1181">
        <v>22.60997987</v>
      </c>
      <c r="N1181">
        <v>0.72884000000000004</v>
      </c>
      <c r="O1181">
        <v>0.21301339999999999</v>
      </c>
      <c r="P1181">
        <v>83.757575759999995</v>
      </c>
      <c r="Q1181">
        <v>22.60997987</v>
      </c>
      <c r="R1181">
        <v>0.72884000000000004</v>
      </c>
      <c r="S1181">
        <v>0.21301339999999999</v>
      </c>
      <c r="T1181" t="s">
        <v>1015</v>
      </c>
      <c r="U1181">
        <v>0</v>
      </c>
    </row>
    <row r="1182" spans="1:21" x14ac:dyDescent="0.25">
      <c r="A1182" t="s">
        <v>41</v>
      </c>
      <c r="B1182" t="s">
        <v>954</v>
      </c>
      <c r="C1182">
        <v>2</v>
      </c>
      <c r="D1182" t="s">
        <v>19</v>
      </c>
      <c r="E1182" t="s">
        <v>94</v>
      </c>
      <c r="F1182" t="s">
        <v>113</v>
      </c>
      <c r="G1182" t="s">
        <v>104</v>
      </c>
      <c r="H1182" t="s">
        <v>113</v>
      </c>
      <c r="J1182">
        <v>0</v>
      </c>
      <c r="K1182">
        <v>7</v>
      </c>
      <c r="L1182">
        <v>83.757575759999995</v>
      </c>
      <c r="M1182">
        <v>22.60997987</v>
      </c>
      <c r="N1182">
        <v>0.72884000000000004</v>
      </c>
      <c r="O1182">
        <v>0.21301339999999999</v>
      </c>
      <c r="P1182">
        <v>83.757575759999995</v>
      </c>
      <c r="Q1182">
        <v>22.60997987</v>
      </c>
      <c r="R1182">
        <v>0.72884000000000004</v>
      </c>
      <c r="S1182">
        <v>0.21301339999999999</v>
      </c>
      <c r="T1182" t="s">
        <v>1015</v>
      </c>
      <c r="U1182">
        <v>0</v>
      </c>
    </row>
    <row r="1183" spans="1:21" x14ac:dyDescent="0.25">
      <c r="A1183" t="s">
        <v>41</v>
      </c>
      <c r="B1183" t="s">
        <v>954</v>
      </c>
      <c r="C1183">
        <v>2</v>
      </c>
      <c r="D1183" t="s">
        <v>19</v>
      </c>
      <c r="E1183" t="s">
        <v>94</v>
      </c>
      <c r="F1183" t="s">
        <v>113</v>
      </c>
      <c r="G1183" t="s">
        <v>104</v>
      </c>
      <c r="H1183" t="s">
        <v>113</v>
      </c>
      <c r="J1183">
        <v>0</v>
      </c>
      <c r="K1183">
        <v>7</v>
      </c>
      <c r="L1183">
        <v>83.757575759999995</v>
      </c>
      <c r="M1183">
        <v>22.60997987</v>
      </c>
      <c r="N1183">
        <v>0.72884000000000004</v>
      </c>
      <c r="O1183">
        <v>0.21301339999999999</v>
      </c>
      <c r="P1183">
        <v>83.757575759999995</v>
      </c>
      <c r="Q1183">
        <v>22.60997987</v>
      </c>
      <c r="R1183">
        <v>0.72884000000000004</v>
      </c>
      <c r="S1183">
        <v>0.21301339999999999</v>
      </c>
      <c r="T1183" t="s">
        <v>1015</v>
      </c>
      <c r="U1183">
        <v>0</v>
      </c>
    </row>
    <row r="1184" spans="1:21" x14ac:dyDescent="0.25">
      <c r="A1184" t="s">
        <v>41</v>
      </c>
      <c r="B1184" t="s">
        <v>954</v>
      </c>
      <c r="C1184">
        <v>2</v>
      </c>
      <c r="D1184" t="s">
        <v>19</v>
      </c>
      <c r="E1184" t="s">
        <v>94</v>
      </c>
      <c r="F1184" t="s">
        <v>113</v>
      </c>
      <c r="G1184" t="s">
        <v>104</v>
      </c>
      <c r="H1184" t="s">
        <v>113</v>
      </c>
      <c r="J1184">
        <v>0</v>
      </c>
      <c r="K1184">
        <v>7</v>
      </c>
      <c r="L1184">
        <v>83.757575759999995</v>
      </c>
      <c r="M1184">
        <v>22.60997987</v>
      </c>
      <c r="N1184">
        <v>0.72884000000000004</v>
      </c>
      <c r="O1184">
        <v>0.21301339999999999</v>
      </c>
      <c r="P1184">
        <v>83.757575759999995</v>
      </c>
      <c r="Q1184">
        <v>22.60997987</v>
      </c>
      <c r="R1184">
        <v>0.72884000000000004</v>
      </c>
      <c r="S1184">
        <v>0.21301339999999999</v>
      </c>
      <c r="T1184" t="s">
        <v>1015</v>
      </c>
      <c r="U1184">
        <v>0</v>
      </c>
    </row>
    <row r="1185" spans="1:21" x14ac:dyDescent="0.25">
      <c r="A1185" t="s">
        <v>41</v>
      </c>
      <c r="B1185" t="s">
        <v>954</v>
      </c>
      <c r="C1185">
        <v>2</v>
      </c>
      <c r="D1185" t="s">
        <v>19</v>
      </c>
      <c r="E1185" t="s">
        <v>94</v>
      </c>
      <c r="F1185" t="s">
        <v>113</v>
      </c>
      <c r="G1185" t="s">
        <v>104</v>
      </c>
      <c r="H1185" t="s">
        <v>113</v>
      </c>
      <c r="J1185">
        <v>0</v>
      </c>
      <c r="K1185">
        <v>7</v>
      </c>
      <c r="L1185">
        <v>83.757575759999995</v>
      </c>
      <c r="M1185">
        <v>22.60997987</v>
      </c>
      <c r="N1185">
        <v>0.72884000000000004</v>
      </c>
      <c r="O1185">
        <v>0.21301339999999999</v>
      </c>
      <c r="P1185">
        <v>83.757575759999995</v>
      </c>
      <c r="Q1185">
        <v>22.60997987</v>
      </c>
      <c r="R1185">
        <v>0.72884000000000004</v>
      </c>
      <c r="S1185">
        <v>0.21301339999999999</v>
      </c>
      <c r="T1185" t="s">
        <v>1015</v>
      </c>
      <c r="U1185">
        <v>0</v>
      </c>
    </row>
    <row r="1186" spans="1:21" x14ac:dyDescent="0.25">
      <c r="A1186" t="s">
        <v>41</v>
      </c>
      <c r="B1186" t="s">
        <v>954</v>
      </c>
      <c r="C1186">
        <v>2</v>
      </c>
      <c r="D1186" t="s">
        <v>19</v>
      </c>
      <c r="E1186" t="s">
        <v>94</v>
      </c>
      <c r="F1186" t="s">
        <v>113</v>
      </c>
      <c r="G1186" t="s">
        <v>104</v>
      </c>
      <c r="H1186" t="s">
        <v>104</v>
      </c>
      <c r="J1186">
        <v>0</v>
      </c>
      <c r="K1186">
        <v>1</v>
      </c>
      <c r="L1186">
        <v>83.757575759999995</v>
      </c>
      <c r="M1186">
        <v>22.60997987</v>
      </c>
      <c r="N1186">
        <v>0.72884000000000004</v>
      </c>
      <c r="O1186">
        <v>0.21301339999999999</v>
      </c>
      <c r="P1186">
        <v>113.9375</v>
      </c>
      <c r="Q1186">
        <v>33.375507550000002</v>
      </c>
      <c r="R1186">
        <v>2.4262999999999999</v>
      </c>
      <c r="S1186">
        <v>0.40692159999999999</v>
      </c>
      <c r="T1186" t="s">
        <v>1015</v>
      </c>
      <c r="U1186">
        <v>30.179924239999998</v>
      </c>
    </row>
    <row r="1187" spans="1:21" x14ac:dyDescent="0.25">
      <c r="A1187" t="s">
        <v>41</v>
      </c>
      <c r="B1187" t="s">
        <v>954</v>
      </c>
      <c r="C1187">
        <v>2</v>
      </c>
      <c r="D1187" t="s">
        <v>19</v>
      </c>
      <c r="E1187" t="s">
        <v>94</v>
      </c>
      <c r="F1187" t="s">
        <v>113</v>
      </c>
      <c r="G1187" t="s">
        <v>104</v>
      </c>
      <c r="H1187" t="s">
        <v>238</v>
      </c>
      <c r="J1187">
        <v>0</v>
      </c>
      <c r="K1187">
        <v>1</v>
      </c>
      <c r="L1187">
        <v>83.757575759999995</v>
      </c>
      <c r="M1187">
        <v>22.60997987</v>
      </c>
      <c r="N1187">
        <v>0.72884000000000004</v>
      </c>
      <c r="O1187">
        <v>0.21301339999999999</v>
      </c>
      <c r="P1187">
        <v>87.5</v>
      </c>
      <c r="Q1187">
        <v>29.478311600000001</v>
      </c>
      <c r="R1187">
        <v>3.0797751000000002E-2</v>
      </c>
      <c r="S1187">
        <v>0.12931835</v>
      </c>
      <c r="T1187" t="s">
        <v>1015</v>
      </c>
      <c r="U1187">
        <v>3.7424242400000001</v>
      </c>
    </row>
    <row r="1188" spans="1:21" x14ac:dyDescent="0.25">
      <c r="A1188" t="s">
        <v>41</v>
      </c>
      <c r="B1188" t="s">
        <v>955</v>
      </c>
      <c r="C1188">
        <v>2</v>
      </c>
      <c r="D1188" t="s">
        <v>19</v>
      </c>
      <c r="E1188" t="s">
        <v>94</v>
      </c>
      <c r="F1188" t="s">
        <v>103</v>
      </c>
      <c r="G1188" t="s">
        <v>113</v>
      </c>
      <c r="H1188" t="s">
        <v>103</v>
      </c>
      <c r="J1188">
        <v>0</v>
      </c>
      <c r="K1188">
        <v>2</v>
      </c>
      <c r="L1188">
        <v>98.291666669999998</v>
      </c>
      <c r="M1188">
        <v>30.315130790000001</v>
      </c>
      <c r="N1188">
        <v>5.0803484000000003E-2</v>
      </c>
      <c r="O1188">
        <v>0.42866070000000001</v>
      </c>
      <c r="P1188">
        <v>98.291666669999998</v>
      </c>
      <c r="Q1188">
        <v>30.315130790000001</v>
      </c>
      <c r="R1188">
        <v>5.0803484000000003E-2</v>
      </c>
      <c r="S1188">
        <v>0.42866070000000001</v>
      </c>
      <c r="T1188" t="s">
        <v>1015</v>
      </c>
      <c r="U1188">
        <v>0</v>
      </c>
    </row>
    <row r="1189" spans="1:21" x14ac:dyDescent="0.25">
      <c r="A1189" t="s">
        <v>41</v>
      </c>
      <c r="B1189" t="s">
        <v>955</v>
      </c>
      <c r="C1189">
        <v>2</v>
      </c>
      <c r="D1189" t="s">
        <v>19</v>
      </c>
      <c r="E1189" t="s">
        <v>94</v>
      </c>
      <c r="F1189" t="s">
        <v>103</v>
      </c>
      <c r="G1189" t="s">
        <v>113</v>
      </c>
      <c r="H1189" t="s">
        <v>103</v>
      </c>
      <c r="J1189">
        <v>0</v>
      </c>
      <c r="K1189">
        <v>2</v>
      </c>
      <c r="L1189">
        <v>98.291666669999998</v>
      </c>
      <c r="M1189">
        <v>30.315130790000001</v>
      </c>
      <c r="N1189">
        <v>5.0803484000000003E-2</v>
      </c>
      <c r="O1189">
        <v>0.42866070000000001</v>
      </c>
      <c r="P1189">
        <v>98.291666669999998</v>
      </c>
      <c r="Q1189">
        <v>30.315130790000001</v>
      </c>
      <c r="R1189">
        <v>5.0803484000000003E-2</v>
      </c>
      <c r="S1189">
        <v>0.42866070000000001</v>
      </c>
      <c r="T1189" t="s">
        <v>1015</v>
      </c>
      <c r="U1189">
        <v>0</v>
      </c>
    </row>
    <row r="1190" spans="1:21" x14ac:dyDescent="0.25">
      <c r="A1190" t="s">
        <v>41</v>
      </c>
      <c r="B1190" t="s">
        <v>955</v>
      </c>
      <c r="C1190">
        <v>2</v>
      </c>
      <c r="D1190" t="s">
        <v>19</v>
      </c>
      <c r="E1190" t="s">
        <v>94</v>
      </c>
      <c r="F1190" t="s">
        <v>103</v>
      </c>
      <c r="G1190" t="s">
        <v>113</v>
      </c>
      <c r="H1190" t="s">
        <v>113</v>
      </c>
      <c r="J1190">
        <v>0</v>
      </c>
      <c r="K1190">
        <v>3</v>
      </c>
      <c r="L1190">
        <v>98.291666669999998</v>
      </c>
      <c r="M1190">
        <v>30.315130790000001</v>
      </c>
      <c r="N1190">
        <v>5.0803484000000003E-2</v>
      </c>
      <c r="O1190">
        <v>0.42866070000000001</v>
      </c>
      <c r="P1190">
        <v>83.757575759999995</v>
      </c>
      <c r="Q1190">
        <v>22.60997987</v>
      </c>
      <c r="R1190">
        <v>0.72884000000000004</v>
      </c>
      <c r="S1190">
        <v>0.21301339999999999</v>
      </c>
      <c r="T1190" t="s">
        <v>1015</v>
      </c>
      <c r="U1190">
        <v>14.53409091</v>
      </c>
    </row>
    <row r="1191" spans="1:21" x14ac:dyDescent="0.25">
      <c r="A1191" t="s">
        <v>41</v>
      </c>
      <c r="B1191" t="s">
        <v>955</v>
      </c>
      <c r="C1191">
        <v>2</v>
      </c>
      <c r="D1191" t="s">
        <v>19</v>
      </c>
      <c r="E1191" t="s">
        <v>94</v>
      </c>
      <c r="F1191" t="s">
        <v>103</v>
      </c>
      <c r="G1191" t="s">
        <v>113</v>
      </c>
      <c r="H1191" t="s">
        <v>113</v>
      </c>
      <c r="J1191">
        <v>0</v>
      </c>
      <c r="K1191">
        <v>3</v>
      </c>
      <c r="L1191">
        <v>98.291666669999998</v>
      </c>
      <c r="M1191">
        <v>30.315130790000001</v>
      </c>
      <c r="N1191">
        <v>5.0803484000000003E-2</v>
      </c>
      <c r="O1191">
        <v>0.42866070000000001</v>
      </c>
      <c r="P1191">
        <v>83.757575759999995</v>
      </c>
      <c r="Q1191">
        <v>22.60997987</v>
      </c>
      <c r="R1191">
        <v>0.72884000000000004</v>
      </c>
      <c r="S1191">
        <v>0.21301339999999999</v>
      </c>
      <c r="T1191" t="s">
        <v>1015</v>
      </c>
      <c r="U1191">
        <v>14.53409091</v>
      </c>
    </row>
    <row r="1192" spans="1:21" x14ac:dyDescent="0.25">
      <c r="A1192" t="s">
        <v>41</v>
      </c>
      <c r="B1192" t="s">
        <v>955</v>
      </c>
      <c r="C1192">
        <v>2</v>
      </c>
      <c r="D1192" t="s">
        <v>19</v>
      </c>
      <c r="E1192" t="s">
        <v>94</v>
      </c>
      <c r="F1192" t="s">
        <v>103</v>
      </c>
      <c r="G1192" t="s">
        <v>113</v>
      </c>
      <c r="H1192" t="s">
        <v>113</v>
      </c>
      <c r="J1192">
        <v>0</v>
      </c>
      <c r="K1192">
        <v>3</v>
      </c>
      <c r="L1192">
        <v>98.291666669999998</v>
      </c>
      <c r="M1192">
        <v>30.315130790000001</v>
      </c>
      <c r="N1192">
        <v>5.0803484000000003E-2</v>
      </c>
      <c r="O1192">
        <v>0.42866070000000001</v>
      </c>
      <c r="P1192">
        <v>83.757575759999995</v>
      </c>
      <c r="Q1192">
        <v>22.60997987</v>
      </c>
      <c r="R1192">
        <v>0.72884000000000004</v>
      </c>
      <c r="S1192">
        <v>0.21301339999999999</v>
      </c>
      <c r="T1192" t="s">
        <v>1015</v>
      </c>
      <c r="U1192">
        <v>14.53409091</v>
      </c>
    </row>
    <row r="1193" spans="1:21" x14ac:dyDescent="0.25">
      <c r="A1193" t="s">
        <v>42</v>
      </c>
      <c r="B1193" t="s">
        <v>956</v>
      </c>
      <c r="C1193">
        <v>2</v>
      </c>
      <c r="D1193" t="s">
        <v>21</v>
      </c>
      <c r="E1193" t="s">
        <v>94</v>
      </c>
      <c r="F1193" t="s">
        <v>105</v>
      </c>
      <c r="G1193" t="s">
        <v>121</v>
      </c>
      <c r="H1193" t="s">
        <v>242</v>
      </c>
      <c r="J1193">
        <v>0</v>
      </c>
      <c r="K1193">
        <v>6</v>
      </c>
      <c r="L1193">
        <v>67.5</v>
      </c>
      <c r="M1193">
        <v>47.937235809999997</v>
      </c>
      <c r="N1193">
        <v>0.41599678000000001</v>
      </c>
      <c r="O1193">
        <v>2.0950346999999998</v>
      </c>
      <c r="P1193">
        <v>139.375</v>
      </c>
      <c r="Q1193">
        <v>23.713465920000001</v>
      </c>
      <c r="R1193" t="s">
        <v>114</v>
      </c>
      <c r="S1193" t="s">
        <v>114</v>
      </c>
      <c r="T1193" t="s">
        <v>1015</v>
      </c>
      <c r="U1193">
        <v>71.875</v>
      </c>
    </row>
    <row r="1194" spans="1:21" x14ac:dyDescent="0.25">
      <c r="A1194" t="s">
        <v>42</v>
      </c>
      <c r="B1194" t="s">
        <v>956</v>
      </c>
      <c r="C1194">
        <v>2</v>
      </c>
      <c r="D1194" t="s">
        <v>21</v>
      </c>
      <c r="E1194" t="s">
        <v>94</v>
      </c>
      <c r="F1194" t="s">
        <v>105</v>
      </c>
      <c r="G1194" t="s">
        <v>121</v>
      </c>
      <c r="H1194" t="s">
        <v>242</v>
      </c>
      <c r="J1194">
        <v>0</v>
      </c>
      <c r="K1194">
        <v>6</v>
      </c>
      <c r="L1194">
        <v>67.5</v>
      </c>
      <c r="M1194">
        <v>47.937235809999997</v>
      </c>
      <c r="N1194">
        <v>0.41599678000000001</v>
      </c>
      <c r="O1194">
        <v>2.0950346999999998</v>
      </c>
      <c r="P1194">
        <v>139.375</v>
      </c>
      <c r="Q1194">
        <v>23.713465920000001</v>
      </c>
      <c r="R1194" t="s">
        <v>114</v>
      </c>
      <c r="S1194" t="s">
        <v>114</v>
      </c>
      <c r="T1194" t="s">
        <v>1015</v>
      </c>
      <c r="U1194">
        <v>71.875</v>
      </c>
    </row>
    <row r="1195" spans="1:21" x14ac:dyDescent="0.25">
      <c r="A1195" t="s">
        <v>42</v>
      </c>
      <c r="B1195" t="s">
        <v>956</v>
      </c>
      <c r="C1195">
        <v>2</v>
      </c>
      <c r="D1195" t="s">
        <v>21</v>
      </c>
      <c r="E1195" t="s">
        <v>94</v>
      </c>
      <c r="F1195" t="s">
        <v>105</v>
      </c>
      <c r="G1195" t="s">
        <v>121</v>
      </c>
      <c r="H1195" t="s">
        <v>242</v>
      </c>
      <c r="J1195">
        <v>0</v>
      </c>
      <c r="K1195">
        <v>6</v>
      </c>
      <c r="L1195">
        <v>67.5</v>
      </c>
      <c r="M1195">
        <v>47.937235809999997</v>
      </c>
      <c r="N1195">
        <v>0.41599678000000001</v>
      </c>
      <c r="O1195">
        <v>2.0950346999999998</v>
      </c>
      <c r="P1195">
        <v>139.375</v>
      </c>
      <c r="Q1195">
        <v>23.713465920000001</v>
      </c>
      <c r="R1195" t="s">
        <v>114</v>
      </c>
      <c r="S1195" t="s">
        <v>114</v>
      </c>
      <c r="T1195" t="s">
        <v>1015</v>
      </c>
      <c r="U1195">
        <v>71.875</v>
      </c>
    </row>
    <row r="1196" spans="1:21" x14ac:dyDescent="0.25">
      <c r="A1196" t="s">
        <v>42</v>
      </c>
      <c r="B1196" t="s">
        <v>956</v>
      </c>
      <c r="C1196">
        <v>2</v>
      </c>
      <c r="D1196" t="s">
        <v>21</v>
      </c>
      <c r="E1196" t="s">
        <v>94</v>
      </c>
      <c r="F1196" t="s">
        <v>105</v>
      </c>
      <c r="G1196" t="s">
        <v>121</v>
      </c>
      <c r="H1196" t="s">
        <v>242</v>
      </c>
      <c r="J1196">
        <v>0</v>
      </c>
      <c r="K1196">
        <v>6</v>
      </c>
      <c r="L1196">
        <v>67.5</v>
      </c>
      <c r="M1196">
        <v>47.937235809999997</v>
      </c>
      <c r="N1196">
        <v>0.41599678000000001</v>
      </c>
      <c r="O1196">
        <v>2.0950346999999998</v>
      </c>
      <c r="P1196">
        <v>139.375</v>
      </c>
      <c r="Q1196">
        <v>23.713465920000001</v>
      </c>
      <c r="R1196" t="s">
        <v>114</v>
      </c>
      <c r="S1196" t="s">
        <v>114</v>
      </c>
      <c r="T1196" t="s">
        <v>1015</v>
      </c>
      <c r="U1196">
        <v>71.875</v>
      </c>
    </row>
    <row r="1197" spans="1:21" x14ac:dyDescent="0.25">
      <c r="A1197" t="s">
        <v>42</v>
      </c>
      <c r="B1197" t="s">
        <v>956</v>
      </c>
      <c r="C1197">
        <v>2</v>
      </c>
      <c r="D1197" t="s">
        <v>21</v>
      </c>
      <c r="E1197" t="s">
        <v>94</v>
      </c>
      <c r="F1197" t="s">
        <v>105</v>
      </c>
      <c r="G1197" t="s">
        <v>121</v>
      </c>
      <c r="H1197" t="s">
        <v>242</v>
      </c>
      <c r="J1197">
        <v>0</v>
      </c>
      <c r="K1197">
        <v>6</v>
      </c>
      <c r="L1197">
        <v>67.5</v>
      </c>
      <c r="M1197">
        <v>47.937235809999997</v>
      </c>
      <c r="N1197">
        <v>0.41599678000000001</v>
      </c>
      <c r="O1197">
        <v>2.0950346999999998</v>
      </c>
      <c r="P1197">
        <v>139.375</v>
      </c>
      <c r="Q1197">
        <v>23.713465920000001</v>
      </c>
      <c r="R1197" t="s">
        <v>114</v>
      </c>
      <c r="S1197" t="s">
        <v>114</v>
      </c>
      <c r="T1197" t="s">
        <v>1015</v>
      </c>
      <c r="U1197">
        <v>71.875</v>
      </c>
    </row>
    <row r="1198" spans="1:21" x14ac:dyDescent="0.25">
      <c r="A1198" t="s">
        <v>42</v>
      </c>
      <c r="B1198" t="s">
        <v>956</v>
      </c>
      <c r="C1198">
        <v>2</v>
      </c>
      <c r="D1198" t="s">
        <v>21</v>
      </c>
      <c r="E1198" t="s">
        <v>94</v>
      </c>
      <c r="F1198" t="s">
        <v>105</v>
      </c>
      <c r="G1198" t="s">
        <v>121</v>
      </c>
      <c r="H1198" t="s">
        <v>242</v>
      </c>
      <c r="J1198">
        <v>0</v>
      </c>
      <c r="K1198">
        <v>6</v>
      </c>
      <c r="L1198">
        <v>67.5</v>
      </c>
      <c r="M1198">
        <v>47.937235809999997</v>
      </c>
      <c r="N1198">
        <v>0.41599678000000001</v>
      </c>
      <c r="O1198">
        <v>2.0950346999999998</v>
      </c>
      <c r="P1198">
        <v>139.375</v>
      </c>
      <c r="Q1198">
        <v>23.713465920000001</v>
      </c>
      <c r="R1198" t="s">
        <v>114</v>
      </c>
      <c r="S1198" t="s">
        <v>114</v>
      </c>
      <c r="T1198" t="s">
        <v>1015</v>
      </c>
      <c r="U1198">
        <v>71.875</v>
      </c>
    </row>
    <row r="1199" spans="1:21" x14ac:dyDescent="0.25">
      <c r="A1199" t="s">
        <v>42</v>
      </c>
      <c r="B1199" t="s">
        <v>957</v>
      </c>
      <c r="C1199">
        <v>2</v>
      </c>
      <c r="D1199" t="s">
        <v>21</v>
      </c>
      <c r="E1199" t="s">
        <v>94</v>
      </c>
      <c r="F1199" t="s">
        <v>110</v>
      </c>
      <c r="G1199" t="s">
        <v>113</v>
      </c>
      <c r="H1199" t="s">
        <v>104</v>
      </c>
      <c r="J1199">
        <v>0</v>
      </c>
      <c r="K1199">
        <v>2</v>
      </c>
      <c r="L1199">
        <v>73.260869569999997</v>
      </c>
      <c r="M1199">
        <v>34.453830549999999</v>
      </c>
      <c r="N1199">
        <v>1.058333333</v>
      </c>
      <c r="O1199">
        <v>0.90897070000000002</v>
      </c>
      <c r="P1199">
        <v>113.9375</v>
      </c>
      <c r="Q1199">
        <v>33.375507550000002</v>
      </c>
      <c r="R1199">
        <v>2.4262999999999999</v>
      </c>
      <c r="S1199">
        <v>0.40692159999999999</v>
      </c>
      <c r="T1199" t="s">
        <v>1015</v>
      </c>
      <c r="U1199">
        <v>40.676630430000003</v>
      </c>
    </row>
    <row r="1200" spans="1:21" x14ac:dyDescent="0.25">
      <c r="A1200" t="s">
        <v>42</v>
      </c>
      <c r="B1200" t="s">
        <v>957</v>
      </c>
      <c r="C1200">
        <v>2</v>
      </c>
      <c r="D1200" t="s">
        <v>21</v>
      </c>
      <c r="E1200" t="s">
        <v>94</v>
      </c>
      <c r="F1200" t="s">
        <v>110</v>
      </c>
      <c r="G1200" t="s">
        <v>113</v>
      </c>
      <c r="H1200" t="s">
        <v>104</v>
      </c>
      <c r="J1200">
        <v>0</v>
      </c>
      <c r="K1200">
        <v>2</v>
      </c>
      <c r="L1200">
        <v>73.260869569999997</v>
      </c>
      <c r="M1200">
        <v>34.453830549999999</v>
      </c>
      <c r="N1200">
        <v>1.058333333</v>
      </c>
      <c r="O1200">
        <v>0.90897070000000002</v>
      </c>
      <c r="P1200">
        <v>113.9375</v>
      </c>
      <c r="Q1200">
        <v>33.375507550000002</v>
      </c>
      <c r="R1200">
        <v>2.4262999999999999</v>
      </c>
      <c r="S1200">
        <v>0.40692159999999999</v>
      </c>
      <c r="T1200" t="s">
        <v>1015</v>
      </c>
      <c r="U1200">
        <v>40.676630430000003</v>
      </c>
    </row>
    <row r="1201" spans="1:21" x14ac:dyDescent="0.25">
      <c r="A1201" t="s">
        <v>42</v>
      </c>
      <c r="B1201" t="s">
        <v>957</v>
      </c>
      <c r="C1201">
        <v>2</v>
      </c>
      <c r="D1201" t="s">
        <v>21</v>
      </c>
      <c r="E1201" t="s">
        <v>94</v>
      </c>
      <c r="F1201" t="s">
        <v>110</v>
      </c>
      <c r="G1201" t="s">
        <v>113</v>
      </c>
      <c r="H1201" t="s">
        <v>242</v>
      </c>
      <c r="J1201">
        <v>0</v>
      </c>
      <c r="K1201">
        <v>5</v>
      </c>
      <c r="L1201">
        <v>73.260869569999997</v>
      </c>
      <c r="M1201">
        <v>34.453830549999999</v>
      </c>
      <c r="N1201">
        <v>1.058333333</v>
      </c>
      <c r="O1201">
        <v>0.90897070000000002</v>
      </c>
      <c r="P1201">
        <v>139.375</v>
      </c>
      <c r="Q1201">
        <v>23.713465920000001</v>
      </c>
      <c r="R1201" t="s">
        <v>114</v>
      </c>
      <c r="S1201" t="s">
        <v>114</v>
      </c>
      <c r="T1201" t="s">
        <v>1015</v>
      </c>
      <c r="U1201">
        <v>66.114130430000003</v>
      </c>
    </row>
    <row r="1202" spans="1:21" x14ac:dyDescent="0.25">
      <c r="A1202" t="s">
        <v>42</v>
      </c>
      <c r="B1202" t="s">
        <v>957</v>
      </c>
      <c r="C1202">
        <v>2</v>
      </c>
      <c r="D1202" t="s">
        <v>21</v>
      </c>
      <c r="E1202" t="s">
        <v>94</v>
      </c>
      <c r="F1202" t="s">
        <v>110</v>
      </c>
      <c r="G1202" t="s">
        <v>113</v>
      </c>
      <c r="H1202" t="s">
        <v>242</v>
      </c>
      <c r="J1202">
        <v>0</v>
      </c>
      <c r="K1202">
        <v>5</v>
      </c>
      <c r="L1202">
        <v>73.260869569999997</v>
      </c>
      <c r="M1202">
        <v>34.453830549999999</v>
      </c>
      <c r="N1202">
        <v>1.058333333</v>
      </c>
      <c r="O1202">
        <v>0.90897070000000002</v>
      </c>
      <c r="P1202">
        <v>139.375</v>
      </c>
      <c r="Q1202">
        <v>23.713465920000001</v>
      </c>
      <c r="R1202" t="s">
        <v>114</v>
      </c>
      <c r="S1202" t="s">
        <v>114</v>
      </c>
      <c r="T1202" t="s">
        <v>1015</v>
      </c>
      <c r="U1202">
        <v>66.114130430000003</v>
      </c>
    </row>
    <row r="1203" spans="1:21" x14ac:dyDescent="0.25">
      <c r="A1203" t="s">
        <v>42</v>
      </c>
      <c r="B1203" t="s">
        <v>957</v>
      </c>
      <c r="C1203">
        <v>2</v>
      </c>
      <c r="D1203" t="s">
        <v>21</v>
      </c>
      <c r="E1203" t="s">
        <v>94</v>
      </c>
      <c r="F1203" t="s">
        <v>110</v>
      </c>
      <c r="G1203" t="s">
        <v>113</v>
      </c>
      <c r="H1203" t="s">
        <v>242</v>
      </c>
      <c r="J1203">
        <v>0</v>
      </c>
      <c r="K1203">
        <v>5</v>
      </c>
      <c r="L1203">
        <v>73.260869569999997</v>
      </c>
      <c r="M1203">
        <v>34.453830549999999</v>
      </c>
      <c r="N1203">
        <v>1.058333333</v>
      </c>
      <c r="O1203">
        <v>0.90897070000000002</v>
      </c>
      <c r="P1203">
        <v>139.375</v>
      </c>
      <c r="Q1203">
        <v>23.713465920000001</v>
      </c>
      <c r="R1203" t="s">
        <v>114</v>
      </c>
      <c r="S1203" t="s">
        <v>114</v>
      </c>
      <c r="T1203" t="s">
        <v>1015</v>
      </c>
      <c r="U1203">
        <v>66.114130430000003</v>
      </c>
    </row>
    <row r="1204" spans="1:21" x14ac:dyDescent="0.25">
      <c r="A1204" t="s">
        <v>42</v>
      </c>
      <c r="B1204" t="s">
        <v>957</v>
      </c>
      <c r="C1204">
        <v>2</v>
      </c>
      <c r="D1204" t="s">
        <v>21</v>
      </c>
      <c r="E1204" t="s">
        <v>94</v>
      </c>
      <c r="F1204" t="s">
        <v>110</v>
      </c>
      <c r="G1204" t="s">
        <v>113</v>
      </c>
      <c r="H1204" t="s">
        <v>242</v>
      </c>
      <c r="J1204">
        <v>0</v>
      </c>
      <c r="K1204">
        <v>5</v>
      </c>
      <c r="L1204">
        <v>73.260869569999997</v>
      </c>
      <c r="M1204">
        <v>34.453830549999999</v>
      </c>
      <c r="N1204">
        <v>1.058333333</v>
      </c>
      <c r="O1204">
        <v>0.90897070000000002</v>
      </c>
      <c r="P1204">
        <v>139.375</v>
      </c>
      <c r="Q1204">
        <v>23.713465920000001</v>
      </c>
      <c r="R1204" t="s">
        <v>114</v>
      </c>
      <c r="S1204" t="s">
        <v>114</v>
      </c>
      <c r="T1204" t="s">
        <v>1015</v>
      </c>
      <c r="U1204">
        <v>66.114130430000003</v>
      </c>
    </row>
    <row r="1205" spans="1:21" x14ac:dyDescent="0.25">
      <c r="A1205" t="s">
        <v>42</v>
      </c>
      <c r="B1205" t="s">
        <v>957</v>
      </c>
      <c r="C1205">
        <v>2</v>
      </c>
      <c r="D1205" t="s">
        <v>21</v>
      </c>
      <c r="E1205" t="s">
        <v>94</v>
      </c>
      <c r="F1205" t="s">
        <v>110</v>
      </c>
      <c r="G1205" t="s">
        <v>113</v>
      </c>
      <c r="H1205" t="s">
        <v>242</v>
      </c>
      <c r="J1205">
        <v>0</v>
      </c>
      <c r="K1205">
        <v>5</v>
      </c>
      <c r="L1205">
        <v>73.260869569999997</v>
      </c>
      <c r="M1205">
        <v>34.453830549999999</v>
      </c>
      <c r="N1205">
        <v>1.058333333</v>
      </c>
      <c r="O1205">
        <v>0.90897070000000002</v>
      </c>
      <c r="P1205">
        <v>139.375</v>
      </c>
      <c r="Q1205">
        <v>23.713465920000001</v>
      </c>
      <c r="R1205" t="s">
        <v>114</v>
      </c>
      <c r="S1205" t="s">
        <v>114</v>
      </c>
      <c r="T1205" t="s">
        <v>1015</v>
      </c>
      <c r="U1205">
        <v>66.114130430000003</v>
      </c>
    </row>
    <row r="1206" spans="1:21" x14ac:dyDescent="0.25">
      <c r="A1206" t="s">
        <v>42</v>
      </c>
      <c r="B1206" t="s">
        <v>957</v>
      </c>
      <c r="C1206">
        <v>2</v>
      </c>
      <c r="D1206" t="s">
        <v>21</v>
      </c>
      <c r="E1206" t="s">
        <v>94</v>
      </c>
      <c r="F1206" t="s">
        <v>110</v>
      </c>
      <c r="G1206" t="s">
        <v>113</v>
      </c>
      <c r="H1206" t="s">
        <v>113</v>
      </c>
      <c r="J1206">
        <v>0</v>
      </c>
      <c r="K1206">
        <v>2</v>
      </c>
      <c r="L1206">
        <v>73.260869569999997</v>
      </c>
      <c r="M1206">
        <v>34.453830549999999</v>
      </c>
      <c r="N1206">
        <v>1.058333333</v>
      </c>
      <c r="O1206">
        <v>0.90897070000000002</v>
      </c>
      <c r="P1206">
        <v>83.757575759999995</v>
      </c>
      <c r="Q1206">
        <v>22.60997987</v>
      </c>
      <c r="R1206">
        <v>0.72884000000000004</v>
      </c>
      <c r="S1206">
        <v>0.21301339999999999</v>
      </c>
      <c r="T1206" t="s">
        <v>1015</v>
      </c>
      <c r="U1206">
        <v>10.496706189999999</v>
      </c>
    </row>
    <row r="1207" spans="1:21" x14ac:dyDescent="0.25">
      <c r="A1207" t="s">
        <v>42</v>
      </c>
      <c r="B1207" t="s">
        <v>957</v>
      </c>
      <c r="C1207">
        <v>2</v>
      </c>
      <c r="D1207" t="s">
        <v>21</v>
      </c>
      <c r="E1207" t="s">
        <v>94</v>
      </c>
      <c r="F1207" t="s">
        <v>110</v>
      </c>
      <c r="G1207" t="s">
        <v>113</v>
      </c>
      <c r="H1207" t="s">
        <v>113</v>
      </c>
      <c r="J1207">
        <v>0</v>
      </c>
      <c r="K1207">
        <v>2</v>
      </c>
      <c r="L1207">
        <v>73.260869569999997</v>
      </c>
      <c r="M1207">
        <v>34.453830549999999</v>
      </c>
      <c r="N1207">
        <v>1.058333333</v>
      </c>
      <c r="O1207">
        <v>0.90897070000000002</v>
      </c>
      <c r="P1207">
        <v>83.757575759999995</v>
      </c>
      <c r="Q1207">
        <v>22.60997987</v>
      </c>
      <c r="R1207">
        <v>0.72884000000000004</v>
      </c>
      <c r="S1207">
        <v>0.21301339999999999</v>
      </c>
      <c r="T1207" t="s">
        <v>1015</v>
      </c>
      <c r="U1207">
        <v>10.496706189999999</v>
      </c>
    </row>
    <row r="1208" spans="1:21" x14ac:dyDescent="0.25">
      <c r="A1208" t="s">
        <v>42</v>
      </c>
      <c r="B1208" t="s">
        <v>958</v>
      </c>
      <c r="C1208">
        <v>2</v>
      </c>
      <c r="D1208" t="s">
        <v>21</v>
      </c>
      <c r="E1208" t="s">
        <v>94</v>
      </c>
      <c r="F1208" t="s">
        <v>111</v>
      </c>
      <c r="G1208" t="s">
        <v>110</v>
      </c>
      <c r="H1208" t="s">
        <v>113</v>
      </c>
      <c r="J1208">
        <v>0</v>
      </c>
      <c r="K1208">
        <v>1</v>
      </c>
      <c r="L1208">
        <v>94.97142857</v>
      </c>
      <c r="M1208">
        <v>24.31591813</v>
      </c>
      <c r="N1208">
        <v>0.122951111</v>
      </c>
      <c r="O1208">
        <v>0.39050790000000002</v>
      </c>
      <c r="P1208">
        <v>83.757575759999995</v>
      </c>
      <c r="Q1208">
        <v>22.60997987</v>
      </c>
      <c r="R1208">
        <v>0.72884000000000004</v>
      </c>
      <c r="S1208">
        <v>0.21301339999999999</v>
      </c>
      <c r="T1208" t="s">
        <v>1015</v>
      </c>
      <c r="U1208">
        <v>11.213852810000001</v>
      </c>
    </row>
    <row r="1209" spans="1:21" x14ac:dyDescent="0.25">
      <c r="A1209" t="s">
        <v>42</v>
      </c>
      <c r="B1209" t="s">
        <v>958</v>
      </c>
      <c r="C1209">
        <v>2</v>
      </c>
      <c r="D1209" t="s">
        <v>21</v>
      </c>
      <c r="E1209" t="s">
        <v>94</v>
      </c>
      <c r="F1209" t="s">
        <v>111</v>
      </c>
      <c r="G1209" t="s">
        <v>110</v>
      </c>
      <c r="H1209" t="s">
        <v>110</v>
      </c>
      <c r="J1209">
        <v>0</v>
      </c>
      <c r="K1209">
        <v>1</v>
      </c>
      <c r="L1209">
        <v>94.97142857</v>
      </c>
      <c r="M1209">
        <v>24.31591813</v>
      </c>
      <c r="N1209">
        <v>0.122951111</v>
      </c>
      <c r="O1209">
        <v>0.39050790000000002</v>
      </c>
      <c r="P1209">
        <v>73.260869569999997</v>
      </c>
      <c r="Q1209">
        <v>34.453830549999999</v>
      </c>
      <c r="R1209">
        <v>1.058333333</v>
      </c>
      <c r="S1209">
        <v>0.90897070000000002</v>
      </c>
      <c r="T1209" t="s">
        <v>1015</v>
      </c>
      <c r="U1209">
        <v>21.710559</v>
      </c>
    </row>
    <row r="1210" spans="1:21" x14ac:dyDescent="0.25">
      <c r="A1210" t="s">
        <v>42</v>
      </c>
      <c r="B1210" t="s">
        <v>959</v>
      </c>
      <c r="C1210">
        <v>2</v>
      </c>
      <c r="D1210" t="s">
        <v>21</v>
      </c>
      <c r="E1210" t="s">
        <v>94</v>
      </c>
      <c r="F1210" t="s">
        <v>104</v>
      </c>
      <c r="G1210" t="s">
        <v>121</v>
      </c>
      <c r="H1210" t="s">
        <v>110</v>
      </c>
      <c r="J1210">
        <v>1</v>
      </c>
      <c r="K1210">
        <v>2</v>
      </c>
      <c r="L1210">
        <v>113.9375</v>
      </c>
      <c r="M1210">
        <v>33.375507550000002</v>
      </c>
      <c r="N1210">
        <v>2.4262999999999999</v>
      </c>
      <c r="O1210">
        <v>0.40692159999999999</v>
      </c>
      <c r="P1210">
        <v>73.260869569999997</v>
      </c>
      <c r="Q1210">
        <v>34.453830549999999</v>
      </c>
      <c r="R1210">
        <v>1.058333333</v>
      </c>
      <c r="S1210">
        <v>0.90897070000000002</v>
      </c>
      <c r="T1210" t="s">
        <v>1015</v>
      </c>
      <c r="U1210">
        <v>40.676630430000003</v>
      </c>
    </row>
    <row r="1211" spans="1:21" x14ac:dyDescent="0.25">
      <c r="A1211" t="s">
        <v>42</v>
      </c>
      <c r="B1211" t="s">
        <v>959</v>
      </c>
      <c r="C1211">
        <v>2</v>
      </c>
      <c r="D1211" t="s">
        <v>21</v>
      </c>
      <c r="E1211" t="s">
        <v>94</v>
      </c>
      <c r="F1211" t="s">
        <v>104</v>
      </c>
      <c r="G1211" t="s">
        <v>121</v>
      </c>
      <c r="H1211" t="s">
        <v>110</v>
      </c>
      <c r="J1211">
        <v>1</v>
      </c>
      <c r="K1211">
        <v>2</v>
      </c>
      <c r="L1211">
        <v>113.9375</v>
      </c>
      <c r="M1211">
        <v>33.375507550000002</v>
      </c>
      <c r="N1211">
        <v>2.4262999999999999</v>
      </c>
      <c r="O1211">
        <v>0.40692159999999999</v>
      </c>
      <c r="P1211">
        <v>73.260869569999997</v>
      </c>
      <c r="Q1211">
        <v>34.453830549999999</v>
      </c>
      <c r="R1211">
        <v>1.058333333</v>
      </c>
      <c r="S1211">
        <v>0.90897070000000002</v>
      </c>
      <c r="T1211" t="s">
        <v>1015</v>
      </c>
      <c r="U1211">
        <v>40.676630430000003</v>
      </c>
    </row>
    <row r="1212" spans="1:21" x14ac:dyDescent="0.25">
      <c r="A1212" t="s">
        <v>42</v>
      </c>
      <c r="B1212" t="s">
        <v>959</v>
      </c>
      <c r="C1212">
        <v>2</v>
      </c>
      <c r="D1212" t="s">
        <v>21</v>
      </c>
      <c r="E1212" t="s">
        <v>94</v>
      </c>
      <c r="F1212" t="s">
        <v>104</v>
      </c>
      <c r="G1212" t="s">
        <v>121</v>
      </c>
      <c r="H1212" t="s">
        <v>240</v>
      </c>
      <c r="J1212">
        <v>1</v>
      </c>
      <c r="K1212">
        <v>2</v>
      </c>
      <c r="L1212">
        <v>113.9375</v>
      </c>
      <c r="M1212">
        <v>33.375507550000002</v>
      </c>
      <c r="N1212">
        <v>2.4262999999999999</v>
      </c>
      <c r="O1212">
        <v>0.40692159999999999</v>
      </c>
      <c r="P1212">
        <v>104.83333330000001</v>
      </c>
      <c r="Q1212">
        <v>43.798647680000002</v>
      </c>
      <c r="R1212">
        <v>7.7741939999999999E-3</v>
      </c>
      <c r="S1212" t="s">
        <v>114</v>
      </c>
      <c r="T1212" t="s">
        <v>1015</v>
      </c>
      <c r="U1212">
        <v>9.1041667000000004</v>
      </c>
    </row>
    <row r="1213" spans="1:21" x14ac:dyDescent="0.25">
      <c r="A1213" t="s">
        <v>42</v>
      </c>
      <c r="B1213" t="s">
        <v>959</v>
      </c>
      <c r="C1213">
        <v>2</v>
      </c>
      <c r="D1213" t="s">
        <v>21</v>
      </c>
      <c r="E1213" t="s">
        <v>94</v>
      </c>
      <c r="F1213" t="s">
        <v>104</v>
      </c>
      <c r="G1213" t="s">
        <v>121</v>
      </c>
      <c r="H1213" t="s">
        <v>240</v>
      </c>
      <c r="J1213">
        <v>1</v>
      </c>
      <c r="K1213">
        <v>2</v>
      </c>
      <c r="L1213">
        <v>113.9375</v>
      </c>
      <c r="M1213">
        <v>33.375507550000002</v>
      </c>
      <c r="N1213">
        <v>2.4262999999999999</v>
      </c>
      <c r="O1213">
        <v>0.40692159999999999</v>
      </c>
      <c r="P1213">
        <v>104.83333330000001</v>
      </c>
      <c r="Q1213">
        <v>43.798647680000002</v>
      </c>
      <c r="R1213">
        <v>7.7741939999999999E-3</v>
      </c>
      <c r="S1213" t="s">
        <v>114</v>
      </c>
      <c r="T1213" t="s">
        <v>1015</v>
      </c>
      <c r="U1213">
        <v>9.1041667000000004</v>
      </c>
    </row>
    <row r="1214" spans="1:21" x14ac:dyDescent="0.25">
      <c r="A1214" t="s">
        <v>42</v>
      </c>
      <c r="B1214" t="s">
        <v>959</v>
      </c>
      <c r="C1214">
        <v>2</v>
      </c>
      <c r="D1214" t="s">
        <v>21</v>
      </c>
      <c r="E1214" t="s">
        <v>94</v>
      </c>
      <c r="F1214" t="s">
        <v>104</v>
      </c>
      <c r="G1214" t="s">
        <v>121</v>
      </c>
      <c r="H1214" t="s">
        <v>241</v>
      </c>
      <c r="J1214">
        <v>1</v>
      </c>
      <c r="K1214">
        <v>1</v>
      </c>
      <c r="L1214">
        <v>113.9375</v>
      </c>
      <c r="M1214">
        <v>33.375507550000002</v>
      </c>
      <c r="N1214">
        <v>2.4262999999999999</v>
      </c>
      <c r="O1214">
        <v>0.40692159999999999</v>
      </c>
      <c r="P1214">
        <v>114</v>
      </c>
      <c r="Q1214">
        <v>30.43077242</v>
      </c>
      <c r="R1214">
        <v>0.53383111100000002</v>
      </c>
      <c r="S1214">
        <v>0.28333332999999999</v>
      </c>
      <c r="T1214" t="s">
        <v>1015</v>
      </c>
      <c r="U1214">
        <v>6.25E-2</v>
      </c>
    </row>
    <row r="1215" spans="1:21" x14ac:dyDescent="0.25">
      <c r="A1215" t="s">
        <v>43</v>
      </c>
      <c r="B1215" t="s">
        <v>960</v>
      </c>
      <c r="C1215">
        <v>2</v>
      </c>
      <c r="D1215" t="s">
        <v>23</v>
      </c>
      <c r="E1215" t="s">
        <v>94</v>
      </c>
      <c r="F1215" t="s">
        <v>105</v>
      </c>
      <c r="G1215" t="s">
        <v>104</v>
      </c>
      <c r="H1215" t="s">
        <v>104</v>
      </c>
      <c r="J1215">
        <v>0</v>
      </c>
      <c r="K1215">
        <v>1</v>
      </c>
      <c r="L1215">
        <v>67.5</v>
      </c>
      <c r="M1215">
        <v>47.937235809999997</v>
      </c>
      <c r="N1215">
        <v>0.41599678000000001</v>
      </c>
      <c r="O1215">
        <v>2.0950346999999998</v>
      </c>
      <c r="P1215">
        <v>113.9375</v>
      </c>
      <c r="Q1215">
        <v>33.375507550000002</v>
      </c>
      <c r="R1215">
        <v>2.4262999999999999</v>
      </c>
      <c r="S1215">
        <v>0.40692159999999999</v>
      </c>
      <c r="T1215" t="s">
        <v>1015</v>
      </c>
      <c r="U1215">
        <v>46.4375</v>
      </c>
    </row>
    <row r="1216" spans="1:21" x14ac:dyDescent="0.25">
      <c r="A1216" t="s">
        <v>43</v>
      </c>
      <c r="B1216" t="s">
        <v>961</v>
      </c>
      <c r="C1216">
        <v>2</v>
      </c>
      <c r="D1216" t="s">
        <v>23</v>
      </c>
      <c r="E1216" t="s">
        <v>94</v>
      </c>
      <c r="F1216" t="s">
        <v>110</v>
      </c>
      <c r="G1216" t="s">
        <v>110</v>
      </c>
      <c r="H1216" t="s">
        <v>110</v>
      </c>
      <c r="J1216">
        <v>0</v>
      </c>
      <c r="K1216">
        <v>1</v>
      </c>
      <c r="L1216">
        <v>73.260869569999997</v>
      </c>
      <c r="M1216">
        <v>34.453830549999999</v>
      </c>
      <c r="N1216">
        <v>1.058333333</v>
      </c>
      <c r="O1216">
        <v>0.90897070000000002</v>
      </c>
      <c r="P1216">
        <v>73.260869569999997</v>
      </c>
      <c r="Q1216">
        <v>34.453830549999999</v>
      </c>
      <c r="R1216">
        <v>1.058333333</v>
      </c>
      <c r="S1216">
        <v>0.90897070000000002</v>
      </c>
      <c r="T1216" t="s">
        <v>1015</v>
      </c>
      <c r="U1216">
        <v>0</v>
      </c>
    </row>
    <row r="1217" spans="1:21" x14ac:dyDescent="0.25">
      <c r="A1217" t="s">
        <v>43</v>
      </c>
      <c r="B1217" t="s">
        <v>962</v>
      </c>
      <c r="C1217">
        <v>2</v>
      </c>
      <c r="D1217" t="s">
        <v>23</v>
      </c>
      <c r="E1217" t="s">
        <v>94</v>
      </c>
      <c r="F1217" t="s">
        <v>111</v>
      </c>
      <c r="G1217" t="s">
        <v>121</v>
      </c>
      <c r="H1217" t="s">
        <v>114</v>
      </c>
      <c r="J1217">
        <v>0</v>
      </c>
      <c r="K1217" t="s">
        <v>114</v>
      </c>
      <c r="L1217">
        <v>94.97142857</v>
      </c>
      <c r="M1217">
        <v>24.31591813</v>
      </c>
      <c r="N1217">
        <v>0.122951111</v>
      </c>
      <c r="O1217">
        <v>0.39050790000000002</v>
      </c>
      <c r="P1217" t="s">
        <v>114</v>
      </c>
      <c r="Q1217" t="s">
        <v>114</v>
      </c>
      <c r="R1217" t="s">
        <v>114</v>
      </c>
      <c r="S1217" t="s">
        <v>114</v>
      </c>
      <c r="T1217" t="s">
        <v>1015</v>
      </c>
      <c r="U1217" t="s">
        <v>114</v>
      </c>
    </row>
    <row r="1218" spans="1:21" x14ac:dyDescent="0.25">
      <c r="A1218" t="s">
        <v>43</v>
      </c>
      <c r="B1218" t="s">
        <v>963</v>
      </c>
      <c r="C1218">
        <v>2</v>
      </c>
      <c r="D1218" t="s">
        <v>23</v>
      </c>
      <c r="E1218" t="s">
        <v>94</v>
      </c>
      <c r="F1218" t="s">
        <v>104</v>
      </c>
      <c r="G1218" t="s">
        <v>104</v>
      </c>
      <c r="H1218" t="s">
        <v>104</v>
      </c>
      <c r="J1218">
        <v>0</v>
      </c>
      <c r="K1218">
        <v>1</v>
      </c>
      <c r="L1218">
        <v>113.9375</v>
      </c>
      <c r="M1218">
        <v>33.375507550000002</v>
      </c>
      <c r="N1218">
        <v>2.4262999999999999</v>
      </c>
      <c r="O1218">
        <v>0.40692159999999999</v>
      </c>
      <c r="P1218">
        <v>113.9375</v>
      </c>
      <c r="Q1218">
        <v>33.375507550000002</v>
      </c>
      <c r="R1218">
        <v>2.4262999999999999</v>
      </c>
      <c r="S1218">
        <v>0.40692159999999999</v>
      </c>
      <c r="T1218" t="s">
        <v>1015</v>
      </c>
      <c r="U1218">
        <v>0</v>
      </c>
    </row>
    <row r="1219" spans="1:21" x14ac:dyDescent="0.25">
      <c r="A1219" t="s">
        <v>43</v>
      </c>
      <c r="B1219" t="s">
        <v>963</v>
      </c>
      <c r="C1219">
        <v>2</v>
      </c>
      <c r="D1219" t="s">
        <v>23</v>
      </c>
      <c r="E1219" t="s">
        <v>94</v>
      </c>
      <c r="F1219" t="s">
        <v>104</v>
      </c>
      <c r="G1219" t="s">
        <v>104</v>
      </c>
      <c r="H1219" t="s">
        <v>808</v>
      </c>
      <c r="J1219">
        <v>0</v>
      </c>
      <c r="K1219">
        <v>1</v>
      </c>
      <c r="L1219">
        <v>113.9375</v>
      </c>
      <c r="M1219">
        <v>33.375507550000002</v>
      </c>
      <c r="N1219">
        <v>2.4262999999999999</v>
      </c>
      <c r="O1219">
        <v>0.40692159999999999</v>
      </c>
      <c r="P1219">
        <v>102.79166669999999</v>
      </c>
      <c r="Q1219">
        <v>27.057373470000002</v>
      </c>
      <c r="R1219">
        <v>6.3567849939999999</v>
      </c>
      <c r="S1219" t="s">
        <v>114</v>
      </c>
      <c r="T1219" t="s">
        <v>1015</v>
      </c>
      <c r="U1219">
        <v>11.1458333</v>
      </c>
    </row>
    <row r="1220" spans="1:21" x14ac:dyDescent="0.25">
      <c r="A1220" t="s">
        <v>44</v>
      </c>
      <c r="B1220" t="s">
        <v>964</v>
      </c>
      <c r="C1220">
        <v>2</v>
      </c>
      <c r="D1220" t="s">
        <v>25</v>
      </c>
      <c r="E1220" t="s">
        <v>95</v>
      </c>
      <c r="F1220" t="s">
        <v>102</v>
      </c>
      <c r="G1220" t="s">
        <v>102</v>
      </c>
      <c r="H1220" t="s">
        <v>102</v>
      </c>
      <c r="J1220">
        <v>0</v>
      </c>
      <c r="K1220">
        <v>1</v>
      </c>
      <c r="L1220">
        <v>84.740740740000007</v>
      </c>
      <c r="M1220">
        <v>29.167014049999999</v>
      </c>
      <c r="N1220">
        <v>1.1169849999999999</v>
      </c>
      <c r="O1220">
        <v>1.1571499000000001</v>
      </c>
      <c r="P1220">
        <v>84.740740740000007</v>
      </c>
      <c r="Q1220">
        <v>29.167014049999999</v>
      </c>
      <c r="R1220">
        <v>1.1169849999999999</v>
      </c>
      <c r="S1220">
        <v>1.1571499000000001</v>
      </c>
      <c r="T1220" t="s">
        <v>1015</v>
      </c>
      <c r="U1220">
        <v>0</v>
      </c>
    </row>
    <row r="1221" spans="1:21" x14ac:dyDescent="0.25">
      <c r="A1221" t="s">
        <v>44</v>
      </c>
      <c r="B1221" t="s">
        <v>965</v>
      </c>
      <c r="C1221">
        <v>2</v>
      </c>
      <c r="D1221" t="s">
        <v>25</v>
      </c>
      <c r="E1221" t="s">
        <v>95</v>
      </c>
      <c r="F1221" t="s">
        <v>110</v>
      </c>
      <c r="G1221" t="s">
        <v>121</v>
      </c>
      <c r="H1221" t="s">
        <v>114</v>
      </c>
      <c r="I1221" t="s">
        <v>162</v>
      </c>
      <c r="J1221">
        <v>1</v>
      </c>
      <c r="K1221">
        <v>0</v>
      </c>
      <c r="L1221">
        <v>73.260869569999997</v>
      </c>
      <c r="M1221">
        <v>34.453830549999999</v>
      </c>
      <c r="N1221">
        <v>1.058333333</v>
      </c>
      <c r="O1221">
        <v>0.90897070000000002</v>
      </c>
      <c r="P1221" t="s">
        <v>114</v>
      </c>
      <c r="Q1221" t="s">
        <v>114</v>
      </c>
      <c r="R1221" t="s">
        <v>114</v>
      </c>
      <c r="S1221" t="s">
        <v>114</v>
      </c>
      <c r="T1221" t="s">
        <v>1015</v>
      </c>
      <c r="U1221" t="s">
        <v>114</v>
      </c>
    </row>
    <row r="1222" spans="1:21" x14ac:dyDescent="0.25">
      <c r="A1222" t="s">
        <v>44</v>
      </c>
      <c r="B1222" t="s">
        <v>966</v>
      </c>
      <c r="C1222">
        <v>2</v>
      </c>
      <c r="D1222" t="s">
        <v>25</v>
      </c>
      <c r="E1222" t="s">
        <v>95</v>
      </c>
      <c r="F1222" t="s">
        <v>104</v>
      </c>
      <c r="G1222" t="s">
        <v>112</v>
      </c>
      <c r="H1222" t="s">
        <v>112</v>
      </c>
      <c r="J1222">
        <v>0</v>
      </c>
      <c r="K1222">
        <v>1</v>
      </c>
      <c r="L1222">
        <v>113.9375</v>
      </c>
      <c r="M1222">
        <v>33.375507550000002</v>
      </c>
      <c r="N1222">
        <v>2.4262999999999999</v>
      </c>
      <c r="O1222">
        <v>0.40692159999999999</v>
      </c>
      <c r="P1222">
        <v>65.09375</v>
      </c>
      <c r="Q1222">
        <v>37.895352600000002</v>
      </c>
      <c r="R1222">
        <v>2.2882677779999998</v>
      </c>
      <c r="S1222">
        <v>2.2111774</v>
      </c>
      <c r="T1222" t="s">
        <v>1015</v>
      </c>
      <c r="U1222">
        <v>48.84375</v>
      </c>
    </row>
    <row r="1223" spans="1:21" x14ac:dyDescent="0.25">
      <c r="A1223" t="s">
        <v>44</v>
      </c>
      <c r="B1223" t="s">
        <v>966</v>
      </c>
      <c r="C1223">
        <v>2</v>
      </c>
      <c r="D1223" t="s">
        <v>25</v>
      </c>
      <c r="E1223" t="s">
        <v>95</v>
      </c>
      <c r="F1223" t="s">
        <v>104</v>
      </c>
      <c r="G1223" t="s">
        <v>112</v>
      </c>
      <c r="H1223" t="s">
        <v>162</v>
      </c>
      <c r="J1223">
        <v>0</v>
      </c>
      <c r="K1223">
        <v>1</v>
      </c>
      <c r="L1223">
        <v>113.9375</v>
      </c>
      <c r="M1223">
        <v>33.375507550000002</v>
      </c>
      <c r="N1223">
        <v>2.4262999999999999</v>
      </c>
      <c r="O1223">
        <v>0.40692159999999999</v>
      </c>
      <c r="P1223">
        <v>82.53846154</v>
      </c>
      <c r="Q1223">
        <v>35.660530039999998</v>
      </c>
      <c r="R1223">
        <v>3.3754499999999998</v>
      </c>
      <c r="S1223" t="s">
        <v>114</v>
      </c>
      <c r="T1223" t="s">
        <v>1015</v>
      </c>
      <c r="U1223">
        <v>31.39903846</v>
      </c>
    </row>
    <row r="1224" spans="1:21" x14ac:dyDescent="0.25">
      <c r="A1224" t="s">
        <v>44</v>
      </c>
      <c r="B1224" t="s">
        <v>966</v>
      </c>
      <c r="C1224">
        <v>2</v>
      </c>
      <c r="D1224" t="s">
        <v>25</v>
      </c>
      <c r="E1224" t="s">
        <v>95</v>
      </c>
      <c r="F1224" t="s">
        <v>104</v>
      </c>
      <c r="G1224" t="s">
        <v>112</v>
      </c>
      <c r="H1224" t="s">
        <v>113</v>
      </c>
      <c r="J1224">
        <v>0</v>
      </c>
      <c r="K1224">
        <v>1</v>
      </c>
      <c r="L1224">
        <v>113.9375</v>
      </c>
      <c r="M1224">
        <v>33.375507550000002</v>
      </c>
      <c r="N1224">
        <v>2.4262999999999999</v>
      </c>
      <c r="O1224">
        <v>0.40692159999999999</v>
      </c>
      <c r="P1224">
        <v>83.757575759999995</v>
      </c>
      <c r="Q1224">
        <v>22.60997987</v>
      </c>
      <c r="R1224">
        <v>0.72884000000000004</v>
      </c>
      <c r="S1224">
        <v>0.21301339999999999</v>
      </c>
      <c r="T1224" t="s">
        <v>1015</v>
      </c>
      <c r="U1224">
        <v>30.179924239999998</v>
      </c>
    </row>
    <row r="1225" spans="1:21" x14ac:dyDescent="0.25">
      <c r="A1225" t="s">
        <v>44</v>
      </c>
      <c r="B1225" t="s">
        <v>967</v>
      </c>
      <c r="C1225">
        <v>2</v>
      </c>
      <c r="D1225" t="s">
        <v>25</v>
      </c>
      <c r="E1225" t="s">
        <v>95</v>
      </c>
      <c r="F1225" t="s">
        <v>112</v>
      </c>
      <c r="G1225" t="s">
        <v>121</v>
      </c>
      <c r="H1225" t="s">
        <v>114</v>
      </c>
      <c r="J1225">
        <v>0</v>
      </c>
      <c r="K1225" t="s">
        <v>114</v>
      </c>
      <c r="L1225">
        <v>65.09375</v>
      </c>
      <c r="M1225">
        <v>37.895352600000002</v>
      </c>
      <c r="N1225">
        <v>2.2882677779999998</v>
      </c>
      <c r="O1225">
        <v>2.2111774</v>
      </c>
      <c r="P1225" t="s">
        <v>114</v>
      </c>
      <c r="Q1225" t="s">
        <v>114</v>
      </c>
      <c r="R1225" t="s">
        <v>114</v>
      </c>
      <c r="S1225" t="s">
        <v>114</v>
      </c>
      <c r="T1225" t="s">
        <v>1015</v>
      </c>
      <c r="U1225" t="s">
        <v>114</v>
      </c>
    </row>
    <row r="1226" spans="1:21" x14ac:dyDescent="0.25">
      <c r="A1226" t="s">
        <v>45</v>
      </c>
      <c r="B1226" t="s">
        <v>968</v>
      </c>
      <c r="C1226">
        <v>2</v>
      </c>
      <c r="D1226" t="s">
        <v>27</v>
      </c>
      <c r="E1226" t="s">
        <v>95</v>
      </c>
      <c r="F1226" t="s">
        <v>102</v>
      </c>
      <c r="G1226" t="s">
        <v>113</v>
      </c>
      <c r="H1226" t="s">
        <v>113</v>
      </c>
      <c r="J1226">
        <v>0</v>
      </c>
      <c r="K1226">
        <v>2</v>
      </c>
      <c r="L1226">
        <v>84.740740740000007</v>
      </c>
      <c r="M1226">
        <v>29.167014049999999</v>
      </c>
      <c r="N1226">
        <v>1.1169849999999999</v>
      </c>
      <c r="O1226">
        <v>1.1571499000000001</v>
      </c>
      <c r="P1226">
        <v>83.757575759999995</v>
      </c>
      <c r="Q1226">
        <v>22.60997987</v>
      </c>
      <c r="R1226">
        <v>0.72884000000000004</v>
      </c>
      <c r="S1226">
        <v>0.21301339999999999</v>
      </c>
      <c r="T1226" t="s">
        <v>1015</v>
      </c>
      <c r="U1226">
        <v>0.98316497999999997</v>
      </c>
    </row>
    <row r="1227" spans="1:21" x14ac:dyDescent="0.25">
      <c r="A1227" t="s">
        <v>45</v>
      </c>
      <c r="B1227" t="s">
        <v>968</v>
      </c>
      <c r="C1227">
        <v>2</v>
      </c>
      <c r="D1227" t="s">
        <v>27</v>
      </c>
      <c r="E1227" t="s">
        <v>95</v>
      </c>
      <c r="F1227" t="s">
        <v>102</v>
      </c>
      <c r="G1227" t="s">
        <v>113</v>
      </c>
      <c r="H1227" t="s">
        <v>113</v>
      </c>
      <c r="J1227">
        <v>0</v>
      </c>
      <c r="K1227">
        <v>2</v>
      </c>
      <c r="L1227">
        <v>84.740740740000007</v>
      </c>
      <c r="M1227">
        <v>29.167014049999999</v>
      </c>
      <c r="N1227">
        <v>1.1169849999999999</v>
      </c>
      <c r="O1227">
        <v>1.1571499000000001</v>
      </c>
      <c r="P1227">
        <v>83.757575759999995</v>
      </c>
      <c r="Q1227">
        <v>22.60997987</v>
      </c>
      <c r="R1227">
        <v>0.72884000000000004</v>
      </c>
      <c r="S1227">
        <v>0.21301339999999999</v>
      </c>
      <c r="T1227" t="s">
        <v>1015</v>
      </c>
      <c r="U1227">
        <v>0.98316497999999997</v>
      </c>
    </row>
    <row r="1228" spans="1:21" x14ac:dyDescent="0.25">
      <c r="A1228" t="s">
        <v>45</v>
      </c>
      <c r="B1228" t="s">
        <v>969</v>
      </c>
      <c r="C1228">
        <v>2</v>
      </c>
      <c r="D1228" t="s">
        <v>27</v>
      </c>
      <c r="E1228" t="s">
        <v>95</v>
      </c>
      <c r="F1228" t="s">
        <v>105</v>
      </c>
      <c r="G1228" t="s">
        <v>113</v>
      </c>
      <c r="H1228" t="s">
        <v>113</v>
      </c>
      <c r="J1228">
        <v>0</v>
      </c>
      <c r="K1228">
        <v>6</v>
      </c>
      <c r="L1228">
        <v>67.5</v>
      </c>
      <c r="M1228">
        <v>47.937235809999997</v>
      </c>
      <c r="N1228">
        <v>0.41599678000000001</v>
      </c>
      <c r="O1228">
        <v>2.0950346999999998</v>
      </c>
      <c r="P1228">
        <v>83.757575759999995</v>
      </c>
      <c r="Q1228">
        <v>22.60997987</v>
      </c>
      <c r="R1228">
        <v>0.72884000000000004</v>
      </c>
      <c r="S1228">
        <v>0.21301339999999999</v>
      </c>
      <c r="T1228" t="s">
        <v>1015</v>
      </c>
      <c r="U1228">
        <v>16.257575760000002</v>
      </c>
    </row>
    <row r="1229" spans="1:21" x14ac:dyDescent="0.25">
      <c r="A1229" t="s">
        <v>45</v>
      </c>
      <c r="B1229" t="s">
        <v>969</v>
      </c>
      <c r="C1229">
        <v>2</v>
      </c>
      <c r="D1229" t="s">
        <v>27</v>
      </c>
      <c r="E1229" t="s">
        <v>95</v>
      </c>
      <c r="F1229" t="s">
        <v>105</v>
      </c>
      <c r="G1229" t="s">
        <v>113</v>
      </c>
      <c r="H1229" t="s">
        <v>113</v>
      </c>
      <c r="J1229">
        <v>0</v>
      </c>
      <c r="K1229">
        <v>6</v>
      </c>
      <c r="L1229">
        <v>67.5</v>
      </c>
      <c r="M1229">
        <v>47.937235809999997</v>
      </c>
      <c r="N1229">
        <v>0.41599678000000001</v>
      </c>
      <c r="O1229">
        <v>2.0950346999999998</v>
      </c>
      <c r="P1229">
        <v>83.757575759999995</v>
      </c>
      <c r="Q1229">
        <v>22.60997987</v>
      </c>
      <c r="R1229">
        <v>0.72884000000000004</v>
      </c>
      <c r="S1229">
        <v>0.21301339999999999</v>
      </c>
      <c r="T1229" t="s">
        <v>1015</v>
      </c>
      <c r="U1229">
        <v>16.257575760000002</v>
      </c>
    </row>
    <row r="1230" spans="1:21" x14ac:dyDescent="0.25">
      <c r="A1230" t="s">
        <v>45</v>
      </c>
      <c r="B1230" t="s">
        <v>969</v>
      </c>
      <c r="C1230">
        <v>2</v>
      </c>
      <c r="D1230" t="s">
        <v>27</v>
      </c>
      <c r="E1230" t="s">
        <v>95</v>
      </c>
      <c r="F1230" t="s">
        <v>105</v>
      </c>
      <c r="G1230" t="s">
        <v>113</v>
      </c>
      <c r="H1230" t="s">
        <v>113</v>
      </c>
      <c r="J1230">
        <v>0</v>
      </c>
      <c r="K1230">
        <v>6</v>
      </c>
      <c r="L1230">
        <v>67.5</v>
      </c>
      <c r="M1230">
        <v>47.937235809999997</v>
      </c>
      <c r="N1230">
        <v>0.41599678000000001</v>
      </c>
      <c r="O1230">
        <v>2.0950346999999998</v>
      </c>
      <c r="P1230">
        <v>83.757575759999995</v>
      </c>
      <c r="Q1230">
        <v>22.60997987</v>
      </c>
      <c r="R1230">
        <v>0.72884000000000004</v>
      </c>
      <c r="S1230">
        <v>0.21301339999999999</v>
      </c>
      <c r="T1230" t="s">
        <v>1015</v>
      </c>
      <c r="U1230">
        <v>16.257575760000002</v>
      </c>
    </row>
    <row r="1231" spans="1:21" x14ac:dyDescent="0.25">
      <c r="A1231" t="s">
        <v>45</v>
      </c>
      <c r="B1231" t="s">
        <v>969</v>
      </c>
      <c r="C1231">
        <v>2</v>
      </c>
      <c r="D1231" t="s">
        <v>27</v>
      </c>
      <c r="E1231" t="s">
        <v>95</v>
      </c>
      <c r="F1231" t="s">
        <v>105</v>
      </c>
      <c r="G1231" t="s">
        <v>113</v>
      </c>
      <c r="H1231" t="s">
        <v>113</v>
      </c>
      <c r="J1231">
        <v>0</v>
      </c>
      <c r="K1231">
        <v>6</v>
      </c>
      <c r="L1231">
        <v>67.5</v>
      </c>
      <c r="M1231">
        <v>47.937235809999997</v>
      </c>
      <c r="N1231">
        <v>0.41599678000000001</v>
      </c>
      <c r="O1231">
        <v>2.0950346999999998</v>
      </c>
      <c r="P1231">
        <v>83.757575759999995</v>
      </c>
      <c r="Q1231">
        <v>22.60997987</v>
      </c>
      <c r="R1231">
        <v>0.72884000000000004</v>
      </c>
      <c r="S1231">
        <v>0.21301339999999999</v>
      </c>
      <c r="T1231" t="s">
        <v>1015</v>
      </c>
      <c r="U1231">
        <v>16.257575760000002</v>
      </c>
    </row>
    <row r="1232" spans="1:21" x14ac:dyDescent="0.25">
      <c r="A1232" t="s">
        <v>45</v>
      </c>
      <c r="B1232" t="s">
        <v>969</v>
      </c>
      <c r="C1232">
        <v>2</v>
      </c>
      <c r="D1232" t="s">
        <v>27</v>
      </c>
      <c r="E1232" t="s">
        <v>95</v>
      </c>
      <c r="F1232" t="s">
        <v>105</v>
      </c>
      <c r="G1232" t="s">
        <v>113</v>
      </c>
      <c r="H1232" t="s">
        <v>113</v>
      </c>
      <c r="J1232">
        <v>0</v>
      </c>
      <c r="K1232">
        <v>6</v>
      </c>
      <c r="L1232">
        <v>67.5</v>
      </c>
      <c r="M1232">
        <v>47.937235809999997</v>
      </c>
      <c r="N1232">
        <v>0.41599678000000001</v>
      </c>
      <c r="O1232">
        <v>2.0950346999999998</v>
      </c>
      <c r="P1232">
        <v>83.757575759999995</v>
      </c>
      <c r="Q1232">
        <v>22.60997987</v>
      </c>
      <c r="R1232">
        <v>0.72884000000000004</v>
      </c>
      <c r="S1232">
        <v>0.21301339999999999</v>
      </c>
      <c r="T1232" t="s">
        <v>1015</v>
      </c>
      <c r="U1232">
        <v>16.257575760000002</v>
      </c>
    </row>
    <row r="1233" spans="1:21" x14ac:dyDescent="0.25">
      <c r="A1233" t="s">
        <v>45</v>
      </c>
      <c r="B1233" t="s">
        <v>969</v>
      </c>
      <c r="C1233">
        <v>2</v>
      </c>
      <c r="D1233" t="s">
        <v>27</v>
      </c>
      <c r="E1233" t="s">
        <v>95</v>
      </c>
      <c r="F1233" t="s">
        <v>105</v>
      </c>
      <c r="G1233" t="s">
        <v>113</v>
      </c>
      <c r="H1233" t="s">
        <v>113</v>
      </c>
      <c r="J1233">
        <v>0</v>
      </c>
      <c r="K1233">
        <v>6</v>
      </c>
      <c r="L1233">
        <v>67.5</v>
      </c>
      <c r="M1233">
        <v>47.937235809999997</v>
      </c>
      <c r="N1233">
        <v>0.41599678000000001</v>
      </c>
      <c r="O1233">
        <v>2.0950346999999998</v>
      </c>
      <c r="P1233">
        <v>83.757575759999995</v>
      </c>
      <c r="Q1233">
        <v>22.60997987</v>
      </c>
      <c r="R1233">
        <v>0.72884000000000004</v>
      </c>
      <c r="S1233">
        <v>0.21301339999999999</v>
      </c>
      <c r="T1233" t="s">
        <v>1015</v>
      </c>
      <c r="U1233">
        <v>16.257575760000002</v>
      </c>
    </row>
    <row r="1234" spans="1:21" x14ac:dyDescent="0.25">
      <c r="A1234" t="s">
        <v>45</v>
      </c>
      <c r="B1234" t="s">
        <v>970</v>
      </c>
      <c r="C1234">
        <v>2</v>
      </c>
      <c r="D1234" t="s">
        <v>27</v>
      </c>
      <c r="E1234" t="s">
        <v>95</v>
      </c>
      <c r="F1234" t="s">
        <v>112</v>
      </c>
      <c r="G1234" t="s">
        <v>121</v>
      </c>
      <c r="H1234" t="s">
        <v>113</v>
      </c>
      <c r="J1234">
        <v>0</v>
      </c>
      <c r="K1234">
        <v>8</v>
      </c>
      <c r="L1234">
        <v>65.09375</v>
      </c>
      <c r="M1234">
        <v>37.895352600000002</v>
      </c>
      <c r="N1234">
        <v>2.2882677779999998</v>
      </c>
      <c r="O1234">
        <v>2.2111774</v>
      </c>
      <c r="P1234">
        <v>83.757575759999995</v>
      </c>
      <c r="Q1234">
        <v>22.60997987</v>
      </c>
      <c r="R1234">
        <v>0.72884000000000004</v>
      </c>
      <c r="S1234">
        <v>0.21301339999999999</v>
      </c>
      <c r="T1234" t="s">
        <v>1015</v>
      </c>
      <c r="U1234">
        <v>18.663825760000002</v>
      </c>
    </row>
    <row r="1235" spans="1:21" x14ac:dyDescent="0.25">
      <c r="A1235" t="s">
        <v>45</v>
      </c>
      <c r="B1235" t="s">
        <v>970</v>
      </c>
      <c r="C1235">
        <v>2</v>
      </c>
      <c r="D1235" t="s">
        <v>27</v>
      </c>
      <c r="E1235" t="s">
        <v>95</v>
      </c>
      <c r="F1235" t="s">
        <v>112</v>
      </c>
      <c r="G1235" t="s">
        <v>121</v>
      </c>
      <c r="H1235" t="s">
        <v>113</v>
      </c>
      <c r="J1235">
        <v>0</v>
      </c>
      <c r="K1235">
        <v>8</v>
      </c>
      <c r="L1235">
        <v>65.09375</v>
      </c>
      <c r="M1235">
        <v>37.895352600000002</v>
      </c>
      <c r="N1235">
        <v>2.2882677779999998</v>
      </c>
      <c r="O1235">
        <v>2.2111774</v>
      </c>
      <c r="P1235">
        <v>83.757575759999995</v>
      </c>
      <c r="Q1235">
        <v>22.60997987</v>
      </c>
      <c r="R1235">
        <v>0.72884000000000004</v>
      </c>
      <c r="S1235">
        <v>0.21301339999999999</v>
      </c>
      <c r="T1235" t="s">
        <v>1015</v>
      </c>
      <c r="U1235">
        <v>18.663825760000002</v>
      </c>
    </row>
    <row r="1236" spans="1:21" x14ac:dyDescent="0.25">
      <c r="A1236" t="s">
        <v>45</v>
      </c>
      <c r="B1236" t="s">
        <v>970</v>
      </c>
      <c r="C1236">
        <v>2</v>
      </c>
      <c r="D1236" t="s">
        <v>27</v>
      </c>
      <c r="E1236" t="s">
        <v>95</v>
      </c>
      <c r="F1236" t="s">
        <v>112</v>
      </c>
      <c r="G1236" t="s">
        <v>121</v>
      </c>
      <c r="H1236" t="s">
        <v>113</v>
      </c>
      <c r="J1236">
        <v>0</v>
      </c>
      <c r="K1236">
        <v>8</v>
      </c>
      <c r="L1236">
        <v>65.09375</v>
      </c>
      <c r="M1236">
        <v>37.895352600000002</v>
      </c>
      <c r="N1236">
        <v>2.2882677779999998</v>
      </c>
      <c r="O1236">
        <v>2.2111774</v>
      </c>
      <c r="P1236">
        <v>83.757575759999995</v>
      </c>
      <c r="Q1236">
        <v>22.60997987</v>
      </c>
      <c r="R1236">
        <v>0.72884000000000004</v>
      </c>
      <c r="S1236">
        <v>0.21301339999999999</v>
      </c>
      <c r="T1236" t="s">
        <v>1015</v>
      </c>
      <c r="U1236">
        <v>18.663825760000002</v>
      </c>
    </row>
    <row r="1237" spans="1:21" x14ac:dyDescent="0.25">
      <c r="A1237" t="s">
        <v>45</v>
      </c>
      <c r="B1237" t="s">
        <v>970</v>
      </c>
      <c r="C1237">
        <v>2</v>
      </c>
      <c r="D1237" t="s">
        <v>27</v>
      </c>
      <c r="E1237" t="s">
        <v>95</v>
      </c>
      <c r="F1237" t="s">
        <v>112</v>
      </c>
      <c r="G1237" t="s">
        <v>121</v>
      </c>
      <c r="H1237" t="s">
        <v>113</v>
      </c>
      <c r="J1237">
        <v>0</v>
      </c>
      <c r="K1237">
        <v>8</v>
      </c>
      <c r="L1237">
        <v>65.09375</v>
      </c>
      <c r="M1237">
        <v>37.895352600000002</v>
      </c>
      <c r="N1237">
        <v>2.2882677779999998</v>
      </c>
      <c r="O1237">
        <v>2.2111774</v>
      </c>
      <c r="P1237">
        <v>83.757575759999995</v>
      </c>
      <c r="Q1237">
        <v>22.60997987</v>
      </c>
      <c r="R1237">
        <v>0.72884000000000004</v>
      </c>
      <c r="S1237">
        <v>0.21301339999999999</v>
      </c>
      <c r="T1237" t="s">
        <v>1015</v>
      </c>
      <c r="U1237">
        <v>18.663825760000002</v>
      </c>
    </row>
    <row r="1238" spans="1:21" x14ac:dyDescent="0.25">
      <c r="A1238" t="s">
        <v>45</v>
      </c>
      <c r="B1238" t="s">
        <v>970</v>
      </c>
      <c r="C1238">
        <v>2</v>
      </c>
      <c r="D1238" t="s">
        <v>27</v>
      </c>
      <c r="E1238" t="s">
        <v>95</v>
      </c>
      <c r="F1238" t="s">
        <v>112</v>
      </c>
      <c r="G1238" t="s">
        <v>121</v>
      </c>
      <c r="H1238" t="s">
        <v>113</v>
      </c>
      <c r="J1238">
        <v>0</v>
      </c>
      <c r="K1238">
        <v>8</v>
      </c>
      <c r="L1238">
        <v>65.09375</v>
      </c>
      <c r="M1238">
        <v>37.895352600000002</v>
      </c>
      <c r="N1238">
        <v>2.2882677779999998</v>
      </c>
      <c r="O1238">
        <v>2.2111774</v>
      </c>
      <c r="P1238">
        <v>83.757575759999995</v>
      </c>
      <c r="Q1238">
        <v>22.60997987</v>
      </c>
      <c r="R1238">
        <v>0.72884000000000004</v>
      </c>
      <c r="S1238">
        <v>0.21301339999999999</v>
      </c>
      <c r="T1238" t="s">
        <v>1015</v>
      </c>
      <c r="U1238">
        <v>18.663825760000002</v>
      </c>
    </row>
    <row r="1239" spans="1:21" x14ac:dyDescent="0.25">
      <c r="A1239" t="s">
        <v>45</v>
      </c>
      <c r="B1239" t="s">
        <v>970</v>
      </c>
      <c r="C1239">
        <v>2</v>
      </c>
      <c r="D1239" t="s">
        <v>27</v>
      </c>
      <c r="E1239" t="s">
        <v>95</v>
      </c>
      <c r="F1239" t="s">
        <v>112</v>
      </c>
      <c r="G1239" t="s">
        <v>121</v>
      </c>
      <c r="H1239" t="s">
        <v>113</v>
      </c>
      <c r="J1239">
        <v>0</v>
      </c>
      <c r="K1239">
        <v>8</v>
      </c>
      <c r="L1239">
        <v>65.09375</v>
      </c>
      <c r="M1239">
        <v>37.895352600000002</v>
      </c>
      <c r="N1239">
        <v>2.2882677779999998</v>
      </c>
      <c r="O1239">
        <v>2.2111774</v>
      </c>
      <c r="P1239">
        <v>83.757575759999995</v>
      </c>
      <c r="Q1239">
        <v>22.60997987</v>
      </c>
      <c r="R1239">
        <v>0.72884000000000004</v>
      </c>
      <c r="S1239">
        <v>0.21301339999999999</v>
      </c>
      <c r="T1239" t="s">
        <v>1015</v>
      </c>
      <c r="U1239">
        <v>18.663825760000002</v>
      </c>
    </row>
    <row r="1240" spans="1:21" x14ac:dyDescent="0.25">
      <c r="A1240" t="s">
        <v>45</v>
      </c>
      <c r="B1240" t="s">
        <v>970</v>
      </c>
      <c r="C1240">
        <v>2</v>
      </c>
      <c r="D1240" t="s">
        <v>27</v>
      </c>
      <c r="E1240" t="s">
        <v>95</v>
      </c>
      <c r="F1240" t="s">
        <v>112</v>
      </c>
      <c r="G1240" t="s">
        <v>121</v>
      </c>
      <c r="H1240" t="s">
        <v>113</v>
      </c>
      <c r="J1240">
        <v>0</v>
      </c>
      <c r="K1240">
        <v>8</v>
      </c>
      <c r="L1240">
        <v>65.09375</v>
      </c>
      <c r="M1240">
        <v>37.895352600000002</v>
      </c>
      <c r="N1240">
        <v>2.2882677779999998</v>
      </c>
      <c r="O1240">
        <v>2.2111774</v>
      </c>
      <c r="P1240">
        <v>83.757575759999995</v>
      </c>
      <c r="Q1240">
        <v>22.60997987</v>
      </c>
      <c r="R1240">
        <v>0.72884000000000004</v>
      </c>
      <c r="S1240">
        <v>0.21301339999999999</v>
      </c>
      <c r="T1240" t="s">
        <v>1015</v>
      </c>
      <c r="U1240">
        <v>18.663825760000002</v>
      </c>
    </row>
    <row r="1241" spans="1:21" x14ac:dyDescent="0.25">
      <c r="A1241" t="s">
        <v>45</v>
      </c>
      <c r="B1241" t="s">
        <v>970</v>
      </c>
      <c r="C1241">
        <v>2</v>
      </c>
      <c r="D1241" t="s">
        <v>27</v>
      </c>
      <c r="E1241" t="s">
        <v>95</v>
      </c>
      <c r="F1241" t="s">
        <v>112</v>
      </c>
      <c r="G1241" t="s">
        <v>121</v>
      </c>
      <c r="H1241" t="s">
        <v>113</v>
      </c>
      <c r="J1241">
        <v>0</v>
      </c>
      <c r="K1241">
        <v>8</v>
      </c>
      <c r="L1241">
        <v>65.09375</v>
      </c>
      <c r="M1241">
        <v>37.895352600000002</v>
      </c>
      <c r="N1241">
        <v>2.2882677779999998</v>
      </c>
      <c r="O1241">
        <v>2.2111774</v>
      </c>
      <c r="P1241">
        <v>83.757575759999995</v>
      </c>
      <c r="Q1241">
        <v>22.60997987</v>
      </c>
      <c r="R1241">
        <v>0.72884000000000004</v>
      </c>
      <c r="S1241">
        <v>0.21301339999999999</v>
      </c>
      <c r="T1241" t="s">
        <v>1015</v>
      </c>
      <c r="U1241">
        <v>18.663825760000002</v>
      </c>
    </row>
    <row r="1242" spans="1:21" x14ac:dyDescent="0.25">
      <c r="A1242" t="s">
        <v>45</v>
      </c>
      <c r="B1242" t="s">
        <v>970</v>
      </c>
      <c r="C1242">
        <v>2</v>
      </c>
      <c r="D1242" t="s">
        <v>27</v>
      </c>
      <c r="E1242" t="s">
        <v>95</v>
      </c>
      <c r="F1242" t="s">
        <v>112</v>
      </c>
      <c r="G1242" t="s">
        <v>121</v>
      </c>
      <c r="H1242" t="s">
        <v>103</v>
      </c>
      <c r="J1242">
        <v>0</v>
      </c>
      <c r="K1242">
        <v>1</v>
      </c>
      <c r="L1242">
        <v>65.09375</v>
      </c>
      <c r="M1242">
        <v>37.895352600000002</v>
      </c>
      <c r="N1242">
        <v>2.2882677779999998</v>
      </c>
      <c r="O1242">
        <v>2.2111774</v>
      </c>
      <c r="P1242">
        <v>98.291666669999998</v>
      </c>
      <c r="Q1242">
        <v>30.315130790000001</v>
      </c>
      <c r="R1242">
        <v>5.0803484000000003E-2</v>
      </c>
      <c r="S1242">
        <v>0.42866070000000001</v>
      </c>
      <c r="T1242" t="s">
        <v>1015</v>
      </c>
      <c r="U1242">
        <v>33.197916669999998</v>
      </c>
    </row>
    <row r="1243" spans="1:21" x14ac:dyDescent="0.25">
      <c r="A1243" t="s">
        <v>46</v>
      </c>
      <c r="B1243" t="s">
        <v>971</v>
      </c>
      <c r="C1243">
        <v>2</v>
      </c>
      <c r="D1243" t="s">
        <v>29</v>
      </c>
      <c r="E1243" t="s">
        <v>95</v>
      </c>
      <c r="F1243" t="s">
        <v>102</v>
      </c>
      <c r="G1243" t="s">
        <v>121</v>
      </c>
      <c r="H1243" t="s">
        <v>114</v>
      </c>
      <c r="J1243">
        <v>0</v>
      </c>
      <c r="K1243" t="s">
        <v>114</v>
      </c>
      <c r="L1243">
        <v>84.740740740000007</v>
      </c>
      <c r="M1243">
        <v>29.167014049999999</v>
      </c>
      <c r="N1243">
        <v>1.1169849999999999</v>
      </c>
      <c r="O1243">
        <v>1.1571499000000001</v>
      </c>
      <c r="P1243" t="s">
        <v>114</v>
      </c>
      <c r="Q1243" t="s">
        <v>114</v>
      </c>
      <c r="R1243" t="s">
        <v>114</v>
      </c>
      <c r="S1243" t="s">
        <v>114</v>
      </c>
      <c r="T1243" t="s">
        <v>1015</v>
      </c>
      <c r="U1243" t="s">
        <v>114</v>
      </c>
    </row>
    <row r="1244" spans="1:21" x14ac:dyDescent="0.25">
      <c r="A1244" t="s">
        <v>46</v>
      </c>
      <c r="B1244" t="s">
        <v>972</v>
      </c>
      <c r="C1244">
        <v>2</v>
      </c>
      <c r="D1244" t="s">
        <v>29</v>
      </c>
      <c r="E1244" t="s">
        <v>95</v>
      </c>
      <c r="F1244" t="s">
        <v>110</v>
      </c>
      <c r="G1244" t="s">
        <v>113</v>
      </c>
      <c r="H1244" t="s">
        <v>113</v>
      </c>
      <c r="J1244">
        <v>0</v>
      </c>
      <c r="K1244">
        <v>3</v>
      </c>
      <c r="L1244">
        <v>73.260869569999997</v>
      </c>
      <c r="M1244">
        <v>34.453830549999999</v>
      </c>
      <c r="N1244">
        <v>1.058333333</v>
      </c>
      <c r="O1244">
        <v>0.90897070000000002</v>
      </c>
      <c r="P1244">
        <v>83.757575759999995</v>
      </c>
      <c r="Q1244">
        <v>22.60997987</v>
      </c>
      <c r="R1244">
        <v>0.72884000000000004</v>
      </c>
      <c r="S1244">
        <v>0.21301339999999999</v>
      </c>
      <c r="T1244" t="s">
        <v>1015</v>
      </c>
      <c r="U1244">
        <v>10.496706189999999</v>
      </c>
    </row>
    <row r="1245" spans="1:21" x14ac:dyDescent="0.25">
      <c r="A1245" t="s">
        <v>46</v>
      </c>
      <c r="B1245" t="s">
        <v>972</v>
      </c>
      <c r="C1245">
        <v>2</v>
      </c>
      <c r="D1245" t="s">
        <v>29</v>
      </c>
      <c r="E1245" t="s">
        <v>95</v>
      </c>
      <c r="F1245" t="s">
        <v>110</v>
      </c>
      <c r="G1245" t="s">
        <v>113</v>
      </c>
      <c r="H1245" t="s">
        <v>113</v>
      </c>
      <c r="J1245">
        <v>0</v>
      </c>
      <c r="K1245">
        <v>3</v>
      </c>
      <c r="L1245">
        <v>73.260869569999997</v>
      </c>
      <c r="M1245">
        <v>34.453830549999999</v>
      </c>
      <c r="N1245">
        <v>1.058333333</v>
      </c>
      <c r="O1245">
        <v>0.90897070000000002</v>
      </c>
      <c r="P1245">
        <v>83.757575759999995</v>
      </c>
      <c r="Q1245">
        <v>22.60997987</v>
      </c>
      <c r="R1245">
        <v>0.72884000000000004</v>
      </c>
      <c r="S1245">
        <v>0.21301339999999999</v>
      </c>
      <c r="T1245" t="s">
        <v>1015</v>
      </c>
      <c r="U1245">
        <v>10.496706189999999</v>
      </c>
    </row>
    <row r="1246" spans="1:21" x14ac:dyDescent="0.25">
      <c r="A1246" t="s">
        <v>46</v>
      </c>
      <c r="B1246" t="s">
        <v>972</v>
      </c>
      <c r="C1246">
        <v>2</v>
      </c>
      <c r="D1246" t="s">
        <v>29</v>
      </c>
      <c r="E1246" t="s">
        <v>95</v>
      </c>
      <c r="F1246" t="s">
        <v>110</v>
      </c>
      <c r="G1246" t="s">
        <v>113</v>
      </c>
      <c r="H1246" t="s">
        <v>113</v>
      </c>
      <c r="J1246">
        <v>0</v>
      </c>
      <c r="K1246">
        <v>3</v>
      </c>
      <c r="L1246">
        <v>73.260869569999997</v>
      </c>
      <c r="M1246">
        <v>34.453830549999999</v>
      </c>
      <c r="N1246">
        <v>1.058333333</v>
      </c>
      <c r="O1246">
        <v>0.90897070000000002</v>
      </c>
      <c r="P1246">
        <v>83.757575759999995</v>
      </c>
      <c r="Q1246">
        <v>22.60997987</v>
      </c>
      <c r="R1246">
        <v>0.72884000000000004</v>
      </c>
      <c r="S1246">
        <v>0.21301339999999999</v>
      </c>
      <c r="T1246" t="s">
        <v>1015</v>
      </c>
      <c r="U1246">
        <v>10.496706189999999</v>
      </c>
    </row>
    <row r="1247" spans="1:21" x14ac:dyDescent="0.25">
      <c r="A1247" t="s">
        <v>46</v>
      </c>
      <c r="B1247" t="s">
        <v>973</v>
      </c>
      <c r="C1247">
        <v>2</v>
      </c>
      <c r="D1247" t="s">
        <v>29</v>
      </c>
      <c r="E1247" t="s">
        <v>95</v>
      </c>
      <c r="F1247" t="s">
        <v>112</v>
      </c>
      <c r="G1247" t="s">
        <v>121</v>
      </c>
      <c r="H1247" t="s">
        <v>114</v>
      </c>
      <c r="J1247">
        <v>0</v>
      </c>
      <c r="K1247" t="s">
        <v>114</v>
      </c>
      <c r="L1247">
        <v>65.09375</v>
      </c>
      <c r="M1247">
        <v>37.895352600000002</v>
      </c>
      <c r="N1247">
        <v>2.2882677779999998</v>
      </c>
      <c r="O1247">
        <v>2.2111774</v>
      </c>
      <c r="P1247" t="s">
        <v>114</v>
      </c>
      <c r="Q1247" t="s">
        <v>114</v>
      </c>
      <c r="R1247" t="s">
        <v>114</v>
      </c>
      <c r="S1247" t="s">
        <v>114</v>
      </c>
      <c r="T1247" t="s">
        <v>1015</v>
      </c>
      <c r="U1247" t="s">
        <v>114</v>
      </c>
    </row>
    <row r="1248" spans="1:21" x14ac:dyDescent="0.25">
      <c r="A1248" t="s">
        <v>47</v>
      </c>
      <c r="B1248" t="s">
        <v>974</v>
      </c>
      <c r="C1248">
        <v>2</v>
      </c>
      <c r="D1248" t="s">
        <v>31</v>
      </c>
      <c r="E1248" t="s">
        <v>94</v>
      </c>
      <c r="F1248" t="s">
        <v>112</v>
      </c>
      <c r="G1248" t="s">
        <v>112</v>
      </c>
      <c r="H1248" t="s">
        <v>112</v>
      </c>
      <c r="J1248">
        <v>0</v>
      </c>
      <c r="K1248">
        <v>1</v>
      </c>
      <c r="L1248">
        <v>65.09375</v>
      </c>
      <c r="M1248">
        <v>37.895352600000002</v>
      </c>
      <c r="N1248">
        <v>2.2882677779999998</v>
      </c>
      <c r="O1248">
        <v>2.2111774</v>
      </c>
      <c r="P1248">
        <v>65.09375</v>
      </c>
      <c r="Q1248">
        <v>37.895352600000002</v>
      </c>
      <c r="R1248">
        <v>2.2882677779999998</v>
      </c>
      <c r="S1248">
        <v>2.2111774</v>
      </c>
      <c r="T1248" t="s">
        <v>1015</v>
      </c>
      <c r="U1248">
        <v>0</v>
      </c>
    </row>
    <row r="1249" spans="1:21" x14ac:dyDescent="0.25">
      <c r="A1249" t="s">
        <v>47</v>
      </c>
      <c r="B1249" t="s">
        <v>974</v>
      </c>
      <c r="C1249">
        <v>2</v>
      </c>
      <c r="D1249" t="s">
        <v>31</v>
      </c>
      <c r="E1249" t="s">
        <v>94</v>
      </c>
      <c r="F1249" t="s">
        <v>112</v>
      </c>
      <c r="G1249" t="s">
        <v>112</v>
      </c>
      <c r="H1249" t="s">
        <v>113</v>
      </c>
      <c r="J1249">
        <v>0</v>
      </c>
      <c r="K1249">
        <v>1</v>
      </c>
      <c r="L1249">
        <v>65.09375</v>
      </c>
      <c r="M1249">
        <v>37.895352600000002</v>
      </c>
      <c r="N1249">
        <v>2.2882677779999998</v>
      </c>
      <c r="O1249">
        <v>2.2111774</v>
      </c>
      <c r="P1249">
        <v>83.757575759999995</v>
      </c>
      <c r="Q1249">
        <v>22.60997987</v>
      </c>
      <c r="R1249">
        <v>0.72884000000000004</v>
      </c>
      <c r="S1249">
        <v>0.21301339999999999</v>
      </c>
      <c r="T1249" t="s">
        <v>1015</v>
      </c>
      <c r="U1249">
        <v>18.663825760000002</v>
      </c>
    </row>
    <row r="1250" spans="1:21" x14ac:dyDescent="0.25">
      <c r="A1250" t="s">
        <v>48</v>
      </c>
      <c r="B1250" t="s">
        <v>975</v>
      </c>
      <c r="C1250">
        <v>2</v>
      </c>
      <c r="D1250" t="s">
        <v>33</v>
      </c>
      <c r="E1250" t="s">
        <v>95</v>
      </c>
      <c r="F1250" t="s">
        <v>105</v>
      </c>
      <c r="G1250" t="s">
        <v>104</v>
      </c>
      <c r="H1250" t="s">
        <v>103</v>
      </c>
      <c r="J1250">
        <v>0</v>
      </c>
      <c r="K1250">
        <v>1</v>
      </c>
      <c r="L1250">
        <v>67.5</v>
      </c>
      <c r="M1250">
        <v>47.937235809999997</v>
      </c>
      <c r="N1250">
        <v>0.41599678000000001</v>
      </c>
      <c r="O1250">
        <v>2.0950346999999998</v>
      </c>
      <c r="P1250">
        <v>98.291666669999998</v>
      </c>
      <c r="Q1250">
        <v>30.315130790000001</v>
      </c>
      <c r="R1250">
        <v>5.0803484000000003E-2</v>
      </c>
      <c r="S1250">
        <v>0.42866070000000001</v>
      </c>
      <c r="T1250" t="s">
        <v>1015</v>
      </c>
      <c r="U1250">
        <v>30.791666670000001</v>
      </c>
    </row>
    <row r="1251" spans="1:21" x14ac:dyDescent="0.25">
      <c r="A1251" t="s">
        <v>48</v>
      </c>
      <c r="B1251" t="s">
        <v>975</v>
      </c>
      <c r="C1251">
        <v>2</v>
      </c>
      <c r="D1251" t="s">
        <v>33</v>
      </c>
      <c r="E1251" t="s">
        <v>95</v>
      </c>
      <c r="F1251" t="s">
        <v>105</v>
      </c>
      <c r="G1251" t="s">
        <v>104</v>
      </c>
      <c r="H1251" t="s">
        <v>104</v>
      </c>
      <c r="J1251">
        <v>0</v>
      </c>
      <c r="K1251">
        <v>2</v>
      </c>
      <c r="L1251">
        <v>67.5</v>
      </c>
      <c r="M1251">
        <v>47.937235809999997</v>
      </c>
      <c r="N1251">
        <v>0.41599678000000001</v>
      </c>
      <c r="O1251">
        <v>2.0950346999999998</v>
      </c>
      <c r="P1251">
        <v>113.9375</v>
      </c>
      <c r="Q1251">
        <v>33.375507550000002</v>
      </c>
      <c r="R1251">
        <v>2.4262999999999999</v>
      </c>
      <c r="S1251">
        <v>0.40692159999999999</v>
      </c>
      <c r="T1251" t="s">
        <v>1015</v>
      </c>
      <c r="U1251">
        <v>46.4375</v>
      </c>
    </row>
    <row r="1252" spans="1:21" x14ac:dyDescent="0.25">
      <c r="A1252" t="s">
        <v>48</v>
      </c>
      <c r="B1252" t="s">
        <v>975</v>
      </c>
      <c r="C1252">
        <v>2</v>
      </c>
      <c r="D1252" t="s">
        <v>33</v>
      </c>
      <c r="E1252" t="s">
        <v>95</v>
      </c>
      <c r="F1252" t="s">
        <v>105</v>
      </c>
      <c r="G1252" t="s">
        <v>104</v>
      </c>
      <c r="H1252" t="s">
        <v>104</v>
      </c>
      <c r="J1252">
        <v>0</v>
      </c>
      <c r="K1252">
        <v>2</v>
      </c>
      <c r="L1252">
        <v>67.5</v>
      </c>
      <c r="M1252">
        <v>47.937235809999997</v>
      </c>
      <c r="N1252">
        <v>0.41599678000000001</v>
      </c>
      <c r="O1252">
        <v>2.0950346999999998</v>
      </c>
      <c r="P1252">
        <v>113.9375</v>
      </c>
      <c r="Q1252">
        <v>33.375507550000002</v>
      </c>
      <c r="R1252">
        <v>2.4262999999999999</v>
      </c>
      <c r="S1252">
        <v>0.40692159999999999</v>
      </c>
      <c r="T1252" t="s">
        <v>1015</v>
      </c>
      <c r="U1252">
        <v>46.4375</v>
      </c>
    </row>
    <row r="1253" spans="1:21" x14ac:dyDescent="0.25">
      <c r="A1253" t="s">
        <v>48</v>
      </c>
      <c r="B1253" t="s">
        <v>976</v>
      </c>
      <c r="C1253">
        <v>2</v>
      </c>
      <c r="D1253" t="s">
        <v>33</v>
      </c>
      <c r="E1253" t="s">
        <v>95</v>
      </c>
      <c r="F1253" t="s">
        <v>111</v>
      </c>
      <c r="G1253" t="s">
        <v>113</v>
      </c>
      <c r="H1253" t="s">
        <v>113</v>
      </c>
      <c r="J1253">
        <v>0</v>
      </c>
      <c r="K1253">
        <v>1</v>
      </c>
      <c r="L1253">
        <v>94.97142857</v>
      </c>
      <c r="M1253">
        <v>24.31591813</v>
      </c>
      <c r="N1253">
        <v>0.122951111</v>
      </c>
      <c r="O1253">
        <v>0.39050790000000002</v>
      </c>
      <c r="P1253">
        <v>83.757575759999995</v>
      </c>
      <c r="Q1253">
        <v>22.60997987</v>
      </c>
      <c r="R1253">
        <v>0.72884000000000004</v>
      </c>
      <c r="S1253">
        <v>0.21301339999999999</v>
      </c>
      <c r="T1253" t="s">
        <v>1015</v>
      </c>
      <c r="U1253">
        <v>11.213852810000001</v>
      </c>
    </row>
    <row r="1254" spans="1:21" x14ac:dyDescent="0.25">
      <c r="A1254" t="s">
        <v>48</v>
      </c>
      <c r="B1254" t="s">
        <v>976</v>
      </c>
      <c r="C1254">
        <v>2</v>
      </c>
      <c r="D1254" t="s">
        <v>33</v>
      </c>
      <c r="E1254" t="s">
        <v>95</v>
      </c>
      <c r="F1254" t="s">
        <v>111</v>
      </c>
      <c r="G1254" t="s">
        <v>113</v>
      </c>
      <c r="H1254" t="s">
        <v>241</v>
      </c>
      <c r="J1254">
        <v>0</v>
      </c>
      <c r="K1254">
        <v>1</v>
      </c>
      <c r="L1254">
        <v>94.97142857</v>
      </c>
      <c r="M1254">
        <v>24.31591813</v>
      </c>
      <c r="N1254">
        <v>0.122951111</v>
      </c>
      <c r="O1254">
        <v>0.39050790000000002</v>
      </c>
      <c r="P1254">
        <v>114</v>
      </c>
      <c r="Q1254">
        <v>30.43077242</v>
      </c>
      <c r="R1254">
        <v>0.53383111100000002</v>
      </c>
      <c r="S1254">
        <v>0.28333332999999999</v>
      </c>
      <c r="T1254" t="s">
        <v>1015</v>
      </c>
      <c r="U1254">
        <v>19.02857143</v>
      </c>
    </row>
    <row r="1255" spans="1:21" x14ac:dyDescent="0.25">
      <c r="A1255" t="s">
        <v>48</v>
      </c>
      <c r="B1255" t="s">
        <v>977</v>
      </c>
      <c r="C1255">
        <v>2</v>
      </c>
      <c r="D1255" t="s">
        <v>33</v>
      </c>
      <c r="E1255" t="s">
        <v>95</v>
      </c>
      <c r="F1255" t="s">
        <v>104</v>
      </c>
      <c r="G1255" t="s">
        <v>121</v>
      </c>
      <c r="H1255" t="s">
        <v>113</v>
      </c>
      <c r="J1255">
        <v>0</v>
      </c>
      <c r="K1255">
        <v>5</v>
      </c>
      <c r="L1255">
        <v>113.9375</v>
      </c>
      <c r="M1255">
        <v>33.375507550000002</v>
      </c>
      <c r="N1255">
        <v>2.4262999999999999</v>
      </c>
      <c r="O1255">
        <v>0.40692159999999999</v>
      </c>
      <c r="P1255">
        <v>83.757575759999995</v>
      </c>
      <c r="Q1255">
        <v>22.60997987</v>
      </c>
      <c r="R1255">
        <v>0.72884000000000004</v>
      </c>
      <c r="S1255">
        <v>0.21301339999999999</v>
      </c>
      <c r="T1255" t="s">
        <v>1015</v>
      </c>
      <c r="U1255">
        <v>30.179924239999998</v>
      </c>
    </row>
    <row r="1256" spans="1:21" x14ac:dyDescent="0.25">
      <c r="A1256" t="s">
        <v>48</v>
      </c>
      <c r="B1256" t="s">
        <v>977</v>
      </c>
      <c r="C1256">
        <v>2</v>
      </c>
      <c r="D1256" t="s">
        <v>33</v>
      </c>
      <c r="E1256" t="s">
        <v>95</v>
      </c>
      <c r="F1256" t="s">
        <v>104</v>
      </c>
      <c r="G1256" t="s">
        <v>121</v>
      </c>
      <c r="H1256" t="s">
        <v>113</v>
      </c>
      <c r="J1256">
        <v>0</v>
      </c>
      <c r="K1256">
        <v>5</v>
      </c>
      <c r="L1256">
        <v>113.9375</v>
      </c>
      <c r="M1256">
        <v>33.375507550000002</v>
      </c>
      <c r="N1256">
        <v>2.4262999999999999</v>
      </c>
      <c r="O1256">
        <v>0.40692159999999999</v>
      </c>
      <c r="P1256">
        <v>83.757575759999995</v>
      </c>
      <c r="Q1256">
        <v>22.60997987</v>
      </c>
      <c r="R1256">
        <v>0.72884000000000004</v>
      </c>
      <c r="S1256">
        <v>0.21301339999999999</v>
      </c>
      <c r="T1256" t="s">
        <v>1015</v>
      </c>
      <c r="U1256">
        <v>30.179924239999998</v>
      </c>
    </row>
    <row r="1257" spans="1:21" x14ac:dyDescent="0.25">
      <c r="A1257" t="s">
        <v>48</v>
      </c>
      <c r="B1257" t="s">
        <v>977</v>
      </c>
      <c r="C1257">
        <v>2</v>
      </c>
      <c r="D1257" t="s">
        <v>33</v>
      </c>
      <c r="E1257" t="s">
        <v>95</v>
      </c>
      <c r="F1257" t="s">
        <v>104</v>
      </c>
      <c r="G1257" t="s">
        <v>121</v>
      </c>
      <c r="H1257" t="s">
        <v>113</v>
      </c>
      <c r="J1257">
        <v>0</v>
      </c>
      <c r="K1257">
        <v>5</v>
      </c>
      <c r="L1257">
        <v>113.9375</v>
      </c>
      <c r="M1257">
        <v>33.375507550000002</v>
      </c>
      <c r="N1257">
        <v>2.4262999999999999</v>
      </c>
      <c r="O1257">
        <v>0.40692159999999999</v>
      </c>
      <c r="P1257">
        <v>83.757575759999995</v>
      </c>
      <c r="Q1257">
        <v>22.60997987</v>
      </c>
      <c r="R1257">
        <v>0.72884000000000004</v>
      </c>
      <c r="S1257">
        <v>0.21301339999999999</v>
      </c>
      <c r="T1257" t="s">
        <v>1015</v>
      </c>
      <c r="U1257">
        <v>30.179924239999998</v>
      </c>
    </row>
    <row r="1258" spans="1:21" x14ac:dyDescent="0.25">
      <c r="A1258" t="s">
        <v>48</v>
      </c>
      <c r="B1258" t="s">
        <v>977</v>
      </c>
      <c r="C1258">
        <v>2</v>
      </c>
      <c r="D1258" t="s">
        <v>33</v>
      </c>
      <c r="E1258" t="s">
        <v>95</v>
      </c>
      <c r="F1258" t="s">
        <v>104</v>
      </c>
      <c r="G1258" t="s">
        <v>121</v>
      </c>
      <c r="H1258" t="s">
        <v>113</v>
      </c>
      <c r="J1258">
        <v>0</v>
      </c>
      <c r="K1258">
        <v>5</v>
      </c>
      <c r="L1258">
        <v>113.9375</v>
      </c>
      <c r="M1258">
        <v>33.375507550000002</v>
      </c>
      <c r="N1258">
        <v>2.4262999999999999</v>
      </c>
      <c r="O1258">
        <v>0.40692159999999999</v>
      </c>
      <c r="P1258">
        <v>83.757575759999995</v>
      </c>
      <c r="Q1258">
        <v>22.60997987</v>
      </c>
      <c r="R1258">
        <v>0.72884000000000004</v>
      </c>
      <c r="S1258">
        <v>0.21301339999999999</v>
      </c>
      <c r="T1258" t="s">
        <v>1015</v>
      </c>
      <c r="U1258">
        <v>30.179924239999998</v>
      </c>
    </row>
    <row r="1259" spans="1:21" x14ac:dyDescent="0.25">
      <c r="A1259" t="s">
        <v>48</v>
      </c>
      <c r="B1259" t="s">
        <v>977</v>
      </c>
      <c r="C1259">
        <v>2</v>
      </c>
      <c r="D1259" t="s">
        <v>33</v>
      </c>
      <c r="E1259" t="s">
        <v>95</v>
      </c>
      <c r="F1259" t="s">
        <v>104</v>
      </c>
      <c r="G1259" t="s">
        <v>121</v>
      </c>
      <c r="H1259" t="s">
        <v>113</v>
      </c>
      <c r="J1259">
        <v>0</v>
      </c>
      <c r="K1259">
        <v>5</v>
      </c>
      <c r="L1259">
        <v>113.9375</v>
      </c>
      <c r="M1259">
        <v>33.375507550000002</v>
      </c>
      <c r="N1259">
        <v>2.4262999999999999</v>
      </c>
      <c r="O1259">
        <v>0.40692159999999999</v>
      </c>
      <c r="P1259">
        <v>83.757575759999995</v>
      </c>
      <c r="Q1259">
        <v>22.60997987</v>
      </c>
      <c r="R1259">
        <v>0.72884000000000004</v>
      </c>
      <c r="S1259">
        <v>0.21301339999999999</v>
      </c>
      <c r="T1259" t="s">
        <v>1015</v>
      </c>
      <c r="U1259">
        <v>30.179924239999998</v>
      </c>
    </row>
    <row r="1260" spans="1:21" x14ac:dyDescent="0.25">
      <c r="A1260" t="s">
        <v>48</v>
      </c>
      <c r="B1260" t="s">
        <v>977</v>
      </c>
      <c r="C1260">
        <v>2</v>
      </c>
      <c r="D1260" t="s">
        <v>33</v>
      </c>
      <c r="E1260" t="s">
        <v>95</v>
      </c>
      <c r="F1260" t="s">
        <v>104</v>
      </c>
      <c r="G1260" t="s">
        <v>121</v>
      </c>
      <c r="H1260" t="s">
        <v>104</v>
      </c>
      <c r="J1260">
        <v>0</v>
      </c>
      <c r="K1260">
        <v>2</v>
      </c>
      <c r="L1260">
        <v>113.9375</v>
      </c>
      <c r="M1260">
        <v>33.375507550000002</v>
      </c>
      <c r="N1260">
        <v>2.4262999999999999</v>
      </c>
      <c r="O1260">
        <v>0.40692159999999999</v>
      </c>
      <c r="P1260">
        <v>113.9375</v>
      </c>
      <c r="Q1260">
        <v>33.375507550000002</v>
      </c>
      <c r="R1260">
        <v>2.4262999999999999</v>
      </c>
      <c r="S1260">
        <v>0.40692159999999999</v>
      </c>
      <c r="T1260" t="s">
        <v>1015</v>
      </c>
      <c r="U1260">
        <v>0</v>
      </c>
    </row>
    <row r="1261" spans="1:21" x14ac:dyDescent="0.25">
      <c r="A1261" t="s">
        <v>48</v>
      </c>
      <c r="B1261" t="s">
        <v>977</v>
      </c>
      <c r="C1261">
        <v>2</v>
      </c>
      <c r="D1261" t="s">
        <v>33</v>
      </c>
      <c r="E1261" t="s">
        <v>95</v>
      </c>
      <c r="F1261" t="s">
        <v>104</v>
      </c>
      <c r="G1261" t="s">
        <v>121</v>
      </c>
      <c r="H1261" t="s">
        <v>104</v>
      </c>
      <c r="J1261">
        <v>0</v>
      </c>
      <c r="K1261">
        <v>2</v>
      </c>
      <c r="L1261">
        <v>113.9375</v>
      </c>
      <c r="M1261">
        <v>33.375507550000002</v>
      </c>
      <c r="N1261">
        <v>2.4262999999999999</v>
      </c>
      <c r="O1261">
        <v>0.40692159999999999</v>
      </c>
      <c r="P1261">
        <v>113.9375</v>
      </c>
      <c r="Q1261">
        <v>33.375507550000002</v>
      </c>
      <c r="R1261">
        <v>2.4262999999999999</v>
      </c>
      <c r="S1261">
        <v>0.40692159999999999</v>
      </c>
      <c r="T1261" t="s">
        <v>1015</v>
      </c>
      <c r="U1261">
        <v>0</v>
      </c>
    </row>
    <row r="1262" spans="1:21" x14ac:dyDescent="0.25">
      <c r="A1262" t="s">
        <v>48</v>
      </c>
      <c r="B1262" t="s">
        <v>977</v>
      </c>
      <c r="C1262">
        <v>2</v>
      </c>
      <c r="D1262" t="s">
        <v>33</v>
      </c>
      <c r="E1262" t="s">
        <v>95</v>
      </c>
      <c r="F1262" t="s">
        <v>104</v>
      </c>
      <c r="G1262" t="s">
        <v>121</v>
      </c>
      <c r="H1262" t="s">
        <v>103</v>
      </c>
      <c r="J1262">
        <v>0</v>
      </c>
      <c r="K1262">
        <v>1</v>
      </c>
      <c r="L1262">
        <v>113.9375</v>
      </c>
      <c r="M1262">
        <v>33.375507550000002</v>
      </c>
      <c r="N1262">
        <v>2.4262999999999999</v>
      </c>
      <c r="O1262">
        <v>0.40692159999999999</v>
      </c>
      <c r="P1262">
        <v>98.291666669999998</v>
      </c>
      <c r="Q1262">
        <v>30.315130790000001</v>
      </c>
      <c r="R1262">
        <v>5.0803484000000003E-2</v>
      </c>
      <c r="S1262">
        <v>0.42866070000000001</v>
      </c>
      <c r="T1262" t="s">
        <v>1015</v>
      </c>
      <c r="U1262">
        <v>15.64583333</v>
      </c>
    </row>
    <row r="1263" spans="1:21" x14ac:dyDescent="0.25">
      <c r="A1263" t="s">
        <v>49</v>
      </c>
      <c r="B1263" t="s">
        <v>978</v>
      </c>
      <c r="C1263">
        <v>2</v>
      </c>
      <c r="D1263" t="s">
        <v>35</v>
      </c>
      <c r="E1263" t="s">
        <v>94</v>
      </c>
      <c r="F1263" t="s">
        <v>102</v>
      </c>
      <c r="G1263" t="s">
        <v>112</v>
      </c>
      <c r="H1263" t="s">
        <v>112</v>
      </c>
      <c r="J1263">
        <v>0</v>
      </c>
      <c r="K1263">
        <v>1</v>
      </c>
      <c r="L1263">
        <v>84.740740740000007</v>
      </c>
      <c r="M1263">
        <v>29.167014049999999</v>
      </c>
      <c r="N1263">
        <v>1.1169849999999999</v>
      </c>
      <c r="O1263">
        <v>1.1571499000000001</v>
      </c>
      <c r="P1263">
        <v>65.09375</v>
      </c>
      <c r="Q1263">
        <v>37.895352600000002</v>
      </c>
      <c r="R1263">
        <v>2.2882677779999998</v>
      </c>
      <c r="S1263">
        <v>2.2111774</v>
      </c>
      <c r="T1263" t="s">
        <v>1015</v>
      </c>
      <c r="U1263">
        <v>19.64699074</v>
      </c>
    </row>
    <row r="1264" spans="1:21" x14ac:dyDescent="0.25">
      <c r="A1264" t="s">
        <v>49</v>
      </c>
      <c r="B1264" t="s">
        <v>978</v>
      </c>
      <c r="C1264">
        <v>2</v>
      </c>
      <c r="D1264" t="s">
        <v>35</v>
      </c>
      <c r="E1264" t="s">
        <v>94</v>
      </c>
      <c r="F1264" t="s">
        <v>102</v>
      </c>
      <c r="G1264" t="s">
        <v>112</v>
      </c>
      <c r="H1264" t="s">
        <v>104</v>
      </c>
      <c r="J1264">
        <v>0</v>
      </c>
      <c r="K1264">
        <v>5</v>
      </c>
      <c r="L1264">
        <v>84.740740740000007</v>
      </c>
      <c r="M1264">
        <v>29.167014049999999</v>
      </c>
      <c r="N1264">
        <v>1.1169849999999999</v>
      </c>
      <c r="O1264">
        <v>1.1571499000000001</v>
      </c>
      <c r="P1264">
        <v>113.9375</v>
      </c>
      <c r="Q1264">
        <v>33.375507550000002</v>
      </c>
      <c r="R1264">
        <v>2.4262999999999999</v>
      </c>
      <c r="S1264">
        <v>0.40692159999999999</v>
      </c>
      <c r="T1264" t="s">
        <v>1015</v>
      </c>
      <c r="U1264">
        <v>29.19675926</v>
      </c>
    </row>
    <row r="1265" spans="1:21" x14ac:dyDescent="0.25">
      <c r="A1265" t="s">
        <v>49</v>
      </c>
      <c r="B1265" t="s">
        <v>978</v>
      </c>
      <c r="C1265">
        <v>2</v>
      </c>
      <c r="D1265" t="s">
        <v>35</v>
      </c>
      <c r="E1265" t="s">
        <v>94</v>
      </c>
      <c r="F1265" t="s">
        <v>102</v>
      </c>
      <c r="G1265" t="s">
        <v>112</v>
      </c>
      <c r="H1265" t="s">
        <v>104</v>
      </c>
      <c r="J1265">
        <v>0</v>
      </c>
      <c r="K1265">
        <v>5</v>
      </c>
      <c r="L1265">
        <v>84.740740740000007</v>
      </c>
      <c r="M1265">
        <v>29.167014049999999</v>
      </c>
      <c r="N1265">
        <v>1.1169849999999999</v>
      </c>
      <c r="O1265">
        <v>1.1571499000000001</v>
      </c>
      <c r="P1265">
        <v>113.9375</v>
      </c>
      <c r="Q1265">
        <v>33.375507550000002</v>
      </c>
      <c r="R1265">
        <v>2.4262999999999999</v>
      </c>
      <c r="S1265">
        <v>0.40692159999999999</v>
      </c>
      <c r="T1265" t="s">
        <v>1015</v>
      </c>
      <c r="U1265">
        <v>29.19675926</v>
      </c>
    </row>
    <row r="1266" spans="1:21" x14ac:dyDescent="0.25">
      <c r="A1266" t="s">
        <v>49</v>
      </c>
      <c r="B1266" t="s">
        <v>978</v>
      </c>
      <c r="C1266">
        <v>2</v>
      </c>
      <c r="D1266" t="s">
        <v>35</v>
      </c>
      <c r="E1266" t="s">
        <v>94</v>
      </c>
      <c r="F1266" t="s">
        <v>102</v>
      </c>
      <c r="G1266" t="s">
        <v>112</v>
      </c>
      <c r="H1266" t="s">
        <v>104</v>
      </c>
      <c r="J1266">
        <v>0</v>
      </c>
      <c r="K1266">
        <v>5</v>
      </c>
      <c r="L1266">
        <v>84.740740740000007</v>
      </c>
      <c r="M1266">
        <v>29.167014049999999</v>
      </c>
      <c r="N1266">
        <v>1.1169849999999999</v>
      </c>
      <c r="O1266">
        <v>1.1571499000000001</v>
      </c>
      <c r="P1266">
        <v>113.9375</v>
      </c>
      <c r="Q1266">
        <v>33.375507550000002</v>
      </c>
      <c r="R1266">
        <v>2.4262999999999999</v>
      </c>
      <c r="S1266">
        <v>0.40692159999999999</v>
      </c>
      <c r="T1266" t="s">
        <v>1015</v>
      </c>
      <c r="U1266">
        <v>29.19675926</v>
      </c>
    </row>
    <row r="1267" spans="1:21" x14ac:dyDescent="0.25">
      <c r="A1267" t="s">
        <v>49</v>
      </c>
      <c r="B1267" t="s">
        <v>978</v>
      </c>
      <c r="C1267">
        <v>2</v>
      </c>
      <c r="D1267" t="s">
        <v>35</v>
      </c>
      <c r="E1267" t="s">
        <v>94</v>
      </c>
      <c r="F1267" t="s">
        <v>102</v>
      </c>
      <c r="G1267" t="s">
        <v>112</v>
      </c>
      <c r="H1267" t="s">
        <v>104</v>
      </c>
      <c r="J1267">
        <v>0</v>
      </c>
      <c r="K1267">
        <v>5</v>
      </c>
      <c r="L1267">
        <v>84.740740740000007</v>
      </c>
      <c r="M1267">
        <v>29.167014049999999</v>
      </c>
      <c r="N1267">
        <v>1.1169849999999999</v>
      </c>
      <c r="O1267">
        <v>1.1571499000000001</v>
      </c>
      <c r="P1267">
        <v>113.9375</v>
      </c>
      <c r="Q1267">
        <v>33.375507550000002</v>
      </c>
      <c r="R1267">
        <v>2.4262999999999999</v>
      </c>
      <c r="S1267">
        <v>0.40692159999999999</v>
      </c>
      <c r="T1267" t="s">
        <v>1015</v>
      </c>
      <c r="U1267">
        <v>29.19675926</v>
      </c>
    </row>
    <row r="1268" spans="1:21" x14ac:dyDescent="0.25">
      <c r="A1268" t="s">
        <v>49</v>
      </c>
      <c r="B1268" t="s">
        <v>978</v>
      </c>
      <c r="C1268">
        <v>2</v>
      </c>
      <c r="D1268" t="s">
        <v>35</v>
      </c>
      <c r="E1268" t="s">
        <v>94</v>
      </c>
      <c r="F1268" t="s">
        <v>102</v>
      </c>
      <c r="G1268" t="s">
        <v>112</v>
      </c>
      <c r="H1268" t="s">
        <v>104</v>
      </c>
      <c r="J1268">
        <v>0</v>
      </c>
      <c r="K1268">
        <v>5</v>
      </c>
      <c r="L1268">
        <v>84.740740740000007</v>
      </c>
      <c r="M1268">
        <v>29.167014049999999</v>
      </c>
      <c r="N1268">
        <v>1.1169849999999999</v>
      </c>
      <c r="O1268">
        <v>1.1571499000000001</v>
      </c>
      <c r="P1268">
        <v>113.9375</v>
      </c>
      <c r="Q1268">
        <v>33.375507550000002</v>
      </c>
      <c r="R1268">
        <v>2.4262999999999999</v>
      </c>
      <c r="S1268">
        <v>0.40692159999999999</v>
      </c>
      <c r="T1268" t="s">
        <v>1015</v>
      </c>
      <c r="U1268">
        <v>29.19675926</v>
      </c>
    </row>
    <row r="1269" spans="1:21" x14ac:dyDescent="0.25">
      <c r="A1269" t="s">
        <v>49</v>
      </c>
      <c r="B1269" t="s">
        <v>979</v>
      </c>
      <c r="C1269">
        <v>2</v>
      </c>
      <c r="D1269" t="s">
        <v>35</v>
      </c>
      <c r="E1269" t="s">
        <v>94</v>
      </c>
      <c r="F1269" t="s">
        <v>112</v>
      </c>
      <c r="G1269" t="s">
        <v>112</v>
      </c>
      <c r="H1269" t="s">
        <v>112</v>
      </c>
      <c r="J1269">
        <v>0</v>
      </c>
      <c r="K1269">
        <v>1</v>
      </c>
      <c r="L1269">
        <v>65.09375</v>
      </c>
      <c r="M1269">
        <v>37.895352600000002</v>
      </c>
      <c r="N1269">
        <v>2.2882677779999998</v>
      </c>
      <c r="O1269">
        <v>2.2111774</v>
      </c>
      <c r="P1269">
        <v>65.09375</v>
      </c>
      <c r="Q1269">
        <v>37.895352600000002</v>
      </c>
      <c r="R1269">
        <v>2.2882677779999998</v>
      </c>
      <c r="S1269">
        <v>2.2111774</v>
      </c>
      <c r="T1269" t="s">
        <v>1015</v>
      </c>
      <c r="U1269">
        <v>0</v>
      </c>
    </row>
    <row r="1270" spans="1:21" x14ac:dyDescent="0.25">
      <c r="A1270" t="s">
        <v>49</v>
      </c>
      <c r="B1270" t="s">
        <v>979</v>
      </c>
      <c r="C1270">
        <v>2</v>
      </c>
      <c r="D1270" t="s">
        <v>35</v>
      </c>
      <c r="E1270" t="s">
        <v>94</v>
      </c>
      <c r="F1270" t="s">
        <v>112</v>
      </c>
      <c r="G1270" t="s">
        <v>112</v>
      </c>
      <c r="H1270" t="s">
        <v>103</v>
      </c>
      <c r="J1270">
        <v>0</v>
      </c>
      <c r="K1270">
        <v>1</v>
      </c>
      <c r="L1270">
        <v>65.09375</v>
      </c>
      <c r="M1270">
        <v>37.895352600000002</v>
      </c>
      <c r="N1270">
        <v>2.2882677779999998</v>
      </c>
      <c r="O1270">
        <v>2.2111774</v>
      </c>
      <c r="P1270">
        <v>98.291666669999998</v>
      </c>
      <c r="Q1270">
        <v>30.315130790000001</v>
      </c>
      <c r="R1270">
        <v>5.0803484000000003E-2</v>
      </c>
      <c r="S1270">
        <v>0.42866070000000001</v>
      </c>
      <c r="T1270" t="s">
        <v>1015</v>
      </c>
      <c r="U1270">
        <v>33.197916669999998</v>
      </c>
    </row>
    <row r="1271" spans="1:21" x14ac:dyDescent="0.25">
      <c r="A1271" t="s">
        <v>79</v>
      </c>
      <c r="B1271" t="s">
        <v>980</v>
      </c>
      <c r="C1271">
        <v>6</v>
      </c>
      <c r="D1271" t="s">
        <v>11</v>
      </c>
      <c r="E1271" t="s">
        <v>95</v>
      </c>
      <c r="F1271" t="s">
        <v>113</v>
      </c>
      <c r="G1271" t="s">
        <v>113</v>
      </c>
      <c r="H1271" t="s">
        <v>113</v>
      </c>
      <c r="J1271">
        <v>0</v>
      </c>
      <c r="K1271">
        <v>4</v>
      </c>
      <c r="L1271">
        <v>83.757575759999995</v>
      </c>
      <c r="M1271">
        <v>22.60997987</v>
      </c>
      <c r="N1271">
        <v>0.72884000000000004</v>
      </c>
      <c r="O1271">
        <v>0.21301339999999999</v>
      </c>
      <c r="P1271">
        <v>83.757575759999995</v>
      </c>
      <c r="Q1271">
        <v>22.60997987</v>
      </c>
      <c r="R1271">
        <v>0.72884000000000004</v>
      </c>
      <c r="S1271">
        <v>0.21301339999999999</v>
      </c>
      <c r="T1271" t="s">
        <v>1015</v>
      </c>
      <c r="U1271">
        <v>0</v>
      </c>
    </row>
    <row r="1272" spans="1:21" x14ac:dyDescent="0.25">
      <c r="A1272" t="s">
        <v>79</v>
      </c>
      <c r="B1272" t="s">
        <v>980</v>
      </c>
      <c r="C1272">
        <v>6</v>
      </c>
      <c r="D1272" t="s">
        <v>11</v>
      </c>
      <c r="E1272" t="s">
        <v>95</v>
      </c>
      <c r="F1272" t="s">
        <v>113</v>
      </c>
      <c r="G1272" t="s">
        <v>113</v>
      </c>
      <c r="H1272" t="s">
        <v>113</v>
      </c>
      <c r="J1272">
        <v>0</v>
      </c>
      <c r="K1272">
        <v>4</v>
      </c>
      <c r="L1272">
        <v>83.757575759999995</v>
      </c>
      <c r="M1272">
        <v>22.60997987</v>
      </c>
      <c r="N1272">
        <v>0.72884000000000004</v>
      </c>
      <c r="O1272">
        <v>0.21301339999999999</v>
      </c>
      <c r="P1272">
        <v>83.757575759999995</v>
      </c>
      <c r="Q1272">
        <v>22.60997987</v>
      </c>
      <c r="R1272">
        <v>0.72884000000000004</v>
      </c>
      <c r="S1272">
        <v>0.21301339999999999</v>
      </c>
      <c r="T1272" t="s">
        <v>1015</v>
      </c>
      <c r="U1272">
        <v>0</v>
      </c>
    </row>
    <row r="1273" spans="1:21" x14ac:dyDescent="0.25">
      <c r="A1273" t="s">
        <v>79</v>
      </c>
      <c r="B1273" t="s">
        <v>980</v>
      </c>
      <c r="C1273">
        <v>6</v>
      </c>
      <c r="D1273" t="s">
        <v>11</v>
      </c>
      <c r="E1273" t="s">
        <v>95</v>
      </c>
      <c r="F1273" t="s">
        <v>113</v>
      </c>
      <c r="G1273" t="s">
        <v>113</v>
      </c>
      <c r="H1273" t="s">
        <v>113</v>
      </c>
      <c r="J1273">
        <v>0</v>
      </c>
      <c r="K1273">
        <v>4</v>
      </c>
      <c r="L1273">
        <v>83.757575759999995</v>
      </c>
      <c r="M1273">
        <v>22.60997987</v>
      </c>
      <c r="N1273">
        <v>0.72884000000000004</v>
      </c>
      <c r="O1273">
        <v>0.21301339999999999</v>
      </c>
      <c r="P1273">
        <v>83.757575759999995</v>
      </c>
      <c r="Q1273">
        <v>22.60997987</v>
      </c>
      <c r="R1273">
        <v>0.72884000000000004</v>
      </c>
      <c r="S1273">
        <v>0.21301339999999999</v>
      </c>
      <c r="T1273" t="s">
        <v>1015</v>
      </c>
      <c r="U1273">
        <v>0</v>
      </c>
    </row>
    <row r="1274" spans="1:21" x14ac:dyDescent="0.25">
      <c r="A1274" t="s">
        <v>79</v>
      </c>
      <c r="B1274" t="s">
        <v>980</v>
      </c>
      <c r="C1274">
        <v>6</v>
      </c>
      <c r="D1274" t="s">
        <v>11</v>
      </c>
      <c r="E1274" t="s">
        <v>95</v>
      </c>
      <c r="F1274" t="s">
        <v>113</v>
      </c>
      <c r="G1274" t="s">
        <v>113</v>
      </c>
      <c r="H1274" t="s">
        <v>113</v>
      </c>
      <c r="J1274">
        <v>0</v>
      </c>
      <c r="K1274">
        <v>4</v>
      </c>
      <c r="L1274">
        <v>83.757575759999995</v>
      </c>
      <c r="M1274">
        <v>22.60997987</v>
      </c>
      <c r="N1274">
        <v>0.72884000000000004</v>
      </c>
      <c r="O1274">
        <v>0.21301339999999999</v>
      </c>
      <c r="P1274">
        <v>83.757575759999995</v>
      </c>
      <c r="Q1274">
        <v>22.60997987</v>
      </c>
      <c r="R1274">
        <v>0.72884000000000004</v>
      </c>
      <c r="S1274">
        <v>0.21301339999999999</v>
      </c>
      <c r="T1274" t="s">
        <v>1015</v>
      </c>
      <c r="U1274">
        <v>0</v>
      </c>
    </row>
    <row r="1275" spans="1:21" x14ac:dyDescent="0.25">
      <c r="A1275" t="s">
        <v>79</v>
      </c>
      <c r="B1275" t="s">
        <v>981</v>
      </c>
      <c r="C1275">
        <v>6</v>
      </c>
      <c r="D1275" t="s">
        <v>11</v>
      </c>
      <c r="E1275" t="s">
        <v>95</v>
      </c>
      <c r="F1275" t="s">
        <v>103</v>
      </c>
      <c r="G1275" t="s">
        <v>113</v>
      </c>
      <c r="H1275" t="s">
        <v>113</v>
      </c>
      <c r="J1275">
        <v>0</v>
      </c>
      <c r="K1275">
        <v>7</v>
      </c>
      <c r="L1275">
        <v>98.291666669999998</v>
      </c>
      <c r="M1275">
        <v>30.315130790000001</v>
      </c>
      <c r="N1275">
        <v>5.0803484000000003E-2</v>
      </c>
      <c r="O1275">
        <v>0.42866070000000001</v>
      </c>
      <c r="P1275">
        <v>83.757575759999995</v>
      </c>
      <c r="Q1275">
        <v>22.60997987</v>
      </c>
      <c r="R1275">
        <v>0.72884000000000004</v>
      </c>
      <c r="S1275">
        <v>0.21301339999999999</v>
      </c>
      <c r="T1275" t="s">
        <v>1015</v>
      </c>
      <c r="U1275">
        <v>14.53409091</v>
      </c>
    </row>
    <row r="1276" spans="1:21" x14ac:dyDescent="0.25">
      <c r="A1276" t="s">
        <v>79</v>
      </c>
      <c r="B1276" t="s">
        <v>981</v>
      </c>
      <c r="C1276">
        <v>6</v>
      </c>
      <c r="D1276" t="s">
        <v>11</v>
      </c>
      <c r="E1276" t="s">
        <v>95</v>
      </c>
      <c r="F1276" t="s">
        <v>103</v>
      </c>
      <c r="G1276" t="s">
        <v>113</v>
      </c>
      <c r="H1276" t="s">
        <v>113</v>
      </c>
      <c r="J1276">
        <v>0</v>
      </c>
      <c r="K1276">
        <v>7</v>
      </c>
      <c r="L1276">
        <v>98.291666669999998</v>
      </c>
      <c r="M1276">
        <v>30.315130790000001</v>
      </c>
      <c r="N1276">
        <v>5.0803484000000003E-2</v>
      </c>
      <c r="O1276">
        <v>0.42866070000000001</v>
      </c>
      <c r="P1276">
        <v>83.757575759999995</v>
      </c>
      <c r="Q1276">
        <v>22.60997987</v>
      </c>
      <c r="R1276">
        <v>0.72884000000000004</v>
      </c>
      <c r="S1276">
        <v>0.21301339999999999</v>
      </c>
      <c r="T1276" t="s">
        <v>1015</v>
      </c>
      <c r="U1276">
        <v>14.53409091</v>
      </c>
    </row>
    <row r="1277" spans="1:21" x14ac:dyDescent="0.25">
      <c r="A1277" t="s">
        <v>79</v>
      </c>
      <c r="B1277" t="s">
        <v>981</v>
      </c>
      <c r="C1277">
        <v>6</v>
      </c>
      <c r="D1277" t="s">
        <v>11</v>
      </c>
      <c r="E1277" t="s">
        <v>95</v>
      </c>
      <c r="F1277" t="s">
        <v>103</v>
      </c>
      <c r="G1277" t="s">
        <v>113</v>
      </c>
      <c r="H1277" t="s">
        <v>113</v>
      </c>
      <c r="J1277">
        <v>0</v>
      </c>
      <c r="K1277">
        <v>7</v>
      </c>
      <c r="L1277">
        <v>98.291666669999998</v>
      </c>
      <c r="M1277">
        <v>30.315130790000001</v>
      </c>
      <c r="N1277">
        <v>5.0803484000000003E-2</v>
      </c>
      <c r="O1277">
        <v>0.42866070000000001</v>
      </c>
      <c r="P1277">
        <v>83.757575759999995</v>
      </c>
      <c r="Q1277">
        <v>22.60997987</v>
      </c>
      <c r="R1277">
        <v>0.72884000000000004</v>
      </c>
      <c r="S1277">
        <v>0.21301339999999999</v>
      </c>
      <c r="T1277" t="s">
        <v>1015</v>
      </c>
      <c r="U1277">
        <v>14.53409091</v>
      </c>
    </row>
    <row r="1278" spans="1:21" x14ac:dyDescent="0.25">
      <c r="A1278" t="s">
        <v>79</v>
      </c>
      <c r="B1278" t="s">
        <v>981</v>
      </c>
      <c r="C1278">
        <v>6</v>
      </c>
      <c r="D1278" t="s">
        <v>11</v>
      </c>
      <c r="E1278" t="s">
        <v>95</v>
      </c>
      <c r="F1278" t="s">
        <v>103</v>
      </c>
      <c r="G1278" t="s">
        <v>113</v>
      </c>
      <c r="H1278" t="s">
        <v>113</v>
      </c>
      <c r="J1278">
        <v>0</v>
      </c>
      <c r="K1278">
        <v>7</v>
      </c>
      <c r="L1278">
        <v>98.291666669999998</v>
      </c>
      <c r="M1278">
        <v>30.315130790000001</v>
      </c>
      <c r="N1278">
        <v>5.0803484000000003E-2</v>
      </c>
      <c r="O1278">
        <v>0.42866070000000001</v>
      </c>
      <c r="P1278">
        <v>83.757575759999995</v>
      </c>
      <c r="Q1278">
        <v>22.60997987</v>
      </c>
      <c r="R1278">
        <v>0.72884000000000004</v>
      </c>
      <c r="S1278">
        <v>0.21301339999999999</v>
      </c>
      <c r="T1278" t="s">
        <v>1015</v>
      </c>
      <c r="U1278">
        <v>14.53409091</v>
      </c>
    </row>
    <row r="1279" spans="1:21" x14ac:dyDescent="0.25">
      <c r="A1279" t="s">
        <v>79</v>
      </c>
      <c r="B1279" t="s">
        <v>981</v>
      </c>
      <c r="C1279">
        <v>6</v>
      </c>
      <c r="D1279" t="s">
        <v>11</v>
      </c>
      <c r="E1279" t="s">
        <v>95</v>
      </c>
      <c r="F1279" t="s">
        <v>103</v>
      </c>
      <c r="G1279" t="s">
        <v>113</v>
      </c>
      <c r="H1279" t="s">
        <v>113</v>
      </c>
      <c r="J1279">
        <v>0</v>
      </c>
      <c r="K1279">
        <v>7</v>
      </c>
      <c r="L1279">
        <v>98.291666669999998</v>
      </c>
      <c r="M1279">
        <v>30.315130790000001</v>
      </c>
      <c r="N1279">
        <v>5.0803484000000003E-2</v>
      </c>
      <c r="O1279">
        <v>0.42866070000000001</v>
      </c>
      <c r="P1279">
        <v>83.757575759999995</v>
      </c>
      <c r="Q1279">
        <v>22.60997987</v>
      </c>
      <c r="R1279">
        <v>0.72884000000000004</v>
      </c>
      <c r="S1279">
        <v>0.21301339999999999</v>
      </c>
      <c r="T1279" t="s">
        <v>1015</v>
      </c>
      <c r="U1279">
        <v>14.53409091</v>
      </c>
    </row>
    <row r="1280" spans="1:21" x14ac:dyDescent="0.25">
      <c r="A1280" t="s">
        <v>79</v>
      </c>
      <c r="B1280" t="s">
        <v>981</v>
      </c>
      <c r="C1280">
        <v>6</v>
      </c>
      <c r="D1280" t="s">
        <v>11</v>
      </c>
      <c r="E1280" t="s">
        <v>95</v>
      </c>
      <c r="F1280" t="s">
        <v>103</v>
      </c>
      <c r="G1280" t="s">
        <v>113</v>
      </c>
      <c r="H1280" t="s">
        <v>113</v>
      </c>
      <c r="J1280">
        <v>0</v>
      </c>
      <c r="K1280">
        <v>7</v>
      </c>
      <c r="L1280">
        <v>98.291666669999998</v>
      </c>
      <c r="M1280">
        <v>30.315130790000001</v>
      </c>
      <c r="N1280">
        <v>5.0803484000000003E-2</v>
      </c>
      <c r="O1280">
        <v>0.42866070000000001</v>
      </c>
      <c r="P1280">
        <v>83.757575759999995</v>
      </c>
      <c r="Q1280">
        <v>22.60997987</v>
      </c>
      <c r="R1280">
        <v>0.72884000000000004</v>
      </c>
      <c r="S1280">
        <v>0.21301339999999999</v>
      </c>
      <c r="T1280" t="s">
        <v>1015</v>
      </c>
      <c r="U1280">
        <v>14.53409091</v>
      </c>
    </row>
    <row r="1281" spans="1:21" x14ac:dyDescent="0.25">
      <c r="A1281" t="s">
        <v>79</v>
      </c>
      <c r="B1281" t="s">
        <v>981</v>
      </c>
      <c r="C1281">
        <v>6</v>
      </c>
      <c r="D1281" t="s">
        <v>11</v>
      </c>
      <c r="E1281" t="s">
        <v>95</v>
      </c>
      <c r="F1281" t="s">
        <v>103</v>
      </c>
      <c r="G1281" t="s">
        <v>113</v>
      </c>
      <c r="H1281" t="s">
        <v>113</v>
      </c>
      <c r="J1281">
        <v>0</v>
      </c>
      <c r="K1281">
        <v>7</v>
      </c>
      <c r="L1281">
        <v>98.291666669999998</v>
      </c>
      <c r="M1281">
        <v>30.315130790000001</v>
      </c>
      <c r="N1281">
        <v>5.0803484000000003E-2</v>
      </c>
      <c r="O1281">
        <v>0.42866070000000001</v>
      </c>
      <c r="P1281">
        <v>83.757575759999995</v>
      </c>
      <c r="Q1281">
        <v>22.60997987</v>
      </c>
      <c r="R1281">
        <v>0.72884000000000004</v>
      </c>
      <c r="S1281">
        <v>0.21301339999999999</v>
      </c>
      <c r="T1281" t="s">
        <v>1015</v>
      </c>
      <c r="U1281">
        <v>14.53409091</v>
      </c>
    </row>
    <row r="1282" spans="1:21" x14ac:dyDescent="0.25">
      <c r="A1282" t="s">
        <v>79</v>
      </c>
      <c r="B1282" t="s">
        <v>981</v>
      </c>
      <c r="C1282">
        <v>6</v>
      </c>
      <c r="D1282" t="s">
        <v>11</v>
      </c>
      <c r="E1282" t="s">
        <v>95</v>
      </c>
      <c r="F1282" t="s">
        <v>103</v>
      </c>
      <c r="G1282" t="s">
        <v>113</v>
      </c>
      <c r="H1282" t="s">
        <v>103</v>
      </c>
      <c r="J1282">
        <v>0</v>
      </c>
      <c r="K1282">
        <v>4</v>
      </c>
      <c r="L1282">
        <v>98.291666669999998</v>
      </c>
      <c r="M1282">
        <v>30.315130790000001</v>
      </c>
      <c r="N1282">
        <v>5.0803484000000003E-2</v>
      </c>
      <c r="O1282">
        <v>0.42866070000000001</v>
      </c>
      <c r="P1282">
        <v>98.291666669999998</v>
      </c>
      <c r="Q1282">
        <v>30.315130790000001</v>
      </c>
      <c r="R1282">
        <v>5.0803484000000003E-2</v>
      </c>
      <c r="S1282">
        <v>0.42866070000000001</v>
      </c>
      <c r="T1282" t="s">
        <v>1015</v>
      </c>
      <c r="U1282">
        <v>0</v>
      </c>
    </row>
    <row r="1283" spans="1:21" x14ac:dyDescent="0.25">
      <c r="A1283" t="s">
        <v>79</v>
      </c>
      <c r="B1283" t="s">
        <v>981</v>
      </c>
      <c r="C1283">
        <v>6</v>
      </c>
      <c r="D1283" t="s">
        <v>11</v>
      </c>
      <c r="E1283" t="s">
        <v>95</v>
      </c>
      <c r="F1283" t="s">
        <v>103</v>
      </c>
      <c r="G1283" t="s">
        <v>113</v>
      </c>
      <c r="H1283" t="s">
        <v>103</v>
      </c>
      <c r="J1283">
        <v>0</v>
      </c>
      <c r="K1283">
        <v>4</v>
      </c>
      <c r="L1283">
        <v>98.291666669999998</v>
      </c>
      <c r="M1283">
        <v>30.315130790000001</v>
      </c>
      <c r="N1283">
        <v>5.0803484000000003E-2</v>
      </c>
      <c r="O1283">
        <v>0.42866070000000001</v>
      </c>
      <c r="P1283">
        <v>98.291666669999998</v>
      </c>
      <c r="Q1283">
        <v>30.315130790000001</v>
      </c>
      <c r="R1283">
        <v>5.0803484000000003E-2</v>
      </c>
      <c r="S1283">
        <v>0.42866070000000001</v>
      </c>
      <c r="T1283" t="s">
        <v>1015</v>
      </c>
      <c r="U1283">
        <v>0</v>
      </c>
    </row>
    <row r="1284" spans="1:21" x14ac:dyDescent="0.25">
      <c r="A1284" t="s">
        <v>79</v>
      </c>
      <c r="B1284" t="s">
        <v>981</v>
      </c>
      <c r="C1284">
        <v>6</v>
      </c>
      <c r="D1284" t="s">
        <v>11</v>
      </c>
      <c r="E1284" t="s">
        <v>95</v>
      </c>
      <c r="F1284" t="s">
        <v>103</v>
      </c>
      <c r="G1284" t="s">
        <v>113</v>
      </c>
      <c r="H1284" t="s">
        <v>103</v>
      </c>
      <c r="J1284">
        <v>0</v>
      </c>
      <c r="K1284">
        <v>4</v>
      </c>
      <c r="L1284">
        <v>98.291666669999998</v>
      </c>
      <c r="M1284">
        <v>30.315130790000001</v>
      </c>
      <c r="N1284">
        <v>5.0803484000000003E-2</v>
      </c>
      <c r="O1284">
        <v>0.42866070000000001</v>
      </c>
      <c r="P1284">
        <v>98.291666669999998</v>
      </c>
      <c r="Q1284">
        <v>30.315130790000001</v>
      </c>
      <c r="R1284">
        <v>5.0803484000000003E-2</v>
      </c>
      <c r="S1284">
        <v>0.42866070000000001</v>
      </c>
      <c r="T1284" t="s">
        <v>1015</v>
      </c>
      <c r="U1284">
        <v>0</v>
      </c>
    </row>
    <row r="1285" spans="1:21" x14ac:dyDescent="0.25">
      <c r="A1285" t="s">
        <v>79</v>
      </c>
      <c r="B1285" t="s">
        <v>981</v>
      </c>
      <c r="C1285">
        <v>6</v>
      </c>
      <c r="D1285" t="s">
        <v>11</v>
      </c>
      <c r="E1285" t="s">
        <v>95</v>
      </c>
      <c r="F1285" t="s">
        <v>103</v>
      </c>
      <c r="G1285" t="s">
        <v>113</v>
      </c>
      <c r="H1285" t="s">
        <v>103</v>
      </c>
      <c r="J1285">
        <v>0</v>
      </c>
      <c r="K1285">
        <v>4</v>
      </c>
      <c r="L1285">
        <v>98.291666669999998</v>
      </c>
      <c r="M1285">
        <v>30.315130790000001</v>
      </c>
      <c r="N1285">
        <v>5.0803484000000003E-2</v>
      </c>
      <c r="O1285">
        <v>0.42866070000000001</v>
      </c>
      <c r="P1285">
        <v>98.291666669999998</v>
      </c>
      <c r="Q1285">
        <v>30.315130790000001</v>
      </c>
      <c r="R1285">
        <v>5.0803484000000003E-2</v>
      </c>
      <c r="S1285">
        <v>0.42866070000000001</v>
      </c>
      <c r="T1285" t="s">
        <v>1015</v>
      </c>
      <c r="U1285">
        <v>0</v>
      </c>
    </row>
    <row r="1286" spans="1:21" x14ac:dyDescent="0.25">
      <c r="A1286" t="s">
        <v>79</v>
      </c>
      <c r="B1286" t="s">
        <v>982</v>
      </c>
      <c r="C1286">
        <v>6</v>
      </c>
      <c r="D1286" t="s">
        <v>11</v>
      </c>
      <c r="E1286" t="s">
        <v>95</v>
      </c>
      <c r="F1286" t="s">
        <v>111</v>
      </c>
      <c r="G1286" t="s">
        <v>113</v>
      </c>
      <c r="H1286" t="s">
        <v>234</v>
      </c>
      <c r="J1286">
        <v>0</v>
      </c>
      <c r="K1286">
        <v>1</v>
      </c>
      <c r="L1286">
        <v>94.97142857</v>
      </c>
      <c r="M1286">
        <v>24.31591813</v>
      </c>
      <c r="N1286">
        <v>0.122951111</v>
      </c>
      <c r="O1286">
        <v>0.39050790000000002</v>
      </c>
      <c r="P1286">
        <v>89.8125</v>
      </c>
      <c r="Q1286">
        <v>34.754706650000003</v>
      </c>
      <c r="R1286">
        <v>2.3065078999999999E-2</v>
      </c>
      <c r="S1286">
        <v>2.4791666700000001</v>
      </c>
      <c r="T1286" t="s">
        <v>1015</v>
      </c>
      <c r="U1286">
        <v>5.1589285699999996</v>
      </c>
    </row>
    <row r="1287" spans="1:21" x14ac:dyDescent="0.25">
      <c r="A1287" t="s">
        <v>79</v>
      </c>
      <c r="B1287" t="s">
        <v>982</v>
      </c>
      <c r="C1287">
        <v>6</v>
      </c>
      <c r="D1287" t="s">
        <v>11</v>
      </c>
      <c r="E1287" t="s">
        <v>95</v>
      </c>
      <c r="F1287" t="s">
        <v>111</v>
      </c>
      <c r="G1287" t="s">
        <v>113</v>
      </c>
      <c r="H1287" t="s">
        <v>113</v>
      </c>
      <c r="J1287">
        <v>0</v>
      </c>
      <c r="K1287">
        <v>5</v>
      </c>
      <c r="L1287">
        <v>94.97142857</v>
      </c>
      <c r="M1287">
        <v>24.31591813</v>
      </c>
      <c r="N1287">
        <v>0.122951111</v>
      </c>
      <c r="O1287">
        <v>0.39050790000000002</v>
      </c>
      <c r="P1287">
        <v>83.757575759999995</v>
      </c>
      <c r="Q1287">
        <v>22.60997987</v>
      </c>
      <c r="R1287">
        <v>0.72884000000000004</v>
      </c>
      <c r="S1287">
        <v>0.21301339999999999</v>
      </c>
      <c r="T1287" t="s">
        <v>1015</v>
      </c>
      <c r="U1287">
        <v>11.213852810000001</v>
      </c>
    </row>
    <row r="1288" spans="1:21" x14ac:dyDescent="0.25">
      <c r="A1288" t="s">
        <v>79</v>
      </c>
      <c r="B1288" t="s">
        <v>982</v>
      </c>
      <c r="C1288">
        <v>6</v>
      </c>
      <c r="D1288" t="s">
        <v>11</v>
      </c>
      <c r="E1288" t="s">
        <v>95</v>
      </c>
      <c r="F1288" t="s">
        <v>111</v>
      </c>
      <c r="G1288" t="s">
        <v>113</v>
      </c>
      <c r="H1288" t="s">
        <v>113</v>
      </c>
      <c r="J1288">
        <v>0</v>
      </c>
      <c r="K1288">
        <v>5</v>
      </c>
      <c r="L1288">
        <v>94.97142857</v>
      </c>
      <c r="M1288">
        <v>24.31591813</v>
      </c>
      <c r="N1288">
        <v>0.122951111</v>
      </c>
      <c r="O1288">
        <v>0.39050790000000002</v>
      </c>
      <c r="P1288">
        <v>83.757575759999995</v>
      </c>
      <c r="Q1288">
        <v>22.60997987</v>
      </c>
      <c r="R1288">
        <v>0.72884000000000004</v>
      </c>
      <c r="S1288">
        <v>0.21301339999999999</v>
      </c>
      <c r="T1288" t="s">
        <v>1015</v>
      </c>
      <c r="U1288">
        <v>11.213852810000001</v>
      </c>
    </row>
    <row r="1289" spans="1:21" x14ac:dyDescent="0.25">
      <c r="A1289" t="s">
        <v>79</v>
      </c>
      <c r="B1289" t="s">
        <v>982</v>
      </c>
      <c r="C1289">
        <v>6</v>
      </c>
      <c r="D1289" t="s">
        <v>11</v>
      </c>
      <c r="E1289" t="s">
        <v>95</v>
      </c>
      <c r="F1289" t="s">
        <v>111</v>
      </c>
      <c r="G1289" t="s">
        <v>113</v>
      </c>
      <c r="H1289" t="s">
        <v>113</v>
      </c>
      <c r="J1289">
        <v>0</v>
      </c>
      <c r="K1289">
        <v>5</v>
      </c>
      <c r="L1289">
        <v>94.97142857</v>
      </c>
      <c r="M1289">
        <v>24.31591813</v>
      </c>
      <c r="N1289">
        <v>0.122951111</v>
      </c>
      <c r="O1289">
        <v>0.39050790000000002</v>
      </c>
      <c r="P1289">
        <v>83.757575759999995</v>
      </c>
      <c r="Q1289">
        <v>22.60997987</v>
      </c>
      <c r="R1289">
        <v>0.72884000000000004</v>
      </c>
      <c r="S1289">
        <v>0.21301339999999999</v>
      </c>
      <c r="T1289" t="s">
        <v>1015</v>
      </c>
      <c r="U1289">
        <v>11.213852810000001</v>
      </c>
    </row>
    <row r="1290" spans="1:21" x14ac:dyDescent="0.25">
      <c r="A1290" t="s">
        <v>79</v>
      </c>
      <c r="B1290" t="s">
        <v>982</v>
      </c>
      <c r="C1290">
        <v>6</v>
      </c>
      <c r="D1290" t="s">
        <v>11</v>
      </c>
      <c r="E1290" t="s">
        <v>95</v>
      </c>
      <c r="F1290" t="s">
        <v>111</v>
      </c>
      <c r="G1290" t="s">
        <v>113</v>
      </c>
      <c r="H1290" t="s">
        <v>113</v>
      </c>
      <c r="J1290">
        <v>0</v>
      </c>
      <c r="K1290">
        <v>5</v>
      </c>
      <c r="L1290">
        <v>94.97142857</v>
      </c>
      <c r="M1290">
        <v>24.31591813</v>
      </c>
      <c r="N1290">
        <v>0.122951111</v>
      </c>
      <c r="O1290">
        <v>0.39050790000000002</v>
      </c>
      <c r="P1290">
        <v>83.757575759999995</v>
      </c>
      <c r="Q1290">
        <v>22.60997987</v>
      </c>
      <c r="R1290">
        <v>0.72884000000000004</v>
      </c>
      <c r="S1290">
        <v>0.21301339999999999</v>
      </c>
      <c r="T1290" t="s">
        <v>1015</v>
      </c>
      <c r="U1290">
        <v>11.213852810000001</v>
      </c>
    </row>
    <row r="1291" spans="1:21" x14ac:dyDescent="0.25">
      <c r="A1291" t="s">
        <v>79</v>
      </c>
      <c r="B1291" t="s">
        <v>982</v>
      </c>
      <c r="C1291">
        <v>6</v>
      </c>
      <c r="D1291" t="s">
        <v>11</v>
      </c>
      <c r="E1291" t="s">
        <v>95</v>
      </c>
      <c r="F1291" t="s">
        <v>111</v>
      </c>
      <c r="G1291" t="s">
        <v>113</v>
      </c>
      <c r="H1291" t="s">
        <v>113</v>
      </c>
      <c r="J1291">
        <v>0</v>
      </c>
      <c r="K1291">
        <v>5</v>
      </c>
      <c r="L1291">
        <v>94.97142857</v>
      </c>
      <c r="M1291">
        <v>24.31591813</v>
      </c>
      <c r="N1291">
        <v>0.122951111</v>
      </c>
      <c r="O1291">
        <v>0.39050790000000002</v>
      </c>
      <c r="P1291">
        <v>83.757575759999995</v>
      </c>
      <c r="Q1291">
        <v>22.60997987</v>
      </c>
      <c r="R1291">
        <v>0.72884000000000004</v>
      </c>
      <c r="S1291">
        <v>0.21301339999999999</v>
      </c>
      <c r="T1291" t="s">
        <v>1015</v>
      </c>
      <c r="U1291">
        <v>11.213852810000001</v>
      </c>
    </row>
    <row r="1292" spans="1:21" x14ac:dyDescent="0.25">
      <c r="A1292" t="s">
        <v>79</v>
      </c>
      <c r="B1292" t="s">
        <v>982</v>
      </c>
      <c r="C1292">
        <v>6</v>
      </c>
      <c r="D1292" t="s">
        <v>11</v>
      </c>
      <c r="E1292" t="s">
        <v>95</v>
      </c>
      <c r="F1292" t="s">
        <v>111</v>
      </c>
      <c r="G1292" t="s">
        <v>113</v>
      </c>
      <c r="H1292" t="s">
        <v>103</v>
      </c>
      <c r="J1292">
        <v>0</v>
      </c>
      <c r="K1292">
        <v>1</v>
      </c>
      <c r="L1292">
        <v>94.97142857</v>
      </c>
      <c r="M1292">
        <v>24.31591813</v>
      </c>
      <c r="N1292">
        <v>0.122951111</v>
      </c>
      <c r="O1292">
        <v>0.39050790000000002</v>
      </c>
      <c r="P1292">
        <v>98.291666669999998</v>
      </c>
      <c r="Q1292">
        <v>30.315130790000001</v>
      </c>
      <c r="R1292">
        <v>5.0803484000000003E-2</v>
      </c>
      <c r="S1292">
        <v>0.42866070000000001</v>
      </c>
      <c r="T1292" t="s">
        <v>1015</v>
      </c>
      <c r="U1292">
        <v>3.3202381000000001</v>
      </c>
    </row>
    <row r="1293" spans="1:21" x14ac:dyDescent="0.25">
      <c r="A1293" t="s">
        <v>80</v>
      </c>
      <c r="B1293" t="s">
        <v>983</v>
      </c>
      <c r="C1293">
        <v>6</v>
      </c>
      <c r="D1293" t="s">
        <v>15</v>
      </c>
      <c r="E1293" t="s">
        <v>95</v>
      </c>
      <c r="F1293" t="s">
        <v>105</v>
      </c>
      <c r="G1293" t="s">
        <v>121</v>
      </c>
      <c r="H1293" t="s">
        <v>113</v>
      </c>
      <c r="J1293">
        <v>0</v>
      </c>
      <c r="K1293">
        <v>1</v>
      </c>
      <c r="L1293">
        <v>67.5</v>
      </c>
      <c r="M1293">
        <v>47.937235809999997</v>
      </c>
      <c r="N1293">
        <v>0.41599678000000001</v>
      </c>
      <c r="O1293">
        <v>2.0950346999999998</v>
      </c>
      <c r="P1293">
        <v>83.757575759999995</v>
      </c>
      <c r="Q1293">
        <v>22.60997987</v>
      </c>
      <c r="R1293">
        <v>0.72884000000000004</v>
      </c>
      <c r="S1293">
        <v>0.21301339999999999</v>
      </c>
      <c r="T1293" t="s">
        <v>1015</v>
      </c>
      <c r="U1293">
        <v>16.257575760000002</v>
      </c>
    </row>
    <row r="1294" spans="1:21" x14ac:dyDescent="0.25">
      <c r="A1294" t="s">
        <v>80</v>
      </c>
      <c r="B1294" t="s">
        <v>983</v>
      </c>
      <c r="C1294">
        <v>6</v>
      </c>
      <c r="D1294" t="s">
        <v>15</v>
      </c>
      <c r="E1294" t="s">
        <v>95</v>
      </c>
      <c r="F1294" t="s">
        <v>105</v>
      </c>
      <c r="G1294" t="s">
        <v>121</v>
      </c>
      <c r="H1294" t="s">
        <v>103</v>
      </c>
      <c r="J1294">
        <v>0</v>
      </c>
      <c r="K1294">
        <v>9</v>
      </c>
      <c r="L1294">
        <v>67.5</v>
      </c>
      <c r="M1294">
        <v>47.937235809999997</v>
      </c>
      <c r="N1294">
        <v>0.41599678000000001</v>
      </c>
      <c r="O1294">
        <v>2.0950346999999998</v>
      </c>
      <c r="P1294">
        <v>98.291666669999998</v>
      </c>
      <c r="Q1294">
        <v>30.315130790000001</v>
      </c>
      <c r="R1294">
        <v>5.0803484000000003E-2</v>
      </c>
      <c r="S1294">
        <v>0.42866070000000001</v>
      </c>
      <c r="T1294" t="s">
        <v>1015</v>
      </c>
      <c r="U1294">
        <v>30.791666670000001</v>
      </c>
    </row>
    <row r="1295" spans="1:21" x14ac:dyDescent="0.25">
      <c r="A1295" t="s">
        <v>80</v>
      </c>
      <c r="B1295" t="s">
        <v>983</v>
      </c>
      <c r="C1295">
        <v>6</v>
      </c>
      <c r="D1295" t="s">
        <v>15</v>
      </c>
      <c r="E1295" t="s">
        <v>95</v>
      </c>
      <c r="F1295" t="s">
        <v>105</v>
      </c>
      <c r="G1295" t="s">
        <v>121</v>
      </c>
      <c r="H1295" t="s">
        <v>103</v>
      </c>
      <c r="J1295">
        <v>0</v>
      </c>
      <c r="K1295">
        <v>9</v>
      </c>
      <c r="L1295">
        <v>67.5</v>
      </c>
      <c r="M1295">
        <v>47.937235809999997</v>
      </c>
      <c r="N1295">
        <v>0.41599678000000001</v>
      </c>
      <c r="O1295">
        <v>2.0950346999999998</v>
      </c>
      <c r="P1295">
        <v>98.291666669999998</v>
      </c>
      <c r="Q1295">
        <v>30.315130790000001</v>
      </c>
      <c r="R1295">
        <v>5.0803484000000003E-2</v>
      </c>
      <c r="S1295">
        <v>0.42866070000000001</v>
      </c>
      <c r="T1295" t="s">
        <v>1015</v>
      </c>
      <c r="U1295">
        <v>30.791666670000001</v>
      </c>
    </row>
    <row r="1296" spans="1:21" x14ac:dyDescent="0.25">
      <c r="A1296" t="s">
        <v>80</v>
      </c>
      <c r="B1296" t="s">
        <v>983</v>
      </c>
      <c r="C1296">
        <v>6</v>
      </c>
      <c r="D1296" t="s">
        <v>15</v>
      </c>
      <c r="E1296" t="s">
        <v>95</v>
      </c>
      <c r="F1296" t="s">
        <v>105</v>
      </c>
      <c r="G1296" t="s">
        <v>121</v>
      </c>
      <c r="H1296" t="s">
        <v>103</v>
      </c>
      <c r="J1296">
        <v>0</v>
      </c>
      <c r="K1296">
        <v>9</v>
      </c>
      <c r="L1296">
        <v>67.5</v>
      </c>
      <c r="M1296">
        <v>47.937235809999997</v>
      </c>
      <c r="N1296">
        <v>0.41599678000000001</v>
      </c>
      <c r="O1296">
        <v>2.0950346999999998</v>
      </c>
      <c r="P1296">
        <v>98.291666669999998</v>
      </c>
      <c r="Q1296">
        <v>30.315130790000001</v>
      </c>
      <c r="R1296">
        <v>5.0803484000000003E-2</v>
      </c>
      <c r="S1296">
        <v>0.42866070000000001</v>
      </c>
      <c r="T1296" t="s">
        <v>1015</v>
      </c>
      <c r="U1296">
        <v>30.791666670000001</v>
      </c>
    </row>
    <row r="1297" spans="1:21" x14ac:dyDescent="0.25">
      <c r="A1297" t="s">
        <v>80</v>
      </c>
      <c r="B1297" t="s">
        <v>983</v>
      </c>
      <c r="C1297">
        <v>6</v>
      </c>
      <c r="D1297" t="s">
        <v>15</v>
      </c>
      <c r="E1297" t="s">
        <v>95</v>
      </c>
      <c r="F1297" t="s">
        <v>105</v>
      </c>
      <c r="G1297" t="s">
        <v>121</v>
      </c>
      <c r="H1297" t="s">
        <v>103</v>
      </c>
      <c r="J1297">
        <v>0</v>
      </c>
      <c r="K1297">
        <v>9</v>
      </c>
      <c r="L1297">
        <v>67.5</v>
      </c>
      <c r="M1297">
        <v>47.937235809999997</v>
      </c>
      <c r="N1297">
        <v>0.41599678000000001</v>
      </c>
      <c r="O1297">
        <v>2.0950346999999998</v>
      </c>
      <c r="P1297">
        <v>98.291666669999998</v>
      </c>
      <c r="Q1297">
        <v>30.315130790000001</v>
      </c>
      <c r="R1297">
        <v>5.0803484000000003E-2</v>
      </c>
      <c r="S1297">
        <v>0.42866070000000001</v>
      </c>
      <c r="T1297" t="s">
        <v>1015</v>
      </c>
      <c r="U1297">
        <v>30.791666670000001</v>
      </c>
    </row>
    <row r="1298" spans="1:21" x14ac:dyDescent="0.25">
      <c r="A1298" t="s">
        <v>80</v>
      </c>
      <c r="B1298" t="s">
        <v>983</v>
      </c>
      <c r="C1298">
        <v>6</v>
      </c>
      <c r="D1298" t="s">
        <v>15</v>
      </c>
      <c r="E1298" t="s">
        <v>95</v>
      </c>
      <c r="F1298" t="s">
        <v>105</v>
      </c>
      <c r="G1298" t="s">
        <v>121</v>
      </c>
      <c r="H1298" t="s">
        <v>103</v>
      </c>
      <c r="J1298">
        <v>0</v>
      </c>
      <c r="K1298">
        <v>9</v>
      </c>
      <c r="L1298">
        <v>67.5</v>
      </c>
      <c r="M1298">
        <v>47.937235809999997</v>
      </c>
      <c r="N1298">
        <v>0.41599678000000001</v>
      </c>
      <c r="O1298">
        <v>2.0950346999999998</v>
      </c>
      <c r="P1298">
        <v>98.291666669999998</v>
      </c>
      <c r="Q1298">
        <v>30.315130790000001</v>
      </c>
      <c r="R1298">
        <v>5.0803484000000003E-2</v>
      </c>
      <c r="S1298">
        <v>0.42866070000000001</v>
      </c>
      <c r="T1298" t="s">
        <v>1015</v>
      </c>
      <c r="U1298">
        <v>30.791666670000001</v>
      </c>
    </row>
    <row r="1299" spans="1:21" x14ac:dyDescent="0.25">
      <c r="A1299" t="s">
        <v>80</v>
      </c>
      <c r="B1299" t="s">
        <v>983</v>
      </c>
      <c r="C1299">
        <v>6</v>
      </c>
      <c r="D1299" t="s">
        <v>15</v>
      </c>
      <c r="E1299" t="s">
        <v>95</v>
      </c>
      <c r="F1299" t="s">
        <v>105</v>
      </c>
      <c r="G1299" t="s">
        <v>121</v>
      </c>
      <c r="H1299" t="s">
        <v>103</v>
      </c>
      <c r="J1299">
        <v>0</v>
      </c>
      <c r="K1299">
        <v>9</v>
      </c>
      <c r="L1299">
        <v>67.5</v>
      </c>
      <c r="M1299">
        <v>47.937235809999997</v>
      </c>
      <c r="N1299">
        <v>0.41599678000000001</v>
      </c>
      <c r="O1299">
        <v>2.0950346999999998</v>
      </c>
      <c r="P1299">
        <v>98.291666669999998</v>
      </c>
      <c r="Q1299">
        <v>30.315130790000001</v>
      </c>
      <c r="R1299">
        <v>5.0803484000000003E-2</v>
      </c>
      <c r="S1299">
        <v>0.42866070000000001</v>
      </c>
      <c r="T1299" t="s">
        <v>1015</v>
      </c>
      <c r="U1299">
        <v>30.791666670000001</v>
      </c>
    </row>
    <row r="1300" spans="1:21" x14ac:dyDescent="0.25">
      <c r="A1300" t="s">
        <v>80</v>
      </c>
      <c r="B1300" t="s">
        <v>983</v>
      </c>
      <c r="C1300">
        <v>6</v>
      </c>
      <c r="D1300" t="s">
        <v>15</v>
      </c>
      <c r="E1300" t="s">
        <v>95</v>
      </c>
      <c r="F1300" t="s">
        <v>105</v>
      </c>
      <c r="G1300" t="s">
        <v>121</v>
      </c>
      <c r="H1300" t="s">
        <v>103</v>
      </c>
      <c r="J1300">
        <v>0</v>
      </c>
      <c r="K1300">
        <v>9</v>
      </c>
      <c r="L1300">
        <v>67.5</v>
      </c>
      <c r="M1300">
        <v>47.937235809999997</v>
      </c>
      <c r="N1300">
        <v>0.41599678000000001</v>
      </c>
      <c r="O1300">
        <v>2.0950346999999998</v>
      </c>
      <c r="P1300">
        <v>98.291666669999998</v>
      </c>
      <c r="Q1300">
        <v>30.315130790000001</v>
      </c>
      <c r="R1300">
        <v>5.0803484000000003E-2</v>
      </c>
      <c r="S1300">
        <v>0.42866070000000001</v>
      </c>
      <c r="T1300" t="s">
        <v>1015</v>
      </c>
      <c r="U1300">
        <v>30.791666670000001</v>
      </c>
    </row>
    <row r="1301" spans="1:21" x14ac:dyDescent="0.25">
      <c r="A1301" t="s">
        <v>80</v>
      </c>
      <c r="B1301" t="s">
        <v>983</v>
      </c>
      <c r="C1301">
        <v>6</v>
      </c>
      <c r="D1301" t="s">
        <v>15</v>
      </c>
      <c r="E1301" t="s">
        <v>95</v>
      </c>
      <c r="F1301" t="s">
        <v>105</v>
      </c>
      <c r="G1301" t="s">
        <v>121</v>
      </c>
      <c r="H1301" t="s">
        <v>103</v>
      </c>
      <c r="J1301">
        <v>0</v>
      </c>
      <c r="K1301">
        <v>9</v>
      </c>
      <c r="L1301">
        <v>67.5</v>
      </c>
      <c r="M1301">
        <v>47.937235809999997</v>
      </c>
      <c r="N1301">
        <v>0.41599678000000001</v>
      </c>
      <c r="O1301">
        <v>2.0950346999999998</v>
      </c>
      <c r="P1301">
        <v>98.291666669999998</v>
      </c>
      <c r="Q1301">
        <v>30.315130790000001</v>
      </c>
      <c r="R1301">
        <v>5.0803484000000003E-2</v>
      </c>
      <c r="S1301">
        <v>0.42866070000000001</v>
      </c>
      <c r="T1301" t="s">
        <v>1015</v>
      </c>
      <c r="U1301">
        <v>30.791666670000001</v>
      </c>
    </row>
    <row r="1302" spans="1:21" x14ac:dyDescent="0.25">
      <c r="A1302" t="s">
        <v>80</v>
      </c>
      <c r="B1302" t="s">
        <v>983</v>
      </c>
      <c r="C1302">
        <v>6</v>
      </c>
      <c r="D1302" t="s">
        <v>15</v>
      </c>
      <c r="E1302" t="s">
        <v>95</v>
      </c>
      <c r="F1302" t="s">
        <v>105</v>
      </c>
      <c r="G1302" t="s">
        <v>121</v>
      </c>
      <c r="H1302" t="s">
        <v>103</v>
      </c>
      <c r="J1302">
        <v>0</v>
      </c>
      <c r="K1302">
        <v>9</v>
      </c>
      <c r="L1302">
        <v>67.5</v>
      </c>
      <c r="M1302">
        <v>47.937235809999997</v>
      </c>
      <c r="N1302">
        <v>0.41599678000000001</v>
      </c>
      <c r="O1302">
        <v>2.0950346999999998</v>
      </c>
      <c r="P1302">
        <v>98.291666669999998</v>
      </c>
      <c r="Q1302">
        <v>30.315130790000001</v>
      </c>
      <c r="R1302">
        <v>5.0803484000000003E-2</v>
      </c>
      <c r="S1302">
        <v>0.42866070000000001</v>
      </c>
      <c r="T1302" t="s">
        <v>1015</v>
      </c>
      <c r="U1302">
        <v>30.791666670000001</v>
      </c>
    </row>
    <row r="1303" spans="1:21" x14ac:dyDescent="0.25">
      <c r="A1303" t="s">
        <v>80</v>
      </c>
      <c r="B1303" t="s">
        <v>984</v>
      </c>
      <c r="C1303">
        <v>6</v>
      </c>
      <c r="D1303" t="s">
        <v>15</v>
      </c>
      <c r="E1303" t="s">
        <v>95</v>
      </c>
      <c r="F1303" t="s">
        <v>113</v>
      </c>
      <c r="G1303" t="s">
        <v>113</v>
      </c>
      <c r="H1303" t="s">
        <v>113</v>
      </c>
      <c r="J1303">
        <v>0</v>
      </c>
      <c r="K1303">
        <v>6</v>
      </c>
      <c r="L1303">
        <v>83.757575759999995</v>
      </c>
      <c r="M1303">
        <v>22.60997987</v>
      </c>
      <c r="N1303">
        <v>0.72884000000000004</v>
      </c>
      <c r="O1303">
        <v>0.21301339999999999</v>
      </c>
      <c r="P1303">
        <v>83.757575759999995</v>
      </c>
      <c r="Q1303">
        <v>22.60997987</v>
      </c>
      <c r="R1303">
        <v>0.72884000000000004</v>
      </c>
      <c r="S1303">
        <v>0.21301339999999999</v>
      </c>
      <c r="T1303" t="s">
        <v>1015</v>
      </c>
      <c r="U1303">
        <v>0</v>
      </c>
    </row>
    <row r="1304" spans="1:21" x14ac:dyDescent="0.25">
      <c r="A1304" t="s">
        <v>80</v>
      </c>
      <c r="B1304" t="s">
        <v>984</v>
      </c>
      <c r="C1304">
        <v>6</v>
      </c>
      <c r="D1304" t="s">
        <v>15</v>
      </c>
      <c r="E1304" t="s">
        <v>95</v>
      </c>
      <c r="F1304" t="s">
        <v>113</v>
      </c>
      <c r="G1304" t="s">
        <v>113</v>
      </c>
      <c r="H1304" t="s">
        <v>113</v>
      </c>
      <c r="J1304">
        <v>0</v>
      </c>
      <c r="K1304">
        <v>6</v>
      </c>
      <c r="L1304">
        <v>83.757575759999995</v>
      </c>
      <c r="M1304">
        <v>22.60997987</v>
      </c>
      <c r="N1304">
        <v>0.72884000000000004</v>
      </c>
      <c r="O1304">
        <v>0.21301339999999999</v>
      </c>
      <c r="P1304">
        <v>83.757575759999995</v>
      </c>
      <c r="Q1304">
        <v>22.60997987</v>
      </c>
      <c r="R1304">
        <v>0.72884000000000004</v>
      </c>
      <c r="S1304">
        <v>0.21301339999999999</v>
      </c>
      <c r="T1304" t="s">
        <v>1015</v>
      </c>
      <c r="U1304">
        <v>0</v>
      </c>
    </row>
    <row r="1305" spans="1:21" x14ac:dyDescent="0.25">
      <c r="A1305" t="s">
        <v>80</v>
      </c>
      <c r="B1305" t="s">
        <v>984</v>
      </c>
      <c r="C1305">
        <v>6</v>
      </c>
      <c r="D1305" t="s">
        <v>15</v>
      </c>
      <c r="E1305" t="s">
        <v>95</v>
      </c>
      <c r="F1305" t="s">
        <v>113</v>
      </c>
      <c r="G1305" t="s">
        <v>113</v>
      </c>
      <c r="H1305" t="s">
        <v>113</v>
      </c>
      <c r="J1305">
        <v>0</v>
      </c>
      <c r="K1305">
        <v>6</v>
      </c>
      <c r="L1305">
        <v>83.757575759999995</v>
      </c>
      <c r="M1305">
        <v>22.60997987</v>
      </c>
      <c r="N1305">
        <v>0.72884000000000004</v>
      </c>
      <c r="O1305">
        <v>0.21301339999999999</v>
      </c>
      <c r="P1305">
        <v>83.757575759999995</v>
      </c>
      <c r="Q1305">
        <v>22.60997987</v>
      </c>
      <c r="R1305">
        <v>0.72884000000000004</v>
      </c>
      <c r="S1305">
        <v>0.21301339999999999</v>
      </c>
      <c r="T1305" t="s">
        <v>1015</v>
      </c>
      <c r="U1305">
        <v>0</v>
      </c>
    </row>
    <row r="1306" spans="1:21" x14ac:dyDescent="0.25">
      <c r="A1306" t="s">
        <v>80</v>
      </c>
      <c r="B1306" t="s">
        <v>984</v>
      </c>
      <c r="C1306">
        <v>6</v>
      </c>
      <c r="D1306" t="s">
        <v>15</v>
      </c>
      <c r="E1306" t="s">
        <v>95</v>
      </c>
      <c r="F1306" t="s">
        <v>113</v>
      </c>
      <c r="G1306" t="s">
        <v>113</v>
      </c>
      <c r="H1306" t="s">
        <v>113</v>
      </c>
      <c r="J1306">
        <v>0</v>
      </c>
      <c r="K1306">
        <v>6</v>
      </c>
      <c r="L1306">
        <v>83.757575759999995</v>
      </c>
      <c r="M1306">
        <v>22.60997987</v>
      </c>
      <c r="N1306">
        <v>0.72884000000000004</v>
      </c>
      <c r="O1306">
        <v>0.21301339999999999</v>
      </c>
      <c r="P1306">
        <v>83.757575759999995</v>
      </c>
      <c r="Q1306">
        <v>22.60997987</v>
      </c>
      <c r="R1306">
        <v>0.72884000000000004</v>
      </c>
      <c r="S1306">
        <v>0.21301339999999999</v>
      </c>
      <c r="T1306" t="s">
        <v>1015</v>
      </c>
      <c r="U1306">
        <v>0</v>
      </c>
    </row>
    <row r="1307" spans="1:21" x14ac:dyDescent="0.25">
      <c r="A1307" t="s">
        <v>80</v>
      </c>
      <c r="B1307" t="s">
        <v>984</v>
      </c>
      <c r="C1307">
        <v>6</v>
      </c>
      <c r="D1307" t="s">
        <v>15</v>
      </c>
      <c r="E1307" t="s">
        <v>95</v>
      </c>
      <c r="F1307" t="s">
        <v>113</v>
      </c>
      <c r="G1307" t="s">
        <v>113</v>
      </c>
      <c r="H1307" t="s">
        <v>113</v>
      </c>
      <c r="J1307">
        <v>0</v>
      </c>
      <c r="K1307">
        <v>6</v>
      </c>
      <c r="L1307">
        <v>83.757575759999995</v>
      </c>
      <c r="M1307">
        <v>22.60997987</v>
      </c>
      <c r="N1307">
        <v>0.72884000000000004</v>
      </c>
      <c r="O1307">
        <v>0.21301339999999999</v>
      </c>
      <c r="P1307">
        <v>83.757575759999995</v>
      </c>
      <c r="Q1307">
        <v>22.60997987</v>
      </c>
      <c r="R1307">
        <v>0.72884000000000004</v>
      </c>
      <c r="S1307">
        <v>0.21301339999999999</v>
      </c>
      <c r="T1307" t="s">
        <v>1015</v>
      </c>
      <c r="U1307">
        <v>0</v>
      </c>
    </row>
    <row r="1308" spans="1:21" x14ac:dyDescent="0.25">
      <c r="A1308" t="s">
        <v>80</v>
      </c>
      <c r="B1308" t="s">
        <v>984</v>
      </c>
      <c r="C1308">
        <v>6</v>
      </c>
      <c r="D1308" t="s">
        <v>15</v>
      </c>
      <c r="E1308" t="s">
        <v>95</v>
      </c>
      <c r="F1308" t="s">
        <v>113</v>
      </c>
      <c r="G1308" t="s">
        <v>113</v>
      </c>
      <c r="H1308" t="s">
        <v>113</v>
      </c>
      <c r="J1308">
        <v>0</v>
      </c>
      <c r="K1308">
        <v>6</v>
      </c>
      <c r="L1308">
        <v>83.757575759999995</v>
      </c>
      <c r="M1308">
        <v>22.60997987</v>
      </c>
      <c r="N1308">
        <v>0.72884000000000004</v>
      </c>
      <c r="O1308">
        <v>0.21301339999999999</v>
      </c>
      <c r="P1308">
        <v>83.757575759999995</v>
      </c>
      <c r="Q1308">
        <v>22.60997987</v>
      </c>
      <c r="R1308">
        <v>0.72884000000000004</v>
      </c>
      <c r="S1308">
        <v>0.21301339999999999</v>
      </c>
      <c r="T1308" t="s">
        <v>1015</v>
      </c>
      <c r="U1308">
        <v>0</v>
      </c>
    </row>
    <row r="1309" spans="1:21" x14ac:dyDescent="0.25">
      <c r="A1309" t="s">
        <v>80</v>
      </c>
      <c r="B1309" t="s">
        <v>985</v>
      </c>
      <c r="C1309">
        <v>6</v>
      </c>
      <c r="D1309" t="s">
        <v>15</v>
      </c>
      <c r="E1309" t="s">
        <v>95</v>
      </c>
      <c r="F1309" t="s">
        <v>103</v>
      </c>
      <c r="G1309" t="s">
        <v>113</v>
      </c>
      <c r="H1309" t="s">
        <v>113</v>
      </c>
      <c r="J1309">
        <v>0</v>
      </c>
      <c r="K1309">
        <v>1</v>
      </c>
      <c r="L1309">
        <v>98.291666669999998</v>
      </c>
      <c r="M1309">
        <v>30.315130790000001</v>
      </c>
      <c r="N1309">
        <v>5.0803484000000003E-2</v>
      </c>
      <c r="O1309">
        <v>0.42866070000000001</v>
      </c>
      <c r="P1309">
        <v>83.757575759999995</v>
      </c>
      <c r="Q1309">
        <v>22.60997987</v>
      </c>
      <c r="R1309">
        <v>0.72884000000000004</v>
      </c>
      <c r="S1309">
        <v>0.21301339999999999</v>
      </c>
      <c r="T1309" t="s">
        <v>1015</v>
      </c>
      <c r="U1309">
        <v>14.53409091</v>
      </c>
    </row>
    <row r="1310" spans="1:21" x14ac:dyDescent="0.25">
      <c r="A1310" t="s">
        <v>80</v>
      </c>
      <c r="B1310" t="s">
        <v>985</v>
      </c>
      <c r="C1310">
        <v>6</v>
      </c>
      <c r="D1310" t="s">
        <v>15</v>
      </c>
      <c r="E1310" t="s">
        <v>95</v>
      </c>
      <c r="F1310" t="s">
        <v>103</v>
      </c>
      <c r="G1310" t="s">
        <v>113</v>
      </c>
      <c r="H1310" t="s">
        <v>103</v>
      </c>
      <c r="J1310">
        <v>0</v>
      </c>
      <c r="K1310">
        <v>2</v>
      </c>
      <c r="L1310">
        <v>98.291666669999998</v>
      </c>
      <c r="M1310">
        <v>30.315130790000001</v>
      </c>
      <c r="N1310">
        <v>5.0803484000000003E-2</v>
      </c>
      <c r="O1310">
        <v>0.42866070000000001</v>
      </c>
      <c r="P1310">
        <v>98.291666669999998</v>
      </c>
      <c r="Q1310">
        <v>30.315130790000001</v>
      </c>
      <c r="R1310">
        <v>5.0803484000000003E-2</v>
      </c>
      <c r="S1310">
        <v>0.42866070000000001</v>
      </c>
      <c r="T1310" t="s">
        <v>1015</v>
      </c>
      <c r="U1310">
        <v>0</v>
      </c>
    </row>
    <row r="1311" spans="1:21" x14ac:dyDescent="0.25">
      <c r="A1311" t="s">
        <v>80</v>
      </c>
      <c r="B1311" t="s">
        <v>985</v>
      </c>
      <c r="C1311">
        <v>6</v>
      </c>
      <c r="D1311" t="s">
        <v>15</v>
      </c>
      <c r="E1311" t="s">
        <v>95</v>
      </c>
      <c r="F1311" t="s">
        <v>103</v>
      </c>
      <c r="G1311" t="s">
        <v>113</v>
      </c>
      <c r="H1311" t="s">
        <v>103</v>
      </c>
      <c r="J1311">
        <v>0</v>
      </c>
      <c r="K1311">
        <v>2</v>
      </c>
      <c r="L1311">
        <v>98.291666669999998</v>
      </c>
      <c r="M1311">
        <v>30.315130790000001</v>
      </c>
      <c r="N1311">
        <v>5.0803484000000003E-2</v>
      </c>
      <c r="O1311">
        <v>0.42866070000000001</v>
      </c>
      <c r="P1311">
        <v>98.291666669999998</v>
      </c>
      <c r="Q1311">
        <v>30.315130790000001</v>
      </c>
      <c r="R1311">
        <v>5.0803484000000003E-2</v>
      </c>
      <c r="S1311">
        <v>0.42866070000000001</v>
      </c>
      <c r="T1311" t="s">
        <v>1015</v>
      </c>
      <c r="U1311">
        <v>0</v>
      </c>
    </row>
    <row r="1312" spans="1:21" x14ac:dyDescent="0.25">
      <c r="A1312" t="s">
        <v>81</v>
      </c>
      <c r="B1312" t="s">
        <v>986</v>
      </c>
      <c r="C1312">
        <v>6</v>
      </c>
      <c r="D1312" t="s">
        <v>17</v>
      </c>
      <c r="E1312" t="s">
        <v>94</v>
      </c>
      <c r="F1312" t="s">
        <v>105</v>
      </c>
      <c r="G1312" t="s">
        <v>113</v>
      </c>
      <c r="H1312" t="s">
        <v>113</v>
      </c>
      <c r="J1312">
        <v>0</v>
      </c>
      <c r="K1312">
        <v>6</v>
      </c>
      <c r="L1312">
        <v>67.5</v>
      </c>
      <c r="M1312">
        <v>47.937235809999997</v>
      </c>
      <c r="N1312">
        <v>0.41599678000000001</v>
      </c>
      <c r="O1312">
        <v>2.0950346999999998</v>
      </c>
      <c r="P1312">
        <v>83.757575759999995</v>
      </c>
      <c r="Q1312">
        <v>22.60997987</v>
      </c>
      <c r="R1312">
        <v>0.72884000000000004</v>
      </c>
      <c r="S1312">
        <v>0.21301339999999999</v>
      </c>
      <c r="T1312" t="s">
        <v>1015</v>
      </c>
      <c r="U1312">
        <v>16.257575760000002</v>
      </c>
    </row>
    <row r="1313" spans="1:21" x14ac:dyDescent="0.25">
      <c r="A1313" t="s">
        <v>81</v>
      </c>
      <c r="B1313" t="s">
        <v>986</v>
      </c>
      <c r="C1313">
        <v>6</v>
      </c>
      <c r="D1313" t="s">
        <v>17</v>
      </c>
      <c r="E1313" t="s">
        <v>94</v>
      </c>
      <c r="F1313" t="s">
        <v>105</v>
      </c>
      <c r="G1313" t="s">
        <v>113</v>
      </c>
      <c r="H1313" t="s">
        <v>113</v>
      </c>
      <c r="J1313">
        <v>0</v>
      </c>
      <c r="K1313">
        <v>6</v>
      </c>
      <c r="L1313">
        <v>67.5</v>
      </c>
      <c r="M1313">
        <v>47.937235809999997</v>
      </c>
      <c r="N1313">
        <v>0.41599678000000001</v>
      </c>
      <c r="O1313">
        <v>2.0950346999999998</v>
      </c>
      <c r="P1313">
        <v>83.757575759999995</v>
      </c>
      <c r="Q1313">
        <v>22.60997987</v>
      </c>
      <c r="R1313">
        <v>0.72884000000000004</v>
      </c>
      <c r="S1313">
        <v>0.21301339999999999</v>
      </c>
      <c r="T1313" t="s">
        <v>1015</v>
      </c>
      <c r="U1313">
        <v>16.257575760000002</v>
      </c>
    </row>
    <row r="1314" spans="1:21" x14ac:dyDescent="0.25">
      <c r="A1314" t="s">
        <v>81</v>
      </c>
      <c r="B1314" t="s">
        <v>986</v>
      </c>
      <c r="C1314">
        <v>6</v>
      </c>
      <c r="D1314" t="s">
        <v>17</v>
      </c>
      <c r="E1314" t="s">
        <v>94</v>
      </c>
      <c r="F1314" t="s">
        <v>105</v>
      </c>
      <c r="G1314" t="s">
        <v>113</v>
      </c>
      <c r="H1314" t="s">
        <v>113</v>
      </c>
      <c r="J1314">
        <v>0</v>
      </c>
      <c r="K1314">
        <v>6</v>
      </c>
      <c r="L1314">
        <v>67.5</v>
      </c>
      <c r="M1314">
        <v>47.937235809999997</v>
      </c>
      <c r="N1314">
        <v>0.41599678000000001</v>
      </c>
      <c r="O1314">
        <v>2.0950346999999998</v>
      </c>
      <c r="P1314">
        <v>83.757575759999995</v>
      </c>
      <c r="Q1314">
        <v>22.60997987</v>
      </c>
      <c r="R1314">
        <v>0.72884000000000004</v>
      </c>
      <c r="S1314">
        <v>0.21301339999999999</v>
      </c>
      <c r="T1314" t="s">
        <v>1015</v>
      </c>
      <c r="U1314">
        <v>16.257575760000002</v>
      </c>
    </row>
    <row r="1315" spans="1:21" x14ac:dyDescent="0.25">
      <c r="A1315" t="s">
        <v>81</v>
      </c>
      <c r="B1315" t="s">
        <v>986</v>
      </c>
      <c r="C1315">
        <v>6</v>
      </c>
      <c r="D1315" t="s">
        <v>17</v>
      </c>
      <c r="E1315" t="s">
        <v>94</v>
      </c>
      <c r="F1315" t="s">
        <v>105</v>
      </c>
      <c r="G1315" t="s">
        <v>113</v>
      </c>
      <c r="H1315" t="s">
        <v>113</v>
      </c>
      <c r="J1315">
        <v>0</v>
      </c>
      <c r="K1315">
        <v>6</v>
      </c>
      <c r="L1315">
        <v>67.5</v>
      </c>
      <c r="M1315">
        <v>47.937235809999997</v>
      </c>
      <c r="N1315">
        <v>0.41599678000000001</v>
      </c>
      <c r="O1315">
        <v>2.0950346999999998</v>
      </c>
      <c r="P1315">
        <v>83.757575759999995</v>
      </c>
      <c r="Q1315">
        <v>22.60997987</v>
      </c>
      <c r="R1315">
        <v>0.72884000000000004</v>
      </c>
      <c r="S1315">
        <v>0.21301339999999999</v>
      </c>
      <c r="T1315" t="s">
        <v>1015</v>
      </c>
      <c r="U1315">
        <v>16.257575760000002</v>
      </c>
    </row>
    <row r="1316" spans="1:21" x14ac:dyDescent="0.25">
      <c r="A1316" t="s">
        <v>81</v>
      </c>
      <c r="B1316" t="s">
        <v>986</v>
      </c>
      <c r="C1316">
        <v>6</v>
      </c>
      <c r="D1316" t="s">
        <v>17</v>
      </c>
      <c r="E1316" t="s">
        <v>94</v>
      </c>
      <c r="F1316" t="s">
        <v>105</v>
      </c>
      <c r="G1316" t="s">
        <v>113</v>
      </c>
      <c r="H1316" t="s">
        <v>113</v>
      </c>
      <c r="J1316">
        <v>0</v>
      </c>
      <c r="K1316">
        <v>6</v>
      </c>
      <c r="L1316">
        <v>67.5</v>
      </c>
      <c r="M1316">
        <v>47.937235809999997</v>
      </c>
      <c r="N1316">
        <v>0.41599678000000001</v>
      </c>
      <c r="O1316">
        <v>2.0950346999999998</v>
      </c>
      <c r="P1316">
        <v>83.757575759999995</v>
      </c>
      <c r="Q1316">
        <v>22.60997987</v>
      </c>
      <c r="R1316">
        <v>0.72884000000000004</v>
      </c>
      <c r="S1316">
        <v>0.21301339999999999</v>
      </c>
      <c r="T1316" t="s">
        <v>1015</v>
      </c>
      <c r="U1316">
        <v>16.257575760000002</v>
      </c>
    </row>
    <row r="1317" spans="1:21" x14ac:dyDescent="0.25">
      <c r="A1317" t="s">
        <v>81</v>
      </c>
      <c r="B1317" t="s">
        <v>986</v>
      </c>
      <c r="C1317">
        <v>6</v>
      </c>
      <c r="D1317" t="s">
        <v>17</v>
      </c>
      <c r="E1317" t="s">
        <v>94</v>
      </c>
      <c r="F1317" t="s">
        <v>105</v>
      </c>
      <c r="G1317" t="s">
        <v>113</v>
      </c>
      <c r="H1317" t="s">
        <v>113</v>
      </c>
      <c r="J1317">
        <v>0</v>
      </c>
      <c r="K1317">
        <v>6</v>
      </c>
      <c r="L1317">
        <v>67.5</v>
      </c>
      <c r="M1317">
        <v>47.937235809999997</v>
      </c>
      <c r="N1317">
        <v>0.41599678000000001</v>
      </c>
      <c r="O1317">
        <v>2.0950346999999998</v>
      </c>
      <c r="P1317">
        <v>83.757575759999995</v>
      </c>
      <c r="Q1317">
        <v>22.60997987</v>
      </c>
      <c r="R1317">
        <v>0.72884000000000004</v>
      </c>
      <c r="S1317">
        <v>0.21301339999999999</v>
      </c>
      <c r="T1317" t="s">
        <v>1015</v>
      </c>
      <c r="U1317">
        <v>16.257575760000002</v>
      </c>
    </row>
    <row r="1318" spans="1:21" x14ac:dyDescent="0.25">
      <c r="A1318" t="s">
        <v>81</v>
      </c>
      <c r="B1318" t="s">
        <v>987</v>
      </c>
      <c r="C1318">
        <v>6</v>
      </c>
      <c r="D1318" t="s">
        <v>17</v>
      </c>
      <c r="E1318" t="s">
        <v>94</v>
      </c>
      <c r="F1318" t="s">
        <v>113</v>
      </c>
      <c r="G1318" t="s">
        <v>113</v>
      </c>
      <c r="H1318" t="s">
        <v>113</v>
      </c>
      <c r="J1318">
        <v>0</v>
      </c>
      <c r="K1318">
        <v>6</v>
      </c>
      <c r="L1318">
        <v>83.757575759999995</v>
      </c>
      <c r="M1318">
        <v>22.60997987</v>
      </c>
      <c r="N1318">
        <v>0.72884000000000004</v>
      </c>
      <c r="O1318">
        <v>0.21301339999999999</v>
      </c>
      <c r="P1318">
        <v>83.757575759999995</v>
      </c>
      <c r="Q1318">
        <v>22.60997987</v>
      </c>
      <c r="R1318">
        <v>0.72884000000000004</v>
      </c>
      <c r="S1318">
        <v>0.21301339999999999</v>
      </c>
      <c r="T1318" t="s">
        <v>1015</v>
      </c>
      <c r="U1318">
        <v>0</v>
      </c>
    </row>
    <row r="1319" spans="1:21" x14ac:dyDescent="0.25">
      <c r="A1319" t="s">
        <v>81</v>
      </c>
      <c r="B1319" t="s">
        <v>987</v>
      </c>
      <c r="C1319">
        <v>6</v>
      </c>
      <c r="D1319" t="s">
        <v>17</v>
      </c>
      <c r="E1319" t="s">
        <v>94</v>
      </c>
      <c r="F1319" t="s">
        <v>113</v>
      </c>
      <c r="G1319" t="s">
        <v>113</v>
      </c>
      <c r="H1319" t="s">
        <v>113</v>
      </c>
      <c r="J1319">
        <v>0</v>
      </c>
      <c r="K1319">
        <v>6</v>
      </c>
      <c r="L1319">
        <v>83.757575759999995</v>
      </c>
      <c r="M1319">
        <v>22.60997987</v>
      </c>
      <c r="N1319">
        <v>0.72884000000000004</v>
      </c>
      <c r="O1319">
        <v>0.21301339999999999</v>
      </c>
      <c r="P1319">
        <v>83.757575759999995</v>
      </c>
      <c r="Q1319">
        <v>22.60997987</v>
      </c>
      <c r="R1319">
        <v>0.72884000000000004</v>
      </c>
      <c r="S1319">
        <v>0.21301339999999999</v>
      </c>
      <c r="T1319" t="s">
        <v>1015</v>
      </c>
      <c r="U1319">
        <v>0</v>
      </c>
    </row>
    <row r="1320" spans="1:21" x14ac:dyDescent="0.25">
      <c r="A1320" t="s">
        <v>81</v>
      </c>
      <c r="B1320" t="s">
        <v>987</v>
      </c>
      <c r="C1320">
        <v>6</v>
      </c>
      <c r="D1320" t="s">
        <v>17</v>
      </c>
      <c r="E1320" t="s">
        <v>94</v>
      </c>
      <c r="F1320" t="s">
        <v>113</v>
      </c>
      <c r="G1320" t="s">
        <v>113</v>
      </c>
      <c r="H1320" t="s">
        <v>113</v>
      </c>
      <c r="J1320">
        <v>0</v>
      </c>
      <c r="K1320">
        <v>6</v>
      </c>
      <c r="L1320">
        <v>83.757575759999995</v>
      </c>
      <c r="M1320">
        <v>22.60997987</v>
      </c>
      <c r="N1320">
        <v>0.72884000000000004</v>
      </c>
      <c r="O1320">
        <v>0.21301339999999999</v>
      </c>
      <c r="P1320">
        <v>83.757575759999995</v>
      </c>
      <c r="Q1320">
        <v>22.60997987</v>
      </c>
      <c r="R1320">
        <v>0.72884000000000004</v>
      </c>
      <c r="S1320">
        <v>0.21301339999999999</v>
      </c>
      <c r="T1320" t="s">
        <v>1015</v>
      </c>
      <c r="U1320">
        <v>0</v>
      </c>
    </row>
    <row r="1321" spans="1:21" x14ac:dyDescent="0.25">
      <c r="A1321" t="s">
        <v>81</v>
      </c>
      <c r="B1321" t="s">
        <v>987</v>
      </c>
      <c r="C1321">
        <v>6</v>
      </c>
      <c r="D1321" t="s">
        <v>17</v>
      </c>
      <c r="E1321" t="s">
        <v>94</v>
      </c>
      <c r="F1321" t="s">
        <v>113</v>
      </c>
      <c r="G1321" t="s">
        <v>113</v>
      </c>
      <c r="H1321" t="s">
        <v>113</v>
      </c>
      <c r="J1321">
        <v>0</v>
      </c>
      <c r="K1321">
        <v>6</v>
      </c>
      <c r="L1321">
        <v>83.757575759999995</v>
      </c>
      <c r="M1321">
        <v>22.60997987</v>
      </c>
      <c r="N1321">
        <v>0.72884000000000004</v>
      </c>
      <c r="O1321">
        <v>0.21301339999999999</v>
      </c>
      <c r="P1321">
        <v>83.757575759999995</v>
      </c>
      <c r="Q1321">
        <v>22.60997987</v>
      </c>
      <c r="R1321">
        <v>0.72884000000000004</v>
      </c>
      <c r="S1321">
        <v>0.21301339999999999</v>
      </c>
      <c r="T1321" t="s">
        <v>1015</v>
      </c>
      <c r="U1321">
        <v>0</v>
      </c>
    </row>
    <row r="1322" spans="1:21" x14ac:dyDescent="0.25">
      <c r="A1322" t="s">
        <v>81</v>
      </c>
      <c r="B1322" t="s">
        <v>987</v>
      </c>
      <c r="C1322">
        <v>6</v>
      </c>
      <c r="D1322" t="s">
        <v>17</v>
      </c>
      <c r="E1322" t="s">
        <v>94</v>
      </c>
      <c r="F1322" t="s">
        <v>113</v>
      </c>
      <c r="G1322" t="s">
        <v>113</v>
      </c>
      <c r="H1322" t="s">
        <v>113</v>
      </c>
      <c r="J1322">
        <v>0</v>
      </c>
      <c r="K1322">
        <v>6</v>
      </c>
      <c r="L1322">
        <v>83.757575759999995</v>
      </c>
      <c r="M1322">
        <v>22.60997987</v>
      </c>
      <c r="N1322">
        <v>0.72884000000000004</v>
      </c>
      <c r="O1322">
        <v>0.21301339999999999</v>
      </c>
      <c r="P1322">
        <v>83.757575759999995</v>
      </c>
      <c r="Q1322">
        <v>22.60997987</v>
      </c>
      <c r="R1322">
        <v>0.72884000000000004</v>
      </c>
      <c r="S1322">
        <v>0.21301339999999999</v>
      </c>
      <c r="T1322" t="s">
        <v>1015</v>
      </c>
      <c r="U1322">
        <v>0</v>
      </c>
    </row>
    <row r="1323" spans="1:21" x14ac:dyDescent="0.25">
      <c r="A1323" t="s">
        <v>81</v>
      </c>
      <c r="B1323" t="s">
        <v>987</v>
      </c>
      <c r="C1323">
        <v>6</v>
      </c>
      <c r="D1323" t="s">
        <v>17</v>
      </c>
      <c r="E1323" t="s">
        <v>94</v>
      </c>
      <c r="F1323" t="s">
        <v>113</v>
      </c>
      <c r="G1323" t="s">
        <v>113</v>
      </c>
      <c r="H1323" t="s">
        <v>113</v>
      </c>
      <c r="J1323">
        <v>0</v>
      </c>
      <c r="K1323">
        <v>6</v>
      </c>
      <c r="L1323">
        <v>83.757575759999995</v>
      </c>
      <c r="M1323">
        <v>22.60997987</v>
      </c>
      <c r="N1323">
        <v>0.72884000000000004</v>
      </c>
      <c r="O1323">
        <v>0.21301339999999999</v>
      </c>
      <c r="P1323">
        <v>83.757575759999995</v>
      </c>
      <c r="Q1323">
        <v>22.60997987</v>
      </c>
      <c r="R1323">
        <v>0.72884000000000004</v>
      </c>
      <c r="S1323">
        <v>0.21301339999999999</v>
      </c>
      <c r="T1323" t="s">
        <v>1015</v>
      </c>
      <c r="U1323">
        <v>0</v>
      </c>
    </row>
    <row r="1324" spans="1:21" x14ac:dyDescent="0.25">
      <c r="A1324" t="s">
        <v>81</v>
      </c>
      <c r="B1324" t="s">
        <v>988</v>
      </c>
      <c r="C1324">
        <v>6</v>
      </c>
      <c r="D1324" t="s">
        <v>17</v>
      </c>
      <c r="E1324" t="s">
        <v>94</v>
      </c>
      <c r="F1324" t="s">
        <v>103</v>
      </c>
      <c r="G1324" t="s">
        <v>113</v>
      </c>
      <c r="H1324" t="s">
        <v>113</v>
      </c>
      <c r="J1324">
        <v>0</v>
      </c>
      <c r="K1324">
        <v>5</v>
      </c>
      <c r="L1324">
        <v>98.291666669999998</v>
      </c>
      <c r="M1324">
        <v>30.315130790000001</v>
      </c>
      <c r="N1324">
        <v>5.0803484000000003E-2</v>
      </c>
      <c r="O1324">
        <v>0.42866070000000001</v>
      </c>
      <c r="P1324">
        <v>83.757575759999995</v>
      </c>
      <c r="Q1324">
        <v>22.60997987</v>
      </c>
      <c r="R1324">
        <v>0.72884000000000004</v>
      </c>
      <c r="S1324">
        <v>0.21301339999999999</v>
      </c>
      <c r="T1324" t="s">
        <v>1015</v>
      </c>
      <c r="U1324">
        <v>14.53409091</v>
      </c>
    </row>
    <row r="1325" spans="1:21" x14ac:dyDescent="0.25">
      <c r="A1325" t="s">
        <v>81</v>
      </c>
      <c r="B1325" t="s">
        <v>988</v>
      </c>
      <c r="C1325">
        <v>6</v>
      </c>
      <c r="D1325" t="s">
        <v>17</v>
      </c>
      <c r="E1325" t="s">
        <v>94</v>
      </c>
      <c r="F1325" t="s">
        <v>103</v>
      </c>
      <c r="G1325" t="s">
        <v>113</v>
      </c>
      <c r="H1325" t="s">
        <v>113</v>
      </c>
      <c r="J1325">
        <v>0</v>
      </c>
      <c r="K1325">
        <v>5</v>
      </c>
      <c r="L1325">
        <v>98.291666669999998</v>
      </c>
      <c r="M1325">
        <v>30.315130790000001</v>
      </c>
      <c r="N1325">
        <v>5.0803484000000003E-2</v>
      </c>
      <c r="O1325">
        <v>0.42866070000000001</v>
      </c>
      <c r="P1325">
        <v>83.757575759999995</v>
      </c>
      <c r="Q1325">
        <v>22.60997987</v>
      </c>
      <c r="R1325">
        <v>0.72884000000000004</v>
      </c>
      <c r="S1325">
        <v>0.21301339999999999</v>
      </c>
      <c r="T1325" t="s">
        <v>1015</v>
      </c>
      <c r="U1325">
        <v>14.53409091</v>
      </c>
    </row>
    <row r="1326" spans="1:21" x14ac:dyDescent="0.25">
      <c r="A1326" t="s">
        <v>81</v>
      </c>
      <c r="B1326" t="s">
        <v>988</v>
      </c>
      <c r="C1326">
        <v>6</v>
      </c>
      <c r="D1326" t="s">
        <v>17</v>
      </c>
      <c r="E1326" t="s">
        <v>94</v>
      </c>
      <c r="F1326" t="s">
        <v>103</v>
      </c>
      <c r="G1326" t="s">
        <v>113</v>
      </c>
      <c r="H1326" t="s">
        <v>113</v>
      </c>
      <c r="J1326">
        <v>0</v>
      </c>
      <c r="K1326">
        <v>5</v>
      </c>
      <c r="L1326">
        <v>98.291666669999998</v>
      </c>
      <c r="M1326">
        <v>30.315130790000001</v>
      </c>
      <c r="N1326">
        <v>5.0803484000000003E-2</v>
      </c>
      <c r="O1326">
        <v>0.42866070000000001</v>
      </c>
      <c r="P1326">
        <v>83.757575759999995</v>
      </c>
      <c r="Q1326">
        <v>22.60997987</v>
      </c>
      <c r="R1326">
        <v>0.72884000000000004</v>
      </c>
      <c r="S1326">
        <v>0.21301339999999999</v>
      </c>
      <c r="T1326" t="s">
        <v>1015</v>
      </c>
      <c r="U1326">
        <v>14.53409091</v>
      </c>
    </row>
    <row r="1327" spans="1:21" x14ac:dyDescent="0.25">
      <c r="A1327" t="s">
        <v>81</v>
      </c>
      <c r="B1327" t="s">
        <v>988</v>
      </c>
      <c r="C1327">
        <v>6</v>
      </c>
      <c r="D1327" t="s">
        <v>17</v>
      </c>
      <c r="E1327" t="s">
        <v>94</v>
      </c>
      <c r="F1327" t="s">
        <v>103</v>
      </c>
      <c r="G1327" t="s">
        <v>113</v>
      </c>
      <c r="H1327" t="s">
        <v>113</v>
      </c>
      <c r="J1327">
        <v>0</v>
      </c>
      <c r="K1327">
        <v>5</v>
      </c>
      <c r="L1327">
        <v>98.291666669999998</v>
      </c>
      <c r="M1327">
        <v>30.315130790000001</v>
      </c>
      <c r="N1327">
        <v>5.0803484000000003E-2</v>
      </c>
      <c r="O1327">
        <v>0.42866070000000001</v>
      </c>
      <c r="P1327">
        <v>83.757575759999995</v>
      </c>
      <c r="Q1327">
        <v>22.60997987</v>
      </c>
      <c r="R1327">
        <v>0.72884000000000004</v>
      </c>
      <c r="S1327">
        <v>0.21301339999999999</v>
      </c>
      <c r="T1327" t="s">
        <v>1015</v>
      </c>
      <c r="U1327">
        <v>14.53409091</v>
      </c>
    </row>
    <row r="1328" spans="1:21" x14ac:dyDescent="0.25">
      <c r="A1328" t="s">
        <v>81</v>
      </c>
      <c r="B1328" t="s">
        <v>988</v>
      </c>
      <c r="C1328">
        <v>6</v>
      </c>
      <c r="D1328" t="s">
        <v>17</v>
      </c>
      <c r="E1328" t="s">
        <v>94</v>
      </c>
      <c r="F1328" t="s">
        <v>103</v>
      </c>
      <c r="G1328" t="s">
        <v>113</v>
      </c>
      <c r="H1328" t="s">
        <v>113</v>
      </c>
      <c r="J1328">
        <v>0</v>
      </c>
      <c r="K1328">
        <v>5</v>
      </c>
      <c r="L1328">
        <v>98.291666669999998</v>
      </c>
      <c r="M1328">
        <v>30.315130790000001</v>
      </c>
      <c r="N1328">
        <v>5.0803484000000003E-2</v>
      </c>
      <c r="O1328">
        <v>0.42866070000000001</v>
      </c>
      <c r="P1328">
        <v>83.757575759999995</v>
      </c>
      <c r="Q1328">
        <v>22.60997987</v>
      </c>
      <c r="R1328">
        <v>0.72884000000000004</v>
      </c>
      <c r="S1328">
        <v>0.21301339999999999</v>
      </c>
      <c r="T1328" t="s">
        <v>1015</v>
      </c>
      <c r="U1328">
        <v>14.53409091</v>
      </c>
    </row>
    <row r="1329" spans="1:21" x14ac:dyDescent="0.25">
      <c r="A1329" t="s">
        <v>81</v>
      </c>
      <c r="B1329" t="s">
        <v>988</v>
      </c>
      <c r="C1329">
        <v>6</v>
      </c>
      <c r="D1329" t="s">
        <v>17</v>
      </c>
      <c r="E1329" t="s">
        <v>94</v>
      </c>
      <c r="F1329" t="s">
        <v>103</v>
      </c>
      <c r="G1329" t="s">
        <v>113</v>
      </c>
      <c r="H1329" t="s">
        <v>103</v>
      </c>
      <c r="J1329">
        <v>0</v>
      </c>
      <c r="K1329">
        <v>1</v>
      </c>
      <c r="L1329">
        <v>98.291666669999998</v>
      </c>
      <c r="M1329">
        <v>30.315130790000001</v>
      </c>
      <c r="N1329">
        <v>5.0803484000000003E-2</v>
      </c>
      <c r="O1329">
        <v>0.42866070000000001</v>
      </c>
      <c r="P1329">
        <v>98.291666669999998</v>
      </c>
      <c r="Q1329">
        <v>30.315130790000001</v>
      </c>
      <c r="R1329">
        <v>5.0803484000000003E-2</v>
      </c>
      <c r="S1329">
        <v>0.42866070000000001</v>
      </c>
      <c r="T1329" t="s">
        <v>1015</v>
      </c>
      <c r="U1329">
        <v>0</v>
      </c>
    </row>
    <row r="1330" spans="1:21" x14ac:dyDescent="0.25">
      <c r="A1330" t="s">
        <v>82</v>
      </c>
      <c r="B1330" t="s">
        <v>989</v>
      </c>
      <c r="C1330">
        <v>6</v>
      </c>
      <c r="D1330" t="s">
        <v>19</v>
      </c>
      <c r="E1330" t="s">
        <v>94</v>
      </c>
      <c r="F1330" t="s">
        <v>102</v>
      </c>
      <c r="G1330" t="s">
        <v>102</v>
      </c>
      <c r="H1330" t="s">
        <v>102</v>
      </c>
      <c r="J1330">
        <v>0</v>
      </c>
      <c r="K1330">
        <v>1</v>
      </c>
      <c r="L1330">
        <v>84.740740740000007</v>
      </c>
      <c r="M1330">
        <v>29.167014049999999</v>
      </c>
      <c r="N1330">
        <v>1.1169849999999999</v>
      </c>
      <c r="O1330">
        <v>1.1571499000000001</v>
      </c>
      <c r="P1330">
        <v>84.740740740000007</v>
      </c>
      <c r="Q1330">
        <v>29.167014049999999</v>
      </c>
      <c r="R1330">
        <v>1.1169849999999999</v>
      </c>
      <c r="S1330">
        <v>1.1571499000000001</v>
      </c>
      <c r="T1330" t="s">
        <v>1015</v>
      </c>
      <c r="U1330">
        <v>0</v>
      </c>
    </row>
    <row r="1331" spans="1:21" x14ac:dyDescent="0.25">
      <c r="A1331" t="s">
        <v>82</v>
      </c>
      <c r="B1331" t="s">
        <v>990</v>
      </c>
      <c r="C1331">
        <v>6</v>
      </c>
      <c r="D1331" t="s">
        <v>19</v>
      </c>
      <c r="E1331" t="s">
        <v>94</v>
      </c>
      <c r="F1331" t="s">
        <v>113</v>
      </c>
      <c r="G1331" t="s">
        <v>113</v>
      </c>
      <c r="H1331" t="s">
        <v>113</v>
      </c>
      <c r="J1331">
        <v>0</v>
      </c>
      <c r="K1331">
        <v>4</v>
      </c>
      <c r="L1331">
        <v>83.757575759999995</v>
      </c>
      <c r="M1331">
        <v>22.60997987</v>
      </c>
      <c r="N1331">
        <v>0.72884000000000004</v>
      </c>
      <c r="O1331">
        <v>0.21301339999999999</v>
      </c>
      <c r="P1331">
        <v>83.757575759999995</v>
      </c>
      <c r="Q1331">
        <v>22.60997987</v>
      </c>
      <c r="R1331">
        <v>0.72884000000000004</v>
      </c>
      <c r="S1331">
        <v>0.21301339999999999</v>
      </c>
      <c r="T1331" t="s">
        <v>1015</v>
      </c>
      <c r="U1331">
        <v>0</v>
      </c>
    </row>
    <row r="1332" spans="1:21" x14ac:dyDescent="0.25">
      <c r="A1332" t="s">
        <v>82</v>
      </c>
      <c r="B1332" t="s">
        <v>990</v>
      </c>
      <c r="C1332">
        <v>6</v>
      </c>
      <c r="D1332" t="s">
        <v>19</v>
      </c>
      <c r="E1332" t="s">
        <v>94</v>
      </c>
      <c r="F1332" t="s">
        <v>113</v>
      </c>
      <c r="G1332" t="s">
        <v>113</v>
      </c>
      <c r="H1332" t="s">
        <v>113</v>
      </c>
      <c r="J1332">
        <v>0</v>
      </c>
      <c r="K1332">
        <v>4</v>
      </c>
      <c r="L1332">
        <v>83.757575759999995</v>
      </c>
      <c r="M1332">
        <v>22.60997987</v>
      </c>
      <c r="N1332">
        <v>0.72884000000000004</v>
      </c>
      <c r="O1332">
        <v>0.21301339999999999</v>
      </c>
      <c r="P1332">
        <v>83.757575759999995</v>
      </c>
      <c r="Q1332">
        <v>22.60997987</v>
      </c>
      <c r="R1332">
        <v>0.72884000000000004</v>
      </c>
      <c r="S1332">
        <v>0.21301339999999999</v>
      </c>
      <c r="T1332" t="s">
        <v>1015</v>
      </c>
      <c r="U1332">
        <v>0</v>
      </c>
    </row>
    <row r="1333" spans="1:21" x14ac:dyDescent="0.25">
      <c r="A1333" t="s">
        <v>82</v>
      </c>
      <c r="B1333" t="s">
        <v>990</v>
      </c>
      <c r="C1333">
        <v>6</v>
      </c>
      <c r="D1333" t="s">
        <v>19</v>
      </c>
      <c r="E1333" t="s">
        <v>94</v>
      </c>
      <c r="F1333" t="s">
        <v>113</v>
      </c>
      <c r="G1333" t="s">
        <v>113</v>
      </c>
      <c r="H1333" t="s">
        <v>113</v>
      </c>
      <c r="J1333">
        <v>0</v>
      </c>
      <c r="K1333">
        <v>4</v>
      </c>
      <c r="L1333">
        <v>83.757575759999995</v>
      </c>
      <c r="M1333">
        <v>22.60997987</v>
      </c>
      <c r="N1333">
        <v>0.72884000000000004</v>
      </c>
      <c r="O1333">
        <v>0.21301339999999999</v>
      </c>
      <c r="P1333">
        <v>83.757575759999995</v>
      </c>
      <c r="Q1333">
        <v>22.60997987</v>
      </c>
      <c r="R1333">
        <v>0.72884000000000004</v>
      </c>
      <c r="S1333">
        <v>0.21301339999999999</v>
      </c>
      <c r="T1333" t="s">
        <v>1015</v>
      </c>
      <c r="U1333">
        <v>0</v>
      </c>
    </row>
    <row r="1334" spans="1:21" x14ac:dyDescent="0.25">
      <c r="A1334" t="s">
        <v>82</v>
      </c>
      <c r="B1334" t="s">
        <v>990</v>
      </c>
      <c r="C1334">
        <v>6</v>
      </c>
      <c r="D1334" t="s">
        <v>19</v>
      </c>
      <c r="E1334" t="s">
        <v>94</v>
      </c>
      <c r="F1334" t="s">
        <v>113</v>
      </c>
      <c r="G1334" t="s">
        <v>113</v>
      </c>
      <c r="H1334" t="s">
        <v>113</v>
      </c>
      <c r="J1334">
        <v>0</v>
      </c>
      <c r="K1334">
        <v>4</v>
      </c>
      <c r="L1334">
        <v>83.757575759999995</v>
      </c>
      <c r="M1334">
        <v>22.60997987</v>
      </c>
      <c r="N1334">
        <v>0.72884000000000004</v>
      </c>
      <c r="O1334">
        <v>0.21301339999999999</v>
      </c>
      <c r="P1334">
        <v>83.757575759999995</v>
      </c>
      <c r="Q1334">
        <v>22.60997987</v>
      </c>
      <c r="R1334">
        <v>0.72884000000000004</v>
      </c>
      <c r="S1334">
        <v>0.21301339999999999</v>
      </c>
      <c r="T1334" t="s">
        <v>1015</v>
      </c>
      <c r="U1334">
        <v>0</v>
      </c>
    </row>
    <row r="1335" spans="1:21" x14ac:dyDescent="0.25">
      <c r="A1335" t="s">
        <v>82</v>
      </c>
      <c r="B1335" t="s">
        <v>990</v>
      </c>
      <c r="C1335">
        <v>6</v>
      </c>
      <c r="D1335" t="s">
        <v>19</v>
      </c>
      <c r="E1335" t="s">
        <v>94</v>
      </c>
      <c r="F1335" t="s">
        <v>113</v>
      </c>
      <c r="G1335" t="s">
        <v>113</v>
      </c>
      <c r="H1335" t="s">
        <v>241</v>
      </c>
      <c r="J1335">
        <v>0</v>
      </c>
      <c r="K1335">
        <v>1</v>
      </c>
      <c r="L1335">
        <v>83.757575759999995</v>
      </c>
      <c r="M1335">
        <v>22.60997987</v>
      </c>
      <c r="N1335">
        <v>0.72884000000000004</v>
      </c>
      <c r="O1335">
        <v>0.21301339999999999</v>
      </c>
      <c r="P1335">
        <v>114</v>
      </c>
      <c r="Q1335">
        <v>30.43077242</v>
      </c>
      <c r="R1335">
        <v>0.53383111100000002</v>
      </c>
      <c r="S1335">
        <v>0.28333332999999999</v>
      </c>
      <c r="T1335" t="s">
        <v>1015</v>
      </c>
      <c r="U1335">
        <v>30.242424239999998</v>
      </c>
    </row>
    <row r="1336" spans="1:21" x14ac:dyDescent="0.25">
      <c r="A1336" t="s">
        <v>82</v>
      </c>
      <c r="B1336" t="s">
        <v>990</v>
      </c>
      <c r="C1336">
        <v>6</v>
      </c>
      <c r="D1336" t="s">
        <v>19</v>
      </c>
      <c r="E1336" t="s">
        <v>94</v>
      </c>
      <c r="F1336" t="s">
        <v>113</v>
      </c>
      <c r="G1336" t="s">
        <v>113</v>
      </c>
      <c r="H1336" t="s">
        <v>808</v>
      </c>
      <c r="J1336">
        <v>0</v>
      </c>
      <c r="K1336">
        <v>1</v>
      </c>
      <c r="L1336">
        <v>83.757575759999995</v>
      </c>
      <c r="M1336">
        <v>22.60997987</v>
      </c>
      <c r="N1336">
        <v>0.72884000000000004</v>
      </c>
      <c r="O1336">
        <v>0.21301339999999999</v>
      </c>
      <c r="P1336">
        <v>102.79166669999999</v>
      </c>
      <c r="Q1336">
        <v>27.057373470000002</v>
      </c>
      <c r="R1336">
        <v>6.3567849939999999</v>
      </c>
      <c r="S1336" t="s">
        <v>114</v>
      </c>
      <c r="T1336" t="s">
        <v>1015</v>
      </c>
      <c r="U1336">
        <v>19.034090939999999</v>
      </c>
    </row>
    <row r="1337" spans="1:21" x14ac:dyDescent="0.25">
      <c r="A1337" t="s">
        <v>82</v>
      </c>
      <c r="B1337" t="s">
        <v>990</v>
      </c>
      <c r="C1337">
        <v>6</v>
      </c>
      <c r="D1337" t="s">
        <v>19</v>
      </c>
      <c r="E1337" t="s">
        <v>94</v>
      </c>
      <c r="F1337" t="s">
        <v>113</v>
      </c>
      <c r="G1337" t="s">
        <v>113</v>
      </c>
      <c r="H1337" t="s">
        <v>103</v>
      </c>
      <c r="J1337">
        <v>0</v>
      </c>
      <c r="K1337">
        <v>1</v>
      </c>
      <c r="L1337">
        <v>83.757575759999995</v>
      </c>
      <c r="M1337">
        <v>22.60997987</v>
      </c>
      <c r="N1337">
        <v>0.72884000000000004</v>
      </c>
      <c r="O1337">
        <v>0.21301339999999999</v>
      </c>
      <c r="P1337">
        <v>98.291666669999998</v>
      </c>
      <c r="Q1337">
        <v>30.315130790000001</v>
      </c>
      <c r="R1337">
        <v>5.0803484000000003E-2</v>
      </c>
      <c r="S1337">
        <v>0.42866070000000001</v>
      </c>
      <c r="T1337" t="s">
        <v>1015</v>
      </c>
      <c r="U1337">
        <v>14.53409091</v>
      </c>
    </row>
    <row r="1338" spans="1:21" x14ac:dyDescent="0.25">
      <c r="A1338" t="s">
        <v>82</v>
      </c>
      <c r="B1338" t="s">
        <v>991</v>
      </c>
      <c r="C1338">
        <v>6</v>
      </c>
      <c r="D1338" t="s">
        <v>19</v>
      </c>
      <c r="E1338" t="s">
        <v>94</v>
      </c>
      <c r="F1338" t="s">
        <v>104</v>
      </c>
      <c r="G1338" t="s">
        <v>113</v>
      </c>
      <c r="H1338" t="s">
        <v>113</v>
      </c>
      <c r="J1338">
        <v>0</v>
      </c>
      <c r="K1338">
        <v>3</v>
      </c>
      <c r="L1338">
        <v>113.9375</v>
      </c>
      <c r="M1338">
        <v>33.375507550000002</v>
      </c>
      <c r="N1338">
        <v>2.4262999999999999</v>
      </c>
      <c r="O1338">
        <v>0.40692159999999999</v>
      </c>
      <c r="P1338">
        <v>83.757575759999995</v>
      </c>
      <c r="Q1338">
        <v>22.60997987</v>
      </c>
      <c r="R1338">
        <v>0.72884000000000004</v>
      </c>
      <c r="S1338">
        <v>0.21301339999999999</v>
      </c>
      <c r="T1338" t="s">
        <v>1015</v>
      </c>
      <c r="U1338">
        <v>30.179924239999998</v>
      </c>
    </row>
    <row r="1339" spans="1:21" x14ac:dyDescent="0.25">
      <c r="A1339" t="s">
        <v>82</v>
      </c>
      <c r="B1339" t="s">
        <v>991</v>
      </c>
      <c r="C1339">
        <v>6</v>
      </c>
      <c r="D1339" t="s">
        <v>19</v>
      </c>
      <c r="E1339" t="s">
        <v>94</v>
      </c>
      <c r="F1339" t="s">
        <v>104</v>
      </c>
      <c r="G1339" t="s">
        <v>113</v>
      </c>
      <c r="H1339" t="s">
        <v>113</v>
      </c>
      <c r="J1339">
        <v>0</v>
      </c>
      <c r="K1339">
        <v>3</v>
      </c>
      <c r="L1339">
        <v>113.9375</v>
      </c>
      <c r="M1339">
        <v>33.375507550000002</v>
      </c>
      <c r="N1339">
        <v>2.4262999999999999</v>
      </c>
      <c r="O1339">
        <v>0.40692159999999999</v>
      </c>
      <c r="P1339">
        <v>83.757575759999995</v>
      </c>
      <c r="Q1339">
        <v>22.60997987</v>
      </c>
      <c r="R1339">
        <v>0.72884000000000004</v>
      </c>
      <c r="S1339">
        <v>0.21301339999999999</v>
      </c>
      <c r="T1339" t="s">
        <v>1015</v>
      </c>
      <c r="U1339">
        <v>30.179924239999998</v>
      </c>
    </row>
    <row r="1340" spans="1:21" x14ac:dyDescent="0.25">
      <c r="A1340" t="s">
        <v>82</v>
      </c>
      <c r="B1340" t="s">
        <v>991</v>
      </c>
      <c r="C1340">
        <v>6</v>
      </c>
      <c r="D1340" t="s">
        <v>19</v>
      </c>
      <c r="E1340" t="s">
        <v>94</v>
      </c>
      <c r="F1340" t="s">
        <v>104</v>
      </c>
      <c r="G1340" t="s">
        <v>113</v>
      </c>
      <c r="H1340" t="s">
        <v>113</v>
      </c>
      <c r="J1340">
        <v>0</v>
      </c>
      <c r="K1340">
        <v>3</v>
      </c>
      <c r="L1340">
        <v>113.9375</v>
      </c>
      <c r="M1340">
        <v>33.375507550000002</v>
      </c>
      <c r="N1340">
        <v>2.4262999999999999</v>
      </c>
      <c r="O1340">
        <v>0.40692159999999999</v>
      </c>
      <c r="P1340">
        <v>83.757575759999995</v>
      </c>
      <c r="Q1340">
        <v>22.60997987</v>
      </c>
      <c r="R1340">
        <v>0.72884000000000004</v>
      </c>
      <c r="S1340">
        <v>0.21301339999999999</v>
      </c>
      <c r="T1340" t="s">
        <v>1015</v>
      </c>
      <c r="U1340">
        <v>30.179924239999998</v>
      </c>
    </row>
    <row r="1341" spans="1:21" x14ac:dyDescent="0.25">
      <c r="A1341" t="s">
        <v>83</v>
      </c>
      <c r="B1341" t="s">
        <v>992</v>
      </c>
      <c r="C1341">
        <v>6</v>
      </c>
      <c r="D1341" t="s">
        <v>21</v>
      </c>
      <c r="E1341" t="s">
        <v>94</v>
      </c>
      <c r="F1341" t="s">
        <v>102</v>
      </c>
      <c r="G1341" t="s">
        <v>121</v>
      </c>
      <c r="H1341" t="s">
        <v>114</v>
      </c>
      <c r="J1341">
        <v>0</v>
      </c>
      <c r="K1341">
        <v>0</v>
      </c>
      <c r="L1341">
        <v>84.740740740000007</v>
      </c>
      <c r="M1341">
        <v>29.167014049999999</v>
      </c>
      <c r="N1341">
        <v>1.1169849999999999</v>
      </c>
      <c r="O1341">
        <v>1.1571499000000001</v>
      </c>
      <c r="P1341" t="s">
        <v>114</v>
      </c>
      <c r="Q1341" t="s">
        <v>114</v>
      </c>
      <c r="R1341" t="s">
        <v>114</v>
      </c>
      <c r="S1341" t="s">
        <v>114</v>
      </c>
      <c r="T1341" t="s">
        <v>1015</v>
      </c>
      <c r="U1341" t="s">
        <v>114</v>
      </c>
    </row>
    <row r="1342" spans="1:21" x14ac:dyDescent="0.25">
      <c r="A1342" t="s">
        <v>83</v>
      </c>
      <c r="B1342" t="s">
        <v>993</v>
      </c>
      <c r="C1342">
        <v>6</v>
      </c>
      <c r="D1342" t="s">
        <v>21</v>
      </c>
      <c r="E1342" t="s">
        <v>94</v>
      </c>
      <c r="F1342" t="s">
        <v>103</v>
      </c>
      <c r="G1342" t="s">
        <v>103</v>
      </c>
      <c r="H1342" t="s">
        <v>103</v>
      </c>
      <c r="J1342">
        <v>0</v>
      </c>
      <c r="K1342">
        <v>2</v>
      </c>
      <c r="L1342">
        <v>98.291666669999998</v>
      </c>
      <c r="M1342">
        <v>30.315130790000001</v>
      </c>
      <c r="N1342">
        <v>5.0803484000000003E-2</v>
      </c>
      <c r="O1342">
        <v>0.42866070000000001</v>
      </c>
      <c r="P1342">
        <v>98.291666669999998</v>
      </c>
      <c r="Q1342">
        <v>30.315130790000001</v>
      </c>
      <c r="R1342">
        <v>5.0803484000000003E-2</v>
      </c>
      <c r="S1342">
        <v>0.42866070000000001</v>
      </c>
      <c r="T1342" t="s">
        <v>1015</v>
      </c>
      <c r="U1342">
        <v>0</v>
      </c>
    </row>
    <row r="1343" spans="1:21" x14ac:dyDescent="0.25">
      <c r="A1343" t="s">
        <v>83</v>
      </c>
      <c r="B1343" t="s">
        <v>993</v>
      </c>
      <c r="C1343">
        <v>6</v>
      </c>
      <c r="D1343" t="s">
        <v>21</v>
      </c>
      <c r="E1343" t="s">
        <v>94</v>
      </c>
      <c r="F1343" t="s">
        <v>103</v>
      </c>
      <c r="G1343" t="s">
        <v>103</v>
      </c>
      <c r="H1343" t="s">
        <v>103</v>
      </c>
      <c r="J1343">
        <v>0</v>
      </c>
      <c r="K1343">
        <v>2</v>
      </c>
      <c r="L1343">
        <v>98.291666669999998</v>
      </c>
      <c r="M1343">
        <v>30.315130790000001</v>
      </c>
      <c r="N1343">
        <v>5.0803484000000003E-2</v>
      </c>
      <c r="O1343">
        <v>0.42866070000000001</v>
      </c>
      <c r="P1343">
        <v>98.291666669999998</v>
      </c>
      <c r="Q1343">
        <v>30.315130790000001</v>
      </c>
      <c r="R1343">
        <v>5.0803484000000003E-2</v>
      </c>
      <c r="S1343">
        <v>0.42866070000000001</v>
      </c>
      <c r="T1343" t="s">
        <v>1015</v>
      </c>
      <c r="U1343">
        <v>0</v>
      </c>
    </row>
    <row r="1344" spans="1:21" x14ac:dyDescent="0.25">
      <c r="A1344" t="s">
        <v>83</v>
      </c>
      <c r="B1344" t="s">
        <v>993</v>
      </c>
      <c r="C1344">
        <v>6</v>
      </c>
      <c r="D1344" t="s">
        <v>21</v>
      </c>
      <c r="E1344" t="s">
        <v>94</v>
      </c>
      <c r="F1344" t="s">
        <v>103</v>
      </c>
      <c r="G1344" t="s">
        <v>103</v>
      </c>
      <c r="H1344" t="s">
        <v>246</v>
      </c>
      <c r="J1344">
        <v>0</v>
      </c>
      <c r="K1344">
        <v>1</v>
      </c>
      <c r="L1344">
        <v>98.291666669999998</v>
      </c>
      <c r="M1344">
        <v>30.315130790000001</v>
      </c>
      <c r="N1344">
        <v>5.0803484000000003E-2</v>
      </c>
      <c r="O1344">
        <v>0.42866070000000001</v>
      </c>
      <c r="P1344">
        <v>120.25</v>
      </c>
      <c r="Q1344">
        <v>30.670450110000001</v>
      </c>
      <c r="R1344">
        <v>0.91037498500000003</v>
      </c>
      <c r="S1344" t="s">
        <v>114</v>
      </c>
      <c r="T1344" t="s">
        <v>1015</v>
      </c>
      <c r="U1344">
        <v>21.958333329999999</v>
      </c>
    </row>
    <row r="1345" spans="1:21" x14ac:dyDescent="0.25">
      <c r="A1345" t="s">
        <v>83</v>
      </c>
      <c r="B1345" t="s">
        <v>993</v>
      </c>
      <c r="C1345">
        <v>6</v>
      </c>
      <c r="D1345" t="s">
        <v>21</v>
      </c>
      <c r="E1345" t="s">
        <v>94</v>
      </c>
      <c r="F1345" t="s">
        <v>103</v>
      </c>
      <c r="G1345" t="s">
        <v>103</v>
      </c>
      <c r="H1345" t="s">
        <v>239</v>
      </c>
      <c r="J1345">
        <v>0</v>
      </c>
      <c r="K1345">
        <v>1</v>
      </c>
      <c r="L1345">
        <v>98.291666669999998</v>
      </c>
      <c r="M1345">
        <v>30.315130790000001</v>
      </c>
      <c r="N1345">
        <v>5.0803484000000003E-2</v>
      </c>
      <c r="O1345">
        <v>0.42866070000000001</v>
      </c>
      <c r="P1345">
        <v>100.45454549999999</v>
      </c>
      <c r="Q1345">
        <v>26.754810689999999</v>
      </c>
      <c r="R1345">
        <v>0.75829999999999997</v>
      </c>
      <c r="S1345">
        <v>0.40907861000000001</v>
      </c>
      <c r="T1345" t="s">
        <v>1015</v>
      </c>
      <c r="U1345">
        <v>2.1628788299999999</v>
      </c>
    </row>
    <row r="1346" spans="1:21" x14ac:dyDescent="0.25">
      <c r="A1346" t="s">
        <v>83</v>
      </c>
      <c r="B1346" t="s">
        <v>994</v>
      </c>
      <c r="C1346">
        <v>6</v>
      </c>
      <c r="D1346" t="s">
        <v>21</v>
      </c>
      <c r="E1346" t="s">
        <v>94</v>
      </c>
      <c r="F1346" t="s">
        <v>111</v>
      </c>
      <c r="G1346" t="s">
        <v>121</v>
      </c>
      <c r="H1346" t="s">
        <v>114</v>
      </c>
      <c r="J1346">
        <v>0</v>
      </c>
      <c r="K1346">
        <v>0</v>
      </c>
      <c r="L1346">
        <v>94.97142857</v>
      </c>
      <c r="M1346">
        <v>24.31591813</v>
      </c>
      <c r="N1346">
        <v>0.122951111</v>
      </c>
      <c r="O1346">
        <v>0.39050790000000002</v>
      </c>
      <c r="P1346" t="s">
        <v>114</v>
      </c>
      <c r="Q1346" t="s">
        <v>114</v>
      </c>
      <c r="R1346" t="s">
        <v>114</v>
      </c>
      <c r="S1346" t="s">
        <v>114</v>
      </c>
      <c r="T1346" t="s">
        <v>1015</v>
      </c>
      <c r="U1346" t="s">
        <v>114</v>
      </c>
    </row>
    <row r="1347" spans="1:21" x14ac:dyDescent="0.25">
      <c r="A1347" t="s">
        <v>84</v>
      </c>
      <c r="B1347" t="s">
        <v>995</v>
      </c>
      <c r="C1347">
        <v>6</v>
      </c>
      <c r="D1347" t="s">
        <v>23</v>
      </c>
      <c r="E1347" t="s">
        <v>95</v>
      </c>
      <c r="F1347" t="s">
        <v>102</v>
      </c>
      <c r="G1347" t="s">
        <v>121</v>
      </c>
      <c r="H1347" t="s">
        <v>254</v>
      </c>
      <c r="J1347">
        <v>0</v>
      </c>
      <c r="K1347">
        <v>3</v>
      </c>
      <c r="L1347">
        <v>84.740740740000007</v>
      </c>
      <c r="M1347">
        <v>29.167014049999999</v>
      </c>
      <c r="N1347">
        <v>1.1169849999999999</v>
      </c>
      <c r="O1347">
        <v>1.1571499000000001</v>
      </c>
      <c r="P1347" t="s">
        <v>114</v>
      </c>
      <c r="Q1347" t="s">
        <v>114</v>
      </c>
      <c r="R1347" t="s">
        <v>114</v>
      </c>
      <c r="S1347" t="s">
        <v>114</v>
      </c>
      <c r="T1347" t="s">
        <v>1015</v>
      </c>
      <c r="U1347" t="s">
        <v>114</v>
      </c>
    </row>
    <row r="1348" spans="1:21" x14ac:dyDescent="0.25">
      <c r="A1348" t="s">
        <v>84</v>
      </c>
      <c r="B1348" t="s">
        <v>995</v>
      </c>
      <c r="C1348">
        <v>6</v>
      </c>
      <c r="D1348" t="s">
        <v>23</v>
      </c>
      <c r="E1348" t="s">
        <v>95</v>
      </c>
      <c r="F1348" t="s">
        <v>102</v>
      </c>
      <c r="G1348" t="s">
        <v>121</v>
      </c>
      <c r="H1348" t="s">
        <v>254</v>
      </c>
      <c r="J1348">
        <v>0</v>
      </c>
      <c r="K1348">
        <v>3</v>
      </c>
      <c r="L1348">
        <v>84.740740740000007</v>
      </c>
      <c r="M1348">
        <v>29.167014049999999</v>
      </c>
      <c r="N1348">
        <v>1.1169849999999999</v>
      </c>
      <c r="O1348">
        <v>1.1571499000000001</v>
      </c>
      <c r="P1348" t="s">
        <v>114</v>
      </c>
      <c r="Q1348" t="s">
        <v>114</v>
      </c>
      <c r="R1348" t="s">
        <v>114</v>
      </c>
      <c r="S1348" t="s">
        <v>114</v>
      </c>
      <c r="T1348" t="s">
        <v>1015</v>
      </c>
      <c r="U1348" t="s">
        <v>114</v>
      </c>
    </row>
    <row r="1349" spans="1:21" x14ac:dyDescent="0.25">
      <c r="A1349" t="s">
        <v>84</v>
      </c>
      <c r="B1349" t="s">
        <v>995</v>
      </c>
      <c r="C1349">
        <v>6</v>
      </c>
      <c r="D1349" t="s">
        <v>23</v>
      </c>
      <c r="E1349" t="s">
        <v>95</v>
      </c>
      <c r="F1349" t="s">
        <v>102</v>
      </c>
      <c r="G1349" t="s">
        <v>121</v>
      </c>
      <c r="H1349" t="s">
        <v>254</v>
      </c>
      <c r="J1349">
        <v>0</v>
      </c>
      <c r="K1349">
        <v>3</v>
      </c>
      <c r="L1349">
        <v>84.740740740000007</v>
      </c>
      <c r="M1349">
        <v>29.167014049999999</v>
      </c>
      <c r="N1349">
        <v>1.1169849999999999</v>
      </c>
      <c r="O1349">
        <v>1.1571499000000001</v>
      </c>
      <c r="P1349" t="s">
        <v>114</v>
      </c>
      <c r="Q1349" t="s">
        <v>114</v>
      </c>
      <c r="R1349" t="s">
        <v>114</v>
      </c>
      <c r="S1349" t="s">
        <v>114</v>
      </c>
      <c r="T1349" t="s">
        <v>1015</v>
      </c>
      <c r="U1349" t="s">
        <v>114</v>
      </c>
    </row>
    <row r="1350" spans="1:21" x14ac:dyDescent="0.25">
      <c r="A1350" t="s">
        <v>84</v>
      </c>
      <c r="B1350" t="s">
        <v>995</v>
      </c>
      <c r="C1350">
        <v>6</v>
      </c>
      <c r="D1350" t="s">
        <v>23</v>
      </c>
      <c r="E1350" t="s">
        <v>95</v>
      </c>
      <c r="F1350" t="s">
        <v>102</v>
      </c>
      <c r="G1350" t="s">
        <v>121</v>
      </c>
      <c r="H1350" t="s">
        <v>248</v>
      </c>
      <c r="J1350">
        <v>0</v>
      </c>
      <c r="K1350">
        <v>1</v>
      </c>
      <c r="L1350">
        <v>84.740740740000007</v>
      </c>
      <c r="M1350">
        <v>29.167014049999999</v>
      </c>
      <c r="N1350">
        <v>1.1169849999999999</v>
      </c>
      <c r="O1350">
        <v>1.1571499000000001</v>
      </c>
      <c r="P1350">
        <v>83.92307692</v>
      </c>
      <c r="Q1350">
        <v>44.319135699999997</v>
      </c>
      <c r="R1350">
        <v>5.9548609999999997E-3</v>
      </c>
      <c r="S1350">
        <v>0.18017928</v>
      </c>
      <c r="T1350" t="s">
        <v>1015</v>
      </c>
      <c r="U1350">
        <v>0.81766382000000004</v>
      </c>
    </row>
    <row r="1351" spans="1:21" x14ac:dyDescent="0.25">
      <c r="A1351" t="s">
        <v>84</v>
      </c>
      <c r="B1351" t="s">
        <v>995</v>
      </c>
      <c r="C1351">
        <v>6</v>
      </c>
      <c r="D1351" t="s">
        <v>23</v>
      </c>
      <c r="E1351" t="s">
        <v>95</v>
      </c>
      <c r="F1351" t="s">
        <v>102</v>
      </c>
      <c r="G1351" t="s">
        <v>121</v>
      </c>
      <c r="H1351" t="s">
        <v>233</v>
      </c>
      <c r="J1351">
        <v>0</v>
      </c>
      <c r="K1351">
        <v>1</v>
      </c>
      <c r="L1351">
        <v>84.740740740000007</v>
      </c>
      <c r="M1351">
        <v>29.167014049999999</v>
      </c>
      <c r="N1351">
        <v>1.1169849999999999</v>
      </c>
      <c r="O1351">
        <v>1.1571499000000001</v>
      </c>
      <c r="P1351">
        <v>106.0540541</v>
      </c>
      <c r="Q1351">
        <v>52.690533369999997</v>
      </c>
      <c r="R1351">
        <v>7.6058968000000005E-2</v>
      </c>
      <c r="S1351">
        <v>0.44888888999999998</v>
      </c>
      <c r="T1351" t="s">
        <v>1015</v>
      </c>
      <c r="U1351">
        <v>21.313313359999999</v>
      </c>
    </row>
    <row r="1352" spans="1:21" x14ac:dyDescent="0.25">
      <c r="A1352" t="s">
        <v>84</v>
      </c>
      <c r="B1352" t="s">
        <v>995</v>
      </c>
      <c r="C1352">
        <v>6</v>
      </c>
      <c r="D1352" t="s">
        <v>23</v>
      </c>
      <c r="E1352" t="s">
        <v>95</v>
      </c>
      <c r="F1352" t="s">
        <v>102</v>
      </c>
      <c r="G1352" t="s">
        <v>121</v>
      </c>
      <c r="H1352" t="s">
        <v>103</v>
      </c>
      <c r="J1352">
        <v>0</v>
      </c>
      <c r="K1352">
        <v>5</v>
      </c>
      <c r="L1352">
        <v>84.740740740000007</v>
      </c>
      <c r="M1352">
        <v>29.167014049999999</v>
      </c>
      <c r="N1352">
        <v>1.1169849999999999</v>
      </c>
      <c r="O1352">
        <v>1.1571499000000001</v>
      </c>
      <c r="P1352">
        <v>98.291666669999998</v>
      </c>
      <c r="Q1352">
        <v>30.315130790000001</v>
      </c>
      <c r="R1352">
        <v>5.0803484000000003E-2</v>
      </c>
      <c r="S1352">
        <v>0.42866070000000001</v>
      </c>
      <c r="T1352" t="s">
        <v>1015</v>
      </c>
      <c r="U1352">
        <v>13.55092593</v>
      </c>
    </row>
    <row r="1353" spans="1:21" x14ac:dyDescent="0.25">
      <c r="A1353" t="s">
        <v>84</v>
      </c>
      <c r="B1353" t="s">
        <v>995</v>
      </c>
      <c r="C1353">
        <v>6</v>
      </c>
      <c r="D1353" t="s">
        <v>23</v>
      </c>
      <c r="E1353" t="s">
        <v>95</v>
      </c>
      <c r="F1353" t="s">
        <v>102</v>
      </c>
      <c r="G1353" t="s">
        <v>121</v>
      </c>
      <c r="H1353" t="s">
        <v>103</v>
      </c>
      <c r="J1353">
        <v>0</v>
      </c>
      <c r="K1353">
        <v>5</v>
      </c>
      <c r="L1353">
        <v>84.740740740000007</v>
      </c>
      <c r="M1353">
        <v>29.167014049999999</v>
      </c>
      <c r="N1353">
        <v>1.1169849999999999</v>
      </c>
      <c r="O1353">
        <v>1.1571499000000001</v>
      </c>
      <c r="P1353">
        <v>98.291666669999998</v>
      </c>
      <c r="Q1353">
        <v>30.315130790000001</v>
      </c>
      <c r="R1353">
        <v>5.0803484000000003E-2</v>
      </c>
      <c r="S1353">
        <v>0.42866070000000001</v>
      </c>
      <c r="T1353" t="s">
        <v>1015</v>
      </c>
      <c r="U1353">
        <v>13.55092593</v>
      </c>
    </row>
    <row r="1354" spans="1:21" x14ac:dyDescent="0.25">
      <c r="A1354" t="s">
        <v>84</v>
      </c>
      <c r="B1354" t="s">
        <v>995</v>
      </c>
      <c r="C1354">
        <v>6</v>
      </c>
      <c r="D1354" t="s">
        <v>23</v>
      </c>
      <c r="E1354" t="s">
        <v>95</v>
      </c>
      <c r="F1354" t="s">
        <v>102</v>
      </c>
      <c r="G1354" t="s">
        <v>121</v>
      </c>
      <c r="H1354" t="s">
        <v>103</v>
      </c>
      <c r="J1354">
        <v>0</v>
      </c>
      <c r="K1354">
        <v>5</v>
      </c>
      <c r="L1354">
        <v>84.740740740000007</v>
      </c>
      <c r="M1354">
        <v>29.167014049999999</v>
      </c>
      <c r="N1354">
        <v>1.1169849999999999</v>
      </c>
      <c r="O1354">
        <v>1.1571499000000001</v>
      </c>
      <c r="P1354">
        <v>98.291666669999998</v>
      </c>
      <c r="Q1354">
        <v>30.315130790000001</v>
      </c>
      <c r="R1354">
        <v>5.0803484000000003E-2</v>
      </c>
      <c r="S1354">
        <v>0.42866070000000001</v>
      </c>
      <c r="T1354" t="s">
        <v>1015</v>
      </c>
      <c r="U1354">
        <v>13.55092593</v>
      </c>
    </row>
    <row r="1355" spans="1:21" x14ac:dyDescent="0.25">
      <c r="A1355" t="s">
        <v>84</v>
      </c>
      <c r="B1355" t="s">
        <v>995</v>
      </c>
      <c r="C1355">
        <v>6</v>
      </c>
      <c r="D1355" t="s">
        <v>23</v>
      </c>
      <c r="E1355" t="s">
        <v>95</v>
      </c>
      <c r="F1355" t="s">
        <v>102</v>
      </c>
      <c r="G1355" t="s">
        <v>121</v>
      </c>
      <c r="H1355" t="s">
        <v>103</v>
      </c>
      <c r="J1355">
        <v>0</v>
      </c>
      <c r="K1355">
        <v>5</v>
      </c>
      <c r="L1355">
        <v>84.740740740000007</v>
      </c>
      <c r="M1355">
        <v>29.167014049999999</v>
      </c>
      <c r="N1355">
        <v>1.1169849999999999</v>
      </c>
      <c r="O1355">
        <v>1.1571499000000001</v>
      </c>
      <c r="P1355">
        <v>98.291666669999998</v>
      </c>
      <c r="Q1355">
        <v>30.315130790000001</v>
      </c>
      <c r="R1355">
        <v>5.0803484000000003E-2</v>
      </c>
      <c r="S1355">
        <v>0.42866070000000001</v>
      </c>
      <c r="T1355" t="s">
        <v>1015</v>
      </c>
      <c r="U1355">
        <v>13.55092593</v>
      </c>
    </row>
    <row r="1356" spans="1:21" x14ac:dyDescent="0.25">
      <c r="A1356" t="s">
        <v>84</v>
      </c>
      <c r="B1356" t="s">
        <v>995</v>
      </c>
      <c r="C1356">
        <v>6</v>
      </c>
      <c r="D1356" t="s">
        <v>23</v>
      </c>
      <c r="E1356" t="s">
        <v>95</v>
      </c>
      <c r="F1356" t="s">
        <v>102</v>
      </c>
      <c r="G1356" t="s">
        <v>121</v>
      </c>
      <c r="H1356" t="s">
        <v>103</v>
      </c>
      <c r="J1356">
        <v>0</v>
      </c>
      <c r="K1356">
        <v>5</v>
      </c>
      <c r="L1356">
        <v>84.740740740000007</v>
      </c>
      <c r="M1356">
        <v>29.167014049999999</v>
      </c>
      <c r="N1356">
        <v>1.1169849999999999</v>
      </c>
      <c r="O1356">
        <v>1.1571499000000001</v>
      </c>
      <c r="P1356">
        <v>98.291666669999998</v>
      </c>
      <c r="Q1356">
        <v>30.315130790000001</v>
      </c>
      <c r="R1356">
        <v>5.0803484000000003E-2</v>
      </c>
      <c r="S1356">
        <v>0.42866070000000001</v>
      </c>
      <c r="T1356" t="s">
        <v>1015</v>
      </c>
      <c r="U1356">
        <v>13.55092593</v>
      </c>
    </row>
    <row r="1357" spans="1:21" x14ac:dyDescent="0.25">
      <c r="A1357" t="s">
        <v>84</v>
      </c>
      <c r="B1357" t="s">
        <v>996</v>
      </c>
      <c r="C1357">
        <v>6</v>
      </c>
      <c r="D1357" t="s">
        <v>23</v>
      </c>
      <c r="E1357" t="s">
        <v>95</v>
      </c>
      <c r="F1357" t="s">
        <v>105</v>
      </c>
      <c r="G1357" t="s">
        <v>103</v>
      </c>
      <c r="H1357" t="s">
        <v>114</v>
      </c>
      <c r="J1357">
        <v>0</v>
      </c>
      <c r="K1357" t="s">
        <v>114</v>
      </c>
      <c r="L1357">
        <v>67.5</v>
      </c>
      <c r="M1357">
        <v>47.937235809999997</v>
      </c>
      <c r="N1357">
        <v>0.41599678000000001</v>
      </c>
      <c r="O1357">
        <v>2.0950346999999998</v>
      </c>
      <c r="P1357" t="s">
        <v>114</v>
      </c>
      <c r="Q1357" t="s">
        <v>114</v>
      </c>
      <c r="R1357" t="s">
        <v>114</v>
      </c>
      <c r="S1357" t="s">
        <v>114</v>
      </c>
      <c r="T1357" t="s">
        <v>1015</v>
      </c>
      <c r="U1357" t="s">
        <v>114</v>
      </c>
    </row>
    <row r="1358" spans="1:21" x14ac:dyDescent="0.25">
      <c r="A1358" t="s">
        <v>84</v>
      </c>
      <c r="B1358" t="s">
        <v>997</v>
      </c>
      <c r="C1358">
        <v>6</v>
      </c>
      <c r="D1358" t="s">
        <v>23</v>
      </c>
      <c r="E1358" t="s">
        <v>95</v>
      </c>
      <c r="F1358" t="s">
        <v>111</v>
      </c>
      <c r="G1358" t="s">
        <v>103</v>
      </c>
      <c r="H1358" t="s">
        <v>103</v>
      </c>
      <c r="J1358">
        <v>0</v>
      </c>
      <c r="K1358">
        <v>2</v>
      </c>
      <c r="L1358">
        <v>94.97142857</v>
      </c>
      <c r="M1358">
        <v>24.31591813</v>
      </c>
      <c r="N1358">
        <v>0.122951111</v>
      </c>
      <c r="O1358">
        <v>0.39050790000000002</v>
      </c>
      <c r="P1358">
        <v>98.291666669999998</v>
      </c>
      <c r="Q1358">
        <v>30.315130790000001</v>
      </c>
      <c r="R1358">
        <v>5.0803484000000003E-2</v>
      </c>
      <c r="S1358">
        <v>0.42866070000000001</v>
      </c>
      <c r="T1358" t="s">
        <v>1015</v>
      </c>
      <c r="U1358">
        <v>3.3202381000000001</v>
      </c>
    </row>
    <row r="1359" spans="1:21" x14ac:dyDescent="0.25">
      <c r="A1359" t="s">
        <v>84</v>
      </c>
      <c r="B1359" t="s">
        <v>997</v>
      </c>
      <c r="C1359">
        <v>6</v>
      </c>
      <c r="D1359" t="s">
        <v>23</v>
      </c>
      <c r="E1359" t="s">
        <v>95</v>
      </c>
      <c r="F1359" t="s">
        <v>111</v>
      </c>
      <c r="G1359" t="s">
        <v>103</v>
      </c>
      <c r="H1359" t="s">
        <v>103</v>
      </c>
      <c r="J1359">
        <v>0</v>
      </c>
      <c r="K1359">
        <v>2</v>
      </c>
      <c r="L1359">
        <v>94.97142857</v>
      </c>
      <c r="M1359">
        <v>24.31591813</v>
      </c>
      <c r="N1359">
        <v>0.122951111</v>
      </c>
      <c r="O1359">
        <v>0.39050790000000002</v>
      </c>
      <c r="P1359">
        <v>98.291666669999998</v>
      </c>
      <c r="Q1359">
        <v>30.315130790000001</v>
      </c>
      <c r="R1359">
        <v>5.0803484000000003E-2</v>
      </c>
      <c r="S1359">
        <v>0.42866070000000001</v>
      </c>
      <c r="T1359" t="s">
        <v>1015</v>
      </c>
      <c r="U1359">
        <v>3.3202381000000001</v>
      </c>
    </row>
    <row r="1360" spans="1:21" x14ac:dyDescent="0.25">
      <c r="A1360" t="s">
        <v>84</v>
      </c>
      <c r="B1360" t="s">
        <v>997</v>
      </c>
      <c r="C1360">
        <v>6</v>
      </c>
      <c r="D1360" t="s">
        <v>23</v>
      </c>
      <c r="E1360" t="s">
        <v>95</v>
      </c>
      <c r="F1360" t="s">
        <v>111</v>
      </c>
      <c r="G1360" t="s">
        <v>103</v>
      </c>
      <c r="H1360" t="s">
        <v>247</v>
      </c>
      <c r="J1360">
        <v>0</v>
      </c>
      <c r="K1360">
        <v>1</v>
      </c>
      <c r="L1360">
        <v>94.97142857</v>
      </c>
      <c r="M1360">
        <v>24.31591813</v>
      </c>
      <c r="N1360">
        <v>0.122951111</v>
      </c>
      <c r="O1360">
        <v>0.39050790000000002</v>
      </c>
      <c r="P1360">
        <v>65.791044779999993</v>
      </c>
      <c r="Q1360">
        <v>22.94519201</v>
      </c>
      <c r="R1360">
        <v>8.1320334999999994E-2</v>
      </c>
      <c r="S1360">
        <v>0.17285655</v>
      </c>
      <c r="T1360" t="s">
        <v>1015</v>
      </c>
      <c r="U1360">
        <v>29.18038379</v>
      </c>
    </row>
    <row r="1361" spans="1:21" x14ac:dyDescent="0.25">
      <c r="A1361" t="s">
        <v>84</v>
      </c>
      <c r="B1361" t="s">
        <v>997</v>
      </c>
      <c r="C1361">
        <v>6</v>
      </c>
      <c r="D1361" t="s">
        <v>23</v>
      </c>
      <c r="E1361" t="s">
        <v>95</v>
      </c>
      <c r="F1361" t="s">
        <v>111</v>
      </c>
      <c r="G1361" t="s">
        <v>103</v>
      </c>
      <c r="H1361" t="s">
        <v>233</v>
      </c>
      <c r="J1361">
        <v>0</v>
      </c>
      <c r="K1361">
        <v>1</v>
      </c>
      <c r="L1361">
        <v>94.97142857</v>
      </c>
      <c r="M1361">
        <v>24.31591813</v>
      </c>
      <c r="N1361">
        <v>0.122951111</v>
      </c>
      <c r="O1361">
        <v>0.39050790000000002</v>
      </c>
      <c r="P1361">
        <v>106.0540541</v>
      </c>
      <c r="Q1361">
        <v>52.690533369999997</v>
      </c>
      <c r="R1361">
        <v>7.6058968000000005E-2</v>
      </c>
      <c r="S1361">
        <v>0.44888888999999998</v>
      </c>
      <c r="T1361" t="s">
        <v>1015</v>
      </c>
      <c r="U1361">
        <v>11.08262553</v>
      </c>
    </row>
    <row r="1362" spans="1:21" x14ac:dyDescent="0.25">
      <c r="A1362" t="s">
        <v>84</v>
      </c>
      <c r="B1362" t="s">
        <v>997</v>
      </c>
      <c r="C1362">
        <v>6</v>
      </c>
      <c r="D1362" t="s">
        <v>23</v>
      </c>
      <c r="E1362" t="s">
        <v>95</v>
      </c>
      <c r="F1362" t="s">
        <v>111</v>
      </c>
      <c r="G1362" t="s">
        <v>103</v>
      </c>
      <c r="H1362" t="s">
        <v>808</v>
      </c>
      <c r="J1362">
        <v>0</v>
      </c>
      <c r="K1362">
        <v>1</v>
      </c>
      <c r="L1362">
        <v>94.97142857</v>
      </c>
      <c r="M1362">
        <v>24.31591813</v>
      </c>
      <c r="N1362">
        <v>0.122951111</v>
      </c>
      <c r="O1362">
        <v>0.39050790000000002</v>
      </c>
      <c r="P1362">
        <v>102.79166669999999</v>
      </c>
      <c r="Q1362">
        <v>27.057373470000002</v>
      </c>
      <c r="R1362">
        <v>6.3567849939999999</v>
      </c>
      <c r="S1362" t="s">
        <v>114</v>
      </c>
      <c r="T1362" t="s">
        <v>1015</v>
      </c>
      <c r="U1362">
        <v>7.8202381299999999</v>
      </c>
    </row>
    <row r="1363" spans="1:21" x14ac:dyDescent="0.25">
      <c r="A1363" t="s">
        <v>84</v>
      </c>
      <c r="B1363" t="s">
        <v>998</v>
      </c>
      <c r="C1363">
        <v>6</v>
      </c>
      <c r="D1363" t="s">
        <v>23</v>
      </c>
      <c r="E1363" t="s">
        <v>95</v>
      </c>
      <c r="F1363" t="s">
        <v>112</v>
      </c>
      <c r="G1363" t="s">
        <v>103</v>
      </c>
      <c r="H1363" t="s">
        <v>236</v>
      </c>
      <c r="J1363">
        <v>0</v>
      </c>
      <c r="K1363">
        <v>1</v>
      </c>
      <c r="L1363">
        <v>65.09375</v>
      </c>
      <c r="M1363">
        <v>37.895352600000002</v>
      </c>
      <c r="N1363">
        <v>2.2882677779999998</v>
      </c>
      <c r="O1363">
        <v>2.2111774</v>
      </c>
      <c r="P1363">
        <v>113.33333330000001</v>
      </c>
      <c r="Q1363">
        <v>26.41632581</v>
      </c>
      <c r="R1363">
        <v>1.6844570160000001</v>
      </c>
      <c r="S1363">
        <v>8.9285710000000004E-2</v>
      </c>
      <c r="T1363" t="s">
        <v>1015</v>
      </c>
      <c r="U1363">
        <v>48.2395833</v>
      </c>
    </row>
    <row r="1364" spans="1:21" x14ac:dyDescent="0.25">
      <c r="A1364" t="s">
        <v>84</v>
      </c>
      <c r="B1364" t="s">
        <v>998</v>
      </c>
      <c r="C1364">
        <v>6</v>
      </c>
      <c r="D1364" t="s">
        <v>23</v>
      </c>
      <c r="E1364" t="s">
        <v>95</v>
      </c>
      <c r="F1364" t="s">
        <v>112</v>
      </c>
      <c r="G1364" t="s">
        <v>103</v>
      </c>
      <c r="H1364" t="s">
        <v>103</v>
      </c>
      <c r="J1364">
        <v>0</v>
      </c>
      <c r="K1364">
        <v>2</v>
      </c>
      <c r="L1364">
        <v>65.09375</v>
      </c>
      <c r="M1364">
        <v>37.895352600000002</v>
      </c>
      <c r="N1364">
        <v>2.2882677779999998</v>
      </c>
      <c r="O1364">
        <v>2.2111774</v>
      </c>
      <c r="P1364">
        <v>98.291666669999998</v>
      </c>
      <c r="Q1364">
        <v>30.315130790000001</v>
      </c>
      <c r="R1364">
        <v>5.0803484000000003E-2</v>
      </c>
      <c r="S1364">
        <v>0.42866070000000001</v>
      </c>
      <c r="T1364" t="s">
        <v>1015</v>
      </c>
      <c r="U1364">
        <v>33.197916669999998</v>
      </c>
    </row>
    <row r="1365" spans="1:21" x14ac:dyDescent="0.25">
      <c r="A1365" t="s">
        <v>84</v>
      </c>
      <c r="B1365" t="s">
        <v>998</v>
      </c>
      <c r="C1365">
        <v>6</v>
      </c>
      <c r="D1365" t="s">
        <v>23</v>
      </c>
      <c r="E1365" t="s">
        <v>95</v>
      </c>
      <c r="F1365" t="s">
        <v>112</v>
      </c>
      <c r="G1365" t="s">
        <v>103</v>
      </c>
      <c r="H1365" t="s">
        <v>103</v>
      </c>
      <c r="J1365">
        <v>0</v>
      </c>
      <c r="K1365">
        <v>2</v>
      </c>
      <c r="L1365">
        <v>65.09375</v>
      </c>
      <c r="M1365">
        <v>37.895352600000002</v>
      </c>
      <c r="N1365">
        <v>2.2882677779999998</v>
      </c>
      <c r="O1365">
        <v>2.2111774</v>
      </c>
      <c r="P1365">
        <v>98.291666669999998</v>
      </c>
      <c r="Q1365">
        <v>30.315130790000001</v>
      </c>
      <c r="R1365">
        <v>5.0803484000000003E-2</v>
      </c>
      <c r="S1365">
        <v>0.42866070000000001</v>
      </c>
      <c r="T1365" t="s">
        <v>1015</v>
      </c>
      <c r="U1365">
        <v>33.197916669999998</v>
      </c>
    </row>
    <row r="1366" spans="1:21" x14ac:dyDescent="0.25">
      <c r="A1366" t="s">
        <v>84</v>
      </c>
      <c r="B1366" t="s">
        <v>998</v>
      </c>
      <c r="C1366">
        <v>6</v>
      </c>
      <c r="D1366" t="s">
        <v>23</v>
      </c>
      <c r="E1366" t="s">
        <v>95</v>
      </c>
      <c r="F1366" t="s">
        <v>112</v>
      </c>
      <c r="G1366" t="s">
        <v>103</v>
      </c>
      <c r="H1366" t="s">
        <v>808</v>
      </c>
      <c r="J1366">
        <v>0</v>
      </c>
      <c r="K1366">
        <v>1</v>
      </c>
      <c r="L1366">
        <v>65.09375</v>
      </c>
      <c r="M1366">
        <v>37.895352600000002</v>
      </c>
      <c r="N1366">
        <v>2.2882677779999998</v>
      </c>
      <c r="O1366">
        <v>2.2111774</v>
      </c>
      <c r="P1366">
        <v>102.79166669999999</v>
      </c>
      <c r="Q1366">
        <v>27.057373470000002</v>
      </c>
      <c r="R1366">
        <v>6.3567849939999999</v>
      </c>
      <c r="S1366" t="s">
        <v>114</v>
      </c>
      <c r="T1366" t="s">
        <v>1015</v>
      </c>
      <c r="U1366">
        <v>37.6979167</v>
      </c>
    </row>
    <row r="1367" spans="1:21" x14ac:dyDescent="0.25">
      <c r="A1367" t="s">
        <v>84</v>
      </c>
      <c r="B1367" t="s">
        <v>998</v>
      </c>
      <c r="C1367">
        <v>6</v>
      </c>
      <c r="D1367" t="s">
        <v>23</v>
      </c>
      <c r="E1367" t="s">
        <v>95</v>
      </c>
      <c r="F1367" t="s">
        <v>112</v>
      </c>
      <c r="G1367" t="s">
        <v>103</v>
      </c>
      <c r="H1367" t="s">
        <v>239</v>
      </c>
      <c r="J1367">
        <v>0</v>
      </c>
      <c r="K1367">
        <v>2</v>
      </c>
      <c r="L1367">
        <v>65.09375</v>
      </c>
      <c r="M1367">
        <v>37.895352600000002</v>
      </c>
      <c r="N1367">
        <v>2.2882677779999998</v>
      </c>
      <c r="O1367">
        <v>2.2111774</v>
      </c>
      <c r="P1367">
        <v>100.45454549999999</v>
      </c>
      <c r="Q1367">
        <v>26.754810689999999</v>
      </c>
      <c r="R1367">
        <v>0.75829999999999997</v>
      </c>
      <c r="S1367">
        <v>0.40907861000000001</v>
      </c>
      <c r="T1367" t="s">
        <v>1015</v>
      </c>
      <c r="U1367">
        <v>35.360795500000002</v>
      </c>
    </row>
    <row r="1368" spans="1:21" x14ac:dyDescent="0.25">
      <c r="A1368" t="s">
        <v>84</v>
      </c>
      <c r="B1368" t="s">
        <v>998</v>
      </c>
      <c r="C1368">
        <v>6</v>
      </c>
      <c r="D1368" t="s">
        <v>23</v>
      </c>
      <c r="E1368" t="s">
        <v>95</v>
      </c>
      <c r="F1368" t="s">
        <v>112</v>
      </c>
      <c r="G1368" t="s">
        <v>103</v>
      </c>
      <c r="H1368" t="s">
        <v>239</v>
      </c>
      <c r="J1368">
        <v>0</v>
      </c>
      <c r="K1368">
        <v>2</v>
      </c>
      <c r="L1368">
        <v>65.09375</v>
      </c>
      <c r="M1368">
        <v>37.895352600000002</v>
      </c>
      <c r="N1368">
        <v>2.2882677779999998</v>
      </c>
      <c r="O1368">
        <v>2.2111774</v>
      </c>
      <c r="P1368">
        <v>100.45454549999999</v>
      </c>
      <c r="Q1368">
        <v>26.754810689999999</v>
      </c>
      <c r="R1368">
        <v>0.75829999999999997</v>
      </c>
      <c r="S1368">
        <v>0.40907861000000001</v>
      </c>
      <c r="T1368" t="s">
        <v>1015</v>
      </c>
      <c r="U1368">
        <v>35.360795500000002</v>
      </c>
    </row>
    <row r="1369" spans="1:21" x14ac:dyDescent="0.25">
      <c r="A1369" t="s">
        <v>85</v>
      </c>
      <c r="B1369" t="s">
        <v>999</v>
      </c>
      <c r="C1369">
        <v>6</v>
      </c>
      <c r="D1369" t="s">
        <v>25</v>
      </c>
      <c r="E1369" t="s">
        <v>94</v>
      </c>
      <c r="F1369" t="s">
        <v>105</v>
      </c>
      <c r="G1369" t="s">
        <v>103</v>
      </c>
      <c r="H1369" t="s">
        <v>810</v>
      </c>
      <c r="J1369">
        <v>0</v>
      </c>
      <c r="K1369">
        <v>1</v>
      </c>
      <c r="L1369">
        <v>67.5</v>
      </c>
      <c r="M1369">
        <v>47.937235809999997</v>
      </c>
      <c r="N1369">
        <v>0.41599678000000001</v>
      </c>
      <c r="O1369">
        <v>2.0950346999999998</v>
      </c>
      <c r="P1369">
        <v>77.055555560000002</v>
      </c>
      <c r="Q1369">
        <v>18.389110710000001</v>
      </c>
      <c r="R1369">
        <v>1.5559800079999999</v>
      </c>
      <c r="S1369" t="s">
        <v>114</v>
      </c>
      <c r="T1369" t="s">
        <v>1015</v>
      </c>
      <c r="U1369">
        <v>9.5555555600000002</v>
      </c>
    </row>
    <row r="1370" spans="1:21" x14ac:dyDescent="0.25">
      <c r="A1370" t="s">
        <v>85</v>
      </c>
      <c r="B1370" t="s">
        <v>999</v>
      </c>
      <c r="C1370">
        <v>6</v>
      </c>
      <c r="D1370" t="s">
        <v>25</v>
      </c>
      <c r="E1370" t="s">
        <v>94</v>
      </c>
      <c r="F1370" t="s">
        <v>105</v>
      </c>
      <c r="G1370" t="s">
        <v>103</v>
      </c>
      <c r="H1370" t="s">
        <v>104</v>
      </c>
      <c r="J1370">
        <v>0</v>
      </c>
      <c r="K1370">
        <v>1</v>
      </c>
      <c r="L1370">
        <v>67.5</v>
      </c>
      <c r="M1370">
        <v>47.937235809999997</v>
      </c>
      <c r="N1370">
        <v>0.41599678000000001</v>
      </c>
      <c r="O1370">
        <v>2.0950346999999998</v>
      </c>
      <c r="P1370">
        <v>113.9375</v>
      </c>
      <c r="Q1370">
        <v>33.375507550000002</v>
      </c>
      <c r="R1370">
        <v>2.4262999999999999</v>
      </c>
      <c r="S1370">
        <v>0.40692159999999999</v>
      </c>
      <c r="T1370" t="s">
        <v>1015</v>
      </c>
      <c r="U1370">
        <v>46.4375</v>
      </c>
    </row>
    <row r="1371" spans="1:21" x14ac:dyDescent="0.25">
      <c r="A1371" t="s">
        <v>85</v>
      </c>
      <c r="B1371" t="s">
        <v>999</v>
      </c>
      <c r="C1371">
        <v>6</v>
      </c>
      <c r="D1371" t="s">
        <v>25</v>
      </c>
      <c r="E1371" t="s">
        <v>94</v>
      </c>
      <c r="F1371" t="s">
        <v>105</v>
      </c>
      <c r="G1371" t="s">
        <v>103</v>
      </c>
      <c r="H1371" t="s">
        <v>110</v>
      </c>
      <c r="J1371">
        <v>0</v>
      </c>
      <c r="K1371">
        <v>1</v>
      </c>
      <c r="L1371">
        <v>67.5</v>
      </c>
      <c r="M1371">
        <v>47.937235809999997</v>
      </c>
      <c r="N1371">
        <v>0.41599678000000001</v>
      </c>
      <c r="O1371">
        <v>2.0950346999999998</v>
      </c>
      <c r="P1371">
        <v>73.260869569999997</v>
      </c>
      <c r="Q1371">
        <v>34.453830549999999</v>
      </c>
      <c r="R1371">
        <v>1.058333333</v>
      </c>
      <c r="S1371">
        <v>0.90897070000000002</v>
      </c>
      <c r="T1371" t="s">
        <v>1015</v>
      </c>
      <c r="U1371">
        <v>5.7608695699999997</v>
      </c>
    </row>
    <row r="1372" spans="1:21" x14ac:dyDescent="0.25">
      <c r="A1372" t="s">
        <v>85</v>
      </c>
      <c r="B1372" t="s">
        <v>999</v>
      </c>
      <c r="C1372">
        <v>6</v>
      </c>
      <c r="D1372" t="s">
        <v>25</v>
      </c>
      <c r="E1372" t="s">
        <v>94</v>
      </c>
      <c r="F1372" t="s">
        <v>105</v>
      </c>
      <c r="G1372" t="s">
        <v>103</v>
      </c>
      <c r="H1372" t="s">
        <v>103</v>
      </c>
      <c r="J1372">
        <v>0</v>
      </c>
      <c r="K1372">
        <v>4</v>
      </c>
      <c r="L1372">
        <v>67.5</v>
      </c>
      <c r="M1372">
        <v>47.937235809999997</v>
      </c>
      <c r="N1372">
        <v>0.41599678000000001</v>
      </c>
      <c r="O1372">
        <v>2.0950346999999998</v>
      </c>
      <c r="P1372">
        <v>98.291666669999998</v>
      </c>
      <c r="Q1372">
        <v>30.315130790000001</v>
      </c>
      <c r="R1372">
        <v>5.0803484000000003E-2</v>
      </c>
      <c r="S1372">
        <v>0.42866070000000001</v>
      </c>
      <c r="T1372" t="s">
        <v>1015</v>
      </c>
      <c r="U1372">
        <v>30.791666670000001</v>
      </c>
    </row>
    <row r="1373" spans="1:21" x14ac:dyDescent="0.25">
      <c r="A1373" t="s">
        <v>85</v>
      </c>
      <c r="B1373" t="s">
        <v>999</v>
      </c>
      <c r="C1373">
        <v>6</v>
      </c>
      <c r="D1373" t="s">
        <v>25</v>
      </c>
      <c r="E1373" t="s">
        <v>94</v>
      </c>
      <c r="F1373" t="s">
        <v>105</v>
      </c>
      <c r="G1373" t="s">
        <v>103</v>
      </c>
      <c r="H1373" t="s">
        <v>103</v>
      </c>
      <c r="J1373">
        <v>0</v>
      </c>
      <c r="K1373">
        <v>4</v>
      </c>
      <c r="L1373">
        <v>67.5</v>
      </c>
      <c r="M1373">
        <v>47.937235809999997</v>
      </c>
      <c r="N1373">
        <v>0.41599678000000001</v>
      </c>
      <c r="O1373">
        <v>2.0950346999999998</v>
      </c>
      <c r="P1373">
        <v>98.291666669999998</v>
      </c>
      <c r="Q1373">
        <v>30.315130790000001</v>
      </c>
      <c r="R1373">
        <v>5.0803484000000003E-2</v>
      </c>
      <c r="S1373">
        <v>0.42866070000000001</v>
      </c>
      <c r="T1373" t="s">
        <v>1015</v>
      </c>
      <c r="U1373">
        <v>30.791666670000001</v>
      </c>
    </row>
    <row r="1374" spans="1:21" x14ac:dyDescent="0.25">
      <c r="A1374" t="s">
        <v>85</v>
      </c>
      <c r="B1374" t="s">
        <v>999</v>
      </c>
      <c r="C1374">
        <v>6</v>
      </c>
      <c r="D1374" t="s">
        <v>25</v>
      </c>
      <c r="E1374" t="s">
        <v>94</v>
      </c>
      <c r="F1374" t="s">
        <v>105</v>
      </c>
      <c r="G1374" t="s">
        <v>103</v>
      </c>
      <c r="H1374" t="s">
        <v>103</v>
      </c>
      <c r="J1374">
        <v>0</v>
      </c>
      <c r="K1374">
        <v>4</v>
      </c>
      <c r="L1374">
        <v>67.5</v>
      </c>
      <c r="M1374">
        <v>47.937235809999997</v>
      </c>
      <c r="N1374">
        <v>0.41599678000000001</v>
      </c>
      <c r="O1374">
        <v>2.0950346999999998</v>
      </c>
      <c r="P1374">
        <v>98.291666669999998</v>
      </c>
      <c r="Q1374">
        <v>30.315130790000001</v>
      </c>
      <c r="R1374">
        <v>5.0803484000000003E-2</v>
      </c>
      <c r="S1374">
        <v>0.42866070000000001</v>
      </c>
      <c r="T1374" t="s">
        <v>1015</v>
      </c>
      <c r="U1374">
        <v>30.791666670000001</v>
      </c>
    </row>
    <row r="1375" spans="1:21" x14ac:dyDescent="0.25">
      <c r="A1375" t="s">
        <v>85</v>
      </c>
      <c r="B1375" t="s">
        <v>999</v>
      </c>
      <c r="C1375">
        <v>6</v>
      </c>
      <c r="D1375" t="s">
        <v>25</v>
      </c>
      <c r="E1375" t="s">
        <v>94</v>
      </c>
      <c r="F1375" t="s">
        <v>105</v>
      </c>
      <c r="G1375" t="s">
        <v>103</v>
      </c>
      <c r="H1375" t="s">
        <v>103</v>
      </c>
      <c r="J1375">
        <v>0</v>
      </c>
      <c r="K1375">
        <v>4</v>
      </c>
      <c r="L1375">
        <v>67.5</v>
      </c>
      <c r="M1375">
        <v>47.937235809999997</v>
      </c>
      <c r="N1375">
        <v>0.41599678000000001</v>
      </c>
      <c r="O1375">
        <v>2.0950346999999998</v>
      </c>
      <c r="P1375">
        <v>98.291666669999998</v>
      </c>
      <c r="Q1375">
        <v>30.315130790000001</v>
      </c>
      <c r="R1375">
        <v>5.0803484000000003E-2</v>
      </c>
      <c r="S1375">
        <v>0.42866070000000001</v>
      </c>
      <c r="T1375" t="s">
        <v>1015</v>
      </c>
      <c r="U1375">
        <v>30.791666670000001</v>
      </c>
    </row>
    <row r="1376" spans="1:21" x14ac:dyDescent="0.25">
      <c r="A1376" t="s">
        <v>85</v>
      </c>
      <c r="B1376" t="s">
        <v>1000</v>
      </c>
      <c r="C1376">
        <v>6</v>
      </c>
      <c r="D1376" t="s">
        <v>25</v>
      </c>
      <c r="E1376" t="s">
        <v>94</v>
      </c>
      <c r="F1376" t="s">
        <v>110</v>
      </c>
      <c r="G1376" t="s">
        <v>103</v>
      </c>
      <c r="H1376" t="s">
        <v>103</v>
      </c>
      <c r="J1376">
        <v>0</v>
      </c>
      <c r="K1376">
        <v>9</v>
      </c>
      <c r="L1376">
        <v>73.260869569999997</v>
      </c>
      <c r="M1376">
        <v>34.453830549999999</v>
      </c>
      <c r="N1376">
        <v>1.058333333</v>
      </c>
      <c r="O1376">
        <v>0.90897070000000002</v>
      </c>
      <c r="P1376">
        <v>98.291666669999998</v>
      </c>
      <c r="Q1376">
        <v>30.315130790000001</v>
      </c>
      <c r="R1376">
        <v>5.0803484000000003E-2</v>
      </c>
      <c r="S1376">
        <v>0.42866070000000001</v>
      </c>
      <c r="T1376" t="s">
        <v>1015</v>
      </c>
      <c r="U1376">
        <v>25.030797100000001</v>
      </c>
    </row>
    <row r="1377" spans="1:21" x14ac:dyDescent="0.25">
      <c r="A1377" t="s">
        <v>85</v>
      </c>
      <c r="B1377" t="s">
        <v>1000</v>
      </c>
      <c r="C1377">
        <v>6</v>
      </c>
      <c r="D1377" t="s">
        <v>25</v>
      </c>
      <c r="E1377" t="s">
        <v>94</v>
      </c>
      <c r="F1377" t="s">
        <v>110</v>
      </c>
      <c r="G1377" t="s">
        <v>103</v>
      </c>
      <c r="H1377" t="s">
        <v>103</v>
      </c>
      <c r="J1377">
        <v>0</v>
      </c>
      <c r="K1377">
        <v>9</v>
      </c>
      <c r="L1377">
        <v>73.260869569999997</v>
      </c>
      <c r="M1377">
        <v>34.453830549999999</v>
      </c>
      <c r="N1377">
        <v>1.058333333</v>
      </c>
      <c r="O1377">
        <v>0.90897070000000002</v>
      </c>
      <c r="P1377">
        <v>98.291666669999998</v>
      </c>
      <c r="Q1377">
        <v>30.315130790000001</v>
      </c>
      <c r="R1377">
        <v>5.0803484000000003E-2</v>
      </c>
      <c r="S1377">
        <v>0.42866070000000001</v>
      </c>
      <c r="T1377" t="s">
        <v>1015</v>
      </c>
      <c r="U1377">
        <v>25.030797100000001</v>
      </c>
    </row>
    <row r="1378" spans="1:21" x14ac:dyDescent="0.25">
      <c r="A1378" t="s">
        <v>85</v>
      </c>
      <c r="B1378" t="s">
        <v>1000</v>
      </c>
      <c r="C1378">
        <v>6</v>
      </c>
      <c r="D1378" t="s">
        <v>25</v>
      </c>
      <c r="E1378" t="s">
        <v>94</v>
      </c>
      <c r="F1378" t="s">
        <v>110</v>
      </c>
      <c r="G1378" t="s">
        <v>103</v>
      </c>
      <c r="H1378" t="s">
        <v>103</v>
      </c>
      <c r="J1378">
        <v>0</v>
      </c>
      <c r="K1378">
        <v>9</v>
      </c>
      <c r="L1378">
        <v>73.260869569999997</v>
      </c>
      <c r="M1378">
        <v>34.453830549999999</v>
      </c>
      <c r="N1378">
        <v>1.058333333</v>
      </c>
      <c r="O1378">
        <v>0.90897070000000002</v>
      </c>
      <c r="P1378">
        <v>98.291666669999998</v>
      </c>
      <c r="Q1378">
        <v>30.315130790000001</v>
      </c>
      <c r="R1378">
        <v>5.0803484000000003E-2</v>
      </c>
      <c r="S1378">
        <v>0.42866070000000001</v>
      </c>
      <c r="T1378" t="s">
        <v>1015</v>
      </c>
      <c r="U1378">
        <v>25.030797100000001</v>
      </c>
    </row>
    <row r="1379" spans="1:21" x14ac:dyDescent="0.25">
      <c r="A1379" t="s">
        <v>85</v>
      </c>
      <c r="B1379" t="s">
        <v>1000</v>
      </c>
      <c r="C1379">
        <v>6</v>
      </c>
      <c r="D1379" t="s">
        <v>25</v>
      </c>
      <c r="E1379" t="s">
        <v>94</v>
      </c>
      <c r="F1379" t="s">
        <v>110</v>
      </c>
      <c r="G1379" t="s">
        <v>103</v>
      </c>
      <c r="H1379" t="s">
        <v>103</v>
      </c>
      <c r="J1379">
        <v>0</v>
      </c>
      <c r="K1379">
        <v>9</v>
      </c>
      <c r="L1379">
        <v>73.260869569999997</v>
      </c>
      <c r="M1379">
        <v>34.453830549999999</v>
      </c>
      <c r="N1379">
        <v>1.058333333</v>
      </c>
      <c r="O1379">
        <v>0.90897070000000002</v>
      </c>
      <c r="P1379">
        <v>98.291666669999998</v>
      </c>
      <c r="Q1379">
        <v>30.315130790000001</v>
      </c>
      <c r="R1379">
        <v>5.0803484000000003E-2</v>
      </c>
      <c r="S1379">
        <v>0.42866070000000001</v>
      </c>
      <c r="T1379" t="s">
        <v>1015</v>
      </c>
      <c r="U1379">
        <v>25.030797100000001</v>
      </c>
    </row>
    <row r="1380" spans="1:21" x14ac:dyDescent="0.25">
      <c r="A1380" t="s">
        <v>85</v>
      </c>
      <c r="B1380" t="s">
        <v>1000</v>
      </c>
      <c r="C1380">
        <v>6</v>
      </c>
      <c r="D1380" t="s">
        <v>25</v>
      </c>
      <c r="E1380" t="s">
        <v>94</v>
      </c>
      <c r="F1380" t="s">
        <v>110</v>
      </c>
      <c r="G1380" t="s">
        <v>103</v>
      </c>
      <c r="H1380" t="s">
        <v>103</v>
      </c>
      <c r="J1380">
        <v>0</v>
      </c>
      <c r="K1380">
        <v>9</v>
      </c>
      <c r="L1380">
        <v>73.260869569999997</v>
      </c>
      <c r="M1380">
        <v>34.453830549999999</v>
      </c>
      <c r="N1380">
        <v>1.058333333</v>
      </c>
      <c r="O1380">
        <v>0.90897070000000002</v>
      </c>
      <c r="P1380">
        <v>98.291666669999998</v>
      </c>
      <c r="Q1380">
        <v>30.315130790000001</v>
      </c>
      <c r="R1380">
        <v>5.0803484000000003E-2</v>
      </c>
      <c r="S1380">
        <v>0.42866070000000001</v>
      </c>
      <c r="T1380" t="s">
        <v>1015</v>
      </c>
      <c r="U1380">
        <v>25.030797100000001</v>
      </c>
    </row>
    <row r="1381" spans="1:21" x14ac:dyDescent="0.25">
      <c r="A1381" t="s">
        <v>85</v>
      </c>
      <c r="B1381" t="s">
        <v>1000</v>
      </c>
      <c r="C1381">
        <v>6</v>
      </c>
      <c r="D1381" t="s">
        <v>25</v>
      </c>
      <c r="E1381" t="s">
        <v>94</v>
      </c>
      <c r="F1381" t="s">
        <v>110</v>
      </c>
      <c r="G1381" t="s">
        <v>103</v>
      </c>
      <c r="H1381" t="s">
        <v>103</v>
      </c>
      <c r="J1381">
        <v>0</v>
      </c>
      <c r="K1381">
        <v>9</v>
      </c>
      <c r="L1381">
        <v>73.260869569999997</v>
      </c>
      <c r="M1381">
        <v>34.453830549999999</v>
      </c>
      <c r="N1381">
        <v>1.058333333</v>
      </c>
      <c r="O1381">
        <v>0.90897070000000002</v>
      </c>
      <c r="P1381">
        <v>98.291666669999998</v>
      </c>
      <c r="Q1381">
        <v>30.315130790000001</v>
      </c>
      <c r="R1381">
        <v>5.0803484000000003E-2</v>
      </c>
      <c r="S1381">
        <v>0.42866070000000001</v>
      </c>
      <c r="T1381" t="s">
        <v>1015</v>
      </c>
      <c r="U1381">
        <v>25.030797100000001</v>
      </c>
    </row>
    <row r="1382" spans="1:21" x14ac:dyDescent="0.25">
      <c r="A1382" t="s">
        <v>85</v>
      </c>
      <c r="B1382" t="s">
        <v>1000</v>
      </c>
      <c r="C1382">
        <v>6</v>
      </c>
      <c r="D1382" t="s">
        <v>25</v>
      </c>
      <c r="E1382" t="s">
        <v>94</v>
      </c>
      <c r="F1382" t="s">
        <v>110</v>
      </c>
      <c r="G1382" t="s">
        <v>103</v>
      </c>
      <c r="H1382" t="s">
        <v>103</v>
      </c>
      <c r="J1382">
        <v>0</v>
      </c>
      <c r="K1382">
        <v>9</v>
      </c>
      <c r="L1382">
        <v>73.260869569999997</v>
      </c>
      <c r="M1382">
        <v>34.453830549999999</v>
      </c>
      <c r="N1382">
        <v>1.058333333</v>
      </c>
      <c r="O1382">
        <v>0.90897070000000002</v>
      </c>
      <c r="P1382">
        <v>98.291666669999998</v>
      </c>
      <c r="Q1382">
        <v>30.315130790000001</v>
      </c>
      <c r="R1382">
        <v>5.0803484000000003E-2</v>
      </c>
      <c r="S1382">
        <v>0.42866070000000001</v>
      </c>
      <c r="T1382" t="s">
        <v>1015</v>
      </c>
      <c r="U1382">
        <v>25.030797100000001</v>
      </c>
    </row>
    <row r="1383" spans="1:21" x14ac:dyDescent="0.25">
      <c r="A1383" t="s">
        <v>85</v>
      </c>
      <c r="B1383" t="s">
        <v>1000</v>
      </c>
      <c r="C1383">
        <v>6</v>
      </c>
      <c r="D1383" t="s">
        <v>25</v>
      </c>
      <c r="E1383" t="s">
        <v>94</v>
      </c>
      <c r="F1383" t="s">
        <v>110</v>
      </c>
      <c r="G1383" t="s">
        <v>103</v>
      </c>
      <c r="H1383" t="s">
        <v>103</v>
      </c>
      <c r="J1383">
        <v>0</v>
      </c>
      <c r="K1383">
        <v>9</v>
      </c>
      <c r="L1383">
        <v>73.260869569999997</v>
      </c>
      <c r="M1383">
        <v>34.453830549999999</v>
      </c>
      <c r="N1383">
        <v>1.058333333</v>
      </c>
      <c r="O1383">
        <v>0.90897070000000002</v>
      </c>
      <c r="P1383">
        <v>98.291666669999998</v>
      </c>
      <c r="Q1383">
        <v>30.315130790000001</v>
      </c>
      <c r="R1383">
        <v>5.0803484000000003E-2</v>
      </c>
      <c r="S1383">
        <v>0.42866070000000001</v>
      </c>
      <c r="T1383" t="s">
        <v>1015</v>
      </c>
      <c r="U1383">
        <v>25.030797100000001</v>
      </c>
    </row>
    <row r="1384" spans="1:21" x14ac:dyDescent="0.25">
      <c r="A1384" t="s">
        <v>85</v>
      </c>
      <c r="B1384" t="s">
        <v>1000</v>
      </c>
      <c r="C1384">
        <v>6</v>
      </c>
      <c r="D1384" t="s">
        <v>25</v>
      </c>
      <c r="E1384" t="s">
        <v>94</v>
      </c>
      <c r="F1384" t="s">
        <v>110</v>
      </c>
      <c r="G1384" t="s">
        <v>103</v>
      </c>
      <c r="H1384" t="s">
        <v>103</v>
      </c>
      <c r="J1384">
        <v>0</v>
      </c>
      <c r="K1384">
        <v>9</v>
      </c>
      <c r="L1384">
        <v>73.260869569999997</v>
      </c>
      <c r="M1384">
        <v>34.453830549999999</v>
      </c>
      <c r="N1384">
        <v>1.058333333</v>
      </c>
      <c r="O1384">
        <v>0.90897070000000002</v>
      </c>
      <c r="P1384">
        <v>98.291666669999998</v>
      </c>
      <c r="Q1384">
        <v>30.315130790000001</v>
      </c>
      <c r="R1384">
        <v>5.0803484000000003E-2</v>
      </c>
      <c r="S1384">
        <v>0.42866070000000001</v>
      </c>
      <c r="T1384" t="s">
        <v>1015</v>
      </c>
      <c r="U1384">
        <v>25.030797100000001</v>
      </c>
    </row>
    <row r="1385" spans="1:21" x14ac:dyDescent="0.25">
      <c r="A1385" t="s">
        <v>85</v>
      </c>
      <c r="B1385" t="s">
        <v>1000</v>
      </c>
      <c r="C1385">
        <v>6</v>
      </c>
      <c r="D1385" t="s">
        <v>25</v>
      </c>
      <c r="E1385" t="s">
        <v>94</v>
      </c>
      <c r="F1385" t="s">
        <v>110</v>
      </c>
      <c r="G1385" t="s">
        <v>103</v>
      </c>
      <c r="H1385" t="s">
        <v>248</v>
      </c>
      <c r="J1385">
        <v>0</v>
      </c>
      <c r="K1385">
        <v>4</v>
      </c>
      <c r="L1385">
        <v>73.260869569999997</v>
      </c>
      <c r="M1385">
        <v>34.453830549999999</v>
      </c>
      <c r="N1385">
        <v>1.058333333</v>
      </c>
      <c r="O1385">
        <v>0.90897070000000002</v>
      </c>
      <c r="P1385">
        <v>83.92307692</v>
      </c>
      <c r="Q1385">
        <v>44.319135699999997</v>
      </c>
      <c r="R1385">
        <v>5.9548609999999997E-3</v>
      </c>
      <c r="S1385">
        <v>0.18017928</v>
      </c>
      <c r="T1385" t="s">
        <v>1015</v>
      </c>
      <c r="U1385">
        <v>10.662207349999999</v>
      </c>
    </row>
    <row r="1386" spans="1:21" x14ac:dyDescent="0.25">
      <c r="A1386" t="s">
        <v>85</v>
      </c>
      <c r="B1386" t="s">
        <v>1000</v>
      </c>
      <c r="C1386">
        <v>6</v>
      </c>
      <c r="D1386" t="s">
        <v>25</v>
      </c>
      <c r="E1386" t="s">
        <v>94</v>
      </c>
      <c r="F1386" t="s">
        <v>110</v>
      </c>
      <c r="G1386" t="s">
        <v>103</v>
      </c>
      <c r="H1386" t="s">
        <v>248</v>
      </c>
      <c r="J1386">
        <v>0</v>
      </c>
      <c r="K1386">
        <v>4</v>
      </c>
      <c r="L1386">
        <v>73.260869569999997</v>
      </c>
      <c r="M1386">
        <v>34.453830549999999</v>
      </c>
      <c r="N1386">
        <v>1.058333333</v>
      </c>
      <c r="O1386">
        <v>0.90897070000000002</v>
      </c>
      <c r="P1386">
        <v>83.92307692</v>
      </c>
      <c r="Q1386">
        <v>44.319135699999997</v>
      </c>
      <c r="R1386">
        <v>5.9548609999999997E-3</v>
      </c>
      <c r="S1386">
        <v>0.18017928</v>
      </c>
      <c r="T1386" t="s">
        <v>1015</v>
      </c>
      <c r="U1386">
        <v>10.662207349999999</v>
      </c>
    </row>
    <row r="1387" spans="1:21" x14ac:dyDescent="0.25">
      <c r="A1387" t="s">
        <v>85</v>
      </c>
      <c r="B1387" t="s">
        <v>1000</v>
      </c>
      <c r="C1387">
        <v>6</v>
      </c>
      <c r="D1387" t="s">
        <v>25</v>
      </c>
      <c r="E1387" t="s">
        <v>94</v>
      </c>
      <c r="F1387" t="s">
        <v>110</v>
      </c>
      <c r="G1387" t="s">
        <v>103</v>
      </c>
      <c r="H1387" t="s">
        <v>248</v>
      </c>
      <c r="J1387">
        <v>0</v>
      </c>
      <c r="K1387">
        <v>4</v>
      </c>
      <c r="L1387">
        <v>73.260869569999997</v>
      </c>
      <c r="M1387">
        <v>34.453830549999999</v>
      </c>
      <c r="N1387">
        <v>1.058333333</v>
      </c>
      <c r="O1387">
        <v>0.90897070000000002</v>
      </c>
      <c r="P1387">
        <v>83.92307692</v>
      </c>
      <c r="Q1387">
        <v>44.319135699999997</v>
      </c>
      <c r="R1387">
        <v>5.9548609999999997E-3</v>
      </c>
      <c r="S1387">
        <v>0.18017928</v>
      </c>
      <c r="T1387" t="s">
        <v>1015</v>
      </c>
      <c r="U1387">
        <v>10.662207349999999</v>
      </c>
    </row>
    <row r="1388" spans="1:21" x14ac:dyDescent="0.25">
      <c r="A1388" t="s">
        <v>85</v>
      </c>
      <c r="B1388" t="s">
        <v>1000</v>
      </c>
      <c r="C1388">
        <v>6</v>
      </c>
      <c r="D1388" t="s">
        <v>25</v>
      </c>
      <c r="E1388" t="s">
        <v>94</v>
      </c>
      <c r="F1388" t="s">
        <v>110</v>
      </c>
      <c r="G1388" t="s">
        <v>103</v>
      </c>
      <c r="H1388" t="s">
        <v>248</v>
      </c>
      <c r="J1388">
        <v>0</v>
      </c>
      <c r="K1388">
        <v>4</v>
      </c>
      <c r="L1388">
        <v>73.260869569999997</v>
      </c>
      <c r="M1388">
        <v>34.453830549999999</v>
      </c>
      <c r="N1388">
        <v>1.058333333</v>
      </c>
      <c r="O1388">
        <v>0.90897070000000002</v>
      </c>
      <c r="P1388">
        <v>83.92307692</v>
      </c>
      <c r="Q1388">
        <v>44.319135699999997</v>
      </c>
      <c r="R1388">
        <v>5.9548609999999997E-3</v>
      </c>
      <c r="S1388">
        <v>0.18017928</v>
      </c>
      <c r="T1388" t="s">
        <v>1015</v>
      </c>
      <c r="U1388">
        <v>10.662207349999999</v>
      </c>
    </row>
    <row r="1389" spans="1:21" x14ac:dyDescent="0.25">
      <c r="A1389" t="s">
        <v>85</v>
      </c>
      <c r="B1389" t="s">
        <v>1000</v>
      </c>
      <c r="C1389">
        <v>6</v>
      </c>
      <c r="D1389" t="s">
        <v>25</v>
      </c>
      <c r="E1389" t="s">
        <v>94</v>
      </c>
      <c r="F1389" t="s">
        <v>110</v>
      </c>
      <c r="G1389" t="s">
        <v>103</v>
      </c>
      <c r="H1389" t="s">
        <v>233</v>
      </c>
      <c r="J1389">
        <v>0</v>
      </c>
      <c r="K1389">
        <v>3</v>
      </c>
      <c r="L1389">
        <v>73.260869569999997</v>
      </c>
      <c r="M1389">
        <v>34.453830549999999</v>
      </c>
      <c r="N1389">
        <v>1.058333333</v>
      </c>
      <c r="O1389">
        <v>0.90897070000000002</v>
      </c>
      <c r="P1389">
        <v>106.0540541</v>
      </c>
      <c r="Q1389">
        <v>52.690533369999997</v>
      </c>
      <c r="R1389">
        <v>7.6058968000000005E-2</v>
      </c>
      <c r="S1389">
        <v>0.44888888999999998</v>
      </c>
      <c r="T1389" t="s">
        <v>1015</v>
      </c>
      <c r="U1389">
        <v>32.793184529999998</v>
      </c>
    </row>
    <row r="1390" spans="1:21" x14ac:dyDescent="0.25">
      <c r="A1390" t="s">
        <v>85</v>
      </c>
      <c r="B1390" t="s">
        <v>1000</v>
      </c>
      <c r="C1390">
        <v>6</v>
      </c>
      <c r="D1390" t="s">
        <v>25</v>
      </c>
      <c r="E1390" t="s">
        <v>94</v>
      </c>
      <c r="F1390" t="s">
        <v>110</v>
      </c>
      <c r="G1390" t="s">
        <v>103</v>
      </c>
      <c r="H1390" t="s">
        <v>233</v>
      </c>
      <c r="J1390">
        <v>0</v>
      </c>
      <c r="K1390">
        <v>3</v>
      </c>
      <c r="L1390">
        <v>73.260869569999997</v>
      </c>
      <c r="M1390">
        <v>34.453830549999999</v>
      </c>
      <c r="N1390">
        <v>1.058333333</v>
      </c>
      <c r="O1390">
        <v>0.90897070000000002</v>
      </c>
      <c r="P1390">
        <v>106.0540541</v>
      </c>
      <c r="Q1390">
        <v>52.690533369999997</v>
      </c>
      <c r="R1390">
        <v>7.6058968000000005E-2</v>
      </c>
      <c r="S1390">
        <v>0.44888888999999998</v>
      </c>
      <c r="T1390" t="s">
        <v>1015</v>
      </c>
      <c r="U1390">
        <v>32.793184529999998</v>
      </c>
    </row>
    <row r="1391" spans="1:21" x14ac:dyDescent="0.25">
      <c r="A1391" t="s">
        <v>85</v>
      </c>
      <c r="B1391" t="s">
        <v>1000</v>
      </c>
      <c r="C1391">
        <v>6</v>
      </c>
      <c r="D1391" t="s">
        <v>25</v>
      </c>
      <c r="E1391" t="s">
        <v>94</v>
      </c>
      <c r="F1391" t="s">
        <v>110</v>
      </c>
      <c r="G1391" t="s">
        <v>103</v>
      </c>
      <c r="H1391" t="s">
        <v>233</v>
      </c>
      <c r="J1391">
        <v>0</v>
      </c>
      <c r="K1391">
        <v>3</v>
      </c>
      <c r="L1391">
        <v>73.260869569999997</v>
      </c>
      <c r="M1391">
        <v>34.453830549999999</v>
      </c>
      <c r="N1391">
        <v>1.058333333</v>
      </c>
      <c r="O1391">
        <v>0.90897070000000002</v>
      </c>
      <c r="P1391">
        <v>106.0540541</v>
      </c>
      <c r="Q1391">
        <v>52.690533369999997</v>
      </c>
      <c r="R1391">
        <v>7.6058968000000005E-2</v>
      </c>
      <c r="S1391">
        <v>0.44888888999999998</v>
      </c>
      <c r="T1391" t="s">
        <v>1015</v>
      </c>
      <c r="U1391">
        <v>32.793184529999998</v>
      </c>
    </row>
    <row r="1392" spans="1:21" x14ac:dyDescent="0.25">
      <c r="A1392" t="s">
        <v>85</v>
      </c>
      <c r="B1392" t="s">
        <v>1000</v>
      </c>
      <c r="C1392">
        <v>6</v>
      </c>
      <c r="D1392" t="s">
        <v>25</v>
      </c>
      <c r="E1392" t="s">
        <v>94</v>
      </c>
      <c r="F1392" t="s">
        <v>110</v>
      </c>
      <c r="G1392" t="s">
        <v>103</v>
      </c>
      <c r="H1392" t="s">
        <v>110</v>
      </c>
      <c r="J1392">
        <v>0</v>
      </c>
      <c r="K1392">
        <v>1</v>
      </c>
      <c r="L1392">
        <v>73.260869569999997</v>
      </c>
      <c r="M1392">
        <v>34.453830549999999</v>
      </c>
      <c r="N1392">
        <v>1.058333333</v>
      </c>
      <c r="O1392">
        <v>0.90897070000000002</v>
      </c>
      <c r="P1392">
        <v>73.260869569999997</v>
      </c>
      <c r="Q1392">
        <v>34.453830549999999</v>
      </c>
      <c r="R1392">
        <v>1.058333333</v>
      </c>
      <c r="S1392">
        <v>0.90897070000000002</v>
      </c>
      <c r="T1392" t="s">
        <v>1015</v>
      </c>
      <c r="U1392">
        <v>0</v>
      </c>
    </row>
    <row r="1393" spans="1:21" x14ac:dyDescent="0.25">
      <c r="A1393" t="s">
        <v>86</v>
      </c>
      <c r="B1393" t="s">
        <v>1001</v>
      </c>
      <c r="C1393">
        <v>6</v>
      </c>
      <c r="D1393" t="s">
        <v>27</v>
      </c>
      <c r="E1393" t="s">
        <v>94</v>
      </c>
      <c r="F1393" t="s">
        <v>110</v>
      </c>
      <c r="G1393" t="s">
        <v>121</v>
      </c>
      <c r="H1393" t="s">
        <v>246</v>
      </c>
      <c r="J1393">
        <v>0</v>
      </c>
      <c r="K1393">
        <v>1</v>
      </c>
      <c r="L1393">
        <v>73.260869569999997</v>
      </c>
      <c r="M1393">
        <v>34.453830549999999</v>
      </c>
      <c r="N1393">
        <v>1.058333333</v>
      </c>
      <c r="O1393">
        <v>0.90897070000000002</v>
      </c>
      <c r="P1393">
        <v>120.25</v>
      </c>
      <c r="Q1393">
        <v>30.670450110000001</v>
      </c>
      <c r="R1393">
        <v>0.91037498500000003</v>
      </c>
      <c r="S1393" t="s">
        <v>114</v>
      </c>
      <c r="T1393" t="s">
        <v>1015</v>
      </c>
      <c r="U1393">
        <v>46.989130430000003</v>
      </c>
    </row>
    <row r="1394" spans="1:21" x14ac:dyDescent="0.25">
      <c r="A1394" t="s">
        <v>86</v>
      </c>
      <c r="B1394" t="s">
        <v>1001</v>
      </c>
      <c r="C1394">
        <v>6</v>
      </c>
      <c r="D1394" t="s">
        <v>27</v>
      </c>
      <c r="E1394" t="s">
        <v>94</v>
      </c>
      <c r="F1394" t="s">
        <v>110</v>
      </c>
      <c r="G1394" t="s">
        <v>121</v>
      </c>
      <c r="H1394" t="s">
        <v>242</v>
      </c>
      <c r="J1394">
        <v>0</v>
      </c>
      <c r="K1394">
        <v>2</v>
      </c>
      <c r="L1394">
        <v>73.260869569999997</v>
      </c>
      <c r="M1394">
        <v>34.453830549999999</v>
      </c>
      <c r="N1394">
        <v>1.058333333</v>
      </c>
      <c r="O1394">
        <v>0.90897070000000002</v>
      </c>
      <c r="P1394">
        <v>139.375</v>
      </c>
      <c r="Q1394">
        <v>23.713465920000001</v>
      </c>
      <c r="R1394" t="s">
        <v>114</v>
      </c>
      <c r="S1394" t="s">
        <v>114</v>
      </c>
      <c r="T1394" t="s">
        <v>1015</v>
      </c>
      <c r="U1394">
        <v>66.114130430000003</v>
      </c>
    </row>
    <row r="1395" spans="1:21" x14ac:dyDescent="0.25">
      <c r="A1395" t="s">
        <v>86</v>
      </c>
      <c r="B1395" t="s">
        <v>1001</v>
      </c>
      <c r="C1395">
        <v>6</v>
      </c>
      <c r="D1395" t="s">
        <v>27</v>
      </c>
      <c r="E1395" t="s">
        <v>94</v>
      </c>
      <c r="F1395" t="s">
        <v>110</v>
      </c>
      <c r="G1395" t="s">
        <v>121</v>
      </c>
      <c r="H1395" t="s">
        <v>242</v>
      </c>
      <c r="J1395">
        <v>0</v>
      </c>
      <c r="K1395">
        <v>2</v>
      </c>
      <c r="L1395">
        <v>73.260869569999997</v>
      </c>
      <c r="M1395">
        <v>34.453830549999999</v>
      </c>
      <c r="N1395">
        <v>1.058333333</v>
      </c>
      <c r="O1395">
        <v>0.90897070000000002</v>
      </c>
      <c r="P1395">
        <v>139.375</v>
      </c>
      <c r="Q1395">
        <v>23.713465920000001</v>
      </c>
      <c r="R1395" t="s">
        <v>114</v>
      </c>
      <c r="S1395" t="s">
        <v>114</v>
      </c>
      <c r="T1395" t="s">
        <v>1015</v>
      </c>
      <c r="U1395">
        <v>66.114130430000003</v>
      </c>
    </row>
    <row r="1396" spans="1:21" x14ac:dyDescent="0.25">
      <c r="A1396" t="s">
        <v>86</v>
      </c>
      <c r="B1396" t="s">
        <v>1002</v>
      </c>
      <c r="C1396">
        <v>6</v>
      </c>
      <c r="D1396" t="s">
        <v>27</v>
      </c>
      <c r="E1396" t="s">
        <v>94</v>
      </c>
      <c r="F1396" t="s">
        <v>112</v>
      </c>
      <c r="G1396" t="s">
        <v>110</v>
      </c>
      <c r="H1396" t="s">
        <v>110</v>
      </c>
      <c r="J1396">
        <v>0</v>
      </c>
      <c r="K1396">
        <v>1</v>
      </c>
      <c r="L1396">
        <v>65.09375</v>
      </c>
      <c r="M1396">
        <v>37.895352600000002</v>
      </c>
      <c r="N1396">
        <v>2.2882677779999998</v>
      </c>
      <c r="O1396">
        <v>2.2111774</v>
      </c>
      <c r="P1396">
        <v>73.260869569999997</v>
      </c>
      <c r="Q1396">
        <v>34.453830549999999</v>
      </c>
      <c r="R1396">
        <v>1.058333333</v>
      </c>
      <c r="S1396">
        <v>0.90897070000000002</v>
      </c>
      <c r="T1396" t="s">
        <v>1015</v>
      </c>
      <c r="U1396">
        <v>8.1671195700000006</v>
      </c>
    </row>
    <row r="1397" spans="1:21" x14ac:dyDescent="0.25">
      <c r="A1397" t="s">
        <v>86</v>
      </c>
      <c r="B1397" t="s">
        <v>1002</v>
      </c>
      <c r="C1397">
        <v>6</v>
      </c>
      <c r="D1397" t="s">
        <v>27</v>
      </c>
      <c r="E1397" t="s">
        <v>94</v>
      </c>
      <c r="F1397" t="s">
        <v>112</v>
      </c>
      <c r="G1397" t="s">
        <v>110</v>
      </c>
      <c r="H1397" t="s">
        <v>246</v>
      </c>
      <c r="J1397">
        <v>0</v>
      </c>
      <c r="K1397">
        <v>1</v>
      </c>
      <c r="L1397">
        <v>65.09375</v>
      </c>
      <c r="M1397">
        <v>37.895352600000002</v>
      </c>
      <c r="N1397">
        <v>2.2882677779999998</v>
      </c>
      <c r="O1397">
        <v>2.2111774</v>
      </c>
      <c r="P1397">
        <v>120.25</v>
      </c>
      <c r="Q1397">
        <v>30.670450110000001</v>
      </c>
      <c r="R1397">
        <v>0.91037498500000003</v>
      </c>
      <c r="S1397" t="s">
        <v>114</v>
      </c>
      <c r="T1397" t="s">
        <v>1015</v>
      </c>
      <c r="U1397">
        <v>55.15625</v>
      </c>
    </row>
    <row r="1398" spans="1:21" x14ac:dyDescent="0.25">
      <c r="A1398" t="s">
        <v>87</v>
      </c>
      <c r="B1398" t="s">
        <v>1003</v>
      </c>
      <c r="C1398">
        <v>6</v>
      </c>
      <c r="D1398" t="s">
        <v>29</v>
      </c>
      <c r="E1398" t="s">
        <v>95</v>
      </c>
      <c r="F1398" t="s">
        <v>102</v>
      </c>
      <c r="G1398" t="s">
        <v>110</v>
      </c>
      <c r="H1398" t="s">
        <v>110</v>
      </c>
      <c r="J1398">
        <v>0</v>
      </c>
      <c r="K1398">
        <v>3</v>
      </c>
      <c r="L1398">
        <v>84.740740740000007</v>
      </c>
      <c r="M1398">
        <v>29.167014049999999</v>
      </c>
      <c r="N1398">
        <v>1.1169849999999999</v>
      </c>
      <c r="O1398">
        <v>1.1571499000000001</v>
      </c>
      <c r="P1398">
        <v>73.260869569999997</v>
      </c>
      <c r="Q1398">
        <v>34.453830549999999</v>
      </c>
      <c r="R1398">
        <v>1.058333333</v>
      </c>
      <c r="S1398">
        <v>0.90897070000000002</v>
      </c>
      <c r="T1398" t="s">
        <v>1015</v>
      </c>
      <c r="U1398">
        <v>11.479871169999999</v>
      </c>
    </row>
    <row r="1399" spans="1:21" x14ac:dyDescent="0.25">
      <c r="A1399" t="s">
        <v>87</v>
      </c>
      <c r="B1399" t="s">
        <v>1003</v>
      </c>
      <c r="C1399">
        <v>6</v>
      </c>
      <c r="D1399" t="s">
        <v>29</v>
      </c>
      <c r="E1399" t="s">
        <v>95</v>
      </c>
      <c r="F1399" t="s">
        <v>102</v>
      </c>
      <c r="G1399" t="s">
        <v>110</v>
      </c>
      <c r="H1399" t="s">
        <v>110</v>
      </c>
      <c r="J1399">
        <v>0</v>
      </c>
      <c r="K1399">
        <v>3</v>
      </c>
      <c r="L1399">
        <v>84.740740740000007</v>
      </c>
      <c r="M1399">
        <v>29.167014049999999</v>
      </c>
      <c r="N1399">
        <v>1.1169849999999999</v>
      </c>
      <c r="O1399">
        <v>1.1571499000000001</v>
      </c>
      <c r="P1399">
        <v>73.260869569999997</v>
      </c>
      <c r="Q1399">
        <v>34.453830549999999</v>
      </c>
      <c r="R1399">
        <v>1.058333333</v>
      </c>
      <c r="S1399">
        <v>0.90897070000000002</v>
      </c>
      <c r="T1399" t="s">
        <v>1015</v>
      </c>
      <c r="U1399">
        <v>11.479871169999999</v>
      </c>
    </row>
    <row r="1400" spans="1:21" x14ac:dyDescent="0.25">
      <c r="A1400" t="s">
        <v>87</v>
      </c>
      <c r="B1400" t="s">
        <v>1003</v>
      </c>
      <c r="C1400">
        <v>6</v>
      </c>
      <c r="D1400" t="s">
        <v>29</v>
      </c>
      <c r="E1400" t="s">
        <v>95</v>
      </c>
      <c r="F1400" t="s">
        <v>102</v>
      </c>
      <c r="G1400" t="s">
        <v>110</v>
      </c>
      <c r="H1400" t="s">
        <v>110</v>
      </c>
      <c r="J1400">
        <v>0</v>
      </c>
      <c r="K1400">
        <v>3</v>
      </c>
      <c r="L1400">
        <v>84.740740740000007</v>
      </c>
      <c r="M1400">
        <v>29.167014049999999</v>
      </c>
      <c r="N1400">
        <v>1.1169849999999999</v>
      </c>
      <c r="O1400">
        <v>1.1571499000000001</v>
      </c>
      <c r="P1400">
        <v>73.260869569999997</v>
      </c>
      <c r="Q1400">
        <v>34.453830549999999</v>
      </c>
      <c r="R1400">
        <v>1.058333333</v>
      </c>
      <c r="S1400">
        <v>0.90897070000000002</v>
      </c>
      <c r="T1400" t="s">
        <v>1015</v>
      </c>
      <c r="U1400">
        <v>11.479871169999999</v>
      </c>
    </row>
    <row r="1401" spans="1:21" x14ac:dyDescent="0.25">
      <c r="A1401" t="s">
        <v>87</v>
      </c>
      <c r="B1401" t="s">
        <v>1003</v>
      </c>
      <c r="C1401">
        <v>6</v>
      </c>
      <c r="D1401" t="s">
        <v>29</v>
      </c>
      <c r="E1401" t="s">
        <v>95</v>
      </c>
      <c r="F1401" t="s">
        <v>102</v>
      </c>
      <c r="G1401" t="s">
        <v>110</v>
      </c>
      <c r="H1401" t="s">
        <v>246</v>
      </c>
      <c r="J1401">
        <v>0</v>
      </c>
      <c r="K1401">
        <v>1</v>
      </c>
      <c r="L1401">
        <v>84.740740740000007</v>
      </c>
      <c r="M1401">
        <v>29.167014049999999</v>
      </c>
      <c r="N1401">
        <v>1.1169849999999999</v>
      </c>
      <c r="O1401">
        <v>1.1571499000000001</v>
      </c>
      <c r="P1401">
        <v>120.25</v>
      </c>
      <c r="Q1401">
        <v>30.670450110000001</v>
      </c>
      <c r="R1401">
        <v>0.91037498500000003</v>
      </c>
      <c r="S1401" t="s">
        <v>114</v>
      </c>
      <c r="T1401" t="s">
        <v>1015</v>
      </c>
      <c r="U1401">
        <v>35.50925926</v>
      </c>
    </row>
    <row r="1402" spans="1:21" x14ac:dyDescent="0.25">
      <c r="A1402" t="s">
        <v>87</v>
      </c>
      <c r="B1402" t="s">
        <v>1003</v>
      </c>
      <c r="C1402">
        <v>6</v>
      </c>
      <c r="D1402" t="s">
        <v>29</v>
      </c>
      <c r="E1402" t="s">
        <v>95</v>
      </c>
      <c r="F1402" t="s">
        <v>102</v>
      </c>
      <c r="G1402" t="s">
        <v>110</v>
      </c>
      <c r="H1402" t="s">
        <v>242</v>
      </c>
      <c r="J1402">
        <v>0</v>
      </c>
      <c r="K1402">
        <v>2</v>
      </c>
      <c r="L1402">
        <v>84.740740740000007</v>
      </c>
      <c r="M1402">
        <v>29.167014049999999</v>
      </c>
      <c r="N1402">
        <v>1.1169849999999999</v>
      </c>
      <c r="O1402">
        <v>1.1571499000000001</v>
      </c>
      <c r="P1402">
        <v>139.375</v>
      </c>
      <c r="Q1402">
        <v>23.713465920000001</v>
      </c>
      <c r="R1402" t="s">
        <v>114</v>
      </c>
      <c r="S1402" t="s">
        <v>114</v>
      </c>
      <c r="T1402" t="s">
        <v>1015</v>
      </c>
      <c r="U1402">
        <v>54.63425926</v>
      </c>
    </row>
    <row r="1403" spans="1:21" x14ac:dyDescent="0.25">
      <c r="A1403" t="s">
        <v>87</v>
      </c>
      <c r="B1403" t="s">
        <v>1003</v>
      </c>
      <c r="C1403">
        <v>6</v>
      </c>
      <c r="D1403" t="s">
        <v>29</v>
      </c>
      <c r="E1403" t="s">
        <v>95</v>
      </c>
      <c r="F1403" t="s">
        <v>102</v>
      </c>
      <c r="G1403" t="s">
        <v>110</v>
      </c>
      <c r="H1403" t="s">
        <v>242</v>
      </c>
      <c r="J1403">
        <v>0</v>
      </c>
      <c r="K1403">
        <v>2</v>
      </c>
      <c r="L1403">
        <v>84.740740740000007</v>
      </c>
      <c r="M1403">
        <v>29.167014049999999</v>
      </c>
      <c r="N1403">
        <v>1.1169849999999999</v>
      </c>
      <c r="O1403">
        <v>1.1571499000000001</v>
      </c>
      <c r="P1403">
        <v>139.375</v>
      </c>
      <c r="Q1403">
        <v>23.713465920000001</v>
      </c>
      <c r="R1403" t="s">
        <v>114</v>
      </c>
      <c r="S1403" t="s">
        <v>114</v>
      </c>
      <c r="T1403" t="s">
        <v>1015</v>
      </c>
      <c r="U1403">
        <v>54.63425926</v>
      </c>
    </row>
    <row r="1404" spans="1:21" x14ac:dyDescent="0.25">
      <c r="A1404" t="s">
        <v>87</v>
      </c>
      <c r="B1404" t="s">
        <v>1004</v>
      </c>
      <c r="C1404">
        <v>6</v>
      </c>
      <c r="D1404" t="s">
        <v>29</v>
      </c>
      <c r="E1404" t="s">
        <v>95</v>
      </c>
      <c r="F1404" t="s">
        <v>110</v>
      </c>
      <c r="G1404" t="s">
        <v>110</v>
      </c>
      <c r="H1404" t="s">
        <v>110</v>
      </c>
      <c r="J1404">
        <v>0</v>
      </c>
      <c r="K1404">
        <v>1</v>
      </c>
      <c r="L1404">
        <v>73.260869569999997</v>
      </c>
      <c r="M1404">
        <v>34.453830549999999</v>
      </c>
      <c r="N1404">
        <v>1.058333333</v>
      </c>
      <c r="O1404">
        <v>0.90897070000000002</v>
      </c>
      <c r="P1404">
        <v>73.260869569999997</v>
      </c>
      <c r="Q1404">
        <v>34.453830549999999</v>
      </c>
      <c r="R1404">
        <v>1.058333333</v>
      </c>
      <c r="S1404">
        <v>0.90897070000000002</v>
      </c>
      <c r="T1404" t="s">
        <v>1015</v>
      </c>
      <c r="U1404">
        <v>0</v>
      </c>
    </row>
    <row r="1405" spans="1:21" x14ac:dyDescent="0.25">
      <c r="A1405" t="s">
        <v>88</v>
      </c>
      <c r="B1405" t="s">
        <v>1005</v>
      </c>
      <c r="C1405">
        <v>6</v>
      </c>
      <c r="D1405" t="s">
        <v>31</v>
      </c>
      <c r="E1405" t="s">
        <v>95</v>
      </c>
      <c r="F1405" t="s">
        <v>110</v>
      </c>
      <c r="G1405" t="s">
        <v>113</v>
      </c>
      <c r="H1405" t="s">
        <v>113</v>
      </c>
      <c r="J1405">
        <v>0</v>
      </c>
      <c r="K1405">
        <v>3</v>
      </c>
      <c r="L1405">
        <v>73.260869569999997</v>
      </c>
      <c r="M1405">
        <v>34.453830549999999</v>
      </c>
      <c r="N1405">
        <v>1.058333333</v>
      </c>
      <c r="O1405">
        <v>0.90897070000000002</v>
      </c>
      <c r="P1405">
        <v>83.757575759999995</v>
      </c>
      <c r="Q1405">
        <v>22.60997987</v>
      </c>
      <c r="R1405">
        <v>0.72884000000000004</v>
      </c>
      <c r="S1405">
        <v>0.21301339999999999</v>
      </c>
      <c r="T1405" t="s">
        <v>1015</v>
      </c>
      <c r="U1405">
        <v>10.496706189999999</v>
      </c>
    </row>
    <row r="1406" spans="1:21" x14ac:dyDescent="0.25">
      <c r="A1406" t="s">
        <v>88</v>
      </c>
      <c r="B1406" t="s">
        <v>1005</v>
      </c>
      <c r="C1406">
        <v>6</v>
      </c>
      <c r="D1406" t="s">
        <v>31</v>
      </c>
      <c r="E1406" t="s">
        <v>95</v>
      </c>
      <c r="F1406" t="s">
        <v>110</v>
      </c>
      <c r="G1406" t="s">
        <v>113</v>
      </c>
      <c r="H1406" t="s">
        <v>113</v>
      </c>
      <c r="J1406">
        <v>0</v>
      </c>
      <c r="K1406">
        <v>3</v>
      </c>
      <c r="L1406">
        <v>73.260869569999997</v>
      </c>
      <c r="M1406">
        <v>34.453830549999999</v>
      </c>
      <c r="N1406">
        <v>1.058333333</v>
      </c>
      <c r="O1406">
        <v>0.90897070000000002</v>
      </c>
      <c r="P1406">
        <v>83.757575759999995</v>
      </c>
      <c r="Q1406">
        <v>22.60997987</v>
      </c>
      <c r="R1406">
        <v>0.72884000000000004</v>
      </c>
      <c r="S1406">
        <v>0.21301339999999999</v>
      </c>
      <c r="T1406" t="s">
        <v>1015</v>
      </c>
      <c r="U1406">
        <v>10.496706189999999</v>
      </c>
    </row>
    <row r="1407" spans="1:21" x14ac:dyDescent="0.25">
      <c r="A1407" t="s">
        <v>88</v>
      </c>
      <c r="B1407" t="s">
        <v>1005</v>
      </c>
      <c r="C1407">
        <v>6</v>
      </c>
      <c r="D1407" t="s">
        <v>31</v>
      </c>
      <c r="E1407" t="s">
        <v>95</v>
      </c>
      <c r="F1407" t="s">
        <v>110</v>
      </c>
      <c r="G1407" t="s">
        <v>113</v>
      </c>
      <c r="H1407" t="s">
        <v>113</v>
      </c>
      <c r="J1407">
        <v>0</v>
      </c>
      <c r="K1407">
        <v>3</v>
      </c>
      <c r="L1407">
        <v>73.260869569999997</v>
      </c>
      <c r="M1407">
        <v>34.453830549999999</v>
      </c>
      <c r="N1407">
        <v>1.058333333</v>
      </c>
      <c r="O1407">
        <v>0.90897070000000002</v>
      </c>
      <c r="P1407">
        <v>83.757575759999995</v>
      </c>
      <c r="Q1407">
        <v>22.60997987</v>
      </c>
      <c r="R1407">
        <v>0.72884000000000004</v>
      </c>
      <c r="S1407">
        <v>0.21301339999999999</v>
      </c>
      <c r="T1407" t="s">
        <v>1015</v>
      </c>
      <c r="U1407">
        <v>10.496706189999999</v>
      </c>
    </row>
    <row r="1408" spans="1:21" x14ac:dyDescent="0.25">
      <c r="A1408" t="s">
        <v>88</v>
      </c>
      <c r="B1408" t="s">
        <v>1005</v>
      </c>
      <c r="C1408">
        <v>6</v>
      </c>
      <c r="D1408" t="s">
        <v>31</v>
      </c>
      <c r="E1408" t="s">
        <v>95</v>
      </c>
      <c r="F1408" t="s">
        <v>110</v>
      </c>
      <c r="G1408" t="s">
        <v>113</v>
      </c>
      <c r="H1408" t="s">
        <v>103</v>
      </c>
      <c r="J1408">
        <v>0</v>
      </c>
      <c r="K1408">
        <v>1</v>
      </c>
      <c r="L1408">
        <v>73.260869569999997</v>
      </c>
      <c r="M1408">
        <v>34.453830549999999</v>
      </c>
      <c r="N1408">
        <v>1.058333333</v>
      </c>
      <c r="O1408">
        <v>0.90897070000000002</v>
      </c>
      <c r="P1408">
        <v>98.291666669999998</v>
      </c>
      <c r="Q1408">
        <v>30.315130790000001</v>
      </c>
      <c r="R1408">
        <v>5.0803484000000003E-2</v>
      </c>
      <c r="S1408">
        <v>0.42866070000000001</v>
      </c>
      <c r="T1408" t="s">
        <v>1015</v>
      </c>
      <c r="U1408">
        <v>25.030797100000001</v>
      </c>
    </row>
    <row r="1409" spans="1:21" x14ac:dyDescent="0.25">
      <c r="A1409" t="s">
        <v>88</v>
      </c>
      <c r="B1409" t="s">
        <v>1006</v>
      </c>
      <c r="C1409">
        <v>6</v>
      </c>
      <c r="D1409" t="s">
        <v>31</v>
      </c>
      <c r="E1409" t="s">
        <v>95</v>
      </c>
      <c r="F1409" t="s">
        <v>112</v>
      </c>
      <c r="G1409" t="s">
        <v>113</v>
      </c>
      <c r="H1409" t="s">
        <v>113</v>
      </c>
      <c r="J1409">
        <v>0</v>
      </c>
      <c r="K1409">
        <v>2</v>
      </c>
      <c r="L1409">
        <v>65.09375</v>
      </c>
      <c r="M1409">
        <v>37.895352600000002</v>
      </c>
      <c r="N1409">
        <v>2.2882677779999998</v>
      </c>
      <c r="O1409">
        <v>2.2111774</v>
      </c>
      <c r="P1409">
        <v>83.757575759999995</v>
      </c>
      <c r="Q1409">
        <v>22.60997987</v>
      </c>
      <c r="R1409">
        <v>0.72884000000000004</v>
      </c>
      <c r="S1409">
        <v>0.21301339999999999</v>
      </c>
      <c r="T1409" t="s">
        <v>1015</v>
      </c>
      <c r="U1409">
        <v>18.663825760000002</v>
      </c>
    </row>
    <row r="1410" spans="1:21" x14ac:dyDescent="0.25">
      <c r="A1410" t="s">
        <v>88</v>
      </c>
      <c r="B1410" t="s">
        <v>1006</v>
      </c>
      <c r="C1410">
        <v>6</v>
      </c>
      <c r="D1410" t="s">
        <v>31</v>
      </c>
      <c r="E1410" t="s">
        <v>95</v>
      </c>
      <c r="F1410" t="s">
        <v>112</v>
      </c>
      <c r="G1410" t="s">
        <v>113</v>
      </c>
      <c r="H1410" t="s">
        <v>113</v>
      </c>
      <c r="J1410">
        <v>0</v>
      </c>
      <c r="K1410">
        <v>2</v>
      </c>
      <c r="L1410">
        <v>65.09375</v>
      </c>
      <c r="M1410">
        <v>37.895352600000002</v>
      </c>
      <c r="N1410">
        <v>2.2882677779999998</v>
      </c>
      <c r="O1410">
        <v>2.2111774</v>
      </c>
      <c r="P1410">
        <v>83.757575759999995</v>
      </c>
      <c r="Q1410">
        <v>22.60997987</v>
      </c>
      <c r="R1410">
        <v>0.72884000000000004</v>
      </c>
      <c r="S1410">
        <v>0.21301339999999999</v>
      </c>
      <c r="T1410" t="s">
        <v>1015</v>
      </c>
      <c r="U1410">
        <v>18.663825760000002</v>
      </c>
    </row>
    <row r="1411" spans="1:21" x14ac:dyDescent="0.25">
      <c r="A1411" t="s">
        <v>89</v>
      </c>
      <c r="B1411" t="s">
        <v>1007</v>
      </c>
      <c r="C1411">
        <v>6</v>
      </c>
      <c r="D1411" t="s">
        <v>33</v>
      </c>
      <c r="E1411" t="s">
        <v>95</v>
      </c>
      <c r="F1411" t="s">
        <v>104</v>
      </c>
      <c r="G1411" t="s">
        <v>104</v>
      </c>
      <c r="H1411" t="s">
        <v>104</v>
      </c>
      <c r="J1411">
        <v>1</v>
      </c>
      <c r="K1411">
        <v>1</v>
      </c>
      <c r="L1411">
        <v>113.9375</v>
      </c>
      <c r="M1411">
        <v>33.375507550000002</v>
      </c>
      <c r="N1411">
        <v>2.4262999999999999</v>
      </c>
      <c r="O1411">
        <v>0.40692159999999999</v>
      </c>
      <c r="P1411">
        <v>113.9375</v>
      </c>
      <c r="Q1411">
        <v>33.375507550000002</v>
      </c>
      <c r="R1411">
        <v>2.4262999999999999</v>
      </c>
      <c r="S1411">
        <v>0.40692159999999999</v>
      </c>
      <c r="T1411" t="s">
        <v>1015</v>
      </c>
      <c r="U1411">
        <v>0</v>
      </c>
    </row>
    <row r="1412" spans="1:21" x14ac:dyDescent="0.25">
      <c r="A1412" t="s">
        <v>89</v>
      </c>
      <c r="B1412" t="s">
        <v>1007</v>
      </c>
      <c r="C1412">
        <v>6</v>
      </c>
      <c r="D1412" t="s">
        <v>33</v>
      </c>
      <c r="E1412" t="s">
        <v>95</v>
      </c>
      <c r="F1412" t="s">
        <v>104</v>
      </c>
      <c r="G1412" t="s">
        <v>104</v>
      </c>
      <c r="H1412" t="s">
        <v>103</v>
      </c>
      <c r="J1412">
        <v>1</v>
      </c>
      <c r="K1412">
        <v>1</v>
      </c>
      <c r="L1412">
        <v>113.9375</v>
      </c>
      <c r="M1412">
        <v>33.375507550000002</v>
      </c>
      <c r="N1412">
        <v>2.4262999999999999</v>
      </c>
      <c r="O1412">
        <v>0.40692159999999999</v>
      </c>
      <c r="P1412">
        <v>98.291666669999998</v>
      </c>
      <c r="Q1412">
        <v>30.315130790000001</v>
      </c>
      <c r="R1412">
        <v>5.0803484000000003E-2</v>
      </c>
      <c r="S1412">
        <v>0.42866070000000001</v>
      </c>
      <c r="T1412" t="s">
        <v>1015</v>
      </c>
      <c r="U1412">
        <v>15.64583333</v>
      </c>
    </row>
    <row r="1413" spans="1:21" x14ac:dyDescent="0.25">
      <c r="A1413" t="s">
        <v>89</v>
      </c>
      <c r="B1413" t="s">
        <v>1007</v>
      </c>
      <c r="C1413">
        <v>6</v>
      </c>
      <c r="D1413" t="s">
        <v>33</v>
      </c>
      <c r="E1413" t="s">
        <v>95</v>
      </c>
      <c r="F1413" t="s">
        <v>104</v>
      </c>
      <c r="G1413" t="s">
        <v>104</v>
      </c>
      <c r="H1413" t="s">
        <v>246</v>
      </c>
      <c r="J1413">
        <v>1</v>
      </c>
      <c r="K1413">
        <v>1</v>
      </c>
      <c r="L1413">
        <v>113.9375</v>
      </c>
      <c r="M1413">
        <v>33.375507550000002</v>
      </c>
      <c r="N1413">
        <v>2.4262999999999999</v>
      </c>
      <c r="O1413">
        <v>0.40692159999999999</v>
      </c>
      <c r="P1413">
        <v>120.25</v>
      </c>
      <c r="Q1413">
        <v>30.670450110000001</v>
      </c>
      <c r="R1413">
        <v>0.91037498500000003</v>
      </c>
      <c r="S1413" t="s">
        <v>114</v>
      </c>
      <c r="T1413" t="s">
        <v>1015</v>
      </c>
      <c r="U1413">
        <v>6.3125</v>
      </c>
    </row>
    <row r="1414" spans="1:21" x14ac:dyDescent="0.25">
      <c r="A1414" t="s">
        <v>89</v>
      </c>
      <c r="B1414" t="s">
        <v>1008</v>
      </c>
      <c r="C1414">
        <v>6</v>
      </c>
      <c r="D1414" t="s">
        <v>33</v>
      </c>
      <c r="E1414" t="s">
        <v>95</v>
      </c>
      <c r="F1414" t="s">
        <v>112</v>
      </c>
      <c r="G1414" t="s">
        <v>113</v>
      </c>
      <c r="H1414" t="s">
        <v>113</v>
      </c>
      <c r="I1414" t="s">
        <v>255</v>
      </c>
      <c r="J1414">
        <v>0</v>
      </c>
      <c r="K1414">
        <v>4</v>
      </c>
      <c r="L1414">
        <v>65.09375</v>
      </c>
      <c r="M1414">
        <v>37.895352600000002</v>
      </c>
      <c r="N1414">
        <v>2.2882677779999998</v>
      </c>
      <c r="O1414">
        <v>2.2111774</v>
      </c>
      <c r="P1414">
        <v>83.757575759999995</v>
      </c>
      <c r="Q1414">
        <v>22.60997987</v>
      </c>
      <c r="R1414">
        <v>0.72884000000000004</v>
      </c>
      <c r="S1414">
        <v>0.21301339999999999</v>
      </c>
      <c r="T1414" t="s">
        <v>1015</v>
      </c>
      <c r="U1414">
        <v>18.663825760000002</v>
      </c>
    </row>
    <row r="1415" spans="1:21" x14ac:dyDescent="0.25">
      <c r="A1415" t="s">
        <v>89</v>
      </c>
      <c r="B1415" t="s">
        <v>1008</v>
      </c>
      <c r="C1415">
        <v>6</v>
      </c>
      <c r="D1415" t="s">
        <v>33</v>
      </c>
      <c r="E1415" t="s">
        <v>95</v>
      </c>
      <c r="F1415" t="s">
        <v>112</v>
      </c>
      <c r="G1415" t="s">
        <v>113</v>
      </c>
      <c r="H1415" t="s">
        <v>113</v>
      </c>
      <c r="I1415" t="s">
        <v>255</v>
      </c>
      <c r="J1415">
        <v>0</v>
      </c>
      <c r="K1415">
        <v>4</v>
      </c>
      <c r="L1415">
        <v>65.09375</v>
      </c>
      <c r="M1415">
        <v>37.895352600000002</v>
      </c>
      <c r="N1415">
        <v>2.2882677779999998</v>
      </c>
      <c r="O1415">
        <v>2.2111774</v>
      </c>
      <c r="P1415">
        <v>83.757575759999995</v>
      </c>
      <c r="Q1415">
        <v>22.60997987</v>
      </c>
      <c r="R1415">
        <v>0.72884000000000004</v>
      </c>
      <c r="S1415">
        <v>0.21301339999999999</v>
      </c>
      <c r="T1415" t="s">
        <v>1015</v>
      </c>
      <c r="U1415">
        <v>18.663825760000002</v>
      </c>
    </row>
    <row r="1416" spans="1:21" x14ac:dyDescent="0.25">
      <c r="A1416" t="s">
        <v>89</v>
      </c>
      <c r="B1416" t="s">
        <v>1008</v>
      </c>
      <c r="C1416">
        <v>6</v>
      </c>
      <c r="D1416" t="s">
        <v>33</v>
      </c>
      <c r="E1416" t="s">
        <v>95</v>
      </c>
      <c r="F1416" t="s">
        <v>112</v>
      </c>
      <c r="G1416" t="s">
        <v>113</v>
      </c>
      <c r="H1416" t="s">
        <v>113</v>
      </c>
      <c r="I1416" t="s">
        <v>255</v>
      </c>
      <c r="J1416">
        <v>0</v>
      </c>
      <c r="K1416">
        <v>4</v>
      </c>
      <c r="L1416">
        <v>65.09375</v>
      </c>
      <c r="M1416">
        <v>37.895352600000002</v>
      </c>
      <c r="N1416">
        <v>2.2882677779999998</v>
      </c>
      <c r="O1416">
        <v>2.2111774</v>
      </c>
      <c r="P1416">
        <v>83.757575759999995</v>
      </c>
      <c r="Q1416">
        <v>22.60997987</v>
      </c>
      <c r="R1416">
        <v>0.72884000000000004</v>
      </c>
      <c r="S1416">
        <v>0.21301339999999999</v>
      </c>
      <c r="T1416" t="s">
        <v>1015</v>
      </c>
      <c r="U1416">
        <v>18.663825760000002</v>
      </c>
    </row>
    <row r="1417" spans="1:21" x14ac:dyDescent="0.25">
      <c r="A1417" t="s">
        <v>89</v>
      </c>
      <c r="B1417" t="s">
        <v>1008</v>
      </c>
      <c r="C1417">
        <v>6</v>
      </c>
      <c r="D1417" t="s">
        <v>33</v>
      </c>
      <c r="E1417" t="s">
        <v>95</v>
      </c>
      <c r="F1417" t="s">
        <v>112</v>
      </c>
      <c r="G1417" t="s">
        <v>113</v>
      </c>
      <c r="H1417" t="s">
        <v>113</v>
      </c>
      <c r="I1417" t="s">
        <v>255</v>
      </c>
      <c r="J1417">
        <v>0</v>
      </c>
      <c r="K1417">
        <v>4</v>
      </c>
      <c r="L1417">
        <v>65.09375</v>
      </c>
      <c r="M1417">
        <v>37.895352600000002</v>
      </c>
      <c r="N1417">
        <v>2.2882677779999998</v>
      </c>
      <c r="O1417">
        <v>2.2111774</v>
      </c>
      <c r="P1417">
        <v>83.757575759999995</v>
      </c>
      <c r="Q1417">
        <v>22.60997987</v>
      </c>
      <c r="R1417">
        <v>0.72884000000000004</v>
      </c>
      <c r="S1417">
        <v>0.21301339999999999</v>
      </c>
      <c r="T1417" t="s">
        <v>1015</v>
      </c>
      <c r="U1417">
        <v>18.663825760000002</v>
      </c>
    </row>
    <row r="1418" spans="1:21" x14ac:dyDescent="0.25">
      <c r="A1418" t="s">
        <v>90</v>
      </c>
      <c r="B1418" t="s">
        <v>1009</v>
      </c>
      <c r="C1418">
        <v>6</v>
      </c>
      <c r="D1418" t="s">
        <v>35</v>
      </c>
      <c r="E1418" t="s">
        <v>94</v>
      </c>
      <c r="F1418" t="s">
        <v>111</v>
      </c>
      <c r="G1418" t="s">
        <v>121</v>
      </c>
      <c r="H1418" t="s">
        <v>253</v>
      </c>
      <c r="J1418">
        <v>0</v>
      </c>
      <c r="K1418">
        <v>3</v>
      </c>
      <c r="L1418">
        <v>94.97142857</v>
      </c>
      <c r="M1418">
        <v>24.31591813</v>
      </c>
      <c r="N1418">
        <v>0.122951111</v>
      </c>
      <c r="O1418">
        <v>0.39050790000000002</v>
      </c>
      <c r="P1418">
        <v>172.08823530000001</v>
      </c>
      <c r="Q1418">
        <v>29.581605960000001</v>
      </c>
      <c r="R1418">
        <v>0.24280444400000001</v>
      </c>
      <c r="S1418" t="s">
        <v>114</v>
      </c>
      <c r="T1418" t="s">
        <v>1015</v>
      </c>
      <c r="U1418">
        <v>77.116806729999993</v>
      </c>
    </row>
    <row r="1419" spans="1:21" x14ac:dyDescent="0.25">
      <c r="A1419" t="s">
        <v>90</v>
      </c>
      <c r="B1419" t="s">
        <v>1009</v>
      </c>
      <c r="C1419">
        <v>6</v>
      </c>
      <c r="D1419" t="s">
        <v>35</v>
      </c>
      <c r="E1419" t="s">
        <v>94</v>
      </c>
      <c r="F1419" t="s">
        <v>111</v>
      </c>
      <c r="G1419" t="s">
        <v>121</v>
      </c>
      <c r="H1419" t="s">
        <v>253</v>
      </c>
      <c r="J1419">
        <v>0</v>
      </c>
      <c r="K1419">
        <v>3</v>
      </c>
      <c r="L1419">
        <v>94.97142857</v>
      </c>
      <c r="M1419">
        <v>24.31591813</v>
      </c>
      <c r="N1419">
        <v>0.122951111</v>
      </c>
      <c r="O1419">
        <v>0.39050790000000002</v>
      </c>
      <c r="P1419">
        <v>172.08823530000001</v>
      </c>
      <c r="Q1419">
        <v>29.581605960000001</v>
      </c>
      <c r="R1419">
        <v>0.24280444400000001</v>
      </c>
      <c r="S1419" t="s">
        <v>114</v>
      </c>
      <c r="T1419" t="s">
        <v>1015</v>
      </c>
      <c r="U1419">
        <v>77.116806729999993</v>
      </c>
    </row>
    <row r="1420" spans="1:21" x14ac:dyDescent="0.25">
      <c r="A1420" t="s">
        <v>90</v>
      </c>
      <c r="B1420" t="s">
        <v>1009</v>
      </c>
      <c r="C1420">
        <v>6</v>
      </c>
      <c r="D1420" t="s">
        <v>35</v>
      </c>
      <c r="E1420" t="s">
        <v>94</v>
      </c>
      <c r="F1420" t="s">
        <v>111</v>
      </c>
      <c r="G1420" t="s">
        <v>121</v>
      </c>
      <c r="H1420" t="s">
        <v>253</v>
      </c>
      <c r="J1420">
        <v>0</v>
      </c>
      <c r="K1420">
        <v>3</v>
      </c>
      <c r="L1420">
        <v>94.97142857</v>
      </c>
      <c r="M1420">
        <v>24.31591813</v>
      </c>
      <c r="N1420">
        <v>0.122951111</v>
      </c>
      <c r="O1420">
        <v>0.39050790000000002</v>
      </c>
      <c r="P1420">
        <v>172.08823530000001</v>
      </c>
      <c r="Q1420">
        <v>29.581605960000001</v>
      </c>
      <c r="R1420">
        <v>0.24280444400000001</v>
      </c>
      <c r="S1420" t="s">
        <v>114</v>
      </c>
      <c r="T1420" t="s">
        <v>1015</v>
      </c>
      <c r="U1420">
        <v>77.116806729999993</v>
      </c>
    </row>
    <row r="1421" spans="1:21" x14ac:dyDescent="0.25">
      <c r="A1421" t="s">
        <v>90</v>
      </c>
      <c r="B1421" t="s">
        <v>1009</v>
      </c>
      <c r="C1421">
        <v>6</v>
      </c>
      <c r="D1421" t="s">
        <v>35</v>
      </c>
      <c r="E1421" t="s">
        <v>94</v>
      </c>
      <c r="F1421" t="s">
        <v>111</v>
      </c>
      <c r="G1421" t="s">
        <v>121</v>
      </c>
      <c r="H1421" t="s">
        <v>162</v>
      </c>
      <c r="J1421">
        <v>0</v>
      </c>
      <c r="K1421">
        <v>1</v>
      </c>
      <c r="L1421">
        <v>94.97142857</v>
      </c>
      <c r="M1421">
        <v>24.31591813</v>
      </c>
      <c r="N1421">
        <v>0.122951111</v>
      </c>
      <c r="O1421">
        <v>0.39050790000000002</v>
      </c>
      <c r="P1421">
        <v>82.53846154</v>
      </c>
      <c r="Q1421">
        <v>35.660530039999998</v>
      </c>
      <c r="R1421">
        <v>3.3754499999999998</v>
      </c>
      <c r="S1421" t="s">
        <v>114</v>
      </c>
      <c r="T1421" t="s">
        <v>1015</v>
      </c>
      <c r="U1421">
        <v>12.43296703</v>
      </c>
    </row>
    <row r="1422" spans="1:21" x14ac:dyDescent="0.25">
      <c r="A1422" t="s">
        <v>90</v>
      </c>
      <c r="B1422" t="s">
        <v>1010</v>
      </c>
      <c r="C1422">
        <v>6</v>
      </c>
      <c r="D1422" t="s">
        <v>35</v>
      </c>
      <c r="E1422" t="s">
        <v>94</v>
      </c>
      <c r="F1422" t="s">
        <v>104</v>
      </c>
      <c r="G1422" t="s">
        <v>111</v>
      </c>
      <c r="H1422" t="s">
        <v>111</v>
      </c>
      <c r="J1422">
        <v>1</v>
      </c>
      <c r="K1422">
        <v>1</v>
      </c>
      <c r="L1422">
        <v>113.9375</v>
      </c>
      <c r="M1422">
        <v>33.375507550000002</v>
      </c>
      <c r="N1422">
        <v>2.4262999999999999</v>
      </c>
      <c r="O1422">
        <v>0.40692159999999999</v>
      </c>
      <c r="P1422">
        <v>94.97142857</v>
      </c>
      <c r="Q1422">
        <v>24.31591813</v>
      </c>
      <c r="R1422">
        <v>0.122951111</v>
      </c>
      <c r="S1422">
        <v>0.39050790000000002</v>
      </c>
      <c r="T1422" t="s">
        <v>1015</v>
      </c>
      <c r="U1422">
        <v>18.96607143</v>
      </c>
    </row>
    <row r="1423" spans="1:21" x14ac:dyDescent="0.25">
      <c r="A1423" t="s">
        <v>90</v>
      </c>
      <c r="B1423" t="s">
        <v>1010</v>
      </c>
      <c r="C1423">
        <v>6</v>
      </c>
      <c r="D1423" t="s">
        <v>35</v>
      </c>
      <c r="E1423" t="s">
        <v>94</v>
      </c>
      <c r="F1423" t="s">
        <v>104</v>
      </c>
      <c r="G1423" t="s">
        <v>111</v>
      </c>
      <c r="H1423" t="s">
        <v>253</v>
      </c>
      <c r="J1423">
        <v>1</v>
      </c>
      <c r="K1423">
        <v>2</v>
      </c>
      <c r="L1423">
        <v>113.9375</v>
      </c>
      <c r="M1423">
        <v>33.375507550000002</v>
      </c>
      <c r="N1423">
        <v>2.4262999999999999</v>
      </c>
      <c r="O1423">
        <v>0.40692159999999999</v>
      </c>
      <c r="P1423">
        <v>172.08823530000001</v>
      </c>
      <c r="Q1423">
        <v>29.581605960000001</v>
      </c>
      <c r="R1423">
        <v>0.24280444400000001</v>
      </c>
      <c r="S1423" t="s">
        <v>114</v>
      </c>
      <c r="T1423" t="s">
        <v>1015</v>
      </c>
      <c r="U1423">
        <v>58.150735300000001</v>
      </c>
    </row>
    <row r="1424" spans="1:21" x14ac:dyDescent="0.25">
      <c r="A1424" t="s">
        <v>90</v>
      </c>
      <c r="B1424" t="s">
        <v>1010</v>
      </c>
      <c r="C1424">
        <v>6</v>
      </c>
      <c r="D1424" t="s">
        <v>35</v>
      </c>
      <c r="E1424" t="s">
        <v>94</v>
      </c>
      <c r="F1424" t="s">
        <v>104</v>
      </c>
      <c r="G1424" t="s">
        <v>111</v>
      </c>
      <c r="H1424" t="s">
        <v>253</v>
      </c>
      <c r="J1424">
        <v>1</v>
      </c>
      <c r="K1424">
        <v>2</v>
      </c>
      <c r="L1424">
        <v>113.9375</v>
      </c>
      <c r="M1424">
        <v>33.375507550000002</v>
      </c>
      <c r="N1424">
        <v>2.4262999999999999</v>
      </c>
      <c r="O1424">
        <v>0.40692159999999999</v>
      </c>
      <c r="P1424">
        <v>172.08823530000001</v>
      </c>
      <c r="Q1424">
        <v>29.581605960000001</v>
      </c>
      <c r="R1424">
        <v>0.24280444400000001</v>
      </c>
      <c r="S1424" t="s">
        <v>114</v>
      </c>
      <c r="T1424" t="s">
        <v>1015</v>
      </c>
      <c r="U1424">
        <v>58.150735300000001</v>
      </c>
    </row>
    <row r="1425" spans="1:21" x14ac:dyDescent="0.25">
      <c r="A1425" t="s">
        <v>91</v>
      </c>
      <c r="B1425" t="s">
        <v>1011</v>
      </c>
      <c r="C1425">
        <v>6</v>
      </c>
      <c r="D1425" t="s">
        <v>37</v>
      </c>
      <c r="E1425" t="s">
        <v>94</v>
      </c>
      <c r="F1425" t="s">
        <v>112</v>
      </c>
      <c r="G1425" t="s">
        <v>112</v>
      </c>
      <c r="H1425" t="s">
        <v>112</v>
      </c>
      <c r="J1425">
        <v>0</v>
      </c>
      <c r="K1425">
        <v>1</v>
      </c>
      <c r="L1425">
        <v>65.09375</v>
      </c>
      <c r="M1425">
        <v>37.895352600000002</v>
      </c>
      <c r="N1425">
        <v>2.2882677779999998</v>
      </c>
      <c r="O1425">
        <v>2.2111774</v>
      </c>
      <c r="P1425">
        <v>65.09375</v>
      </c>
      <c r="Q1425">
        <v>37.895352600000002</v>
      </c>
      <c r="R1425">
        <v>2.2882677779999998</v>
      </c>
      <c r="S1425">
        <v>2.2111774</v>
      </c>
      <c r="T1425" t="s">
        <v>1015</v>
      </c>
      <c r="U1425">
        <v>0</v>
      </c>
    </row>
    <row r="1426" spans="1:21" x14ac:dyDescent="0.25">
      <c r="A1426" t="s">
        <v>92</v>
      </c>
      <c r="B1426" t="s">
        <v>1012</v>
      </c>
      <c r="C1426">
        <v>6</v>
      </c>
      <c r="D1426" t="s">
        <v>64</v>
      </c>
      <c r="E1426" t="s">
        <v>94</v>
      </c>
      <c r="F1426" t="s">
        <v>112</v>
      </c>
      <c r="G1426" t="s">
        <v>102</v>
      </c>
      <c r="H1426" t="s">
        <v>102</v>
      </c>
      <c r="J1426">
        <v>0</v>
      </c>
      <c r="K1426">
        <v>2</v>
      </c>
      <c r="L1426">
        <v>65.09375</v>
      </c>
      <c r="M1426">
        <v>37.895352600000002</v>
      </c>
      <c r="N1426">
        <v>2.2882677779999998</v>
      </c>
      <c r="O1426">
        <v>2.2111774</v>
      </c>
      <c r="P1426">
        <v>84.740740740000007</v>
      </c>
      <c r="Q1426">
        <v>29.167014049999999</v>
      </c>
      <c r="R1426">
        <v>1.1169849999999999</v>
      </c>
      <c r="S1426">
        <v>1.1571499000000001</v>
      </c>
      <c r="T1426" t="s">
        <v>1015</v>
      </c>
      <c r="U1426">
        <v>19.64699074</v>
      </c>
    </row>
    <row r="1427" spans="1:21" x14ac:dyDescent="0.25">
      <c r="A1427" t="s">
        <v>92</v>
      </c>
      <c r="B1427" t="s">
        <v>1012</v>
      </c>
      <c r="C1427">
        <v>6</v>
      </c>
      <c r="D1427" t="s">
        <v>64</v>
      </c>
      <c r="E1427" t="s">
        <v>94</v>
      </c>
      <c r="F1427" t="s">
        <v>112</v>
      </c>
      <c r="G1427" t="s">
        <v>102</v>
      </c>
      <c r="H1427" t="s">
        <v>102</v>
      </c>
      <c r="J1427">
        <v>0</v>
      </c>
      <c r="K1427">
        <v>2</v>
      </c>
      <c r="L1427">
        <v>65.09375</v>
      </c>
      <c r="M1427">
        <v>37.895352600000002</v>
      </c>
      <c r="N1427">
        <v>2.2882677779999998</v>
      </c>
      <c r="O1427">
        <v>2.2111774</v>
      </c>
      <c r="P1427">
        <v>84.740740740000007</v>
      </c>
      <c r="Q1427">
        <v>29.167014049999999</v>
      </c>
      <c r="R1427">
        <v>1.1169849999999999</v>
      </c>
      <c r="S1427">
        <v>1.1571499000000001</v>
      </c>
      <c r="T1427" t="s">
        <v>1015</v>
      </c>
      <c r="U1427">
        <v>19.64699074</v>
      </c>
    </row>
    <row r="1428" spans="1:21" x14ac:dyDescent="0.25">
      <c r="A1428" t="s">
        <v>92</v>
      </c>
      <c r="B1428" t="s">
        <v>1012</v>
      </c>
      <c r="C1428">
        <v>6</v>
      </c>
      <c r="D1428" t="s">
        <v>64</v>
      </c>
      <c r="E1428" t="s">
        <v>94</v>
      </c>
      <c r="F1428" t="s">
        <v>112</v>
      </c>
      <c r="G1428" t="s">
        <v>102</v>
      </c>
      <c r="H1428" t="s">
        <v>241</v>
      </c>
      <c r="J1428">
        <v>0</v>
      </c>
      <c r="K1428">
        <v>1</v>
      </c>
      <c r="L1428">
        <v>65.09375</v>
      </c>
      <c r="M1428">
        <v>37.895352600000002</v>
      </c>
      <c r="N1428">
        <v>2.2882677779999998</v>
      </c>
      <c r="O1428">
        <v>2.2111774</v>
      </c>
      <c r="P1428">
        <v>114</v>
      </c>
      <c r="Q1428">
        <v>30.43077242</v>
      </c>
      <c r="R1428">
        <v>0.53383111100000002</v>
      </c>
      <c r="S1428">
        <v>0.28333332999999999</v>
      </c>
      <c r="T1428" t="s">
        <v>1015</v>
      </c>
      <c r="U1428">
        <v>48.90625</v>
      </c>
    </row>
    <row r="1429" spans="1:21" x14ac:dyDescent="0.25">
      <c r="A1429" t="s">
        <v>93</v>
      </c>
      <c r="B1429" t="s">
        <v>1013</v>
      </c>
      <c r="C1429">
        <v>6</v>
      </c>
      <c r="D1429" t="s">
        <v>66</v>
      </c>
      <c r="E1429" t="s">
        <v>95</v>
      </c>
      <c r="F1429" t="s">
        <v>104</v>
      </c>
      <c r="G1429" t="s">
        <v>103</v>
      </c>
      <c r="H1429" t="s">
        <v>104</v>
      </c>
      <c r="J1429">
        <v>0</v>
      </c>
      <c r="K1429">
        <v>1</v>
      </c>
      <c r="L1429">
        <v>113.9375</v>
      </c>
      <c r="M1429">
        <v>33.375507550000002</v>
      </c>
      <c r="N1429">
        <v>2.4262999999999999</v>
      </c>
      <c r="O1429">
        <v>0.40692159999999999</v>
      </c>
      <c r="P1429">
        <v>113.9375</v>
      </c>
      <c r="Q1429">
        <v>33.375507550000002</v>
      </c>
      <c r="R1429">
        <v>2.4262999999999999</v>
      </c>
      <c r="S1429">
        <v>0.40692159999999999</v>
      </c>
      <c r="T1429" t="s">
        <v>1015</v>
      </c>
      <c r="U1429">
        <v>0</v>
      </c>
    </row>
    <row r="1430" spans="1:21" x14ac:dyDescent="0.25">
      <c r="A1430" t="s">
        <v>93</v>
      </c>
      <c r="B1430" t="s">
        <v>1013</v>
      </c>
      <c r="C1430">
        <v>6</v>
      </c>
      <c r="D1430" t="s">
        <v>66</v>
      </c>
      <c r="E1430" t="s">
        <v>95</v>
      </c>
      <c r="F1430" t="s">
        <v>104</v>
      </c>
      <c r="G1430" t="s">
        <v>103</v>
      </c>
      <c r="H1430" t="s">
        <v>111</v>
      </c>
      <c r="J1430">
        <v>0</v>
      </c>
      <c r="K1430">
        <v>1</v>
      </c>
      <c r="L1430">
        <v>113.9375</v>
      </c>
      <c r="M1430">
        <v>33.375507550000002</v>
      </c>
      <c r="N1430">
        <v>2.4262999999999999</v>
      </c>
      <c r="O1430">
        <v>0.40692159999999999</v>
      </c>
      <c r="P1430">
        <v>94.97142857</v>
      </c>
      <c r="Q1430">
        <v>24.31591813</v>
      </c>
      <c r="R1430">
        <v>0.122951111</v>
      </c>
      <c r="S1430">
        <v>0.39050790000000002</v>
      </c>
      <c r="T1430" t="s">
        <v>1015</v>
      </c>
      <c r="U1430">
        <v>18.96607143</v>
      </c>
    </row>
    <row r="1431" spans="1:21" x14ac:dyDescent="0.25">
      <c r="A1431" t="s">
        <v>93</v>
      </c>
      <c r="B1431" t="s">
        <v>1013</v>
      </c>
      <c r="C1431">
        <v>6</v>
      </c>
      <c r="D1431" t="s">
        <v>66</v>
      </c>
      <c r="E1431" t="s">
        <v>95</v>
      </c>
      <c r="F1431" t="s">
        <v>104</v>
      </c>
      <c r="G1431" t="s">
        <v>103</v>
      </c>
      <c r="H1431" t="s">
        <v>103</v>
      </c>
      <c r="J1431">
        <v>0</v>
      </c>
      <c r="K1431">
        <v>4</v>
      </c>
      <c r="L1431">
        <v>113.9375</v>
      </c>
      <c r="M1431">
        <v>33.375507550000002</v>
      </c>
      <c r="N1431">
        <v>2.4262999999999999</v>
      </c>
      <c r="O1431">
        <v>0.40692159999999999</v>
      </c>
      <c r="P1431">
        <v>98.291666669999998</v>
      </c>
      <c r="Q1431">
        <v>30.315130790000001</v>
      </c>
      <c r="R1431">
        <v>5.0803484000000003E-2</v>
      </c>
      <c r="S1431">
        <v>0.42866070000000001</v>
      </c>
      <c r="T1431" t="s">
        <v>1015</v>
      </c>
      <c r="U1431">
        <v>15.64583333</v>
      </c>
    </row>
    <row r="1432" spans="1:21" x14ac:dyDescent="0.25">
      <c r="A1432" t="s">
        <v>93</v>
      </c>
      <c r="B1432" t="s">
        <v>1013</v>
      </c>
      <c r="C1432">
        <v>6</v>
      </c>
      <c r="D1432" t="s">
        <v>66</v>
      </c>
      <c r="E1432" t="s">
        <v>95</v>
      </c>
      <c r="F1432" t="s">
        <v>104</v>
      </c>
      <c r="G1432" t="s">
        <v>103</v>
      </c>
      <c r="H1432" t="s">
        <v>103</v>
      </c>
      <c r="J1432">
        <v>0</v>
      </c>
      <c r="K1432">
        <v>4</v>
      </c>
      <c r="L1432">
        <v>113.9375</v>
      </c>
      <c r="M1432">
        <v>33.375507550000002</v>
      </c>
      <c r="N1432">
        <v>2.4262999999999999</v>
      </c>
      <c r="O1432">
        <v>0.40692159999999999</v>
      </c>
      <c r="P1432">
        <v>98.291666669999998</v>
      </c>
      <c r="Q1432">
        <v>30.315130790000001</v>
      </c>
      <c r="R1432">
        <v>5.0803484000000003E-2</v>
      </c>
      <c r="S1432">
        <v>0.42866070000000001</v>
      </c>
      <c r="T1432" t="s">
        <v>1015</v>
      </c>
      <c r="U1432">
        <v>15.64583333</v>
      </c>
    </row>
    <row r="1433" spans="1:21" x14ac:dyDescent="0.25">
      <c r="A1433" t="s">
        <v>93</v>
      </c>
      <c r="B1433" t="s">
        <v>1013</v>
      </c>
      <c r="C1433">
        <v>6</v>
      </c>
      <c r="D1433" t="s">
        <v>66</v>
      </c>
      <c r="E1433" t="s">
        <v>95</v>
      </c>
      <c r="F1433" t="s">
        <v>104</v>
      </c>
      <c r="G1433" t="s">
        <v>103</v>
      </c>
      <c r="H1433" t="s">
        <v>103</v>
      </c>
      <c r="J1433">
        <v>0</v>
      </c>
      <c r="K1433">
        <v>4</v>
      </c>
      <c r="L1433">
        <v>113.9375</v>
      </c>
      <c r="M1433">
        <v>33.375507550000002</v>
      </c>
      <c r="N1433">
        <v>2.4262999999999999</v>
      </c>
      <c r="O1433">
        <v>0.40692159999999999</v>
      </c>
      <c r="P1433">
        <v>98.291666669999998</v>
      </c>
      <c r="Q1433">
        <v>30.315130790000001</v>
      </c>
      <c r="R1433">
        <v>5.0803484000000003E-2</v>
      </c>
      <c r="S1433">
        <v>0.42866070000000001</v>
      </c>
      <c r="T1433" t="s">
        <v>1015</v>
      </c>
      <c r="U1433">
        <v>15.64583333</v>
      </c>
    </row>
    <row r="1434" spans="1:21" x14ac:dyDescent="0.25">
      <c r="A1434" t="s">
        <v>93</v>
      </c>
      <c r="B1434" t="s">
        <v>1013</v>
      </c>
      <c r="C1434">
        <v>6</v>
      </c>
      <c r="D1434" t="s">
        <v>66</v>
      </c>
      <c r="E1434" t="s">
        <v>95</v>
      </c>
      <c r="F1434" t="s">
        <v>104</v>
      </c>
      <c r="G1434" t="s">
        <v>103</v>
      </c>
      <c r="H1434" t="s">
        <v>103</v>
      </c>
      <c r="J1434">
        <v>0</v>
      </c>
      <c r="K1434">
        <v>4</v>
      </c>
      <c r="L1434">
        <v>113.9375</v>
      </c>
      <c r="M1434">
        <v>33.375507550000002</v>
      </c>
      <c r="N1434">
        <v>2.4262999999999999</v>
      </c>
      <c r="O1434">
        <v>0.40692159999999999</v>
      </c>
      <c r="P1434">
        <v>98.291666669999998</v>
      </c>
      <c r="Q1434">
        <v>30.315130790000001</v>
      </c>
      <c r="R1434">
        <v>5.0803484000000003E-2</v>
      </c>
      <c r="S1434">
        <v>0.42866070000000001</v>
      </c>
      <c r="T1434" t="s">
        <v>1015</v>
      </c>
      <c r="U1434">
        <v>15.64583333</v>
      </c>
    </row>
    <row r="1435" spans="1:21" x14ac:dyDescent="0.25">
      <c r="A1435" t="s">
        <v>93</v>
      </c>
      <c r="B1435" t="s">
        <v>1013</v>
      </c>
      <c r="C1435">
        <v>6</v>
      </c>
      <c r="D1435" t="s">
        <v>66</v>
      </c>
      <c r="E1435" t="s">
        <v>95</v>
      </c>
      <c r="F1435" t="s">
        <v>104</v>
      </c>
      <c r="G1435" t="s">
        <v>103</v>
      </c>
      <c r="H1435" t="s">
        <v>238</v>
      </c>
      <c r="J1435">
        <v>0</v>
      </c>
      <c r="K1435">
        <v>2</v>
      </c>
      <c r="L1435">
        <v>113.9375</v>
      </c>
      <c r="M1435">
        <v>33.375507550000002</v>
      </c>
      <c r="N1435">
        <v>2.4262999999999999</v>
      </c>
      <c r="O1435">
        <v>0.40692159999999999</v>
      </c>
      <c r="P1435">
        <v>87.5</v>
      </c>
      <c r="Q1435">
        <v>29.478311600000001</v>
      </c>
      <c r="R1435">
        <v>3.0797751000000002E-2</v>
      </c>
      <c r="S1435">
        <v>0.12931835</v>
      </c>
      <c r="T1435" t="s">
        <v>1015</v>
      </c>
      <c r="U1435">
        <v>26.4375</v>
      </c>
    </row>
    <row r="1436" spans="1:21" x14ac:dyDescent="0.25">
      <c r="A1436" t="s">
        <v>93</v>
      </c>
      <c r="B1436" t="s">
        <v>1013</v>
      </c>
      <c r="C1436">
        <v>6</v>
      </c>
      <c r="D1436" t="s">
        <v>66</v>
      </c>
      <c r="E1436" t="s">
        <v>95</v>
      </c>
      <c r="F1436" t="s">
        <v>104</v>
      </c>
      <c r="G1436" t="s">
        <v>103</v>
      </c>
      <c r="H1436" t="s">
        <v>238</v>
      </c>
      <c r="J1436">
        <v>0</v>
      </c>
      <c r="K1436">
        <v>2</v>
      </c>
      <c r="L1436">
        <v>113.9375</v>
      </c>
      <c r="M1436">
        <v>33.375507550000002</v>
      </c>
      <c r="N1436">
        <v>2.4262999999999999</v>
      </c>
      <c r="O1436">
        <v>0.40692159999999999</v>
      </c>
      <c r="P1436">
        <v>87.5</v>
      </c>
      <c r="Q1436">
        <v>29.478311600000001</v>
      </c>
      <c r="R1436">
        <v>3.0797751000000002E-2</v>
      </c>
      <c r="S1436">
        <v>0.12931835</v>
      </c>
      <c r="T1436" t="s">
        <v>1015</v>
      </c>
      <c r="U1436">
        <v>26.4375</v>
      </c>
    </row>
    <row r="1437" spans="1:21" x14ac:dyDescent="0.25">
      <c r="A1437" t="s">
        <v>93</v>
      </c>
      <c r="B1437" t="s">
        <v>1013</v>
      </c>
      <c r="C1437">
        <v>6</v>
      </c>
      <c r="D1437" t="s">
        <v>66</v>
      </c>
      <c r="E1437" t="s">
        <v>95</v>
      </c>
      <c r="F1437" t="s">
        <v>104</v>
      </c>
      <c r="G1437" t="s">
        <v>103</v>
      </c>
      <c r="H1437" t="s">
        <v>246</v>
      </c>
      <c r="J1437">
        <v>0</v>
      </c>
      <c r="K1437">
        <v>1</v>
      </c>
      <c r="L1437">
        <v>113.9375</v>
      </c>
      <c r="M1437">
        <v>33.375507550000002</v>
      </c>
      <c r="N1437">
        <v>2.4262999999999999</v>
      </c>
      <c r="O1437">
        <v>0.40692159999999999</v>
      </c>
      <c r="P1437">
        <v>120.25</v>
      </c>
      <c r="Q1437">
        <v>30.670450110000001</v>
      </c>
      <c r="R1437">
        <v>0.91037498500000003</v>
      </c>
      <c r="S1437" t="s">
        <v>114</v>
      </c>
      <c r="T1437" t="s">
        <v>1015</v>
      </c>
      <c r="U1437">
        <v>6.3125</v>
      </c>
    </row>
    <row r="1438" spans="1:21" x14ac:dyDescent="0.25">
      <c r="A1438" t="s">
        <v>67</v>
      </c>
      <c r="B1438" t="s">
        <v>820</v>
      </c>
      <c r="C1438">
        <v>10</v>
      </c>
      <c r="D1438" t="s">
        <v>11</v>
      </c>
      <c r="E1438" t="s">
        <v>94</v>
      </c>
      <c r="F1438" t="s">
        <v>113</v>
      </c>
      <c r="G1438" t="s">
        <v>121</v>
      </c>
      <c r="H1438" t="s">
        <v>113</v>
      </c>
      <c r="J1438">
        <v>0</v>
      </c>
      <c r="K1438">
        <v>2</v>
      </c>
      <c r="L1438">
        <v>83.757575759999995</v>
      </c>
      <c r="M1438">
        <v>22.60997987</v>
      </c>
      <c r="N1438">
        <v>0.72884000000000004</v>
      </c>
      <c r="O1438">
        <v>0.21301339999999999</v>
      </c>
      <c r="P1438">
        <v>83.757575759999995</v>
      </c>
      <c r="Q1438">
        <v>22.60997987</v>
      </c>
      <c r="R1438">
        <v>0.72884000000000004</v>
      </c>
      <c r="S1438">
        <v>0.21301339999999999</v>
      </c>
      <c r="T1438" t="s">
        <v>1016</v>
      </c>
      <c r="U1438">
        <v>0</v>
      </c>
    </row>
    <row r="1439" spans="1:21" x14ac:dyDescent="0.25">
      <c r="A1439" t="s">
        <v>67</v>
      </c>
      <c r="B1439" t="s">
        <v>820</v>
      </c>
      <c r="C1439">
        <v>10</v>
      </c>
      <c r="D1439" t="s">
        <v>11</v>
      </c>
      <c r="E1439" t="s">
        <v>94</v>
      </c>
      <c r="F1439" t="s">
        <v>113</v>
      </c>
      <c r="G1439" t="s">
        <v>121</v>
      </c>
      <c r="H1439" t="s">
        <v>113</v>
      </c>
      <c r="J1439">
        <v>0</v>
      </c>
      <c r="K1439">
        <v>2</v>
      </c>
      <c r="L1439">
        <v>83.757575759999995</v>
      </c>
      <c r="M1439">
        <v>22.60997987</v>
      </c>
      <c r="N1439">
        <v>0.72884000000000004</v>
      </c>
      <c r="O1439">
        <v>0.21301339999999999</v>
      </c>
      <c r="P1439">
        <v>83.757575759999995</v>
      </c>
      <c r="Q1439">
        <v>22.60997987</v>
      </c>
      <c r="R1439">
        <v>0.72884000000000004</v>
      </c>
      <c r="S1439">
        <v>0.21301339999999999</v>
      </c>
      <c r="T1439" t="s">
        <v>1016</v>
      </c>
      <c r="U1439">
        <v>0</v>
      </c>
    </row>
    <row r="1440" spans="1:21" x14ac:dyDescent="0.25">
      <c r="A1440" t="s">
        <v>67</v>
      </c>
      <c r="B1440" t="s">
        <v>820</v>
      </c>
      <c r="C1440">
        <v>10</v>
      </c>
      <c r="D1440" t="s">
        <v>11</v>
      </c>
      <c r="E1440" t="s">
        <v>94</v>
      </c>
      <c r="F1440" t="s">
        <v>113</v>
      </c>
      <c r="G1440" t="s">
        <v>121</v>
      </c>
      <c r="H1440" t="s">
        <v>248</v>
      </c>
      <c r="J1440">
        <v>0</v>
      </c>
      <c r="K1440">
        <v>1</v>
      </c>
      <c r="L1440">
        <v>83.757575759999995</v>
      </c>
      <c r="M1440">
        <v>22.60997987</v>
      </c>
      <c r="N1440">
        <v>0.72884000000000004</v>
      </c>
      <c r="O1440">
        <v>0.21301339999999999</v>
      </c>
      <c r="P1440">
        <v>83.92307692</v>
      </c>
      <c r="Q1440">
        <v>44.319135699999997</v>
      </c>
      <c r="R1440">
        <v>5.9548609999999997E-3</v>
      </c>
      <c r="S1440">
        <v>0.18017928</v>
      </c>
      <c r="T1440" t="s">
        <v>1016</v>
      </c>
      <c r="U1440">
        <v>-21.70915583</v>
      </c>
    </row>
    <row r="1441" spans="1:21" x14ac:dyDescent="0.25">
      <c r="A1441" t="s">
        <v>67</v>
      </c>
      <c r="B1441" t="s">
        <v>821</v>
      </c>
      <c r="C1441">
        <v>10</v>
      </c>
      <c r="D1441" t="s">
        <v>11</v>
      </c>
      <c r="E1441" t="s">
        <v>94</v>
      </c>
      <c r="F1441" t="s">
        <v>103</v>
      </c>
      <c r="G1441" t="s">
        <v>121</v>
      </c>
      <c r="H1441" t="s">
        <v>103</v>
      </c>
      <c r="J1441">
        <v>0</v>
      </c>
      <c r="K1441">
        <v>1</v>
      </c>
      <c r="L1441">
        <v>98.291666669999998</v>
      </c>
      <c r="M1441">
        <v>30.315130790000001</v>
      </c>
      <c r="N1441">
        <v>5.0803484000000003E-2</v>
      </c>
      <c r="O1441">
        <v>0.42866070000000001</v>
      </c>
      <c r="P1441">
        <v>98.291666669999998</v>
      </c>
      <c r="Q1441">
        <v>30.315130790000001</v>
      </c>
      <c r="R1441">
        <v>5.0803484000000003E-2</v>
      </c>
      <c r="S1441">
        <v>0.42866070000000001</v>
      </c>
      <c r="T1441" t="s">
        <v>1016</v>
      </c>
      <c r="U1441">
        <v>0</v>
      </c>
    </row>
    <row r="1442" spans="1:21" x14ac:dyDescent="0.25">
      <c r="A1442" t="s">
        <v>67</v>
      </c>
      <c r="B1442" t="s">
        <v>822</v>
      </c>
      <c r="C1442">
        <v>10</v>
      </c>
      <c r="D1442" t="s">
        <v>11</v>
      </c>
      <c r="E1442" t="s">
        <v>94</v>
      </c>
      <c r="F1442" t="s">
        <v>112</v>
      </c>
      <c r="G1442" t="s">
        <v>121</v>
      </c>
      <c r="H1442" t="s">
        <v>235</v>
      </c>
      <c r="J1442">
        <v>0</v>
      </c>
      <c r="K1442">
        <v>1</v>
      </c>
      <c r="L1442">
        <v>65.09375</v>
      </c>
      <c r="M1442">
        <v>37.895352600000002</v>
      </c>
      <c r="N1442">
        <v>2.2882677779999998</v>
      </c>
      <c r="O1442">
        <v>2.2111774</v>
      </c>
      <c r="P1442">
        <v>132.27272730000001</v>
      </c>
      <c r="Q1442">
        <v>20.180448590000001</v>
      </c>
      <c r="R1442">
        <v>3.7813451999999997E-2</v>
      </c>
      <c r="S1442">
        <v>0.41404401000000002</v>
      </c>
      <c r="T1442" t="s">
        <v>1016</v>
      </c>
      <c r="U1442">
        <v>17.714904010000001</v>
      </c>
    </row>
    <row r="1443" spans="1:21" x14ac:dyDescent="0.25">
      <c r="A1443" t="s">
        <v>67</v>
      </c>
      <c r="B1443" t="s">
        <v>822</v>
      </c>
      <c r="C1443">
        <v>10</v>
      </c>
      <c r="D1443" t="s">
        <v>11</v>
      </c>
      <c r="E1443" t="s">
        <v>94</v>
      </c>
      <c r="F1443" t="s">
        <v>112</v>
      </c>
      <c r="G1443" t="s">
        <v>121</v>
      </c>
      <c r="H1443" t="s">
        <v>248</v>
      </c>
      <c r="J1443">
        <v>0</v>
      </c>
      <c r="K1443">
        <v>2</v>
      </c>
      <c r="L1443">
        <v>65.09375</v>
      </c>
      <c r="M1443">
        <v>37.895352600000002</v>
      </c>
      <c r="N1443">
        <v>2.2882677779999998</v>
      </c>
      <c r="O1443">
        <v>2.2111774</v>
      </c>
      <c r="P1443">
        <v>83.92307692</v>
      </c>
      <c r="Q1443">
        <v>44.319135699999997</v>
      </c>
      <c r="R1443">
        <v>5.9548609999999997E-3</v>
      </c>
      <c r="S1443">
        <v>0.18017928</v>
      </c>
      <c r="T1443" t="s">
        <v>1016</v>
      </c>
      <c r="U1443">
        <v>-6.4237830999999996</v>
      </c>
    </row>
    <row r="1444" spans="1:21" x14ac:dyDescent="0.25">
      <c r="A1444" t="s">
        <v>67</v>
      </c>
      <c r="B1444" t="s">
        <v>822</v>
      </c>
      <c r="C1444">
        <v>10</v>
      </c>
      <c r="D1444" t="s">
        <v>11</v>
      </c>
      <c r="E1444" t="s">
        <v>94</v>
      </c>
      <c r="F1444" t="s">
        <v>112</v>
      </c>
      <c r="G1444" t="s">
        <v>121</v>
      </c>
      <c r="H1444" t="s">
        <v>248</v>
      </c>
      <c r="J1444">
        <v>0</v>
      </c>
      <c r="K1444">
        <v>2</v>
      </c>
      <c r="L1444">
        <v>65.09375</v>
      </c>
      <c r="M1444">
        <v>37.895352600000002</v>
      </c>
      <c r="N1444">
        <v>2.2882677779999998</v>
      </c>
      <c r="O1444">
        <v>2.2111774</v>
      </c>
      <c r="P1444">
        <v>83.92307692</v>
      </c>
      <c r="Q1444">
        <v>44.319135699999997</v>
      </c>
      <c r="R1444">
        <v>5.9548609999999997E-3</v>
      </c>
      <c r="S1444">
        <v>0.18017928</v>
      </c>
      <c r="T1444" t="s">
        <v>1016</v>
      </c>
      <c r="U1444">
        <v>-6.4237830999999996</v>
      </c>
    </row>
    <row r="1445" spans="1:21" x14ac:dyDescent="0.25">
      <c r="A1445" t="s">
        <v>68</v>
      </c>
      <c r="B1445" t="s">
        <v>823</v>
      </c>
      <c r="C1445">
        <v>10</v>
      </c>
      <c r="D1445" t="s">
        <v>15</v>
      </c>
      <c r="E1445" t="s">
        <v>95</v>
      </c>
      <c r="F1445" t="s">
        <v>113</v>
      </c>
      <c r="G1445" t="s">
        <v>121</v>
      </c>
      <c r="H1445" t="s">
        <v>113</v>
      </c>
      <c r="J1445">
        <v>0</v>
      </c>
      <c r="K1445">
        <v>1</v>
      </c>
      <c r="L1445">
        <v>83.757575759999995</v>
      </c>
      <c r="M1445">
        <v>22.60997987</v>
      </c>
      <c r="N1445">
        <v>0.72884000000000004</v>
      </c>
      <c r="O1445">
        <v>0.21301339999999999</v>
      </c>
      <c r="P1445">
        <v>83.757575759999995</v>
      </c>
      <c r="Q1445">
        <v>22.60997987</v>
      </c>
      <c r="R1445">
        <v>0.72884000000000004</v>
      </c>
      <c r="S1445">
        <v>0.21301339999999999</v>
      </c>
      <c r="T1445" t="s">
        <v>1016</v>
      </c>
      <c r="U1445">
        <v>0</v>
      </c>
    </row>
    <row r="1446" spans="1:21" x14ac:dyDescent="0.25">
      <c r="A1446" t="s">
        <v>68</v>
      </c>
      <c r="B1446" t="s">
        <v>824</v>
      </c>
      <c r="C1446">
        <v>10</v>
      </c>
      <c r="D1446" t="s">
        <v>15</v>
      </c>
      <c r="E1446" t="s">
        <v>95</v>
      </c>
      <c r="F1446" t="s">
        <v>110</v>
      </c>
      <c r="G1446" t="s">
        <v>113</v>
      </c>
      <c r="H1446" t="s">
        <v>113</v>
      </c>
      <c r="J1446">
        <v>0</v>
      </c>
      <c r="K1446">
        <v>2</v>
      </c>
      <c r="L1446">
        <v>73.260869569999997</v>
      </c>
      <c r="M1446">
        <v>34.453830549999999</v>
      </c>
      <c r="N1446">
        <v>1.058333333</v>
      </c>
      <c r="O1446">
        <v>0.90897070000000002</v>
      </c>
      <c r="P1446">
        <v>83.757575759999995</v>
      </c>
      <c r="Q1446">
        <v>22.60997987</v>
      </c>
      <c r="R1446">
        <v>0.72884000000000004</v>
      </c>
      <c r="S1446">
        <v>0.21301339999999999</v>
      </c>
      <c r="T1446" t="s">
        <v>1016</v>
      </c>
      <c r="U1446">
        <v>11.843850679999999</v>
      </c>
    </row>
    <row r="1447" spans="1:21" x14ac:dyDescent="0.25">
      <c r="A1447" t="s">
        <v>68</v>
      </c>
      <c r="B1447" t="s">
        <v>824</v>
      </c>
      <c r="C1447">
        <v>10</v>
      </c>
      <c r="D1447" t="s">
        <v>15</v>
      </c>
      <c r="E1447" t="s">
        <v>95</v>
      </c>
      <c r="F1447" t="s">
        <v>110</v>
      </c>
      <c r="G1447" t="s">
        <v>113</v>
      </c>
      <c r="H1447" t="s">
        <v>113</v>
      </c>
      <c r="J1447">
        <v>0</v>
      </c>
      <c r="K1447">
        <v>2</v>
      </c>
      <c r="L1447">
        <v>73.260869569999997</v>
      </c>
      <c r="M1447">
        <v>34.453830549999999</v>
      </c>
      <c r="N1447">
        <v>1.058333333</v>
      </c>
      <c r="O1447">
        <v>0.90897070000000002</v>
      </c>
      <c r="P1447">
        <v>83.757575759999995</v>
      </c>
      <c r="Q1447">
        <v>22.60997987</v>
      </c>
      <c r="R1447">
        <v>0.72884000000000004</v>
      </c>
      <c r="S1447">
        <v>0.21301339999999999</v>
      </c>
      <c r="T1447" t="s">
        <v>1016</v>
      </c>
      <c r="U1447">
        <v>11.843850679999999</v>
      </c>
    </row>
    <row r="1448" spans="1:21" x14ac:dyDescent="0.25">
      <c r="A1448" t="s">
        <v>68</v>
      </c>
      <c r="B1448" t="s">
        <v>825</v>
      </c>
      <c r="C1448">
        <v>10</v>
      </c>
      <c r="D1448" t="s">
        <v>15</v>
      </c>
      <c r="E1448" t="s">
        <v>95</v>
      </c>
      <c r="F1448" t="s">
        <v>111</v>
      </c>
      <c r="G1448" t="s">
        <v>121</v>
      </c>
      <c r="H1448" t="s">
        <v>239</v>
      </c>
      <c r="J1448">
        <v>0</v>
      </c>
      <c r="K1448">
        <v>1</v>
      </c>
      <c r="L1448">
        <v>94.97142857</v>
      </c>
      <c r="M1448">
        <v>24.31591813</v>
      </c>
      <c r="N1448">
        <v>0.122951111</v>
      </c>
      <c r="O1448">
        <v>0.39050790000000002</v>
      </c>
      <c r="P1448">
        <v>100.45454549999999</v>
      </c>
      <c r="Q1448">
        <v>26.754810689999999</v>
      </c>
      <c r="R1448">
        <v>0.75829999999999997</v>
      </c>
      <c r="S1448">
        <v>0.40907861000000001</v>
      </c>
      <c r="T1448" t="s">
        <v>1016</v>
      </c>
      <c r="U1448">
        <v>-2.4388925600000002</v>
      </c>
    </row>
    <row r="1449" spans="1:21" x14ac:dyDescent="0.25">
      <c r="A1449" t="s">
        <v>68</v>
      </c>
      <c r="B1449" t="s">
        <v>826</v>
      </c>
      <c r="C1449">
        <v>10</v>
      </c>
      <c r="D1449" t="s">
        <v>15</v>
      </c>
      <c r="E1449" t="s">
        <v>95</v>
      </c>
      <c r="F1449" t="s">
        <v>104</v>
      </c>
      <c r="G1449" t="s">
        <v>121</v>
      </c>
      <c r="H1449" t="s">
        <v>114</v>
      </c>
      <c r="I1449" t="s">
        <v>161</v>
      </c>
      <c r="J1449">
        <v>1</v>
      </c>
      <c r="K1449">
        <v>0</v>
      </c>
      <c r="L1449">
        <v>113.9375</v>
      </c>
      <c r="M1449">
        <v>33.375507550000002</v>
      </c>
      <c r="N1449">
        <v>2.4262999999999999</v>
      </c>
      <c r="O1449">
        <v>0.40692159999999999</v>
      </c>
      <c r="P1449" t="s">
        <v>114</v>
      </c>
      <c r="Q1449" t="s">
        <v>114</v>
      </c>
      <c r="R1449" t="s">
        <v>114</v>
      </c>
      <c r="S1449" t="s">
        <v>114</v>
      </c>
      <c r="T1449" t="s">
        <v>1016</v>
      </c>
      <c r="U1449" t="s">
        <v>114</v>
      </c>
    </row>
    <row r="1450" spans="1:21" x14ac:dyDescent="0.25">
      <c r="A1450" t="s">
        <v>69</v>
      </c>
      <c r="B1450" t="s">
        <v>827</v>
      </c>
      <c r="C1450">
        <v>10</v>
      </c>
      <c r="D1450" t="s">
        <v>17</v>
      </c>
      <c r="E1450" t="s">
        <v>95</v>
      </c>
      <c r="F1450" t="s">
        <v>102</v>
      </c>
      <c r="G1450" t="s">
        <v>102</v>
      </c>
      <c r="H1450" t="s">
        <v>102</v>
      </c>
      <c r="J1450">
        <v>0</v>
      </c>
      <c r="K1450">
        <v>1</v>
      </c>
      <c r="L1450">
        <v>84.740740740000007</v>
      </c>
      <c r="M1450">
        <v>29.167014049999999</v>
      </c>
      <c r="N1450">
        <v>1.1169849999999999</v>
      </c>
      <c r="O1450">
        <v>1.1571499000000001</v>
      </c>
      <c r="P1450">
        <v>84.740740740000007</v>
      </c>
      <c r="Q1450">
        <v>29.167014049999999</v>
      </c>
      <c r="R1450">
        <v>1.1169849999999999</v>
      </c>
      <c r="S1450">
        <v>1.1571499000000001</v>
      </c>
      <c r="T1450" t="s">
        <v>1016</v>
      </c>
      <c r="U1450">
        <v>0</v>
      </c>
    </row>
    <row r="1451" spans="1:21" x14ac:dyDescent="0.25">
      <c r="A1451" t="s">
        <v>69</v>
      </c>
      <c r="B1451" t="s">
        <v>827</v>
      </c>
      <c r="C1451">
        <v>10</v>
      </c>
      <c r="D1451" t="s">
        <v>17</v>
      </c>
      <c r="E1451" t="s">
        <v>95</v>
      </c>
      <c r="F1451" t="s">
        <v>102</v>
      </c>
      <c r="G1451" t="s">
        <v>102</v>
      </c>
      <c r="H1451" t="s">
        <v>235</v>
      </c>
      <c r="J1451">
        <v>0</v>
      </c>
      <c r="K1451">
        <v>2</v>
      </c>
      <c r="L1451">
        <v>84.740740740000007</v>
      </c>
      <c r="M1451">
        <v>29.167014049999999</v>
      </c>
      <c r="N1451">
        <v>1.1169849999999999</v>
      </c>
      <c r="O1451">
        <v>1.1571499000000001</v>
      </c>
      <c r="P1451">
        <v>132.27272730000001</v>
      </c>
      <c r="Q1451">
        <v>20.180448590000001</v>
      </c>
      <c r="R1451">
        <v>3.7813451999999997E-2</v>
      </c>
      <c r="S1451">
        <v>0.41404401000000002</v>
      </c>
      <c r="T1451" t="s">
        <v>1016</v>
      </c>
      <c r="U1451">
        <v>8.9865654599999996</v>
      </c>
    </row>
    <row r="1452" spans="1:21" x14ac:dyDescent="0.25">
      <c r="A1452" t="s">
        <v>69</v>
      </c>
      <c r="B1452" t="s">
        <v>827</v>
      </c>
      <c r="C1452">
        <v>10</v>
      </c>
      <c r="D1452" t="s">
        <v>17</v>
      </c>
      <c r="E1452" t="s">
        <v>95</v>
      </c>
      <c r="F1452" t="s">
        <v>102</v>
      </c>
      <c r="G1452" t="s">
        <v>102</v>
      </c>
      <c r="H1452" t="s">
        <v>235</v>
      </c>
      <c r="J1452">
        <v>0</v>
      </c>
      <c r="K1452">
        <v>2</v>
      </c>
      <c r="L1452">
        <v>84.740740740000007</v>
      </c>
      <c r="M1452">
        <v>29.167014049999999</v>
      </c>
      <c r="N1452">
        <v>1.1169849999999999</v>
      </c>
      <c r="O1452">
        <v>1.1571499000000001</v>
      </c>
      <c r="P1452">
        <v>132.27272730000001</v>
      </c>
      <c r="Q1452">
        <v>20.180448590000001</v>
      </c>
      <c r="R1452">
        <v>3.7813451999999997E-2</v>
      </c>
      <c r="S1452">
        <v>0.41404401000000002</v>
      </c>
      <c r="T1452" t="s">
        <v>1016</v>
      </c>
      <c r="U1452">
        <v>8.9865654599999996</v>
      </c>
    </row>
    <row r="1453" spans="1:21" x14ac:dyDescent="0.25">
      <c r="A1453" t="s">
        <v>69</v>
      </c>
      <c r="B1453" t="s">
        <v>828</v>
      </c>
      <c r="C1453">
        <v>10</v>
      </c>
      <c r="D1453" t="s">
        <v>17</v>
      </c>
      <c r="E1453" t="s">
        <v>95</v>
      </c>
      <c r="F1453" t="s">
        <v>113</v>
      </c>
      <c r="G1453" t="s">
        <v>113</v>
      </c>
      <c r="H1453" t="s">
        <v>113</v>
      </c>
      <c r="J1453">
        <v>0</v>
      </c>
      <c r="K1453">
        <v>1</v>
      </c>
      <c r="L1453">
        <v>83.757575759999995</v>
      </c>
      <c r="M1453">
        <v>22.60997987</v>
      </c>
      <c r="N1453">
        <v>0.72884000000000004</v>
      </c>
      <c r="O1453">
        <v>0.21301339999999999</v>
      </c>
      <c r="P1453">
        <v>83.757575759999995</v>
      </c>
      <c r="Q1453">
        <v>22.60997987</v>
      </c>
      <c r="R1453">
        <v>0.72884000000000004</v>
      </c>
      <c r="S1453">
        <v>0.21301339999999999</v>
      </c>
      <c r="T1453" t="s">
        <v>1016</v>
      </c>
      <c r="U1453">
        <v>0</v>
      </c>
    </row>
    <row r="1454" spans="1:21" x14ac:dyDescent="0.25">
      <c r="A1454" t="s">
        <v>69</v>
      </c>
      <c r="B1454" t="s">
        <v>828</v>
      </c>
      <c r="C1454">
        <v>10</v>
      </c>
      <c r="D1454" t="s">
        <v>17</v>
      </c>
      <c r="E1454" t="s">
        <v>95</v>
      </c>
      <c r="F1454" t="s">
        <v>113</v>
      </c>
      <c r="G1454" t="s">
        <v>113</v>
      </c>
      <c r="H1454" t="s">
        <v>235</v>
      </c>
      <c r="J1454">
        <v>0</v>
      </c>
      <c r="K1454">
        <v>2</v>
      </c>
      <c r="L1454">
        <v>83.757575759999995</v>
      </c>
      <c r="M1454">
        <v>22.60997987</v>
      </c>
      <c r="N1454">
        <v>0.72884000000000004</v>
      </c>
      <c r="O1454">
        <v>0.21301339999999999</v>
      </c>
      <c r="P1454">
        <v>132.27272730000001</v>
      </c>
      <c r="Q1454">
        <v>20.180448590000001</v>
      </c>
      <c r="R1454">
        <v>3.7813451999999997E-2</v>
      </c>
      <c r="S1454">
        <v>0.41404401000000002</v>
      </c>
      <c r="T1454" t="s">
        <v>1016</v>
      </c>
      <c r="U1454">
        <v>2.42953128</v>
      </c>
    </row>
    <row r="1455" spans="1:21" x14ac:dyDescent="0.25">
      <c r="A1455" t="s">
        <v>69</v>
      </c>
      <c r="B1455" t="s">
        <v>828</v>
      </c>
      <c r="C1455">
        <v>10</v>
      </c>
      <c r="D1455" t="s">
        <v>17</v>
      </c>
      <c r="E1455" t="s">
        <v>95</v>
      </c>
      <c r="F1455" t="s">
        <v>113</v>
      </c>
      <c r="G1455" t="s">
        <v>113</v>
      </c>
      <c r="H1455" t="s">
        <v>235</v>
      </c>
      <c r="J1455">
        <v>0</v>
      </c>
      <c r="K1455">
        <v>2</v>
      </c>
      <c r="L1455">
        <v>83.757575759999995</v>
      </c>
      <c r="M1455">
        <v>22.60997987</v>
      </c>
      <c r="N1455">
        <v>0.72884000000000004</v>
      </c>
      <c r="O1455">
        <v>0.21301339999999999</v>
      </c>
      <c r="P1455">
        <v>132.27272730000001</v>
      </c>
      <c r="Q1455">
        <v>20.180448590000001</v>
      </c>
      <c r="R1455">
        <v>3.7813451999999997E-2</v>
      </c>
      <c r="S1455">
        <v>0.41404401000000002</v>
      </c>
      <c r="T1455" t="s">
        <v>1016</v>
      </c>
      <c r="U1455">
        <v>2.42953128</v>
      </c>
    </row>
    <row r="1456" spans="1:21" x14ac:dyDescent="0.25">
      <c r="A1456" t="s">
        <v>69</v>
      </c>
      <c r="B1456" t="s">
        <v>829</v>
      </c>
      <c r="C1456">
        <v>10</v>
      </c>
      <c r="D1456" t="s">
        <v>17</v>
      </c>
      <c r="E1456" t="s">
        <v>95</v>
      </c>
      <c r="F1456" t="s">
        <v>103</v>
      </c>
      <c r="G1456" t="s">
        <v>103</v>
      </c>
      <c r="H1456" t="s">
        <v>103</v>
      </c>
      <c r="J1456">
        <v>0</v>
      </c>
      <c r="K1456">
        <v>1</v>
      </c>
      <c r="L1456">
        <v>98.291666669999998</v>
      </c>
      <c r="M1456">
        <v>30.315130790000001</v>
      </c>
      <c r="N1456">
        <v>5.0803484000000003E-2</v>
      </c>
      <c r="O1456">
        <v>0.42866070000000001</v>
      </c>
      <c r="P1456">
        <v>98.291666669999998</v>
      </c>
      <c r="Q1456">
        <v>30.315130790000001</v>
      </c>
      <c r="R1456">
        <v>5.0803484000000003E-2</v>
      </c>
      <c r="S1456">
        <v>0.42866070000000001</v>
      </c>
      <c r="T1456" t="s">
        <v>1016</v>
      </c>
      <c r="U1456">
        <v>0</v>
      </c>
    </row>
    <row r="1457" spans="1:21" x14ac:dyDescent="0.25">
      <c r="A1457" t="s">
        <v>69</v>
      </c>
      <c r="B1457" t="s">
        <v>829</v>
      </c>
      <c r="C1457">
        <v>10</v>
      </c>
      <c r="D1457" t="s">
        <v>17</v>
      </c>
      <c r="E1457" t="s">
        <v>95</v>
      </c>
      <c r="F1457" t="s">
        <v>103</v>
      </c>
      <c r="G1457" t="s">
        <v>103</v>
      </c>
      <c r="H1457" t="s">
        <v>241</v>
      </c>
      <c r="J1457">
        <v>0</v>
      </c>
      <c r="K1457">
        <v>1</v>
      </c>
      <c r="L1457">
        <v>98.291666669999998</v>
      </c>
      <c r="M1457">
        <v>30.315130790000001</v>
      </c>
      <c r="N1457">
        <v>5.0803484000000003E-2</v>
      </c>
      <c r="O1457">
        <v>0.42866070000000001</v>
      </c>
      <c r="P1457">
        <v>114</v>
      </c>
      <c r="Q1457">
        <v>30.43077242</v>
      </c>
      <c r="R1457">
        <v>0.53383111100000002</v>
      </c>
      <c r="S1457">
        <v>0.28333332999999999</v>
      </c>
      <c r="T1457" t="s">
        <v>1016</v>
      </c>
      <c r="U1457">
        <v>-0.11564163</v>
      </c>
    </row>
    <row r="1458" spans="1:21" x14ac:dyDescent="0.25">
      <c r="A1458" t="s">
        <v>69</v>
      </c>
      <c r="B1458" t="s">
        <v>829</v>
      </c>
      <c r="C1458">
        <v>10</v>
      </c>
      <c r="D1458" t="s">
        <v>17</v>
      </c>
      <c r="E1458" t="s">
        <v>95</v>
      </c>
      <c r="F1458" t="s">
        <v>103</v>
      </c>
      <c r="G1458" t="s">
        <v>103</v>
      </c>
      <c r="H1458" t="s">
        <v>235</v>
      </c>
      <c r="J1458">
        <v>0</v>
      </c>
      <c r="K1458">
        <v>1</v>
      </c>
      <c r="L1458">
        <v>98.291666669999998</v>
      </c>
      <c r="M1458">
        <v>30.315130790000001</v>
      </c>
      <c r="N1458">
        <v>5.0803484000000003E-2</v>
      </c>
      <c r="O1458">
        <v>0.42866070000000001</v>
      </c>
      <c r="P1458">
        <v>132.27272730000001</v>
      </c>
      <c r="Q1458">
        <v>20.180448590000001</v>
      </c>
      <c r="R1458">
        <v>3.7813451999999997E-2</v>
      </c>
      <c r="S1458">
        <v>0.41404401000000002</v>
      </c>
      <c r="T1458" t="s">
        <v>1016</v>
      </c>
      <c r="U1458">
        <v>10.1346822</v>
      </c>
    </row>
    <row r="1459" spans="1:21" x14ac:dyDescent="0.25">
      <c r="A1459" t="s">
        <v>69</v>
      </c>
      <c r="B1459" t="s">
        <v>830</v>
      </c>
      <c r="C1459">
        <v>10</v>
      </c>
      <c r="D1459" t="s">
        <v>17</v>
      </c>
      <c r="E1459" t="s">
        <v>95</v>
      </c>
      <c r="F1459" t="s">
        <v>111</v>
      </c>
      <c r="G1459" t="s">
        <v>121</v>
      </c>
      <c r="H1459" t="s">
        <v>235</v>
      </c>
      <c r="J1459">
        <v>0</v>
      </c>
      <c r="K1459">
        <v>3</v>
      </c>
      <c r="L1459">
        <v>94.97142857</v>
      </c>
      <c r="M1459">
        <v>24.31591813</v>
      </c>
      <c r="N1459">
        <v>0.122951111</v>
      </c>
      <c r="O1459">
        <v>0.39050790000000002</v>
      </c>
      <c r="P1459">
        <v>132.27272730000001</v>
      </c>
      <c r="Q1459">
        <v>20.180448590000001</v>
      </c>
      <c r="R1459">
        <v>3.7813451999999997E-2</v>
      </c>
      <c r="S1459">
        <v>0.41404401000000002</v>
      </c>
      <c r="T1459" t="s">
        <v>1016</v>
      </c>
      <c r="U1459">
        <v>4.1354695399999999</v>
      </c>
    </row>
    <row r="1460" spans="1:21" x14ac:dyDescent="0.25">
      <c r="A1460" t="s">
        <v>69</v>
      </c>
      <c r="B1460" t="s">
        <v>830</v>
      </c>
      <c r="C1460">
        <v>10</v>
      </c>
      <c r="D1460" t="s">
        <v>17</v>
      </c>
      <c r="E1460" t="s">
        <v>95</v>
      </c>
      <c r="F1460" t="s">
        <v>111</v>
      </c>
      <c r="G1460" t="s">
        <v>121</v>
      </c>
      <c r="H1460" t="s">
        <v>235</v>
      </c>
      <c r="J1460">
        <v>0</v>
      </c>
      <c r="K1460">
        <v>3</v>
      </c>
      <c r="L1460">
        <v>94.97142857</v>
      </c>
      <c r="M1460">
        <v>24.31591813</v>
      </c>
      <c r="N1460">
        <v>0.122951111</v>
      </c>
      <c r="O1460">
        <v>0.39050790000000002</v>
      </c>
      <c r="P1460">
        <v>132.27272730000001</v>
      </c>
      <c r="Q1460">
        <v>20.180448590000001</v>
      </c>
      <c r="R1460">
        <v>3.7813451999999997E-2</v>
      </c>
      <c r="S1460">
        <v>0.41404401000000002</v>
      </c>
      <c r="T1460" t="s">
        <v>1016</v>
      </c>
      <c r="U1460">
        <v>4.1354695399999999</v>
      </c>
    </row>
    <row r="1461" spans="1:21" x14ac:dyDescent="0.25">
      <c r="A1461" t="s">
        <v>69</v>
      </c>
      <c r="B1461" t="s">
        <v>830</v>
      </c>
      <c r="C1461">
        <v>10</v>
      </c>
      <c r="D1461" t="s">
        <v>17</v>
      </c>
      <c r="E1461" t="s">
        <v>95</v>
      </c>
      <c r="F1461" t="s">
        <v>111</v>
      </c>
      <c r="G1461" t="s">
        <v>121</v>
      </c>
      <c r="H1461" t="s">
        <v>235</v>
      </c>
      <c r="J1461">
        <v>0</v>
      </c>
      <c r="K1461">
        <v>3</v>
      </c>
      <c r="L1461">
        <v>94.97142857</v>
      </c>
      <c r="M1461">
        <v>24.31591813</v>
      </c>
      <c r="N1461">
        <v>0.122951111</v>
      </c>
      <c r="O1461">
        <v>0.39050790000000002</v>
      </c>
      <c r="P1461">
        <v>132.27272730000001</v>
      </c>
      <c r="Q1461">
        <v>20.180448590000001</v>
      </c>
      <c r="R1461">
        <v>3.7813451999999997E-2</v>
      </c>
      <c r="S1461">
        <v>0.41404401000000002</v>
      </c>
      <c r="T1461" t="s">
        <v>1016</v>
      </c>
      <c r="U1461">
        <v>4.1354695399999999</v>
      </c>
    </row>
    <row r="1462" spans="1:21" x14ac:dyDescent="0.25">
      <c r="A1462" t="s">
        <v>69</v>
      </c>
      <c r="B1462" t="s">
        <v>831</v>
      </c>
      <c r="C1462">
        <v>10</v>
      </c>
      <c r="D1462" t="s">
        <v>17</v>
      </c>
      <c r="E1462" t="s">
        <v>95</v>
      </c>
      <c r="F1462" t="s">
        <v>112</v>
      </c>
      <c r="G1462" t="s">
        <v>121</v>
      </c>
      <c r="H1462" t="s">
        <v>235</v>
      </c>
      <c r="I1462" t="s">
        <v>252</v>
      </c>
      <c r="J1462">
        <v>1</v>
      </c>
      <c r="K1462">
        <v>2</v>
      </c>
      <c r="L1462">
        <v>65.09375</v>
      </c>
      <c r="M1462">
        <v>37.895352600000002</v>
      </c>
      <c r="N1462">
        <v>2.2882677779999998</v>
      </c>
      <c r="O1462">
        <v>2.2111774</v>
      </c>
      <c r="P1462">
        <v>132.27272730000001</v>
      </c>
      <c r="Q1462">
        <v>20.180448590000001</v>
      </c>
      <c r="R1462">
        <v>3.7813451999999997E-2</v>
      </c>
      <c r="S1462">
        <v>0.41404401000000002</v>
      </c>
      <c r="T1462" t="s">
        <v>1016</v>
      </c>
      <c r="U1462">
        <v>17.714904010000001</v>
      </c>
    </row>
    <row r="1463" spans="1:21" x14ac:dyDescent="0.25">
      <c r="A1463" t="s">
        <v>69</v>
      </c>
      <c r="B1463" t="s">
        <v>831</v>
      </c>
      <c r="C1463">
        <v>10</v>
      </c>
      <c r="D1463" t="s">
        <v>17</v>
      </c>
      <c r="E1463" t="s">
        <v>95</v>
      </c>
      <c r="F1463" t="s">
        <v>112</v>
      </c>
      <c r="G1463" t="s">
        <v>121</v>
      </c>
      <c r="H1463" t="s">
        <v>235</v>
      </c>
      <c r="I1463" t="s">
        <v>252</v>
      </c>
      <c r="J1463">
        <v>1</v>
      </c>
      <c r="K1463">
        <v>2</v>
      </c>
      <c r="L1463">
        <v>65.09375</v>
      </c>
      <c r="M1463">
        <v>37.895352600000002</v>
      </c>
      <c r="N1463">
        <v>2.2882677779999998</v>
      </c>
      <c r="O1463">
        <v>2.2111774</v>
      </c>
      <c r="P1463">
        <v>132.27272730000001</v>
      </c>
      <c r="Q1463">
        <v>20.180448590000001</v>
      </c>
      <c r="R1463">
        <v>3.7813451999999997E-2</v>
      </c>
      <c r="S1463">
        <v>0.41404401000000002</v>
      </c>
      <c r="T1463" t="s">
        <v>1016</v>
      </c>
      <c r="U1463">
        <v>17.714904010000001</v>
      </c>
    </row>
    <row r="1464" spans="1:21" x14ac:dyDescent="0.25">
      <c r="A1464" t="s">
        <v>70</v>
      </c>
      <c r="B1464" t="s">
        <v>832</v>
      </c>
      <c r="C1464">
        <v>10</v>
      </c>
      <c r="D1464" t="s">
        <v>19</v>
      </c>
      <c r="E1464" t="s">
        <v>95</v>
      </c>
      <c r="F1464" t="s">
        <v>102</v>
      </c>
      <c r="G1464" t="s">
        <v>121</v>
      </c>
      <c r="H1464" t="s">
        <v>102</v>
      </c>
      <c r="J1464">
        <v>0</v>
      </c>
      <c r="K1464">
        <v>1</v>
      </c>
      <c r="L1464">
        <v>84.740740740000007</v>
      </c>
      <c r="M1464">
        <v>29.167014049999999</v>
      </c>
      <c r="N1464">
        <v>1.1169849999999999</v>
      </c>
      <c r="O1464">
        <v>1.1571499000000001</v>
      </c>
      <c r="P1464">
        <v>84.740740740000007</v>
      </c>
      <c r="Q1464">
        <v>29.167014049999999</v>
      </c>
      <c r="R1464">
        <v>1.1169849999999999</v>
      </c>
      <c r="S1464">
        <v>1.1571499000000001</v>
      </c>
      <c r="T1464" t="s">
        <v>1016</v>
      </c>
      <c r="U1464">
        <v>0</v>
      </c>
    </row>
    <row r="1465" spans="1:21" x14ac:dyDescent="0.25">
      <c r="A1465" t="s">
        <v>70</v>
      </c>
      <c r="B1465" t="s">
        <v>832</v>
      </c>
      <c r="C1465">
        <v>10</v>
      </c>
      <c r="D1465" t="s">
        <v>19</v>
      </c>
      <c r="E1465" t="s">
        <v>95</v>
      </c>
      <c r="F1465" t="s">
        <v>102</v>
      </c>
      <c r="G1465" t="s">
        <v>121</v>
      </c>
      <c r="H1465" t="s">
        <v>236</v>
      </c>
      <c r="J1465">
        <v>0</v>
      </c>
      <c r="K1465">
        <v>1</v>
      </c>
      <c r="L1465">
        <v>84.740740740000007</v>
      </c>
      <c r="M1465">
        <v>29.167014049999999</v>
      </c>
      <c r="N1465">
        <v>1.1169849999999999</v>
      </c>
      <c r="O1465">
        <v>1.1571499000000001</v>
      </c>
      <c r="P1465">
        <v>113.33333330000001</v>
      </c>
      <c r="Q1465">
        <v>26.41632581</v>
      </c>
      <c r="R1465">
        <v>1.6844570160000001</v>
      </c>
      <c r="S1465">
        <v>8.9285710000000004E-2</v>
      </c>
      <c r="T1465" t="s">
        <v>1016</v>
      </c>
      <c r="U1465">
        <v>2.7506882400000001</v>
      </c>
    </row>
    <row r="1466" spans="1:21" x14ac:dyDescent="0.25">
      <c r="A1466" t="s">
        <v>70</v>
      </c>
      <c r="B1466" t="s">
        <v>833</v>
      </c>
      <c r="C1466">
        <v>10</v>
      </c>
      <c r="D1466" t="s">
        <v>19</v>
      </c>
      <c r="E1466" t="s">
        <v>95</v>
      </c>
      <c r="F1466" t="s">
        <v>105</v>
      </c>
      <c r="G1466" t="s">
        <v>121</v>
      </c>
      <c r="H1466" t="s">
        <v>235</v>
      </c>
      <c r="J1466">
        <v>0</v>
      </c>
      <c r="K1466">
        <v>1</v>
      </c>
      <c r="L1466">
        <v>67.5</v>
      </c>
      <c r="M1466">
        <v>47.937235809999997</v>
      </c>
      <c r="N1466">
        <v>0.41599678000000001</v>
      </c>
      <c r="O1466">
        <v>2.0950346999999998</v>
      </c>
      <c r="P1466">
        <v>132.27272730000001</v>
      </c>
      <c r="Q1466">
        <v>20.180448590000001</v>
      </c>
      <c r="R1466">
        <v>3.7813451999999997E-2</v>
      </c>
      <c r="S1466">
        <v>0.41404401000000002</v>
      </c>
      <c r="T1466" t="s">
        <v>1016</v>
      </c>
      <c r="U1466">
        <v>27.75678722</v>
      </c>
    </row>
    <row r="1467" spans="1:21" x14ac:dyDescent="0.25">
      <c r="A1467" t="s">
        <v>70</v>
      </c>
      <c r="B1467" t="s">
        <v>833</v>
      </c>
      <c r="C1467">
        <v>10</v>
      </c>
      <c r="D1467" t="s">
        <v>19</v>
      </c>
      <c r="E1467" t="s">
        <v>95</v>
      </c>
      <c r="F1467" t="s">
        <v>105</v>
      </c>
      <c r="G1467" t="s">
        <v>121</v>
      </c>
      <c r="H1467" t="s">
        <v>236</v>
      </c>
      <c r="J1467">
        <v>0</v>
      </c>
      <c r="K1467">
        <v>2</v>
      </c>
      <c r="L1467">
        <v>67.5</v>
      </c>
      <c r="M1467">
        <v>47.937235809999997</v>
      </c>
      <c r="N1467">
        <v>0.41599678000000001</v>
      </c>
      <c r="O1467">
        <v>2.0950346999999998</v>
      </c>
      <c r="P1467">
        <v>113.33333330000001</v>
      </c>
      <c r="Q1467">
        <v>26.41632581</v>
      </c>
      <c r="R1467">
        <v>1.6844570160000001</v>
      </c>
      <c r="S1467">
        <v>8.9285710000000004E-2</v>
      </c>
      <c r="T1467" t="s">
        <v>1016</v>
      </c>
      <c r="U1467">
        <v>21.520910000000001</v>
      </c>
    </row>
    <row r="1468" spans="1:21" x14ac:dyDescent="0.25">
      <c r="A1468" t="s">
        <v>70</v>
      </c>
      <c r="B1468" t="s">
        <v>833</v>
      </c>
      <c r="C1468">
        <v>10</v>
      </c>
      <c r="D1468" t="s">
        <v>19</v>
      </c>
      <c r="E1468" t="s">
        <v>95</v>
      </c>
      <c r="F1468" t="s">
        <v>105</v>
      </c>
      <c r="G1468" t="s">
        <v>121</v>
      </c>
      <c r="H1468" t="s">
        <v>236</v>
      </c>
      <c r="J1468">
        <v>0</v>
      </c>
      <c r="K1468">
        <v>2</v>
      </c>
      <c r="L1468">
        <v>67.5</v>
      </c>
      <c r="M1468">
        <v>47.937235809999997</v>
      </c>
      <c r="N1468">
        <v>0.41599678000000001</v>
      </c>
      <c r="O1468">
        <v>2.0950346999999998</v>
      </c>
      <c r="P1468">
        <v>113.33333330000001</v>
      </c>
      <c r="Q1468">
        <v>26.41632581</v>
      </c>
      <c r="R1468">
        <v>1.6844570160000001</v>
      </c>
      <c r="S1468">
        <v>8.9285710000000004E-2</v>
      </c>
      <c r="T1468" t="s">
        <v>1016</v>
      </c>
      <c r="U1468">
        <v>21.520910000000001</v>
      </c>
    </row>
    <row r="1469" spans="1:21" x14ac:dyDescent="0.25">
      <c r="A1469" t="s">
        <v>70</v>
      </c>
      <c r="B1469" t="s">
        <v>833</v>
      </c>
      <c r="C1469">
        <v>10</v>
      </c>
      <c r="D1469" t="s">
        <v>19</v>
      </c>
      <c r="E1469" t="s">
        <v>95</v>
      </c>
      <c r="F1469" t="s">
        <v>105</v>
      </c>
      <c r="G1469" t="s">
        <v>121</v>
      </c>
      <c r="H1469" t="s">
        <v>162</v>
      </c>
      <c r="J1469">
        <v>0</v>
      </c>
      <c r="K1469">
        <v>1</v>
      </c>
      <c r="L1469">
        <v>67.5</v>
      </c>
      <c r="M1469">
        <v>47.937235809999997</v>
      </c>
      <c r="N1469">
        <v>0.41599678000000001</v>
      </c>
      <c r="O1469">
        <v>2.0950346999999998</v>
      </c>
      <c r="P1469">
        <v>82.53846154</v>
      </c>
      <c r="Q1469">
        <v>35.660530039999998</v>
      </c>
      <c r="R1469">
        <v>3.3754499999999998</v>
      </c>
      <c r="S1469" t="s">
        <v>114</v>
      </c>
      <c r="T1469" t="s">
        <v>1016</v>
      </c>
      <c r="U1469">
        <v>12.27670577</v>
      </c>
    </row>
    <row r="1470" spans="1:21" x14ac:dyDescent="0.25">
      <c r="A1470" t="s">
        <v>70</v>
      </c>
      <c r="B1470" t="s">
        <v>834</v>
      </c>
      <c r="C1470">
        <v>10</v>
      </c>
      <c r="D1470" t="s">
        <v>19</v>
      </c>
      <c r="E1470" t="s">
        <v>95</v>
      </c>
      <c r="F1470" t="s">
        <v>111</v>
      </c>
      <c r="G1470" t="s">
        <v>121</v>
      </c>
      <c r="H1470" t="s">
        <v>235</v>
      </c>
      <c r="J1470">
        <v>0</v>
      </c>
      <c r="K1470">
        <v>1</v>
      </c>
      <c r="L1470">
        <v>94.97142857</v>
      </c>
      <c r="M1470">
        <v>24.31591813</v>
      </c>
      <c r="N1470">
        <v>0.122951111</v>
      </c>
      <c r="O1470">
        <v>0.39050790000000002</v>
      </c>
      <c r="P1470">
        <v>132.27272730000001</v>
      </c>
      <c r="Q1470">
        <v>20.180448590000001</v>
      </c>
      <c r="R1470">
        <v>3.7813451999999997E-2</v>
      </c>
      <c r="S1470">
        <v>0.41404401000000002</v>
      </c>
      <c r="T1470" t="s">
        <v>1016</v>
      </c>
      <c r="U1470">
        <v>4.1354695399999999</v>
      </c>
    </row>
    <row r="1471" spans="1:21" x14ac:dyDescent="0.25">
      <c r="A1471" t="s">
        <v>71</v>
      </c>
      <c r="B1471" t="s">
        <v>835</v>
      </c>
      <c r="C1471">
        <v>10</v>
      </c>
      <c r="D1471" t="s">
        <v>21</v>
      </c>
      <c r="E1471" t="s">
        <v>94</v>
      </c>
      <c r="F1471" t="s">
        <v>102</v>
      </c>
      <c r="G1471" t="s">
        <v>121</v>
      </c>
      <c r="H1471" t="s">
        <v>114</v>
      </c>
      <c r="J1471">
        <v>0</v>
      </c>
      <c r="K1471" t="s">
        <v>114</v>
      </c>
      <c r="L1471">
        <v>84.740740740000007</v>
      </c>
      <c r="M1471">
        <v>29.167014049999999</v>
      </c>
      <c r="N1471">
        <v>1.1169849999999999</v>
      </c>
      <c r="O1471">
        <v>1.1571499000000001</v>
      </c>
      <c r="P1471" t="s">
        <v>114</v>
      </c>
      <c r="Q1471" t="s">
        <v>114</v>
      </c>
      <c r="R1471" t="s">
        <v>114</v>
      </c>
      <c r="S1471" t="s">
        <v>114</v>
      </c>
      <c r="T1471" t="s">
        <v>1016</v>
      </c>
      <c r="U1471" t="s">
        <v>114</v>
      </c>
    </row>
    <row r="1472" spans="1:21" x14ac:dyDescent="0.25">
      <c r="A1472" t="s">
        <v>71</v>
      </c>
      <c r="B1472" t="s">
        <v>836</v>
      </c>
      <c r="C1472">
        <v>10</v>
      </c>
      <c r="D1472" t="s">
        <v>21</v>
      </c>
      <c r="E1472" t="s">
        <v>94</v>
      </c>
      <c r="F1472" t="s">
        <v>111</v>
      </c>
      <c r="G1472" t="s">
        <v>111</v>
      </c>
      <c r="H1472" t="s">
        <v>111</v>
      </c>
      <c r="J1472">
        <v>0</v>
      </c>
      <c r="K1472">
        <v>1</v>
      </c>
      <c r="L1472">
        <v>94.97142857</v>
      </c>
      <c r="M1472">
        <v>24.31591813</v>
      </c>
      <c r="N1472">
        <v>0.122951111</v>
      </c>
      <c r="O1472">
        <v>0.39050790000000002</v>
      </c>
      <c r="P1472">
        <v>94.97142857</v>
      </c>
      <c r="Q1472">
        <v>24.31591813</v>
      </c>
      <c r="R1472">
        <v>0.122951111</v>
      </c>
      <c r="S1472">
        <v>0.39050790000000002</v>
      </c>
      <c r="T1472" t="s">
        <v>1016</v>
      </c>
      <c r="U1472">
        <v>0</v>
      </c>
    </row>
    <row r="1473" spans="1:21" x14ac:dyDescent="0.25">
      <c r="A1473" t="s">
        <v>71</v>
      </c>
      <c r="B1473" t="s">
        <v>836</v>
      </c>
      <c r="C1473">
        <v>10</v>
      </c>
      <c r="D1473" t="s">
        <v>21</v>
      </c>
      <c r="E1473" t="s">
        <v>94</v>
      </c>
      <c r="F1473" t="s">
        <v>111</v>
      </c>
      <c r="G1473" t="s">
        <v>111</v>
      </c>
      <c r="H1473" t="s">
        <v>250</v>
      </c>
      <c r="J1473">
        <v>0</v>
      </c>
      <c r="K1473">
        <v>1</v>
      </c>
      <c r="L1473">
        <v>94.97142857</v>
      </c>
      <c r="M1473">
        <v>24.31591813</v>
      </c>
      <c r="N1473">
        <v>0.122951111</v>
      </c>
      <c r="O1473">
        <v>0.39050790000000002</v>
      </c>
      <c r="P1473">
        <v>157.14285709999999</v>
      </c>
      <c r="Q1473">
        <v>28.969081320000001</v>
      </c>
      <c r="R1473">
        <v>0.55164111100000002</v>
      </c>
      <c r="S1473" t="s">
        <v>114</v>
      </c>
      <c r="T1473" t="s">
        <v>1016</v>
      </c>
      <c r="U1473">
        <v>-4.6531631899999999</v>
      </c>
    </row>
    <row r="1474" spans="1:21" x14ac:dyDescent="0.25">
      <c r="A1474" t="s">
        <v>71</v>
      </c>
      <c r="B1474" t="s">
        <v>837</v>
      </c>
      <c r="C1474">
        <v>10</v>
      </c>
      <c r="D1474" t="s">
        <v>21</v>
      </c>
      <c r="E1474" t="s">
        <v>94</v>
      </c>
      <c r="F1474" t="s">
        <v>104</v>
      </c>
      <c r="G1474" t="s">
        <v>104</v>
      </c>
      <c r="H1474" t="s">
        <v>104</v>
      </c>
      <c r="J1474">
        <v>0</v>
      </c>
      <c r="K1474">
        <v>1</v>
      </c>
      <c r="L1474">
        <v>113.9375</v>
      </c>
      <c r="M1474">
        <v>33.375507550000002</v>
      </c>
      <c r="N1474">
        <v>2.4262999999999999</v>
      </c>
      <c r="O1474">
        <v>0.40692159999999999</v>
      </c>
      <c r="P1474">
        <v>113.9375</v>
      </c>
      <c r="Q1474">
        <v>33.375507550000002</v>
      </c>
      <c r="R1474">
        <v>2.4262999999999999</v>
      </c>
      <c r="S1474">
        <v>0.40692159999999999</v>
      </c>
      <c r="T1474" t="s">
        <v>1016</v>
      </c>
      <c r="U1474">
        <v>0</v>
      </c>
    </row>
    <row r="1475" spans="1:21" x14ac:dyDescent="0.25">
      <c r="A1475" t="s">
        <v>72</v>
      </c>
      <c r="B1475" t="s">
        <v>838</v>
      </c>
      <c r="C1475">
        <v>10</v>
      </c>
      <c r="D1475" t="s">
        <v>23</v>
      </c>
      <c r="E1475" t="s">
        <v>95</v>
      </c>
      <c r="F1475" t="s">
        <v>105</v>
      </c>
      <c r="G1475" t="s">
        <v>121</v>
      </c>
      <c r="H1475" t="s">
        <v>238</v>
      </c>
      <c r="J1475">
        <v>0</v>
      </c>
      <c r="K1475">
        <v>1</v>
      </c>
      <c r="L1475">
        <v>67.5</v>
      </c>
      <c r="M1475">
        <v>47.937235809999997</v>
      </c>
      <c r="N1475">
        <v>0.41599678000000001</v>
      </c>
      <c r="O1475">
        <v>2.0950346999999998</v>
      </c>
      <c r="P1475">
        <v>87.5</v>
      </c>
      <c r="Q1475">
        <v>29.478311600000001</v>
      </c>
      <c r="R1475">
        <v>3.0797751000000002E-2</v>
      </c>
      <c r="S1475">
        <v>0.12931835</v>
      </c>
      <c r="T1475" t="s">
        <v>1016</v>
      </c>
      <c r="U1475">
        <v>18.458924209999999</v>
      </c>
    </row>
    <row r="1476" spans="1:21" x14ac:dyDescent="0.25">
      <c r="A1476" t="s">
        <v>72</v>
      </c>
      <c r="B1476" t="s">
        <v>839</v>
      </c>
      <c r="C1476">
        <v>10</v>
      </c>
      <c r="D1476" t="s">
        <v>23</v>
      </c>
      <c r="E1476" t="s">
        <v>95</v>
      </c>
      <c r="F1476" t="s">
        <v>111</v>
      </c>
      <c r="G1476" t="s">
        <v>121</v>
      </c>
      <c r="H1476" t="s">
        <v>114</v>
      </c>
      <c r="J1476">
        <v>0</v>
      </c>
      <c r="K1476">
        <v>0</v>
      </c>
      <c r="L1476">
        <v>94.97142857</v>
      </c>
      <c r="M1476">
        <v>24.31591813</v>
      </c>
      <c r="N1476">
        <v>0.122951111</v>
      </c>
      <c r="O1476">
        <v>0.39050790000000002</v>
      </c>
      <c r="P1476" t="s">
        <v>114</v>
      </c>
      <c r="Q1476" t="s">
        <v>114</v>
      </c>
      <c r="R1476" t="s">
        <v>114</v>
      </c>
      <c r="S1476" t="s">
        <v>114</v>
      </c>
      <c r="T1476" t="s">
        <v>1016</v>
      </c>
      <c r="U1476" t="s">
        <v>114</v>
      </c>
    </row>
    <row r="1477" spans="1:21" x14ac:dyDescent="0.25">
      <c r="A1477" t="s">
        <v>72</v>
      </c>
      <c r="B1477" t="s">
        <v>840</v>
      </c>
      <c r="C1477">
        <v>10</v>
      </c>
      <c r="D1477" t="s">
        <v>23</v>
      </c>
      <c r="E1477" t="s">
        <v>95</v>
      </c>
      <c r="F1477" t="s">
        <v>104</v>
      </c>
      <c r="G1477" t="s">
        <v>104</v>
      </c>
      <c r="H1477" t="s">
        <v>104</v>
      </c>
      <c r="J1477">
        <v>0</v>
      </c>
      <c r="K1477">
        <v>1</v>
      </c>
      <c r="L1477">
        <v>113.9375</v>
      </c>
      <c r="M1477">
        <v>33.375507550000002</v>
      </c>
      <c r="N1477">
        <v>2.4262999999999999</v>
      </c>
      <c r="O1477">
        <v>0.40692159999999999</v>
      </c>
      <c r="P1477">
        <v>113.9375</v>
      </c>
      <c r="Q1477">
        <v>33.375507550000002</v>
      </c>
      <c r="R1477">
        <v>2.4262999999999999</v>
      </c>
      <c r="S1477">
        <v>0.40692159999999999</v>
      </c>
      <c r="T1477" t="s">
        <v>1016</v>
      </c>
      <c r="U1477">
        <v>0</v>
      </c>
    </row>
    <row r="1478" spans="1:21" x14ac:dyDescent="0.25">
      <c r="A1478" t="s">
        <v>72</v>
      </c>
      <c r="B1478" t="s">
        <v>840</v>
      </c>
      <c r="C1478">
        <v>10</v>
      </c>
      <c r="D1478" t="s">
        <v>23</v>
      </c>
      <c r="E1478" t="s">
        <v>95</v>
      </c>
      <c r="F1478" t="s">
        <v>104</v>
      </c>
      <c r="G1478" t="s">
        <v>104</v>
      </c>
      <c r="H1478" t="s">
        <v>244</v>
      </c>
      <c r="J1478">
        <v>0</v>
      </c>
      <c r="K1478">
        <v>1</v>
      </c>
      <c r="L1478">
        <v>113.9375</v>
      </c>
      <c r="M1478">
        <v>33.375507550000002</v>
      </c>
      <c r="N1478">
        <v>2.4262999999999999</v>
      </c>
      <c r="O1478">
        <v>0.40692159999999999</v>
      </c>
      <c r="P1478">
        <v>75</v>
      </c>
      <c r="Q1478">
        <v>28.80614499</v>
      </c>
      <c r="R1478">
        <v>2.3860428570000001</v>
      </c>
      <c r="S1478">
        <v>0.26400832000000002</v>
      </c>
      <c r="T1478" t="s">
        <v>1016</v>
      </c>
      <c r="U1478">
        <v>4.5693625600000001</v>
      </c>
    </row>
    <row r="1479" spans="1:21" x14ac:dyDescent="0.25">
      <c r="A1479" t="s">
        <v>72</v>
      </c>
      <c r="B1479" t="s">
        <v>841</v>
      </c>
      <c r="C1479">
        <v>10</v>
      </c>
      <c r="D1479" t="s">
        <v>23</v>
      </c>
      <c r="E1479" t="s">
        <v>95</v>
      </c>
      <c r="F1479" t="s">
        <v>112</v>
      </c>
      <c r="G1479" t="s">
        <v>121</v>
      </c>
      <c r="H1479" t="s">
        <v>238</v>
      </c>
      <c r="J1479">
        <v>0</v>
      </c>
      <c r="K1479">
        <v>1</v>
      </c>
      <c r="L1479">
        <v>65.09375</v>
      </c>
      <c r="M1479">
        <v>37.895352600000002</v>
      </c>
      <c r="N1479">
        <v>2.2882677779999998</v>
      </c>
      <c r="O1479">
        <v>2.2111774</v>
      </c>
      <c r="P1479">
        <v>87.5</v>
      </c>
      <c r="Q1479">
        <v>29.478311600000001</v>
      </c>
      <c r="R1479">
        <v>3.0797751000000002E-2</v>
      </c>
      <c r="S1479">
        <v>0.12931835</v>
      </c>
      <c r="T1479" t="s">
        <v>1016</v>
      </c>
      <c r="U1479">
        <v>8.4170409999999993</v>
      </c>
    </row>
    <row r="1480" spans="1:21" x14ac:dyDescent="0.25">
      <c r="A1480" t="s">
        <v>73</v>
      </c>
      <c r="B1480" t="s">
        <v>842</v>
      </c>
      <c r="C1480">
        <v>10</v>
      </c>
      <c r="D1480" t="s">
        <v>25</v>
      </c>
      <c r="E1480" t="s">
        <v>94</v>
      </c>
      <c r="F1480" t="s">
        <v>105</v>
      </c>
      <c r="G1480" t="s">
        <v>112</v>
      </c>
      <c r="H1480" t="s">
        <v>112</v>
      </c>
      <c r="J1480">
        <v>0</v>
      </c>
      <c r="K1480">
        <v>1</v>
      </c>
      <c r="L1480">
        <v>67.5</v>
      </c>
      <c r="M1480">
        <v>47.937235809999997</v>
      </c>
      <c r="N1480">
        <v>0.41599678000000001</v>
      </c>
      <c r="O1480">
        <v>2.0950346999999998</v>
      </c>
      <c r="P1480">
        <v>65.09375</v>
      </c>
      <c r="Q1480">
        <v>37.895352600000002</v>
      </c>
      <c r="R1480">
        <v>2.2882677779999998</v>
      </c>
      <c r="S1480">
        <v>2.2111774</v>
      </c>
      <c r="T1480" t="s">
        <v>1016</v>
      </c>
      <c r="U1480">
        <v>10.04188321</v>
      </c>
    </row>
    <row r="1481" spans="1:21" x14ac:dyDescent="0.25">
      <c r="A1481" t="s">
        <v>73</v>
      </c>
      <c r="B1481" t="s">
        <v>843</v>
      </c>
      <c r="C1481">
        <v>10</v>
      </c>
      <c r="D1481" t="s">
        <v>25</v>
      </c>
      <c r="E1481" t="s">
        <v>94</v>
      </c>
      <c r="F1481" t="s">
        <v>110</v>
      </c>
      <c r="G1481" t="s">
        <v>110</v>
      </c>
      <c r="H1481" t="s">
        <v>110</v>
      </c>
      <c r="J1481">
        <v>0</v>
      </c>
      <c r="K1481">
        <v>3</v>
      </c>
      <c r="L1481">
        <v>73.260869569999997</v>
      </c>
      <c r="M1481">
        <v>34.453830549999999</v>
      </c>
      <c r="N1481">
        <v>1.058333333</v>
      </c>
      <c r="O1481">
        <v>0.90897070000000002</v>
      </c>
      <c r="P1481">
        <v>73.260869569999997</v>
      </c>
      <c r="Q1481">
        <v>34.453830549999999</v>
      </c>
      <c r="R1481">
        <v>1.058333333</v>
      </c>
      <c r="S1481">
        <v>0.90897070000000002</v>
      </c>
      <c r="T1481" t="s">
        <v>1016</v>
      </c>
      <c r="U1481">
        <v>0</v>
      </c>
    </row>
    <row r="1482" spans="1:21" x14ac:dyDescent="0.25">
      <c r="A1482" t="s">
        <v>73</v>
      </c>
      <c r="B1482" t="s">
        <v>843</v>
      </c>
      <c r="C1482">
        <v>10</v>
      </c>
      <c r="D1482" t="s">
        <v>25</v>
      </c>
      <c r="E1482" t="s">
        <v>94</v>
      </c>
      <c r="F1482" t="s">
        <v>110</v>
      </c>
      <c r="G1482" t="s">
        <v>110</v>
      </c>
      <c r="H1482" t="s">
        <v>110</v>
      </c>
      <c r="J1482">
        <v>0</v>
      </c>
      <c r="K1482">
        <v>3</v>
      </c>
      <c r="L1482">
        <v>73.260869569999997</v>
      </c>
      <c r="M1482">
        <v>34.453830549999999</v>
      </c>
      <c r="N1482">
        <v>1.058333333</v>
      </c>
      <c r="O1482">
        <v>0.90897070000000002</v>
      </c>
      <c r="P1482">
        <v>73.260869569999997</v>
      </c>
      <c r="Q1482">
        <v>34.453830549999999</v>
      </c>
      <c r="R1482">
        <v>1.058333333</v>
      </c>
      <c r="S1482">
        <v>0.90897070000000002</v>
      </c>
      <c r="T1482" t="s">
        <v>1016</v>
      </c>
      <c r="U1482">
        <v>0</v>
      </c>
    </row>
    <row r="1483" spans="1:21" x14ac:dyDescent="0.25">
      <c r="A1483" t="s">
        <v>73</v>
      </c>
      <c r="B1483" t="s">
        <v>843</v>
      </c>
      <c r="C1483">
        <v>10</v>
      </c>
      <c r="D1483" t="s">
        <v>25</v>
      </c>
      <c r="E1483" t="s">
        <v>94</v>
      </c>
      <c r="F1483" t="s">
        <v>110</v>
      </c>
      <c r="G1483" t="s">
        <v>110</v>
      </c>
      <c r="H1483" t="s">
        <v>110</v>
      </c>
      <c r="J1483">
        <v>0</v>
      </c>
      <c r="K1483">
        <v>3</v>
      </c>
      <c r="L1483">
        <v>73.260869569999997</v>
      </c>
      <c r="M1483">
        <v>34.453830549999999</v>
      </c>
      <c r="N1483">
        <v>1.058333333</v>
      </c>
      <c r="O1483">
        <v>0.90897070000000002</v>
      </c>
      <c r="P1483">
        <v>73.260869569999997</v>
      </c>
      <c r="Q1483">
        <v>34.453830549999999</v>
      </c>
      <c r="R1483">
        <v>1.058333333</v>
      </c>
      <c r="S1483">
        <v>0.90897070000000002</v>
      </c>
      <c r="T1483" t="s">
        <v>1016</v>
      </c>
      <c r="U1483">
        <v>0</v>
      </c>
    </row>
    <row r="1484" spans="1:21" x14ac:dyDescent="0.25">
      <c r="A1484" t="s">
        <v>73</v>
      </c>
      <c r="B1484" t="s">
        <v>843</v>
      </c>
      <c r="C1484">
        <v>10</v>
      </c>
      <c r="D1484" t="s">
        <v>25</v>
      </c>
      <c r="E1484" t="s">
        <v>94</v>
      </c>
      <c r="F1484" t="s">
        <v>110</v>
      </c>
      <c r="G1484" t="s">
        <v>110</v>
      </c>
      <c r="H1484" t="s">
        <v>251</v>
      </c>
      <c r="J1484">
        <v>0</v>
      </c>
      <c r="K1484">
        <v>1</v>
      </c>
      <c r="L1484">
        <v>73.260869569999997</v>
      </c>
      <c r="M1484">
        <v>34.453830549999999</v>
      </c>
      <c r="N1484">
        <v>1.058333333</v>
      </c>
      <c r="O1484">
        <v>0.90897070000000002</v>
      </c>
      <c r="P1484">
        <v>85</v>
      </c>
      <c r="Q1484">
        <v>37.099157669999997</v>
      </c>
      <c r="R1484">
        <v>0.65291888899999995</v>
      </c>
      <c r="S1484" t="s">
        <v>114</v>
      </c>
      <c r="T1484" t="s">
        <v>1016</v>
      </c>
      <c r="U1484">
        <v>-2.6453271200000001</v>
      </c>
    </row>
    <row r="1485" spans="1:21" x14ac:dyDescent="0.25">
      <c r="A1485" t="s">
        <v>73</v>
      </c>
      <c r="B1485" t="s">
        <v>843</v>
      </c>
      <c r="C1485">
        <v>10</v>
      </c>
      <c r="D1485" t="s">
        <v>25</v>
      </c>
      <c r="E1485" t="s">
        <v>94</v>
      </c>
      <c r="F1485" t="s">
        <v>110</v>
      </c>
      <c r="G1485" t="s">
        <v>110</v>
      </c>
      <c r="H1485" t="s">
        <v>246</v>
      </c>
      <c r="J1485">
        <v>0</v>
      </c>
      <c r="K1485">
        <v>1</v>
      </c>
      <c r="L1485">
        <v>73.260869569999997</v>
      </c>
      <c r="M1485">
        <v>34.453830549999999</v>
      </c>
      <c r="N1485">
        <v>1.058333333</v>
      </c>
      <c r="O1485">
        <v>0.90897070000000002</v>
      </c>
      <c r="P1485">
        <v>120.25</v>
      </c>
      <c r="Q1485">
        <v>30.670450110000001</v>
      </c>
      <c r="R1485">
        <v>0.91037498500000003</v>
      </c>
      <c r="S1485" t="s">
        <v>114</v>
      </c>
      <c r="T1485" t="s">
        <v>1016</v>
      </c>
      <c r="U1485">
        <v>3.7833804400000002</v>
      </c>
    </row>
    <row r="1486" spans="1:21" x14ac:dyDescent="0.25">
      <c r="A1486" t="s">
        <v>73</v>
      </c>
      <c r="B1486" t="s">
        <v>844</v>
      </c>
      <c r="C1486">
        <v>10</v>
      </c>
      <c r="D1486" t="s">
        <v>25</v>
      </c>
      <c r="E1486" t="s">
        <v>94</v>
      </c>
      <c r="F1486" t="s">
        <v>104</v>
      </c>
      <c r="G1486" t="s">
        <v>104</v>
      </c>
      <c r="H1486" t="s">
        <v>104</v>
      </c>
      <c r="J1486">
        <v>0</v>
      </c>
      <c r="K1486">
        <v>1</v>
      </c>
      <c r="L1486">
        <v>113.9375</v>
      </c>
      <c r="M1486">
        <v>33.375507550000002</v>
      </c>
      <c r="N1486">
        <v>2.4262999999999999</v>
      </c>
      <c r="O1486">
        <v>0.40692159999999999</v>
      </c>
      <c r="P1486">
        <v>113.9375</v>
      </c>
      <c r="Q1486">
        <v>33.375507550000002</v>
      </c>
      <c r="R1486">
        <v>2.4262999999999999</v>
      </c>
      <c r="S1486">
        <v>0.40692159999999999</v>
      </c>
      <c r="T1486" t="s">
        <v>1016</v>
      </c>
      <c r="U1486">
        <v>0</v>
      </c>
    </row>
    <row r="1487" spans="1:21" x14ac:dyDescent="0.25">
      <c r="A1487" t="s">
        <v>73</v>
      </c>
      <c r="B1487" t="s">
        <v>845</v>
      </c>
      <c r="C1487">
        <v>10</v>
      </c>
      <c r="D1487" t="s">
        <v>25</v>
      </c>
      <c r="E1487" t="s">
        <v>94</v>
      </c>
      <c r="F1487" t="s">
        <v>112</v>
      </c>
      <c r="G1487" t="s">
        <v>121</v>
      </c>
      <c r="H1487" t="s">
        <v>114</v>
      </c>
      <c r="J1487">
        <v>0</v>
      </c>
      <c r="K1487" t="s">
        <v>114</v>
      </c>
      <c r="L1487">
        <v>65.09375</v>
      </c>
      <c r="M1487">
        <v>37.895352600000002</v>
      </c>
      <c r="N1487">
        <v>2.2882677779999998</v>
      </c>
      <c r="O1487">
        <v>2.2111774</v>
      </c>
      <c r="P1487" t="s">
        <v>114</v>
      </c>
      <c r="Q1487" t="s">
        <v>114</v>
      </c>
      <c r="R1487" t="s">
        <v>114</v>
      </c>
      <c r="S1487" t="s">
        <v>114</v>
      </c>
      <c r="T1487" t="s">
        <v>1016</v>
      </c>
      <c r="U1487" t="s">
        <v>114</v>
      </c>
    </row>
    <row r="1488" spans="1:21" x14ac:dyDescent="0.25">
      <c r="A1488" t="s">
        <v>74</v>
      </c>
      <c r="B1488" t="s">
        <v>846</v>
      </c>
      <c r="C1488">
        <v>10</v>
      </c>
      <c r="D1488" t="s">
        <v>27</v>
      </c>
      <c r="E1488" t="s">
        <v>95</v>
      </c>
      <c r="F1488" t="s">
        <v>102</v>
      </c>
      <c r="G1488" t="s">
        <v>113</v>
      </c>
      <c r="H1488" t="s">
        <v>113</v>
      </c>
      <c r="J1488">
        <v>0</v>
      </c>
      <c r="K1488">
        <v>3</v>
      </c>
      <c r="L1488">
        <v>84.740740740000007</v>
      </c>
      <c r="M1488">
        <v>29.167014049999999</v>
      </c>
      <c r="N1488">
        <v>1.1169849999999999</v>
      </c>
      <c r="O1488">
        <v>1.1571499000000001</v>
      </c>
      <c r="P1488">
        <v>83.757575759999995</v>
      </c>
      <c r="Q1488">
        <v>22.60997987</v>
      </c>
      <c r="R1488">
        <v>0.72884000000000004</v>
      </c>
      <c r="S1488">
        <v>0.21301339999999999</v>
      </c>
      <c r="T1488" t="s">
        <v>1016</v>
      </c>
      <c r="U1488">
        <v>6.5570341799999996</v>
      </c>
    </row>
    <row r="1489" spans="1:21" x14ac:dyDescent="0.25">
      <c r="A1489" t="s">
        <v>74</v>
      </c>
      <c r="B1489" t="s">
        <v>846</v>
      </c>
      <c r="C1489">
        <v>10</v>
      </c>
      <c r="D1489" t="s">
        <v>27</v>
      </c>
      <c r="E1489" t="s">
        <v>95</v>
      </c>
      <c r="F1489" t="s">
        <v>102</v>
      </c>
      <c r="G1489" t="s">
        <v>113</v>
      </c>
      <c r="H1489" t="s">
        <v>113</v>
      </c>
      <c r="J1489">
        <v>0</v>
      </c>
      <c r="K1489">
        <v>3</v>
      </c>
      <c r="L1489">
        <v>84.740740740000007</v>
      </c>
      <c r="M1489">
        <v>29.167014049999999</v>
      </c>
      <c r="N1489">
        <v>1.1169849999999999</v>
      </c>
      <c r="O1489">
        <v>1.1571499000000001</v>
      </c>
      <c r="P1489">
        <v>83.757575759999995</v>
      </c>
      <c r="Q1489">
        <v>22.60997987</v>
      </c>
      <c r="R1489">
        <v>0.72884000000000004</v>
      </c>
      <c r="S1489">
        <v>0.21301339999999999</v>
      </c>
      <c r="T1489" t="s">
        <v>1016</v>
      </c>
      <c r="U1489">
        <v>6.5570341799999996</v>
      </c>
    </row>
    <row r="1490" spans="1:21" x14ac:dyDescent="0.25">
      <c r="A1490" t="s">
        <v>74</v>
      </c>
      <c r="B1490" t="s">
        <v>846</v>
      </c>
      <c r="C1490">
        <v>10</v>
      </c>
      <c r="D1490" t="s">
        <v>27</v>
      </c>
      <c r="E1490" t="s">
        <v>95</v>
      </c>
      <c r="F1490" t="s">
        <v>102</v>
      </c>
      <c r="G1490" t="s">
        <v>113</v>
      </c>
      <c r="H1490" t="s">
        <v>113</v>
      </c>
      <c r="J1490">
        <v>0</v>
      </c>
      <c r="K1490">
        <v>3</v>
      </c>
      <c r="L1490">
        <v>84.740740740000007</v>
      </c>
      <c r="M1490">
        <v>29.167014049999999</v>
      </c>
      <c r="N1490">
        <v>1.1169849999999999</v>
      </c>
      <c r="O1490">
        <v>1.1571499000000001</v>
      </c>
      <c r="P1490">
        <v>83.757575759999995</v>
      </c>
      <c r="Q1490">
        <v>22.60997987</v>
      </c>
      <c r="R1490">
        <v>0.72884000000000004</v>
      </c>
      <c r="S1490">
        <v>0.21301339999999999</v>
      </c>
      <c r="T1490" t="s">
        <v>1016</v>
      </c>
      <c r="U1490">
        <v>6.5570341799999996</v>
      </c>
    </row>
    <row r="1491" spans="1:21" x14ac:dyDescent="0.25">
      <c r="A1491" t="s">
        <v>74</v>
      </c>
      <c r="B1491" t="s">
        <v>846</v>
      </c>
      <c r="C1491">
        <v>10</v>
      </c>
      <c r="D1491" t="s">
        <v>27</v>
      </c>
      <c r="E1491" t="s">
        <v>95</v>
      </c>
      <c r="F1491" t="s">
        <v>102</v>
      </c>
      <c r="G1491" t="s">
        <v>113</v>
      </c>
      <c r="H1491" t="s">
        <v>103</v>
      </c>
      <c r="J1491">
        <v>0</v>
      </c>
      <c r="K1491">
        <v>1</v>
      </c>
      <c r="L1491">
        <v>84.740740740000007</v>
      </c>
      <c r="M1491">
        <v>29.167014049999999</v>
      </c>
      <c r="N1491">
        <v>1.1169849999999999</v>
      </c>
      <c r="O1491">
        <v>1.1571499000000001</v>
      </c>
      <c r="P1491">
        <v>98.291666669999998</v>
      </c>
      <c r="Q1491">
        <v>30.315130790000001</v>
      </c>
      <c r="R1491">
        <v>5.0803484000000003E-2</v>
      </c>
      <c r="S1491">
        <v>0.42866070000000001</v>
      </c>
      <c r="T1491" t="s">
        <v>1016</v>
      </c>
      <c r="U1491">
        <v>-1.1481167400000001</v>
      </c>
    </row>
    <row r="1492" spans="1:21" x14ac:dyDescent="0.25">
      <c r="A1492" t="s">
        <v>74</v>
      </c>
      <c r="B1492" t="s">
        <v>847</v>
      </c>
      <c r="C1492">
        <v>10</v>
      </c>
      <c r="D1492" t="s">
        <v>27</v>
      </c>
      <c r="E1492" t="s">
        <v>95</v>
      </c>
      <c r="F1492" t="s">
        <v>113</v>
      </c>
      <c r="G1492" t="s">
        <v>113</v>
      </c>
      <c r="H1492" t="s">
        <v>113</v>
      </c>
      <c r="J1492">
        <v>0</v>
      </c>
      <c r="K1492">
        <v>1</v>
      </c>
      <c r="L1492">
        <v>83.757575759999995</v>
      </c>
      <c r="M1492">
        <v>22.60997987</v>
      </c>
      <c r="N1492">
        <v>0.72884000000000004</v>
      </c>
      <c r="O1492">
        <v>0.21301339999999999</v>
      </c>
      <c r="P1492">
        <v>83.757575759999995</v>
      </c>
      <c r="Q1492">
        <v>22.60997987</v>
      </c>
      <c r="R1492">
        <v>0.72884000000000004</v>
      </c>
      <c r="S1492">
        <v>0.21301339999999999</v>
      </c>
      <c r="T1492" t="s">
        <v>1016</v>
      </c>
      <c r="U1492">
        <v>0</v>
      </c>
    </row>
    <row r="1493" spans="1:21" x14ac:dyDescent="0.25">
      <c r="A1493" t="s">
        <v>74</v>
      </c>
      <c r="B1493" t="s">
        <v>847</v>
      </c>
      <c r="C1493">
        <v>10</v>
      </c>
      <c r="D1493" t="s">
        <v>27</v>
      </c>
      <c r="E1493" t="s">
        <v>95</v>
      </c>
      <c r="F1493" t="s">
        <v>113</v>
      </c>
      <c r="G1493" t="s">
        <v>113</v>
      </c>
      <c r="H1493" t="s">
        <v>248</v>
      </c>
      <c r="J1493">
        <v>0</v>
      </c>
      <c r="K1493">
        <v>2</v>
      </c>
      <c r="L1493">
        <v>83.757575759999995</v>
      </c>
      <c r="M1493">
        <v>22.60997987</v>
      </c>
      <c r="N1493">
        <v>0.72884000000000004</v>
      </c>
      <c r="O1493">
        <v>0.21301339999999999</v>
      </c>
      <c r="P1493">
        <v>83.92307692</v>
      </c>
      <c r="Q1493">
        <v>44.319135699999997</v>
      </c>
      <c r="R1493">
        <v>5.9548609999999997E-3</v>
      </c>
      <c r="S1493">
        <v>0.18017928</v>
      </c>
      <c r="T1493" t="s">
        <v>1016</v>
      </c>
      <c r="U1493">
        <v>-21.70915583</v>
      </c>
    </row>
    <row r="1494" spans="1:21" x14ac:dyDescent="0.25">
      <c r="A1494" t="s">
        <v>74</v>
      </c>
      <c r="B1494" t="s">
        <v>847</v>
      </c>
      <c r="C1494">
        <v>10</v>
      </c>
      <c r="D1494" t="s">
        <v>27</v>
      </c>
      <c r="E1494" t="s">
        <v>95</v>
      </c>
      <c r="F1494" t="s">
        <v>113</v>
      </c>
      <c r="G1494" t="s">
        <v>113</v>
      </c>
      <c r="H1494" t="s">
        <v>248</v>
      </c>
      <c r="J1494">
        <v>0</v>
      </c>
      <c r="K1494">
        <v>2</v>
      </c>
      <c r="L1494">
        <v>83.757575759999995</v>
      </c>
      <c r="M1494">
        <v>22.60997987</v>
      </c>
      <c r="N1494">
        <v>0.72884000000000004</v>
      </c>
      <c r="O1494">
        <v>0.21301339999999999</v>
      </c>
      <c r="P1494">
        <v>83.92307692</v>
      </c>
      <c r="Q1494">
        <v>44.319135699999997</v>
      </c>
      <c r="R1494">
        <v>5.9548609999999997E-3</v>
      </c>
      <c r="S1494">
        <v>0.18017928</v>
      </c>
      <c r="T1494" t="s">
        <v>1016</v>
      </c>
      <c r="U1494">
        <v>-21.70915583</v>
      </c>
    </row>
    <row r="1495" spans="1:21" x14ac:dyDescent="0.25">
      <c r="A1495" t="s">
        <v>74</v>
      </c>
      <c r="B1495" t="s">
        <v>848</v>
      </c>
      <c r="C1495">
        <v>10</v>
      </c>
      <c r="D1495" t="s">
        <v>27</v>
      </c>
      <c r="E1495" t="s">
        <v>95</v>
      </c>
      <c r="F1495" t="s">
        <v>103</v>
      </c>
      <c r="G1495" t="s">
        <v>113</v>
      </c>
      <c r="H1495" t="s">
        <v>113</v>
      </c>
      <c r="J1495">
        <v>0</v>
      </c>
      <c r="K1495">
        <v>1</v>
      </c>
      <c r="L1495">
        <v>98.291666669999998</v>
      </c>
      <c r="M1495">
        <v>30.315130790000001</v>
      </c>
      <c r="N1495">
        <v>5.0803484000000003E-2</v>
      </c>
      <c r="O1495">
        <v>0.42866070000000001</v>
      </c>
      <c r="P1495">
        <v>83.757575759999995</v>
      </c>
      <c r="Q1495">
        <v>22.60997987</v>
      </c>
      <c r="R1495">
        <v>0.72884000000000004</v>
      </c>
      <c r="S1495">
        <v>0.21301339999999999</v>
      </c>
      <c r="T1495" t="s">
        <v>1016</v>
      </c>
      <c r="U1495">
        <v>7.7051509200000003</v>
      </c>
    </row>
    <row r="1496" spans="1:21" x14ac:dyDescent="0.25">
      <c r="A1496" t="s">
        <v>75</v>
      </c>
      <c r="B1496" t="s">
        <v>849</v>
      </c>
      <c r="C1496">
        <v>10</v>
      </c>
      <c r="D1496" t="s">
        <v>29</v>
      </c>
      <c r="E1496" t="s">
        <v>94</v>
      </c>
      <c r="F1496" t="s">
        <v>105</v>
      </c>
      <c r="G1496" t="s">
        <v>121</v>
      </c>
      <c r="H1496" t="s">
        <v>251</v>
      </c>
      <c r="J1496">
        <v>0</v>
      </c>
      <c r="K1496">
        <v>1</v>
      </c>
      <c r="L1496">
        <v>67.5</v>
      </c>
      <c r="M1496">
        <v>47.937235809999997</v>
      </c>
      <c r="N1496">
        <v>0.41599678000000001</v>
      </c>
      <c r="O1496">
        <v>2.0950346999999998</v>
      </c>
      <c r="P1496">
        <v>85</v>
      </c>
      <c r="Q1496">
        <v>37.099157669999997</v>
      </c>
      <c r="R1496">
        <v>0.65291888899999995</v>
      </c>
      <c r="S1496" t="s">
        <v>114</v>
      </c>
      <c r="T1496" t="s">
        <v>1016</v>
      </c>
      <c r="U1496">
        <v>10.83807814</v>
      </c>
    </row>
    <row r="1497" spans="1:21" x14ac:dyDescent="0.25">
      <c r="A1497" t="s">
        <v>75</v>
      </c>
      <c r="B1497" t="s">
        <v>849</v>
      </c>
      <c r="C1497">
        <v>10</v>
      </c>
      <c r="D1497" t="s">
        <v>29</v>
      </c>
      <c r="E1497" t="s">
        <v>94</v>
      </c>
      <c r="F1497" t="s">
        <v>105</v>
      </c>
      <c r="G1497" t="s">
        <v>121</v>
      </c>
      <c r="H1497" t="s">
        <v>244</v>
      </c>
      <c r="J1497">
        <v>0</v>
      </c>
      <c r="K1497">
        <v>1</v>
      </c>
      <c r="L1497">
        <v>67.5</v>
      </c>
      <c r="M1497">
        <v>47.937235809999997</v>
      </c>
      <c r="N1497">
        <v>0.41599678000000001</v>
      </c>
      <c r="O1497">
        <v>2.0950346999999998</v>
      </c>
      <c r="P1497">
        <v>75</v>
      </c>
      <c r="Q1497">
        <v>28.80614499</v>
      </c>
      <c r="R1497">
        <v>2.3860428570000001</v>
      </c>
      <c r="S1497">
        <v>0.26400832000000002</v>
      </c>
      <c r="T1497" t="s">
        <v>1016</v>
      </c>
      <c r="U1497">
        <v>19.131090820000001</v>
      </c>
    </row>
    <row r="1498" spans="1:21" x14ac:dyDescent="0.25">
      <c r="A1498" t="s">
        <v>75</v>
      </c>
      <c r="B1498" t="s">
        <v>850</v>
      </c>
      <c r="C1498">
        <v>10</v>
      </c>
      <c r="D1498" t="s">
        <v>29</v>
      </c>
      <c r="E1498" t="s">
        <v>94</v>
      </c>
      <c r="F1498" t="s">
        <v>110</v>
      </c>
      <c r="G1498" t="s">
        <v>104</v>
      </c>
      <c r="H1498" t="s">
        <v>104</v>
      </c>
      <c r="J1498">
        <v>0</v>
      </c>
      <c r="K1498">
        <v>2</v>
      </c>
      <c r="L1498">
        <v>73.260869569999997</v>
      </c>
      <c r="M1498">
        <v>34.453830549999999</v>
      </c>
      <c r="N1498">
        <v>1.058333333</v>
      </c>
      <c r="O1498">
        <v>0.90897070000000002</v>
      </c>
      <c r="P1498">
        <v>113.9375</v>
      </c>
      <c r="Q1498">
        <v>33.375507550000002</v>
      </c>
      <c r="R1498">
        <v>2.4262999999999999</v>
      </c>
      <c r="S1498">
        <v>0.40692159999999999</v>
      </c>
      <c r="T1498" t="s">
        <v>1016</v>
      </c>
      <c r="U1498">
        <v>1.0783229999999999</v>
      </c>
    </row>
    <row r="1499" spans="1:21" x14ac:dyDescent="0.25">
      <c r="A1499" t="s">
        <v>75</v>
      </c>
      <c r="B1499" t="s">
        <v>850</v>
      </c>
      <c r="C1499">
        <v>10</v>
      </c>
      <c r="D1499" t="s">
        <v>29</v>
      </c>
      <c r="E1499" t="s">
        <v>94</v>
      </c>
      <c r="F1499" t="s">
        <v>110</v>
      </c>
      <c r="G1499" t="s">
        <v>104</v>
      </c>
      <c r="H1499" t="s">
        <v>104</v>
      </c>
      <c r="J1499">
        <v>0</v>
      </c>
      <c r="K1499">
        <v>2</v>
      </c>
      <c r="L1499">
        <v>73.260869569999997</v>
      </c>
      <c r="M1499">
        <v>34.453830549999999</v>
      </c>
      <c r="N1499">
        <v>1.058333333</v>
      </c>
      <c r="O1499">
        <v>0.90897070000000002</v>
      </c>
      <c r="P1499">
        <v>113.9375</v>
      </c>
      <c r="Q1499">
        <v>33.375507550000002</v>
      </c>
      <c r="R1499">
        <v>2.4262999999999999</v>
      </c>
      <c r="S1499">
        <v>0.40692159999999999</v>
      </c>
      <c r="T1499" t="s">
        <v>1016</v>
      </c>
      <c r="U1499">
        <v>1.0783229999999999</v>
      </c>
    </row>
    <row r="1500" spans="1:21" x14ac:dyDescent="0.25">
      <c r="A1500" t="s">
        <v>75</v>
      </c>
      <c r="B1500" t="s">
        <v>851</v>
      </c>
      <c r="C1500">
        <v>10</v>
      </c>
      <c r="D1500" t="s">
        <v>29</v>
      </c>
      <c r="E1500" t="s">
        <v>94</v>
      </c>
      <c r="F1500" t="s">
        <v>103</v>
      </c>
      <c r="G1500" t="s">
        <v>121</v>
      </c>
      <c r="H1500" t="s">
        <v>251</v>
      </c>
      <c r="J1500">
        <v>0</v>
      </c>
      <c r="K1500">
        <v>1</v>
      </c>
      <c r="L1500">
        <v>98.291666669999998</v>
      </c>
      <c r="M1500">
        <v>30.315130790000001</v>
      </c>
      <c r="N1500">
        <v>5.0803484000000003E-2</v>
      </c>
      <c r="O1500">
        <v>0.42866070000000001</v>
      </c>
      <c r="P1500">
        <v>85</v>
      </c>
      <c r="Q1500">
        <v>37.099157669999997</v>
      </c>
      <c r="R1500">
        <v>0.65291888899999995</v>
      </c>
      <c r="S1500" t="s">
        <v>114</v>
      </c>
      <c r="T1500" t="s">
        <v>1016</v>
      </c>
      <c r="U1500">
        <v>-6.7840268799999999</v>
      </c>
    </row>
    <row r="1501" spans="1:21" x14ac:dyDescent="0.25">
      <c r="A1501" t="s">
        <v>75</v>
      </c>
      <c r="B1501" t="s">
        <v>851</v>
      </c>
      <c r="C1501">
        <v>10</v>
      </c>
      <c r="D1501" t="s">
        <v>29</v>
      </c>
      <c r="E1501" t="s">
        <v>94</v>
      </c>
      <c r="F1501" t="s">
        <v>103</v>
      </c>
      <c r="G1501" t="s">
        <v>121</v>
      </c>
      <c r="H1501" t="s">
        <v>233</v>
      </c>
      <c r="J1501">
        <v>0</v>
      </c>
      <c r="K1501">
        <v>1</v>
      </c>
      <c r="L1501">
        <v>98.291666669999998</v>
      </c>
      <c r="M1501">
        <v>30.315130790000001</v>
      </c>
      <c r="N1501">
        <v>5.0803484000000003E-2</v>
      </c>
      <c r="O1501">
        <v>0.42866070000000001</v>
      </c>
      <c r="P1501">
        <v>106.0540541</v>
      </c>
      <c r="Q1501">
        <v>52.690533369999997</v>
      </c>
      <c r="R1501">
        <v>7.6058968000000005E-2</v>
      </c>
      <c r="S1501">
        <v>0.44888888999999998</v>
      </c>
      <c r="T1501" t="s">
        <v>1016</v>
      </c>
      <c r="U1501">
        <v>-22.375402579999999</v>
      </c>
    </row>
    <row r="1502" spans="1:21" x14ac:dyDescent="0.25">
      <c r="A1502" t="s">
        <v>75</v>
      </c>
      <c r="B1502" t="s">
        <v>851</v>
      </c>
      <c r="C1502">
        <v>10</v>
      </c>
      <c r="D1502" t="s">
        <v>29</v>
      </c>
      <c r="E1502" t="s">
        <v>94</v>
      </c>
      <c r="F1502" t="s">
        <v>103</v>
      </c>
      <c r="G1502" t="s">
        <v>121</v>
      </c>
      <c r="H1502" t="s">
        <v>105</v>
      </c>
      <c r="J1502">
        <v>0</v>
      </c>
      <c r="K1502">
        <v>1</v>
      </c>
      <c r="L1502">
        <v>98.291666669999998</v>
      </c>
      <c r="M1502">
        <v>30.315130790000001</v>
      </c>
      <c r="N1502">
        <v>5.0803484000000003E-2</v>
      </c>
      <c r="O1502">
        <v>0.42866070000000001</v>
      </c>
      <c r="P1502">
        <v>67.5</v>
      </c>
      <c r="Q1502">
        <v>47.937235809999997</v>
      </c>
      <c r="R1502">
        <v>0.41599678000000001</v>
      </c>
      <c r="S1502">
        <v>2.0950346999999998</v>
      </c>
      <c r="T1502" t="s">
        <v>1016</v>
      </c>
      <c r="U1502">
        <v>-17.622105019999999</v>
      </c>
    </row>
    <row r="1503" spans="1:21" x14ac:dyDescent="0.25">
      <c r="A1503" t="s">
        <v>76</v>
      </c>
      <c r="B1503" t="s">
        <v>852</v>
      </c>
      <c r="C1503">
        <v>10</v>
      </c>
      <c r="D1503" t="s">
        <v>31</v>
      </c>
      <c r="E1503" t="s">
        <v>94</v>
      </c>
      <c r="F1503" t="s">
        <v>113</v>
      </c>
      <c r="G1503" t="s">
        <v>113</v>
      </c>
      <c r="H1503" t="s">
        <v>113</v>
      </c>
      <c r="J1503">
        <v>0</v>
      </c>
      <c r="K1503">
        <v>2</v>
      </c>
      <c r="L1503">
        <v>83.757575759999995</v>
      </c>
      <c r="M1503">
        <v>22.60997987</v>
      </c>
      <c r="N1503">
        <v>0.72884000000000004</v>
      </c>
      <c r="O1503">
        <v>0.21301339999999999</v>
      </c>
      <c r="P1503">
        <v>83.757575759999995</v>
      </c>
      <c r="Q1503">
        <v>22.60997987</v>
      </c>
      <c r="R1503">
        <v>0.72884000000000004</v>
      </c>
      <c r="S1503">
        <v>0.21301339999999999</v>
      </c>
      <c r="T1503" t="s">
        <v>1016</v>
      </c>
      <c r="U1503">
        <v>0</v>
      </c>
    </row>
    <row r="1504" spans="1:21" x14ac:dyDescent="0.25">
      <c r="A1504" t="s">
        <v>76</v>
      </c>
      <c r="B1504" t="s">
        <v>852</v>
      </c>
      <c r="C1504">
        <v>10</v>
      </c>
      <c r="D1504" t="s">
        <v>31</v>
      </c>
      <c r="E1504" t="s">
        <v>94</v>
      </c>
      <c r="F1504" t="s">
        <v>113</v>
      </c>
      <c r="G1504" t="s">
        <v>113</v>
      </c>
      <c r="H1504" t="s">
        <v>113</v>
      </c>
      <c r="J1504">
        <v>0</v>
      </c>
      <c r="K1504">
        <v>2</v>
      </c>
      <c r="L1504">
        <v>83.757575759999995</v>
      </c>
      <c r="M1504">
        <v>22.60997987</v>
      </c>
      <c r="N1504">
        <v>0.72884000000000004</v>
      </c>
      <c r="O1504">
        <v>0.21301339999999999</v>
      </c>
      <c r="P1504">
        <v>83.757575759999995</v>
      </c>
      <c r="Q1504">
        <v>22.60997987</v>
      </c>
      <c r="R1504">
        <v>0.72884000000000004</v>
      </c>
      <c r="S1504">
        <v>0.21301339999999999</v>
      </c>
      <c r="T1504" t="s">
        <v>1016</v>
      </c>
      <c r="U1504">
        <v>0</v>
      </c>
    </row>
    <row r="1505" spans="1:21" x14ac:dyDescent="0.25">
      <c r="A1505" t="s">
        <v>76</v>
      </c>
      <c r="B1505" t="s">
        <v>852</v>
      </c>
      <c r="C1505">
        <v>10</v>
      </c>
      <c r="D1505" t="s">
        <v>31</v>
      </c>
      <c r="E1505" t="s">
        <v>94</v>
      </c>
      <c r="F1505" t="s">
        <v>113</v>
      </c>
      <c r="G1505" t="s">
        <v>113</v>
      </c>
      <c r="H1505" t="s">
        <v>238</v>
      </c>
      <c r="J1505">
        <v>0</v>
      </c>
      <c r="K1505">
        <v>1</v>
      </c>
      <c r="L1505">
        <v>83.757575759999995</v>
      </c>
      <c r="M1505">
        <v>22.60997987</v>
      </c>
      <c r="N1505">
        <v>0.72884000000000004</v>
      </c>
      <c r="O1505">
        <v>0.21301339999999999</v>
      </c>
      <c r="P1505">
        <v>87.5</v>
      </c>
      <c r="Q1505">
        <v>29.478311600000001</v>
      </c>
      <c r="R1505">
        <v>3.0797751000000002E-2</v>
      </c>
      <c r="S1505">
        <v>0.12931835</v>
      </c>
      <c r="T1505" t="s">
        <v>1016</v>
      </c>
      <c r="U1505">
        <v>-6.8683317300000004</v>
      </c>
    </row>
    <row r="1506" spans="1:21" x14ac:dyDescent="0.25">
      <c r="A1506" t="s">
        <v>76</v>
      </c>
      <c r="B1506" t="s">
        <v>852</v>
      </c>
      <c r="C1506">
        <v>10</v>
      </c>
      <c r="D1506" t="s">
        <v>31</v>
      </c>
      <c r="E1506" t="s">
        <v>94</v>
      </c>
      <c r="F1506" t="s">
        <v>113</v>
      </c>
      <c r="G1506" t="s">
        <v>113</v>
      </c>
      <c r="H1506" t="s">
        <v>235</v>
      </c>
      <c r="J1506">
        <v>0</v>
      </c>
      <c r="K1506">
        <v>5</v>
      </c>
      <c r="L1506">
        <v>83.757575759999995</v>
      </c>
      <c r="M1506">
        <v>22.60997987</v>
      </c>
      <c r="N1506">
        <v>0.72884000000000004</v>
      </c>
      <c r="O1506">
        <v>0.21301339999999999</v>
      </c>
      <c r="P1506">
        <v>132.27272730000001</v>
      </c>
      <c r="Q1506">
        <v>20.180448590000001</v>
      </c>
      <c r="R1506">
        <v>3.7813451999999997E-2</v>
      </c>
      <c r="S1506">
        <v>0.41404401000000002</v>
      </c>
      <c r="T1506" t="s">
        <v>1016</v>
      </c>
      <c r="U1506">
        <v>2.42953128</v>
      </c>
    </row>
    <row r="1507" spans="1:21" x14ac:dyDescent="0.25">
      <c r="A1507" t="s">
        <v>76</v>
      </c>
      <c r="B1507" t="s">
        <v>852</v>
      </c>
      <c r="C1507">
        <v>10</v>
      </c>
      <c r="D1507" t="s">
        <v>31</v>
      </c>
      <c r="E1507" t="s">
        <v>94</v>
      </c>
      <c r="F1507" t="s">
        <v>113</v>
      </c>
      <c r="G1507" t="s">
        <v>113</v>
      </c>
      <c r="H1507" t="s">
        <v>235</v>
      </c>
      <c r="J1507">
        <v>0</v>
      </c>
      <c r="K1507">
        <v>5</v>
      </c>
      <c r="L1507">
        <v>83.757575759999995</v>
      </c>
      <c r="M1507">
        <v>22.60997987</v>
      </c>
      <c r="N1507">
        <v>0.72884000000000004</v>
      </c>
      <c r="O1507">
        <v>0.21301339999999999</v>
      </c>
      <c r="P1507">
        <v>132.27272730000001</v>
      </c>
      <c r="Q1507">
        <v>20.180448590000001</v>
      </c>
      <c r="R1507">
        <v>3.7813451999999997E-2</v>
      </c>
      <c r="S1507">
        <v>0.41404401000000002</v>
      </c>
      <c r="T1507" t="s">
        <v>1016</v>
      </c>
      <c r="U1507">
        <v>2.42953128</v>
      </c>
    </row>
    <row r="1508" spans="1:21" x14ac:dyDescent="0.25">
      <c r="A1508" t="s">
        <v>76</v>
      </c>
      <c r="B1508" t="s">
        <v>852</v>
      </c>
      <c r="C1508">
        <v>10</v>
      </c>
      <c r="D1508" t="s">
        <v>31</v>
      </c>
      <c r="E1508" t="s">
        <v>94</v>
      </c>
      <c r="F1508" t="s">
        <v>113</v>
      </c>
      <c r="G1508" t="s">
        <v>113</v>
      </c>
      <c r="H1508" t="s">
        <v>235</v>
      </c>
      <c r="J1508">
        <v>0</v>
      </c>
      <c r="K1508">
        <v>5</v>
      </c>
      <c r="L1508">
        <v>83.757575759999995</v>
      </c>
      <c r="M1508">
        <v>22.60997987</v>
      </c>
      <c r="N1508">
        <v>0.72884000000000004</v>
      </c>
      <c r="O1508">
        <v>0.21301339999999999</v>
      </c>
      <c r="P1508">
        <v>132.27272730000001</v>
      </c>
      <c r="Q1508">
        <v>20.180448590000001</v>
      </c>
      <c r="R1508">
        <v>3.7813451999999997E-2</v>
      </c>
      <c r="S1508">
        <v>0.41404401000000002</v>
      </c>
      <c r="T1508" t="s">
        <v>1016</v>
      </c>
      <c r="U1508">
        <v>2.42953128</v>
      </c>
    </row>
    <row r="1509" spans="1:21" x14ac:dyDescent="0.25">
      <c r="A1509" t="s">
        <v>76</v>
      </c>
      <c r="B1509" t="s">
        <v>852</v>
      </c>
      <c r="C1509">
        <v>10</v>
      </c>
      <c r="D1509" t="s">
        <v>31</v>
      </c>
      <c r="E1509" t="s">
        <v>94</v>
      </c>
      <c r="F1509" t="s">
        <v>113</v>
      </c>
      <c r="G1509" t="s">
        <v>113</v>
      </c>
      <c r="H1509" t="s">
        <v>235</v>
      </c>
      <c r="J1509">
        <v>0</v>
      </c>
      <c r="K1509">
        <v>5</v>
      </c>
      <c r="L1509">
        <v>83.757575759999995</v>
      </c>
      <c r="M1509">
        <v>22.60997987</v>
      </c>
      <c r="N1509">
        <v>0.72884000000000004</v>
      </c>
      <c r="O1509">
        <v>0.21301339999999999</v>
      </c>
      <c r="P1509">
        <v>132.27272730000001</v>
      </c>
      <c r="Q1509">
        <v>20.180448590000001</v>
      </c>
      <c r="R1509">
        <v>3.7813451999999997E-2</v>
      </c>
      <c r="S1509">
        <v>0.41404401000000002</v>
      </c>
      <c r="T1509" t="s">
        <v>1016</v>
      </c>
      <c r="U1509">
        <v>2.42953128</v>
      </c>
    </row>
    <row r="1510" spans="1:21" x14ac:dyDescent="0.25">
      <c r="A1510" t="s">
        <v>76</v>
      </c>
      <c r="B1510" t="s">
        <v>852</v>
      </c>
      <c r="C1510">
        <v>10</v>
      </c>
      <c r="D1510" t="s">
        <v>31</v>
      </c>
      <c r="E1510" t="s">
        <v>94</v>
      </c>
      <c r="F1510" t="s">
        <v>113</v>
      </c>
      <c r="G1510" t="s">
        <v>113</v>
      </c>
      <c r="H1510" t="s">
        <v>235</v>
      </c>
      <c r="J1510">
        <v>0</v>
      </c>
      <c r="K1510">
        <v>5</v>
      </c>
      <c r="L1510">
        <v>83.757575759999995</v>
      </c>
      <c r="M1510">
        <v>22.60997987</v>
      </c>
      <c r="N1510">
        <v>0.72884000000000004</v>
      </c>
      <c r="O1510">
        <v>0.21301339999999999</v>
      </c>
      <c r="P1510">
        <v>132.27272730000001</v>
      </c>
      <c r="Q1510">
        <v>20.180448590000001</v>
      </c>
      <c r="R1510">
        <v>3.7813451999999997E-2</v>
      </c>
      <c r="S1510">
        <v>0.41404401000000002</v>
      </c>
      <c r="T1510" t="s">
        <v>1016</v>
      </c>
      <c r="U1510">
        <v>2.42953128</v>
      </c>
    </row>
    <row r="1511" spans="1:21" x14ac:dyDescent="0.25">
      <c r="A1511" t="s">
        <v>77</v>
      </c>
      <c r="B1511" t="s">
        <v>853</v>
      </c>
      <c r="C1511">
        <v>10</v>
      </c>
      <c r="D1511" t="s">
        <v>33</v>
      </c>
      <c r="E1511" t="s">
        <v>94</v>
      </c>
      <c r="F1511" t="s">
        <v>102</v>
      </c>
      <c r="G1511" t="s">
        <v>110</v>
      </c>
      <c r="H1511" t="s">
        <v>110</v>
      </c>
      <c r="J1511">
        <v>0</v>
      </c>
      <c r="K1511">
        <v>1</v>
      </c>
      <c r="L1511">
        <v>84.740740740000007</v>
      </c>
      <c r="M1511">
        <v>29.167014049999999</v>
      </c>
      <c r="N1511">
        <v>1.1169849999999999</v>
      </c>
      <c r="O1511">
        <v>1.1571499000000001</v>
      </c>
      <c r="P1511">
        <v>73.260869569999997</v>
      </c>
      <c r="Q1511">
        <v>34.453830549999999</v>
      </c>
      <c r="R1511">
        <v>1.058333333</v>
      </c>
      <c r="S1511">
        <v>0.90897070000000002</v>
      </c>
      <c r="T1511" t="s">
        <v>1016</v>
      </c>
      <c r="U1511">
        <v>-5.2868164999999996</v>
      </c>
    </row>
    <row r="1512" spans="1:21" x14ac:dyDescent="0.25">
      <c r="A1512" t="s">
        <v>77</v>
      </c>
      <c r="B1512" t="s">
        <v>853</v>
      </c>
      <c r="C1512">
        <v>10</v>
      </c>
      <c r="D1512" t="s">
        <v>33</v>
      </c>
      <c r="E1512" t="s">
        <v>94</v>
      </c>
      <c r="F1512" t="s">
        <v>102</v>
      </c>
      <c r="G1512" t="s">
        <v>110</v>
      </c>
      <c r="H1512" t="s">
        <v>162</v>
      </c>
      <c r="J1512">
        <v>0</v>
      </c>
      <c r="K1512">
        <v>1</v>
      </c>
      <c r="L1512">
        <v>84.740740740000007</v>
      </c>
      <c r="M1512">
        <v>29.167014049999999</v>
      </c>
      <c r="N1512">
        <v>1.1169849999999999</v>
      </c>
      <c r="O1512">
        <v>1.1571499000000001</v>
      </c>
      <c r="P1512">
        <v>82.53846154</v>
      </c>
      <c r="Q1512">
        <v>35.660530039999998</v>
      </c>
      <c r="R1512">
        <v>3.3754499999999998</v>
      </c>
      <c r="S1512" t="s">
        <v>114</v>
      </c>
      <c r="T1512" t="s">
        <v>1016</v>
      </c>
      <c r="U1512">
        <v>-6.4935159899999997</v>
      </c>
    </row>
    <row r="1513" spans="1:21" x14ac:dyDescent="0.25">
      <c r="A1513" t="s">
        <v>77</v>
      </c>
      <c r="B1513" t="s">
        <v>854</v>
      </c>
      <c r="C1513">
        <v>10</v>
      </c>
      <c r="D1513" t="s">
        <v>33</v>
      </c>
      <c r="E1513" t="s">
        <v>94</v>
      </c>
      <c r="F1513" t="s">
        <v>110</v>
      </c>
      <c r="G1513" t="s">
        <v>110</v>
      </c>
      <c r="H1513" t="s">
        <v>110</v>
      </c>
      <c r="J1513">
        <v>0</v>
      </c>
      <c r="K1513">
        <v>3</v>
      </c>
      <c r="L1513">
        <v>73.260869569999997</v>
      </c>
      <c r="M1513">
        <v>34.453830549999999</v>
      </c>
      <c r="N1513">
        <v>1.058333333</v>
      </c>
      <c r="O1513">
        <v>0.90897070000000002</v>
      </c>
      <c r="P1513">
        <v>73.260869569999997</v>
      </c>
      <c r="Q1513">
        <v>34.453830549999999</v>
      </c>
      <c r="R1513">
        <v>1.058333333</v>
      </c>
      <c r="S1513">
        <v>0.90897070000000002</v>
      </c>
      <c r="T1513" t="s">
        <v>1016</v>
      </c>
      <c r="U1513">
        <v>0</v>
      </c>
    </row>
    <row r="1514" spans="1:21" x14ac:dyDescent="0.25">
      <c r="A1514" t="s">
        <v>77</v>
      </c>
      <c r="B1514" t="s">
        <v>854</v>
      </c>
      <c r="C1514">
        <v>10</v>
      </c>
      <c r="D1514" t="s">
        <v>33</v>
      </c>
      <c r="E1514" t="s">
        <v>94</v>
      </c>
      <c r="F1514" t="s">
        <v>110</v>
      </c>
      <c r="G1514" t="s">
        <v>110</v>
      </c>
      <c r="H1514" t="s">
        <v>110</v>
      </c>
      <c r="J1514">
        <v>0</v>
      </c>
      <c r="K1514">
        <v>3</v>
      </c>
      <c r="L1514">
        <v>73.260869569999997</v>
      </c>
      <c r="M1514">
        <v>34.453830549999999</v>
      </c>
      <c r="N1514">
        <v>1.058333333</v>
      </c>
      <c r="O1514">
        <v>0.90897070000000002</v>
      </c>
      <c r="P1514">
        <v>73.260869569999997</v>
      </c>
      <c r="Q1514">
        <v>34.453830549999999</v>
      </c>
      <c r="R1514">
        <v>1.058333333</v>
      </c>
      <c r="S1514">
        <v>0.90897070000000002</v>
      </c>
      <c r="T1514" t="s">
        <v>1016</v>
      </c>
      <c r="U1514">
        <v>0</v>
      </c>
    </row>
    <row r="1515" spans="1:21" x14ac:dyDescent="0.25">
      <c r="A1515" t="s">
        <v>77</v>
      </c>
      <c r="B1515" t="s">
        <v>854</v>
      </c>
      <c r="C1515">
        <v>10</v>
      </c>
      <c r="D1515" t="s">
        <v>33</v>
      </c>
      <c r="E1515" t="s">
        <v>94</v>
      </c>
      <c r="F1515" t="s">
        <v>110</v>
      </c>
      <c r="G1515" t="s">
        <v>110</v>
      </c>
      <c r="H1515" t="s">
        <v>110</v>
      </c>
      <c r="J1515">
        <v>0</v>
      </c>
      <c r="K1515">
        <v>3</v>
      </c>
      <c r="L1515">
        <v>73.260869569999997</v>
      </c>
      <c r="M1515">
        <v>34.453830549999999</v>
      </c>
      <c r="N1515">
        <v>1.058333333</v>
      </c>
      <c r="O1515">
        <v>0.90897070000000002</v>
      </c>
      <c r="P1515">
        <v>73.260869569999997</v>
      </c>
      <c r="Q1515">
        <v>34.453830549999999</v>
      </c>
      <c r="R1515">
        <v>1.058333333</v>
      </c>
      <c r="S1515">
        <v>0.90897070000000002</v>
      </c>
      <c r="T1515" t="s">
        <v>1016</v>
      </c>
      <c r="U1515">
        <v>0</v>
      </c>
    </row>
    <row r="1516" spans="1:21" x14ac:dyDescent="0.25">
      <c r="A1516" t="s">
        <v>78</v>
      </c>
      <c r="B1516" t="s">
        <v>855</v>
      </c>
      <c r="C1516">
        <v>10</v>
      </c>
      <c r="D1516" t="s">
        <v>35</v>
      </c>
      <c r="E1516" t="s">
        <v>94</v>
      </c>
      <c r="F1516" t="s">
        <v>111</v>
      </c>
      <c r="G1516" t="s">
        <v>121</v>
      </c>
      <c r="H1516" t="s">
        <v>114</v>
      </c>
      <c r="J1516">
        <v>0</v>
      </c>
      <c r="K1516">
        <v>0</v>
      </c>
      <c r="L1516">
        <v>94.97142857</v>
      </c>
      <c r="M1516">
        <v>24.31591813</v>
      </c>
      <c r="N1516">
        <v>0.122951111</v>
      </c>
      <c r="O1516">
        <v>0.39050790000000002</v>
      </c>
      <c r="P1516" t="s">
        <v>114</v>
      </c>
      <c r="Q1516" t="s">
        <v>114</v>
      </c>
      <c r="R1516" t="s">
        <v>114</v>
      </c>
      <c r="S1516" t="s">
        <v>114</v>
      </c>
      <c r="T1516" t="s">
        <v>1016</v>
      </c>
      <c r="U1516" t="s">
        <v>114</v>
      </c>
    </row>
    <row r="1517" spans="1:21" x14ac:dyDescent="0.25">
      <c r="A1517" t="s">
        <v>50</v>
      </c>
      <c r="B1517" t="s">
        <v>856</v>
      </c>
      <c r="C1517">
        <v>12</v>
      </c>
      <c r="D1517" t="s">
        <v>11</v>
      </c>
      <c r="E1517" t="s">
        <v>95</v>
      </c>
      <c r="F1517" t="s">
        <v>113</v>
      </c>
      <c r="G1517" t="s">
        <v>113</v>
      </c>
      <c r="H1517" t="s">
        <v>113</v>
      </c>
      <c r="J1517">
        <v>0</v>
      </c>
      <c r="K1517">
        <v>6</v>
      </c>
      <c r="L1517">
        <v>83.757575759999995</v>
      </c>
      <c r="M1517">
        <v>22.60997987</v>
      </c>
      <c r="N1517">
        <v>0.72884000000000004</v>
      </c>
      <c r="O1517">
        <v>0.21301339999999999</v>
      </c>
      <c r="P1517">
        <v>83.757575759999995</v>
      </c>
      <c r="Q1517">
        <v>22.60997987</v>
      </c>
      <c r="R1517">
        <v>0.72884000000000004</v>
      </c>
      <c r="S1517">
        <v>0.21301339999999999</v>
      </c>
      <c r="T1517" t="s">
        <v>1016</v>
      </c>
      <c r="U1517">
        <v>0</v>
      </c>
    </row>
    <row r="1518" spans="1:21" x14ac:dyDescent="0.25">
      <c r="A1518" t="s">
        <v>50</v>
      </c>
      <c r="B1518" t="s">
        <v>856</v>
      </c>
      <c r="C1518">
        <v>12</v>
      </c>
      <c r="D1518" t="s">
        <v>11</v>
      </c>
      <c r="E1518" t="s">
        <v>95</v>
      </c>
      <c r="F1518" t="s">
        <v>113</v>
      </c>
      <c r="G1518" t="s">
        <v>113</v>
      </c>
      <c r="H1518" t="s">
        <v>113</v>
      </c>
      <c r="J1518">
        <v>0</v>
      </c>
      <c r="K1518">
        <v>6</v>
      </c>
      <c r="L1518">
        <v>83.757575759999995</v>
      </c>
      <c r="M1518">
        <v>22.60997987</v>
      </c>
      <c r="N1518">
        <v>0.72884000000000004</v>
      </c>
      <c r="O1518">
        <v>0.21301339999999999</v>
      </c>
      <c r="P1518">
        <v>83.757575759999995</v>
      </c>
      <c r="Q1518">
        <v>22.60997987</v>
      </c>
      <c r="R1518">
        <v>0.72884000000000004</v>
      </c>
      <c r="S1518">
        <v>0.21301339999999999</v>
      </c>
      <c r="T1518" t="s">
        <v>1016</v>
      </c>
      <c r="U1518">
        <v>0</v>
      </c>
    </row>
    <row r="1519" spans="1:21" x14ac:dyDescent="0.25">
      <c r="A1519" t="s">
        <v>50</v>
      </c>
      <c r="B1519" t="s">
        <v>856</v>
      </c>
      <c r="C1519">
        <v>12</v>
      </c>
      <c r="D1519" t="s">
        <v>11</v>
      </c>
      <c r="E1519" t="s">
        <v>95</v>
      </c>
      <c r="F1519" t="s">
        <v>113</v>
      </c>
      <c r="G1519" t="s">
        <v>113</v>
      </c>
      <c r="H1519" t="s">
        <v>113</v>
      </c>
      <c r="J1519">
        <v>0</v>
      </c>
      <c r="K1519">
        <v>6</v>
      </c>
      <c r="L1519">
        <v>83.757575759999995</v>
      </c>
      <c r="M1519">
        <v>22.60997987</v>
      </c>
      <c r="N1519">
        <v>0.72884000000000004</v>
      </c>
      <c r="O1519">
        <v>0.21301339999999999</v>
      </c>
      <c r="P1519">
        <v>83.757575759999995</v>
      </c>
      <c r="Q1519">
        <v>22.60997987</v>
      </c>
      <c r="R1519">
        <v>0.72884000000000004</v>
      </c>
      <c r="S1519">
        <v>0.21301339999999999</v>
      </c>
      <c r="T1519" t="s">
        <v>1016</v>
      </c>
      <c r="U1519">
        <v>0</v>
      </c>
    </row>
    <row r="1520" spans="1:21" x14ac:dyDescent="0.25">
      <c r="A1520" t="s">
        <v>50</v>
      </c>
      <c r="B1520" t="s">
        <v>856</v>
      </c>
      <c r="C1520">
        <v>12</v>
      </c>
      <c r="D1520" t="s">
        <v>11</v>
      </c>
      <c r="E1520" t="s">
        <v>95</v>
      </c>
      <c r="F1520" t="s">
        <v>113</v>
      </c>
      <c r="G1520" t="s">
        <v>113</v>
      </c>
      <c r="H1520" t="s">
        <v>113</v>
      </c>
      <c r="J1520">
        <v>0</v>
      </c>
      <c r="K1520">
        <v>6</v>
      </c>
      <c r="L1520">
        <v>83.757575759999995</v>
      </c>
      <c r="M1520">
        <v>22.60997987</v>
      </c>
      <c r="N1520">
        <v>0.72884000000000004</v>
      </c>
      <c r="O1520">
        <v>0.21301339999999999</v>
      </c>
      <c r="P1520">
        <v>83.757575759999995</v>
      </c>
      <c r="Q1520">
        <v>22.60997987</v>
      </c>
      <c r="R1520">
        <v>0.72884000000000004</v>
      </c>
      <c r="S1520">
        <v>0.21301339999999999</v>
      </c>
      <c r="T1520" t="s">
        <v>1016</v>
      </c>
      <c r="U1520">
        <v>0</v>
      </c>
    </row>
    <row r="1521" spans="1:21" x14ac:dyDescent="0.25">
      <c r="A1521" t="s">
        <v>50</v>
      </c>
      <c r="B1521" t="s">
        <v>856</v>
      </c>
      <c r="C1521">
        <v>12</v>
      </c>
      <c r="D1521" t="s">
        <v>11</v>
      </c>
      <c r="E1521" t="s">
        <v>95</v>
      </c>
      <c r="F1521" t="s">
        <v>113</v>
      </c>
      <c r="G1521" t="s">
        <v>113</v>
      </c>
      <c r="H1521" t="s">
        <v>113</v>
      </c>
      <c r="J1521">
        <v>0</v>
      </c>
      <c r="K1521">
        <v>6</v>
      </c>
      <c r="L1521">
        <v>83.757575759999995</v>
      </c>
      <c r="M1521">
        <v>22.60997987</v>
      </c>
      <c r="N1521">
        <v>0.72884000000000004</v>
      </c>
      <c r="O1521">
        <v>0.21301339999999999</v>
      </c>
      <c r="P1521">
        <v>83.757575759999995</v>
      </c>
      <c r="Q1521">
        <v>22.60997987</v>
      </c>
      <c r="R1521">
        <v>0.72884000000000004</v>
      </c>
      <c r="S1521">
        <v>0.21301339999999999</v>
      </c>
      <c r="T1521" t="s">
        <v>1016</v>
      </c>
      <c r="U1521">
        <v>0</v>
      </c>
    </row>
    <row r="1522" spans="1:21" x14ac:dyDescent="0.25">
      <c r="A1522" t="s">
        <v>50</v>
      </c>
      <c r="B1522" t="s">
        <v>856</v>
      </c>
      <c r="C1522">
        <v>12</v>
      </c>
      <c r="D1522" t="s">
        <v>11</v>
      </c>
      <c r="E1522" t="s">
        <v>95</v>
      </c>
      <c r="F1522" t="s">
        <v>113</v>
      </c>
      <c r="G1522" t="s">
        <v>113</v>
      </c>
      <c r="H1522" t="s">
        <v>113</v>
      </c>
      <c r="J1522">
        <v>0</v>
      </c>
      <c r="K1522">
        <v>6</v>
      </c>
      <c r="L1522">
        <v>83.757575759999995</v>
      </c>
      <c r="M1522">
        <v>22.60997987</v>
      </c>
      <c r="N1522">
        <v>0.72884000000000004</v>
      </c>
      <c r="O1522">
        <v>0.21301339999999999</v>
      </c>
      <c r="P1522">
        <v>83.757575759999995</v>
      </c>
      <c r="Q1522">
        <v>22.60997987</v>
      </c>
      <c r="R1522">
        <v>0.72884000000000004</v>
      </c>
      <c r="S1522">
        <v>0.21301339999999999</v>
      </c>
      <c r="T1522" t="s">
        <v>1016</v>
      </c>
      <c r="U1522">
        <v>0</v>
      </c>
    </row>
    <row r="1523" spans="1:21" x14ac:dyDescent="0.25">
      <c r="A1523" t="s">
        <v>50</v>
      </c>
      <c r="B1523" t="s">
        <v>856</v>
      </c>
      <c r="C1523">
        <v>12</v>
      </c>
      <c r="D1523" t="s">
        <v>11</v>
      </c>
      <c r="E1523" t="s">
        <v>95</v>
      </c>
      <c r="F1523" t="s">
        <v>113</v>
      </c>
      <c r="G1523" t="s">
        <v>113</v>
      </c>
      <c r="H1523" t="s">
        <v>238</v>
      </c>
      <c r="J1523">
        <v>0</v>
      </c>
      <c r="K1523">
        <v>1</v>
      </c>
      <c r="L1523">
        <v>83.757575759999995</v>
      </c>
      <c r="M1523">
        <v>22.60997987</v>
      </c>
      <c r="N1523">
        <v>0.72884000000000004</v>
      </c>
      <c r="O1523">
        <v>0.21301339999999999</v>
      </c>
      <c r="P1523">
        <v>87.5</v>
      </c>
      <c r="Q1523">
        <v>29.478311600000001</v>
      </c>
      <c r="R1523">
        <v>3.0797751000000002E-2</v>
      </c>
      <c r="S1523">
        <v>0.12931835</v>
      </c>
      <c r="T1523" t="s">
        <v>1016</v>
      </c>
      <c r="U1523">
        <v>-6.8683317300000004</v>
      </c>
    </row>
    <row r="1524" spans="1:21" x14ac:dyDescent="0.25">
      <c r="A1524" t="s">
        <v>50</v>
      </c>
      <c r="B1524" t="s">
        <v>857</v>
      </c>
      <c r="C1524">
        <v>12</v>
      </c>
      <c r="D1524" t="s">
        <v>11</v>
      </c>
      <c r="E1524" t="s">
        <v>95</v>
      </c>
      <c r="F1524" t="s">
        <v>103</v>
      </c>
      <c r="G1524" t="s">
        <v>113</v>
      </c>
      <c r="H1524" t="s">
        <v>113</v>
      </c>
      <c r="J1524">
        <v>0</v>
      </c>
      <c r="K1524">
        <v>4</v>
      </c>
      <c r="L1524">
        <v>98.291666669999998</v>
      </c>
      <c r="M1524">
        <v>30.315130790000001</v>
      </c>
      <c r="N1524">
        <v>5.0803484000000003E-2</v>
      </c>
      <c r="O1524">
        <v>0.42866070000000001</v>
      </c>
      <c r="P1524">
        <v>83.757575759999995</v>
      </c>
      <c r="Q1524">
        <v>22.60997987</v>
      </c>
      <c r="R1524">
        <v>0.72884000000000004</v>
      </c>
      <c r="S1524">
        <v>0.21301339999999999</v>
      </c>
      <c r="T1524" t="s">
        <v>1016</v>
      </c>
      <c r="U1524">
        <v>7.7051509200000003</v>
      </c>
    </row>
    <row r="1525" spans="1:21" x14ac:dyDescent="0.25">
      <c r="A1525" t="s">
        <v>50</v>
      </c>
      <c r="B1525" t="s">
        <v>857</v>
      </c>
      <c r="C1525">
        <v>12</v>
      </c>
      <c r="D1525" t="s">
        <v>11</v>
      </c>
      <c r="E1525" t="s">
        <v>95</v>
      </c>
      <c r="F1525" t="s">
        <v>103</v>
      </c>
      <c r="G1525" t="s">
        <v>113</v>
      </c>
      <c r="H1525" t="s">
        <v>113</v>
      </c>
      <c r="J1525">
        <v>0</v>
      </c>
      <c r="K1525">
        <v>4</v>
      </c>
      <c r="L1525">
        <v>98.291666669999998</v>
      </c>
      <c r="M1525">
        <v>30.315130790000001</v>
      </c>
      <c r="N1525">
        <v>5.0803484000000003E-2</v>
      </c>
      <c r="O1525">
        <v>0.42866070000000001</v>
      </c>
      <c r="P1525">
        <v>83.757575759999995</v>
      </c>
      <c r="Q1525">
        <v>22.60997987</v>
      </c>
      <c r="R1525">
        <v>0.72884000000000004</v>
      </c>
      <c r="S1525">
        <v>0.21301339999999999</v>
      </c>
      <c r="T1525" t="s">
        <v>1016</v>
      </c>
      <c r="U1525">
        <v>7.7051509200000003</v>
      </c>
    </row>
    <row r="1526" spans="1:21" x14ac:dyDescent="0.25">
      <c r="A1526" t="s">
        <v>50</v>
      </c>
      <c r="B1526" t="s">
        <v>857</v>
      </c>
      <c r="C1526">
        <v>12</v>
      </c>
      <c r="D1526" t="s">
        <v>11</v>
      </c>
      <c r="E1526" t="s">
        <v>95</v>
      </c>
      <c r="F1526" t="s">
        <v>103</v>
      </c>
      <c r="G1526" t="s">
        <v>113</v>
      </c>
      <c r="H1526" t="s">
        <v>113</v>
      </c>
      <c r="J1526">
        <v>0</v>
      </c>
      <c r="K1526">
        <v>4</v>
      </c>
      <c r="L1526">
        <v>98.291666669999998</v>
      </c>
      <c r="M1526">
        <v>30.315130790000001</v>
      </c>
      <c r="N1526">
        <v>5.0803484000000003E-2</v>
      </c>
      <c r="O1526">
        <v>0.42866070000000001</v>
      </c>
      <c r="P1526">
        <v>83.757575759999995</v>
      </c>
      <c r="Q1526">
        <v>22.60997987</v>
      </c>
      <c r="R1526">
        <v>0.72884000000000004</v>
      </c>
      <c r="S1526">
        <v>0.21301339999999999</v>
      </c>
      <c r="T1526" t="s">
        <v>1016</v>
      </c>
      <c r="U1526">
        <v>7.7051509200000003</v>
      </c>
    </row>
    <row r="1527" spans="1:21" x14ac:dyDescent="0.25">
      <c r="A1527" t="s">
        <v>50</v>
      </c>
      <c r="B1527" t="s">
        <v>857</v>
      </c>
      <c r="C1527">
        <v>12</v>
      </c>
      <c r="D1527" t="s">
        <v>11</v>
      </c>
      <c r="E1527" t="s">
        <v>95</v>
      </c>
      <c r="F1527" t="s">
        <v>103</v>
      </c>
      <c r="G1527" t="s">
        <v>113</v>
      </c>
      <c r="H1527" t="s">
        <v>113</v>
      </c>
      <c r="J1527">
        <v>0</v>
      </c>
      <c r="K1527">
        <v>4</v>
      </c>
      <c r="L1527">
        <v>98.291666669999998</v>
      </c>
      <c r="M1527">
        <v>30.315130790000001</v>
      </c>
      <c r="N1527">
        <v>5.0803484000000003E-2</v>
      </c>
      <c r="O1527">
        <v>0.42866070000000001</v>
      </c>
      <c r="P1527">
        <v>83.757575759999995</v>
      </c>
      <c r="Q1527">
        <v>22.60997987</v>
      </c>
      <c r="R1527">
        <v>0.72884000000000004</v>
      </c>
      <c r="S1527">
        <v>0.21301339999999999</v>
      </c>
      <c r="T1527" t="s">
        <v>1016</v>
      </c>
      <c r="U1527">
        <v>7.7051509200000003</v>
      </c>
    </row>
    <row r="1528" spans="1:21" x14ac:dyDescent="0.25">
      <c r="A1528" t="s">
        <v>50</v>
      </c>
      <c r="B1528" t="s">
        <v>857</v>
      </c>
      <c r="C1528">
        <v>12</v>
      </c>
      <c r="D1528" t="s">
        <v>11</v>
      </c>
      <c r="E1528" t="s">
        <v>95</v>
      </c>
      <c r="F1528" t="s">
        <v>103</v>
      </c>
      <c r="G1528" t="s">
        <v>113</v>
      </c>
      <c r="H1528" t="s">
        <v>242</v>
      </c>
      <c r="J1528">
        <v>0</v>
      </c>
      <c r="K1528">
        <v>3</v>
      </c>
      <c r="L1528">
        <v>98.291666669999998</v>
      </c>
      <c r="M1528">
        <v>30.315130790000001</v>
      </c>
      <c r="N1528">
        <v>5.0803484000000003E-2</v>
      </c>
      <c r="O1528">
        <v>0.42866070000000001</v>
      </c>
      <c r="P1528">
        <v>139.375</v>
      </c>
      <c r="Q1528">
        <v>23.713465920000001</v>
      </c>
      <c r="R1528" t="s">
        <v>114</v>
      </c>
      <c r="S1528" t="s">
        <v>114</v>
      </c>
      <c r="T1528" t="s">
        <v>1016</v>
      </c>
      <c r="U1528">
        <v>6.6016648699999996</v>
      </c>
    </row>
    <row r="1529" spans="1:21" x14ac:dyDescent="0.25">
      <c r="A1529" t="s">
        <v>50</v>
      </c>
      <c r="B1529" t="s">
        <v>857</v>
      </c>
      <c r="C1529">
        <v>12</v>
      </c>
      <c r="D1529" t="s">
        <v>11</v>
      </c>
      <c r="E1529" t="s">
        <v>95</v>
      </c>
      <c r="F1529" t="s">
        <v>103</v>
      </c>
      <c r="G1529" t="s">
        <v>113</v>
      </c>
      <c r="H1529" t="s">
        <v>242</v>
      </c>
      <c r="J1529">
        <v>0</v>
      </c>
      <c r="K1529">
        <v>3</v>
      </c>
      <c r="L1529">
        <v>98.291666669999998</v>
      </c>
      <c r="M1529">
        <v>30.315130790000001</v>
      </c>
      <c r="N1529">
        <v>5.0803484000000003E-2</v>
      </c>
      <c r="O1529">
        <v>0.42866070000000001</v>
      </c>
      <c r="P1529">
        <v>139.375</v>
      </c>
      <c r="Q1529">
        <v>23.713465920000001</v>
      </c>
      <c r="R1529" t="s">
        <v>114</v>
      </c>
      <c r="S1529" t="s">
        <v>114</v>
      </c>
      <c r="T1529" t="s">
        <v>1016</v>
      </c>
      <c r="U1529">
        <v>6.6016648699999996</v>
      </c>
    </row>
    <row r="1530" spans="1:21" x14ac:dyDescent="0.25">
      <c r="A1530" t="s">
        <v>50</v>
      </c>
      <c r="B1530" t="s">
        <v>857</v>
      </c>
      <c r="C1530">
        <v>12</v>
      </c>
      <c r="D1530" t="s">
        <v>11</v>
      </c>
      <c r="E1530" t="s">
        <v>95</v>
      </c>
      <c r="F1530" t="s">
        <v>103</v>
      </c>
      <c r="G1530" t="s">
        <v>113</v>
      </c>
      <c r="H1530" t="s">
        <v>242</v>
      </c>
      <c r="J1530">
        <v>0</v>
      </c>
      <c r="K1530">
        <v>3</v>
      </c>
      <c r="L1530">
        <v>98.291666669999998</v>
      </c>
      <c r="M1530">
        <v>30.315130790000001</v>
      </c>
      <c r="N1530">
        <v>5.0803484000000003E-2</v>
      </c>
      <c r="O1530">
        <v>0.42866070000000001</v>
      </c>
      <c r="P1530">
        <v>139.375</v>
      </c>
      <c r="Q1530">
        <v>23.713465920000001</v>
      </c>
      <c r="R1530" t="s">
        <v>114</v>
      </c>
      <c r="S1530" t="s">
        <v>114</v>
      </c>
      <c r="T1530" t="s">
        <v>1016</v>
      </c>
      <c r="U1530">
        <v>6.6016648699999996</v>
      </c>
    </row>
    <row r="1531" spans="1:21" x14ac:dyDescent="0.25">
      <c r="A1531" t="s">
        <v>50</v>
      </c>
      <c r="B1531" t="s">
        <v>858</v>
      </c>
      <c r="C1531">
        <v>12</v>
      </c>
      <c r="D1531" t="s">
        <v>11</v>
      </c>
      <c r="E1531" t="s">
        <v>95</v>
      </c>
      <c r="F1531" t="s">
        <v>111</v>
      </c>
      <c r="G1531" t="s">
        <v>113</v>
      </c>
      <c r="H1531" t="s">
        <v>113</v>
      </c>
      <c r="J1531">
        <v>0</v>
      </c>
      <c r="K1531">
        <v>3</v>
      </c>
      <c r="L1531">
        <v>94.97142857</v>
      </c>
      <c r="M1531">
        <v>24.31591813</v>
      </c>
      <c r="N1531">
        <v>0.122951111</v>
      </c>
      <c r="O1531">
        <v>0.39050790000000002</v>
      </c>
      <c r="P1531">
        <v>83.757575759999995</v>
      </c>
      <c r="Q1531">
        <v>22.60997987</v>
      </c>
      <c r="R1531">
        <v>0.72884000000000004</v>
      </c>
      <c r="S1531">
        <v>0.21301339999999999</v>
      </c>
      <c r="T1531" t="s">
        <v>1016</v>
      </c>
      <c r="U1531">
        <v>1.7059382599999999</v>
      </c>
    </row>
    <row r="1532" spans="1:21" x14ac:dyDescent="0.25">
      <c r="A1532" t="s">
        <v>50</v>
      </c>
      <c r="B1532" t="s">
        <v>858</v>
      </c>
      <c r="C1532">
        <v>12</v>
      </c>
      <c r="D1532" t="s">
        <v>11</v>
      </c>
      <c r="E1532" t="s">
        <v>95</v>
      </c>
      <c r="F1532" t="s">
        <v>111</v>
      </c>
      <c r="G1532" t="s">
        <v>113</v>
      </c>
      <c r="H1532" t="s">
        <v>113</v>
      </c>
      <c r="J1532">
        <v>0</v>
      </c>
      <c r="K1532">
        <v>3</v>
      </c>
      <c r="L1532">
        <v>94.97142857</v>
      </c>
      <c r="M1532">
        <v>24.31591813</v>
      </c>
      <c r="N1532">
        <v>0.122951111</v>
      </c>
      <c r="O1532">
        <v>0.39050790000000002</v>
      </c>
      <c r="P1532">
        <v>83.757575759999995</v>
      </c>
      <c r="Q1532">
        <v>22.60997987</v>
      </c>
      <c r="R1532">
        <v>0.72884000000000004</v>
      </c>
      <c r="S1532">
        <v>0.21301339999999999</v>
      </c>
      <c r="T1532" t="s">
        <v>1016</v>
      </c>
      <c r="U1532">
        <v>1.7059382599999999</v>
      </c>
    </row>
    <row r="1533" spans="1:21" x14ac:dyDescent="0.25">
      <c r="A1533" t="s">
        <v>50</v>
      </c>
      <c r="B1533" t="s">
        <v>858</v>
      </c>
      <c r="C1533">
        <v>12</v>
      </c>
      <c r="D1533" t="s">
        <v>11</v>
      </c>
      <c r="E1533" t="s">
        <v>95</v>
      </c>
      <c r="F1533" t="s">
        <v>111</v>
      </c>
      <c r="G1533" t="s">
        <v>113</v>
      </c>
      <c r="H1533" t="s">
        <v>113</v>
      </c>
      <c r="J1533">
        <v>0</v>
      </c>
      <c r="K1533">
        <v>3</v>
      </c>
      <c r="L1533">
        <v>94.97142857</v>
      </c>
      <c r="M1533">
        <v>24.31591813</v>
      </c>
      <c r="N1533">
        <v>0.122951111</v>
      </c>
      <c r="O1533">
        <v>0.39050790000000002</v>
      </c>
      <c r="P1533">
        <v>83.757575759999995</v>
      </c>
      <c r="Q1533">
        <v>22.60997987</v>
      </c>
      <c r="R1533">
        <v>0.72884000000000004</v>
      </c>
      <c r="S1533">
        <v>0.21301339999999999</v>
      </c>
      <c r="T1533" t="s">
        <v>1016</v>
      </c>
      <c r="U1533">
        <v>1.7059382599999999</v>
      </c>
    </row>
    <row r="1534" spans="1:21" x14ac:dyDescent="0.25">
      <c r="A1534" t="s">
        <v>50</v>
      </c>
      <c r="B1534" t="s">
        <v>858</v>
      </c>
      <c r="C1534">
        <v>12</v>
      </c>
      <c r="D1534" t="s">
        <v>11</v>
      </c>
      <c r="E1534" t="s">
        <v>95</v>
      </c>
      <c r="F1534" t="s">
        <v>111</v>
      </c>
      <c r="G1534" t="s">
        <v>113</v>
      </c>
      <c r="H1534" t="s">
        <v>242</v>
      </c>
      <c r="J1534">
        <v>0</v>
      </c>
      <c r="K1534">
        <v>2</v>
      </c>
      <c r="L1534">
        <v>94.97142857</v>
      </c>
      <c r="M1534">
        <v>24.31591813</v>
      </c>
      <c r="N1534">
        <v>0.122951111</v>
      </c>
      <c r="O1534">
        <v>0.39050790000000002</v>
      </c>
      <c r="P1534">
        <v>139.375</v>
      </c>
      <c r="Q1534">
        <v>23.713465920000001</v>
      </c>
      <c r="R1534" t="s">
        <v>114</v>
      </c>
      <c r="S1534" t="s">
        <v>114</v>
      </c>
      <c r="T1534" t="s">
        <v>1016</v>
      </c>
      <c r="U1534">
        <v>0.60245221000000004</v>
      </c>
    </row>
    <row r="1535" spans="1:21" x14ac:dyDescent="0.25">
      <c r="A1535" t="s">
        <v>50</v>
      </c>
      <c r="B1535" t="s">
        <v>858</v>
      </c>
      <c r="C1535">
        <v>12</v>
      </c>
      <c r="D1535" t="s">
        <v>11</v>
      </c>
      <c r="E1535" t="s">
        <v>95</v>
      </c>
      <c r="F1535" t="s">
        <v>111</v>
      </c>
      <c r="G1535" t="s">
        <v>113</v>
      </c>
      <c r="H1535" t="s">
        <v>242</v>
      </c>
      <c r="J1535">
        <v>0</v>
      </c>
      <c r="K1535">
        <v>2</v>
      </c>
      <c r="L1535">
        <v>94.97142857</v>
      </c>
      <c r="M1535">
        <v>24.31591813</v>
      </c>
      <c r="N1535">
        <v>0.122951111</v>
      </c>
      <c r="O1535">
        <v>0.39050790000000002</v>
      </c>
      <c r="P1535">
        <v>139.375</v>
      </c>
      <c r="Q1535">
        <v>23.713465920000001</v>
      </c>
      <c r="R1535" t="s">
        <v>114</v>
      </c>
      <c r="S1535" t="s">
        <v>114</v>
      </c>
      <c r="T1535" t="s">
        <v>1016</v>
      </c>
      <c r="U1535">
        <v>0.60245221000000004</v>
      </c>
    </row>
    <row r="1536" spans="1:21" x14ac:dyDescent="0.25">
      <c r="A1536" t="s">
        <v>50</v>
      </c>
      <c r="B1536" t="s">
        <v>859</v>
      </c>
      <c r="C1536">
        <v>12</v>
      </c>
      <c r="D1536" t="s">
        <v>11</v>
      </c>
      <c r="E1536" t="s">
        <v>95</v>
      </c>
      <c r="F1536" t="s">
        <v>104</v>
      </c>
      <c r="G1536" t="s">
        <v>121</v>
      </c>
      <c r="H1536" t="s">
        <v>103</v>
      </c>
      <c r="J1536">
        <v>0</v>
      </c>
      <c r="K1536">
        <v>1</v>
      </c>
      <c r="L1536">
        <v>113.9375</v>
      </c>
      <c r="M1536">
        <v>33.375507550000002</v>
      </c>
      <c r="N1536">
        <v>2.4262999999999999</v>
      </c>
      <c r="O1536">
        <v>0.40692159999999999</v>
      </c>
      <c r="P1536">
        <v>98.291666669999998</v>
      </c>
      <c r="Q1536">
        <v>30.315130790000001</v>
      </c>
      <c r="R1536">
        <v>5.0803484000000003E-2</v>
      </c>
      <c r="S1536">
        <v>0.42866070000000001</v>
      </c>
      <c r="T1536" t="s">
        <v>1016</v>
      </c>
      <c r="U1536">
        <v>3.06037676</v>
      </c>
    </row>
    <row r="1537" spans="1:21" x14ac:dyDescent="0.25">
      <c r="A1537" t="s">
        <v>50</v>
      </c>
      <c r="B1537" t="s">
        <v>859</v>
      </c>
      <c r="C1537">
        <v>12</v>
      </c>
      <c r="D1537" t="s">
        <v>11</v>
      </c>
      <c r="E1537" t="s">
        <v>95</v>
      </c>
      <c r="F1537" t="s">
        <v>104</v>
      </c>
      <c r="G1537" t="s">
        <v>121</v>
      </c>
      <c r="H1537" t="s">
        <v>238</v>
      </c>
      <c r="J1537">
        <v>0</v>
      </c>
      <c r="K1537">
        <v>1</v>
      </c>
      <c r="L1537">
        <v>113.9375</v>
      </c>
      <c r="M1537">
        <v>33.375507550000002</v>
      </c>
      <c r="N1537">
        <v>2.4262999999999999</v>
      </c>
      <c r="O1537">
        <v>0.40692159999999999</v>
      </c>
      <c r="P1537">
        <v>87.5</v>
      </c>
      <c r="Q1537">
        <v>29.478311600000001</v>
      </c>
      <c r="R1537">
        <v>3.0797751000000002E-2</v>
      </c>
      <c r="S1537">
        <v>0.12931835</v>
      </c>
      <c r="T1537" t="s">
        <v>1016</v>
      </c>
      <c r="U1537">
        <v>3.89719595</v>
      </c>
    </row>
    <row r="1538" spans="1:21" x14ac:dyDescent="0.25">
      <c r="A1538" t="s">
        <v>51</v>
      </c>
      <c r="B1538" t="s">
        <v>860</v>
      </c>
      <c r="C1538">
        <v>12</v>
      </c>
      <c r="D1538" t="s">
        <v>15</v>
      </c>
      <c r="E1538" t="s">
        <v>94</v>
      </c>
      <c r="F1538" t="s">
        <v>105</v>
      </c>
      <c r="G1538" t="s">
        <v>104</v>
      </c>
      <c r="H1538" t="s">
        <v>104</v>
      </c>
      <c r="J1538">
        <v>0</v>
      </c>
      <c r="K1538">
        <v>2</v>
      </c>
      <c r="L1538">
        <v>67.5</v>
      </c>
      <c r="M1538">
        <v>47.937235809999997</v>
      </c>
      <c r="N1538">
        <v>0.41599678000000001</v>
      </c>
      <c r="O1538">
        <v>2.0950346999999998</v>
      </c>
      <c r="P1538">
        <v>113.9375</v>
      </c>
      <c r="Q1538">
        <v>33.375507550000002</v>
      </c>
      <c r="R1538">
        <v>2.4262999999999999</v>
      </c>
      <c r="S1538">
        <v>0.40692159999999999</v>
      </c>
      <c r="T1538" t="s">
        <v>1016</v>
      </c>
      <c r="U1538">
        <v>14.561728260000001</v>
      </c>
    </row>
    <row r="1539" spans="1:21" x14ac:dyDescent="0.25">
      <c r="A1539" t="s">
        <v>51</v>
      </c>
      <c r="B1539" t="s">
        <v>860</v>
      </c>
      <c r="C1539">
        <v>12</v>
      </c>
      <c r="D1539" t="s">
        <v>15</v>
      </c>
      <c r="E1539" t="s">
        <v>94</v>
      </c>
      <c r="F1539" t="s">
        <v>105</v>
      </c>
      <c r="G1539" t="s">
        <v>104</v>
      </c>
      <c r="H1539" t="s">
        <v>104</v>
      </c>
      <c r="J1539">
        <v>0</v>
      </c>
      <c r="K1539">
        <v>2</v>
      </c>
      <c r="L1539">
        <v>67.5</v>
      </c>
      <c r="M1539">
        <v>47.937235809999997</v>
      </c>
      <c r="N1539">
        <v>0.41599678000000001</v>
      </c>
      <c r="O1539">
        <v>2.0950346999999998</v>
      </c>
      <c r="P1539">
        <v>113.9375</v>
      </c>
      <c r="Q1539">
        <v>33.375507550000002</v>
      </c>
      <c r="R1539">
        <v>2.4262999999999999</v>
      </c>
      <c r="S1539">
        <v>0.40692159999999999</v>
      </c>
      <c r="T1539" t="s">
        <v>1016</v>
      </c>
      <c r="U1539">
        <v>14.561728260000001</v>
      </c>
    </row>
    <row r="1540" spans="1:21" x14ac:dyDescent="0.25">
      <c r="A1540" t="s">
        <v>51</v>
      </c>
      <c r="B1540" t="s">
        <v>861</v>
      </c>
      <c r="C1540">
        <v>12</v>
      </c>
      <c r="D1540" t="s">
        <v>15</v>
      </c>
      <c r="E1540" t="s">
        <v>94</v>
      </c>
      <c r="F1540" t="s">
        <v>111</v>
      </c>
      <c r="G1540" t="s">
        <v>121</v>
      </c>
      <c r="H1540" t="s">
        <v>241</v>
      </c>
      <c r="J1540">
        <v>0</v>
      </c>
      <c r="K1540">
        <v>1</v>
      </c>
      <c r="L1540">
        <v>94.97142857</v>
      </c>
      <c r="M1540">
        <v>24.31591813</v>
      </c>
      <c r="N1540">
        <v>0.122951111</v>
      </c>
      <c r="O1540">
        <v>0.39050790000000002</v>
      </c>
      <c r="P1540">
        <v>114</v>
      </c>
      <c r="Q1540">
        <v>30.43077242</v>
      </c>
      <c r="R1540">
        <v>0.53383111100000002</v>
      </c>
      <c r="S1540">
        <v>0.28333332999999999</v>
      </c>
      <c r="T1540" t="s">
        <v>1016</v>
      </c>
      <c r="U1540">
        <v>-6.1148542900000002</v>
      </c>
    </row>
    <row r="1541" spans="1:21" x14ac:dyDescent="0.25">
      <c r="A1541" t="s">
        <v>51</v>
      </c>
      <c r="B1541" t="s">
        <v>862</v>
      </c>
      <c r="C1541">
        <v>12</v>
      </c>
      <c r="D1541" t="s">
        <v>15</v>
      </c>
      <c r="E1541" t="s">
        <v>94</v>
      </c>
      <c r="F1541" t="s">
        <v>112</v>
      </c>
      <c r="G1541" t="s">
        <v>112</v>
      </c>
      <c r="H1541" t="s">
        <v>112</v>
      </c>
      <c r="J1541">
        <v>0</v>
      </c>
      <c r="K1541">
        <v>2</v>
      </c>
      <c r="L1541">
        <v>65.09375</v>
      </c>
      <c r="M1541">
        <v>37.895352600000002</v>
      </c>
      <c r="N1541">
        <v>2.2882677779999998</v>
      </c>
      <c r="O1541">
        <v>2.2111774</v>
      </c>
      <c r="P1541">
        <v>65.09375</v>
      </c>
      <c r="Q1541">
        <v>37.895352600000002</v>
      </c>
      <c r="R1541">
        <v>2.2882677779999998</v>
      </c>
      <c r="S1541">
        <v>2.2111774</v>
      </c>
      <c r="T1541" t="s">
        <v>1016</v>
      </c>
      <c r="U1541">
        <v>0</v>
      </c>
    </row>
    <row r="1542" spans="1:21" x14ac:dyDescent="0.25">
      <c r="A1542" t="s">
        <v>51</v>
      </c>
      <c r="B1542" t="s">
        <v>862</v>
      </c>
      <c r="C1542">
        <v>12</v>
      </c>
      <c r="D1542" t="s">
        <v>15</v>
      </c>
      <c r="E1542" t="s">
        <v>94</v>
      </c>
      <c r="F1542" t="s">
        <v>112</v>
      </c>
      <c r="G1542" t="s">
        <v>112</v>
      </c>
      <c r="H1542" t="s">
        <v>112</v>
      </c>
      <c r="J1542">
        <v>0</v>
      </c>
      <c r="K1542">
        <v>2</v>
      </c>
      <c r="L1542">
        <v>65.09375</v>
      </c>
      <c r="M1542">
        <v>37.895352600000002</v>
      </c>
      <c r="N1542">
        <v>2.2882677779999998</v>
      </c>
      <c r="O1542">
        <v>2.2111774</v>
      </c>
      <c r="P1542">
        <v>65.09375</v>
      </c>
      <c r="Q1542">
        <v>37.895352600000002</v>
      </c>
      <c r="R1542">
        <v>2.2882677779999998</v>
      </c>
      <c r="S1542">
        <v>2.2111774</v>
      </c>
      <c r="T1542" t="s">
        <v>1016</v>
      </c>
      <c r="U1542">
        <v>0</v>
      </c>
    </row>
    <row r="1543" spans="1:21" x14ac:dyDescent="0.25">
      <c r="A1543" t="s">
        <v>52</v>
      </c>
      <c r="B1543" t="s">
        <v>863</v>
      </c>
      <c r="C1543">
        <v>12</v>
      </c>
      <c r="D1543" t="s">
        <v>17</v>
      </c>
      <c r="E1543" t="s">
        <v>95</v>
      </c>
      <c r="F1543" t="s">
        <v>102</v>
      </c>
      <c r="G1543" t="s">
        <v>121</v>
      </c>
      <c r="H1543" t="s">
        <v>238</v>
      </c>
      <c r="J1543">
        <v>0</v>
      </c>
      <c r="K1543">
        <v>1</v>
      </c>
      <c r="L1543">
        <v>84.740740740000007</v>
      </c>
      <c r="M1543">
        <v>29.167014049999999</v>
      </c>
      <c r="N1543">
        <v>1.1169849999999999</v>
      </c>
      <c r="O1543">
        <v>1.1571499000000001</v>
      </c>
      <c r="P1543">
        <v>87.5</v>
      </c>
      <c r="Q1543">
        <v>29.478311600000001</v>
      </c>
      <c r="R1543">
        <v>3.0797751000000002E-2</v>
      </c>
      <c r="S1543">
        <v>0.12931835</v>
      </c>
      <c r="T1543" t="s">
        <v>1016</v>
      </c>
      <c r="U1543">
        <v>-0.31129754999999998</v>
      </c>
    </row>
    <row r="1544" spans="1:21" x14ac:dyDescent="0.25">
      <c r="A1544" t="s">
        <v>52</v>
      </c>
      <c r="B1544" t="s">
        <v>863</v>
      </c>
      <c r="C1544">
        <v>12</v>
      </c>
      <c r="D1544" t="s">
        <v>17</v>
      </c>
      <c r="E1544" t="s">
        <v>95</v>
      </c>
      <c r="F1544" t="s">
        <v>102</v>
      </c>
      <c r="G1544" t="s">
        <v>121</v>
      </c>
      <c r="H1544" t="s">
        <v>113</v>
      </c>
      <c r="J1544">
        <v>0</v>
      </c>
      <c r="K1544">
        <v>1</v>
      </c>
      <c r="L1544">
        <v>84.740740740000007</v>
      </c>
      <c r="M1544">
        <v>29.167014049999999</v>
      </c>
      <c r="N1544">
        <v>1.1169849999999999</v>
      </c>
      <c r="O1544">
        <v>1.1571499000000001</v>
      </c>
      <c r="P1544">
        <v>83.757575759999995</v>
      </c>
      <c r="Q1544">
        <v>22.60997987</v>
      </c>
      <c r="R1544">
        <v>0.72884000000000004</v>
      </c>
      <c r="S1544">
        <v>0.21301339999999999</v>
      </c>
      <c r="T1544" t="s">
        <v>1016</v>
      </c>
      <c r="U1544">
        <v>6.5570341799999996</v>
      </c>
    </row>
    <row r="1545" spans="1:21" x14ac:dyDescent="0.25">
      <c r="A1545" t="s">
        <v>52</v>
      </c>
      <c r="B1545" t="s">
        <v>864</v>
      </c>
      <c r="C1545">
        <v>12</v>
      </c>
      <c r="D1545" t="s">
        <v>17</v>
      </c>
      <c r="E1545" t="s">
        <v>95</v>
      </c>
      <c r="F1545" t="s">
        <v>103</v>
      </c>
      <c r="G1545" t="s">
        <v>121</v>
      </c>
      <c r="H1545" t="s">
        <v>234</v>
      </c>
      <c r="J1545">
        <v>0</v>
      </c>
      <c r="K1545">
        <v>5</v>
      </c>
      <c r="L1545">
        <v>98.291666669999998</v>
      </c>
      <c r="M1545">
        <v>30.315130790000001</v>
      </c>
      <c r="N1545">
        <v>5.0803484000000003E-2</v>
      </c>
      <c r="O1545">
        <v>0.42866070000000001</v>
      </c>
      <c r="P1545">
        <v>89.8125</v>
      </c>
      <c r="Q1545">
        <v>34.754706650000003</v>
      </c>
      <c r="R1545">
        <v>2.3065078999999999E-2</v>
      </c>
      <c r="S1545">
        <v>2.4791666700000001</v>
      </c>
      <c r="T1545" t="s">
        <v>1016</v>
      </c>
      <c r="U1545">
        <v>-4.4395758599999997</v>
      </c>
    </row>
    <row r="1546" spans="1:21" x14ac:dyDescent="0.25">
      <c r="A1546" t="s">
        <v>52</v>
      </c>
      <c r="B1546" t="s">
        <v>864</v>
      </c>
      <c r="C1546">
        <v>12</v>
      </c>
      <c r="D1546" t="s">
        <v>17</v>
      </c>
      <c r="E1546" t="s">
        <v>95</v>
      </c>
      <c r="F1546" t="s">
        <v>103</v>
      </c>
      <c r="G1546" t="s">
        <v>121</v>
      </c>
      <c r="H1546" t="s">
        <v>234</v>
      </c>
      <c r="J1546">
        <v>0</v>
      </c>
      <c r="K1546">
        <v>5</v>
      </c>
      <c r="L1546">
        <v>98.291666669999998</v>
      </c>
      <c r="M1546">
        <v>30.315130790000001</v>
      </c>
      <c r="N1546">
        <v>5.0803484000000003E-2</v>
      </c>
      <c r="O1546">
        <v>0.42866070000000001</v>
      </c>
      <c r="P1546">
        <v>89.8125</v>
      </c>
      <c r="Q1546">
        <v>34.754706650000003</v>
      </c>
      <c r="R1546">
        <v>2.3065078999999999E-2</v>
      </c>
      <c r="S1546">
        <v>2.4791666700000001</v>
      </c>
      <c r="T1546" t="s">
        <v>1016</v>
      </c>
      <c r="U1546">
        <v>-4.4395758599999997</v>
      </c>
    </row>
    <row r="1547" spans="1:21" x14ac:dyDescent="0.25">
      <c r="A1547" t="s">
        <v>52</v>
      </c>
      <c r="B1547" t="s">
        <v>864</v>
      </c>
      <c r="C1547">
        <v>12</v>
      </c>
      <c r="D1547" t="s">
        <v>17</v>
      </c>
      <c r="E1547" t="s">
        <v>95</v>
      </c>
      <c r="F1547" t="s">
        <v>103</v>
      </c>
      <c r="G1547" t="s">
        <v>121</v>
      </c>
      <c r="H1547" t="s">
        <v>234</v>
      </c>
      <c r="J1547">
        <v>0</v>
      </c>
      <c r="K1547">
        <v>5</v>
      </c>
      <c r="L1547">
        <v>98.291666669999998</v>
      </c>
      <c r="M1547">
        <v>30.315130790000001</v>
      </c>
      <c r="N1547">
        <v>5.0803484000000003E-2</v>
      </c>
      <c r="O1547">
        <v>0.42866070000000001</v>
      </c>
      <c r="P1547">
        <v>89.8125</v>
      </c>
      <c r="Q1547">
        <v>34.754706650000003</v>
      </c>
      <c r="R1547">
        <v>2.3065078999999999E-2</v>
      </c>
      <c r="S1547">
        <v>2.4791666700000001</v>
      </c>
      <c r="T1547" t="s">
        <v>1016</v>
      </c>
      <c r="U1547">
        <v>-4.4395758599999997</v>
      </c>
    </row>
    <row r="1548" spans="1:21" x14ac:dyDescent="0.25">
      <c r="A1548" t="s">
        <v>52</v>
      </c>
      <c r="B1548" t="s">
        <v>864</v>
      </c>
      <c r="C1548">
        <v>12</v>
      </c>
      <c r="D1548" t="s">
        <v>17</v>
      </c>
      <c r="E1548" t="s">
        <v>95</v>
      </c>
      <c r="F1548" t="s">
        <v>103</v>
      </c>
      <c r="G1548" t="s">
        <v>121</v>
      </c>
      <c r="H1548" t="s">
        <v>234</v>
      </c>
      <c r="J1548">
        <v>0</v>
      </c>
      <c r="K1548">
        <v>5</v>
      </c>
      <c r="L1548">
        <v>98.291666669999998</v>
      </c>
      <c r="M1548">
        <v>30.315130790000001</v>
      </c>
      <c r="N1548">
        <v>5.0803484000000003E-2</v>
      </c>
      <c r="O1548">
        <v>0.42866070000000001</v>
      </c>
      <c r="P1548">
        <v>89.8125</v>
      </c>
      <c r="Q1548">
        <v>34.754706650000003</v>
      </c>
      <c r="R1548">
        <v>2.3065078999999999E-2</v>
      </c>
      <c r="S1548">
        <v>2.4791666700000001</v>
      </c>
      <c r="T1548" t="s">
        <v>1016</v>
      </c>
      <c r="U1548">
        <v>-4.4395758599999997</v>
      </c>
    </row>
    <row r="1549" spans="1:21" x14ac:dyDescent="0.25">
      <c r="A1549" t="s">
        <v>52</v>
      </c>
      <c r="B1549" t="s">
        <v>864</v>
      </c>
      <c r="C1549">
        <v>12</v>
      </c>
      <c r="D1549" t="s">
        <v>17</v>
      </c>
      <c r="E1549" t="s">
        <v>95</v>
      </c>
      <c r="F1549" t="s">
        <v>103</v>
      </c>
      <c r="G1549" t="s">
        <v>121</v>
      </c>
      <c r="H1549" t="s">
        <v>234</v>
      </c>
      <c r="J1549">
        <v>0</v>
      </c>
      <c r="K1549">
        <v>5</v>
      </c>
      <c r="L1549">
        <v>98.291666669999998</v>
      </c>
      <c r="M1549">
        <v>30.315130790000001</v>
      </c>
      <c r="N1549">
        <v>5.0803484000000003E-2</v>
      </c>
      <c r="O1549">
        <v>0.42866070000000001</v>
      </c>
      <c r="P1549">
        <v>89.8125</v>
      </c>
      <c r="Q1549">
        <v>34.754706650000003</v>
      </c>
      <c r="R1549">
        <v>2.3065078999999999E-2</v>
      </c>
      <c r="S1549">
        <v>2.4791666700000001</v>
      </c>
      <c r="T1549" t="s">
        <v>1016</v>
      </c>
      <c r="U1549">
        <v>-4.4395758599999997</v>
      </c>
    </row>
    <row r="1550" spans="1:21" x14ac:dyDescent="0.25">
      <c r="A1550" t="s">
        <v>52</v>
      </c>
      <c r="B1550" t="s">
        <v>865</v>
      </c>
      <c r="C1550">
        <v>12</v>
      </c>
      <c r="D1550" t="s">
        <v>17</v>
      </c>
      <c r="E1550" t="s">
        <v>95</v>
      </c>
      <c r="F1550" t="s">
        <v>111</v>
      </c>
      <c r="G1550" t="s">
        <v>103</v>
      </c>
      <c r="H1550" t="s">
        <v>103</v>
      </c>
      <c r="J1550">
        <v>0</v>
      </c>
      <c r="K1550">
        <v>1</v>
      </c>
      <c r="L1550">
        <v>94.97142857</v>
      </c>
      <c r="M1550">
        <v>24.31591813</v>
      </c>
      <c r="N1550">
        <v>0.122951111</v>
      </c>
      <c r="O1550">
        <v>0.39050790000000002</v>
      </c>
      <c r="P1550">
        <v>98.291666669999998</v>
      </c>
      <c r="Q1550">
        <v>30.315130790000001</v>
      </c>
      <c r="R1550">
        <v>5.0803484000000003E-2</v>
      </c>
      <c r="S1550">
        <v>0.42866070000000001</v>
      </c>
      <c r="T1550" t="s">
        <v>1016</v>
      </c>
      <c r="U1550">
        <v>-5.9992126600000004</v>
      </c>
    </row>
    <row r="1551" spans="1:21" x14ac:dyDescent="0.25">
      <c r="A1551" t="s">
        <v>52</v>
      </c>
      <c r="B1551" t="s">
        <v>866</v>
      </c>
      <c r="C1551">
        <v>12</v>
      </c>
      <c r="D1551" t="s">
        <v>17</v>
      </c>
      <c r="E1551" t="s">
        <v>95</v>
      </c>
      <c r="F1551" t="s">
        <v>112</v>
      </c>
      <c r="G1551" t="s">
        <v>121</v>
      </c>
      <c r="H1551" t="s">
        <v>235</v>
      </c>
      <c r="J1551">
        <v>0</v>
      </c>
      <c r="K1551">
        <v>1</v>
      </c>
      <c r="L1551">
        <v>65.09375</v>
      </c>
      <c r="M1551">
        <v>37.895352600000002</v>
      </c>
      <c r="N1551">
        <v>2.2882677779999998</v>
      </c>
      <c r="O1551">
        <v>2.2111774</v>
      </c>
      <c r="P1551">
        <v>132.27272730000001</v>
      </c>
      <c r="Q1551">
        <v>20.180448590000001</v>
      </c>
      <c r="R1551">
        <v>3.7813451999999997E-2</v>
      </c>
      <c r="S1551">
        <v>0.41404401000000002</v>
      </c>
      <c r="T1551" t="s">
        <v>1016</v>
      </c>
      <c r="U1551">
        <v>17.714904010000001</v>
      </c>
    </row>
    <row r="1552" spans="1:21" x14ac:dyDescent="0.25">
      <c r="A1552" t="s">
        <v>53</v>
      </c>
      <c r="B1552" t="s">
        <v>867</v>
      </c>
      <c r="C1552">
        <v>12</v>
      </c>
      <c r="D1552" t="s">
        <v>19</v>
      </c>
      <c r="E1552" t="s">
        <v>94</v>
      </c>
      <c r="F1552" t="s">
        <v>102</v>
      </c>
      <c r="G1552" t="s">
        <v>121</v>
      </c>
      <c r="H1552" t="s">
        <v>808</v>
      </c>
      <c r="J1552">
        <v>0</v>
      </c>
      <c r="K1552">
        <v>1</v>
      </c>
      <c r="L1552">
        <v>84.740740740000007</v>
      </c>
      <c r="M1552">
        <v>29.167014049999999</v>
      </c>
      <c r="N1552">
        <v>1.1169849999999999</v>
      </c>
      <c r="O1552">
        <v>1.1571499000000001</v>
      </c>
      <c r="P1552">
        <v>102.79166669999999</v>
      </c>
      <c r="Q1552">
        <v>27.057373470000002</v>
      </c>
      <c r="R1552">
        <v>6.3567849939999999</v>
      </c>
      <c r="S1552" t="s">
        <v>114</v>
      </c>
      <c r="T1552" t="s">
        <v>1016</v>
      </c>
      <c r="U1552">
        <v>2.1096405800000002</v>
      </c>
    </row>
    <row r="1553" spans="1:21" x14ac:dyDescent="0.25">
      <c r="A1553" t="s">
        <v>53</v>
      </c>
      <c r="B1553" t="s">
        <v>867</v>
      </c>
      <c r="C1553">
        <v>12</v>
      </c>
      <c r="D1553" t="s">
        <v>19</v>
      </c>
      <c r="E1553" t="s">
        <v>94</v>
      </c>
      <c r="F1553" t="s">
        <v>102</v>
      </c>
      <c r="G1553" t="s">
        <v>121</v>
      </c>
      <c r="H1553" t="s">
        <v>241</v>
      </c>
      <c r="J1553">
        <v>0</v>
      </c>
      <c r="K1553">
        <v>1</v>
      </c>
      <c r="L1553">
        <v>84.740740740000007</v>
      </c>
      <c r="M1553">
        <v>29.167014049999999</v>
      </c>
      <c r="N1553">
        <v>1.1169849999999999</v>
      </c>
      <c r="O1553">
        <v>1.1571499000000001</v>
      </c>
      <c r="P1553">
        <v>114</v>
      </c>
      <c r="Q1553">
        <v>30.43077242</v>
      </c>
      <c r="R1553">
        <v>0.53383111100000002</v>
      </c>
      <c r="S1553">
        <v>0.28333332999999999</v>
      </c>
      <c r="T1553" t="s">
        <v>1016</v>
      </c>
      <c r="U1553">
        <v>-1.2637583699999999</v>
      </c>
    </row>
    <row r="1554" spans="1:21" x14ac:dyDescent="0.25">
      <c r="A1554" t="s">
        <v>53</v>
      </c>
      <c r="B1554" t="s">
        <v>868</v>
      </c>
      <c r="C1554">
        <v>12</v>
      </c>
      <c r="D1554" t="s">
        <v>19</v>
      </c>
      <c r="E1554" t="s">
        <v>94</v>
      </c>
      <c r="F1554" t="s">
        <v>113</v>
      </c>
      <c r="G1554" t="s">
        <v>121</v>
      </c>
      <c r="H1554" t="s">
        <v>103</v>
      </c>
      <c r="J1554">
        <v>0</v>
      </c>
      <c r="K1554">
        <v>1</v>
      </c>
      <c r="L1554">
        <v>83.757575759999995</v>
      </c>
      <c r="M1554">
        <v>22.60997987</v>
      </c>
      <c r="N1554">
        <v>0.72884000000000004</v>
      </c>
      <c r="O1554">
        <v>0.21301339999999999</v>
      </c>
      <c r="P1554">
        <v>98.291666669999998</v>
      </c>
      <c r="Q1554">
        <v>30.315130790000001</v>
      </c>
      <c r="R1554">
        <v>5.0803484000000003E-2</v>
      </c>
      <c r="S1554">
        <v>0.42866070000000001</v>
      </c>
      <c r="T1554" t="s">
        <v>1016</v>
      </c>
      <c r="U1554">
        <v>-7.7051509200000003</v>
      </c>
    </row>
    <row r="1555" spans="1:21" x14ac:dyDescent="0.25">
      <c r="A1555" t="s">
        <v>53</v>
      </c>
      <c r="B1555" t="s">
        <v>868</v>
      </c>
      <c r="C1555">
        <v>12</v>
      </c>
      <c r="D1555" t="s">
        <v>19</v>
      </c>
      <c r="E1555" t="s">
        <v>94</v>
      </c>
      <c r="F1555" t="s">
        <v>113</v>
      </c>
      <c r="G1555" t="s">
        <v>121</v>
      </c>
      <c r="H1555" t="s">
        <v>238</v>
      </c>
      <c r="J1555">
        <v>0</v>
      </c>
      <c r="K1555">
        <v>1</v>
      </c>
      <c r="L1555">
        <v>83.757575759999995</v>
      </c>
      <c r="M1555">
        <v>22.60997987</v>
      </c>
      <c r="N1555">
        <v>0.72884000000000004</v>
      </c>
      <c r="O1555">
        <v>0.21301339999999999</v>
      </c>
      <c r="P1555">
        <v>87.5</v>
      </c>
      <c r="Q1555">
        <v>29.478311600000001</v>
      </c>
      <c r="R1555">
        <v>3.0797751000000002E-2</v>
      </c>
      <c r="S1555">
        <v>0.12931835</v>
      </c>
      <c r="T1555" t="s">
        <v>1016</v>
      </c>
      <c r="U1555">
        <v>-6.8683317300000004</v>
      </c>
    </row>
    <row r="1556" spans="1:21" x14ac:dyDescent="0.25">
      <c r="A1556" t="s">
        <v>53</v>
      </c>
      <c r="B1556" t="s">
        <v>868</v>
      </c>
      <c r="C1556">
        <v>12</v>
      </c>
      <c r="D1556" t="s">
        <v>19</v>
      </c>
      <c r="E1556" t="s">
        <v>94</v>
      </c>
      <c r="F1556" t="s">
        <v>113</v>
      </c>
      <c r="G1556" t="s">
        <v>121</v>
      </c>
      <c r="H1556" t="s">
        <v>235</v>
      </c>
      <c r="J1556">
        <v>0</v>
      </c>
      <c r="K1556">
        <v>1</v>
      </c>
      <c r="L1556">
        <v>83.757575759999995</v>
      </c>
      <c r="M1556">
        <v>22.60997987</v>
      </c>
      <c r="N1556">
        <v>0.72884000000000004</v>
      </c>
      <c r="O1556">
        <v>0.21301339999999999</v>
      </c>
      <c r="P1556">
        <v>132.27272730000001</v>
      </c>
      <c r="Q1556">
        <v>20.180448590000001</v>
      </c>
      <c r="R1556">
        <v>3.7813451999999997E-2</v>
      </c>
      <c r="S1556">
        <v>0.41404401000000002</v>
      </c>
      <c r="T1556" t="s">
        <v>1016</v>
      </c>
      <c r="U1556">
        <v>2.42953128</v>
      </c>
    </row>
    <row r="1557" spans="1:21" x14ac:dyDescent="0.25">
      <c r="A1557" t="s">
        <v>53</v>
      </c>
      <c r="B1557" t="s">
        <v>868</v>
      </c>
      <c r="C1557">
        <v>12</v>
      </c>
      <c r="D1557" t="s">
        <v>19</v>
      </c>
      <c r="E1557" t="s">
        <v>94</v>
      </c>
      <c r="F1557" t="s">
        <v>113</v>
      </c>
      <c r="G1557" t="s">
        <v>121</v>
      </c>
      <c r="H1557" t="s">
        <v>241</v>
      </c>
      <c r="J1557">
        <v>0</v>
      </c>
      <c r="K1557">
        <v>2</v>
      </c>
      <c r="L1557">
        <v>83.757575759999995</v>
      </c>
      <c r="M1557">
        <v>22.60997987</v>
      </c>
      <c r="N1557">
        <v>0.72884000000000004</v>
      </c>
      <c r="O1557">
        <v>0.21301339999999999</v>
      </c>
      <c r="P1557">
        <v>114</v>
      </c>
      <c r="Q1557">
        <v>30.43077242</v>
      </c>
      <c r="R1557">
        <v>0.53383111100000002</v>
      </c>
      <c r="S1557">
        <v>0.28333332999999999</v>
      </c>
      <c r="T1557" t="s">
        <v>1016</v>
      </c>
      <c r="U1557">
        <v>-7.8207925500000002</v>
      </c>
    </row>
    <row r="1558" spans="1:21" x14ac:dyDescent="0.25">
      <c r="A1558" t="s">
        <v>53</v>
      </c>
      <c r="B1558" t="s">
        <v>868</v>
      </c>
      <c r="C1558">
        <v>12</v>
      </c>
      <c r="D1558" t="s">
        <v>19</v>
      </c>
      <c r="E1558" t="s">
        <v>94</v>
      </c>
      <c r="F1558" t="s">
        <v>113</v>
      </c>
      <c r="G1558" t="s">
        <v>121</v>
      </c>
      <c r="H1558" t="s">
        <v>241</v>
      </c>
      <c r="J1558">
        <v>0</v>
      </c>
      <c r="K1558">
        <v>2</v>
      </c>
      <c r="L1558">
        <v>83.757575759999995</v>
      </c>
      <c r="M1558">
        <v>22.60997987</v>
      </c>
      <c r="N1558">
        <v>0.72884000000000004</v>
      </c>
      <c r="O1558">
        <v>0.21301339999999999</v>
      </c>
      <c r="P1558">
        <v>114</v>
      </c>
      <c r="Q1558">
        <v>30.43077242</v>
      </c>
      <c r="R1558">
        <v>0.53383111100000002</v>
      </c>
      <c r="S1558">
        <v>0.28333332999999999</v>
      </c>
      <c r="T1558" t="s">
        <v>1016</v>
      </c>
      <c r="U1558">
        <v>-7.8207925500000002</v>
      </c>
    </row>
    <row r="1559" spans="1:21" x14ac:dyDescent="0.25">
      <c r="A1559" t="s">
        <v>53</v>
      </c>
      <c r="B1559" t="s">
        <v>868</v>
      </c>
      <c r="C1559">
        <v>12</v>
      </c>
      <c r="D1559" t="s">
        <v>19</v>
      </c>
      <c r="E1559" t="s">
        <v>94</v>
      </c>
      <c r="F1559" t="s">
        <v>113</v>
      </c>
      <c r="G1559" t="s">
        <v>121</v>
      </c>
      <c r="H1559" t="s">
        <v>242</v>
      </c>
      <c r="J1559">
        <v>0</v>
      </c>
      <c r="K1559">
        <v>1</v>
      </c>
      <c r="L1559">
        <v>83.757575759999995</v>
      </c>
      <c r="M1559">
        <v>22.60997987</v>
      </c>
      <c r="N1559">
        <v>0.72884000000000004</v>
      </c>
      <c r="O1559">
        <v>0.21301339999999999</v>
      </c>
      <c r="P1559">
        <v>139.375</v>
      </c>
      <c r="Q1559">
        <v>23.713465920000001</v>
      </c>
      <c r="R1559" t="s">
        <v>114</v>
      </c>
      <c r="S1559" t="s">
        <v>114</v>
      </c>
      <c r="T1559" t="s">
        <v>1016</v>
      </c>
      <c r="U1559">
        <v>-1.1034860500000001</v>
      </c>
    </row>
    <row r="1560" spans="1:21" x14ac:dyDescent="0.25">
      <c r="A1560" t="s">
        <v>53</v>
      </c>
      <c r="B1560" t="s">
        <v>868</v>
      </c>
      <c r="C1560">
        <v>12</v>
      </c>
      <c r="D1560" t="s">
        <v>19</v>
      </c>
      <c r="E1560" t="s">
        <v>94</v>
      </c>
      <c r="F1560" t="s">
        <v>113</v>
      </c>
      <c r="G1560" t="s">
        <v>121</v>
      </c>
      <c r="H1560" t="s">
        <v>112</v>
      </c>
      <c r="J1560">
        <v>0</v>
      </c>
      <c r="K1560">
        <v>1</v>
      </c>
      <c r="L1560">
        <v>83.757575759999995</v>
      </c>
      <c r="M1560">
        <v>22.60997987</v>
      </c>
      <c r="N1560">
        <v>0.72884000000000004</v>
      </c>
      <c r="O1560">
        <v>0.21301339999999999</v>
      </c>
      <c r="P1560">
        <v>65.09375</v>
      </c>
      <c r="Q1560">
        <v>37.895352600000002</v>
      </c>
      <c r="R1560">
        <v>2.2882677779999998</v>
      </c>
      <c r="S1560">
        <v>2.2111774</v>
      </c>
      <c r="T1560" t="s">
        <v>1016</v>
      </c>
      <c r="U1560">
        <v>-15.285372730000001</v>
      </c>
    </row>
    <row r="1561" spans="1:21" x14ac:dyDescent="0.25">
      <c r="A1561" t="s">
        <v>53</v>
      </c>
      <c r="B1561" t="s">
        <v>869</v>
      </c>
      <c r="C1561">
        <v>12</v>
      </c>
      <c r="D1561" t="s">
        <v>19</v>
      </c>
      <c r="E1561" t="s">
        <v>94</v>
      </c>
      <c r="F1561" t="s">
        <v>103</v>
      </c>
      <c r="G1561" t="s">
        <v>121</v>
      </c>
      <c r="H1561" t="s">
        <v>103</v>
      </c>
      <c r="J1561">
        <v>0</v>
      </c>
      <c r="K1561">
        <v>1</v>
      </c>
      <c r="L1561">
        <v>98.291666669999998</v>
      </c>
      <c r="M1561">
        <v>30.315130790000001</v>
      </c>
      <c r="N1561">
        <v>5.0803484000000003E-2</v>
      </c>
      <c r="O1561">
        <v>0.42866070000000001</v>
      </c>
      <c r="P1561">
        <v>98.291666669999998</v>
      </c>
      <c r="Q1561">
        <v>30.315130790000001</v>
      </c>
      <c r="R1561">
        <v>5.0803484000000003E-2</v>
      </c>
      <c r="S1561">
        <v>0.42866070000000001</v>
      </c>
      <c r="T1561" t="s">
        <v>1016</v>
      </c>
      <c r="U1561">
        <v>0</v>
      </c>
    </row>
    <row r="1562" spans="1:21" x14ac:dyDescent="0.25">
      <c r="A1562" t="s">
        <v>53</v>
      </c>
      <c r="B1562" t="s">
        <v>869</v>
      </c>
      <c r="C1562">
        <v>12</v>
      </c>
      <c r="D1562" t="s">
        <v>19</v>
      </c>
      <c r="E1562" t="s">
        <v>94</v>
      </c>
      <c r="F1562" t="s">
        <v>103</v>
      </c>
      <c r="G1562" t="s">
        <v>121</v>
      </c>
      <c r="H1562" t="s">
        <v>241</v>
      </c>
      <c r="J1562">
        <v>0</v>
      </c>
      <c r="K1562">
        <v>1</v>
      </c>
      <c r="L1562">
        <v>98.291666669999998</v>
      </c>
      <c r="M1562">
        <v>30.315130790000001</v>
      </c>
      <c r="N1562">
        <v>5.0803484000000003E-2</v>
      </c>
      <c r="O1562">
        <v>0.42866070000000001</v>
      </c>
      <c r="P1562">
        <v>114</v>
      </c>
      <c r="Q1562">
        <v>30.43077242</v>
      </c>
      <c r="R1562">
        <v>0.53383111100000002</v>
      </c>
      <c r="S1562">
        <v>0.28333332999999999</v>
      </c>
      <c r="T1562" t="s">
        <v>1016</v>
      </c>
      <c r="U1562">
        <v>-0.11564163</v>
      </c>
    </row>
    <row r="1563" spans="1:21" x14ac:dyDescent="0.25">
      <c r="A1563" t="s">
        <v>53</v>
      </c>
      <c r="B1563" t="s">
        <v>870</v>
      </c>
      <c r="C1563">
        <v>12</v>
      </c>
      <c r="D1563" t="s">
        <v>19</v>
      </c>
      <c r="E1563" t="s">
        <v>94</v>
      </c>
      <c r="F1563" t="s">
        <v>112</v>
      </c>
      <c r="G1563" t="s">
        <v>121</v>
      </c>
      <c r="H1563" t="s">
        <v>114</v>
      </c>
      <c r="J1563">
        <v>0</v>
      </c>
      <c r="K1563">
        <v>0</v>
      </c>
      <c r="L1563">
        <v>65.09375</v>
      </c>
      <c r="M1563">
        <v>37.895352600000002</v>
      </c>
      <c r="N1563">
        <v>2.2882677779999998</v>
      </c>
      <c r="O1563">
        <v>2.2111774</v>
      </c>
      <c r="P1563" t="s">
        <v>114</v>
      </c>
      <c r="Q1563" t="s">
        <v>114</v>
      </c>
      <c r="R1563" t="s">
        <v>114</v>
      </c>
      <c r="S1563" t="s">
        <v>114</v>
      </c>
      <c r="T1563" t="s">
        <v>1016</v>
      </c>
      <c r="U1563" t="s">
        <v>114</v>
      </c>
    </row>
    <row r="1564" spans="1:21" x14ac:dyDescent="0.25">
      <c r="A1564" t="s">
        <v>54</v>
      </c>
      <c r="B1564" t="s">
        <v>871</v>
      </c>
      <c r="C1564">
        <v>12</v>
      </c>
      <c r="D1564" t="s">
        <v>21</v>
      </c>
      <c r="E1564" t="s">
        <v>95</v>
      </c>
      <c r="F1564" t="s">
        <v>113</v>
      </c>
      <c r="G1564" t="s">
        <v>121</v>
      </c>
      <c r="H1564" t="s">
        <v>241</v>
      </c>
      <c r="J1564">
        <v>0</v>
      </c>
      <c r="K1564">
        <v>2</v>
      </c>
      <c r="L1564">
        <v>83.757575759999995</v>
      </c>
      <c r="M1564">
        <v>22.60997987</v>
      </c>
      <c r="N1564">
        <v>0.72884000000000004</v>
      </c>
      <c r="O1564">
        <v>0.21301339999999999</v>
      </c>
      <c r="P1564">
        <v>114</v>
      </c>
      <c r="Q1564">
        <v>30.43077242</v>
      </c>
      <c r="R1564">
        <v>0.53383111100000002</v>
      </c>
      <c r="S1564">
        <v>0.28333332999999999</v>
      </c>
      <c r="T1564" t="s">
        <v>1016</v>
      </c>
      <c r="U1564">
        <v>-7.8207925500000002</v>
      </c>
    </row>
    <row r="1565" spans="1:21" x14ac:dyDescent="0.25">
      <c r="A1565" t="s">
        <v>54</v>
      </c>
      <c r="B1565" t="s">
        <v>871</v>
      </c>
      <c r="C1565">
        <v>12</v>
      </c>
      <c r="D1565" t="s">
        <v>21</v>
      </c>
      <c r="E1565" t="s">
        <v>95</v>
      </c>
      <c r="F1565" t="s">
        <v>113</v>
      </c>
      <c r="G1565" t="s">
        <v>121</v>
      </c>
      <c r="H1565" t="s">
        <v>241</v>
      </c>
      <c r="J1565">
        <v>0</v>
      </c>
      <c r="K1565">
        <v>2</v>
      </c>
      <c r="L1565">
        <v>83.757575759999995</v>
      </c>
      <c r="M1565">
        <v>22.60997987</v>
      </c>
      <c r="N1565">
        <v>0.72884000000000004</v>
      </c>
      <c r="O1565">
        <v>0.21301339999999999</v>
      </c>
      <c r="P1565">
        <v>114</v>
      </c>
      <c r="Q1565">
        <v>30.43077242</v>
      </c>
      <c r="R1565">
        <v>0.53383111100000002</v>
      </c>
      <c r="S1565">
        <v>0.28333332999999999</v>
      </c>
      <c r="T1565" t="s">
        <v>1016</v>
      </c>
      <c r="U1565">
        <v>-7.8207925500000002</v>
      </c>
    </row>
    <row r="1566" spans="1:21" x14ac:dyDescent="0.25">
      <c r="A1566" t="s">
        <v>54</v>
      </c>
      <c r="B1566" t="s">
        <v>872</v>
      </c>
      <c r="C1566">
        <v>12</v>
      </c>
      <c r="D1566" t="s">
        <v>21</v>
      </c>
      <c r="E1566" t="s">
        <v>95</v>
      </c>
      <c r="F1566" t="s">
        <v>110</v>
      </c>
      <c r="G1566" t="s">
        <v>121</v>
      </c>
      <c r="H1566" t="s">
        <v>241</v>
      </c>
      <c r="I1566" t="s">
        <v>162</v>
      </c>
      <c r="J1566">
        <v>1</v>
      </c>
      <c r="K1566">
        <v>2</v>
      </c>
      <c r="L1566">
        <v>73.260869569999997</v>
      </c>
      <c r="M1566">
        <v>34.453830549999999</v>
      </c>
      <c r="N1566">
        <v>1.058333333</v>
      </c>
      <c r="O1566">
        <v>0.90897070000000002</v>
      </c>
      <c r="P1566">
        <v>114</v>
      </c>
      <c r="Q1566">
        <v>30.43077242</v>
      </c>
      <c r="R1566">
        <v>0.53383111100000002</v>
      </c>
      <c r="S1566">
        <v>0.28333332999999999</v>
      </c>
      <c r="T1566" t="s">
        <v>1016</v>
      </c>
      <c r="U1566">
        <v>4.0230581299999999</v>
      </c>
    </row>
    <row r="1567" spans="1:21" x14ac:dyDescent="0.25">
      <c r="A1567" t="s">
        <v>54</v>
      </c>
      <c r="B1567" t="s">
        <v>872</v>
      </c>
      <c r="C1567">
        <v>12</v>
      </c>
      <c r="D1567" t="s">
        <v>21</v>
      </c>
      <c r="E1567" t="s">
        <v>95</v>
      </c>
      <c r="F1567" t="s">
        <v>110</v>
      </c>
      <c r="G1567" t="s">
        <v>121</v>
      </c>
      <c r="H1567" t="s">
        <v>241</v>
      </c>
      <c r="I1567" t="s">
        <v>162</v>
      </c>
      <c r="J1567">
        <v>1</v>
      </c>
      <c r="K1567">
        <v>2</v>
      </c>
      <c r="L1567">
        <v>73.260869569999997</v>
      </c>
      <c r="M1567">
        <v>34.453830549999999</v>
      </c>
      <c r="N1567">
        <v>1.058333333</v>
      </c>
      <c r="O1567">
        <v>0.90897070000000002</v>
      </c>
      <c r="P1567">
        <v>114</v>
      </c>
      <c r="Q1567">
        <v>30.43077242</v>
      </c>
      <c r="R1567">
        <v>0.53383111100000002</v>
      </c>
      <c r="S1567">
        <v>0.28333332999999999</v>
      </c>
      <c r="T1567" t="s">
        <v>1016</v>
      </c>
      <c r="U1567">
        <v>4.0230581299999999</v>
      </c>
    </row>
    <row r="1568" spans="1:21" x14ac:dyDescent="0.25">
      <c r="A1568" t="s">
        <v>54</v>
      </c>
      <c r="B1568" t="s">
        <v>873</v>
      </c>
      <c r="C1568">
        <v>12</v>
      </c>
      <c r="D1568" t="s">
        <v>21</v>
      </c>
      <c r="E1568" t="s">
        <v>95</v>
      </c>
      <c r="F1568" t="s">
        <v>111</v>
      </c>
      <c r="G1568" t="s">
        <v>121</v>
      </c>
      <c r="H1568" t="s">
        <v>162</v>
      </c>
      <c r="J1568">
        <v>0</v>
      </c>
      <c r="K1568">
        <v>1</v>
      </c>
      <c r="L1568">
        <v>94.97142857</v>
      </c>
      <c r="M1568">
        <v>24.31591813</v>
      </c>
      <c r="N1568">
        <v>0.122951111</v>
      </c>
      <c r="O1568">
        <v>0.39050790000000002</v>
      </c>
      <c r="P1568">
        <v>82.53846154</v>
      </c>
      <c r="Q1568">
        <v>35.660530039999998</v>
      </c>
      <c r="R1568">
        <v>3.3754499999999998</v>
      </c>
      <c r="S1568" t="s">
        <v>114</v>
      </c>
      <c r="T1568" t="s">
        <v>1016</v>
      </c>
      <c r="U1568">
        <v>-11.344611909999999</v>
      </c>
    </row>
    <row r="1569" spans="1:21" x14ac:dyDescent="0.25">
      <c r="A1569" t="s">
        <v>55</v>
      </c>
      <c r="B1569" t="s">
        <v>874</v>
      </c>
      <c r="C1569">
        <v>12</v>
      </c>
      <c r="D1569" t="s">
        <v>23</v>
      </c>
      <c r="E1569" t="s">
        <v>94</v>
      </c>
      <c r="F1569" t="s">
        <v>113</v>
      </c>
      <c r="G1569" t="s">
        <v>110</v>
      </c>
      <c r="H1569" t="s">
        <v>238</v>
      </c>
      <c r="J1569">
        <v>0</v>
      </c>
      <c r="K1569">
        <v>1</v>
      </c>
      <c r="L1569">
        <v>83.757575759999995</v>
      </c>
      <c r="M1569">
        <v>22.60997987</v>
      </c>
      <c r="N1569">
        <v>0.72884000000000004</v>
      </c>
      <c r="O1569">
        <v>0.21301339999999999</v>
      </c>
      <c r="P1569">
        <v>87.5</v>
      </c>
      <c r="Q1569">
        <v>29.478311600000001</v>
      </c>
      <c r="R1569">
        <v>3.0797751000000002E-2</v>
      </c>
      <c r="S1569">
        <v>0.12931835</v>
      </c>
      <c r="T1569" t="s">
        <v>1016</v>
      </c>
      <c r="U1569">
        <v>-6.8683317300000004</v>
      </c>
    </row>
    <row r="1570" spans="1:21" x14ac:dyDescent="0.25">
      <c r="A1570" t="s">
        <v>55</v>
      </c>
      <c r="B1570" t="s">
        <v>874</v>
      </c>
      <c r="C1570">
        <v>12</v>
      </c>
      <c r="D1570" t="s">
        <v>23</v>
      </c>
      <c r="E1570" t="s">
        <v>94</v>
      </c>
      <c r="F1570" t="s">
        <v>113</v>
      </c>
      <c r="G1570" t="s">
        <v>110</v>
      </c>
      <c r="H1570" t="s">
        <v>103</v>
      </c>
      <c r="J1570">
        <v>0</v>
      </c>
      <c r="K1570">
        <v>1</v>
      </c>
      <c r="L1570">
        <v>83.757575759999995</v>
      </c>
      <c r="M1570">
        <v>22.60997987</v>
      </c>
      <c r="N1570">
        <v>0.72884000000000004</v>
      </c>
      <c r="O1570">
        <v>0.21301339999999999</v>
      </c>
      <c r="P1570">
        <v>98.291666669999998</v>
      </c>
      <c r="Q1570">
        <v>30.315130790000001</v>
      </c>
      <c r="R1570">
        <v>5.0803484000000003E-2</v>
      </c>
      <c r="S1570">
        <v>0.42866070000000001</v>
      </c>
      <c r="T1570" t="s">
        <v>1016</v>
      </c>
      <c r="U1570">
        <v>-7.7051509200000003</v>
      </c>
    </row>
    <row r="1571" spans="1:21" x14ac:dyDescent="0.25">
      <c r="A1571" t="s">
        <v>55</v>
      </c>
      <c r="B1571" t="s">
        <v>874</v>
      </c>
      <c r="C1571">
        <v>12</v>
      </c>
      <c r="D1571" t="s">
        <v>23</v>
      </c>
      <c r="E1571" t="s">
        <v>94</v>
      </c>
      <c r="F1571" t="s">
        <v>113</v>
      </c>
      <c r="G1571" t="s">
        <v>110</v>
      </c>
      <c r="H1571" t="s">
        <v>808</v>
      </c>
      <c r="J1571">
        <v>0</v>
      </c>
      <c r="K1571">
        <v>1</v>
      </c>
      <c r="L1571">
        <v>83.757575759999995</v>
      </c>
      <c r="M1571">
        <v>22.60997987</v>
      </c>
      <c r="N1571">
        <v>0.72884000000000004</v>
      </c>
      <c r="O1571">
        <v>0.21301339999999999</v>
      </c>
      <c r="P1571">
        <v>102.79166669999999</v>
      </c>
      <c r="Q1571">
        <v>27.057373470000002</v>
      </c>
      <c r="R1571">
        <v>6.3567849939999999</v>
      </c>
      <c r="S1571" t="s">
        <v>114</v>
      </c>
      <c r="T1571" t="s">
        <v>1016</v>
      </c>
      <c r="U1571">
        <v>-4.4473935999999998</v>
      </c>
    </row>
    <row r="1572" spans="1:21" x14ac:dyDescent="0.25">
      <c r="A1572" t="s">
        <v>55</v>
      </c>
      <c r="B1572" t="s">
        <v>874</v>
      </c>
      <c r="C1572">
        <v>12</v>
      </c>
      <c r="D1572" t="s">
        <v>23</v>
      </c>
      <c r="E1572" t="s">
        <v>94</v>
      </c>
      <c r="F1572" t="s">
        <v>113</v>
      </c>
      <c r="G1572" t="s">
        <v>110</v>
      </c>
      <c r="H1572" t="s">
        <v>113</v>
      </c>
      <c r="J1572">
        <v>0</v>
      </c>
      <c r="K1572">
        <v>1</v>
      </c>
      <c r="L1572">
        <v>83.757575759999995</v>
      </c>
      <c r="M1572">
        <v>22.60997987</v>
      </c>
      <c r="N1572">
        <v>0.72884000000000004</v>
      </c>
      <c r="O1572">
        <v>0.21301339999999999</v>
      </c>
      <c r="P1572">
        <v>83.757575759999995</v>
      </c>
      <c r="Q1572">
        <v>22.60997987</v>
      </c>
      <c r="R1572">
        <v>0.72884000000000004</v>
      </c>
      <c r="S1572">
        <v>0.21301339999999999</v>
      </c>
      <c r="T1572" t="s">
        <v>1016</v>
      </c>
      <c r="U1572">
        <v>0</v>
      </c>
    </row>
    <row r="1573" spans="1:21" x14ac:dyDescent="0.25">
      <c r="A1573" t="s">
        <v>55</v>
      </c>
      <c r="B1573" t="s">
        <v>875</v>
      </c>
      <c r="C1573">
        <v>12</v>
      </c>
      <c r="D1573" t="s">
        <v>23</v>
      </c>
      <c r="E1573" t="s">
        <v>94</v>
      </c>
      <c r="F1573" t="s">
        <v>110</v>
      </c>
      <c r="G1573" t="s">
        <v>103</v>
      </c>
      <c r="H1573" t="s">
        <v>114</v>
      </c>
      <c r="J1573">
        <v>0</v>
      </c>
      <c r="K1573" t="s">
        <v>114</v>
      </c>
      <c r="L1573">
        <v>73.260869569999997</v>
      </c>
      <c r="M1573">
        <v>34.453830549999999</v>
      </c>
      <c r="N1573">
        <v>1.058333333</v>
      </c>
      <c r="O1573">
        <v>0.90897070000000002</v>
      </c>
      <c r="P1573" t="s">
        <v>114</v>
      </c>
      <c r="Q1573" t="s">
        <v>114</v>
      </c>
      <c r="R1573" t="s">
        <v>114</v>
      </c>
      <c r="S1573" t="s">
        <v>114</v>
      </c>
      <c r="T1573" t="s">
        <v>1016</v>
      </c>
      <c r="U1573" t="s">
        <v>114</v>
      </c>
    </row>
    <row r="1574" spans="1:21" x14ac:dyDescent="0.25">
      <c r="A1574" t="s">
        <v>55</v>
      </c>
      <c r="B1574" t="s">
        <v>876</v>
      </c>
      <c r="C1574">
        <v>12</v>
      </c>
      <c r="D1574" t="s">
        <v>23</v>
      </c>
      <c r="E1574" t="s">
        <v>94</v>
      </c>
      <c r="F1574" t="s">
        <v>103</v>
      </c>
      <c r="G1574" t="s">
        <v>103</v>
      </c>
      <c r="H1574" t="s">
        <v>114</v>
      </c>
      <c r="J1574">
        <v>0</v>
      </c>
      <c r="K1574" t="s">
        <v>114</v>
      </c>
      <c r="L1574">
        <v>98.291666669999998</v>
      </c>
      <c r="M1574">
        <v>30.315130790000001</v>
      </c>
      <c r="N1574">
        <v>5.0803484000000003E-2</v>
      </c>
      <c r="O1574">
        <v>0.42866070000000001</v>
      </c>
      <c r="P1574" t="s">
        <v>114</v>
      </c>
      <c r="Q1574" t="s">
        <v>114</v>
      </c>
      <c r="R1574" t="s">
        <v>114</v>
      </c>
      <c r="S1574" t="s">
        <v>114</v>
      </c>
      <c r="T1574" t="s">
        <v>1016</v>
      </c>
      <c r="U1574" t="s">
        <v>114</v>
      </c>
    </row>
    <row r="1575" spans="1:21" x14ac:dyDescent="0.25">
      <c r="A1575" t="s">
        <v>55</v>
      </c>
      <c r="B1575" t="s">
        <v>877</v>
      </c>
      <c r="C1575">
        <v>12</v>
      </c>
      <c r="D1575" t="s">
        <v>23</v>
      </c>
      <c r="E1575" t="s">
        <v>94</v>
      </c>
      <c r="F1575" t="s">
        <v>111</v>
      </c>
      <c r="G1575" t="s">
        <v>113</v>
      </c>
      <c r="H1575" t="s">
        <v>113</v>
      </c>
      <c r="J1575">
        <v>0</v>
      </c>
      <c r="K1575">
        <v>2</v>
      </c>
      <c r="L1575">
        <v>94.97142857</v>
      </c>
      <c r="M1575">
        <v>24.31591813</v>
      </c>
      <c r="N1575">
        <v>0.122951111</v>
      </c>
      <c r="O1575">
        <v>0.39050790000000002</v>
      </c>
      <c r="P1575">
        <v>83.757575759999995</v>
      </c>
      <c r="Q1575">
        <v>22.60997987</v>
      </c>
      <c r="R1575">
        <v>0.72884000000000004</v>
      </c>
      <c r="S1575">
        <v>0.21301339999999999</v>
      </c>
      <c r="T1575" t="s">
        <v>1016</v>
      </c>
      <c r="U1575">
        <v>1.7059382599999999</v>
      </c>
    </row>
    <row r="1576" spans="1:21" x14ac:dyDescent="0.25">
      <c r="A1576" t="s">
        <v>55</v>
      </c>
      <c r="B1576" t="s">
        <v>877</v>
      </c>
      <c r="C1576">
        <v>12</v>
      </c>
      <c r="D1576" t="s">
        <v>23</v>
      </c>
      <c r="E1576" t="s">
        <v>94</v>
      </c>
      <c r="F1576" t="s">
        <v>111</v>
      </c>
      <c r="G1576" t="s">
        <v>113</v>
      </c>
      <c r="H1576" t="s">
        <v>113</v>
      </c>
      <c r="J1576">
        <v>0</v>
      </c>
      <c r="K1576">
        <v>2</v>
      </c>
      <c r="L1576">
        <v>94.97142857</v>
      </c>
      <c r="M1576">
        <v>24.31591813</v>
      </c>
      <c r="N1576">
        <v>0.122951111</v>
      </c>
      <c r="O1576">
        <v>0.39050790000000002</v>
      </c>
      <c r="P1576">
        <v>83.757575759999995</v>
      </c>
      <c r="Q1576">
        <v>22.60997987</v>
      </c>
      <c r="R1576">
        <v>0.72884000000000004</v>
      </c>
      <c r="S1576">
        <v>0.21301339999999999</v>
      </c>
      <c r="T1576" t="s">
        <v>1016</v>
      </c>
      <c r="U1576">
        <v>1.7059382599999999</v>
      </c>
    </row>
    <row r="1577" spans="1:21" x14ac:dyDescent="0.25">
      <c r="A1577" t="s">
        <v>55</v>
      </c>
      <c r="B1577" t="s">
        <v>877</v>
      </c>
      <c r="C1577">
        <v>12</v>
      </c>
      <c r="D1577" t="s">
        <v>23</v>
      </c>
      <c r="E1577" t="s">
        <v>94</v>
      </c>
      <c r="F1577" t="s">
        <v>111</v>
      </c>
      <c r="G1577" t="s">
        <v>113</v>
      </c>
      <c r="H1577" t="s">
        <v>797</v>
      </c>
      <c r="J1577">
        <v>0</v>
      </c>
      <c r="K1577">
        <v>1</v>
      </c>
      <c r="L1577">
        <v>94.97142857</v>
      </c>
      <c r="M1577">
        <v>24.31591813</v>
      </c>
      <c r="N1577">
        <v>0.122951111</v>
      </c>
      <c r="O1577">
        <v>0.39050790000000002</v>
      </c>
      <c r="P1577">
        <v>179.45454549999999</v>
      </c>
      <c r="Q1577">
        <v>26.326869609999999</v>
      </c>
      <c r="R1577">
        <v>2.3456094639999998</v>
      </c>
      <c r="S1577">
        <v>0.18833116</v>
      </c>
      <c r="T1577" t="s">
        <v>1016</v>
      </c>
      <c r="U1577">
        <v>-2.0109514800000001</v>
      </c>
    </row>
    <row r="1578" spans="1:21" x14ac:dyDescent="0.25">
      <c r="A1578" t="s">
        <v>56</v>
      </c>
      <c r="B1578" t="s">
        <v>878</v>
      </c>
      <c r="C1578">
        <v>12</v>
      </c>
      <c r="D1578" t="s">
        <v>25</v>
      </c>
      <c r="E1578" t="s">
        <v>94</v>
      </c>
      <c r="F1578" t="s">
        <v>113</v>
      </c>
      <c r="G1578" t="s">
        <v>113</v>
      </c>
      <c r="H1578" t="s">
        <v>113</v>
      </c>
      <c r="J1578">
        <v>0</v>
      </c>
      <c r="K1578">
        <v>3</v>
      </c>
      <c r="L1578">
        <v>83.757575759999995</v>
      </c>
      <c r="M1578">
        <v>22.60997987</v>
      </c>
      <c r="N1578">
        <v>0.72884000000000004</v>
      </c>
      <c r="O1578">
        <v>0.21301339999999999</v>
      </c>
      <c r="P1578">
        <v>83.757575759999995</v>
      </c>
      <c r="Q1578">
        <v>22.60997987</v>
      </c>
      <c r="R1578">
        <v>0.72884000000000004</v>
      </c>
      <c r="S1578">
        <v>0.21301339999999999</v>
      </c>
      <c r="T1578" t="s">
        <v>1016</v>
      </c>
      <c r="U1578">
        <v>0</v>
      </c>
    </row>
    <row r="1579" spans="1:21" x14ac:dyDescent="0.25">
      <c r="A1579" t="s">
        <v>56</v>
      </c>
      <c r="B1579" t="s">
        <v>878</v>
      </c>
      <c r="C1579">
        <v>12</v>
      </c>
      <c r="D1579" t="s">
        <v>25</v>
      </c>
      <c r="E1579" t="s">
        <v>94</v>
      </c>
      <c r="F1579" t="s">
        <v>113</v>
      </c>
      <c r="G1579" t="s">
        <v>113</v>
      </c>
      <c r="H1579" t="s">
        <v>113</v>
      </c>
      <c r="J1579">
        <v>0</v>
      </c>
      <c r="K1579">
        <v>3</v>
      </c>
      <c r="L1579">
        <v>83.757575759999995</v>
      </c>
      <c r="M1579">
        <v>22.60997987</v>
      </c>
      <c r="N1579">
        <v>0.72884000000000004</v>
      </c>
      <c r="O1579">
        <v>0.21301339999999999</v>
      </c>
      <c r="P1579">
        <v>83.757575759999995</v>
      </c>
      <c r="Q1579">
        <v>22.60997987</v>
      </c>
      <c r="R1579">
        <v>0.72884000000000004</v>
      </c>
      <c r="S1579">
        <v>0.21301339999999999</v>
      </c>
      <c r="T1579" t="s">
        <v>1016</v>
      </c>
      <c r="U1579">
        <v>0</v>
      </c>
    </row>
    <row r="1580" spans="1:21" x14ac:dyDescent="0.25">
      <c r="A1580" t="s">
        <v>56</v>
      </c>
      <c r="B1580" t="s">
        <v>878</v>
      </c>
      <c r="C1580">
        <v>12</v>
      </c>
      <c r="D1580" t="s">
        <v>25</v>
      </c>
      <c r="E1580" t="s">
        <v>94</v>
      </c>
      <c r="F1580" t="s">
        <v>113</v>
      </c>
      <c r="G1580" t="s">
        <v>113</v>
      </c>
      <c r="H1580" t="s">
        <v>113</v>
      </c>
      <c r="J1580">
        <v>0</v>
      </c>
      <c r="K1580">
        <v>3</v>
      </c>
      <c r="L1580">
        <v>83.757575759999995</v>
      </c>
      <c r="M1580">
        <v>22.60997987</v>
      </c>
      <c r="N1580">
        <v>0.72884000000000004</v>
      </c>
      <c r="O1580">
        <v>0.21301339999999999</v>
      </c>
      <c r="P1580">
        <v>83.757575759999995</v>
      </c>
      <c r="Q1580">
        <v>22.60997987</v>
      </c>
      <c r="R1580">
        <v>0.72884000000000004</v>
      </c>
      <c r="S1580">
        <v>0.21301339999999999</v>
      </c>
      <c r="T1580" t="s">
        <v>1016</v>
      </c>
      <c r="U1580">
        <v>0</v>
      </c>
    </row>
    <row r="1581" spans="1:21" x14ac:dyDescent="0.25">
      <c r="A1581" t="s">
        <v>56</v>
      </c>
      <c r="B1581" t="s">
        <v>879</v>
      </c>
      <c r="C1581">
        <v>12</v>
      </c>
      <c r="D1581" t="s">
        <v>25</v>
      </c>
      <c r="E1581" t="s">
        <v>94</v>
      </c>
      <c r="F1581" t="s">
        <v>111</v>
      </c>
      <c r="G1581" t="s">
        <v>121</v>
      </c>
      <c r="H1581" t="s">
        <v>112</v>
      </c>
      <c r="J1581">
        <v>0</v>
      </c>
      <c r="K1581">
        <v>1</v>
      </c>
      <c r="L1581">
        <v>94.97142857</v>
      </c>
      <c r="M1581">
        <v>24.31591813</v>
      </c>
      <c r="N1581">
        <v>0.122951111</v>
      </c>
      <c r="O1581">
        <v>0.39050790000000002</v>
      </c>
      <c r="P1581">
        <v>65.09375</v>
      </c>
      <c r="Q1581">
        <v>37.895352600000002</v>
      </c>
      <c r="R1581">
        <v>2.2882677779999998</v>
      </c>
      <c r="S1581">
        <v>2.2111774</v>
      </c>
      <c r="T1581" t="s">
        <v>1016</v>
      </c>
      <c r="U1581">
        <v>-13.579434470000001</v>
      </c>
    </row>
    <row r="1582" spans="1:21" x14ac:dyDescent="0.25">
      <c r="A1582" t="s">
        <v>56</v>
      </c>
      <c r="B1582" t="s">
        <v>880</v>
      </c>
      <c r="C1582">
        <v>12</v>
      </c>
      <c r="D1582" t="s">
        <v>25</v>
      </c>
      <c r="E1582" t="s">
        <v>94</v>
      </c>
      <c r="F1582" t="s">
        <v>104</v>
      </c>
      <c r="G1582" t="s">
        <v>121</v>
      </c>
      <c r="H1582" t="s">
        <v>104</v>
      </c>
      <c r="J1582">
        <v>0</v>
      </c>
      <c r="K1582">
        <v>1</v>
      </c>
      <c r="L1582">
        <v>113.9375</v>
      </c>
      <c r="M1582">
        <v>33.375507550000002</v>
      </c>
      <c r="N1582">
        <v>2.4262999999999999</v>
      </c>
      <c r="O1582">
        <v>0.40692159999999999</v>
      </c>
      <c r="P1582">
        <v>113.9375</v>
      </c>
      <c r="Q1582">
        <v>33.375507550000002</v>
      </c>
      <c r="R1582">
        <v>2.4262999999999999</v>
      </c>
      <c r="S1582">
        <v>0.40692159999999999</v>
      </c>
      <c r="T1582" t="s">
        <v>1016</v>
      </c>
      <c r="U1582">
        <v>0</v>
      </c>
    </row>
    <row r="1583" spans="1:21" x14ac:dyDescent="0.25">
      <c r="A1583" t="s">
        <v>56</v>
      </c>
      <c r="B1583" t="s">
        <v>881</v>
      </c>
      <c r="C1583">
        <v>12</v>
      </c>
      <c r="D1583" t="s">
        <v>25</v>
      </c>
      <c r="E1583" t="s">
        <v>94</v>
      </c>
      <c r="F1583" t="s">
        <v>112</v>
      </c>
      <c r="G1583" t="s">
        <v>121</v>
      </c>
      <c r="H1583" t="s">
        <v>241</v>
      </c>
      <c r="J1583">
        <v>0</v>
      </c>
      <c r="K1583">
        <v>4</v>
      </c>
      <c r="L1583">
        <v>65.09375</v>
      </c>
      <c r="M1583">
        <v>37.895352600000002</v>
      </c>
      <c r="N1583">
        <v>2.2882677779999998</v>
      </c>
      <c r="O1583">
        <v>2.2111774</v>
      </c>
      <c r="P1583">
        <v>114</v>
      </c>
      <c r="Q1583">
        <v>30.43077242</v>
      </c>
      <c r="R1583">
        <v>0.53383111100000002</v>
      </c>
      <c r="S1583">
        <v>0.28333332999999999</v>
      </c>
      <c r="T1583" t="s">
        <v>1016</v>
      </c>
      <c r="U1583">
        <v>7.4645801799999996</v>
      </c>
    </row>
    <row r="1584" spans="1:21" x14ac:dyDescent="0.25">
      <c r="A1584" t="s">
        <v>56</v>
      </c>
      <c r="B1584" t="s">
        <v>881</v>
      </c>
      <c r="C1584">
        <v>12</v>
      </c>
      <c r="D1584" t="s">
        <v>25</v>
      </c>
      <c r="E1584" t="s">
        <v>94</v>
      </c>
      <c r="F1584" t="s">
        <v>112</v>
      </c>
      <c r="G1584" t="s">
        <v>121</v>
      </c>
      <c r="H1584" t="s">
        <v>241</v>
      </c>
      <c r="J1584">
        <v>0</v>
      </c>
      <c r="K1584">
        <v>4</v>
      </c>
      <c r="L1584">
        <v>65.09375</v>
      </c>
      <c r="M1584">
        <v>37.895352600000002</v>
      </c>
      <c r="N1584">
        <v>2.2882677779999998</v>
      </c>
      <c r="O1584">
        <v>2.2111774</v>
      </c>
      <c r="P1584">
        <v>114</v>
      </c>
      <c r="Q1584">
        <v>30.43077242</v>
      </c>
      <c r="R1584">
        <v>0.53383111100000002</v>
      </c>
      <c r="S1584">
        <v>0.28333332999999999</v>
      </c>
      <c r="T1584" t="s">
        <v>1016</v>
      </c>
      <c r="U1584">
        <v>7.4645801799999996</v>
      </c>
    </row>
    <row r="1585" spans="1:21" x14ac:dyDescent="0.25">
      <c r="A1585" t="s">
        <v>56</v>
      </c>
      <c r="B1585" t="s">
        <v>881</v>
      </c>
      <c r="C1585">
        <v>12</v>
      </c>
      <c r="D1585" t="s">
        <v>25</v>
      </c>
      <c r="E1585" t="s">
        <v>94</v>
      </c>
      <c r="F1585" t="s">
        <v>112</v>
      </c>
      <c r="G1585" t="s">
        <v>121</v>
      </c>
      <c r="H1585" t="s">
        <v>241</v>
      </c>
      <c r="J1585">
        <v>0</v>
      </c>
      <c r="K1585">
        <v>4</v>
      </c>
      <c r="L1585">
        <v>65.09375</v>
      </c>
      <c r="M1585">
        <v>37.895352600000002</v>
      </c>
      <c r="N1585">
        <v>2.2882677779999998</v>
      </c>
      <c r="O1585">
        <v>2.2111774</v>
      </c>
      <c r="P1585">
        <v>114</v>
      </c>
      <c r="Q1585">
        <v>30.43077242</v>
      </c>
      <c r="R1585">
        <v>0.53383111100000002</v>
      </c>
      <c r="S1585">
        <v>0.28333332999999999</v>
      </c>
      <c r="T1585" t="s">
        <v>1016</v>
      </c>
      <c r="U1585">
        <v>7.4645801799999996</v>
      </c>
    </row>
    <row r="1586" spans="1:21" x14ac:dyDescent="0.25">
      <c r="A1586" t="s">
        <v>56</v>
      </c>
      <c r="B1586" t="s">
        <v>881</v>
      </c>
      <c r="C1586">
        <v>12</v>
      </c>
      <c r="D1586" t="s">
        <v>25</v>
      </c>
      <c r="E1586" t="s">
        <v>94</v>
      </c>
      <c r="F1586" t="s">
        <v>112</v>
      </c>
      <c r="G1586" t="s">
        <v>121</v>
      </c>
      <c r="H1586" t="s">
        <v>241</v>
      </c>
      <c r="J1586">
        <v>0</v>
      </c>
      <c r="K1586">
        <v>4</v>
      </c>
      <c r="L1586">
        <v>65.09375</v>
      </c>
      <c r="M1586">
        <v>37.895352600000002</v>
      </c>
      <c r="N1586">
        <v>2.2882677779999998</v>
      </c>
      <c r="O1586">
        <v>2.2111774</v>
      </c>
      <c r="P1586">
        <v>114</v>
      </c>
      <c r="Q1586">
        <v>30.43077242</v>
      </c>
      <c r="R1586">
        <v>0.53383111100000002</v>
      </c>
      <c r="S1586">
        <v>0.28333332999999999</v>
      </c>
      <c r="T1586" t="s">
        <v>1016</v>
      </c>
      <c r="U1586">
        <v>7.4645801799999996</v>
      </c>
    </row>
    <row r="1587" spans="1:21" x14ac:dyDescent="0.25">
      <c r="A1587" t="s">
        <v>57</v>
      </c>
      <c r="B1587" t="s">
        <v>882</v>
      </c>
      <c r="C1587">
        <v>12</v>
      </c>
      <c r="D1587" t="s">
        <v>27</v>
      </c>
      <c r="E1587" t="s">
        <v>94</v>
      </c>
      <c r="F1587" t="s">
        <v>105</v>
      </c>
      <c r="G1587" t="s">
        <v>121</v>
      </c>
      <c r="H1587" t="s">
        <v>247</v>
      </c>
      <c r="J1587">
        <v>0</v>
      </c>
      <c r="K1587">
        <v>1</v>
      </c>
      <c r="L1587">
        <v>67.5</v>
      </c>
      <c r="M1587">
        <v>47.937235809999997</v>
      </c>
      <c r="N1587">
        <v>0.41599678000000001</v>
      </c>
      <c r="O1587">
        <v>2.0950346999999998</v>
      </c>
      <c r="P1587">
        <v>65.791044779999993</v>
      </c>
      <c r="Q1587">
        <v>22.94519201</v>
      </c>
      <c r="R1587">
        <v>8.1320334999999994E-2</v>
      </c>
      <c r="S1587">
        <v>0.17285655</v>
      </c>
      <c r="T1587" t="s">
        <v>1016</v>
      </c>
      <c r="U1587">
        <v>24.992043800000001</v>
      </c>
    </row>
    <row r="1588" spans="1:21" x14ac:dyDescent="0.25">
      <c r="A1588" t="s">
        <v>57</v>
      </c>
      <c r="B1588" t="s">
        <v>882</v>
      </c>
      <c r="C1588">
        <v>12</v>
      </c>
      <c r="D1588" t="s">
        <v>27</v>
      </c>
      <c r="E1588" t="s">
        <v>94</v>
      </c>
      <c r="F1588" t="s">
        <v>105</v>
      </c>
      <c r="G1588" t="s">
        <v>121</v>
      </c>
      <c r="H1588" t="s">
        <v>103</v>
      </c>
      <c r="J1588">
        <v>0</v>
      </c>
      <c r="K1588">
        <v>1</v>
      </c>
      <c r="L1588">
        <v>67.5</v>
      </c>
      <c r="M1588">
        <v>47.937235809999997</v>
      </c>
      <c r="N1588">
        <v>0.41599678000000001</v>
      </c>
      <c r="O1588">
        <v>2.0950346999999998</v>
      </c>
      <c r="P1588">
        <v>98.291666669999998</v>
      </c>
      <c r="Q1588">
        <v>30.315130790000001</v>
      </c>
      <c r="R1588">
        <v>5.0803484000000003E-2</v>
      </c>
      <c r="S1588">
        <v>0.42866070000000001</v>
      </c>
      <c r="T1588" t="s">
        <v>1016</v>
      </c>
      <c r="U1588">
        <v>17.622105019999999</v>
      </c>
    </row>
    <row r="1589" spans="1:21" x14ac:dyDescent="0.25">
      <c r="A1589" t="s">
        <v>57</v>
      </c>
      <c r="B1589" t="s">
        <v>882</v>
      </c>
      <c r="C1589">
        <v>12</v>
      </c>
      <c r="D1589" t="s">
        <v>27</v>
      </c>
      <c r="E1589" t="s">
        <v>94</v>
      </c>
      <c r="F1589" t="s">
        <v>105</v>
      </c>
      <c r="G1589" t="s">
        <v>121</v>
      </c>
      <c r="H1589" t="s">
        <v>233</v>
      </c>
      <c r="J1589">
        <v>0</v>
      </c>
      <c r="K1589">
        <v>6</v>
      </c>
      <c r="L1589">
        <v>67.5</v>
      </c>
      <c r="M1589">
        <v>47.937235809999997</v>
      </c>
      <c r="N1589">
        <v>0.41599678000000001</v>
      </c>
      <c r="O1589">
        <v>2.0950346999999998</v>
      </c>
      <c r="P1589">
        <v>106.0540541</v>
      </c>
      <c r="Q1589">
        <v>52.690533369999997</v>
      </c>
      <c r="R1589">
        <v>7.6058968000000005E-2</v>
      </c>
      <c r="S1589">
        <v>0.44888888999999998</v>
      </c>
      <c r="T1589" t="s">
        <v>1016</v>
      </c>
      <c r="U1589">
        <v>-4.75329756</v>
      </c>
    </row>
    <row r="1590" spans="1:21" x14ac:dyDescent="0.25">
      <c r="A1590" t="s">
        <v>57</v>
      </c>
      <c r="B1590" t="s">
        <v>882</v>
      </c>
      <c r="C1590">
        <v>12</v>
      </c>
      <c r="D1590" t="s">
        <v>27</v>
      </c>
      <c r="E1590" t="s">
        <v>94</v>
      </c>
      <c r="F1590" t="s">
        <v>105</v>
      </c>
      <c r="G1590" t="s">
        <v>121</v>
      </c>
      <c r="H1590" t="s">
        <v>233</v>
      </c>
      <c r="J1590">
        <v>0</v>
      </c>
      <c r="K1590">
        <v>6</v>
      </c>
      <c r="L1590">
        <v>67.5</v>
      </c>
      <c r="M1590">
        <v>47.937235809999997</v>
      </c>
      <c r="N1590">
        <v>0.41599678000000001</v>
      </c>
      <c r="O1590">
        <v>2.0950346999999998</v>
      </c>
      <c r="P1590">
        <v>106.0540541</v>
      </c>
      <c r="Q1590">
        <v>52.690533369999997</v>
      </c>
      <c r="R1590">
        <v>7.6058968000000005E-2</v>
      </c>
      <c r="S1590">
        <v>0.44888888999999998</v>
      </c>
      <c r="T1590" t="s">
        <v>1016</v>
      </c>
      <c r="U1590">
        <v>-4.75329756</v>
      </c>
    </row>
    <row r="1591" spans="1:21" x14ac:dyDescent="0.25">
      <c r="A1591" t="s">
        <v>57</v>
      </c>
      <c r="B1591" t="s">
        <v>882</v>
      </c>
      <c r="C1591">
        <v>12</v>
      </c>
      <c r="D1591" t="s">
        <v>27</v>
      </c>
      <c r="E1591" t="s">
        <v>94</v>
      </c>
      <c r="F1591" t="s">
        <v>105</v>
      </c>
      <c r="G1591" t="s">
        <v>121</v>
      </c>
      <c r="H1591" t="s">
        <v>233</v>
      </c>
      <c r="J1591">
        <v>0</v>
      </c>
      <c r="K1591">
        <v>6</v>
      </c>
      <c r="L1591">
        <v>67.5</v>
      </c>
      <c r="M1591">
        <v>47.937235809999997</v>
      </c>
      <c r="N1591">
        <v>0.41599678000000001</v>
      </c>
      <c r="O1591">
        <v>2.0950346999999998</v>
      </c>
      <c r="P1591">
        <v>106.0540541</v>
      </c>
      <c r="Q1591">
        <v>52.690533369999997</v>
      </c>
      <c r="R1591">
        <v>7.6058968000000005E-2</v>
      </c>
      <c r="S1591">
        <v>0.44888888999999998</v>
      </c>
      <c r="T1591" t="s">
        <v>1016</v>
      </c>
      <c r="U1591">
        <v>-4.75329756</v>
      </c>
    </row>
    <row r="1592" spans="1:21" x14ac:dyDescent="0.25">
      <c r="A1592" t="s">
        <v>57</v>
      </c>
      <c r="B1592" t="s">
        <v>882</v>
      </c>
      <c r="C1592">
        <v>12</v>
      </c>
      <c r="D1592" t="s">
        <v>27</v>
      </c>
      <c r="E1592" t="s">
        <v>94</v>
      </c>
      <c r="F1592" t="s">
        <v>105</v>
      </c>
      <c r="G1592" t="s">
        <v>121</v>
      </c>
      <c r="H1592" t="s">
        <v>233</v>
      </c>
      <c r="J1592">
        <v>0</v>
      </c>
      <c r="K1592">
        <v>6</v>
      </c>
      <c r="L1592">
        <v>67.5</v>
      </c>
      <c r="M1592">
        <v>47.937235809999997</v>
      </c>
      <c r="N1592">
        <v>0.41599678000000001</v>
      </c>
      <c r="O1592">
        <v>2.0950346999999998</v>
      </c>
      <c r="P1592">
        <v>106.0540541</v>
      </c>
      <c r="Q1592">
        <v>52.690533369999997</v>
      </c>
      <c r="R1592">
        <v>7.6058968000000005E-2</v>
      </c>
      <c r="S1592">
        <v>0.44888888999999998</v>
      </c>
      <c r="T1592" t="s">
        <v>1016</v>
      </c>
      <c r="U1592">
        <v>-4.75329756</v>
      </c>
    </row>
    <row r="1593" spans="1:21" x14ac:dyDescent="0.25">
      <c r="A1593" t="s">
        <v>57</v>
      </c>
      <c r="B1593" t="s">
        <v>882</v>
      </c>
      <c r="C1593">
        <v>12</v>
      </c>
      <c r="D1593" t="s">
        <v>27</v>
      </c>
      <c r="E1593" t="s">
        <v>94</v>
      </c>
      <c r="F1593" t="s">
        <v>105</v>
      </c>
      <c r="G1593" t="s">
        <v>121</v>
      </c>
      <c r="H1593" t="s">
        <v>233</v>
      </c>
      <c r="J1593">
        <v>0</v>
      </c>
      <c r="K1593">
        <v>6</v>
      </c>
      <c r="L1593">
        <v>67.5</v>
      </c>
      <c r="M1593">
        <v>47.937235809999997</v>
      </c>
      <c r="N1593">
        <v>0.41599678000000001</v>
      </c>
      <c r="O1593">
        <v>2.0950346999999998</v>
      </c>
      <c r="P1593">
        <v>106.0540541</v>
      </c>
      <c r="Q1593">
        <v>52.690533369999997</v>
      </c>
      <c r="R1593">
        <v>7.6058968000000005E-2</v>
      </c>
      <c r="S1593">
        <v>0.44888888999999998</v>
      </c>
      <c r="T1593" t="s">
        <v>1016</v>
      </c>
      <c r="U1593">
        <v>-4.75329756</v>
      </c>
    </row>
    <row r="1594" spans="1:21" x14ac:dyDescent="0.25">
      <c r="A1594" t="s">
        <v>57</v>
      </c>
      <c r="B1594" t="s">
        <v>882</v>
      </c>
      <c r="C1594">
        <v>12</v>
      </c>
      <c r="D1594" t="s">
        <v>27</v>
      </c>
      <c r="E1594" t="s">
        <v>94</v>
      </c>
      <c r="F1594" t="s">
        <v>105</v>
      </c>
      <c r="G1594" t="s">
        <v>121</v>
      </c>
      <c r="H1594" t="s">
        <v>233</v>
      </c>
      <c r="J1594">
        <v>0</v>
      </c>
      <c r="K1594">
        <v>6</v>
      </c>
      <c r="L1594">
        <v>67.5</v>
      </c>
      <c r="M1594">
        <v>47.937235809999997</v>
      </c>
      <c r="N1594">
        <v>0.41599678000000001</v>
      </c>
      <c r="O1594">
        <v>2.0950346999999998</v>
      </c>
      <c r="P1594">
        <v>106.0540541</v>
      </c>
      <c r="Q1594">
        <v>52.690533369999997</v>
      </c>
      <c r="R1594">
        <v>7.6058968000000005E-2</v>
      </c>
      <c r="S1594">
        <v>0.44888888999999998</v>
      </c>
      <c r="T1594" t="s">
        <v>1016</v>
      </c>
      <c r="U1594">
        <v>-4.75329756</v>
      </c>
    </row>
    <row r="1595" spans="1:21" x14ac:dyDescent="0.25">
      <c r="A1595" t="s">
        <v>57</v>
      </c>
      <c r="B1595" t="s">
        <v>883</v>
      </c>
      <c r="C1595">
        <v>12</v>
      </c>
      <c r="D1595" t="s">
        <v>27</v>
      </c>
      <c r="E1595" t="s">
        <v>94</v>
      </c>
      <c r="F1595" t="s">
        <v>113</v>
      </c>
      <c r="G1595" t="s">
        <v>121</v>
      </c>
      <c r="H1595" t="s">
        <v>114</v>
      </c>
      <c r="J1595">
        <v>0</v>
      </c>
      <c r="K1595" t="s">
        <v>114</v>
      </c>
      <c r="L1595">
        <v>83.757575759999995</v>
      </c>
      <c r="M1595">
        <v>22.60997987</v>
      </c>
      <c r="N1595">
        <v>0.72884000000000004</v>
      </c>
      <c r="O1595">
        <v>0.21301339999999999</v>
      </c>
      <c r="P1595" t="s">
        <v>114</v>
      </c>
      <c r="Q1595" t="s">
        <v>114</v>
      </c>
      <c r="R1595" t="s">
        <v>114</v>
      </c>
      <c r="S1595" t="s">
        <v>114</v>
      </c>
      <c r="T1595" t="s">
        <v>1016</v>
      </c>
      <c r="U1595" t="s">
        <v>114</v>
      </c>
    </row>
    <row r="1596" spans="1:21" x14ac:dyDescent="0.25">
      <c r="A1596" t="s">
        <v>57</v>
      </c>
      <c r="B1596" t="s">
        <v>884</v>
      </c>
      <c r="C1596">
        <v>12</v>
      </c>
      <c r="D1596" t="s">
        <v>27</v>
      </c>
      <c r="E1596" t="s">
        <v>94</v>
      </c>
      <c r="F1596" t="s">
        <v>112</v>
      </c>
      <c r="G1596" t="s">
        <v>112</v>
      </c>
      <c r="H1596" t="s">
        <v>112</v>
      </c>
      <c r="J1596">
        <v>0</v>
      </c>
      <c r="K1596">
        <v>2</v>
      </c>
      <c r="L1596">
        <v>65.09375</v>
      </c>
      <c r="M1596">
        <v>37.895352600000002</v>
      </c>
      <c r="N1596">
        <v>2.2882677779999998</v>
      </c>
      <c r="O1596">
        <v>2.2111774</v>
      </c>
      <c r="P1596">
        <v>65.09375</v>
      </c>
      <c r="Q1596">
        <v>37.895352600000002</v>
      </c>
      <c r="R1596">
        <v>2.2882677779999998</v>
      </c>
      <c r="S1596">
        <v>2.2111774</v>
      </c>
      <c r="T1596" t="s">
        <v>1016</v>
      </c>
      <c r="U1596">
        <v>0</v>
      </c>
    </row>
    <row r="1597" spans="1:21" x14ac:dyDescent="0.25">
      <c r="A1597" t="s">
        <v>57</v>
      </c>
      <c r="B1597" t="s">
        <v>884</v>
      </c>
      <c r="C1597">
        <v>12</v>
      </c>
      <c r="D1597" t="s">
        <v>27</v>
      </c>
      <c r="E1597" t="s">
        <v>94</v>
      </c>
      <c r="F1597" t="s">
        <v>112</v>
      </c>
      <c r="G1597" t="s">
        <v>112</v>
      </c>
      <c r="H1597" t="s">
        <v>112</v>
      </c>
      <c r="J1597">
        <v>0</v>
      </c>
      <c r="K1597">
        <v>2</v>
      </c>
      <c r="L1597">
        <v>65.09375</v>
      </c>
      <c r="M1597">
        <v>37.895352600000002</v>
      </c>
      <c r="N1597">
        <v>2.2882677779999998</v>
      </c>
      <c r="O1597">
        <v>2.2111774</v>
      </c>
      <c r="P1597">
        <v>65.09375</v>
      </c>
      <c r="Q1597">
        <v>37.895352600000002</v>
      </c>
      <c r="R1597">
        <v>2.2882677779999998</v>
      </c>
      <c r="S1597">
        <v>2.2111774</v>
      </c>
      <c r="T1597" t="s">
        <v>1016</v>
      </c>
      <c r="U1597">
        <v>0</v>
      </c>
    </row>
    <row r="1598" spans="1:21" x14ac:dyDescent="0.25">
      <c r="A1598" t="s">
        <v>57</v>
      </c>
      <c r="B1598" t="s">
        <v>884</v>
      </c>
      <c r="C1598">
        <v>12</v>
      </c>
      <c r="D1598" t="s">
        <v>27</v>
      </c>
      <c r="E1598" t="s">
        <v>94</v>
      </c>
      <c r="F1598" t="s">
        <v>112</v>
      </c>
      <c r="G1598" t="s">
        <v>112</v>
      </c>
      <c r="H1598" t="s">
        <v>247</v>
      </c>
      <c r="J1598">
        <v>0</v>
      </c>
      <c r="K1598">
        <v>1</v>
      </c>
      <c r="L1598">
        <v>65.09375</v>
      </c>
      <c r="M1598">
        <v>37.895352600000002</v>
      </c>
      <c r="N1598">
        <v>2.2882677779999998</v>
      </c>
      <c r="O1598">
        <v>2.2111774</v>
      </c>
      <c r="P1598">
        <v>65.791044779999993</v>
      </c>
      <c r="Q1598">
        <v>22.94519201</v>
      </c>
      <c r="R1598">
        <v>8.1320334999999994E-2</v>
      </c>
      <c r="S1598">
        <v>0.17285655</v>
      </c>
      <c r="T1598" t="s">
        <v>1016</v>
      </c>
      <c r="U1598">
        <v>14.950160589999999</v>
      </c>
    </row>
    <row r="1599" spans="1:21" x14ac:dyDescent="0.25">
      <c r="A1599" t="s">
        <v>58</v>
      </c>
      <c r="B1599" t="s">
        <v>885</v>
      </c>
      <c r="C1599">
        <v>12</v>
      </c>
      <c r="D1599" t="s">
        <v>29</v>
      </c>
      <c r="E1599" t="s">
        <v>95</v>
      </c>
      <c r="F1599" t="s">
        <v>102</v>
      </c>
      <c r="G1599" t="s">
        <v>104</v>
      </c>
      <c r="H1599" t="s">
        <v>104</v>
      </c>
      <c r="J1599">
        <v>0</v>
      </c>
      <c r="K1599">
        <v>1</v>
      </c>
      <c r="L1599">
        <v>84.740740740000007</v>
      </c>
      <c r="M1599">
        <v>29.167014049999999</v>
      </c>
      <c r="N1599">
        <v>1.1169849999999999</v>
      </c>
      <c r="O1599">
        <v>1.1571499000000001</v>
      </c>
      <c r="P1599">
        <v>113.9375</v>
      </c>
      <c r="Q1599">
        <v>33.375507550000002</v>
      </c>
      <c r="R1599">
        <v>2.4262999999999999</v>
      </c>
      <c r="S1599">
        <v>0.40692159999999999</v>
      </c>
      <c r="T1599" t="s">
        <v>1016</v>
      </c>
      <c r="U1599">
        <v>-4.2084935000000003</v>
      </c>
    </row>
    <row r="1600" spans="1:21" x14ac:dyDescent="0.25">
      <c r="A1600" t="s">
        <v>58</v>
      </c>
      <c r="B1600" t="s">
        <v>885</v>
      </c>
      <c r="C1600">
        <v>12</v>
      </c>
      <c r="D1600" t="s">
        <v>29</v>
      </c>
      <c r="E1600" t="s">
        <v>95</v>
      </c>
      <c r="F1600" t="s">
        <v>102</v>
      </c>
      <c r="G1600" t="s">
        <v>104</v>
      </c>
      <c r="H1600" t="s">
        <v>246</v>
      </c>
      <c r="J1600">
        <v>0</v>
      </c>
      <c r="K1600">
        <v>1</v>
      </c>
      <c r="L1600">
        <v>84.740740740000007</v>
      </c>
      <c r="M1600">
        <v>29.167014049999999</v>
      </c>
      <c r="N1600">
        <v>1.1169849999999999</v>
      </c>
      <c r="O1600">
        <v>1.1571499000000001</v>
      </c>
      <c r="P1600">
        <v>120.25</v>
      </c>
      <c r="Q1600">
        <v>30.670450110000001</v>
      </c>
      <c r="R1600">
        <v>0.91037498500000003</v>
      </c>
      <c r="S1600" t="s">
        <v>114</v>
      </c>
      <c r="T1600" t="s">
        <v>1016</v>
      </c>
      <c r="U1600">
        <v>-1.5034360600000001</v>
      </c>
    </row>
    <row r="1601" spans="1:21" x14ac:dyDescent="0.25">
      <c r="A1601" t="s">
        <v>58</v>
      </c>
      <c r="B1601" t="s">
        <v>886</v>
      </c>
      <c r="C1601">
        <v>12</v>
      </c>
      <c r="D1601" t="s">
        <v>29</v>
      </c>
      <c r="E1601" t="s">
        <v>95</v>
      </c>
      <c r="F1601" t="s">
        <v>110</v>
      </c>
      <c r="G1601" t="s">
        <v>121</v>
      </c>
      <c r="H1601" t="s">
        <v>246</v>
      </c>
      <c r="I1601" t="s">
        <v>162</v>
      </c>
      <c r="J1601">
        <v>1</v>
      </c>
      <c r="K1601">
        <v>1</v>
      </c>
      <c r="L1601">
        <v>73.260869569999997</v>
      </c>
      <c r="M1601">
        <v>34.453830549999999</v>
      </c>
      <c r="N1601">
        <v>1.058333333</v>
      </c>
      <c r="O1601">
        <v>0.90897070000000002</v>
      </c>
      <c r="P1601">
        <v>120.25</v>
      </c>
      <c r="Q1601">
        <v>30.670450110000001</v>
      </c>
      <c r="R1601">
        <v>0.91037498500000003</v>
      </c>
      <c r="S1601" t="s">
        <v>114</v>
      </c>
      <c r="T1601" t="s">
        <v>1016</v>
      </c>
      <c r="U1601">
        <v>3.7833804400000002</v>
      </c>
    </row>
    <row r="1602" spans="1:21" x14ac:dyDescent="0.25">
      <c r="A1602" t="s">
        <v>58</v>
      </c>
      <c r="B1602" t="s">
        <v>886</v>
      </c>
      <c r="C1602">
        <v>12</v>
      </c>
      <c r="D1602" t="s">
        <v>29</v>
      </c>
      <c r="E1602" t="s">
        <v>95</v>
      </c>
      <c r="F1602" t="s">
        <v>110</v>
      </c>
      <c r="G1602" t="s">
        <v>121</v>
      </c>
      <c r="H1602" t="s">
        <v>239</v>
      </c>
      <c r="J1602">
        <v>1</v>
      </c>
      <c r="K1602">
        <v>1</v>
      </c>
      <c r="L1602">
        <v>73.260869569999997</v>
      </c>
      <c r="M1602">
        <v>34.453830549999999</v>
      </c>
      <c r="N1602">
        <v>1.058333333</v>
      </c>
      <c r="O1602">
        <v>0.90897070000000002</v>
      </c>
      <c r="P1602">
        <v>100.45454549999999</v>
      </c>
      <c r="Q1602">
        <v>26.754810689999999</v>
      </c>
      <c r="R1602">
        <v>0.75829999999999997</v>
      </c>
      <c r="S1602">
        <v>0.40907861000000001</v>
      </c>
      <c r="T1602" t="s">
        <v>1016</v>
      </c>
      <c r="U1602">
        <v>7.6990198599999999</v>
      </c>
    </row>
    <row r="1603" spans="1:21" x14ac:dyDescent="0.25">
      <c r="A1603" t="s">
        <v>58</v>
      </c>
      <c r="B1603" t="s">
        <v>887</v>
      </c>
      <c r="C1603">
        <v>12</v>
      </c>
      <c r="D1603" t="s">
        <v>29</v>
      </c>
      <c r="E1603" t="s">
        <v>95</v>
      </c>
      <c r="F1603" t="s">
        <v>103</v>
      </c>
      <c r="G1603" t="s">
        <v>121</v>
      </c>
      <c r="H1603" t="s">
        <v>249</v>
      </c>
      <c r="J1603">
        <v>0</v>
      </c>
      <c r="K1603">
        <v>1</v>
      </c>
      <c r="L1603">
        <v>98.291666669999998</v>
      </c>
      <c r="M1603">
        <v>30.315130790000001</v>
      </c>
      <c r="N1603">
        <v>5.0803484000000003E-2</v>
      </c>
      <c r="O1603">
        <v>0.42866070000000001</v>
      </c>
      <c r="P1603">
        <v>81.666666669999998</v>
      </c>
      <c r="Q1603">
        <v>48.056268459999998</v>
      </c>
      <c r="R1603">
        <v>0.120291364</v>
      </c>
      <c r="S1603" t="s">
        <v>114</v>
      </c>
      <c r="T1603" t="s">
        <v>1016</v>
      </c>
      <c r="U1603">
        <v>-17.741137670000001</v>
      </c>
    </row>
    <row r="1604" spans="1:21" x14ac:dyDescent="0.25">
      <c r="A1604" t="s">
        <v>58</v>
      </c>
      <c r="B1604" t="s">
        <v>887</v>
      </c>
      <c r="C1604">
        <v>12</v>
      </c>
      <c r="D1604" t="s">
        <v>29</v>
      </c>
      <c r="E1604" t="s">
        <v>95</v>
      </c>
      <c r="F1604" t="s">
        <v>103</v>
      </c>
      <c r="G1604" t="s">
        <v>121</v>
      </c>
      <c r="H1604" t="s">
        <v>238</v>
      </c>
      <c r="J1604">
        <v>0</v>
      </c>
      <c r="K1604">
        <v>1</v>
      </c>
      <c r="L1604">
        <v>98.291666669999998</v>
      </c>
      <c r="M1604">
        <v>30.315130790000001</v>
      </c>
      <c r="N1604">
        <v>5.0803484000000003E-2</v>
      </c>
      <c r="O1604">
        <v>0.42866070000000001</v>
      </c>
      <c r="P1604">
        <v>87.5</v>
      </c>
      <c r="Q1604">
        <v>29.478311600000001</v>
      </c>
      <c r="R1604">
        <v>3.0797751000000002E-2</v>
      </c>
      <c r="S1604">
        <v>0.12931835</v>
      </c>
      <c r="T1604" t="s">
        <v>1016</v>
      </c>
      <c r="U1604">
        <v>0.83681919000000005</v>
      </c>
    </row>
    <row r="1605" spans="1:21" x14ac:dyDescent="0.25">
      <c r="A1605" t="s">
        <v>59</v>
      </c>
      <c r="B1605" t="s">
        <v>888</v>
      </c>
      <c r="C1605">
        <v>12</v>
      </c>
      <c r="D1605" t="s">
        <v>31</v>
      </c>
      <c r="E1605" t="s">
        <v>94</v>
      </c>
      <c r="F1605" t="s">
        <v>105</v>
      </c>
      <c r="G1605" t="s">
        <v>121</v>
      </c>
      <c r="H1605" t="s">
        <v>241</v>
      </c>
      <c r="J1605">
        <v>0</v>
      </c>
      <c r="K1605">
        <v>1</v>
      </c>
      <c r="L1605">
        <v>67.5</v>
      </c>
      <c r="M1605">
        <v>47.937235809999997</v>
      </c>
      <c r="N1605">
        <v>0.41599678000000001</v>
      </c>
      <c r="O1605">
        <v>2.0950346999999998</v>
      </c>
      <c r="P1605">
        <v>114</v>
      </c>
      <c r="Q1605">
        <v>30.43077242</v>
      </c>
      <c r="R1605">
        <v>0.53383111100000002</v>
      </c>
      <c r="S1605">
        <v>0.28333332999999999</v>
      </c>
      <c r="T1605" t="s">
        <v>1016</v>
      </c>
      <c r="U1605">
        <v>17.50646339</v>
      </c>
    </row>
    <row r="1606" spans="1:21" x14ac:dyDescent="0.25">
      <c r="A1606" t="s">
        <v>59</v>
      </c>
      <c r="B1606" t="s">
        <v>889</v>
      </c>
      <c r="C1606">
        <v>12</v>
      </c>
      <c r="D1606" t="s">
        <v>31</v>
      </c>
      <c r="E1606" t="s">
        <v>94</v>
      </c>
      <c r="F1606" t="s">
        <v>110</v>
      </c>
      <c r="G1606" t="s">
        <v>121</v>
      </c>
      <c r="H1606" t="s">
        <v>241</v>
      </c>
      <c r="J1606">
        <v>0</v>
      </c>
      <c r="K1606">
        <v>2</v>
      </c>
      <c r="L1606">
        <v>73.260869569999997</v>
      </c>
      <c r="M1606">
        <v>34.453830549999999</v>
      </c>
      <c r="N1606">
        <v>1.058333333</v>
      </c>
      <c r="O1606">
        <v>0.90897070000000002</v>
      </c>
      <c r="P1606">
        <v>114</v>
      </c>
      <c r="Q1606">
        <v>30.43077242</v>
      </c>
      <c r="R1606">
        <v>0.53383111100000002</v>
      </c>
      <c r="S1606">
        <v>0.28333332999999999</v>
      </c>
      <c r="T1606" t="s">
        <v>1016</v>
      </c>
      <c r="U1606">
        <v>4.0230581299999999</v>
      </c>
    </row>
    <row r="1607" spans="1:21" x14ac:dyDescent="0.25">
      <c r="A1607" t="s">
        <v>59</v>
      </c>
      <c r="B1607" t="s">
        <v>889</v>
      </c>
      <c r="C1607">
        <v>12</v>
      </c>
      <c r="D1607" t="s">
        <v>31</v>
      </c>
      <c r="E1607" t="s">
        <v>94</v>
      </c>
      <c r="F1607" t="s">
        <v>110</v>
      </c>
      <c r="G1607" t="s">
        <v>121</v>
      </c>
      <c r="H1607" t="s">
        <v>241</v>
      </c>
      <c r="J1607">
        <v>0</v>
      </c>
      <c r="K1607">
        <v>2</v>
      </c>
      <c r="L1607">
        <v>73.260869569999997</v>
      </c>
      <c r="M1607">
        <v>34.453830549999999</v>
      </c>
      <c r="N1607">
        <v>1.058333333</v>
      </c>
      <c r="O1607">
        <v>0.90897070000000002</v>
      </c>
      <c r="P1607">
        <v>114</v>
      </c>
      <c r="Q1607">
        <v>30.43077242</v>
      </c>
      <c r="R1607">
        <v>0.53383111100000002</v>
      </c>
      <c r="S1607">
        <v>0.28333332999999999</v>
      </c>
      <c r="T1607" t="s">
        <v>1016</v>
      </c>
      <c r="U1607">
        <v>4.0230581299999999</v>
      </c>
    </row>
    <row r="1608" spans="1:21" x14ac:dyDescent="0.25">
      <c r="A1608" t="s">
        <v>60</v>
      </c>
      <c r="B1608" t="s">
        <v>890</v>
      </c>
      <c r="C1608">
        <v>12</v>
      </c>
      <c r="D1608" t="s">
        <v>33</v>
      </c>
      <c r="E1608" t="s">
        <v>95</v>
      </c>
      <c r="F1608" t="s">
        <v>102</v>
      </c>
      <c r="G1608" t="s">
        <v>104</v>
      </c>
      <c r="H1608" t="s">
        <v>104</v>
      </c>
      <c r="J1608">
        <v>0</v>
      </c>
      <c r="K1608">
        <v>1</v>
      </c>
      <c r="L1608">
        <v>84.740740740000007</v>
      </c>
      <c r="M1608">
        <v>29.167014049999999</v>
      </c>
      <c r="N1608">
        <v>1.1169849999999999</v>
      </c>
      <c r="O1608">
        <v>1.1571499000000001</v>
      </c>
      <c r="P1608">
        <v>113.9375</v>
      </c>
      <c r="Q1608">
        <v>33.375507550000002</v>
      </c>
      <c r="R1608">
        <v>2.4262999999999999</v>
      </c>
      <c r="S1608">
        <v>0.40692159999999999</v>
      </c>
      <c r="T1608" t="s">
        <v>1016</v>
      </c>
      <c r="U1608">
        <v>-4.2084935000000003</v>
      </c>
    </row>
    <row r="1609" spans="1:21" x14ac:dyDescent="0.25">
      <c r="A1609" t="s">
        <v>60</v>
      </c>
      <c r="B1609" t="s">
        <v>891</v>
      </c>
      <c r="C1609">
        <v>12</v>
      </c>
      <c r="D1609" t="s">
        <v>33</v>
      </c>
      <c r="E1609" t="s">
        <v>95</v>
      </c>
      <c r="F1609" t="s">
        <v>110</v>
      </c>
      <c r="G1609" t="s">
        <v>121</v>
      </c>
      <c r="H1609" t="s">
        <v>241</v>
      </c>
      <c r="J1609">
        <v>0</v>
      </c>
      <c r="K1609">
        <v>2</v>
      </c>
      <c r="L1609">
        <v>73.260869569999997</v>
      </c>
      <c r="M1609">
        <v>34.453830549999999</v>
      </c>
      <c r="N1609">
        <v>1.058333333</v>
      </c>
      <c r="O1609">
        <v>0.90897070000000002</v>
      </c>
      <c r="P1609">
        <v>114</v>
      </c>
      <c r="Q1609">
        <v>30.43077242</v>
      </c>
      <c r="R1609">
        <v>0.53383111100000002</v>
      </c>
      <c r="S1609">
        <v>0.28333332999999999</v>
      </c>
      <c r="T1609" t="s">
        <v>1016</v>
      </c>
      <c r="U1609">
        <v>4.0230581299999999</v>
      </c>
    </row>
    <row r="1610" spans="1:21" x14ac:dyDescent="0.25">
      <c r="A1610" t="s">
        <v>60</v>
      </c>
      <c r="B1610" t="s">
        <v>891</v>
      </c>
      <c r="C1610">
        <v>12</v>
      </c>
      <c r="D1610" t="s">
        <v>33</v>
      </c>
      <c r="E1610" t="s">
        <v>95</v>
      </c>
      <c r="F1610" t="s">
        <v>110</v>
      </c>
      <c r="G1610" t="s">
        <v>121</v>
      </c>
      <c r="H1610" t="s">
        <v>241</v>
      </c>
      <c r="J1610">
        <v>0</v>
      </c>
      <c r="K1610">
        <v>2</v>
      </c>
      <c r="L1610">
        <v>73.260869569999997</v>
      </c>
      <c r="M1610">
        <v>34.453830549999999</v>
      </c>
      <c r="N1610">
        <v>1.058333333</v>
      </c>
      <c r="O1610">
        <v>0.90897070000000002</v>
      </c>
      <c r="P1610">
        <v>114</v>
      </c>
      <c r="Q1610">
        <v>30.43077242</v>
      </c>
      <c r="R1610">
        <v>0.53383111100000002</v>
      </c>
      <c r="S1610">
        <v>0.28333332999999999</v>
      </c>
      <c r="T1610" t="s">
        <v>1016</v>
      </c>
      <c r="U1610">
        <v>4.0230581299999999</v>
      </c>
    </row>
    <row r="1611" spans="1:21" x14ac:dyDescent="0.25">
      <c r="A1611" t="s">
        <v>60</v>
      </c>
      <c r="B1611" t="s">
        <v>891</v>
      </c>
      <c r="C1611">
        <v>12</v>
      </c>
      <c r="D1611" t="s">
        <v>33</v>
      </c>
      <c r="E1611" t="s">
        <v>95</v>
      </c>
      <c r="F1611" t="s">
        <v>110</v>
      </c>
      <c r="G1611" t="s">
        <v>121</v>
      </c>
      <c r="H1611" t="s">
        <v>246</v>
      </c>
      <c r="J1611">
        <v>0</v>
      </c>
      <c r="K1611">
        <v>2</v>
      </c>
      <c r="L1611">
        <v>73.260869569999997</v>
      </c>
      <c r="M1611">
        <v>34.453830549999999</v>
      </c>
      <c r="N1611">
        <v>1.058333333</v>
      </c>
      <c r="O1611">
        <v>0.90897070000000002</v>
      </c>
      <c r="P1611">
        <v>120.25</v>
      </c>
      <c r="Q1611">
        <v>30.670450110000001</v>
      </c>
      <c r="R1611">
        <v>0.91037498500000003</v>
      </c>
      <c r="S1611" t="s">
        <v>114</v>
      </c>
      <c r="T1611" t="s">
        <v>1016</v>
      </c>
      <c r="U1611">
        <v>3.7833804400000002</v>
      </c>
    </row>
    <row r="1612" spans="1:21" x14ac:dyDescent="0.25">
      <c r="A1612" t="s">
        <v>60</v>
      </c>
      <c r="B1612" t="s">
        <v>891</v>
      </c>
      <c r="C1612">
        <v>12</v>
      </c>
      <c r="D1612" t="s">
        <v>33</v>
      </c>
      <c r="E1612" t="s">
        <v>95</v>
      </c>
      <c r="F1612" t="s">
        <v>110</v>
      </c>
      <c r="G1612" t="s">
        <v>121</v>
      </c>
      <c r="H1612" t="s">
        <v>246</v>
      </c>
      <c r="J1612">
        <v>0</v>
      </c>
      <c r="K1612">
        <v>2</v>
      </c>
      <c r="L1612">
        <v>73.260869569999997</v>
      </c>
      <c r="M1612">
        <v>34.453830549999999</v>
      </c>
      <c r="N1612">
        <v>1.058333333</v>
      </c>
      <c r="O1612">
        <v>0.90897070000000002</v>
      </c>
      <c r="P1612">
        <v>120.25</v>
      </c>
      <c r="Q1612">
        <v>30.670450110000001</v>
      </c>
      <c r="R1612">
        <v>0.91037498500000003</v>
      </c>
      <c r="S1612" t="s">
        <v>114</v>
      </c>
      <c r="T1612" t="s">
        <v>1016</v>
      </c>
      <c r="U1612">
        <v>3.7833804400000002</v>
      </c>
    </row>
    <row r="1613" spans="1:21" x14ac:dyDescent="0.25">
      <c r="A1613" t="s">
        <v>60</v>
      </c>
      <c r="B1613" t="s">
        <v>892</v>
      </c>
      <c r="C1613">
        <v>12</v>
      </c>
      <c r="D1613" t="s">
        <v>33</v>
      </c>
      <c r="E1613" t="s">
        <v>95</v>
      </c>
      <c r="F1613" t="s">
        <v>104</v>
      </c>
      <c r="G1613" t="s">
        <v>104</v>
      </c>
      <c r="H1613" t="s">
        <v>104</v>
      </c>
      <c r="J1613">
        <v>0</v>
      </c>
      <c r="K1613">
        <v>1</v>
      </c>
      <c r="L1613">
        <v>113.9375</v>
      </c>
      <c r="M1613">
        <v>33.375507550000002</v>
      </c>
      <c r="N1613">
        <v>2.4262999999999999</v>
      </c>
      <c r="O1613">
        <v>0.40692159999999999</v>
      </c>
      <c r="P1613">
        <v>113.9375</v>
      </c>
      <c r="Q1613">
        <v>33.375507550000002</v>
      </c>
      <c r="R1613">
        <v>2.4262999999999999</v>
      </c>
      <c r="S1613">
        <v>0.40692159999999999</v>
      </c>
      <c r="T1613" t="s">
        <v>1016</v>
      </c>
      <c r="U1613">
        <v>0</v>
      </c>
    </row>
    <row r="1614" spans="1:21" x14ac:dyDescent="0.25">
      <c r="A1614" t="s">
        <v>60</v>
      </c>
      <c r="B1614" t="s">
        <v>892</v>
      </c>
      <c r="C1614">
        <v>12</v>
      </c>
      <c r="D1614" t="s">
        <v>33</v>
      </c>
      <c r="E1614" t="s">
        <v>95</v>
      </c>
      <c r="F1614" t="s">
        <v>104</v>
      </c>
      <c r="G1614" t="s">
        <v>104</v>
      </c>
      <c r="H1614" t="s">
        <v>246</v>
      </c>
      <c r="J1614">
        <v>0</v>
      </c>
      <c r="K1614">
        <v>2</v>
      </c>
      <c r="L1614">
        <v>113.9375</v>
      </c>
      <c r="M1614">
        <v>33.375507550000002</v>
      </c>
      <c r="N1614">
        <v>2.4262999999999999</v>
      </c>
      <c r="O1614">
        <v>0.40692159999999999</v>
      </c>
      <c r="P1614">
        <v>120.25</v>
      </c>
      <c r="Q1614">
        <v>30.670450110000001</v>
      </c>
      <c r="R1614">
        <v>0.91037498500000003</v>
      </c>
      <c r="S1614" t="s">
        <v>114</v>
      </c>
      <c r="T1614" t="s">
        <v>1016</v>
      </c>
      <c r="U1614">
        <v>2.70505744</v>
      </c>
    </row>
    <row r="1615" spans="1:21" x14ac:dyDescent="0.25">
      <c r="A1615" t="s">
        <v>60</v>
      </c>
      <c r="B1615" t="s">
        <v>892</v>
      </c>
      <c r="C1615">
        <v>12</v>
      </c>
      <c r="D1615" t="s">
        <v>33</v>
      </c>
      <c r="E1615" t="s">
        <v>95</v>
      </c>
      <c r="F1615" t="s">
        <v>104</v>
      </c>
      <c r="G1615" t="s">
        <v>104</v>
      </c>
      <c r="H1615" t="s">
        <v>246</v>
      </c>
      <c r="J1615">
        <v>0</v>
      </c>
      <c r="K1615">
        <v>2</v>
      </c>
      <c r="L1615">
        <v>113.9375</v>
      </c>
      <c r="M1615">
        <v>33.375507550000002</v>
      </c>
      <c r="N1615">
        <v>2.4262999999999999</v>
      </c>
      <c r="O1615">
        <v>0.40692159999999999</v>
      </c>
      <c r="P1615">
        <v>120.25</v>
      </c>
      <c r="Q1615">
        <v>30.670450110000001</v>
      </c>
      <c r="R1615">
        <v>0.91037498500000003</v>
      </c>
      <c r="S1615" t="s">
        <v>114</v>
      </c>
      <c r="T1615" t="s">
        <v>1016</v>
      </c>
      <c r="U1615">
        <v>2.70505744</v>
      </c>
    </row>
    <row r="1616" spans="1:21" x14ac:dyDescent="0.25">
      <c r="A1616" t="s">
        <v>60</v>
      </c>
      <c r="B1616" t="s">
        <v>892</v>
      </c>
      <c r="C1616">
        <v>12</v>
      </c>
      <c r="D1616" t="s">
        <v>33</v>
      </c>
      <c r="E1616" t="s">
        <v>95</v>
      </c>
      <c r="F1616" t="s">
        <v>104</v>
      </c>
      <c r="G1616" t="s">
        <v>104</v>
      </c>
      <c r="H1616" t="s">
        <v>797</v>
      </c>
      <c r="J1616">
        <v>0</v>
      </c>
      <c r="K1616">
        <v>1</v>
      </c>
      <c r="L1616">
        <v>113.9375</v>
      </c>
      <c r="M1616">
        <v>33.375507550000002</v>
      </c>
      <c r="N1616">
        <v>2.4262999999999999</v>
      </c>
      <c r="O1616">
        <v>0.40692159999999999</v>
      </c>
      <c r="P1616">
        <v>179.45454549999999</v>
      </c>
      <c r="Q1616">
        <v>26.326869609999999</v>
      </c>
      <c r="R1616">
        <v>2.3456094639999998</v>
      </c>
      <c r="S1616">
        <v>0.18833116</v>
      </c>
      <c r="T1616" t="s">
        <v>1016</v>
      </c>
      <c r="U1616">
        <v>7.0486379399999999</v>
      </c>
    </row>
    <row r="1617" spans="1:21" x14ac:dyDescent="0.25">
      <c r="A1617" t="s">
        <v>60</v>
      </c>
      <c r="B1617" t="s">
        <v>892</v>
      </c>
      <c r="C1617">
        <v>12</v>
      </c>
      <c r="D1617" t="s">
        <v>33</v>
      </c>
      <c r="E1617" t="s">
        <v>95</v>
      </c>
      <c r="F1617" t="s">
        <v>104</v>
      </c>
      <c r="G1617" t="s">
        <v>104</v>
      </c>
      <c r="H1617" t="s">
        <v>247</v>
      </c>
      <c r="J1617">
        <v>0</v>
      </c>
      <c r="K1617">
        <v>1</v>
      </c>
      <c r="L1617">
        <v>113.9375</v>
      </c>
      <c r="M1617">
        <v>33.375507550000002</v>
      </c>
      <c r="N1617">
        <v>2.4262999999999999</v>
      </c>
      <c r="O1617">
        <v>0.40692159999999999</v>
      </c>
      <c r="P1617">
        <v>65.791044779999993</v>
      </c>
      <c r="Q1617">
        <v>22.94519201</v>
      </c>
      <c r="R1617">
        <v>8.1320334999999994E-2</v>
      </c>
      <c r="S1617">
        <v>0.17285655</v>
      </c>
      <c r="T1617" t="s">
        <v>1016</v>
      </c>
      <c r="U1617">
        <v>10.43031554</v>
      </c>
    </row>
    <row r="1618" spans="1:21" x14ac:dyDescent="0.25">
      <c r="A1618" t="s">
        <v>60</v>
      </c>
      <c r="B1618" t="s">
        <v>893</v>
      </c>
      <c r="C1618">
        <v>12</v>
      </c>
      <c r="D1618" t="s">
        <v>33</v>
      </c>
      <c r="E1618" t="s">
        <v>95</v>
      </c>
      <c r="F1618" t="s">
        <v>112</v>
      </c>
      <c r="G1618" t="s">
        <v>121</v>
      </c>
      <c r="H1618" t="s">
        <v>114</v>
      </c>
      <c r="J1618">
        <v>0</v>
      </c>
      <c r="K1618">
        <v>0</v>
      </c>
      <c r="L1618">
        <v>65.09375</v>
      </c>
      <c r="M1618">
        <v>37.895352600000002</v>
      </c>
      <c r="N1618">
        <v>2.2882677779999998</v>
      </c>
      <c r="O1618">
        <v>2.2111774</v>
      </c>
      <c r="P1618" t="s">
        <v>114</v>
      </c>
      <c r="Q1618" t="s">
        <v>114</v>
      </c>
      <c r="R1618" t="s">
        <v>114</v>
      </c>
      <c r="S1618" t="s">
        <v>114</v>
      </c>
      <c r="T1618" t="s">
        <v>1016</v>
      </c>
      <c r="U1618" t="s">
        <v>114</v>
      </c>
    </row>
    <row r="1619" spans="1:21" x14ac:dyDescent="0.25">
      <c r="A1619" t="s">
        <v>61</v>
      </c>
      <c r="B1619" t="s">
        <v>894</v>
      </c>
      <c r="C1619">
        <v>12</v>
      </c>
      <c r="D1619" t="s">
        <v>35</v>
      </c>
      <c r="E1619" t="s">
        <v>94</v>
      </c>
      <c r="F1619" t="s">
        <v>102</v>
      </c>
      <c r="G1619" t="s">
        <v>121</v>
      </c>
      <c r="H1619" t="s">
        <v>162</v>
      </c>
      <c r="J1619">
        <v>1</v>
      </c>
      <c r="K1619">
        <v>1</v>
      </c>
      <c r="L1619">
        <v>84.740740740000007</v>
      </c>
      <c r="M1619">
        <v>29.167014049999999</v>
      </c>
      <c r="N1619">
        <v>1.1169849999999999</v>
      </c>
      <c r="O1619">
        <v>1.1571499000000001</v>
      </c>
      <c r="P1619">
        <v>82.53846154</v>
      </c>
      <c r="Q1619">
        <v>35.660530039999998</v>
      </c>
      <c r="R1619">
        <v>3.3754499999999998</v>
      </c>
      <c r="S1619" t="s">
        <v>114</v>
      </c>
      <c r="T1619" t="s">
        <v>1016</v>
      </c>
      <c r="U1619">
        <v>-6.4935159899999997</v>
      </c>
    </row>
    <row r="1620" spans="1:21" x14ac:dyDescent="0.25">
      <c r="A1620" t="s">
        <v>61</v>
      </c>
      <c r="B1620" t="s">
        <v>895</v>
      </c>
      <c r="C1620">
        <v>12</v>
      </c>
      <c r="D1620" t="s">
        <v>35</v>
      </c>
      <c r="E1620" t="s">
        <v>94</v>
      </c>
      <c r="F1620" t="s">
        <v>110</v>
      </c>
      <c r="G1620" t="s">
        <v>121</v>
      </c>
      <c r="H1620" t="s">
        <v>162</v>
      </c>
      <c r="J1620">
        <v>0</v>
      </c>
      <c r="K1620">
        <v>1</v>
      </c>
      <c r="L1620">
        <v>73.260869569999997</v>
      </c>
      <c r="M1620">
        <v>34.453830549999999</v>
      </c>
      <c r="N1620">
        <v>1.058333333</v>
      </c>
      <c r="O1620">
        <v>0.90897070000000002</v>
      </c>
      <c r="P1620">
        <v>82.53846154</v>
      </c>
      <c r="Q1620">
        <v>35.660530039999998</v>
      </c>
      <c r="R1620">
        <v>3.3754499999999998</v>
      </c>
      <c r="S1620" t="s">
        <v>114</v>
      </c>
      <c r="T1620" t="s">
        <v>1016</v>
      </c>
      <c r="U1620">
        <v>-1.2066994900000001</v>
      </c>
    </row>
    <row r="1621" spans="1:21" x14ac:dyDescent="0.25">
      <c r="A1621" t="s">
        <v>61</v>
      </c>
      <c r="B1621" t="s">
        <v>895</v>
      </c>
      <c r="C1621">
        <v>12</v>
      </c>
      <c r="D1621" t="s">
        <v>35</v>
      </c>
      <c r="E1621" t="s">
        <v>94</v>
      </c>
      <c r="F1621" t="s">
        <v>110</v>
      </c>
      <c r="G1621" t="s">
        <v>121</v>
      </c>
      <c r="H1621" t="s">
        <v>102</v>
      </c>
      <c r="J1621">
        <v>0</v>
      </c>
      <c r="K1621">
        <v>1</v>
      </c>
      <c r="L1621">
        <v>73.260869569999997</v>
      </c>
      <c r="M1621">
        <v>34.453830549999999</v>
      </c>
      <c r="N1621">
        <v>1.058333333</v>
      </c>
      <c r="O1621">
        <v>0.90897070000000002</v>
      </c>
      <c r="P1621">
        <v>84.740740740000007</v>
      </c>
      <c r="Q1621">
        <v>29.167014049999999</v>
      </c>
      <c r="R1621">
        <v>1.1169849999999999</v>
      </c>
      <c r="S1621">
        <v>1.1571499000000001</v>
      </c>
      <c r="T1621" t="s">
        <v>1016</v>
      </c>
      <c r="U1621">
        <v>5.2868164999999996</v>
      </c>
    </row>
    <row r="1622" spans="1:21" x14ac:dyDescent="0.25">
      <c r="A1622" t="s">
        <v>61</v>
      </c>
      <c r="B1622" t="s">
        <v>896</v>
      </c>
      <c r="C1622">
        <v>12</v>
      </c>
      <c r="D1622" t="s">
        <v>35</v>
      </c>
      <c r="E1622" t="s">
        <v>94</v>
      </c>
      <c r="F1622" t="s">
        <v>112</v>
      </c>
      <c r="G1622" t="s">
        <v>121</v>
      </c>
      <c r="H1622" t="s">
        <v>162</v>
      </c>
      <c r="J1622">
        <v>0</v>
      </c>
      <c r="K1622">
        <v>1</v>
      </c>
      <c r="L1622">
        <v>65.09375</v>
      </c>
      <c r="M1622">
        <v>37.895352600000002</v>
      </c>
      <c r="N1622">
        <v>2.2882677779999998</v>
      </c>
      <c r="O1622">
        <v>2.2111774</v>
      </c>
      <c r="P1622">
        <v>82.53846154</v>
      </c>
      <c r="Q1622">
        <v>35.660530039999998</v>
      </c>
      <c r="R1622">
        <v>3.3754499999999998</v>
      </c>
      <c r="S1622" t="s">
        <v>114</v>
      </c>
      <c r="T1622" t="s">
        <v>1016</v>
      </c>
      <c r="U1622">
        <v>2.23482256</v>
      </c>
    </row>
    <row r="1623" spans="1:21" x14ac:dyDescent="0.25">
      <c r="A1623" t="s">
        <v>62</v>
      </c>
      <c r="B1623" t="s">
        <v>897</v>
      </c>
      <c r="C1623">
        <v>12</v>
      </c>
      <c r="D1623" t="s">
        <v>37</v>
      </c>
      <c r="E1623" t="s">
        <v>95</v>
      </c>
      <c r="F1623" t="s">
        <v>102</v>
      </c>
      <c r="G1623" t="s">
        <v>121</v>
      </c>
      <c r="H1623" t="s">
        <v>114</v>
      </c>
      <c r="J1623">
        <v>0</v>
      </c>
      <c r="K1623">
        <v>0</v>
      </c>
      <c r="L1623">
        <v>84.740740740000007</v>
      </c>
      <c r="M1623">
        <v>29.167014049999999</v>
      </c>
      <c r="N1623">
        <v>1.1169849999999999</v>
      </c>
      <c r="O1623">
        <v>1.1571499000000001</v>
      </c>
      <c r="P1623" t="s">
        <v>114</v>
      </c>
      <c r="Q1623" t="s">
        <v>114</v>
      </c>
      <c r="R1623" t="s">
        <v>114</v>
      </c>
      <c r="S1623" t="s">
        <v>114</v>
      </c>
      <c r="T1623" t="s">
        <v>1016</v>
      </c>
      <c r="U1623" t="s">
        <v>114</v>
      </c>
    </row>
    <row r="1624" spans="1:21" x14ac:dyDescent="0.25">
      <c r="A1624" t="s">
        <v>62</v>
      </c>
      <c r="B1624" t="s">
        <v>898</v>
      </c>
      <c r="C1624">
        <v>12</v>
      </c>
      <c r="D1624" t="s">
        <v>37</v>
      </c>
      <c r="E1624" t="s">
        <v>95</v>
      </c>
      <c r="F1624" t="s">
        <v>103</v>
      </c>
      <c r="G1624" t="s">
        <v>121</v>
      </c>
      <c r="H1624" t="s">
        <v>233</v>
      </c>
      <c r="J1624">
        <v>0</v>
      </c>
      <c r="K1624">
        <v>1</v>
      </c>
      <c r="L1624">
        <v>98.291666669999998</v>
      </c>
      <c r="M1624">
        <v>30.315130790000001</v>
      </c>
      <c r="N1624">
        <v>5.0803484000000003E-2</v>
      </c>
      <c r="O1624">
        <v>0.42866070000000001</v>
      </c>
      <c r="P1624">
        <v>106.0540541</v>
      </c>
      <c r="Q1624">
        <v>52.690533369999997</v>
      </c>
      <c r="R1624">
        <v>7.6058968000000005E-2</v>
      </c>
      <c r="S1624">
        <v>0.44888888999999998</v>
      </c>
      <c r="T1624" t="s">
        <v>1016</v>
      </c>
      <c r="U1624">
        <v>-22.375402579999999</v>
      </c>
    </row>
    <row r="1625" spans="1:21" x14ac:dyDescent="0.25">
      <c r="A1625" t="s">
        <v>62</v>
      </c>
      <c r="B1625" t="s">
        <v>898</v>
      </c>
      <c r="C1625">
        <v>12</v>
      </c>
      <c r="D1625" t="s">
        <v>37</v>
      </c>
      <c r="E1625" t="s">
        <v>95</v>
      </c>
      <c r="F1625" t="s">
        <v>103</v>
      </c>
      <c r="G1625" t="s">
        <v>121</v>
      </c>
      <c r="H1625" t="s">
        <v>234</v>
      </c>
      <c r="J1625">
        <v>0</v>
      </c>
      <c r="K1625">
        <v>1</v>
      </c>
      <c r="L1625">
        <v>98.291666669999998</v>
      </c>
      <c r="M1625">
        <v>30.315130790000001</v>
      </c>
      <c r="N1625">
        <v>5.0803484000000003E-2</v>
      </c>
      <c r="O1625">
        <v>0.42866070000000001</v>
      </c>
      <c r="P1625">
        <v>89.8125</v>
      </c>
      <c r="Q1625">
        <v>34.754706650000003</v>
      </c>
      <c r="R1625">
        <v>2.3065078999999999E-2</v>
      </c>
      <c r="S1625">
        <v>2.4791666700000001</v>
      </c>
      <c r="T1625" t="s">
        <v>1016</v>
      </c>
      <c r="U1625">
        <v>-4.4395758599999997</v>
      </c>
    </row>
    <row r="1626" spans="1:21" x14ac:dyDescent="0.25">
      <c r="A1626" t="s">
        <v>62</v>
      </c>
      <c r="B1626" t="s">
        <v>898</v>
      </c>
      <c r="C1626">
        <v>12</v>
      </c>
      <c r="D1626" t="s">
        <v>37</v>
      </c>
      <c r="E1626" t="s">
        <v>95</v>
      </c>
      <c r="F1626" t="s">
        <v>103</v>
      </c>
      <c r="G1626" t="s">
        <v>121</v>
      </c>
      <c r="H1626" t="s">
        <v>241</v>
      </c>
      <c r="J1626">
        <v>0</v>
      </c>
      <c r="K1626">
        <v>1</v>
      </c>
      <c r="L1626">
        <v>98.291666669999998</v>
      </c>
      <c r="M1626">
        <v>30.315130790000001</v>
      </c>
      <c r="N1626">
        <v>5.0803484000000003E-2</v>
      </c>
      <c r="O1626">
        <v>0.42866070000000001</v>
      </c>
      <c r="P1626">
        <v>114</v>
      </c>
      <c r="Q1626">
        <v>30.43077242</v>
      </c>
      <c r="R1626">
        <v>0.53383111100000002</v>
      </c>
      <c r="S1626">
        <v>0.28333332999999999</v>
      </c>
      <c r="T1626" t="s">
        <v>1016</v>
      </c>
      <c r="U1626">
        <v>-0.11564163</v>
      </c>
    </row>
    <row r="1627" spans="1:21" x14ac:dyDescent="0.25">
      <c r="A1627" t="s">
        <v>63</v>
      </c>
      <c r="B1627" t="s">
        <v>899</v>
      </c>
      <c r="C1627">
        <v>12</v>
      </c>
      <c r="D1627" t="s">
        <v>64</v>
      </c>
      <c r="E1627" t="s">
        <v>94</v>
      </c>
      <c r="F1627" t="s">
        <v>104</v>
      </c>
      <c r="G1627" t="s">
        <v>121</v>
      </c>
      <c r="H1627" t="s">
        <v>238</v>
      </c>
      <c r="J1627">
        <v>0</v>
      </c>
      <c r="K1627">
        <v>2</v>
      </c>
      <c r="L1627">
        <v>113.9375</v>
      </c>
      <c r="M1627">
        <v>33.375507550000002</v>
      </c>
      <c r="N1627">
        <v>2.4262999999999999</v>
      </c>
      <c r="O1627">
        <v>0.40692159999999999</v>
      </c>
      <c r="P1627">
        <v>87.5</v>
      </c>
      <c r="Q1627">
        <v>29.478311600000001</v>
      </c>
      <c r="R1627">
        <v>3.0797751000000002E-2</v>
      </c>
      <c r="S1627">
        <v>0.12931835</v>
      </c>
      <c r="T1627" t="s">
        <v>1016</v>
      </c>
      <c r="U1627">
        <v>3.89719595</v>
      </c>
    </row>
    <row r="1628" spans="1:21" x14ac:dyDescent="0.25">
      <c r="A1628" t="s">
        <v>63</v>
      </c>
      <c r="B1628" t="s">
        <v>899</v>
      </c>
      <c r="C1628">
        <v>12</v>
      </c>
      <c r="D1628" t="s">
        <v>64</v>
      </c>
      <c r="E1628" t="s">
        <v>94</v>
      </c>
      <c r="F1628" t="s">
        <v>104</v>
      </c>
      <c r="G1628" t="s">
        <v>121</v>
      </c>
      <c r="H1628" t="s">
        <v>238</v>
      </c>
      <c r="J1628">
        <v>0</v>
      </c>
      <c r="K1628">
        <v>2</v>
      </c>
      <c r="L1628">
        <v>113.9375</v>
      </c>
      <c r="M1628">
        <v>33.375507550000002</v>
      </c>
      <c r="N1628">
        <v>2.4262999999999999</v>
      </c>
      <c r="O1628">
        <v>0.40692159999999999</v>
      </c>
      <c r="P1628">
        <v>87.5</v>
      </c>
      <c r="Q1628">
        <v>29.478311600000001</v>
      </c>
      <c r="R1628">
        <v>3.0797751000000002E-2</v>
      </c>
      <c r="S1628">
        <v>0.12931835</v>
      </c>
      <c r="T1628" t="s">
        <v>1016</v>
      </c>
      <c r="U1628">
        <v>3.89719595</v>
      </c>
    </row>
    <row r="1629" spans="1:21" x14ac:dyDescent="0.25">
      <c r="A1629" t="s">
        <v>63</v>
      </c>
      <c r="B1629" t="s">
        <v>899</v>
      </c>
      <c r="C1629">
        <v>12</v>
      </c>
      <c r="D1629" t="s">
        <v>64</v>
      </c>
      <c r="E1629" t="s">
        <v>94</v>
      </c>
      <c r="F1629" t="s">
        <v>104</v>
      </c>
      <c r="G1629" t="s">
        <v>121</v>
      </c>
      <c r="H1629" t="s">
        <v>103</v>
      </c>
      <c r="J1629">
        <v>0</v>
      </c>
      <c r="K1629">
        <v>1</v>
      </c>
      <c r="L1629">
        <v>113.9375</v>
      </c>
      <c r="M1629">
        <v>33.375507550000002</v>
      </c>
      <c r="N1629">
        <v>2.4262999999999999</v>
      </c>
      <c r="O1629">
        <v>0.40692159999999999</v>
      </c>
      <c r="P1629">
        <v>98.291666669999998</v>
      </c>
      <c r="Q1629">
        <v>30.315130790000001</v>
      </c>
      <c r="R1629">
        <v>5.0803484000000003E-2</v>
      </c>
      <c r="S1629">
        <v>0.42866070000000001</v>
      </c>
      <c r="T1629" t="s">
        <v>1016</v>
      </c>
      <c r="U1629">
        <v>3.06037676</v>
      </c>
    </row>
    <row r="1630" spans="1:21" x14ac:dyDescent="0.25">
      <c r="A1630" t="s">
        <v>63</v>
      </c>
      <c r="B1630" t="s">
        <v>899</v>
      </c>
      <c r="C1630">
        <v>12</v>
      </c>
      <c r="D1630" t="s">
        <v>64</v>
      </c>
      <c r="E1630" t="s">
        <v>94</v>
      </c>
      <c r="F1630" t="s">
        <v>104</v>
      </c>
      <c r="G1630" t="s">
        <v>121</v>
      </c>
      <c r="H1630" t="s">
        <v>248</v>
      </c>
      <c r="J1630">
        <v>0</v>
      </c>
      <c r="K1630">
        <v>2</v>
      </c>
      <c r="L1630">
        <v>113.9375</v>
      </c>
      <c r="M1630">
        <v>33.375507550000002</v>
      </c>
      <c r="N1630">
        <v>2.4262999999999999</v>
      </c>
      <c r="O1630">
        <v>0.40692159999999999</v>
      </c>
      <c r="P1630">
        <v>83.92307692</v>
      </c>
      <c r="Q1630">
        <v>44.319135699999997</v>
      </c>
      <c r="R1630">
        <v>5.9548609999999997E-3</v>
      </c>
      <c r="S1630">
        <v>0.18017928</v>
      </c>
      <c r="T1630" t="s">
        <v>1016</v>
      </c>
      <c r="U1630">
        <v>-10.94362815</v>
      </c>
    </row>
    <row r="1631" spans="1:21" x14ac:dyDescent="0.25">
      <c r="A1631" t="s">
        <v>63</v>
      </c>
      <c r="B1631" t="s">
        <v>899</v>
      </c>
      <c r="C1631">
        <v>12</v>
      </c>
      <c r="D1631" t="s">
        <v>64</v>
      </c>
      <c r="E1631" t="s">
        <v>94</v>
      </c>
      <c r="F1631" t="s">
        <v>104</v>
      </c>
      <c r="G1631" t="s">
        <v>121</v>
      </c>
      <c r="H1631" t="s">
        <v>248</v>
      </c>
      <c r="J1631">
        <v>0</v>
      </c>
      <c r="K1631">
        <v>2</v>
      </c>
      <c r="L1631">
        <v>113.9375</v>
      </c>
      <c r="M1631">
        <v>33.375507550000002</v>
      </c>
      <c r="N1631">
        <v>2.4262999999999999</v>
      </c>
      <c r="O1631">
        <v>0.40692159999999999</v>
      </c>
      <c r="P1631">
        <v>83.92307692</v>
      </c>
      <c r="Q1631">
        <v>44.319135699999997</v>
      </c>
      <c r="R1631">
        <v>5.9548609999999997E-3</v>
      </c>
      <c r="S1631">
        <v>0.18017928</v>
      </c>
      <c r="T1631" t="s">
        <v>1016</v>
      </c>
      <c r="U1631">
        <v>-10.94362815</v>
      </c>
    </row>
    <row r="1632" spans="1:21" x14ac:dyDescent="0.25">
      <c r="A1632" t="s">
        <v>65</v>
      </c>
      <c r="B1632" t="s">
        <v>900</v>
      </c>
      <c r="C1632">
        <v>12</v>
      </c>
      <c r="D1632" t="s">
        <v>66</v>
      </c>
      <c r="E1632" t="s">
        <v>95</v>
      </c>
      <c r="F1632" t="s">
        <v>105</v>
      </c>
      <c r="G1632" t="s">
        <v>121</v>
      </c>
      <c r="H1632" t="s">
        <v>111</v>
      </c>
      <c r="J1632">
        <v>0</v>
      </c>
      <c r="K1632">
        <v>1</v>
      </c>
      <c r="L1632">
        <v>67.5</v>
      </c>
      <c r="M1632">
        <v>47.937235809999997</v>
      </c>
      <c r="N1632">
        <v>0.41599678000000001</v>
      </c>
      <c r="O1632">
        <v>2.0950346999999998</v>
      </c>
      <c r="P1632">
        <v>94.97142857</v>
      </c>
      <c r="Q1632">
        <v>24.31591813</v>
      </c>
      <c r="R1632">
        <v>0.122951111</v>
      </c>
      <c r="S1632">
        <v>0.39050790000000002</v>
      </c>
      <c r="T1632" t="s">
        <v>1016</v>
      </c>
      <c r="U1632">
        <v>23.621317680000001</v>
      </c>
    </row>
    <row r="1633" spans="1:21" x14ac:dyDescent="0.25">
      <c r="A1633" t="s">
        <v>65</v>
      </c>
      <c r="B1633" t="s">
        <v>900</v>
      </c>
      <c r="C1633">
        <v>12</v>
      </c>
      <c r="D1633" t="s">
        <v>66</v>
      </c>
      <c r="E1633" t="s">
        <v>95</v>
      </c>
      <c r="F1633" t="s">
        <v>105</v>
      </c>
      <c r="G1633" t="s">
        <v>121</v>
      </c>
      <c r="H1633" t="s">
        <v>808</v>
      </c>
      <c r="J1633">
        <v>0</v>
      </c>
      <c r="K1633">
        <v>1</v>
      </c>
      <c r="L1633">
        <v>67.5</v>
      </c>
      <c r="M1633">
        <v>47.937235809999997</v>
      </c>
      <c r="N1633">
        <v>0.41599678000000001</v>
      </c>
      <c r="O1633">
        <v>2.0950346999999998</v>
      </c>
      <c r="P1633">
        <v>102.79166669999999</v>
      </c>
      <c r="Q1633">
        <v>27.057373470000002</v>
      </c>
      <c r="R1633">
        <v>6.3567849939999999</v>
      </c>
      <c r="S1633" t="s">
        <v>114</v>
      </c>
      <c r="T1633" t="s">
        <v>1016</v>
      </c>
      <c r="U1633">
        <v>20.879862339999999</v>
      </c>
    </row>
    <row r="1634" spans="1:21" x14ac:dyDescent="0.25">
      <c r="A1634" t="s">
        <v>65</v>
      </c>
      <c r="B1634" t="s">
        <v>900</v>
      </c>
      <c r="C1634">
        <v>12</v>
      </c>
      <c r="D1634" t="s">
        <v>66</v>
      </c>
      <c r="E1634" t="s">
        <v>95</v>
      </c>
      <c r="F1634" t="s">
        <v>105</v>
      </c>
      <c r="G1634" t="s">
        <v>121</v>
      </c>
      <c r="H1634" t="s">
        <v>247</v>
      </c>
      <c r="J1634">
        <v>0</v>
      </c>
      <c r="K1634">
        <v>1</v>
      </c>
      <c r="L1634">
        <v>67.5</v>
      </c>
      <c r="M1634">
        <v>47.937235809999997</v>
      </c>
      <c r="N1634">
        <v>0.41599678000000001</v>
      </c>
      <c r="O1634">
        <v>2.0950346999999998</v>
      </c>
      <c r="P1634">
        <v>65.791044779999993</v>
      </c>
      <c r="Q1634">
        <v>22.94519201</v>
      </c>
      <c r="R1634">
        <v>8.1320334999999994E-2</v>
      </c>
      <c r="S1634">
        <v>0.17285655</v>
      </c>
      <c r="T1634" t="s">
        <v>1016</v>
      </c>
      <c r="U1634">
        <v>24.992043800000001</v>
      </c>
    </row>
    <row r="1635" spans="1:21" x14ac:dyDescent="0.25">
      <c r="A1635" t="s">
        <v>65</v>
      </c>
      <c r="B1635" t="s">
        <v>900</v>
      </c>
      <c r="C1635">
        <v>12</v>
      </c>
      <c r="D1635" t="s">
        <v>66</v>
      </c>
      <c r="E1635" t="s">
        <v>95</v>
      </c>
      <c r="F1635" t="s">
        <v>105</v>
      </c>
      <c r="G1635" t="s">
        <v>121</v>
      </c>
      <c r="H1635" t="s">
        <v>248</v>
      </c>
      <c r="J1635">
        <v>0</v>
      </c>
      <c r="K1635">
        <v>2</v>
      </c>
      <c r="L1635">
        <v>67.5</v>
      </c>
      <c r="M1635">
        <v>47.937235809999997</v>
      </c>
      <c r="N1635">
        <v>0.41599678000000001</v>
      </c>
      <c r="O1635">
        <v>2.0950346999999998</v>
      </c>
      <c r="P1635">
        <v>83.92307692</v>
      </c>
      <c r="Q1635">
        <v>44.319135699999997</v>
      </c>
      <c r="R1635">
        <v>5.9548609999999997E-3</v>
      </c>
      <c r="S1635">
        <v>0.18017928</v>
      </c>
      <c r="T1635" t="s">
        <v>1016</v>
      </c>
      <c r="U1635">
        <v>3.6181001099999999</v>
      </c>
    </row>
    <row r="1636" spans="1:21" x14ac:dyDescent="0.25">
      <c r="A1636" t="s">
        <v>65</v>
      </c>
      <c r="B1636" t="s">
        <v>900</v>
      </c>
      <c r="C1636">
        <v>12</v>
      </c>
      <c r="D1636" t="s">
        <v>66</v>
      </c>
      <c r="E1636" t="s">
        <v>95</v>
      </c>
      <c r="F1636" t="s">
        <v>105</v>
      </c>
      <c r="G1636" t="s">
        <v>121</v>
      </c>
      <c r="H1636" t="s">
        <v>248</v>
      </c>
      <c r="J1636">
        <v>0</v>
      </c>
      <c r="K1636">
        <v>2</v>
      </c>
      <c r="L1636">
        <v>67.5</v>
      </c>
      <c r="M1636">
        <v>47.937235809999997</v>
      </c>
      <c r="N1636">
        <v>0.41599678000000001</v>
      </c>
      <c r="O1636">
        <v>2.0950346999999998</v>
      </c>
      <c r="P1636">
        <v>83.92307692</v>
      </c>
      <c r="Q1636">
        <v>44.319135699999997</v>
      </c>
      <c r="R1636">
        <v>5.9548609999999997E-3</v>
      </c>
      <c r="S1636">
        <v>0.18017928</v>
      </c>
      <c r="T1636" t="s">
        <v>1016</v>
      </c>
      <c r="U1636">
        <v>3.6181001099999999</v>
      </c>
    </row>
    <row r="1637" spans="1:21" x14ac:dyDescent="0.25">
      <c r="A1637" t="s">
        <v>10</v>
      </c>
      <c r="B1637" t="s">
        <v>901</v>
      </c>
      <c r="C1637">
        <v>15</v>
      </c>
      <c r="D1637" t="s">
        <v>11</v>
      </c>
      <c r="E1637" t="s">
        <v>94</v>
      </c>
      <c r="F1637" t="s">
        <v>102</v>
      </c>
      <c r="G1637" t="s">
        <v>102</v>
      </c>
      <c r="H1637" t="s">
        <v>102</v>
      </c>
      <c r="J1637">
        <v>0</v>
      </c>
      <c r="K1637">
        <v>1</v>
      </c>
      <c r="L1637">
        <v>84.740740740000007</v>
      </c>
      <c r="M1637">
        <v>29.167014049999999</v>
      </c>
      <c r="N1637">
        <v>1.1169849999999999</v>
      </c>
      <c r="O1637">
        <v>1.1571499000000001</v>
      </c>
      <c r="P1637">
        <v>84.740740740000007</v>
      </c>
      <c r="Q1637">
        <v>29.167014049999999</v>
      </c>
      <c r="R1637">
        <v>1.1169849999999999</v>
      </c>
      <c r="S1637">
        <v>1.1571499000000001</v>
      </c>
      <c r="T1637" t="s">
        <v>1016</v>
      </c>
      <c r="U1637">
        <v>0</v>
      </c>
    </row>
    <row r="1638" spans="1:21" x14ac:dyDescent="0.25">
      <c r="A1638" t="s">
        <v>10</v>
      </c>
      <c r="B1638" t="s">
        <v>901</v>
      </c>
      <c r="C1638">
        <v>16</v>
      </c>
      <c r="D1638" t="s">
        <v>11</v>
      </c>
      <c r="E1638" t="s">
        <v>94</v>
      </c>
      <c r="F1638" t="s">
        <v>102</v>
      </c>
      <c r="G1638" t="s">
        <v>102</v>
      </c>
      <c r="H1638" t="s">
        <v>111</v>
      </c>
      <c r="J1638">
        <v>0</v>
      </c>
      <c r="K1638">
        <v>1</v>
      </c>
      <c r="L1638">
        <v>84.740740740000007</v>
      </c>
      <c r="M1638">
        <v>29.167014049999999</v>
      </c>
      <c r="N1638">
        <v>1.1169849999999999</v>
      </c>
      <c r="O1638">
        <v>1.1571499000000001</v>
      </c>
      <c r="P1638">
        <v>94.97142857</v>
      </c>
      <c r="Q1638">
        <v>24.31591813</v>
      </c>
      <c r="R1638">
        <v>0.122951111</v>
      </c>
      <c r="S1638">
        <v>0.39050790000000002</v>
      </c>
      <c r="T1638" t="s">
        <v>1016</v>
      </c>
      <c r="U1638">
        <v>4.8510959199999997</v>
      </c>
    </row>
    <row r="1639" spans="1:21" x14ac:dyDescent="0.25">
      <c r="A1639" t="s">
        <v>10</v>
      </c>
      <c r="B1639" t="s">
        <v>902</v>
      </c>
      <c r="C1639">
        <v>15</v>
      </c>
      <c r="D1639" t="s">
        <v>11</v>
      </c>
      <c r="E1639" t="s">
        <v>94</v>
      </c>
      <c r="F1639" t="s">
        <v>105</v>
      </c>
      <c r="G1639" t="s">
        <v>121</v>
      </c>
      <c r="H1639" t="s">
        <v>244</v>
      </c>
      <c r="J1639">
        <v>0</v>
      </c>
      <c r="K1639">
        <v>2</v>
      </c>
      <c r="L1639">
        <v>67.5</v>
      </c>
      <c r="M1639">
        <v>47.937235809999997</v>
      </c>
      <c r="N1639">
        <v>0.41599678000000001</v>
      </c>
      <c r="O1639">
        <v>2.0950346999999998</v>
      </c>
      <c r="P1639">
        <v>75</v>
      </c>
      <c r="Q1639">
        <v>28.80614499</v>
      </c>
      <c r="R1639">
        <v>2.3860428570000001</v>
      </c>
      <c r="S1639">
        <v>0.26400832000000002</v>
      </c>
      <c r="T1639" t="s">
        <v>1016</v>
      </c>
      <c r="U1639">
        <v>19.131090820000001</v>
      </c>
    </row>
    <row r="1640" spans="1:21" x14ac:dyDescent="0.25">
      <c r="A1640" t="s">
        <v>10</v>
      </c>
      <c r="B1640" t="s">
        <v>902</v>
      </c>
      <c r="C1640">
        <v>15</v>
      </c>
      <c r="D1640" t="s">
        <v>11</v>
      </c>
      <c r="E1640" t="s">
        <v>94</v>
      </c>
      <c r="F1640" t="s">
        <v>105</v>
      </c>
      <c r="G1640" t="s">
        <v>121</v>
      </c>
      <c r="H1640" t="s">
        <v>244</v>
      </c>
      <c r="J1640">
        <v>0</v>
      </c>
      <c r="K1640">
        <v>2</v>
      </c>
      <c r="L1640">
        <v>67.5</v>
      </c>
      <c r="M1640">
        <v>47.937235809999997</v>
      </c>
      <c r="N1640">
        <v>0.41599678000000001</v>
      </c>
      <c r="O1640">
        <v>2.0950346999999998</v>
      </c>
      <c r="P1640">
        <v>75</v>
      </c>
      <c r="Q1640">
        <v>28.80614499</v>
      </c>
      <c r="R1640">
        <v>2.3860428570000001</v>
      </c>
      <c r="S1640">
        <v>0.26400832000000002</v>
      </c>
      <c r="T1640" t="s">
        <v>1016</v>
      </c>
      <c r="U1640">
        <v>19.131090820000001</v>
      </c>
    </row>
    <row r="1641" spans="1:21" x14ac:dyDescent="0.25">
      <c r="A1641" t="s">
        <v>10</v>
      </c>
      <c r="B1641" t="s">
        <v>902</v>
      </c>
      <c r="C1641">
        <v>16</v>
      </c>
      <c r="D1641" t="s">
        <v>11</v>
      </c>
      <c r="E1641" t="s">
        <v>94</v>
      </c>
      <c r="F1641" t="s">
        <v>105</v>
      </c>
      <c r="G1641" t="s">
        <v>121</v>
      </c>
      <c r="H1641" t="s">
        <v>104</v>
      </c>
      <c r="J1641">
        <v>0</v>
      </c>
      <c r="K1641">
        <v>1</v>
      </c>
      <c r="L1641">
        <v>67.5</v>
      </c>
      <c r="M1641">
        <v>47.937235809999997</v>
      </c>
      <c r="N1641">
        <v>0.41599678000000001</v>
      </c>
      <c r="O1641">
        <v>2.0950346999999998</v>
      </c>
      <c r="P1641">
        <v>113.9375</v>
      </c>
      <c r="Q1641">
        <v>33.375507550000002</v>
      </c>
      <c r="R1641">
        <v>2.4262999999999999</v>
      </c>
      <c r="S1641">
        <v>0.40692159999999999</v>
      </c>
      <c r="T1641" t="s">
        <v>1016</v>
      </c>
      <c r="U1641">
        <v>14.561728260000001</v>
      </c>
    </row>
    <row r="1642" spans="1:21" x14ac:dyDescent="0.25">
      <c r="A1642" t="s">
        <v>10</v>
      </c>
      <c r="B1642" t="s">
        <v>903</v>
      </c>
      <c r="C1642">
        <v>15</v>
      </c>
      <c r="D1642" t="s">
        <v>11</v>
      </c>
      <c r="E1642" t="s">
        <v>94</v>
      </c>
      <c r="F1642" t="s">
        <v>103</v>
      </c>
      <c r="G1642" t="s">
        <v>121</v>
      </c>
      <c r="H1642" t="s">
        <v>245</v>
      </c>
      <c r="J1642">
        <v>0</v>
      </c>
      <c r="K1642">
        <v>1</v>
      </c>
      <c r="L1642">
        <v>98.291666669999998</v>
      </c>
      <c r="M1642">
        <v>30.315130790000001</v>
      </c>
      <c r="N1642">
        <v>5.0803484000000003E-2</v>
      </c>
      <c r="O1642">
        <v>0.42866070000000001</v>
      </c>
      <c r="P1642" t="s">
        <v>114</v>
      </c>
      <c r="Q1642" t="s">
        <v>114</v>
      </c>
      <c r="R1642" t="s">
        <v>114</v>
      </c>
      <c r="S1642" t="s">
        <v>114</v>
      </c>
      <c r="T1642" t="s">
        <v>1016</v>
      </c>
      <c r="U1642" t="s">
        <v>114</v>
      </c>
    </row>
    <row r="1643" spans="1:21" x14ac:dyDescent="0.25">
      <c r="A1643" t="s">
        <v>10</v>
      </c>
      <c r="B1643" t="s">
        <v>904</v>
      </c>
      <c r="C1643">
        <v>15</v>
      </c>
      <c r="D1643" t="s">
        <v>11</v>
      </c>
      <c r="E1643" t="s">
        <v>94</v>
      </c>
      <c r="F1643" t="s">
        <v>104</v>
      </c>
      <c r="G1643" t="s">
        <v>121</v>
      </c>
      <c r="H1643" t="s">
        <v>242</v>
      </c>
      <c r="J1643">
        <v>0</v>
      </c>
      <c r="K1643">
        <v>6</v>
      </c>
      <c r="L1643">
        <v>113.9375</v>
      </c>
      <c r="M1643">
        <v>33.375507550000002</v>
      </c>
      <c r="N1643">
        <v>2.4262999999999999</v>
      </c>
      <c r="O1643">
        <v>0.40692159999999999</v>
      </c>
      <c r="P1643">
        <v>139.375</v>
      </c>
      <c r="Q1643">
        <v>23.713465920000001</v>
      </c>
      <c r="R1643" t="s">
        <v>114</v>
      </c>
      <c r="S1643" t="s">
        <v>114</v>
      </c>
      <c r="T1643" t="s">
        <v>1016</v>
      </c>
      <c r="U1643">
        <v>9.6620416299999992</v>
      </c>
    </row>
    <row r="1644" spans="1:21" x14ac:dyDescent="0.25">
      <c r="A1644" t="s">
        <v>10</v>
      </c>
      <c r="B1644" t="s">
        <v>904</v>
      </c>
      <c r="C1644">
        <v>15</v>
      </c>
      <c r="D1644" t="s">
        <v>11</v>
      </c>
      <c r="E1644" t="s">
        <v>94</v>
      </c>
      <c r="F1644" t="s">
        <v>104</v>
      </c>
      <c r="G1644" t="s">
        <v>121</v>
      </c>
      <c r="H1644" t="s">
        <v>242</v>
      </c>
      <c r="J1644">
        <v>0</v>
      </c>
      <c r="K1644">
        <v>6</v>
      </c>
      <c r="L1644">
        <v>113.9375</v>
      </c>
      <c r="M1644">
        <v>33.375507550000002</v>
      </c>
      <c r="N1644">
        <v>2.4262999999999999</v>
      </c>
      <c r="O1644">
        <v>0.40692159999999999</v>
      </c>
      <c r="P1644">
        <v>139.375</v>
      </c>
      <c r="Q1644">
        <v>23.713465920000001</v>
      </c>
      <c r="R1644" t="s">
        <v>114</v>
      </c>
      <c r="S1644" t="s">
        <v>114</v>
      </c>
      <c r="T1644" t="s">
        <v>1016</v>
      </c>
      <c r="U1644">
        <v>9.6620416299999992</v>
      </c>
    </row>
    <row r="1645" spans="1:21" x14ac:dyDescent="0.25">
      <c r="A1645" t="s">
        <v>10</v>
      </c>
      <c r="B1645" t="s">
        <v>904</v>
      </c>
      <c r="C1645">
        <v>15</v>
      </c>
      <c r="D1645" t="s">
        <v>11</v>
      </c>
      <c r="E1645" t="s">
        <v>94</v>
      </c>
      <c r="F1645" t="s">
        <v>104</v>
      </c>
      <c r="G1645" t="s">
        <v>121</v>
      </c>
      <c r="H1645" t="s">
        <v>242</v>
      </c>
      <c r="J1645">
        <v>0</v>
      </c>
      <c r="K1645">
        <v>6</v>
      </c>
      <c r="L1645">
        <v>113.9375</v>
      </c>
      <c r="M1645">
        <v>33.375507550000002</v>
      </c>
      <c r="N1645">
        <v>2.4262999999999999</v>
      </c>
      <c r="O1645">
        <v>0.40692159999999999</v>
      </c>
      <c r="P1645">
        <v>139.375</v>
      </c>
      <c r="Q1645">
        <v>23.713465920000001</v>
      </c>
      <c r="R1645" t="s">
        <v>114</v>
      </c>
      <c r="S1645" t="s">
        <v>114</v>
      </c>
      <c r="T1645" t="s">
        <v>1016</v>
      </c>
      <c r="U1645">
        <v>9.6620416299999992</v>
      </c>
    </row>
    <row r="1646" spans="1:21" x14ac:dyDescent="0.25">
      <c r="A1646" t="s">
        <v>10</v>
      </c>
      <c r="B1646" t="s">
        <v>904</v>
      </c>
      <c r="C1646">
        <v>15</v>
      </c>
      <c r="D1646" t="s">
        <v>11</v>
      </c>
      <c r="E1646" t="s">
        <v>94</v>
      </c>
      <c r="F1646" t="s">
        <v>104</v>
      </c>
      <c r="G1646" t="s">
        <v>121</v>
      </c>
      <c r="H1646" t="s">
        <v>242</v>
      </c>
      <c r="J1646">
        <v>0</v>
      </c>
      <c r="K1646">
        <v>6</v>
      </c>
      <c r="L1646">
        <v>113.9375</v>
      </c>
      <c r="M1646">
        <v>33.375507550000002</v>
      </c>
      <c r="N1646">
        <v>2.4262999999999999</v>
      </c>
      <c r="O1646">
        <v>0.40692159999999999</v>
      </c>
      <c r="P1646">
        <v>139.375</v>
      </c>
      <c r="Q1646">
        <v>23.713465920000001</v>
      </c>
      <c r="R1646" t="s">
        <v>114</v>
      </c>
      <c r="S1646" t="s">
        <v>114</v>
      </c>
      <c r="T1646" t="s">
        <v>1016</v>
      </c>
      <c r="U1646">
        <v>9.6620416299999992</v>
      </c>
    </row>
    <row r="1647" spans="1:21" x14ac:dyDescent="0.25">
      <c r="A1647" t="s">
        <v>10</v>
      </c>
      <c r="B1647" t="s">
        <v>904</v>
      </c>
      <c r="C1647">
        <v>15</v>
      </c>
      <c r="D1647" t="s">
        <v>11</v>
      </c>
      <c r="E1647" t="s">
        <v>94</v>
      </c>
      <c r="F1647" t="s">
        <v>104</v>
      </c>
      <c r="G1647" t="s">
        <v>121</v>
      </c>
      <c r="H1647" t="s">
        <v>242</v>
      </c>
      <c r="J1647">
        <v>0</v>
      </c>
      <c r="K1647">
        <v>6</v>
      </c>
      <c r="L1647">
        <v>113.9375</v>
      </c>
      <c r="M1647">
        <v>33.375507550000002</v>
      </c>
      <c r="N1647">
        <v>2.4262999999999999</v>
      </c>
      <c r="O1647">
        <v>0.40692159999999999</v>
      </c>
      <c r="P1647">
        <v>139.375</v>
      </c>
      <c r="Q1647">
        <v>23.713465920000001</v>
      </c>
      <c r="R1647" t="s">
        <v>114</v>
      </c>
      <c r="S1647" t="s">
        <v>114</v>
      </c>
      <c r="T1647" t="s">
        <v>1016</v>
      </c>
      <c r="U1647">
        <v>9.6620416299999992</v>
      </c>
    </row>
    <row r="1648" spans="1:21" x14ac:dyDescent="0.25">
      <c r="A1648" t="s">
        <v>10</v>
      </c>
      <c r="B1648" t="s">
        <v>904</v>
      </c>
      <c r="C1648">
        <v>15</v>
      </c>
      <c r="D1648" t="s">
        <v>11</v>
      </c>
      <c r="E1648" t="s">
        <v>94</v>
      </c>
      <c r="F1648" t="s">
        <v>104</v>
      </c>
      <c r="G1648" t="s">
        <v>121</v>
      </c>
      <c r="H1648" t="s">
        <v>242</v>
      </c>
      <c r="J1648">
        <v>0</v>
      </c>
      <c r="K1648">
        <v>6</v>
      </c>
      <c r="L1648">
        <v>113.9375</v>
      </c>
      <c r="M1648">
        <v>33.375507550000002</v>
      </c>
      <c r="N1648">
        <v>2.4262999999999999</v>
      </c>
      <c r="O1648">
        <v>0.40692159999999999</v>
      </c>
      <c r="P1648">
        <v>139.375</v>
      </c>
      <c r="Q1648">
        <v>23.713465920000001</v>
      </c>
      <c r="R1648" t="s">
        <v>114</v>
      </c>
      <c r="S1648" t="s">
        <v>114</v>
      </c>
      <c r="T1648" t="s">
        <v>1016</v>
      </c>
      <c r="U1648">
        <v>9.6620416299999992</v>
      </c>
    </row>
    <row r="1649" spans="1:21" x14ac:dyDescent="0.25">
      <c r="A1649" t="s">
        <v>14</v>
      </c>
      <c r="B1649" t="s">
        <v>905</v>
      </c>
      <c r="C1649">
        <v>15</v>
      </c>
      <c r="D1649" t="s">
        <v>15</v>
      </c>
      <c r="E1649" t="s">
        <v>94</v>
      </c>
      <c r="F1649" t="s">
        <v>102</v>
      </c>
      <c r="G1649" t="s">
        <v>121</v>
      </c>
      <c r="H1649" t="s">
        <v>114</v>
      </c>
      <c r="J1649">
        <v>0</v>
      </c>
      <c r="K1649" t="s">
        <v>114</v>
      </c>
      <c r="L1649">
        <v>84.740740740000007</v>
      </c>
      <c r="M1649">
        <v>29.167014049999999</v>
      </c>
      <c r="N1649">
        <v>1.1169849999999999</v>
      </c>
      <c r="O1649">
        <v>1.1571499000000001</v>
      </c>
      <c r="P1649" t="s">
        <v>114</v>
      </c>
      <c r="Q1649" t="s">
        <v>114</v>
      </c>
      <c r="R1649" t="s">
        <v>114</v>
      </c>
      <c r="S1649" t="s">
        <v>114</v>
      </c>
      <c r="T1649" t="s">
        <v>1016</v>
      </c>
      <c r="U1649" t="s">
        <v>114</v>
      </c>
    </row>
    <row r="1650" spans="1:21" x14ac:dyDescent="0.25">
      <c r="A1650" t="s">
        <v>14</v>
      </c>
      <c r="B1650" t="s">
        <v>906</v>
      </c>
      <c r="C1650">
        <v>15</v>
      </c>
      <c r="D1650" t="s">
        <v>15</v>
      </c>
      <c r="E1650" t="s">
        <v>94</v>
      </c>
      <c r="F1650" t="s">
        <v>110</v>
      </c>
      <c r="G1650" t="s">
        <v>121</v>
      </c>
      <c r="H1650" t="s">
        <v>114</v>
      </c>
      <c r="J1650">
        <v>0</v>
      </c>
      <c r="K1650" t="s">
        <v>114</v>
      </c>
      <c r="L1650">
        <v>73.260869569999997</v>
      </c>
      <c r="M1650">
        <v>34.453830549999999</v>
      </c>
      <c r="N1650">
        <v>1.058333333</v>
      </c>
      <c r="O1650">
        <v>0.90897070000000002</v>
      </c>
      <c r="P1650" t="s">
        <v>114</v>
      </c>
      <c r="Q1650" t="s">
        <v>114</v>
      </c>
      <c r="R1650" t="s">
        <v>114</v>
      </c>
      <c r="S1650" t="s">
        <v>114</v>
      </c>
      <c r="T1650" t="s">
        <v>1016</v>
      </c>
      <c r="U1650" t="s">
        <v>114</v>
      </c>
    </row>
    <row r="1651" spans="1:21" x14ac:dyDescent="0.25">
      <c r="A1651" t="s">
        <v>14</v>
      </c>
      <c r="B1651" t="s">
        <v>907</v>
      </c>
      <c r="C1651">
        <v>15</v>
      </c>
      <c r="D1651" t="s">
        <v>15</v>
      </c>
      <c r="E1651" t="s">
        <v>94</v>
      </c>
      <c r="F1651" t="s">
        <v>111</v>
      </c>
      <c r="G1651" t="s">
        <v>110</v>
      </c>
      <c r="H1651" t="s">
        <v>110</v>
      </c>
      <c r="J1651">
        <v>0</v>
      </c>
      <c r="K1651">
        <v>1</v>
      </c>
      <c r="L1651">
        <v>94.97142857</v>
      </c>
      <c r="M1651">
        <v>24.31591813</v>
      </c>
      <c r="N1651">
        <v>0.122951111</v>
      </c>
      <c r="O1651">
        <v>0.39050790000000002</v>
      </c>
      <c r="P1651">
        <v>73.260869569999997</v>
      </c>
      <c r="Q1651">
        <v>34.453830549999999</v>
      </c>
      <c r="R1651">
        <v>1.058333333</v>
      </c>
      <c r="S1651">
        <v>0.90897070000000002</v>
      </c>
      <c r="T1651" t="s">
        <v>1016</v>
      </c>
      <c r="U1651">
        <v>-10.137912419999999</v>
      </c>
    </row>
    <row r="1652" spans="1:21" x14ac:dyDescent="0.25">
      <c r="A1652" t="s">
        <v>14</v>
      </c>
      <c r="B1652" t="s">
        <v>908</v>
      </c>
      <c r="C1652">
        <v>15</v>
      </c>
      <c r="D1652" t="s">
        <v>15</v>
      </c>
      <c r="E1652" t="s">
        <v>94</v>
      </c>
      <c r="F1652" t="s">
        <v>104</v>
      </c>
      <c r="G1652" t="s">
        <v>110</v>
      </c>
      <c r="H1652" t="s">
        <v>110</v>
      </c>
      <c r="J1652">
        <v>0</v>
      </c>
      <c r="K1652">
        <v>1</v>
      </c>
      <c r="L1652">
        <v>113.9375</v>
      </c>
      <c r="M1652">
        <v>33.375507550000002</v>
      </c>
      <c r="N1652">
        <v>2.4262999999999999</v>
      </c>
      <c r="O1652">
        <v>0.40692159999999999</v>
      </c>
      <c r="P1652">
        <v>73.260869569999997</v>
      </c>
      <c r="Q1652">
        <v>34.453830549999999</v>
      </c>
      <c r="R1652">
        <v>1.058333333</v>
      </c>
      <c r="S1652">
        <v>0.90897070000000002</v>
      </c>
      <c r="T1652" t="s">
        <v>1016</v>
      </c>
      <c r="U1652">
        <v>-1.0783229999999999</v>
      </c>
    </row>
    <row r="1653" spans="1:21" x14ac:dyDescent="0.25">
      <c r="A1653" t="s">
        <v>14</v>
      </c>
      <c r="B1653" t="s">
        <v>908</v>
      </c>
      <c r="C1653">
        <v>16</v>
      </c>
      <c r="D1653" t="s">
        <v>15</v>
      </c>
      <c r="E1653" t="s">
        <v>94</v>
      </c>
      <c r="F1653" t="s">
        <v>104</v>
      </c>
      <c r="G1653" t="s">
        <v>110</v>
      </c>
      <c r="H1653" t="s">
        <v>104</v>
      </c>
      <c r="J1653">
        <v>0</v>
      </c>
      <c r="K1653">
        <v>2</v>
      </c>
      <c r="L1653">
        <v>113.9375</v>
      </c>
      <c r="M1653">
        <v>33.375507550000002</v>
      </c>
      <c r="N1653">
        <v>2.4262999999999999</v>
      </c>
      <c r="O1653">
        <v>0.40692159999999999</v>
      </c>
      <c r="P1653">
        <v>113.9375</v>
      </c>
      <c r="Q1653">
        <v>33.375507550000002</v>
      </c>
      <c r="R1653">
        <v>2.4262999999999999</v>
      </c>
      <c r="S1653">
        <v>0.40692159999999999</v>
      </c>
      <c r="T1653" t="s">
        <v>1016</v>
      </c>
      <c r="U1653">
        <v>0</v>
      </c>
    </row>
    <row r="1654" spans="1:21" x14ac:dyDescent="0.25">
      <c r="A1654" t="s">
        <v>14</v>
      </c>
      <c r="B1654" t="s">
        <v>908</v>
      </c>
      <c r="C1654">
        <v>16</v>
      </c>
      <c r="D1654" t="s">
        <v>15</v>
      </c>
      <c r="E1654" t="s">
        <v>94</v>
      </c>
      <c r="F1654" t="s">
        <v>104</v>
      </c>
      <c r="G1654" t="s">
        <v>110</v>
      </c>
      <c r="H1654" t="s">
        <v>104</v>
      </c>
      <c r="J1654">
        <v>0</v>
      </c>
      <c r="K1654">
        <v>2</v>
      </c>
      <c r="L1654">
        <v>113.9375</v>
      </c>
      <c r="M1654">
        <v>33.375507550000002</v>
      </c>
      <c r="N1654">
        <v>2.4262999999999999</v>
      </c>
      <c r="O1654">
        <v>0.40692159999999999</v>
      </c>
      <c r="P1654">
        <v>113.9375</v>
      </c>
      <c r="Q1654">
        <v>33.375507550000002</v>
      </c>
      <c r="R1654">
        <v>2.4262999999999999</v>
      </c>
      <c r="S1654">
        <v>0.40692159999999999</v>
      </c>
      <c r="T1654" t="s">
        <v>1016</v>
      </c>
      <c r="U1654">
        <v>0</v>
      </c>
    </row>
    <row r="1655" spans="1:21" x14ac:dyDescent="0.25">
      <c r="A1655" t="s">
        <v>16</v>
      </c>
      <c r="B1655" t="s">
        <v>909</v>
      </c>
      <c r="C1655">
        <v>15</v>
      </c>
      <c r="D1655" t="s">
        <v>17</v>
      </c>
      <c r="E1655" t="s">
        <v>95</v>
      </c>
      <c r="F1655" t="s">
        <v>113</v>
      </c>
      <c r="G1655" t="s">
        <v>104</v>
      </c>
      <c r="H1655" t="s">
        <v>104</v>
      </c>
      <c r="J1655">
        <v>0</v>
      </c>
      <c r="K1655">
        <v>1</v>
      </c>
      <c r="L1655">
        <v>83.757575759999995</v>
      </c>
      <c r="M1655">
        <v>22.60997987</v>
      </c>
      <c r="N1655">
        <v>0.72884000000000004</v>
      </c>
      <c r="O1655">
        <v>0.21301339999999999</v>
      </c>
      <c r="P1655">
        <v>113.9375</v>
      </c>
      <c r="Q1655">
        <v>33.375507550000002</v>
      </c>
      <c r="R1655">
        <v>2.4262999999999999</v>
      </c>
      <c r="S1655">
        <v>0.40692159999999999</v>
      </c>
      <c r="T1655" t="s">
        <v>1016</v>
      </c>
      <c r="U1655">
        <v>-10.76552768</v>
      </c>
    </row>
    <row r="1656" spans="1:21" x14ac:dyDescent="0.25">
      <c r="A1656" t="s">
        <v>16</v>
      </c>
      <c r="B1656" t="s">
        <v>909</v>
      </c>
      <c r="C1656">
        <v>16</v>
      </c>
      <c r="D1656" t="s">
        <v>17</v>
      </c>
      <c r="E1656" t="s">
        <v>95</v>
      </c>
      <c r="F1656" t="s">
        <v>113</v>
      </c>
      <c r="G1656" t="s">
        <v>104</v>
      </c>
      <c r="H1656" t="s">
        <v>113</v>
      </c>
      <c r="J1656">
        <v>0</v>
      </c>
      <c r="K1656">
        <v>3</v>
      </c>
      <c r="L1656">
        <v>83.757575759999995</v>
      </c>
      <c r="M1656">
        <v>22.60997987</v>
      </c>
      <c r="N1656">
        <v>0.72884000000000004</v>
      </c>
      <c r="O1656">
        <v>0.21301339999999999</v>
      </c>
      <c r="P1656">
        <v>83.757575759999995</v>
      </c>
      <c r="Q1656">
        <v>22.60997987</v>
      </c>
      <c r="R1656">
        <v>0.72884000000000004</v>
      </c>
      <c r="S1656">
        <v>0.21301339999999999</v>
      </c>
      <c r="T1656" t="s">
        <v>1016</v>
      </c>
      <c r="U1656">
        <v>0</v>
      </c>
    </row>
    <row r="1657" spans="1:21" x14ac:dyDescent="0.25">
      <c r="A1657" t="s">
        <v>16</v>
      </c>
      <c r="B1657" t="s">
        <v>909</v>
      </c>
      <c r="C1657">
        <v>16</v>
      </c>
      <c r="D1657" t="s">
        <v>17</v>
      </c>
      <c r="E1657" t="s">
        <v>95</v>
      </c>
      <c r="F1657" t="s">
        <v>113</v>
      </c>
      <c r="G1657" t="s">
        <v>104</v>
      </c>
      <c r="H1657" t="s">
        <v>113</v>
      </c>
      <c r="J1657">
        <v>0</v>
      </c>
      <c r="K1657">
        <v>3</v>
      </c>
      <c r="L1657">
        <v>83.757575759999995</v>
      </c>
      <c r="M1657">
        <v>22.60997987</v>
      </c>
      <c r="N1657">
        <v>0.72884000000000004</v>
      </c>
      <c r="O1657">
        <v>0.21301339999999999</v>
      </c>
      <c r="P1657">
        <v>83.757575759999995</v>
      </c>
      <c r="Q1657">
        <v>22.60997987</v>
      </c>
      <c r="R1657">
        <v>0.72884000000000004</v>
      </c>
      <c r="S1657">
        <v>0.21301339999999999</v>
      </c>
      <c r="T1657" t="s">
        <v>1016</v>
      </c>
      <c r="U1657">
        <v>0</v>
      </c>
    </row>
    <row r="1658" spans="1:21" x14ac:dyDescent="0.25">
      <c r="A1658" t="s">
        <v>16</v>
      </c>
      <c r="B1658" t="s">
        <v>909</v>
      </c>
      <c r="C1658">
        <v>16</v>
      </c>
      <c r="D1658" t="s">
        <v>17</v>
      </c>
      <c r="E1658" t="s">
        <v>95</v>
      </c>
      <c r="F1658" t="s">
        <v>113</v>
      </c>
      <c r="G1658" t="s">
        <v>104</v>
      </c>
      <c r="H1658" t="s">
        <v>113</v>
      </c>
      <c r="J1658">
        <v>0</v>
      </c>
      <c r="K1658">
        <v>3</v>
      </c>
      <c r="L1658">
        <v>83.757575759999995</v>
      </c>
      <c r="M1658">
        <v>22.60997987</v>
      </c>
      <c r="N1658">
        <v>0.72884000000000004</v>
      </c>
      <c r="O1658">
        <v>0.21301339999999999</v>
      </c>
      <c r="P1658">
        <v>83.757575759999995</v>
      </c>
      <c r="Q1658">
        <v>22.60997987</v>
      </c>
      <c r="R1658">
        <v>0.72884000000000004</v>
      </c>
      <c r="S1658">
        <v>0.21301339999999999</v>
      </c>
      <c r="T1658" t="s">
        <v>1016</v>
      </c>
      <c r="U1658">
        <v>0</v>
      </c>
    </row>
    <row r="1659" spans="1:21" x14ac:dyDescent="0.25">
      <c r="A1659" t="s">
        <v>16</v>
      </c>
      <c r="B1659" t="s">
        <v>910</v>
      </c>
      <c r="C1659">
        <v>15</v>
      </c>
      <c r="D1659" t="s">
        <v>17</v>
      </c>
      <c r="E1659" t="s">
        <v>95</v>
      </c>
      <c r="F1659" t="s">
        <v>110</v>
      </c>
      <c r="G1659" t="s">
        <v>121</v>
      </c>
      <c r="H1659" t="s">
        <v>104</v>
      </c>
      <c r="J1659">
        <v>0</v>
      </c>
      <c r="K1659">
        <v>1</v>
      </c>
      <c r="L1659">
        <v>73.260869569999997</v>
      </c>
      <c r="M1659">
        <v>34.453830549999999</v>
      </c>
      <c r="N1659">
        <v>1.058333333</v>
      </c>
      <c r="O1659">
        <v>0.90897070000000002</v>
      </c>
      <c r="P1659">
        <v>113.9375</v>
      </c>
      <c r="Q1659">
        <v>33.375507550000002</v>
      </c>
      <c r="R1659">
        <v>2.4262999999999999</v>
      </c>
      <c r="S1659">
        <v>0.40692159999999999</v>
      </c>
      <c r="T1659" t="s">
        <v>1016</v>
      </c>
      <c r="U1659">
        <v>1.0783229999999999</v>
      </c>
    </row>
    <row r="1660" spans="1:21" x14ac:dyDescent="0.25">
      <c r="A1660" t="s">
        <v>16</v>
      </c>
      <c r="B1660" t="s">
        <v>910</v>
      </c>
      <c r="C1660">
        <v>16</v>
      </c>
      <c r="D1660" t="s">
        <v>17</v>
      </c>
      <c r="E1660" t="s">
        <v>95</v>
      </c>
      <c r="F1660" t="s">
        <v>110</v>
      </c>
      <c r="G1660" t="s">
        <v>121</v>
      </c>
      <c r="H1660" t="s">
        <v>241</v>
      </c>
      <c r="J1660">
        <v>0</v>
      </c>
      <c r="K1660">
        <v>1</v>
      </c>
      <c r="L1660">
        <v>73.260869569999997</v>
      </c>
      <c r="M1660">
        <v>34.453830549999999</v>
      </c>
      <c r="N1660">
        <v>1.058333333</v>
      </c>
      <c r="O1660">
        <v>0.90897070000000002</v>
      </c>
      <c r="P1660">
        <v>114</v>
      </c>
      <c r="Q1660">
        <v>30.43077242</v>
      </c>
      <c r="R1660">
        <v>0.53383111100000002</v>
      </c>
      <c r="S1660">
        <v>0.28333332999999999</v>
      </c>
      <c r="T1660" t="s">
        <v>1016</v>
      </c>
      <c r="U1660">
        <v>4.0230581299999999</v>
      </c>
    </row>
    <row r="1661" spans="1:21" x14ac:dyDescent="0.25">
      <c r="A1661" t="s">
        <v>16</v>
      </c>
      <c r="B1661" t="s">
        <v>911</v>
      </c>
      <c r="C1661">
        <v>15</v>
      </c>
      <c r="D1661" t="s">
        <v>17</v>
      </c>
      <c r="E1661" t="s">
        <v>95</v>
      </c>
      <c r="F1661" t="s">
        <v>111</v>
      </c>
      <c r="G1661" t="s">
        <v>113</v>
      </c>
      <c r="H1661" t="s">
        <v>113</v>
      </c>
      <c r="J1661">
        <v>0</v>
      </c>
      <c r="K1661">
        <v>2</v>
      </c>
      <c r="L1661">
        <v>94.97142857</v>
      </c>
      <c r="M1661">
        <v>24.31591813</v>
      </c>
      <c r="N1661">
        <v>0.122951111</v>
      </c>
      <c r="O1661">
        <v>0.39050790000000002</v>
      </c>
      <c r="P1661">
        <v>83.757575759999995</v>
      </c>
      <c r="Q1661">
        <v>22.60997987</v>
      </c>
      <c r="R1661">
        <v>0.72884000000000004</v>
      </c>
      <c r="S1661">
        <v>0.21301339999999999</v>
      </c>
      <c r="T1661" t="s">
        <v>1016</v>
      </c>
      <c r="U1661">
        <v>1.7059382599999999</v>
      </c>
    </row>
    <row r="1662" spans="1:21" x14ac:dyDescent="0.25">
      <c r="A1662" t="s">
        <v>16</v>
      </c>
      <c r="B1662" t="s">
        <v>911</v>
      </c>
      <c r="C1662">
        <v>15</v>
      </c>
      <c r="D1662" t="s">
        <v>17</v>
      </c>
      <c r="E1662" t="s">
        <v>95</v>
      </c>
      <c r="F1662" t="s">
        <v>111</v>
      </c>
      <c r="G1662" t="s">
        <v>113</v>
      </c>
      <c r="H1662" t="s">
        <v>113</v>
      </c>
      <c r="J1662">
        <v>0</v>
      </c>
      <c r="K1662">
        <v>2</v>
      </c>
      <c r="L1662">
        <v>94.97142857</v>
      </c>
      <c r="M1662">
        <v>24.31591813</v>
      </c>
      <c r="N1662">
        <v>0.122951111</v>
      </c>
      <c r="O1662">
        <v>0.39050790000000002</v>
      </c>
      <c r="P1662">
        <v>83.757575759999995</v>
      </c>
      <c r="Q1662">
        <v>22.60997987</v>
      </c>
      <c r="R1662">
        <v>0.72884000000000004</v>
      </c>
      <c r="S1662">
        <v>0.21301339999999999</v>
      </c>
      <c r="T1662" t="s">
        <v>1016</v>
      </c>
      <c r="U1662">
        <v>1.7059382599999999</v>
      </c>
    </row>
    <row r="1663" spans="1:21" x14ac:dyDescent="0.25">
      <c r="A1663" t="s">
        <v>16</v>
      </c>
      <c r="B1663" t="s">
        <v>911</v>
      </c>
      <c r="C1663">
        <v>16</v>
      </c>
      <c r="D1663" t="s">
        <v>17</v>
      </c>
      <c r="E1663" t="s">
        <v>95</v>
      </c>
      <c r="F1663" t="s">
        <v>111</v>
      </c>
      <c r="G1663" t="s">
        <v>113</v>
      </c>
      <c r="H1663" t="s">
        <v>247</v>
      </c>
      <c r="J1663">
        <v>0</v>
      </c>
      <c r="K1663">
        <v>3</v>
      </c>
      <c r="L1663">
        <v>94.97142857</v>
      </c>
      <c r="M1663">
        <v>24.31591813</v>
      </c>
      <c r="N1663">
        <v>0.122951111</v>
      </c>
      <c r="O1663">
        <v>0.39050790000000002</v>
      </c>
      <c r="P1663">
        <v>65.791044779999993</v>
      </c>
      <c r="Q1663">
        <v>22.94519201</v>
      </c>
      <c r="R1663">
        <v>8.1320334999999994E-2</v>
      </c>
      <c r="S1663">
        <v>0.17285655</v>
      </c>
      <c r="T1663" t="s">
        <v>1016</v>
      </c>
      <c r="U1663">
        <v>1.37072612</v>
      </c>
    </row>
    <row r="1664" spans="1:21" x14ac:dyDescent="0.25">
      <c r="A1664" t="s">
        <v>16</v>
      </c>
      <c r="B1664" t="s">
        <v>911</v>
      </c>
      <c r="C1664">
        <v>16</v>
      </c>
      <c r="D1664" t="s">
        <v>17</v>
      </c>
      <c r="E1664" t="s">
        <v>95</v>
      </c>
      <c r="F1664" t="s">
        <v>111</v>
      </c>
      <c r="G1664" t="s">
        <v>113</v>
      </c>
      <c r="H1664" t="s">
        <v>247</v>
      </c>
      <c r="J1664">
        <v>0</v>
      </c>
      <c r="K1664">
        <v>3</v>
      </c>
      <c r="L1664">
        <v>94.97142857</v>
      </c>
      <c r="M1664">
        <v>24.31591813</v>
      </c>
      <c r="N1664">
        <v>0.122951111</v>
      </c>
      <c r="O1664">
        <v>0.39050790000000002</v>
      </c>
      <c r="P1664">
        <v>65.791044779999993</v>
      </c>
      <c r="Q1664">
        <v>22.94519201</v>
      </c>
      <c r="R1664">
        <v>8.1320334999999994E-2</v>
      </c>
      <c r="S1664">
        <v>0.17285655</v>
      </c>
      <c r="T1664" t="s">
        <v>1016</v>
      </c>
      <c r="U1664">
        <v>1.37072612</v>
      </c>
    </row>
    <row r="1665" spans="1:21" x14ac:dyDescent="0.25">
      <c r="A1665" t="s">
        <v>16</v>
      </c>
      <c r="B1665" t="s">
        <v>911</v>
      </c>
      <c r="C1665">
        <v>16</v>
      </c>
      <c r="D1665" t="s">
        <v>17</v>
      </c>
      <c r="E1665" t="s">
        <v>95</v>
      </c>
      <c r="F1665" t="s">
        <v>111</v>
      </c>
      <c r="G1665" t="s">
        <v>113</v>
      </c>
      <c r="H1665" t="s">
        <v>247</v>
      </c>
      <c r="J1665">
        <v>0</v>
      </c>
      <c r="K1665">
        <v>3</v>
      </c>
      <c r="L1665">
        <v>94.97142857</v>
      </c>
      <c r="M1665">
        <v>24.31591813</v>
      </c>
      <c r="N1665">
        <v>0.122951111</v>
      </c>
      <c r="O1665">
        <v>0.39050790000000002</v>
      </c>
      <c r="P1665">
        <v>65.791044779999993</v>
      </c>
      <c r="Q1665">
        <v>22.94519201</v>
      </c>
      <c r="R1665">
        <v>8.1320334999999994E-2</v>
      </c>
      <c r="S1665">
        <v>0.17285655</v>
      </c>
      <c r="T1665" t="s">
        <v>1016</v>
      </c>
      <c r="U1665">
        <v>1.37072612</v>
      </c>
    </row>
    <row r="1666" spans="1:21" x14ac:dyDescent="0.25">
      <c r="A1666" t="s">
        <v>16</v>
      </c>
      <c r="B1666" t="s">
        <v>912</v>
      </c>
      <c r="C1666">
        <v>15</v>
      </c>
      <c r="D1666" t="s">
        <v>17</v>
      </c>
      <c r="E1666" t="s">
        <v>95</v>
      </c>
      <c r="F1666" t="s">
        <v>104</v>
      </c>
      <c r="G1666" t="s">
        <v>121</v>
      </c>
      <c r="H1666" t="s">
        <v>247</v>
      </c>
      <c r="J1666">
        <v>0</v>
      </c>
      <c r="K1666">
        <v>1</v>
      </c>
      <c r="L1666">
        <v>113.9375</v>
      </c>
      <c r="M1666">
        <v>33.375507550000002</v>
      </c>
      <c r="N1666">
        <v>2.4262999999999999</v>
      </c>
      <c r="O1666">
        <v>0.40692159999999999</v>
      </c>
      <c r="P1666">
        <v>65.791044779999993</v>
      </c>
      <c r="Q1666">
        <v>22.94519201</v>
      </c>
      <c r="R1666">
        <v>8.1320334999999994E-2</v>
      </c>
      <c r="S1666">
        <v>0.17285655</v>
      </c>
      <c r="T1666" t="s">
        <v>1016</v>
      </c>
      <c r="U1666">
        <v>10.43031554</v>
      </c>
    </row>
    <row r="1667" spans="1:21" x14ac:dyDescent="0.25">
      <c r="A1667" t="s">
        <v>16</v>
      </c>
      <c r="B1667" t="s">
        <v>912</v>
      </c>
      <c r="C1667">
        <v>16</v>
      </c>
      <c r="D1667" t="s">
        <v>17</v>
      </c>
      <c r="E1667" t="s">
        <v>95</v>
      </c>
      <c r="F1667" t="s">
        <v>104</v>
      </c>
      <c r="G1667" t="s">
        <v>121</v>
      </c>
      <c r="H1667" t="s">
        <v>111</v>
      </c>
      <c r="J1667">
        <v>0</v>
      </c>
      <c r="K1667">
        <v>1</v>
      </c>
      <c r="L1667">
        <v>113.9375</v>
      </c>
      <c r="M1667">
        <v>33.375507550000002</v>
      </c>
      <c r="N1667">
        <v>2.4262999999999999</v>
      </c>
      <c r="O1667">
        <v>0.40692159999999999</v>
      </c>
      <c r="P1667">
        <v>94.97142857</v>
      </c>
      <c r="Q1667">
        <v>24.31591813</v>
      </c>
      <c r="R1667">
        <v>0.122951111</v>
      </c>
      <c r="S1667">
        <v>0.39050790000000002</v>
      </c>
      <c r="T1667" t="s">
        <v>1016</v>
      </c>
      <c r="U1667">
        <v>9.05958942</v>
      </c>
    </row>
    <row r="1668" spans="1:21" x14ac:dyDescent="0.25">
      <c r="A1668" t="s">
        <v>18</v>
      </c>
      <c r="B1668" t="s">
        <v>913</v>
      </c>
      <c r="C1668">
        <v>15</v>
      </c>
      <c r="D1668" t="s">
        <v>19</v>
      </c>
      <c r="E1668" t="s">
        <v>95</v>
      </c>
      <c r="F1668" t="s">
        <v>113</v>
      </c>
      <c r="G1668" t="s">
        <v>121</v>
      </c>
      <c r="H1668" t="s">
        <v>113</v>
      </c>
      <c r="J1668">
        <v>0</v>
      </c>
      <c r="K1668">
        <v>3</v>
      </c>
      <c r="L1668">
        <v>83.757575759999995</v>
      </c>
      <c r="M1668">
        <v>22.60997987</v>
      </c>
      <c r="N1668">
        <v>0.72884000000000004</v>
      </c>
      <c r="O1668">
        <v>0.21301339999999999</v>
      </c>
      <c r="P1668">
        <v>83.757575759999995</v>
      </c>
      <c r="Q1668">
        <v>22.60997987</v>
      </c>
      <c r="R1668">
        <v>0.72884000000000004</v>
      </c>
      <c r="S1668">
        <v>0.21301339999999999</v>
      </c>
      <c r="T1668" t="s">
        <v>1016</v>
      </c>
      <c r="U1668">
        <v>0</v>
      </c>
    </row>
    <row r="1669" spans="1:21" x14ac:dyDescent="0.25">
      <c r="A1669" t="s">
        <v>18</v>
      </c>
      <c r="B1669" t="s">
        <v>913</v>
      </c>
      <c r="C1669">
        <v>15</v>
      </c>
      <c r="D1669" t="s">
        <v>19</v>
      </c>
      <c r="E1669" t="s">
        <v>95</v>
      </c>
      <c r="F1669" t="s">
        <v>113</v>
      </c>
      <c r="G1669" t="s">
        <v>121</v>
      </c>
      <c r="H1669" t="s">
        <v>113</v>
      </c>
      <c r="J1669">
        <v>0</v>
      </c>
      <c r="K1669">
        <v>3</v>
      </c>
      <c r="L1669">
        <v>83.757575759999995</v>
      </c>
      <c r="M1669">
        <v>22.60997987</v>
      </c>
      <c r="N1669">
        <v>0.72884000000000004</v>
      </c>
      <c r="O1669">
        <v>0.21301339999999999</v>
      </c>
      <c r="P1669">
        <v>83.757575759999995</v>
      </c>
      <c r="Q1669">
        <v>22.60997987</v>
      </c>
      <c r="R1669">
        <v>0.72884000000000004</v>
      </c>
      <c r="S1669">
        <v>0.21301339999999999</v>
      </c>
      <c r="T1669" t="s">
        <v>1016</v>
      </c>
      <c r="U1669">
        <v>0</v>
      </c>
    </row>
    <row r="1670" spans="1:21" x14ac:dyDescent="0.25">
      <c r="A1670" t="s">
        <v>18</v>
      </c>
      <c r="B1670" t="s">
        <v>913</v>
      </c>
      <c r="C1670">
        <v>15</v>
      </c>
      <c r="D1670" t="s">
        <v>19</v>
      </c>
      <c r="E1670" t="s">
        <v>95</v>
      </c>
      <c r="F1670" t="s">
        <v>113</v>
      </c>
      <c r="G1670" t="s">
        <v>121</v>
      </c>
      <c r="H1670" t="s">
        <v>113</v>
      </c>
      <c r="J1670">
        <v>0</v>
      </c>
      <c r="K1670">
        <v>3</v>
      </c>
      <c r="L1670">
        <v>83.757575759999995</v>
      </c>
      <c r="M1670">
        <v>22.60997987</v>
      </c>
      <c r="N1670">
        <v>0.72884000000000004</v>
      </c>
      <c r="O1670">
        <v>0.21301339999999999</v>
      </c>
      <c r="P1670">
        <v>83.757575759999995</v>
      </c>
      <c r="Q1670">
        <v>22.60997987</v>
      </c>
      <c r="R1670">
        <v>0.72884000000000004</v>
      </c>
      <c r="S1670">
        <v>0.21301339999999999</v>
      </c>
      <c r="T1670" t="s">
        <v>1016</v>
      </c>
      <c r="U1670">
        <v>0</v>
      </c>
    </row>
    <row r="1671" spans="1:21" x14ac:dyDescent="0.25">
      <c r="A1671" t="s">
        <v>18</v>
      </c>
      <c r="B1671" t="s">
        <v>913</v>
      </c>
      <c r="C1671">
        <v>16</v>
      </c>
      <c r="D1671" t="s">
        <v>19</v>
      </c>
      <c r="E1671" t="s">
        <v>95</v>
      </c>
      <c r="F1671" t="s">
        <v>113</v>
      </c>
      <c r="G1671" t="s">
        <v>121</v>
      </c>
      <c r="H1671" t="s">
        <v>808</v>
      </c>
      <c r="J1671">
        <v>0</v>
      </c>
      <c r="K1671">
        <v>1</v>
      </c>
      <c r="L1671">
        <v>83.757575759999995</v>
      </c>
      <c r="M1671">
        <v>22.60997987</v>
      </c>
      <c r="N1671">
        <v>0.72884000000000004</v>
      </c>
      <c r="O1671">
        <v>0.21301339999999999</v>
      </c>
      <c r="P1671">
        <v>102.79166669999999</v>
      </c>
      <c r="Q1671">
        <v>27.057373470000002</v>
      </c>
      <c r="R1671">
        <v>6.3567849939999999</v>
      </c>
      <c r="S1671" t="s">
        <v>114</v>
      </c>
      <c r="T1671" t="s">
        <v>1016</v>
      </c>
      <c r="U1671">
        <v>-4.4473935999999998</v>
      </c>
    </row>
    <row r="1672" spans="1:21" x14ac:dyDescent="0.25">
      <c r="A1672" t="s">
        <v>18</v>
      </c>
      <c r="B1672" t="s">
        <v>913</v>
      </c>
      <c r="C1672">
        <v>17</v>
      </c>
      <c r="D1672" t="s">
        <v>19</v>
      </c>
      <c r="E1672" t="s">
        <v>95</v>
      </c>
      <c r="F1672" t="s">
        <v>113</v>
      </c>
      <c r="G1672" t="s">
        <v>121</v>
      </c>
      <c r="H1672" t="s">
        <v>242</v>
      </c>
      <c r="J1672">
        <v>0</v>
      </c>
      <c r="K1672">
        <v>15</v>
      </c>
      <c r="L1672">
        <v>83.757575759999995</v>
      </c>
      <c r="M1672">
        <v>22.60997987</v>
      </c>
      <c r="N1672">
        <v>0.72884000000000004</v>
      </c>
      <c r="O1672">
        <v>0.21301339999999999</v>
      </c>
      <c r="P1672">
        <v>139.375</v>
      </c>
      <c r="Q1672">
        <v>23.713465920000001</v>
      </c>
      <c r="R1672" t="s">
        <v>114</v>
      </c>
      <c r="S1672" t="s">
        <v>114</v>
      </c>
      <c r="T1672" t="s">
        <v>1016</v>
      </c>
      <c r="U1672">
        <v>-1.1034860500000001</v>
      </c>
    </row>
    <row r="1673" spans="1:21" x14ac:dyDescent="0.25">
      <c r="A1673" t="s">
        <v>18</v>
      </c>
      <c r="B1673" t="s">
        <v>913</v>
      </c>
      <c r="C1673">
        <v>17</v>
      </c>
      <c r="D1673" t="s">
        <v>19</v>
      </c>
      <c r="E1673" t="s">
        <v>95</v>
      </c>
      <c r="F1673" t="s">
        <v>113</v>
      </c>
      <c r="G1673" t="s">
        <v>121</v>
      </c>
      <c r="H1673" t="s">
        <v>242</v>
      </c>
      <c r="J1673">
        <v>0</v>
      </c>
      <c r="K1673">
        <v>15</v>
      </c>
      <c r="L1673">
        <v>83.757575759999995</v>
      </c>
      <c r="M1673">
        <v>22.60997987</v>
      </c>
      <c r="N1673">
        <v>0.72884000000000004</v>
      </c>
      <c r="O1673">
        <v>0.21301339999999999</v>
      </c>
      <c r="P1673">
        <v>139.375</v>
      </c>
      <c r="Q1673">
        <v>23.713465920000001</v>
      </c>
      <c r="R1673" t="s">
        <v>114</v>
      </c>
      <c r="S1673" t="s">
        <v>114</v>
      </c>
      <c r="T1673" t="s">
        <v>1016</v>
      </c>
      <c r="U1673">
        <v>-1.1034860500000001</v>
      </c>
    </row>
    <row r="1674" spans="1:21" x14ac:dyDescent="0.25">
      <c r="A1674" t="s">
        <v>18</v>
      </c>
      <c r="B1674" t="s">
        <v>913</v>
      </c>
      <c r="C1674">
        <v>17</v>
      </c>
      <c r="D1674" t="s">
        <v>19</v>
      </c>
      <c r="E1674" t="s">
        <v>95</v>
      </c>
      <c r="F1674" t="s">
        <v>113</v>
      </c>
      <c r="G1674" t="s">
        <v>121</v>
      </c>
      <c r="H1674" t="s">
        <v>242</v>
      </c>
      <c r="J1674">
        <v>0</v>
      </c>
      <c r="K1674">
        <v>15</v>
      </c>
      <c r="L1674">
        <v>83.757575759999995</v>
      </c>
      <c r="M1674">
        <v>22.60997987</v>
      </c>
      <c r="N1674">
        <v>0.72884000000000004</v>
      </c>
      <c r="O1674">
        <v>0.21301339999999999</v>
      </c>
      <c r="P1674">
        <v>139.375</v>
      </c>
      <c r="Q1674">
        <v>23.713465920000001</v>
      </c>
      <c r="R1674" t="s">
        <v>114</v>
      </c>
      <c r="S1674" t="s">
        <v>114</v>
      </c>
      <c r="T1674" t="s">
        <v>1016</v>
      </c>
      <c r="U1674">
        <v>-1.1034860500000001</v>
      </c>
    </row>
    <row r="1675" spans="1:21" x14ac:dyDescent="0.25">
      <c r="A1675" t="s">
        <v>18</v>
      </c>
      <c r="B1675" t="s">
        <v>913</v>
      </c>
      <c r="C1675">
        <v>17</v>
      </c>
      <c r="D1675" t="s">
        <v>19</v>
      </c>
      <c r="E1675" t="s">
        <v>95</v>
      </c>
      <c r="F1675" t="s">
        <v>113</v>
      </c>
      <c r="G1675" t="s">
        <v>121</v>
      </c>
      <c r="H1675" t="s">
        <v>242</v>
      </c>
      <c r="J1675">
        <v>0</v>
      </c>
      <c r="K1675">
        <v>15</v>
      </c>
      <c r="L1675">
        <v>83.757575759999995</v>
      </c>
      <c r="M1675">
        <v>22.60997987</v>
      </c>
      <c r="N1675">
        <v>0.72884000000000004</v>
      </c>
      <c r="O1675">
        <v>0.21301339999999999</v>
      </c>
      <c r="P1675">
        <v>139.375</v>
      </c>
      <c r="Q1675">
        <v>23.713465920000001</v>
      </c>
      <c r="R1675" t="s">
        <v>114</v>
      </c>
      <c r="S1675" t="s">
        <v>114</v>
      </c>
      <c r="T1675" t="s">
        <v>1016</v>
      </c>
      <c r="U1675">
        <v>-1.1034860500000001</v>
      </c>
    </row>
    <row r="1676" spans="1:21" x14ac:dyDescent="0.25">
      <c r="A1676" t="s">
        <v>18</v>
      </c>
      <c r="B1676" t="s">
        <v>913</v>
      </c>
      <c r="C1676">
        <v>17</v>
      </c>
      <c r="D1676" t="s">
        <v>19</v>
      </c>
      <c r="E1676" t="s">
        <v>95</v>
      </c>
      <c r="F1676" t="s">
        <v>113</v>
      </c>
      <c r="G1676" t="s">
        <v>121</v>
      </c>
      <c r="H1676" t="s">
        <v>242</v>
      </c>
      <c r="J1676">
        <v>0</v>
      </c>
      <c r="K1676">
        <v>15</v>
      </c>
      <c r="L1676">
        <v>83.757575759999995</v>
      </c>
      <c r="M1676">
        <v>22.60997987</v>
      </c>
      <c r="N1676">
        <v>0.72884000000000004</v>
      </c>
      <c r="O1676">
        <v>0.21301339999999999</v>
      </c>
      <c r="P1676">
        <v>139.375</v>
      </c>
      <c r="Q1676">
        <v>23.713465920000001</v>
      </c>
      <c r="R1676" t="s">
        <v>114</v>
      </c>
      <c r="S1676" t="s">
        <v>114</v>
      </c>
      <c r="T1676" t="s">
        <v>1016</v>
      </c>
      <c r="U1676">
        <v>-1.1034860500000001</v>
      </c>
    </row>
    <row r="1677" spans="1:21" x14ac:dyDescent="0.25">
      <c r="A1677" t="s">
        <v>18</v>
      </c>
      <c r="B1677" t="s">
        <v>913</v>
      </c>
      <c r="C1677">
        <v>17</v>
      </c>
      <c r="D1677" t="s">
        <v>19</v>
      </c>
      <c r="E1677" t="s">
        <v>95</v>
      </c>
      <c r="F1677" t="s">
        <v>113</v>
      </c>
      <c r="G1677" t="s">
        <v>121</v>
      </c>
      <c r="H1677" t="s">
        <v>242</v>
      </c>
      <c r="J1677">
        <v>0</v>
      </c>
      <c r="K1677">
        <v>15</v>
      </c>
      <c r="L1677">
        <v>83.757575759999995</v>
      </c>
      <c r="M1677">
        <v>22.60997987</v>
      </c>
      <c r="N1677">
        <v>0.72884000000000004</v>
      </c>
      <c r="O1677">
        <v>0.21301339999999999</v>
      </c>
      <c r="P1677">
        <v>139.375</v>
      </c>
      <c r="Q1677">
        <v>23.713465920000001</v>
      </c>
      <c r="R1677" t="s">
        <v>114</v>
      </c>
      <c r="S1677" t="s">
        <v>114</v>
      </c>
      <c r="T1677" t="s">
        <v>1016</v>
      </c>
      <c r="U1677">
        <v>-1.1034860500000001</v>
      </c>
    </row>
    <row r="1678" spans="1:21" x14ac:dyDescent="0.25">
      <c r="A1678" t="s">
        <v>18</v>
      </c>
      <c r="B1678" t="s">
        <v>913</v>
      </c>
      <c r="C1678">
        <v>17</v>
      </c>
      <c r="D1678" t="s">
        <v>19</v>
      </c>
      <c r="E1678" t="s">
        <v>95</v>
      </c>
      <c r="F1678" t="s">
        <v>113</v>
      </c>
      <c r="G1678" t="s">
        <v>121</v>
      </c>
      <c r="H1678" t="s">
        <v>242</v>
      </c>
      <c r="J1678">
        <v>0</v>
      </c>
      <c r="K1678">
        <v>15</v>
      </c>
      <c r="L1678">
        <v>83.757575759999995</v>
      </c>
      <c r="M1678">
        <v>22.60997987</v>
      </c>
      <c r="N1678">
        <v>0.72884000000000004</v>
      </c>
      <c r="O1678">
        <v>0.21301339999999999</v>
      </c>
      <c r="P1678">
        <v>139.375</v>
      </c>
      <c r="Q1678">
        <v>23.713465920000001</v>
      </c>
      <c r="R1678" t="s">
        <v>114</v>
      </c>
      <c r="S1678" t="s">
        <v>114</v>
      </c>
      <c r="T1678" t="s">
        <v>1016</v>
      </c>
      <c r="U1678">
        <v>-1.1034860500000001</v>
      </c>
    </row>
    <row r="1679" spans="1:21" x14ac:dyDescent="0.25">
      <c r="A1679" t="s">
        <v>18</v>
      </c>
      <c r="B1679" t="s">
        <v>913</v>
      </c>
      <c r="C1679">
        <v>17</v>
      </c>
      <c r="D1679" t="s">
        <v>19</v>
      </c>
      <c r="E1679" t="s">
        <v>95</v>
      </c>
      <c r="F1679" t="s">
        <v>113</v>
      </c>
      <c r="G1679" t="s">
        <v>121</v>
      </c>
      <c r="H1679" t="s">
        <v>242</v>
      </c>
      <c r="J1679">
        <v>0</v>
      </c>
      <c r="K1679">
        <v>15</v>
      </c>
      <c r="L1679">
        <v>83.757575759999995</v>
      </c>
      <c r="M1679">
        <v>22.60997987</v>
      </c>
      <c r="N1679">
        <v>0.72884000000000004</v>
      </c>
      <c r="O1679">
        <v>0.21301339999999999</v>
      </c>
      <c r="P1679">
        <v>139.375</v>
      </c>
      <c r="Q1679">
        <v>23.713465920000001</v>
      </c>
      <c r="R1679" t="s">
        <v>114</v>
      </c>
      <c r="S1679" t="s">
        <v>114</v>
      </c>
      <c r="T1679" t="s">
        <v>1016</v>
      </c>
      <c r="U1679">
        <v>-1.1034860500000001</v>
      </c>
    </row>
    <row r="1680" spans="1:21" x14ac:dyDescent="0.25">
      <c r="A1680" t="s">
        <v>18</v>
      </c>
      <c r="B1680" t="s">
        <v>913</v>
      </c>
      <c r="C1680">
        <v>17</v>
      </c>
      <c r="D1680" t="s">
        <v>19</v>
      </c>
      <c r="E1680" t="s">
        <v>95</v>
      </c>
      <c r="F1680" t="s">
        <v>113</v>
      </c>
      <c r="G1680" t="s">
        <v>121</v>
      </c>
      <c r="H1680" t="s">
        <v>242</v>
      </c>
      <c r="J1680">
        <v>0</v>
      </c>
      <c r="K1680">
        <v>15</v>
      </c>
      <c r="L1680">
        <v>83.757575759999995</v>
      </c>
      <c r="M1680">
        <v>22.60997987</v>
      </c>
      <c r="N1680">
        <v>0.72884000000000004</v>
      </c>
      <c r="O1680">
        <v>0.21301339999999999</v>
      </c>
      <c r="P1680">
        <v>139.375</v>
      </c>
      <c r="Q1680">
        <v>23.713465920000001</v>
      </c>
      <c r="R1680" t="s">
        <v>114</v>
      </c>
      <c r="S1680" t="s">
        <v>114</v>
      </c>
      <c r="T1680" t="s">
        <v>1016</v>
      </c>
      <c r="U1680">
        <v>-1.1034860500000001</v>
      </c>
    </row>
    <row r="1681" spans="1:21" x14ac:dyDescent="0.25">
      <c r="A1681" t="s">
        <v>18</v>
      </c>
      <c r="B1681" t="s">
        <v>913</v>
      </c>
      <c r="C1681">
        <v>17</v>
      </c>
      <c r="D1681" t="s">
        <v>19</v>
      </c>
      <c r="E1681" t="s">
        <v>95</v>
      </c>
      <c r="F1681" t="s">
        <v>113</v>
      </c>
      <c r="G1681" t="s">
        <v>121</v>
      </c>
      <c r="H1681" t="s">
        <v>242</v>
      </c>
      <c r="J1681">
        <v>0</v>
      </c>
      <c r="K1681">
        <v>15</v>
      </c>
      <c r="L1681">
        <v>83.757575759999995</v>
      </c>
      <c r="M1681">
        <v>22.60997987</v>
      </c>
      <c r="N1681">
        <v>0.72884000000000004</v>
      </c>
      <c r="O1681">
        <v>0.21301339999999999</v>
      </c>
      <c r="P1681">
        <v>139.375</v>
      </c>
      <c r="Q1681">
        <v>23.713465920000001</v>
      </c>
      <c r="R1681" t="s">
        <v>114</v>
      </c>
      <c r="S1681" t="s">
        <v>114</v>
      </c>
      <c r="T1681" t="s">
        <v>1016</v>
      </c>
      <c r="U1681">
        <v>-1.1034860500000001</v>
      </c>
    </row>
    <row r="1682" spans="1:21" x14ac:dyDescent="0.25">
      <c r="A1682" t="s">
        <v>18</v>
      </c>
      <c r="B1682" t="s">
        <v>913</v>
      </c>
      <c r="C1682">
        <v>17</v>
      </c>
      <c r="D1682" t="s">
        <v>19</v>
      </c>
      <c r="E1682" t="s">
        <v>95</v>
      </c>
      <c r="F1682" t="s">
        <v>113</v>
      </c>
      <c r="G1682" t="s">
        <v>121</v>
      </c>
      <c r="H1682" t="s">
        <v>242</v>
      </c>
      <c r="J1682">
        <v>0</v>
      </c>
      <c r="K1682">
        <v>15</v>
      </c>
      <c r="L1682">
        <v>83.757575759999995</v>
      </c>
      <c r="M1682">
        <v>22.60997987</v>
      </c>
      <c r="N1682">
        <v>0.72884000000000004</v>
      </c>
      <c r="O1682">
        <v>0.21301339999999999</v>
      </c>
      <c r="P1682">
        <v>139.375</v>
      </c>
      <c r="Q1682">
        <v>23.713465920000001</v>
      </c>
      <c r="R1682" t="s">
        <v>114</v>
      </c>
      <c r="S1682" t="s">
        <v>114</v>
      </c>
      <c r="T1682" t="s">
        <v>1016</v>
      </c>
      <c r="U1682">
        <v>-1.1034860500000001</v>
      </c>
    </row>
    <row r="1683" spans="1:21" x14ac:dyDescent="0.25">
      <c r="A1683" t="s">
        <v>18</v>
      </c>
      <c r="B1683" t="s">
        <v>913</v>
      </c>
      <c r="C1683">
        <v>17</v>
      </c>
      <c r="D1683" t="s">
        <v>19</v>
      </c>
      <c r="E1683" t="s">
        <v>95</v>
      </c>
      <c r="F1683" t="s">
        <v>113</v>
      </c>
      <c r="G1683" t="s">
        <v>121</v>
      </c>
      <c r="H1683" t="s">
        <v>242</v>
      </c>
      <c r="J1683">
        <v>0</v>
      </c>
      <c r="K1683">
        <v>15</v>
      </c>
      <c r="L1683">
        <v>83.757575759999995</v>
      </c>
      <c r="M1683">
        <v>22.60997987</v>
      </c>
      <c r="N1683">
        <v>0.72884000000000004</v>
      </c>
      <c r="O1683">
        <v>0.21301339999999999</v>
      </c>
      <c r="P1683">
        <v>139.375</v>
      </c>
      <c r="Q1683">
        <v>23.713465920000001</v>
      </c>
      <c r="R1683" t="s">
        <v>114</v>
      </c>
      <c r="S1683" t="s">
        <v>114</v>
      </c>
      <c r="T1683" t="s">
        <v>1016</v>
      </c>
      <c r="U1683">
        <v>-1.1034860500000001</v>
      </c>
    </row>
    <row r="1684" spans="1:21" x14ac:dyDescent="0.25">
      <c r="A1684" t="s">
        <v>18</v>
      </c>
      <c r="B1684" t="s">
        <v>913</v>
      </c>
      <c r="C1684">
        <v>17</v>
      </c>
      <c r="D1684" t="s">
        <v>19</v>
      </c>
      <c r="E1684" t="s">
        <v>95</v>
      </c>
      <c r="F1684" t="s">
        <v>113</v>
      </c>
      <c r="G1684" t="s">
        <v>121</v>
      </c>
      <c r="H1684" t="s">
        <v>242</v>
      </c>
      <c r="J1684">
        <v>0</v>
      </c>
      <c r="K1684">
        <v>15</v>
      </c>
      <c r="L1684">
        <v>83.757575759999995</v>
      </c>
      <c r="M1684">
        <v>22.60997987</v>
      </c>
      <c r="N1684">
        <v>0.72884000000000004</v>
      </c>
      <c r="O1684">
        <v>0.21301339999999999</v>
      </c>
      <c r="P1684">
        <v>139.375</v>
      </c>
      <c r="Q1684">
        <v>23.713465920000001</v>
      </c>
      <c r="R1684" t="s">
        <v>114</v>
      </c>
      <c r="S1684" t="s">
        <v>114</v>
      </c>
      <c r="T1684" t="s">
        <v>1016</v>
      </c>
      <c r="U1684">
        <v>-1.1034860500000001</v>
      </c>
    </row>
    <row r="1685" spans="1:21" x14ac:dyDescent="0.25">
      <c r="A1685" t="s">
        <v>18</v>
      </c>
      <c r="B1685" t="s">
        <v>913</v>
      </c>
      <c r="C1685">
        <v>17</v>
      </c>
      <c r="D1685" t="s">
        <v>19</v>
      </c>
      <c r="E1685" t="s">
        <v>95</v>
      </c>
      <c r="F1685" t="s">
        <v>113</v>
      </c>
      <c r="G1685" t="s">
        <v>121</v>
      </c>
      <c r="H1685" t="s">
        <v>242</v>
      </c>
      <c r="J1685">
        <v>0</v>
      </c>
      <c r="K1685">
        <v>15</v>
      </c>
      <c r="L1685">
        <v>83.757575759999995</v>
      </c>
      <c r="M1685">
        <v>22.60997987</v>
      </c>
      <c r="N1685">
        <v>0.72884000000000004</v>
      </c>
      <c r="O1685">
        <v>0.21301339999999999</v>
      </c>
      <c r="P1685">
        <v>139.375</v>
      </c>
      <c r="Q1685">
        <v>23.713465920000001</v>
      </c>
      <c r="R1685" t="s">
        <v>114</v>
      </c>
      <c r="S1685" t="s">
        <v>114</v>
      </c>
      <c r="T1685" t="s">
        <v>1016</v>
      </c>
      <c r="U1685">
        <v>-1.1034860500000001</v>
      </c>
    </row>
    <row r="1686" spans="1:21" x14ac:dyDescent="0.25">
      <c r="A1686" t="s">
        <v>18</v>
      </c>
      <c r="B1686" t="s">
        <v>913</v>
      </c>
      <c r="C1686">
        <v>17</v>
      </c>
      <c r="D1686" t="s">
        <v>19</v>
      </c>
      <c r="E1686" t="s">
        <v>95</v>
      </c>
      <c r="F1686" t="s">
        <v>113</v>
      </c>
      <c r="G1686" t="s">
        <v>121</v>
      </c>
      <c r="H1686" t="s">
        <v>242</v>
      </c>
      <c r="J1686">
        <v>0</v>
      </c>
      <c r="K1686">
        <v>15</v>
      </c>
      <c r="L1686">
        <v>83.757575759999995</v>
      </c>
      <c r="M1686">
        <v>22.60997987</v>
      </c>
      <c r="N1686">
        <v>0.72884000000000004</v>
      </c>
      <c r="O1686">
        <v>0.21301339999999999</v>
      </c>
      <c r="P1686">
        <v>139.375</v>
      </c>
      <c r="Q1686">
        <v>23.713465920000001</v>
      </c>
      <c r="R1686" t="s">
        <v>114</v>
      </c>
      <c r="S1686" t="s">
        <v>114</v>
      </c>
      <c r="T1686" t="s">
        <v>1016</v>
      </c>
      <c r="U1686">
        <v>-1.1034860500000001</v>
      </c>
    </row>
    <row r="1687" spans="1:21" x14ac:dyDescent="0.25">
      <c r="A1687" t="s">
        <v>18</v>
      </c>
      <c r="B1687" t="s">
        <v>914</v>
      </c>
      <c r="C1687">
        <v>15</v>
      </c>
      <c r="D1687" t="s">
        <v>19</v>
      </c>
      <c r="E1687" t="s">
        <v>95</v>
      </c>
      <c r="F1687" t="s">
        <v>111</v>
      </c>
      <c r="G1687" t="s">
        <v>121</v>
      </c>
      <c r="H1687" t="s">
        <v>113</v>
      </c>
      <c r="J1687">
        <v>0</v>
      </c>
      <c r="K1687">
        <v>2</v>
      </c>
      <c r="L1687">
        <v>94.97142857</v>
      </c>
      <c r="M1687">
        <v>24.31591813</v>
      </c>
      <c r="N1687">
        <v>0.122951111</v>
      </c>
      <c r="O1687">
        <v>0.39050790000000002</v>
      </c>
      <c r="P1687">
        <v>83.757575759999995</v>
      </c>
      <c r="Q1687">
        <v>22.60997987</v>
      </c>
      <c r="R1687">
        <v>0.72884000000000004</v>
      </c>
      <c r="S1687">
        <v>0.21301339999999999</v>
      </c>
      <c r="T1687" t="s">
        <v>1016</v>
      </c>
      <c r="U1687">
        <v>1.7059382599999999</v>
      </c>
    </row>
    <row r="1688" spans="1:21" x14ac:dyDescent="0.25">
      <c r="A1688" t="s">
        <v>18</v>
      </c>
      <c r="B1688" t="s">
        <v>914</v>
      </c>
      <c r="C1688">
        <v>15</v>
      </c>
      <c r="D1688" t="s">
        <v>19</v>
      </c>
      <c r="E1688" t="s">
        <v>95</v>
      </c>
      <c r="F1688" t="s">
        <v>111</v>
      </c>
      <c r="G1688" t="s">
        <v>121</v>
      </c>
      <c r="H1688" t="s">
        <v>113</v>
      </c>
      <c r="J1688">
        <v>0</v>
      </c>
      <c r="K1688">
        <v>2</v>
      </c>
      <c r="L1688">
        <v>94.97142857</v>
      </c>
      <c r="M1688">
        <v>24.31591813</v>
      </c>
      <c r="N1688">
        <v>0.122951111</v>
      </c>
      <c r="O1688">
        <v>0.39050790000000002</v>
      </c>
      <c r="P1688">
        <v>83.757575759999995</v>
      </c>
      <c r="Q1688">
        <v>22.60997987</v>
      </c>
      <c r="R1688">
        <v>0.72884000000000004</v>
      </c>
      <c r="S1688">
        <v>0.21301339999999999</v>
      </c>
      <c r="T1688" t="s">
        <v>1016</v>
      </c>
      <c r="U1688">
        <v>1.7059382599999999</v>
      </c>
    </row>
    <row r="1689" spans="1:21" x14ac:dyDescent="0.25">
      <c r="A1689" t="s">
        <v>18</v>
      </c>
      <c r="B1689" t="s">
        <v>914</v>
      </c>
      <c r="C1689">
        <v>16</v>
      </c>
      <c r="D1689" t="s">
        <v>19</v>
      </c>
      <c r="E1689" t="s">
        <v>95</v>
      </c>
      <c r="F1689" t="s">
        <v>111</v>
      </c>
      <c r="G1689" t="s">
        <v>121</v>
      </c>
      <c r="H1689" t="s">
        <v>242</v>
      </c>
      <c r="J1689">
        <v>0</v>
      </c>
      <c r="K1689">
        <v>2</v>
      </c>
      <c r="L1689">
        <v>94.97142857</v>
      </c>
      <c r="M1689">
        <v>24.31591813</v>
      </c>
      <c r="N1689">
        <v>0.122951111</v>
      </c>
      <c r="O1689">
        <v>0.39050790000000002</v>
      </c>
      <c r="P1689">
        <v>139.375</v>
      </c>
      <c r="Q1689">
        <v>23.713465920000001</v>
      </c>
      <c r="R1689" t="s">
        <v>114</v>
      </c>
      <c r="S1689" t="s">
        <v>114</v>
      </c>
      <c r="T1689" t="s">
        <v>1016</v>
      </c>
      <c r="U1689">
        <v>0.60245221000000004</v>
      </c>
    </row>
    <row r="1690" spans="1:21" x14ac:dyDescent="0.25">
      <c r="A1690" t="s">
        <v>18</v>
      </c>
      <c r="B1690" t="s">
        <v>914</v>
      </c>
      <c r="C1690">
        <v>16</v>
      </c>
      <c r="D1690" t="s">
        <v>19</v>
      </c>
      <c r="E1690" t="s">
        <v>95</v>
      </c>
      <c r="F1690" t="s">
        <v>111</v>
      </c>
      <c r="G1690" t="s">
        <v>121</v>
      </c>
      <c r="H1690" t="s">
        <v>242</v>
      </c>
      <c r="J1690">
        <v>0</v>
      </c>
      <c r="K1690">
        <v>2</v>
      </c>
      <c r="L1690">
        <v>94.97142857</v>
      </c>
      <c r="M1690">
        <v>24.31591813</v>
      </c>
      <c r="N1690">
        <v>0.122951111</v>
      </c>
      <c r="O1690">
        <v>0.39050790000000002</v>
      </c>
      <c r="P1690">
        <v>139.375</v>
      </c>
      <c r="Q1690">
        <v>23.713465920000001</v>
      </c>
      <c r="R1690" t="s">
        <v>114</v>
      </c>
      <c r="S1690" t="s">
        <v>114</v>
      </c>
      <c r="T1690" t="s">
        <v>1016</v>
      </c>
      <c r="U1690">
        <v>0.60245221000000004</v>
      </c>
    </row>
    <row r="1691" spans="1:21" x14ac:dyDescent="0.25">
      <c r="A1691" t="s">
        <v>18</v>
      </c>
      <c r="B1691" t="s">
        <v>915</v>
      </c>
      <c r="C1691">
        <v>15</v>
      </c>
      <c r="D1691" t="s">
        <v>19</v>
      </c>
      <c r="E1691" t="s">
        <v>95</v>
      </c>
      <c r="F1691" t="s">
        <v>104</v>
      </c>
      <c r="G1691" t="s">
        <v>121</v>
      </c>
      <c r="H1691" t="s">
        <v>247</v>
      </c>
      <c r="J1691">
        <v>0</v>
      </c>
      <c r="K1691">
        <v>1</v>
      </c>
      <c r="L1691">
        <v>113.9375</v>
      </c>
      <c r="M1691">
        <v>33.375507550000002</v>
      </c>
      <c r="N1691">
        <v>2.4262999999999999</v>
      </c>
      <c r="O1691">
        <v>0.40692159999999999</v>
      </c>
      <c r="P1691">
        <v>65.791044779999993</v>
      </c>
      <c r="Q1691">
        <v>22.94519201</v>
      </c>
      <c r="R1691">
        <v>8.1320334999999994E-2</v>
      </c>
      <c r="S1691">
        <v>0.17285655</v>
      </c>
      <c r="T1691" t="s">
        <v>1016</v>
      </c>
      <c r="U1691">
        <v>10.43031554</v>
      </c>
    </row>
    <row r="1692" spans="1:21" x14ac:dyDescent="0.25">
      <c r="A1692" t="s">
        <v>18</v>
      </c>
      <c r="B1692" t="s">
        <v>915</v>
      </c>
      <c r="C1692">
        <v>16</v>
      </c>
      <c r="D1692" t="s">
        <v>19</v>
      </c>
      <c r="E1692" t="s">
        <v>95</v>
      </c>
      <c r="F1692" t="s">
        <v>104</v>
      </c>
      <c r="G1692" t="s">
        <v>121</v>
      </c>
      <c r="H1692" t="s">
        <v>113</v>
      </c>
      <c r="J1692">
        <v>0</v>
      </c>
      <c r="K1692">
        <v>3</v>
      </c>
      <c r="L1692">
        <v>113.9375</v>
      </c>
      <c r="M1692">
        <v>33.375507550000002</v>
      </c>
      <c r="N1692">
        <v>2.4262999999999999</v>
      </c>
      <c r="O1692">
        <v>0.40692159999999999</v>
      </c>
      <c r="P1692">
        <v>83.757575759999995</v>
      </c>
      <c r="Q1692">
        <v>22.60997987</v>
      </c>
      <c r="R1692">
        <v>0.72884000000000004</v>
      </c>
      <c r="S1692">
        <v>0.21301339999999999</v>
      </c>
      <c r="T1692" t="s">
        <v>1016</v>
      </c>
      <c r="U1692">
        <v>10.76552768</v>
      </c>
    </row>
    <row r="1693" spans="1:21" x14ac:dyDescent="0.25">
      <c r="A1693" t="s">
        <v>18</v>
      </c>
      <c r="B1693" t="s">
        <v>915</v>
      </c>
      <c r="C1693">
        <v>16</v>
      </c>
      <c r="D1693" t="s">
        <v>19</v>
      </c>
      <c r="E1693" t="s">
        <v>95</v>
      </c>
      <c r="F1693" t="s">
        <v>104</v>
      </c>
      <c r="G1693" t="s">
        <v>121</v>
      </c>
      <c r="H1693" t="s">
        <v>113</v>
      </c>
      <c r="J1693">
        <v>0</v>
      </c>
      <c r="K1693">
        <v>3</v>
      </c>
      <c r="L1693">
        <v>113.9375</v>
      </c>
      <c r="M1693">
        <v>33.375507550000002</v>
      </c>
      <c r="N1693">
        <v>2.4262999999999999</v>
      </c>
      <c r="O1693">
        <v>0.40692159999999999</v>
      </c>
      <c r="P1693">
        <v>83.757575759999995</v>
      </c>
      <c r="Q1693">
        <v>22.60997987</v>
      </c>
      <c r="R1693">
        <v>0.72884000000000004</v>
      </c>
      <c r="S1693">
        <v>0.21301339999999999</v>
      </c>
      <c r="T1693" t="s">
        <v>1016</v>
      </c>
      <c r="U1693">
        <v>10.76552768</v>
      </c>
    </row>
    <row r="1694" spans="1:21" x14ac:dyDescent="0.25">
      <c r="A1694" t="s">
        <v>18</v>
      </c>
      <c r="B1694" t="s">
        <v>915</v>
      </c>
      <c r="C1694">
        <v>16</v>
      </c>
      <c r="D1694" t="s">
        <v>19</v>
      </c>
      <c r="E1694" t="s">
        <v>95</v>
      </c>
      <c r="F1694" t="s">
        <v>104</v>
      </c>
      <c r="G1694" t="s">
        <v>121</v>
      </c>
      <c r="H1694" t="s">
        <v>113</v>
      </c>
      <c r="J1694">
        <v>0</v>
      </c>
      <c r="K1694">
        <v>3</v>
      </c>
      <c r="L1694">
        <v>113.9375</v>
      </c>
      <c r="M1694">
        <v>33.375507550000002</v>
      </c>
      <c r="N1694">
        <v>2.4262999999999999</v>
      </c>
      <c r="O1694">
        <v>0.40692159999999999</v>
      </c>
      <c r="P1694">
        <v>83.757575759999995</v>
      </c>
      <c r="Q1694">
        <v>22.60997987</v>
      </c>
      <c r="R1694">
        <v>0.72884000000000004</v>
      </c>
      <c r="S1694">
        <v>0.21301339999999999</v>
      </c>
      <c r="T1694" t="s">
        <v>1016</v>
      </c>
      <c r="U1694">
        <v>10.76552768</v>
      </c>
    </row>
    <row r="1695" spans="1:21" x14ac:dyDescent="0.25">
      <c r="A1695" t="s">
        <v>18</v>
      </c>
      <c r="B1695" t="s">
        <v>916</v>
      </c>
      <c r="C1695">
        <v>15</v>
      </c>
      <c r="D1695" t="s">
        <v>19</v>
      </c>
      <c r="E1695" t="s">
        <v>95</v>
      </c>
      <c r="F1695" t="s">
        <v>112</v>
      </c>
      <c r="G1695" t="s">
        <v>113</v>
      </c>
      <c r="H1695" t="s">
        <v>113</v>
      </c>
      <c r="J1695">
        <v>0</v>
      </c>
      <c r="K1695">
        <v>1</v>
      </c>
      <c r="L1695">
        <v>65.09375</v>
      </c>
      <c r="M1695">
        <v>37.895352600000002</v>
      </c>
      <c r="N1695">
        <v>2.2882677779999998</v>
      </c>
      <c r="O1695">
        <v>2.2111774</v>
      </c>
      <c r="P1695">
        <v>83.757575759999995</v>
      </c>
      <c r="Q1695">
        <v>22.60997987</v>
      </c>
      <c r="R1695">
        <v>0.72884000000000004</v>
      </c>
      <c r="S1695">
        <v>0.21301339999999999</v>
      </c>
      <c r="T1695" t="s">
        <v>1016</v>
      </c>
      <c r="U1695">
        <v>15.285372730000001</v>
      </c>
    </row>
    <row r="1696" spans="1:21" x14ac:dyDescent="0.25">
      <c r="A1696" t="s">
        <v>20</v>
      </c>
      <c r="B1696" t="s">
        <v>917</v>
      </c>
      <c r="C1696">
        <v>15</v>
      </c>
      <c r="D1696" t="s">
        <v>21</v>
      </c>
      <c r="E1696" t="s">
        <v>94</v>
      </c>
      <c r="F1696" t="s">
        <v>102</v>
      </c>
      <c r="G1696" t="s">
        <v>121</v>
      </c>
      <c r="H1696" t="s">
        <v>246</v>
      </c>
      <c r="J1696">
        <v>0</v>
      </c>
      <c r="K1696">
        <v>1</v>
      </c>
      <c r="L1696">
        <v>84.740740740000007</v>
      </c>
      <c r="M1696">
        <v>29.167014049999999</v>
      </c>
      <c r="N1696">
        <v>1.1169849999999999</v>
      </c>
      <c r="O1696">
        <v>1.1571499000000001</v>
      </c>
      <c r="P1696">
        <v>120.25</v>
      </c>
      <c r="Q1696">
        <v>30.670450110000001</v>
      </c>
      <c r="R1696">
        <v>0.91037498500000003</v>
      </c>
      <c r="S1696" t="s">
        <v>114</v>
      </c>
      <c r="T1696" t="s">
        <v>1016</v>
      </c>
      <c r="U1696">
        <v>-1.5034360600000001</v>
      </c>
    </row>
    <row r="1697" spans="1:21" x14ac:dyDescent="0.25">
      <c r="A1697" t="s">
        <v>20</v>
      </c>
      <c r="B1697" t="s">
        <v>918</v>
      </c>
      <c r="C1697">
        <v>15</v>
      </c>
      <c r="D1697" t="s">
        <v>21</v>
      </c>
      <c r="E1697" t="s">
        <v>94</v>
      </c>
      <c r="F1697" t="s">
        <v>113</v>
      </c>
      <c r="G1697" t="s">
        <v>113</v>
      </c>
      <c r="H1697" t="s">
        <v>113</v>
      </c>
      <c r="J1697">
        <v>0</v>
      </c>
      <c r="K1697">
        <v>1</v>
      </c>
      <c r="L1697">
        <v>83.757575759999995</v>
      </c>
      <c r="M1697">
        <v>22.60997987</v>
      </c>
      <c r="N1697">
        <v>0.72884000000000004</v>
      </c>
      <c r="O1697">
        <v>0.21301339999999999</v>
      </c>
      <c r="P1697">
        <v>83.757575759999995</v>
      </c>
      <c r="Q1697">
        <v>22.60997987</v>
      </c>
      <c r="R1697">
        <v>0.72884000000000004</v>
      </c>
      <c r="S1697">
        <v>0.21301339999999999</v>
      </c>
      <c r="T1697" t="s">
        <v>1016</v>
      </c>
      <c r="U1697">
        <v>0</v>
      </c>
    </row>
    <row r="1698" spans="1:21" x14ac:dyDescent="0.25">
      <c r="A1698" t="s">
        <v>20</v>
      </c>
      <c r="B1698" t="s">
        <v>919</v>
      </c>
      <c r="C1698">
        <v>15</v>
      </c>
      <c r="D1698" t="s">
        <v>21</v>
      </c>
      <c r="E1698" t="s">
        <v>94</v>
      </c>
      <c r="F1698" t="s">
        <v>110</v>
      </c>
      <c r="G1698" t="s">
        <v>121</v>
      </c>
      <c r="H1698" t="s">
        <v>113</v>
      </c>
      <c r="J1698">
        <v>0</v>
      </c>
      <c r="K1698">
        <v>2</v>
      </c>
      <c r="L1698">
        <v>73.260869569999997</v>
      </c>
      <c r="M1698">
        <v>34.453830549999999</v>
      </c>
      <c r="N1698">
        <v>1.058333333</v>
      </c>
      <c r="O1698">
        <v>0.90897070000000002</v>
      </c>
      <c r="P1698">
        <v>83.757575759999995</v>
      </c>
      <c r="Q1698">
        <v>22.60997987</v>
      </c>
      <c r="R1698">
        <v>0.72884000000000004</v>
      </c>
      <c r="S1698">
        <v>0.21301339999999999</v>
      </c>
      <c r="T1698" t="s">
        <v>1016</v>
      </c>
      <c r="U1698">
        <v>11.843850679999999</v>
      </c>
    </row>
    <row r="1699" spans="1:21" x14ac:dyDescent="0.25">
      <c r="A1699" t="s">
        <v>20</v>
      </c>
      <c r="B1699" t="s">
        <v>919</v>
      </c>
      <c r="C1699">
        <v>15</v>
      </c>
      <c r="D1699" t="s">
        <v>21</v>
      </c>
      <c r="E1699" t="s">
        <v>94</v>
      </c>
      <c r="F1699" t="s">
        <v>110</v>
      </c>
      <c r="G1699" t="s">
        <v>121</v>
      </c>
      <c r="H1699" t="s">
        <v>113</v>
      </c>
      <c r="J1699">
        <v>0</v>
      </c>
      <c r="K1699">
        <v>2</v>
      </c>
      <c r="L1699">
        <v>73.260869569999997</v>
      </c>
      <c r="M1699">
        <v>34.453830549999999</v>
      </c>
      <c r="N1699">
        <v>1.058333333</v>
      </c>
      <c r="O1699">
        <v>0.90897070000000002</v>
      </c>
      <c r="P1699">
        <v>83.757575759999995</v>
      </c>
      <c r="Q1699">
        <v>22.60997987</v>
      </c>
      <c r="R1699">
        <v>0.72884000000000004</v>
      </c>
      <c r="S1699">
        <v>0.21301339999999999</v>
      </c>
      <c r="T1699" t="s">
        <v>1016</v>
      </c>
      <c r="U1699">
        <v>11.843850679999999</v>
      </c>
    </row>
    <row r="1700" spans="1:21" x14ac:dyDescent="0.25">
      <c r="A1700" t="s">
        <v>20</v>
      </c>
      <c r="B1700" t="s">
        <v>919</v>
      </c>
      <c r="C1700">
        <v>16</v>
      </c>
      <c r="D1700" t="s">
        <v>21</v>
      </c>
      <c r="E1700" t="s">
        <v>94</v>
      </c>
      <c r="F1700" t="s">
        <v>110</v>
      </c>
      <c r="G1700" t="s">
        <v>121</v>
      </c>
      <c r="H1700" t="s">
        <v>102</v>
      </c>
      <c r="J1700">
        <v>0</v>
      </c>
      <c r="K1700">
        <v>1</v>
      </c>
      <c r="L1700">
        <v>73.260869569999997</v>
      </c>
      <c r="M1700">
        <v>34.453830549999999</v>
      </c>
      <c r="N1700">
        <v>1.058333333</v>
      </c>
      <c r="O1700">
        <v>0.90897070000000002</v>
      </c>
      <c r="P1700">
        <v>84.740740740000007</v>
      </c>
      <c r="Q1700">
        <v>29.167014049999999</v>
      </c>
      <c r="R1700">
        <v>1.1169849999999999</v>
      </c>
      <c r="S1700">
        <v>1.1571499000000001</v>
      </c>
      <c r="T1700" t="s">
        <v>1016</v>
      </c>
      <c r="U1700">
        <v>5.2868164999999996</v>
      </c>
    </row>
    <row r="1701" spans="1:21" x14ac:dyDescent="0.25">
      <c r="A1701" t="s">
        <v>20</v>
      </c>
      <c r="B1701" t="s">
        <v>920</v>
      </c>
      <c r="C1701">
        <v>15</v>
      </c>
      <c r="D1701" t="s">
        <v>21</v>
      </c>
      <c r="E1701" t="s">
        <v>94</v>
      </c>
      <c r="F1701" t="s">
        <v>111</v>
      </c>
      <c r="G1701" t="s">
        <v>121</v>
      </c>
      <c r="H1701" t="s">
        <v>110</v>
      </c>
      <c r="J1701">
        <v>0</v>
      </c>
      <c r="K1701">
        <v>1</v>
      </c>
      <c r="L1701">
        <v>94.97142857</v>
      </c>
      <c r="M1701">
        <v>24.31591813</v>
      </c>
      <c r="N1701">
        <v>0.122951111</v>
      </c>
      <c r="O1701">
        <v>0.39050790000000002</v>
      </c>
      <c r="P1701">
        <v>73.260869569999997</v>
      </c>
      <c r="Q1701">
        <v>34.453830549999999</v>
      </c>
      <c r="R1701">
        <v>1.058333333</v>
      </c>
      <c r="S1701">
        <v>0.90897070000000002</v>
      </c>
      <c r="T1701" t="s">
        <v>1016</v>
      </c>
      <c r="U1701">
        <v>-10.137912419999999</v>
      </c>
    </row>
    <row r="1702" spans="1:21" x14ac:dyDescent="0.25">
      <c r="A1702" t="s">
        <v>22</v>
      </c>
      <c r="B1702" t="s">
        <v>921</v>
      </c>
      <c r="C1702">
        <v>15</v>
      </c>
      <c r="D1702" t="s">
        <v>23</v>
      </c>
      <c r="E1702" t="s">
        <v>95</v>
      </c>
      <c r="F1702" t="s">
        <v>102</v>
      </c>
      <c r="G1702" t="s">
        <v>121</v>
      </c>
      <c r="H1702" t="s">
        <v>236</v>
      </c>
      <c r="J1702">
        <v>0</v>
      </c>
      <c r="K1702">
        <v>1</v>
      </c>
      <c r="L1702">
        <v>84.740740740000007</v>
      </c>
      <c r="M1702">
        <v>29.167014049999999</v>
      </c>
      <c r="N1702">
        <v>1.1169849999999999</v>
      </c>
      <c r="O1702">
        <v>1.1571499000000001</v>
      </c>
      <c r="P1702">
        <v>113.33333330000001</v>
      </c>
      <c r="Q1702">
        <v>26.41632581</v>
      </c>
      <c r="R1702">
        <v>1.6844570160000001</v>
      </c>
      <c r="S1702">
        <v>8.9285710000000004E-2</v>
      </c>
      <c r="T1702" t="s">
        <v>1016</v>
      </c>
      <c r="U1702">
        <v>2.7506882400000001</v>
      </c>
    </row>
    <row r="1703" spans="1:21" x14ac:dyDescent="0.25">
      <c r="A1703" t="s">
        <v>22</v>
      </c>
      <c r="B1703" t="s">
        <v>922</v>
      </c>
      <c r="C1703">
        <v>15</v>
      </c>
      <c r="D1703" t="s">
        <v>23</v>
      </c>
      <c r="E1703" t="s">
        <v>95</v>
      </c>
      <c r="F1703" t="s">
        <v>105</v>
      </c>
      <c r="G1703" t="s">
        <v>121</v>
      </c>
      <c r="H1703" t="s">
        <v>113</v>
      </c>
      <c r="J1703">
        <v>0</v>
      </c>
      <c r="K1703">
        <v>4</v>
      </c>
      <c r="L1703">
        <v>67.5</v>
      </c>
      <c r="M1703">
        <v>47.937235809999997</v>
      </c>
      <c r="N1703">
        <v>0.41599678000000001</v>
      </c>
      <c r="O1703">
        <v>2.0950346999999998</v>
      </c>
      <c r="P1703">
        <v>83.757575759999995</v>
      </c>
      <c r="Q1703">
        <v>22.60997987</v>
      </c>
      <c r="R1703">
        <v>0.72884000000000004</v>
      </c>
      <c r="S1703">
        <v>0.21301339999999999</v>
      </c>
      <c r="T1703" t="s">
        <v>1016</v>
      </c>
      <c r="U1703">
        <v>25.327255940000001</v>
      </c>
    </row>
    <row r="1704" spans="1:21" x14ac:dyDescent="0.25">
      <c r="A1704" t="s">
        <v>22</v>
      </c>
      <c r="B1704" t="s">
        <v>922</v>
      </c>
      <c r="C1704">
        <v>15</v>
      </c>
      <c r="D1704" t="s">
        <v>23</v>
      </c>
      <c r="E1704" t="s">
        <v>95</v>
      </c>
      <c r="F1704" t="s">
        <v>105</v>
      </c>
      <c r="G1704" t="s">
        <v>121</v>
      </c>
      <c r="H1704" t="s">
        <v>113</v>
      </c>
      <c r="J1704">
        <v>0</v>
      </c>
      <c r="K1704">
        <v>4</v>
      </c>
      <c r="L1704">
        <v>67.5</v>
      </c>
      <c r="M1704">
        <v>47.937235809999997</v>
      </c>
      <c r="N1704">
        <v>0.41599678000000001</v>
      </c>
      <c r="O1704">
        <v>2.0950346999999998</v>
      </c>
      <c r="P1704">
        <v>83.757575759999995</v>
      </c>
      <c r="Q1704">
        <v>22.60997987</v>
      </c>
      <c r="R1704">
        <v>0.72884000000000004</v>
      </c>
      <c r="S1704">
        <v>0.21301339999999999</v>
      </c>
      <c r="T1704" t="s">
        <v>1016</v>
      </c>
      <c r="U1704">
        <v>25.327255940000001</v>
      </c>
    </row>
    <row r="1705" spans="1:21" x14ac:dyDescent="0.25">
      <c r="A1705" t="s">
        <v>22</v>
      </c>
      <c r="B1705" t="s">
        <v>922</v>
      </c>
      <c r="C1705">
        <v>15</v>
      </c>
      <c r="D1705" t="s">
        <v>23</v>
      </c>
      <c r="E1705" t="s">
        <v>95</v>
      </c>
      <c r="F1705" t="s">
        <v>105</v>
      </c>
      <c r="G1705" t="s">
        <v>121</v>
      </c>
      <c r="H1705" t="s">
        <v>113</v>
      </c>
      <c r="J1705">
        <v>0</v>
      </c>
      <c r="K1705">
        <v>4</v>
      </c>
      <c r="L1705">
        <v>67.5</v>
      </c>
      <c r="M1705">
        <v>47.937235809999997</v>
      </c>
      <c r="N1705">
        <v>0.41599678000000001</v>
      </c>
      <c r="O1705">
        <v>2.0950346999999998</v>
      </c>
      <c r="P1705">
        <v>83.757575759999995</v>
      </c>
      <c r="Q1705">
        <v>22.60997987</v>
      </c>
      <c r="R1705">
        <v>0.72884000000000004</v>
      </c>
      <c r="S1705">
        <v>0.21301339999999999</v>
      </c>
      <c r="T1705" t="s">
        <v>1016</v>
      </c>
      <c r="U1705">
        <v>25.327255940000001</v>
      </c>
    </row>
    <row r="1706" spans="1:21" x14ac:dyDescent="0.25">
      <c r="A1706" t="s">
        <v>22</v>
      </c>
      <c r="B1706" t="s">
        <v>922</v>
      </c>
      <c r="C1706">
        <v>15</v>
      </c>
      <c r="D1706" t="s">
        <v>23</v>
      </c>
      <c r="E1706" t="s">
        <v>95</v>
      </c>
      <c r="F1706" t="s">
        <v>105</v>
      </c>
      <c r="G1706" t="s">
        <v>121</v>
      </c>
      <c r="H1706" t="s">
        <v>113</v>
      </c>
      <c r="J1706">
        <v>0</v>
      </c>
      <c r="K1706">
        <v>4</v>
      </c>
      <c r="L1706">
        <v>67.5</v>
      </c>
      <c r="M1706">
        <v>47.937235809999997</v>
      </c>
      <c r="N1706">
        <v>0.41599678000000001</v>
      </c>
      <c r="O1706">
        <v>2.0950346999999998</v>
      </c>
      <c r="P1706">
        <v>83.757575759999995</v>
      </c>
      <c r="Q1706">
        <v>22.60997987</v>
      </c>
      <c r="R1706">
        <v>0.72884000000000004</v>
      </c>
      <c r="S1706">
        <v>0.21301339999999999</v>
      </c>
      <c r="T1706" t="s">
        <v>1016</v>
      </c>
      <c r="U1706">
        <v>25.327255940000001</v>
      </c>
    </row>
    <row r="1707" spans="1:21" x14ac:dyDescent="0.25">
      <c r="A1707" t="s">
        <v>22</v>
      </c>
      <c r="B1707" t="s">
        <v>922</v>
      </c>
      <c r="C1707">
        <v>16</v>
      </c>
      <c r="D1707" t="s">
        <v>23</v>
      </c>
      <c r="E1707" t="s">
        <v>95</v>
      </c>
      <c r="F1707" t="s">
        <v>105</v>
      </c>
      <c r="G1707" t="s">
        <v>121</v>
      </c>
      <c r="H1707" t="s">
        <v>103</v>
      </c>
      <c r="J1707">
        <v>0</v>
      </c>
      <c r="K1707">
        <v>1</v>
      </c>
      <c r="L1707">
        <v>67.5</v>
      </c>
      <c r="M1707">
        <v>47.937235809999997</v>
      </c>
      <c r="N1707">
        <v>0.41599678000000001</v>
      </c>
      <c r="O1707">
        <v>2.0950346999999998</v>
      </c>
      <c r="P1707">
        <v>98.291666669999998</v>
      </c>
      <c r="Q1707">
        <v>30.315130790000001</v>
      </c>
      <c r="R1707">
        <v>5.0803484000000003E-2</v>
      </c>
      <c r="S1707">
        <v>0.42866070000000001</v>
      </c>
      <c r="T1707" t="s">
        <v>1016</v>
      </c>
      <c r="U1707">
        <v>17.622105019999999</v>
      </c>
    </row>
    <row r="1708" spans="1:21" x14ac:dyDescent="0.25">
      <c r="A1708" t="s">
        <v>22</v>
      </c>
      <c r="B1708" t="s">
        <v>922</v>
      </c>
      <c r="C1708">
        <v>17</v>
      </c>
      <c r="D1708" t="s">
        <v>23</v>
      </c>
      <c r="E1708" t="s">
        <v>95</v>
      </c>
      <c r="F1708" t="s">
        <v>105</v>
      </c>
      <c r="G1708" t="s">
        <v>121</v>
      </c>
      <c r="H1708" t="s">
        <v>234</v>
      </c>
      <c r="J1708">
        <v>0</v>
      </c>
      <c r="K1708">
        <v>1</v>
      </c>
      <c r="L1708">
        <v>67.5</v>
      </c>
      <c r="M1708">
        <v>47.937235809999997</v>
      </c>
      <c r="N1708">
        <v>0.41599678000000001</v>
      </c>
      <c r="O1708">
        <v>2.0950346999999998</v>
      </c>
      <c r="P1708">
        <v>89.8125</v>
      </c>
      <c r="Q1708">
        <v>34.754706650000003</v>
      </c>
      <c r="R1708">
        <v>2.3065078999999999E-2</v>
      </c>
      <c r="S1708">
        <v>2.4791666700000001</v>
      </c>
      <c r="T1708" t="s">
        <v>1016</v>
      </c>
      <c r="U1708">
        <v>13.18252916</v>
      </c>
    </row>
    <row r="1709" spans="1:21" x14ac:dyDescent="0.25">
      <c r="A1709" t="s">
        <v>22</v>
      </c>
      <c r="B1709" t="s">
        <v>923</v>
      </c>
      <c r="C1709">
        <v>15</v>
      </c>
      <c r="D1709" t="s">
        <v>23</v>
      </c>
      <c r="E1709" t="s">
        <v>95</v>
      </c>
      <c r="F1709" t="s">
        <v>103</v>
      </c>
      <c r="G1709" t="s">
        <v>103</v>
      </c>
      <c r="H1709" t="s">
        <v>103</v>
      </c>
      <c r="J1709">
        <v>0</v>
      </c>
      <c r="K1709">
        <v>6</v>
      </c>
      <c r="L1709">
        <v>98.291666669999998</v>
      </c>
      <c r="M1709">
        <v>30.315130790000001</v>
      </c>
      <c r="N1709">
        <v>5.0803484000000003E-2</v>
      </c>
      <c r="O1709">
        <v>0.42866070000000001</v>
      </c>
      <c r="P1709">
        <v>98.291666669999998</v>
      </c>
      <c r="Q1709">
        <v>30.315130790000001</v>
      </c>
      <c r="R1709">
        <v>5.0803484000000003E-2</v>
      </c>
      <c r="S1709">
        <v>0.42866070000000001</v>
      </c>
      <c r="T1709" t="s">
        <v>1016</v>
      </c>
      <c r="U1709">
        <v>0</v>
      </c>
    </row>
    <row r="1710" spans="1:21" x14ac:dyDescent="0.25">
      <c r="A1710" t="s">
        <v>22</v>
      </c>
      <c r="B1710" t="s">
        <v>923</v>
      </c>
      <c r="C1710">
        <v>15</v>
      </c>
      <c r="D1710" t="s">
        <v>23</v>
      </c>
      <c r="E1710" t="s">
        <v>95</v>
      </c>
      <c r="F1710" t="s">
        <v>103</v>
      </c>
      <c r="G1710" t="s">
        <v>103</v>
      </c>
      <c r="H1710" t="s">
        <v>103</v>
      </c>
      <c r="J1710">
        <v>0</v>
      </c>
      <c r="K1710">
        <v>6</v>
      </c>
      <c r="L1710">
        <v>98.291666669999998</v>
      </c>
      <c r="M1710">
        <v>30.315130790000001</v>
      </c>
      <c r="N1710">
        <v>5.0803484000000003E-2</v>
      </c>
      <c r="O1710">
        <v>0.42866070000000001</v>
      </c>
      <c r="P1710">
        <v>98.291666669999998</v>
      </c>
      <c r="Q1710">
        <v>30.315130790000001</v>
      </c>
      <c r="R1710">
        <v>5.0803484000000003E-2</v>
      </c>
      <c r="S1710">
        <v>0.42866070000000001</v>
      </c>
      <c r="T1710" t="s">
        <v>1016</v>
      </c>
      <c r="U1710">
        <v>0</v>
      </c>
    </row>
    <row r="1711" spans="1:21" x14ac:dyDescent="0.25">
      <c r="A1711" t="s">
        <v>22</v>
      </c>
      <c r="B1711" t="s">
        <v>923</v>
      </c>
      <c r="C1711">
        <v>15</v>
      </c>
      <c r="D1711" t="s">
        <v>23</v>
      </c>
      <c r="E1711" t="s">
        <v>95</v>
      </c>
      <c r="F1711" t="s">
        <v>103</v>
      </c>
      <c r="G1711" t="s">
        <v>103</v>
      </c>
      <c r="H1711" t="s">
        <v>103</v>
      </c>
      <c r="J1711">
        <v>0</v>
      </c>
      <c r="K1711">
        <v>6</v>
      </c>
      <c r="L1711">
        <v>98.291666669999998</v>
      </c>
      <c r="M1711">
        <v>30.315130790000001</v>
      </c>
      <c r="N1711">
        <v>5.0803484000000003E-2</v>
      </c>
      <c r="O1711">
        <v>0.42866070000000001</v>
      </c>
      <c r="P1711">
        <v>98.291666669999998</v>
      </c>
      <c r="Q1711">
        <v>30.315130790000001</v>
      </c>
      <c r="R1711">
        <v>5.0803484000000003E-2</v>
      </c>
      <c r="S1711">
        <v>0.42866070000000001</v>
      </c>
      <c r="T1711" t="s">
        <v>1016</v>
      </c>
      <c r="U1711">
        <v>0</v>
      </c>
    </row>
    <row r="1712" spans="1:21" x14ac:dyDescent="0.25">
      <c r="A1712" t="s">
        <v>22</v>
      </c>
      <c r="B1712" t="s">
        <v>923</v>
      </c>
      <c r="C1712">
        <v>15</v>
      </c>
      <c r="D1712" t="s">
        <v>23</v>
      </c>
      <c r="E1712" t="s">
        <v>95</v>
      </c>
      <c r="F1712" t="s">
        <v>103</v>
      </c>
      <c r="G1712" t="s">
        <v>103</v>
      </c>
      <c r="H1712" t="s">
        <v>103</v>
      </c>
      <c r="J1712">
        <v>0</v>
      </c>
      <c r="K1712">
        <v>6</v>
      </c>
      <c r="L1712">
        <v>98.291666669999998</v>
      </c>
      <c r="M1712">
        <v>30.315130790000001</v>
      </c>
      <c r="N1712">
        <v>5.0803484000000003E-2</v>
      </c>
      <c r="O1712">
        <v>0.42866070000000001</v>
      </c>
      <c r="P1712">
        <v>98.291666669999998</v>
      </c>
      <c r="Q1712">
        <v>30.315130790000001</v>
      </c>
      <c r="R1712">
        <v>5.0803484000000003E-2</v>
      </c>
      <c r="S1712">
        <v>0.42866070000000001</v>
      </c>
      <c r="T1712" t="s">
        <v>1016</v>
      </c>
      <c r="U1712">
        <v>0</v>
      </c>
    </row>
    <row r="1713" spans="1:21" x14ac:dyDescent="0.25">
      <c r="A1713" t="s">
        <v>22</v>
      </c>
      <c r="B1713" t="s">
        <v>923</v>
      </c>
      <c r="C1713">
        <v>15</v>
      </c>
      <c r="D1713" t="s">
        <v>23</v>
      </c>
      <c r="E1713" t="s">
        <v>95</v>
      </c>
      <c r="F1713" t="s">
        <v>103</v>
      </c>
      <c r="G1713" t="s">
        <v>103</v>
      </c>
      <c r="H1713" t="s">
        <v>103</v>
      </c>
      <c r="J1713">
        <v>0</v>
      </c>
      <c r="K1713">
        <v>6</v>
      </c>
      <c r="L1713">
        <v>98.291666669999998</v>
      </c>
      <c r="M1713">
        <v>30.315130790000001</v>
      </c>
      <c r="N1713">
        <v>5.0803484000000003E-2</v>
      </c>
      <c r="O1713">
        <v>0.42866070000000001</v>
      </c>
      <c r="P1713">
        <v>98.291666669999998</v>
      </c>
      <c r="Q1713">
        <v>30.315130790000001</v>
      </c>
      <c r="R1713">
        <v>5.0803484000000003E-2</v>
      </c>
      <c r="S1713">
        <v>0.42866070000000001</v>
      </c>
      <c r="T1713" t="s">
        <v>1016</v>
      </c>
      <c r="U1713">
        <v>0</v>
      </c>
    </row>
    <row r="1714" spans="1:21" x14ac:dyDescent="0.25">
      <c r="A1714" t="s">
        <v>22</v>
      </c>
      <c r="B1714" t="s">
        <v>923</v>
      </c>
      <c r="C1714">
        <v>15</v>
      </c>
      <c r="D1714" t="s">
        <v>23</v>
      </c>
      <c r="E1714" t="s">
        <v>95</v>
      </c>
      <c r="F1714" t="s">
        <v>103</v>
      </c>
      <c r="G1714" t="s">
        <v>103</v>
      </c>
      <c r="H1714" t="s">
        <v>103</v>
      </c>
      <c r="J1714">
        <v>0</v>
      </c>
      <c r="K1714">
        <v>6</v>
      </c>
      <c r="L1714">
        <v>98.291666669999998</v>
      </c>
      <c r="M1714">
        <v>30.315130790000001</v>
      </c>
      <c r="N1714">
        <v>5.0803484000000003E-2</v>
      </c>
      <c r="O1714">
        <v>0.42866070000000001</v>
      </c>
      <c r="P1714">
        <v>98.291666669999998</v>
      </c>
      <c r="Q1714">
        <v>30.315130790000001</v>
      </c>
      <c r="R1714">
        <v>5.0803484000000003E-2</v>
      </c>
      <c r="S1714">
        <v>0.42866070000000001</v>
      </c>
      <c r="T1714" t="s">
        <v>1016</v>
      </c>
      <c r="U1714">
        <v>0</v>
      </c>
    </row>
    <row r="1715" spans="1:21" x14ac:dyDescent="0.25">
      <c r="A1715" t="s">
        <v>22</v>
      </c>
      <c r="B1715" t="s">
        <v>923</v>
      </c>
      <c r="C1715">
        <v>16</v>
      </c>
      <c r="D1715" t="s">
        <v>23</v>
      </c>
      <c r="E1715" t="s">
        <v>95</v>
      </c>
      <c r="F1715" t="s">
        <v>103</v>
      </c>
      <c r="G1715" t="s">
        <v>103</v>
      </c>
      <c r="H1715" t="s">
        <v>248</v>
      </c>
      <c r="J1715">
        <v>0</v>
      </c>
      <c r="K1715">
        <v>4</v>
      </c>
      <c r="L1715">
        <v>98.291666669999998</v>
      </c>
      <c r="M1715">
        <v>30.315130790000001</v>
      </c>
      <c r="N1715">
        <v>5.0803484000000003E-2</v>
      </c>
      <c r="O1715">
        <v>0.42866070000000001</v>
      </c>
      <c r="P1715">
        <v>83.92307692</v>
      </c>
      <c r="Q1715">
        <v>44.319135699999997</v>
      </c>
      <c r="R1715">
        <v>5.9548609999999997E-3</v>
      </c>
      <c r="S1715">
        <v>0.18017928</v>
      </c>
      <c r="T1715" t="s">
        <v>1016</v>
      </c>
      <c r="U1715">
        <v>-14.004004910000001</v>
      </c>
    </row>
    <row r="1716" spans="1:21" x14ac:dyDescent="0.25">
      <c r="A1716" t="s">
        <v>22</v>
      </c>
      <c r="B1716" t="s">
        <v>923</v>
      </c>
      <c r="C1716">
        <v>16</v>
      </c>
      <c r="D1716" t="s">
        <v>23</v>
      </c>
      <c r="E1716" t="s">
        <v>95</v>
      </c>
      <c r="F1716" t="s">
        <v>103</v>
      </c>
      <c r="G1716" t="s">
        <v>103</v>
      </c>
      <c r="H1716" t="s">
        <v>248</v>
      </c>
      <c r="J1716">
        <v>0</v>
      </c>
      <c r="K1716">
        <v>4</v>
      </c>
      <c r="L1716">
        <v>98.291666669999998</v>
      </c>
      <c r="M1716">
        <v>30.315130790000001</v>
      </c>
      <c r="N1716">
        <v>5.0803484000000003E-2</v>
      </c>
      <c r="O1716">
        <v>0.42866070000000001</v>
      </c>
      <c r="P1716">
        <v>83.92307692</v>
      </c>
      <c r="Q1716">
        <v>44.319135699999997</v>
      </c>
      <c r="R1716">
        <v>5.9548609999999997E-3</v>
      </c>
      <c r="S1716">
        <v>0.18017928</v>
      </c>
      <c r="T1716" t="s">
        <v>1016</v>
      </c>
      <c r="U1716">
        <v>-14.004004910000001</v>
      </c>
    </row>
    <row r="1717" spans="1:21" x14ac:dyDescent="0.25">
      <c r="A1717" t="s">
        <v>22</v>
      </c>
      <c r="B1717" t="s">
        <v>923</v>
      </c>
      <c r="C1717">
        <v>16</v>
      </c>
      <c r="D1717" t="s">
        <v>23</v>
      </c>
      <c r="E1717" t="s">
        <v>95</v>
      </c>
      <c r="F1717" t="s">
        <v>103</v>
      </c>
      <c r="G1717" t="s">
        <v>103</v>
      </c>
      <c r="H1717" t="s">
        <v>248</v>
      </c>
      <c r="J1717">
        <v>0</v>
      </c>
      <c r="K1717">
        <v>4</v>
      </c>
      <c r="L1717">
        <v>98.291666669999998</v>
      </c>
      <c r="M1717">
        <v>30.315130790000001</v>
      </c>
      <c r="N1717">
        <v>5.0803484000000003E-2</v>
      </c>
      <c r="O1717">
        <v>0.42866070000000001</v>
      </c>
      <c r="P1717">
        <v>83.92307692</v>
      </c>
      <c r="Q1717">
        <v>44.319135699999997</v>
      </c>
      <c r="R1717">
        <v>5.9548609999999997E-3</v>
      </c>
      <c r="S1717">
        <v>0.18017928</v>
      </c>
      <c r="T1717" t="s">
        <v>1016</v>
      </c>
      <c r="U1717">
        <v>-14.004004910000001</v>
      </c>
    </row>
    <row r="1718" spans="1:21" x14ac:dyDescent="0.25">
      <c r="A1718" t="s">
        <v>22</v>
      </c>
      <c r="B1718" t="s">
        <v>923</v>
      </c>
      <c r="C1718">
        <v>16</v>
      </c>
      <c r="D1718" t="s">
        <v>23</v>
      </c>
      <c r="E1718" t="s">
        <v>95</v>
      </c>
      <c r="F1718" t="s">
        <v>103</v>
      </c>
      <c r="G1718" t="s">
        <v>103</v>
      </c>
      <c r="H1718" t="s">
        <v>248</v>
      </c>
      <c r="J1718">
        <v>0</v>
      </c>
      <c r="K1718">
        <v>4</v>
      </c>
      <c r="L1718">
        <v>98.291666669999998</v>
      </c>
      <c r="M1718">
        <v>30.315130790000001</v>
      </c>
      <c r="N1718">
        <v>5.0803484000000003E-2</v>
      </c>
      <c r="O1718">
        <v>0.42866070000000001</v>
      </c>
      <c r="P1718">
        <v>83.92307692</v>
      </c>
      <c r="Q1718">
        <v>44.319135699999997</v>
      </c>
      <c r="R1718">
        <v>5.9548609999999997E-3</v>
      </c>
      <c r="S1718">
        <v>0.18017928</v>
      </c>
      <c r="T1718" t="s">
        <v>1016</v>
      </c>
      <c r="U1718">
        <v>-14.004004910000001</v>
      </c>
    </row>
    <row r="1719" spans="1:21" x14ac:dyDescent="0.25">
      <c r="A1719" t="s">
        <v>22</v>
      </c>
      <c r="B1719" t="s">
        <v>924</v>
      </c>
      <c r="C1719">
        <v>15</v>
      </c>
      <c r="D1719" t="s">
        <v>23</v>
      </c>
      <c r="E1719" t="s">
        <v>95</v>
      </c>
      <c r="F1719" t="s">
        <v>111</v>
      </c>
      <c r="G1719" t="s">
        <v>121</v>
      </c>
      <c r="H1719" t="s">
        <v>112</v>
      </c>
      <c r="J1719">
        <v>1</v>
      </c>
      <c r="K1719">
        <v>1</v>
      </c>
      <c r="L1719">
        <v>94.97142857</v>
      </c>
      <c r="M1719">
        <v>24.31591813</v>
      </c>
      <c r="N1719">
        <v>0.122951111</v>
      </c>
      <c r="O1719">
        <v>0.39050790000000002</v>
      </c>
      <c r="P1719">
        <v>65.09375</v>
      </c>
      <c r="Q1719">
        <v>37.895352600000002</v>
      </c>
      <c r="R1719">
        <v>2.2882677779999998</v>
      </c>
      <c r="S1719">
        <v>2.2111774</v>
      </c>
      <c r="T1719" t="s">
        <v>1016</v>
      </c>
      <c r="U1719">
        <v>-13.579434470000001</v>
      </c>
    </row>
    <row r="1720" spans="1:21" x14ac:dyDescent="0.25">
      <c r="A1720" t="s">
        <v>22</v>
      </c>
      <c r="B1720" t="s">
        <v>924</v>
      </c>
      <c r="C1720">
        <v>16</v>
      </c>
      <c r="D1720" t="s">
        <v>23</v>
      </c>
      <c r="E1720" t="s">
        <v>95</v>
      </c>
      <c r="F1720" t="s">
        <v>111</v>
      </c>
      <c r="G1720" t="s">
        <v>121</v>
      </c>
      <c r="H1720" t="s">
        <v>239</v>
      </c>
      <c r="J1720">
        <v>1</v>
      </c>
      <c r="K1720">
        <v>1</v>
      </c>
      <c r="L1720">
        <v>94.97142857</v>
      </c>
      <c r="M1720">
        <v>24.31591813</v>
      </c>
      <c r="N1720">
        <v>0.122951111</v>
      </c>
      <c r="O1720">
        <v>0.39050790000000002</v>
      </c>
      <c r="P1720">
        <v>100.45454549999999</v>
      </c>
      <c r="Q1720">
        <v>26.754810689999999</v>
      </c>
      <c r="R1720">
        <v>0.75829999999999997</v>
      </c>
      <c r="S1720">
        <v>0.40907861000000001</v>
      </c>
      <c r="T1720" t="s">
        <v>1016</v>
      </c>
      <c r="U1720">
        <v>-2.4388925600000002</v>
      </c>
    </row>
    <row r="1721" spans="1:21" x14ac:dyDescent="0.25">
      <c r="A1721" t="s">
        <v>22</v>
      </c>
      <c r="B1721" t="s">
        <v>924</v>
      </c>
      <c r="C1721">
        <v>17</v>
      </c>
      <c r="D1721" t="s">
        <v>23</v>
      </c>
      <c r="E1721" t="s">
        <v>95</v>
      </c>
      <c r="F1721" t="s">
        <v>111</v>
      </c>
      <c r="G1721" t="s">
        <v>121</v>
      </c>
      <c r="H1721" t="s">
        <v>248</v>
      </c>
      <c r="J1721">
        <v>1</v>
      </c>
      <c r="K1721">
        <v>5</v>
      </c>
      <c r="L1721">
        <v>94.97142857</v>
      </c>
      <c r="M1721">
        <v>24.31591813</v>
      </c>
      <c r="N1721">
        <v>0.122951111</v>
      </c>
      <c r="O1721">
        <v>0.39050790000000002</v>
      </c>
      <c r="P1721">
        <v>83.92307692</v>
      </c>
      <c r="Q1721">
        <v>44.319135699999997</v>
      </c>
      <c r="R1721">
        <v>5.9548609999999997E-3</v>
      </c>
      <c r="S1721">
        <v>0.18017928</v>
      </c>
      <c r="T1721" t="s">
        <v>1016</v>
      </c>
      <c r="U1721">
        <v>-20.00321757</v>
      </c>
    </row>
    <row r="1722" spans="1:21" x14ac:dyDescent="0.25">
      <c r="A1722" t="s">
        <v>22</v>
      </c>
      <c r="B1722" t="s">
        <v>924</v>
      </c>
      <c r="C1722">
        <v>17</v>
      </c>
      <c r="D1722" t="s">
        <v>23</v>
      </c>
      <c r="E1722" t="s">
        <v>95</v>
      </c>
      <c r="F1722" t="s">
        <v>111</v>
      </c>
      <c r="G1722" t="s">
        <v>121</v>
      </c>
      <c r="H1722" t="s">
        <v>248</v>
      </c>
      <c r="J1722">
        <v>1</v>
      </c>
      <c r="K1722">
        <v>5</v>
      </c>
      <c r="L1722">
        <v>94.97142857</v>
      </c>
      <c r="M1722">
        <v>24.31591813</v>
      </c>
      <c r="N1722">
        <v>0.122951111</v>
      </c>
      <c r="O1722">
        <v>0.39050790000000002</v>
      </c>
      <c r="P1722">
        <v>83.92307692</v>
      </c>
      <c r="Q1722">
        <v>44.319135699999997</v>
      </c>
      <c r="R1722">
        <v>5.9548609999999997E-3</v>
      </c>
      <c r="S1722">
        <v>0.18017928</v>
      </c>
      <c r="T1722" t="s">
        <v>1016</v>
      </c>
      <c r="U1722">
        <v>-20.00321757</v>
      </c>
    </row>
    <row r="1723" spans="1:21" x14ac:dyDescent="0.25">
      <c r="A1723" t="s">
        <v>22</v>
      </c>
      <c r="B1723" t="s">
        <v>924</v>
      </c>
      <c r="C1723">
        <v>17</v>
      </c>
      <c r="D1723" t="s">
        <v>23</v>
      </c>
      <c r="E1723" t="s">
        <v>95</v>
      </c>
      <c r="F1723" t="s">
        <v>111</v>
      </c>
      <c r="G1723" t="s">
        <v>121</v>
      </c>
      <c r="H1723" t="s">
        <v>248</v>
      </c>
      <c r="J1723">
        <v>1</v>
      </c>
      <c r="K1723">
        <v>5</v>
      </c>
      <c r="L1723">
        <v>94.97142857</v>
      </c>
      <c r="M1723">
        <v>24.31591813</v>
      </c>
      <c r="N1723">
        <v>0.122951111</v>
      </c>
      <c r="O1723">
        <v>0.39050790000000002</v>
      </c>
      <c r="P1723">
        <v>83.92307692</v>
      </c>
      <c r="Q1723">
        <v>44.319135699999997</v>
      </c>
      <c r="R1723">
        <v>5.9548609999999997E-3</v>
      </c>
      <c r="S1723">
        <v>0.18017928</v>
      </c>
      <c r="T1723" t="s">
        <v>1016</v>
      </c>
      <c r="U1723">
        <v>-20.00321757</v>
      </c>
    </row>
    <row r="1724" spans="1:21" x14ac:dyDescent="0.25">
      <c r="A1724" t="s">
        <v>22</v>
      </c>
      <c r="B1724" t="s">
        <v>924</v>
      </c>
      <c r="C1724">
        <v>17</v>
      </c>
      <c r="D1724" t="s">
        <v>23</v>
      </c>
      <c r="E1724" t="s">
        <v>95</v>
      </c>
      <c r="F1724" t="s">
        <v>111</v>
      </c>
      <c r="G1724" t="s">
        <v>121</v>
      </c>
      <c r="H1724" t="s">
        <v>248</v>
      </c>
      <c r="J1724">
        <v>1</v>
      </c>
      <c r="K1724">
        <v>5</v>
      </c>
      <c r="L1724">
        <v>94.97142857</v>
      </c>
      <c r="M1724">
        <v>24.31591813</v>
      </c>
      <c r="N1724">
        <v>0.122951111</v>
      </c>
      <c r="O1724">
        <v>0.39050790000000002</v>
      </c>
      <c r="P1724">
        <v>83.92307692</v>
      </c>
      <c r="Q1724">
        <v>44.319135699999997</v>
      </c>
      <c r="R1724">
        <v>5.9548609999999997E-3</v>
      </c>
      <c r="S1724">
        <v>0.18017928</v>
      </c>
      <c r="T1724" t="s">
        <v>1016</v>
      </c>
      <c r="U1724">
        <v>-20.00321757</v>
      </c>
    </row>
    <row r="1725" spans="1:21" x14ac:dyDescent="0.25">
      <c r="A1725" t="s">
        <v>22</v>
      </c>
      <c r="B1725" t="s">
        <v>924</v>
      </c>
      <c r="C1725">
        <v>17</v>
      </c>
      <c r="D1725" t="s">
        <v>23</v>
      </c>
      <c r="E1725" t="s">
        <v>95</v>
      </c>
      <c r="F1725" t="s">
        <v>111</v>
      </c>
      <c r="G1725" t="s">
        <v>121</v>
      </c>
      <c r="H1725" t="s">
        <v>248</v>
      </c>
      <c r="J1725">
        <v>1</v>
      </c>
      <c r="K1725">
        <v>5</v>
      </c>
      <c r="L1725">
        <v>94.97142857</v>
      </c>
      <c r="M1725">
        <v>24.31591813</v>
      </c>
      <c r="N1725">
        <v>0.122951111</v>
      </c>
      <c r="O1725">
        <v>0.39050790000000002</v>
      </c>
      <c r="P1725">
        <v>83.92307692</v>
      </c>
      <c r="Q1725">
        <v>44.319135699999997</v>
      </c>
      <c r="R1725">
        <v>5.9548609999999997E-3</v>
      </c>
      <c r="S1725">
        <v>0.18017928</v>
      </c>
      <c r="T1725" t="s">
        <v>1016</v>
      </c>
      <c r="U1725">
        <v>-20.00321757</v>
      </c>
    </row>
    <row r="1726" spans="1:21" x14ac:dyDescent="0.25">
      <c r="A1726" t="s">
        <v>22</v>
      </c>
      <c r="B1726" t="s">
        <v>925</v>
      </c>
      <c r="C1726">
        <v>15</v>
      </c>
      <c r="D1726" t="s">
        <v>23</v>
      </c>
      <c r="E1726" t="s">
        <v>95</v>
      </c>
      <c r="F1726" t="s">
        <v>112</v>
      </c>
      <c r="G1726" t="s">
        <v>103</v>
      </c>
      <c r="H1726" t="s">
        <v>103</v>
      </c>
      <c r="J1726">
        <v>0</v>
      </c>
      <c r="K1726">
        <v>3</v>
      </c>
      <c r="L1726">
        <v>65.09375</v>
      </c>
      <c r="M1726">
        <v>37.895352600000002</v>
      </c>
      <c r="N1726">
        <v>2.2882677779999998</v>
      </c>
      <c r="O1726">
        <v>2.2111774</v>
      </c>
      <c r="P1726">
        <v>98.291666669999998</v>
      </c>
      <c r="Q1726">
        <v>30.315130790000001</v>
      </c>
      <c r="R1726">
        <v>5.0803484000000003E-2</v>
      </c>
      <c r="S1726">
        <v>0.42866070000000001</v>
      </c>
      <c r="T1726" t="s">
        <v>1016</v>
      </c>
      <c r="U1726">
        <v>7.5802218100000003</v>
      </c>
    </row>
    <row r="1727" spans="1:21" x14ac:dyDescent="0.25">
      <c r="A1727" t="s">
        <v>22</v>
      </c>
      <c r="B1727" t="s">
        <v>925</v>
      </c>
      <c r="C1727">
        <v>15</v>
      </c>
      <c r="D1727" t="s">
        <v>23</v>
      </c>
      <c r="E1727" t="s">
        <v>95</v>
      </c>
      <c r="F1727" t="s">
        <v>112</v>
      </c>
      <c r="G1727" t="s">
        <v>103</v>
      </c>
      <c r="H1727" t="s">
        <v>103</v>
      </c>
      <c r="J1727">
        <v>0</v>
      </c>
      <c r="K1727">
        <v>3</v>
      </c>
      <c r="L1727">
        <v>65.09375</v>
      </c>
      <c r="M1727">
        <v>37.895352600000002</v>
      </c>
      <c r="N1727">
        <v>2.2882677779999998</v>
      </c>
      <c r="O1727">
        <v>2.2111774</v>
      </c>
      <c r="P1727">
        <v>98.291666669999998</v>
      </c>
      <c r="Q1727">
        <v>30.315130790000001</v>
      </c>
      <c r="R1727">
        <v>5.0803484000000003E-2</v>
      </c>
      <c r="S1727">
        <v>0.42866070000000001</v>
      </c>
      <c r="T1727" t="s">
        <v>1016</v>
      </c>
      <c r="U1727">
        <v>7.5802218100000003</v>
      </c>
    </row>
    <row r="1728" spans="1:21" x14ac:dyDescent="0.25">
      <c r="A1728" t="s">
        <v>22</v>
      </c>
      <c r="B1728" t="s">
        <v>925</v>
      </c>
      <c r="C1728">
        <v>15</v>
      </c>
      <c r="D1728" t="s">
        <v>23</v>
      </c>
      <c r="E1728" t="s">
        <v>95</v>
      </c>
      <c r="F1728" t="s">
        <v>112</v>
      </c>
      <c r="G1728" t="s">
        <v>103</v>
      </c>
      <c r="H1728" t="s">
        <v>103</v>
      </c>
      <c r="J1728">
        <v>0</v>
      </c>
      <c r="K1728">
        <v>3</v>
      </c>
      <c r="L1728">
        <v>65.09375</v>
      </c>
      <c r="M1728">
        <v>37.895352600000002</v>
      </c>
      <c r="N1728">
        <v>2.2882677779999998</v>
      </c>
      <c r="O1728">
        <v>2.2111774</v>
      </c>
      <c r="P1728">
        <v>98.291666669999998</v>
      </c>
      <c r="Q1728">
        <v>30.315130790000001</v>
      </c>
      <c r="R1728">
        <v>5.0803484000000003E-2</v>
      </c>
      <c r="S1728">
        <v>0.42866070000000001</v>
      </c>
      <c r="T1728" t="s">
        <v>1016</v>
      </c>
      <c r="U1728">
        <v>7.5802218100000003</v>
      </c>
    </row>
    <row r="1729" spans="1:21" x14ac:dyDescent="0.25">
      <c r="A1729" t="s">
        <v>22</v>
      </c>
      <c r="B1729" t="s">
        <v>925</v>
      </c>
      <c r="C1729">
        <v>16</v>
      </c>
      <c r="D1729" t="s">
        <v>23</v>
      </c>
      <c r="E1729" t="s">
        <v>95</v>
      </c>
      <c r="F1729" t="s">
        <v>112</v>
      </c>
      <c r="G1729" t="s">
        <v>103</v>
      </c>
      <c r="H1729" t="s">
        <v>113</v>
      </c>
      <c r="J1729">
        <v>0</v>
      </c>
      <c r="K1729">
        <v>2</v>
      </c>
      <c r="L1729">
        <v>65.09375</v>
      </c>
      <c r="M1729">
        <v>37.895352600000002</v>
      </c>
      <c r="N1729">
        <v>2.2882677779999998</v>
      </c>
      <c r="O1729">
        <v>2.2111774</v>
      </c>
      <c r="P1729">
        <v>83.757575759999995</v>
      </c>
      <c r="Q1729">
        <v>22.60997987</v>
      </c>
      <c r="R1729">
        <v>0.72884000000000004</v>
      </c>
      <c r="S1729">
        <v>0.21301339999999999</v>
      </c>
      <c r="T1729" t="s">
        <v>1016</v>
      </c>
      <c r="U1729">
        <v>15.285372730000001</v>
      </c>
    </row>
    <row r="1730" spans="1:21" x14ac:dyDescent="0.25">
      <c r="A1730" t="s">
        <v>22</v>
      </c>
      <c r="B1730" t="s">
        <v>925</v>
      </c>
      <c r="C1730">
        <v>16</v>
      </c>
      <c r="D1730" t="s">
        <v>23</v>
      </c>
      <c r="E1730" t="s">
        <v>95</v>
      </c>
      <c r="F1730" t="s">
        <v>112</v>
      </c>
      <c r="G1730" t="s">
        <v>103</v>
      </c>
      <c r="H1730" t="s">
        <v>113</v>
      </c>
      <c r="J1730">
        <v>0</v>
      </c>
      <c r="K1730">
        <v>2</v>
      </c>
      <c r="L1730">
        <v>65.09375</v>
      </c>
      <c r="M1730">
        <v>37.895352600000002</v>
      </c>
      <c r="N1730">
        <v>2.2882677779999998</v>
      </c>
      <c r="O1730">
        <v>2.2111774</v>
      </c>
      <c r="P1730">
        <v>83.757575759999995</v>
      </c>
      <c r="Q1730">
        <v>22.60997987</v>
      </c>
      <c r="R1730">
        <v>0.72884000000000004</v>
      </c>
      <c r="S1730">
        <v>0.21301339999999999</v>
      </c>
      <c r="T1730" t="s">
        <v>1016</v>
      </c>
      <c r="U1730">
        <v>15.285372730000001</v>
      </c>
    </row>
    <row r="1731" spans="1:21" x14ac:dyDescent="0.25">
      <c r="A1731" t="s">
        <v>22</v>
      </c>
      <c r="B1731" t="s">
        <v>925</v>
      </c>
      <c r="C1731">
        <v>17</v>
      </c>
      <c r="D1731" t="s">
        <v>23</v>
      </c>
      <c r="E1731" t="s">
        <v>95</v>
      </c>
      <c r="F1731" t="s">
        <v>112</v>
      </c>
      <c r="G1731" t="s">
        <v>103</v>
      </c>
      <c r="H1731" t="s">
        <v>247</v>
      </c>
      <c r="J1731">
        <v>0</v>
      </c>
      <c r="K1731">
        <v>1</v>
      </c>
      <c r="L1731">
        <v>65.09375</v>
      </c>
      <c r="M1731">
        <v>37.895352600000002</v>
      </c>
      <c r="N1731">
        <v>2.2882677779999998</v>
      </c>
      <c r="O1731">
        <v>2.2111774</v>
      </c>
      <c r="P1731">
        <v>65.791044779999993</v>
      </c>
      <c r="Q1731">
        <v>22.94519201</v>
      </c>
      <c r="R1731">
        <v>8.1320334999999994E-2</v>
      </c>
      <c r="S1731">
        <v>0.17285655</v>
      </c>
      <c r="T1731" t="s">
        <v>1016</v>
      </c>
      <c r="U1731">
        <v>14.950160589999999</v>
      </c>
    </row>
    <row r="1732" spans="1:21" x14ac:dyDescent="0.25">
      <c r="A1732" t="s">
        <v>22</v>
      </c>
      <c r="B1732" t="s">
        <v>925</v>
      </c>
      <c r="C1732">
        <v>18</v>
      </c>
      <c r="D1732" t="s">
        <v>23</v>
      </c>
      <c r="E1732" t="s">
        <v>95</v>
      </c>
      <c r="F1732" t="s">
        <v>112</v>
      </c>
      <c r="G1732" t="s">
        <v>103</v>
      </c>
      <c r="H1732" t="s">
        <v>248</v>
      </c>
      <c r="J1732">
        <v>0</v>
      </c>
      <c r="K1732">
        <v>3</v>
      </c>
      <c r="L1732">
        <v>65.09375</v>
      </c>
      <c r="M1732">
        <v>37.895352600000002</v>
      </c>
      <c r="N1732">
        <v>2.2882677779999998</v>
      </c>
      <c r="O1732">
        <v>2.2111774</v>
      </c>
      <c r="P1732">
        <v>83.92307692</v>
      </c>
      <c r="Q1732">
        <v>44.319135699999997</v>
      </c>
      <c r="R1732">
        <v>5.9548609999999997E-3</v>
      </c>
      <c r="S1732">
        <v>0.18017928</v>
      </c>
      <c r="T1732" t="s">
        <v>1016</v>
      </c>
      <c r="U1732">
        <v>-6.4237830999999996</v>
      </c>
    </row>
    <row r="1733" spans="1:21" x14ac:dyDescent="0.25">
      <c r="A1733" t="s">
        <v>22</v>
      </c>
      <c r="B1733" t="s">
        <v>925</v>
      </c>
      <c r="C1733">
        <v>18</v>
      </c>
      <c r="D1733" t="s">
        <v>23</v>
      </c>
      <c r="E1733" t="s">
        <v>95</v>
      </c>
      <c r="F1733" t="s">
        <v>112</v>
      </c>
      <c r="G1733" t="s">
        <v>103</v>
      </c>
      <c r="H1733" t="s">
        <v>248</v>
      </c>
      <c r="J1733">
        <v>0</v>
      </c>
      <c r="K1733">
        <v>3</v>
      </c>
      <c r="L1733">
        <v>65.09375</v>
      </c>
      <c r="M1733">
        <v>37.895352600000002</v>
      </c>
      <c r="N1733">
        <v>2.2882677779999998</v>
      </c>
      <c r="O1733">
        <v>2.2111774</v>
      </c>
      <c r="P1733">
        <v>83.92307692</v>
      </c>
      <c r="Q1733">
        <v>44.319135699999997</v>
      </c>
      <c r="R1733">
        <v>5.9548609999999997E-3</v>
      </c>
      <c r="S1733">
        <v>0.18017928</v>
      </c>
      <c r="T1733" t="s">
        <v>1016</v>
      </c>
      <c r="U1733">
        <v>-6.4237830999999996</v>
      </c>
    </row>
    <row r="1734" spans="1:21" x14ac:dyDescent="0.25">
      <c r="A1734" t="s">
        <v>22</v>
      </c>
      <c r="B1734" t="s">
        <v>925</v>
      </c>
      <c r="C1734">
        <v>18</v>
      </c>
      <c r="D1734" t="s">
        <v>23</v>
      </c>
      <c r="E1734" t="s">
        <v>95</v>
      </c>
      <c r="F1734" t="s">
        <v>112</v>
      </c>
      <c r="G1734" t="s">
        <v>103</v>
      </c>
      <c r="H1734" t="s">
        <v>248</v>
      </c>
      <c r="J1734">
        <v>0</v>
      </c>
      <c r="K1734">
        <v>3</v>
      </c>
      <c r="L1734">
        <v>65.09375</v>
      </c>
      <c r="M1734">
        <v>37.895352600000002</v>
      </c>
      <c r="N1734">
        <v>2.2882677779999998</v>
      </c>
      <c r="O1734">
        <v>2.2111774</v>
      </c>
      <c r="P1734">
        <v>83.92307692</v>
      </c>
      <c r="Q1734">
        <v>44.319135699999997</v>
      </c>
      <c r="R1734">
        <v>5.9548609999999997E-3</v>
      </c>
      <c r="S1734">
        <v>0.18017928</v>
      </c>
      <c r="T1734" t="s">
        <v>1016</v>
      </c>
      <c r="U1734">
        <v>-6.4237830999999996</v>
      </c>
    </row>
    <row r="1735" spans="1:21" x14ac:dyDescent="0.25">
      <c r="A1735" t="s">
        <v>24</v>
      </c>
      <c r="B1735" t="s">
        <v>926</v>
      </c>
      <c r="C1735">
        <v>15</v>
      </c>
      <c r="D1735" t="s">
        <v>25</v>
      </c>
      <c r="E1735" t="s">
        <v>95</v>
      </c>
      <c r="F1735" t="s">
        <v>105</v>
      </c>
      <c r="G1735" t="s">
        <v>121</v>
      </c>
      <c r="H1735" t="s">
        <v>111</v>
      </c>
      <c r="J1735">
        <v>0</v>
      </c>
      <c r="K1735">
        <v>1</v>
      </c>
      <c r="L1735">
        <v>67.5</v>
      </c>
      <c r="M1735">
        <v>47.937235809999997</v>
      </c>
      <c r="N1735">
        <v>0.41599678000000001</v>
      </c>
      <c r="O1735">
        <v>2.0950346999999998</v>
      </c>
      <c r="P1735">
        <v>94.97142857</v>
      </c>
      <c r="Q1735">
        <v>24.31591813</v>
      </c>
      <c r="R1735">
        <v>0.122951111</v>
      </c>
      <c r="S1735">
        <v>0.39050790000000002</v>
      </c>
      <c r="T1735" t="s">
        <v>1016</v>
      </c>
      <c r="U1735">
        <v>23.621317680000001</v>
      </c>
    </row>
    <row r="1736" spans="1:21" x14ac:dyDescent="0.25">
      <c r="A1736" t="s">
        <v>24</v>
      </c>
      <c r="B1736" t="s">
        <v>926</v>
      </c>
      <c r="C1736">
        <v>16</v>
      </c>
      <c r="D1736" t="s">
        <v>25</v>
      </c>
      <c r="E1736" t="s">
        <v>95</v>
      </c>
      <c r="F1736" t="s">
        <v>105</v>
      </c>
      <c r="G1736" t="s">
        <v>121</v>
      </c>
      <c r="H1736" t="s">
        <v>104</v>
      </c>
      <c r="J1736">
        <v>0</v>
      </c>
      <c r="K1736">
        <v>1</v>
      </c>
      <c r="L1736">
        <v>67.5</v>
      </c>
      <c r="M1736">
        <v>47.937235809999997</v>
      </c>
      <c r="N1736">
        <v>0.41599678000000001</v>
      </c>
      <c r="O1736">
        <v>2.0950346999999998</v>
      </c>
      <c r="P1736">
        <v>113.9375</v>
      </c>
      <c r="Q1736">
        <v>33.375507550000002</v>
      </c>
      <c r="R1736">
        <v>2.4262999999999999</v>
      </c>
      <c r="S1736">
        <v>0.40692159999999999</v>
      </c>
      <c r="T1736" t="s">
        <v>1016</v>
      </c>
      <c r="U1736">
        <v>14.561728260000001</v>
      </c>
    </row>
    <row r="1737" spans="1:21" x14ac:dyDescent="0.25">
      <c r="A1737" t="s">
        <v>24</v>
      </c>
      <c r="B1737" t="s">
        <v>927</v>
      </c>
      <c r="C1737">
        <v>15</v>
      </c>
      <c r="D1737" t="s">
        <v>25</v>
      </c>
      <c r="E1737" t="s">
        <v>95</v>
      </c>
      <c r="F1737" t="s">
        <v>112</v>
      </c>
      <c r="G1737" t="s">
        <v>112</v>
      </c>
      <c r="H1737" t="s">
        <v>112</v>
      </c>
      <c r="J1737">
        <v>0</v>
      </c>
      <c r="K1737">
        <v>1</v>
      </c>
      <c r="L1737">
        <v>65.09375</v>
      </c>
      <c r="M1737">
        <v>37.895352600000002</v>
      </c>
      <c r="N1737">
        <v>2.2882677779999998</v>
      </c>
      <c r="O1737">
        <v>2.2111774</v>
      </c>
      <c r="P1737">
        <v>65.09375</v>
      </c>
      <c r="Q1737">
        <v>37.895352600000002</v>
      </c>
      <c r="R1737">
        <v>2.2882677779999998</v>
      </c>
      <c r="S1737">
        <v>2.2111774</v>
      </c>
      <c r="T1737" t="s">
        <v>1016</v>
      </c>
      <c r="U1737">
        <v>0</v>
      </c>
    </row>
    <row r="1738" spans="1:21" x14ac:dyDescent="0.25">
      <c r="A1738" t="s">
        <v>26</v>
      </c>
      <c r="B1738" t="s">
        <v>928</v>
      </c>
      <c r="C1738">
        <v>15</v>
      </c>
      <c r="D1738" t="s">
        <v>27</v>
      </c>
      <c r="E1738" t="s">
        <v>95</v>
      </c>
      <c r="F1738" t="s">
        <v>105</v>
      </c>
      <c r="G1738" t="s">
        <v>102</v>
      </c>
      <c r="H1738" t="s">
        <v>102</v>
      </c>
      <c r="J1738">
        <v>0</v>
      </c>
      <c r="K1738">
        <v>1</v>
      </c>
      <c r="L1738">
        <v>67.5</v>
      </c>
      <c r="M1738">
        <v>47.937235809999997</v>
      </c>
      <c r="N1738">
        <v>0.41599678000000001</v>
      </c>
      <c r="O1738">
        <v>2.0950346999999998</v>
      </c>
      <c r="P1738">
        <v>84.740740740000007</v>
      </c>
      <c r="Q1738">
        <v>29.167014049999999</v>
      </c>
      <c r="R1738">
        <v>1.1169849999999999</v>
      </c>
      <c r="S1738">
        <v>1.1571499000000001</v>
      </c>
      <c r="T1738" t="s">
        <v>1016</v>
      </c>
      <c r="U1738">
        <v>18.770221759999998</v>
      </c>
    </row>
    <row r="1739" spans="1:21" x14ac:dyDescent="0.25">
      <c r="A1739" t="s">
        <v>26</v>
      </c>
      <c r="B1739" t="s">
        <v>928</v>
      </c>
      <c r="C1739">
        <v>16</v>
      </c>
      <c r="D1739" t="s">
        <v>27</v>
      </c>
      <c r="E1739" t="s">
        <v>95</v>
      </c>
      <c r="F1739" t="s">
        <v>105</v>
      </c>
      <c r="G1739" t="s">
        <v>102</v>
      </c>
      <c r="H1739" t="s">
        <v>111</v>
      </c>
      <c r="J1739">
        <v>0</v>
      </c>
      <c r="K1739">
        <v>1</v>
      </c>
      <c r="L1739">
        <v>67.5</v>
      </c>
      <c r="M1739">
        <v>47.937235809999997</v>
      </c>
      <c r="N1739">
        <v>0.41599678000000001</v>
      </c>
      <c r="O1739">
        <v>2.0950346999999998</v>
      </c>
      <c r="P1739">
        <v>94.97142857</v>
      </c>
      <c r="Q1739">
        <v>24.31591813</v>
      </c>
      <c r="R1739">
        <v>0.122951111</v>
      </c>
      <c r="S1739">
        <v>0.39050790000000002</v>
      </c>
      <c r="T1739" t="s">
        <v>1016</v>
      </c>
      <c r="U1739">
        <v>23.621317680000001</v>
      </c>
    </row>
    <row r="1740" spans="1:21" x14ac:dyDescent="0.25">
      <c r="A1740" t="s">
        <v>26</v>
      </c>
      <c r="B1740" t="s">
        <v>928</v>
      </c>
      <c r="C1740">
        <v>17</v>
      </c>
      <c r="D1740" t="s">
        <v>27</v>
      </c>
      <c r="E1740" t="s">
        <v>95</v>
      </c>
      <c r="F1740" t="s">
        <v>105</v>
      </c>
      <c r="G1740" t="s">
        <v>102</v>
      </c>
      <c r="H1740" t="s">
        <v>242</v>
      </c>
      <c r="J1740">
        <v>0</v>
      </c>
      <c r="K1740">
        <v>1</v>
      </c>
      <c r="L1740">
        <v>67.5</v>
      </c>
      <c r="M1740">
        <v>47.937235809999997</v>
      </c>
      <c r="N1740">
        <v>0.41599678000000001</v>
      </c>
      <c r="O1740">
        <v>2.0950346999999998</v>
      </c>
      <c r="P1740">
        <v>139.375</v>
      </c>
      <c r="Q1740">
        <v>23.713465920000001</v>
      </c>
      <c r="R1740" t="s">
        <v>114</v>
      </c>
      <c r="S1740" t="s">
        <v>114</v>
      </c>
      <c r="T1740" t="s">
        <v>1016</v>
      </c>
      <c r="U1740">
        <v>24.22376989</v>
      </c>
    </row>
    <row r="1741" spans="1:21" x14ac:dyDescent="0.25">
      <c r="A1741" t="s">
        <v>26</v>
      </c>
      <c r="B1741" t="s">
        <v>929</v>
      </c>
      <c r="C1741">
        <v>15</v>
      </c>
      <c r="D1741" t="s">
        <v>27</v>
      </c>
      <c r="E1741" t="s">
        <v>95</v>
      </c>
      <c r="F1741" t="s">
        <v>110</v>
      </c>
      <c r="G1741" t="s">
        <v>111</v>
      </c>
      <c r="H1741" t="s">
        <v>111</v>
      </c>
      <c r="J1741">
        <v>0</v>
      </c>
      <c r="K1741">
        <v>1</v>
      </c>
      <c r="L1741">
        <v>73.260869569999997</v>
      </c>
      <c r="M1741">
        <v>34.453830549999999</v>
      </c>
      <c r="N1741">
        <v>1.058333333</v>
      </c>
      <c r="O1741">
        <v>0.90897070000000002</v>
      </c>
      <c r="P1741">
        <v>94.97142857</v>
      </c>
      <c r="Q1741">
        <v>24.31591813</v>
      </c>
      <c r="R1741">
        <v>0.122951111</v>
      </c>
      <c r="S1741">
        <v>0.39050790000000002</v>
      </c>
      <c r="T1741" t="s">
        <v>1016</v>
      </c>
      <c r="U1741">
        <v>10.137912419999999</v>
      </c>
    </row>
    <row r="1742" spans="1:21" x14ac:dyDescent="0.25">
      <c r="A1742" t="s">
        <v>26</v>
      </c>
      <c r="B1742" t="s">
        <v>929</v>
      </c>
      <c r="C1742">
        <v>16</v>
      </c>
      <c r="D1742" t="s">
        <v>27</v>
      </c>
      <c r="E1742" t="s">
        <v>95</v>
      </c>
      <c r="F1742" t="s">
        <v>110</v>
      </c>
      <c r="G1742" t="s">
        <v>111</v>
      </c>
      <c r="H1742" t="s">
        <v>242</v>
      </c>
      <c r="J1742">
        <v>0</v>
      </c>
      <c r="K1742">
        <v>8</v>
      </c>
      <c r="L1742">
        <v>73.260869569999997</v>
      </c>
      <c r="M1742">
        <v>34.453830549999999</v>
      </c>
      <c r="N1742">
        <v>1.058333333</v>
      </c>
      <c r="O1742">
        <v>0.90897070000000002</v>
      </c>
      <c r="P1742">
        <v>139.375</v>
      </c>
      <c r="Q1742">
        <v>23.713465920000001</v>
      </c>
      <c r="R1742" t="s">
        <v>114</v>
      </c>
      <c r="S1742" t="s">
        <v>114</v>
      </c>
      <c r="T1742" t="s">
        <v>1016</v>
      </c>
      <c r="U1742">
        <v>10.74036463</v>
      </c>
    </row>
    <row r="1743" spans="1:21" x14ac:dyDescent="0.25">
      <c r="A1743" t="s">
        <v>26</v>
      </c>
      <c r="B1743" t="s">
        <v>929</v>
      </c>
      <c r="C1743">
        <v>16</v>
      </c>
      <c r="D1743" t="s">
        <v>27</v>
      </c>
      <c r="E1743" t="s">
        <v>95</v>
      </c>
      <c r="F1743" t="s">
        <v>110</v>
      </c>
      <c r="G1743" t="s">
        <v>111</v>
      </c>
      <c r="H1743" t="s">
        <v>242</v>
      </c>
      <c r="J1743">
        <v>0</v>
      </c>
      <c r="K1743">
        <v>8</v>
      </c>
      <c r="L1743">
        <v>73.260869569999997</v>
      </c>
      <c r="M1743">
        <v>34.453830549999999</v>
      </c>
      <c r="N1743">
        <v>1.058333333</v>
      </c>
      <c r="O1743">
        <v>0.90897070000000002</v>
      </c>
      <c r="P1743">
        <v>139.375</v>
      </c>
      <c r="Q1743">
        <v>23.713465920000001</v>
      </c>
      <c r="R1743" t="s">
        <v>114</v>
      </c>
      <c r="S1743" t="s">
        <v>114</v>
      </c>
      <c r="T1743" t="s">
        <v>1016</v>
      </c>
      <c r="U1743">
        <v>10.74036463</v>
      </c>
    </row>
    <row r="1744" spans="1:21" x14ac:dyDescent="0.25">
      <c r="A1744" t="s">
        <v>26</v>
      </c>
      <c r="B1744" t="s">
        <v>929</v>
      </c>
      <c r="C1744">
        <v>16</v>
      </c>
      <c r="D1744" t="s">
        <v>27</v>
      </c>
      <c r="E1744" t="s">
        <v>95</v>
      </c>
      <c r="F1744" t="s">
        <v>110</v>
      </c>
      <c r="G1744" t="s">
        <v>111</v>
      </c>
      <c r="H1744" t="s">
        <v>242</v>
      </c>
      <c r="J1744">
        <v>0</v>
      </c>
      <c r="K1744">
        <v>8</v>
      </c>
      <c r="L1744">
        <v>73.260869569999997</v>
      </c>
      <c r="M1744">
        <v>34.453830549999999</v>
      </c>
      <c r="N1744">
        <v>1.058333333</v>
      </c>
      <c r="O1744">
        <v>0.90897070000000002</v>
      </c>
      <c r="P1744">
        <v>139.375</v>
      </c>
      <c r="Q1744">
        <v>23.713465920000001</v>
      </c>
      <c r="R1744" t="s">
        <v>114</v>
      </c>
      <c r="S1744" t="s">
        <v>114</v>
      </c>
      <c r="T1744" t="s">
        <v>1016</v>
      </c>
      <c r="U1744">
        <v>10.74036463</v>
      </c>
    </row>
    <row r="1745" spans="1:21" x14ac:dyDescent="0.25">
      <c r="A1745" t="s">
        <v>26</v>
      </c>
      <c r="B1745" t="s">
        <v>929</v>
      </c>
      <c r="C1745">
        <v>16</v>
      </c>
      <c r="D1745" t="s">
        <v>27</v>
      </c>
      <c r="E1745" t="s">
        <v>95</v>
      </c>
      <c r="F1745" t="s">
        <v>110</v>
      </c>
      <c r="G1745" t="s">
        <v>111</v>
      </c>
      <c r="H1745" t="s">
        <v>242</v>
      </c>
      <c r="J1745">
        <v>0</v>
      </c>
      <c r="K1745">
        <v>8</v>
      </c>
      <c r="L1745">
        <v>73.260869569999997</v>
      </c>
      <c r="M1745">
        <v>34.453830549999999</v>
      </c>
      <c r="N1745">
        <v>1.058333333</v>
      </c>
      <c r="O1745">
        <v>0.90897070000000002</v>
      </c>
      <c r="P1745">
        <v>139.375</v>
      </c>
      <c r="Q1745">
        <v>23.713465920000001</v>
      </c>
      <c r="R1745" t="s">
        <v>114</v>
      </c>
      <c r="S1745" t="s">
        <v>114</v>
      </c>
      <c r="T1745" t="s">
        <v>1016</v>
      </c>
      <c r="U1745">
        <v>10.74036463</v>
      </c>
    </row>
    <row r="1746" spans="1:21" x14ac:dyDescent="0.25">
      <c r="A1746" t="s">
        <v>26</v>
      </c>
      <c r="B1746" t="s">
        <v>929</v>
      </c>
      <c r="C1746">
        <v>16</v>
      </c>
      <c r="D1746" t="s">
        <v>27</v>
      </c>
      <c r="E1746" t="s">
        <v>95</v>
      </c>
      <c r="F1746" t="s">
        <v>110</v>
      </c>
      <c r="G1746" t="s">
        <v>111</v>
      </c>
      <c r="H1746" t="s">
        <v>242</v>
      </c>
      <c r="J1746">
        <v>0</v>
      </c>
      <c r="K1746">
        <v>8</v>
      </c>
      <c r="L1746">
        <v>73.260869569999997</v>
      </c>
      <c r="M1746">
        <v>34.453830549999999</v>
      </c>
      <c r="N1746">
        <v>1.058333333</v>
      </c>
      <c r="O1746">
        <v>0.90897070000000002</v>
      </c>
      <c r="P1746">
        <v>139.375</v>
      </c>
      <c r="Q1746">
        <v>23.713465920000001</v>
      </c>
      <c r="R1746" t="s">
        <v>114</v>
      </c>
      <c r="S1746" t="s">
        <v>114</v>
      </c>
      <c r="T1746" t="s">
        <v>1016</v>
      </c>
      <c r="U1746">
        <v>10.74036463</v>
      </c>
    </row>
    <row r="1747" spans="1:21" x14ac:dyDescent="0.25">
      <c r="A1747" t="s">
        <v>26</v>
      </c>
      <c r="B1747" t="s">
        <v>929</v>
      </c>
      <c r="C1747">
        <v>16</v>
      </c>
      <c r="D1747" t="s">
        <v>27</v>
      </c>
      <c r="E1747" t="s">
        <v>95</v>
      </c>
      <c r="F1747" t="s">
        <v>110</v>
      </c>
      <c r="G1747" t="s">
        <v>111</v>
      </c>
      <c r="H1747" t="s">
        <v>242</v>
      </c>
      <c r="J1747">
        <v>0</v>
      </c>
      <c r="K1747">
        <v>8</v>
      </c>
      <c r="L1747">
        <v>73.260869569999997</v>
      </c>
      <c r="M1747">
        <v>34.453830549999999</v>
      </c>
      <c r="N1747">
        <v>1.058333333</v>
      </c>
      <c r="O1747">
        <v>0.90897070000000002</v>
      </c>
      <c r="P1747">
        <v>139.375</v>
      </c>
      <c r="Q1747">
        <v>23.713465920000001</v>
      </c>
      <c r="R1747" t="s">
        <v>114</v>
      </c>
      <c r="S1747" t="s">
        <v>114</v>
      </c>
      <c r="T1747" t="s">
        <v>1016</v>
      </c>
      <c r="U1747">
        <v>10.74036463</v>
      </c>
    </row>
    <row r="1748" spans="1:21" x14ac:dyDescent="0.25">
      <c r="A1748" t="s">
        <v>26</v>
      </c>
      <c r="B1748" t="s">
        <v>929</v>
      </c>
      <c r="C1748">
        <v>16</v>
      </c>
      <c r="D1748" t="s">
        <v>27</v>
      </c>
      <c r="E1748" t="s">
        <v>95</v>
      </c>
      <c r="F1748" t="s">
        <v>110</v>
      </c>
      <c r="G1748" t="s">
        <v>111</v>
      </c>
      <c r="H1748" t="s">
        <v>242</v>
      </c>
      <c r="J1748">
        <v>0</v>
      </c>
      <c r="K1748">
        <v>8</v>
      </c>
      <c r="L1748">
        <v>73.260869569999997</v>
      </c>
      <c r="M1748">
        <v>34.453830549999999</v>
      </c>
      <c r="N1748">
        <v>1.058333333</v>
      </c>
      <c r="O1748">
        <v>0.90897070000000002</v>
      </c>
      <c r="P1748">
        <v>139.375</v>
      </c>
      <c r="Q1748">
        <v>23.713465920000001</v>
      </c>
      <c r="R1748" t="s">
        <v>114</v>
      </c>
      <c r="S1748" t="s">
        <v>114</v>
      </c>
      <c r="T1748" t="s">
        <v>1016</v>
      </c>
      <c r="U1748">
        <v>10.74036463</v>
      </c>
    </row>
    <row r="1749" spans="1:21" x14ac:dyDescent="0.25">
      <c r="A1749" t="s">
        <v>26</v>
      </c>
      <c r="B1749" t="s">
        <v>929</v>
      </c>
      <c r="C1749">
        <v>16</v>
      </c>
      <c r="D1749" t="s">
        <v>27</v>
      </c>
      <c r="E1749" t="s">
        <v>95</v>
      </c>
      <c r="F1749" t="s">
        <v>110</v>
      </c>
      <c r="G1749" t="s">
        <v>111</v>
      </c>
      <c r="H1749" t="s">
        <v>242</v>
      </c>
      <c r="J1749">
        <v>0</v>
      </c>
      <c r="K1749">
        <v>8</v>
      </c>
      <c r="L1749">
        <v>73.260869569999997</v>
      </c>
      <c r="M1749">
        <v>34.453830549999999</v>
      </c>
      <c r="N1749">
        <v>1.058333333</v>
      </c>
      <c r="O1749">
        <v>0.90897070000000002</v>
      </c>
      <c r="P1749">
        <v>139.375</v>
      </c>
      <c r="Q1749">
        <v>23.713465920000001</v>
      </c>
      <c r="R1749" t="s">
        <v>114</v>
      </c>
      <c r="S1749" t="s">
        <v>114</v>
      </c>
      <c r="T1749" t="s">
        <v>1016</v>
      </c>
      <c r="U1749">
        <v>10.74036463</v>
      </c>
    </row>
    <row r="1750" spans="1:21" x14ac:dyDescent="0.25">
      <c r="A1750" t="s">
        <v>26</v>
      </c>
      <c r="B1750" t="s">
        <v>930</v>
      </c>
      <c r="C1750">
        <v>15</v>
      </c>
      <c r="D1750" t="s">
        <v>27</v>
      </c>
      <c r="E1750" t="s">
        <v>95</v>
      </c>
      <c r="F1750" t="s">
        <v>111</v>
      </c>
      <c r="G1750" t="s">
        <v>102</v>
      </c>
      <c r="H1750" t="s">
        <v>244</v>
      </c>
      <c r="J1750">
        <v>0</v>
      </c>
      <c r="K1750">
        <v>1</v>
      </c>
      <c r="L1750">
        <v>94.97142857</v>
      </c>
      <c r="M1750">
        <v>24.31591813</v>
      </c>
      <c r="N1750">
        <v>0.122951111</v>
      </c>
      <c r="O1750">
        <v>0.39050790000000002</v>
      </c>
      <c r="P1750">
        <v>75</v>
      </c>
      <c r="Q1750">
        <v>28.80614499</v>
      </c>
      <c r="R1750">
        <v>2.3860428570000001</v>
      </c>
      <c r="S1750">
        <v>0.26400832000000002</v>
      </c>
      <c r="T1750" t="s">
        <v>1016</v>
      </c>
      <c r="U1750">
        <v>-4.4902268599999999</v>
      </c>
    </row>
    <row r="1751" spans="1:21" x14ac:dyDescent="0.25">
      <c r="A1751" t="s">
        <v>26</v>
      </c>
      <c r="B1751" t="s">
        <v>930</v>
      </c>
      <c r="C1751">
        <v>16</v>
      </c>
      <c r="D1751" t="s">
        <v>27</v>
      </c>
      <c r="E1751" t="s">
        <v>95</v>
      </c>
      <c r="F1751" t="s">
        <v>111</v>
      </c>
      <c r="G1751" t="s">
        <v>102</v>
      </c>
      <c r="H1751" t="s">
        <v>236</v>
      </c>
      <c r="J1751">
        <v>0</v>
      </c>
      <c r="K1751">
        <v>1</v>
      </c>
      <c r="L1751">
        <v>94.97142857</v>
      </c>
      <c r="M1751">
        <v>24.31591813</v>
      </c>
      <c r="N1751">
        <v>0.122951111</v>
      </c>
      <c r="O1751">
        <v>0.39050790000000002</v>
      </c>
      <c r="P1751">
        <v>113.33333330000001</v>
      </c>
      <c r="Q1751">
        <v>26.41632581</v>
      </c>
      <c r="R1751">
        <v>1.6844570160000001</v>
      </c>
      <c r="S1751">
        <v>8.9285710000000004E-2</v>
      </c>
      <c r="T1751" t="s">
        <v>1016</v>
      </c>
      <c r="U1751">
        <v>-2.10040768</v>
      </c>
    </row>
    <row r="1752" spans="1:21" x14ac:dyDescent="0.25">
      <c r="A1752" t="s">
        <v>26</v>
      </c>
      <c r="B1752" t="s">
        <v>930</v>
      </c>
      <c r="C1752">
        <v>17</v>
      </c>
      <c r="D1752" t="s">
        <v>27</v>
      </c>
      <c r="E1752" t="s">
        <v>95</v>
      </c>
      <c r="F1752" t="s">
        <v>111</v>
      </c>
      <c r="G1752" t="s">
        <v>102</v>
      </c>
      <c r="H1752" t="s">
        <v>102</v>
      </c>
      <c r="J1752">
        <v>0</v>
      </c>
      <c r="K1752">
        <v>1</v>
      </c>
      <c r="L1752">
        <v>94.97142857</v>
      </c>
      <c r="M1752">
        <v>24.31591813</v>
      </c>
      <c r="N1752">
        <v>0.122951111</v>
      </c>
      <c r="O1752">
        <v>0.39050790000000002</v>
      </c>
      <c r="P1752">
        <v>84.740740740000007</v>
      </c>
      <c r="Q1752">
        <v>29.167014049999999</v>
      </c>
      <c r="R1752">
        <v>1.1169849999999999</v>
      </c>
      <c r="S1752">
        <v>1.1571499000000001</v>
      </c>
      <c r="T1752" t="s">
        <v>1016</v>
      </c>
      <c r="U1752">
        <v>-4.8510959199999997</v>
      </c>
    </row>
    <row r="1753" spans="1:21" x14ac:dyDescent="0.25">
      <c r="A1753" t="s">
        <v>26</v>
      </c>
      <c r="B1753" t="s">
        <v>930</v>
      </c>
      <c r="C1753">
        <v>18</v>
      </c>
      <c r="D1753" t="s">
        <v>27</v>
      </c>
      <c r="E1753" t="s">
        <v>95</v>
      </c>
      <c r="F1753" t="s">
        <v>111</v>
      </c>
      <c r="G1753" t="s">
        <v>102</v>
      </c>
      <c r="H1753" t="s">
        <v>242</v>
      </c>
      <c r="J1753">
        <v>0</v>
      </c>
      <c r="K1753">
        <v>3</v>
      </c>
      <c r="L1753">
        <v>94.97142857</v>
      </c>
      <c r="M1753">
        <v>24.31591813</v>
      </c>
      <c r="N1753">
        <v>0.122951111</v>
      </c>
      <c r="O1753">
        <v>0.39050790000000002</v>
      </c>
      <c r="P1753">
        <v>139.375</v>
      </c>
      <c r="Q1753">
        <v>23.713465920000001</v>
      </c>
      <c r="R1753" t="s">
        <v>114</v>
      </c>
      <c r="S1753" t="s">
        <v>114</v>
      </c>
      <c r="T1753" t="s">
        <v>1016</v>
      </c>
      <c r="U1753">
        <v>0.60245221000000004</v>
      </c>
    </row>
    <row r="1754" spans="1:21" x14ac:dyDescent="0.25">
      <c r="A1754" t="s">
        <v>26</v>
      </c>
      <c r="B1754" t="s">
        <v>930</v>
      </c>
      <c r="C1754">
        <v>18</v>
      </c>
      <c r="D1754" t="s">
        <v>27</v>
      </c>
      <c r="E1754" t="s">
        <v>95</v>
      </c>
      <c r="F1754" t="s">
        <v>111</v>
      </c>
      <c r="G1754" t="s">
        <v>102</v>
      </c>
      <c r="H1754" t="s">
        <v>242</v>
      </c>
      <c r="J1754">
        <v>0</v>
      </c>
      <c r="K1754">
        <v>3</v>
      </c>
      <c r="L1754">
        <v>94.97142857</v>
      </c>
      <c r="M1754">
        <v>24.31591813</v>
      </c>
      <c r="N1754">
        <v>0.122951111</v>
      </c>
      <c r="O1754">
        <v>0.39050790000000002</v>
      </c>
      <c r="P1754">
        <v>139.375</v>
      </c>
      <c r="Q1754">
        <v>23.713465920000001</v>
      </c>
      <c r="R1754" t="s">
        <v>114</v>
      </c>
      <c r="S1754" t="s">
        <v>114</v>
      </c>
      <c r="T1754" t="s">
        <v>1016</v>
      </c>
      <c r="U1754">
        <v>0.60245221000000004</v>
      </c>
    </row>
    <row r="1755" spans="1:21" x14ac:dyDescent="0.25">
      <c r="A1755" t="s">
        <v>26</v>
      </c>
      <c r="B1755" t="s">
        <v>930</v>
      </c>
      <c r="C1755">
        <v>18</v>
      </c>
      <c r="D1755" t="s">
        <v>27</v>
      </c>
      <c r="E1755" t="s">
        <v>95</v>
      </c>
      <c r="F1755" t="s">
        <v>111</v>
      </c>
      <c r="G1755" t="s">
        <v>102</v>
      </c>
      <c r="H1755" t="s">
        <v>242</v>
      </c>
      <c r="J1755">
        <v>0</v>
      </c>
      <c r="K1755">
        <v>3</v>
      </c>
      <c r="L1755">
        <v>94.97142857</v>
      </c>
      <c r="M1755">
        <v>24.31591813</v>
      </c>
      <c r="N1755">
        <v>0.122951111</v>
      </c>
      <c r="O1755">
        <v>0.39050790000000002</v>
      </c>
      <c r="P1755">
        <v>139.375</v>
      </c>
      <c r="Q1755">
        <v>23.713465920000001</v>
      </c>
      <c r="R1755" t="s">
        <v>114</v>
      </c>
      <c r="S1755" t="s">
        <v>114</v>
      </c>
      <c r="T1755" t="s">
        <v>1016</v>
      </c>
      <c r="U1755">
        <v>0.60245221000000004</v>
      </c>
    </row>
    <row r="1756" spans="1:21" x14ac:dyDescent="0.25">
      <c r="A1756" t="s">
        <v>28</v>
      </c>
      <c r="B1756" t="s">
        <v>931</v>
      </c>
      <c r="C1756">
        <v>15</v>
      </c>
      <c r="D1756" t="s">
        <v>29</v>
      </c>
      <c r="E1756" t="s">
        <v>94</v>
      </c>
      <c r="F1756" t="s">
        <v>113</v>
      </c>
      <c r="G1756" t="s">
        <v>113</v>
      </c>
      <c r="H1756" t="s">
        <v>113</v>
      </c>
      <c r="J1756">
        <v>0</v>
      </c>
      <c r="K1756">
        <v>2</v>
      </c>
      <c r="L1756">
        <v>83.757575759999995</v>
      </c>
      <c r="M1756">
        <v>22.60997987</v>
      </c>
      <c r="N1756">
        <v>0.72884000000000004</v>
      </c>
      <c r="O1756">
        <v>0.21301339999999999</v>
      </c>
      <c r="P1756">
        <v>83.757575759999995</v>
      </c>
      <c r="Q1756">
        <v>22.60997987</v>
      </c>
      <c r="R1756">
        <v>0.72884000000000004</v>
      </c>
      <c r="S1756">
        <v>0.21301339999999999</v>
      </c>
      <c r="T1756" t="s">
        <v>1016</v>
      </c>
      <c r="U1756">
        <v>0</v>
      </c>
    </row>
    <row r="1757" spans="1:21" x14ac:dyDescent="0.25">
      <c r="A1757" t="s">
        <v>28</v>
      </c>
      <c r="B1757" t="s">
        <v>931</v>
      </c>
      <c r="C1757">
        <v>15</v>
      </c>
      <c r="D1757" t="s">
        <v>29</v>
      </c>
      <c r="E1757" t="s">
        <v>94</v>
      </c>
      <c r="F1757" t="s">
        <v>113</v>
      </c>
      <c r="G1757" t="s">
        <v>113</v>
      </c>
      <c r="H1757" t="s">
        <v>113</v>
      </c>
      <c r="J1757">
        <v>0</v>
      </c>
      <c r="K1757">
        <v>2</v>
      </c>
      <c r="L1757">
        <v>83.757575759999995</v>
      </c>
      <c r="M1757">
        <v>22.60997987</v>
      </c>
      <c r="N1757">
        <v>0.72884000000000004</v>
      </c>
      <c r="O1757">
        <v>0.21301339999999999</v>
      </c>
      <c r="P1757">
        <v>83.757575759999995</v>
      </c>
      <c r="Q1757">
        <v>22.60997987</v>
      </c>
      <c r="R1757">
        <v>0.72884000000000004</v>
      </c>
      <c r="S1757">
        <v>0.21301339999999999</v>
      </c>
      <c r="T1757" t="s">
        <v>1016</v>
      </c>
      <c r="U1757">
        <v>0</v>
      </c>
    </row>
    <row r="1758" spans="1:21" x14ac:dyDescent="0.25">
      <c r="A1758" t="s">
        <v>28</v>
      </c>
      <c r="B1758" t="s">
        <v>931</v>
      </c>
      <c r="C1758">
        <v>16</v>
      </c>
      <c r="D1758" t="s">
        <v>29</v>
      </c>
      <c r="E1758" t="s">
        <v>94</v>
      </c>
      <c r="F1758" t="s">
        <v>113</v>
      </c>
      <c r="G1758" t="s">
        <v>113</v>
      </c>
      <c r="H1758" t="s">
        <v>248</v>
      </c>
      <c r="J1758">
        <v>0</v>
      </c>
      <c r="K1758">
        <v>12</v>
      </c>
      <c r="L1758">
        <v>83.757575759999995</v>
      </c>
      <c r="M1758">
        <v>22.60997987</v>
      </c>
      <c r="N1758">
        <v>0.72884000000000004</v>
      </c>
      <c r="O1758">
        <v>0.21301339999999999</v>
      </c>
      <c r="P1758">
        <v>83.92307692</v>
      </c>
      <c r="Q1758">
        <v>44.319135699999997</v>
      </c>
      <c r="R1758">
        <v>5.9548609999999997E-3</v>
      </c>
      <c r="S1758">
        <v>0.18017928</v>
      </c>
      <c r="T1758" t="s">
        <v>1016</v>
      </c>
      <c r="U1758">
        <v>-21.70915583</v>
      </c>
    </row>
    <row r="1759" spans="1:21" x14ac:dyDescent="0.25">
      <c r="A1759" t="s">
        <v>28</v>
      </c>
      <c r="B1759" t="s">
        <v>931</v>
      </c>
      <c r="C1759">
        <v>16</v>
      </c>
      <c r="D1759" t="s">
        <v>29</v>
      </c>
      <c r="E1759" t="s">
        <v>94</v>
      </c>
      <c r="F1759" t="s">
        <v>113</v>
      </c>
      <c r="G1759" t="s">
        <v>113</v>
      </c>
      <c r="H1759" t="s">
        <v>248</v>
      </c>
      <c r="J1759">
        <v>0</v>
      </c>
      <c r="K1759">
        <v>12</v>
      </c>
      <c r="L1759">
        <v>83.757575759999995</v>
      </c>
      <c r="M1759">
        <v>22.60997987</v>
      </c>
      <c r="N1759">
        <v>0.72884000000000004</v>
      </c>
      <c r="O1759">
        <v>0.21301339999999999</v>
      </c>
      <c r="P1759">
        <v>83.92307692</v>
      </c>
      <c r="Q1759">
        <v>44.319135699999997</v>
      </c>
      <c r="R1759">
        <v>5.9548609999999997E-3</v>
      </c>
      <c r="S1759">
        <v>0.18017928</v>
      </c>
      <c r="T1759" t="s">
        <v>1016</v>
      </c>
      <c r="U1759">
        <v>-21.70915583</v>
      </c>
    </row>
    <row r="1760" spans="1:21" x14ac:dyDescent="0.25">
      <c r="A1760" t="s">
        <v>28</v>
      </c>
      <c r="B1760" t="s">
        <v>931</v>
      </c>
      <c r="C1760">
        <v>16</v>
      </c>
      <c r="D1760" t="s">
        <v>29</v>
      </c>
      <c r="E1760" t="s">
        <v>94</v>
      </c>
      <c r="F1760" t="s">
        <v>113</v>
      </c>
      <c r="G1760" t="s">
        <v>113</v>
      </c>
      <c r="H1760" t="s">
        <v>248</v>
      </c>
      <c r="J1760">
        <v>0</v>
      </c>
      <c r="K1760">
        <v>12</v>
      </c>
      <c r="L1760">
        <v>83.757575759999995</v>
      </c>
      <c r="M1760">
        <v>22.60997987</v>
      </c>
      <c r="N1760">
        <v>0.72884000000000004</v>
      </c>
      <c r="O1760">
        <v>0.21301339999999999</v>
      </c>
      <c r="P1760">
        <v>83.92307692</v>
      </c>
      <c r="Q1760">
        <v>44.319135699999997</v>
      </c>
      <c r="R1760">
        <v>5.9548609999999997E-3</v>
      </c>
      <c r="S1760">
        <v>0.18017928</v>
      </c>
      <c r="T1760" t="s">
        <v>1016</v>
      </c>
      <c r="U1760">
        <v>-21.70915583</v>
      </c>
    </row>
    <row r="1761" spans="1:21" x14ac:dyDescent="0.25">
      <c r="A1761" t="s">
        <v>28</v>
      </c>
      <c r="B1761" t="s">
        <v>931</v>
      </c>
      <c r="C1761">
        <v>16</v>
      </c>
      <c r="D1761" t="s">
        <v>29</v>
      </c>
      <c r="E1761" t="s">
        <v>94</v>
      </c>
      <c r="F1761" t="s">
        <v>113</v>
      </c>
      <c r="G1761" t="s">
        <v>113</v>
      </c>
      <c r="H1761" t="s">
        <v>248</v>
      </c>
      <c r="J1761">
        <v>0</v>
      </c>
      <c r="K1761">
        <v>12</v>
      </c>
      <c r="L1761">
        <v>83.757575759999995</v>
      </c>
      <c r="M1761">
        <v>22.60997987</v>
      </c>
      <c r="N1761">
        <v>0.72884000000000004</v>
      </c>
      <c r="O1761">
        <v>0.21301339999999999</v>
      </c>
      <c r="P1761">
        <v>83.92307692</v>
      </c>
      <c r="Q1761">
        <v>44.319135699999997</v>
      </c>
      <c r="R1761">
        <v>5.9548609999999997E-3</v>
      </c>
      <c r="S1761">
        <v>0.18017928</v>
      </c>
      <c r="T1761" t="s">
        <v>1016</v>
      </c>
      <c r="U1761">
        <v>-21.70915583</v>
      </c>
    </row>
    <row r="1762" spans="1:21" x14ac:dyDescent="0.25">
      <c r="A1762" t="s">
        <v>28</v>
      </c>
      <c r="B1762" t="s">
        <v>931</v>
      </c>
      <c r="C1762">
        <v>16</v>
      </c>
      <c r="D1762" t="s">
        <v>29</v>
      </c>
      <c r="E1762" t="s">
        <v>94</v>
      </c>
      <c r="F1762" t="s">
        <v>113</v>
      </c>
      <c r="G1762" t="s">
        <v>113</v>
      </c>
      <c r="H1762" t="s">
        <v>248</v>
      </c>
      <c r="J1762">
        <v>0</v>
      </c>
      <c r="K1762">
        <v>12</v>
      </c>
      <c r="L1762">
        <v>83.757575759999995</v>
      </c>
      <c r="M1762">
        <v>22.60997987</v>
      </c>
      <c r="N1762">
        <v>0.72884000000000004</v>
      </c>
      <c r="O1762">
        <v>0.21301339999999999</v>
      </c>
      <c r="P1762">
        <v>83.92307692</v>
      </c>
      <c r="Q1762">
        <v>44.319135699999997</v>
      </c>
      <c r="R1762">
        <v>5.9548609999999997E-3</v>
      </c>
      <c r="S1762">
        <v>0.18017928</v>
      </c>
      <c r="T1762" t="s">
        <v>1016</v>
      </c>
      <c r="U1762">
        <v>-21.70915583</v>
      </c>
    </row>
    <row r="1763" spans="1:21" x14ac:dyDescent="0.25">
      <c r="A1763" t="s">
        <v>28</v>
      </c>
      <c r="B1763" t="s">
        <v>931</v>
      </c>
      <c r="C1763">
        <v>16</v>
      </c>
      <c r="D1763" t="s">
        <v>29</v>
      </c>
      <c r="E1763" t="s">
        <v>94</v>
      </c>
      <c r="F1763" t="s">
        <v>113</v>
      </c>
      <c r="G1763" t="s">
        <v>113</v>
      </c>
      <c r="H1763" t="s">
        <v>248</v>
      </c>
      <c r="J1763">
        <v>0</v>
      </c>
      <c r="K1763">
        <v>12</v>
      </c>
      <c r="L1763">
        <v>83.757575759999995</v>
      </c>
      <c r="M1763">
        <v>22.60997987</v>
      </c>
      <c r="N1763">
        <v>0.72884000000000004</v>
      </c>
      <c r="O1763">
        <v>0.21301339999999999</v>
      </c>
      <c r="P1763">
        <v>83.92307692</v>
      </c>
      <c r="Q1763">
        <v>44.319135699999997</v>
      </c>
      <c r="R1763">
        <v>5.9548609999999997E-3</v>
      </c>
      <c r="S1763">
        <v>0.18017928</v>
      </c>
      <c r="T1763" t="s">
        <v>1016</v>
      </c>
      <c r="U1763">
        <v>-21.70915583</v>
      </c>
    </row>
    <row r="1764" spans="1:21" x14ac:dyDescent="0.25">
      <c r="A1764" t="s">
        <v>28</v>
      </c>
      <c r="B1764" t="s">
        <v>931</v>
      </c>
      <c r="C1764">
        <v>16</v>
      </c>
      <c r="D1764" t="s">
        <v>29</v>
      </c>
      <c r="E1764" t="s">
        <v>94</v>
      </c>
      <c r="F1764" t="s">
        <v>113</v>
      </c>
      <c r="G1764" t="s">
        <v>113</v>
      </c>
      <c r="H1764" t="s">
        <v>248</v>
      </c>
      <c r="J1764">
        <v>0</v>
      </c>
      <c r="K1764">
        <v>12</v>
      </c>
      <c r="L1764">
        <v>83.757575759999995</v>
      </c>
      <c r="M1764">
        <v>22.60997987</v>
      </c>
      <c r="N1764">
        <v>0.72884000000000004</v>
      </c>
      <c r="O1764">
        <v>0.21301339999999999</v>
      </c>
      <c r="P1764">
        <v>83.92307692</v>
      </c>
      <c r="Q1764">
        <v>44.319135699999997</v>
      </c>
      <c r="R1764">
        <v>5.9548609999999997E-3</v>
      </c>
      <c r="S1764">
        <v>0.18017928</v>
      </c>
      <c r="T1764" t="s">
        <v>1016</v>
      </c>
      <c r="U1764">
        <v>-21.70915583</v>
      </c>
    </row>
    <row r="1765" spans="1:21" x14ac:dyDescent="0.25">
      <c r="A1765" t="s">
        <v>28</v>
      </c>
      <c r="B1765" t="s">
        <v>931</v>
      </c>
      <c r="C1765">
        <v>16</v>
      </c>
      <c r="D1765" t="s">
        <v>29</v>
      </c>
      <c r="E1765" t="s">
        <v>94</v>
      </c>
      <c r="F1765" t="s">
        <v>113</v>
      </c>
      <c r="G1765" t="s">
        <v>113</v>
      </c>
      <c r="H1765" t="s">
        <v>248</v>
      </c>
      <c r="J1765">
        <v>0</v>
      </c>
      <c r="K1765">
        <v>12</v>
      </c>
      <c r="L1765">
        <v>83.757575759999995</v>
      </c>
      <c r="M1765">
        <v>22.60997987</v>
      </c>
      <c r="N1765">
        <v>0.72884000000000004</v>
      </c>
      <c r="O1765">
        <v>0.21301339999999999</v>
      </c>
      <c r="P1765">
        <v>83.92307692</v>
      </c>
      <c r="Q1765">
        <v>44.319135699999997</v>
      </c>
      <c r="R1765">
        <v>5.9548609999999997E-3</v>
      </c>
      <c r="S1765">
        <v>0.18017928</v>
      </c>
      <c r="T1765" t="s">
        <v>1016</v>
      </c>
      <c r="U1765">
        <v>-21.70915583</v>
      </c>
    </row>
    <row r="1766" spans="1:21" x14ac:dyDescent="0.25">
      <c r="A1766" t="s">
        <v>28</v>
      </c>
      <c r="B1766" t="s">
        <v>931</v>
      </c>
      <c r="C1766">
        <v>16</v>
      </c>
      <c r="D1766" t="s">
        <v>29</v>
      </c>
      <c r="E1766" t="s">
        <v>94</v>
      </c>
      <c r="F1766" t="s">
        <v>113</v>
      </c>
      <c r="G1766" t="s">
        <v>113</v>
      </c>
      <c r="H1766" t="s">
        <v>248</v>
      </c>
      <c r="J1766">
        <v>0</v>
      </c>
      <c r="K1766">
        <v>12</v>
      </c>
      <c r="L1766">
        <v>83.757575759999995</v>
      </c>
      <c r="M1766">
        <v>22.60997987</v>
      </c>
      <c r="N1766">
        <v>0.72884000000000004</v>
      </c>
      <c r="O1766">
        <v>0.21301339999999999</v>
      </c>
      <c r="P1766">
        <v>83.92307692</v>
      </c>
      <c r="Q1766">
        <v>44.319135699999997</v>
      </c>
      <c r="R1766">
        <v>5.9548609999999997E-3</v>
      </c>
      <c r="S1766">
        <v>0.18017928</v>
      </c>
      <c r="T1766" t="s">
        <v>1016</v>
      </c>
      <c r="U1766">
        <v>-21.70915583</v>
      </c>
    </row>
    <row r="1767" spans="1:21" x14ac:dyDescent="0.25">
      <c r="A1767" t="s">
        <v>28</v>
      </c>
      <c r="B1767" t="s">
        <v>931</v>
      </c>
      <c r="C1767">
        <v>16</v>
      </c>
      <c r="D1767" t="s">
        <v>29</v>
      </c>
      <c r="E1767" t="s">
        <v>94</v>
      </c>
      <c r="F1767" t="s">
        <v>113</v>
      </c>
      <c r="G1767" t="s">
        <v>113</v>
      </c>
      <c r="H1767" t="s">
        <v>248</v>
      </c>
      <c r="J1767">
        <v>0</v>
      </c>
      <c r="K1767">
        <v>12</v>
      </c>
      <c r="L1767">
        <v>83.757575759999995</v>
      </c>
      <c r="M1767">
        <v>22.60997987</v>
      </c>
      <c r="N1767">
        <v>0.72884000000000004</v>
      </c>
      <c r="O1767">
        <v>0.21301339999999999</v>
      </c>
      <c r="P1767">
        <v>83.92307692</v>
      </c>
      <c r="Q1767">
        <v>44.319135699999997</v>
      </c>
      <c r="R1767">
        <v>5.9548609999999997E-3</v>
      </c>
      <c r="S1767">
        <v>0.18017928</v>
      </c>
      <c r="T1767" t="s">
        <v>1016</v>
      </c>
      <c r="U1767">
        <v>-21.70915583</v>
      </c>
    </row>
    <row r="1768" spans="1:21" x14ac:dyDescent="0.25">
      <c r="A1768" t="s">
        <v>28</v>
      </c>
      <c r="B1768" t="s">
        <v>931</v>
      </c>
      <c r="C1768">
        <v>16</v>
      </c>
      <c r="D1768" t="s">
        <v>29</v>
      </c>
      <c r="E1768" t="s">
        <v>94</v>
      </c>
      <c r="F1768" t="s">
        <v>113</v>
      </c>
      <c r="G1768" t="s">
        <v>113</v>
      </c>
      <c r="H1768" t="s">
        <v>248</v>
      </c>
      <c r="J1768">
        <v>0</v>
      </c>
      <c r="K1768">
        <v>12</v>
      </c>
      <c r="L1768">
        <v>83.757575759999995</v>
      </c>
      <c r="M1768">
        <v>22.60997987</v>
      </c>
      <c r="N1768">
        <v>0.72884000000000004</v>
      </c>
      <c r="O1768">
        <v>0.21301339999999999</v>
      </c>
      <c r="P1768">
        <v>83.92307692</v>
      </c>
      <c r="Q1768">
        <v>44.319135699999997</v>
      </c>
      <c r="R1768">
        <v>5.9548609999999997E-3</v>
      </c>
      <c r="S1768">
        <v>0.18017928</v>
      </c>
      <c r="T1768" t="s">
        <v>1016</v>
      </c>
      <c r="U1768">
        <v>-21.70915583</v>
      </c>
    </row>
    <row r="1769" spans="1:21" x14ac:dyDescent="0.25">
      <c r="A1769" t="s">
        <v>28</v>
      </c>
      <c r="B1769" t="s">
        <v>931</v>
      </c>
      <c r="C1769">
        <v>16</v>
      </c>
      <c r="D1769" t="s">
        <v>29</v>
      </c>
      <c r="E1769" t="s">
        <v>94</v>
      </c>
      <c r="F1769" t="s">
        <v>113</v>
      </c>
      <c r="G1769" t="s">
        <v>113</v>
      </c>
      <c r="H1769" t="s">
        <v>248</v>
      </c>
      <c r="J1769">
        <v>0</v>
      </c>
      <c r="K1769">
        <v>12</v>
      </c>
      <c r="L1769">
        <v>83.757575759999995</v>
      </c>
      <c r="M1769">
        <v>22.60997987</v>
      </c>
      <c r="N1769">
        <v>0.72884000000000004</v>
      </c>
      <c r="O1769">
        <v>0.21301339999999999</v>
      </c>
      <c r="P1769">
        <v>83.92307692</v>
      </c>
      <c r="Q1769">
        <v>44.319135699999997</v>
      </c>
      <c r="R1769">
        <v>5.9548609999999997E-3</v>
      </c>
      <c r="S1769">
        <v>0.18017928</v>
      </c>
      <c r="T1769" t="s">
        <v>1016</v>
      </c>
      <c r="U1769">
        <v>-21.70915583</v>
      </c>
    </row>
    <row r="1770" spans="1:21" x14ac:dyDescent="0.25">
      <c r="A1770" t="s">
        <v>28</v>
      </c>
      <c r="B1770" t="s">
        <v>931</v>
      </c>
      <c r="C1770">
        <v>17</v>
      </c>
      <c r="D1770" t="s">
        <v>29</v>
      </c>
      <c r="E1770" t="s">
        <v>94</v>
      </c>
      <c r="F1770" t="s">
        <v>113</v>
      </c>
      <c r="G1770" t="s">
        <v>113</v>
      </c>
      <c r="H1770" t="s">
        <v>247</v>
      </c>
      <c r="J1770">
        <v>0</v>
      </c>
      <c r="K1770">
        <v>1</v>
      </c>
      <c r="L1770">
        <v>83.757575759999995</v>
      </c>
      <c r="M1770">
        <v>22.60997987</v>
      </c>
      <c r="N1770">
        <v>0.72884000000000004</v>
      </c>
      <c r="O1770">
        <v>0.21301339999999999</v>
      </c>
      <c r="P1770">
        <v>65.791044779999993</v>
      </c>
      <c r="Q1770">
        <v>22.94519201</v>
      </c>
      <c r="R1770">
        <v>8.1320334999999994E-2</v>
      </c>
      <c r="S1770">
        <v>0.17285655</v>
      </c>
      <c r="T1770" t="s">
        <v>1016</v>
      </c>
      <c r="U1770">
        <v>-0.33521213999999999</v>
      </c>
    </row>
    <row r="1771" spans="1:21" x14ac:dyDescent="0.25">
      <c r="A1771" t="s">
        <v>28</v>
      </c>
      <c r="B1771" t="s">
        <v>931</v>
      </c>
      <c r="C1771">
        <v>18</v>
      </c>
      <c r="D1771" t="s">
        <v>29</v>
      </c>
      <c r="E1771" t="s">
        <v>94</v>
      </c>
      <c r="F1771" t="s">
        <v>113</v>
      </c>
      <c r="G1771" t="s">
        <v>113</v>
      </c>
      <c r="H1771" t="s">
        <v>239</v>
      </c>
      <c r="J1771">
        <v>0</v>
      </c>
      <c r="K1771">
        <v>1</v>
      </c>
      <c r="L1771">
        <v>83.757575759999995</v>
      </c>
      <c r="M1771">
        <v>22.60997987</v>
      </c>
      <c r="N1771">
        <v>0.72884000000000004</v>
      </c>
      <c r="O1771">
        <v>0.21301339999999999</v>
      </c>
      <c r="P1771">
        <v>100.45454549999999</v>
      </c>
      <c r="Q1771">
        <v>26.754810689999999</v>
      </c>
      <c r="R1771">
        <v>0.75829999999999997</v>
      </c>
      <c r="S1771">
        <v>0.40907861000000001</v>
      </c>
      <c r="T1771" t="s">
        <v>1016</v>
      </c>
      <c r="U1771">
        <v>-4.1448308200000001</v>
      </c>
    </row>
    <row r="1772" spans="1:21" x14ac:dyDescent="0.25">
      <c r="A1772" t="s">
        <v>28</v>
      </c>
      <c r="B1772" t="s">
        <v>932</v>
      </c>
      <c r="C1772">
        <v>15</v>
      </c>
      <c r="D1772" t="s">
        <v>29</v>
      </c>
      <c r="E1772" t="s">
        <v>94</v>
      </c>
      <c r="F1772" t="s">
        <v>103</v>
      </c>
      <c r="G1772" t="s">
        <v>102</v>
      </c>
      <c r="H1772" t="s">
        <v>102</v>
      </c>
      <c r="J1772">
        <v>0</v>
      </c>
      <c r="K1772">
        <v>1</v>
      </c>
      <c r="L1772">
        <v>98.291666669999998</v>
      </c>
      <c r="M1772">
        <v>30.315130790000001</v>
      </c>
      <c r="N1772">
        <v>5.0803484000000003E-2</v>
      </c>
      <c r="O1772">
        <v>0.42866070000000001</v>
      </c>
      <c r="P1772">
        <v>84.740740740000007</v>
      </c>
      <c r="Q1772">
        <v>29.167014049999999</v>
      </c>
      <c r="R1772">
        <v>1.1169849999999999</v>
      </c>
      <c r="S1772">
        <v>1.1571499000000001</v>
      </c>
      <c r="T1772" t="s">
        <v>1016</v>
      </c>
      <c r="U1772">
        <v>1.1481167400000001</v>
      </c>
    </row>
    <row r="1773" spans="1:21" x14ac:dyDescent="0.25">
      <c r="A1773" t="s">
        <v>28</v>
      </c>
      <c r="B1773" t="s">
        <v>932</v>
      </c>
      <c r="C1773">
        <v>16</v>
      </c>
      <c r="D1773" t="s">
        <v>29</v>
      </c>
      <c r="E1773" t="s">
        <v>94</v>
      </c>
      <c r="F1773" t="s">
        <v>103</v>
      </c>
      <c r="G1773" t="s">
        <v>102</v>
      </c>
      <c r="H1773" t="s">
        <v>103</v>
      </c>
      <c r="J1773">
        <v>0</v>
      </c>
      <c r="K1773">
        <v>2</v>
      </c>
      <c r="L1773">
        <v>98.291666669999998</v>
      </c>
      <c r="M1773">
        <v>30.315130790000001</v>
      </c>
      <c r="N1773">
        <v>5.0803484000000003E-2</v>
      </c>
      <c r="O1773">
        <v>0.42866070000000001</v>
      </c>
      <c r="P1773">
        <v>98.291666669999998</v>
      </c>
      <c r="Q1773">
        <v>30.315130790000001</v>
      </c>
      <c r="R1773">
        <v>5.0803484000000003E-2</v>
      </c>
      <c r="S1773">
        <v>0.42866070000000001</v>
      </c>
      <c r="T1773" t="s">
        <v>1016</v>
      </c>
      <c r="U1773">
        <v>0</v>
      </c>
    </row>
    <row r="1774" spans="1:21" x14ac:dyDescent="0.25">
      <c r="A1774" t="s">
        <v>28</v>
      </c>
      <c r="B1774" t="s">
        <v>932</v>
      </c>
      <c r="C1774">
        <v>16</v>
      </c>
      <c r="D1774" t="s">
        <v>29</v>
      </c>
      <c r="E1774" t="s">
        <v>94</v>
      </c>
      <c r="F1774" t="s">
        <v>103</v>
      </c>
      <c r="G1774" t="s">
        <v>102</v>
      </c>
      <c r="H1774" t="s">
        <v>103</v>
      </c>
      <c r="J1774">
        <v>0</v>
      </c>
      <c r="K1774">
        <v>2</v>
      </c>
      <c r="L1774">
        <v>98.291666669999998</v>
      </c>
      <c r="M1774">
        <v>30.315130790000001</v>
      </c>
      <c r="N1774">
        <v>5.0803484000000003E-2</v>
      </c>
      <c r="O1774">
        <v>0.42866070000000001</v>
      </c>
      <c r="P1774">
        <v>98.291666669999998</v>
      </c>
      <c r="Q1774">
        <v>30.315130790000001</v>
      </c>
      <c r="R1774">
        <v>5.0803484000000003E-2</v>
      </c>
      <c r="S1774">
        <v>0.42866070000000001</v>
      </c>
      <c r="T1774" t="s">
        <v>1016</v>
      </c>
      <c r="U1774">
        <v>0</v>
      </c>
    </row>
    <row r="1775" spans="1:21" x14ac:dyDescent="0.25">
      <c r="A1775" t="s">
        <v>28</v>
      </c>
      <c r="B1775" t="s">
        <v>933</v>
      </c>
      <c r="C1775">
        <v>15</v>
      </c>
      <c r="D1775" t="s">
        <v>29</v>
      </c>
      <c r="E1775" t="s">
        <v>94</v>
      </c>
      <c r="F1775" t="s">
        <v>111</v>
      </c>
      <c r="G1775" t="s">
        <v>121</v>
      </c>
      <c r="H1775" t="s">
        <v>247</v>
      </c>
      <c r="J1775">
        <v>0</v>
      </c>
      <c r="K1775">
        <v>1</v>
      </c>
      <c r="L1775">
        <v>94.97142857</v>
      </c>
      <c r="M1775">
        <v>24.31591813</v>
      </c>
      <c r="N1775">
        <v>0.122951111</v>
      </c>
      <c r="O1775">
        <v>0.39050790000000002</v>
      </c>
      <c r="P1775">
        <v>65.791044779999993</v>
      </c>
      <c r="Q1775">
        <v>22.94519201</v>
      </c>
      <c r="R1775">
        <v>8.1320334999999994E-2</v>
      </c>
      <c r="S1775">
        <v>0.17285655</v>
      </c>
      <c r="T1775" t="s">
        <v>1016</v>
      </c>
      <c r="U1775">
        <v>1.37072612</v>
      </c>
    </row>
    <row r="1776" spans="1:21" x14ac:dyDescent="0.25">
      <c r="A1776" t="s">
        <v>28</v>
      </c>
      <c r="B1776" t="s">
        <v>933</v>
      </c>
      <c r="C1776">
        <v>16</v>
      </c>
      <c r="D1776" t="s">
        <v>29</v>
      </c>
      <c r="E1776" t="s">
        <v>94</v>
      </c>
      <c r="F1776" t="s">
        <v>111</v>
      </c>
      <c r="G1776" t="s">
        <v>121</v>
      </c>
      <c r="H1776" t="s">
        <v>113</v>
      </c>
      <c r="J1776">
        <v>0</v>
      </c>
      <c r="K1776">
        <v>3</v>
      </c>
      <c r="L1776">
        <v>94.97142857</v>
      </c>
      <c r="M1776">
        <v>24.31591813</v>
      </c>
      <c r="N1776">
        <v>0.122951111</v>
      </c>
      <c r="O1776">
        <v>0.39050790000000002</v>
      </c>
      <c r="P1776">
        <v>83.757575759999995</v>
      </c>
      <c r="Q1776">
        <v>22.60997987</v>
      </c>
      <c r="R1776">
        <v>0.72884000000000004</v>
      </c>
      <c r="S1776">
        <v>0.21301339999999999</v>
      </c>
      <c r="T1776" t="s">
        <v>1016</v>
      </c>
      <c r="U1776">
        <v>1.7059382599999999</v>
      </c>
    </row>
    <row r="1777" spans="1:21" x14ac:dyDescent="0.25">
      <c r="A1777" t="s">
        <v>28</v>
      </c>
      <c r="B1777" t="s">
        <v>933</v>
      </c>
      <c r="C1777">
        <v>16</v>
      </c>
      <c r="D1777" t="s">
        <v>29</v>
      </c>
      <c r="E1777" t="s">
        <v>94</v>
      </c>
      <c r="F1777" t="s">
        <v>111</v>
      </c>
      <c r="G1777" t="s">
        <v>121</v>
      </c>
      <c r="H1777" t="s">
        <v>113</v>
      </c>
      <c r="J1777">
        <v>0</v>
      </c>
      <c r="K1777">
        <v>3</v>
      </c>
      <c r="L1777">
        <v>94.97142857</v>
      </c>
      <c r="M1777">
        <v>24.31591813</v>
      </c>
      <c r="N1777">
        <v>0.122951111</v>
      </c>
      <c r="O1777">
        <v>0.39050790000000002</v>
      </c>
      <c r="P1777">
        <v>83.757575759999995</v>
      </c>
      <c r="Q1777">
        <v>22.60997987</v>
      </c>
      <c r="R1777">
        <v>0.72884000000000004</v>
      </c>
      <c r="S1777">
        <v>0.21301339999999999</v>
      </c>
      <c r="T1777" t="s">
        <v>1016</v>
      </c>
      <c r="U1777">
        <v>1.7059382599999999</v>
      </c>
    </row>
    <row r="1778" spans="1:21" x14ac:dyDescent="0.25">
      <c r="A1778" t="s">
        <v>28</v>
      </c>
      <c r="B1778" t="s">
        <v>933</v>
      </c>
      <c r="C1778">
        <v>16</v>
      </c>
      <c r="D1778" t="s">
        <v>29</v>
      </c>
      <c r="E1778" t="s">
        <v>94</v>
      </c>
      <c r="F1778" t="s">
        <v>111</v>
      </c>
      <c r="G1778" t="s">
        <v>121</v>
      </c>
      <c r="H1778" t="s">
        <v>113</v>
      </c>
      <c r="J1778">
        <v>0</v>
      </c>
      <c r="K1778">
        <v>3</v>
      </c>
      <c r="L1778">
        <v>94.97142857</v>
      </c>
      <c r="M1778">
        <v>24.31591813</v>
      </c>
      <c r="N1778">
        <v>0.122951111</v>
      </c>
      <c r="O1778">
        <v>0.39050790000000002</v>
      </c>
      <c r="P1778">
        <v>83.757575759999995</v>
      </c>
      <c r="Q1778">
        <v>22.60997987</v>
      </c>
      <c r="R1778">
        <v>0.72884000000000004</v>
      </c>
      <c r="S1778">
        <v>0.21301339999999999</v>
      </c>
      <c r="T1778" t="s">
        <v>1016</v>
      </c>
      <c r="U1778">
        <v>1.7059382599999999</v>
      </c>
    </row>
    <row r="1779" spans="1:21" x14ac:dyDescent="0.25">
      <c r="A1779" t="s">
        <v>28</v>
      </c>
      <c r="B1779" t="s">
        <v>933</v>
      </c>
      <c r="C1779">
        <v>17</v>
      </c>
      <c r="D1779" t="s">
        <v>29</v>
      </c>
      <c r="E1779" t="s">
        <v>94</v>
      </c>
      <c r="F1779" t="s">
        <v>111</v>
      </c>
      <c r="G1779" t="s">
        <v>121</v>
      </c>
      <c r="H1779" t="s">
        <v>248</v>
      </c>
      <c r="J1779">
        <v>0</v>
      </c>
      <c r="K1779">
        <v>1</v>
      </c>
      <c r="L1779">
        <v>94.97142857</v>
      </c>
      <c r="M1779">
        <v>24.31591813</v>
      </c>
      <c r="N1779">
        <v>0.122951111</v>
      </c>
      <c r="O1779">
        <v>0.39050790000000002</v>
      </c>
      <c r="P1779">
        <v>83.92307692</v>
      </c>
      <c r="Q1779">
        <v>44.319135699999997</v>
      </c>
      <c r="R1779">
        <v>5.9548609999999997E-3</v>
      </c>
      <c r="S1779">
        <v>0.18017928</v>
      </c>
      <c r="T1779" t="s">
        <v>1016</v>
      </c>
      <c r="U1779">
        <v>-20.00321757</v>
      </c>
    </row>
    <row r="1780" spans="1:21" x14ac:dyDescent="0.25">
      <c r="A1780" t="s">
        <v>28</v>
      </c>
      <c r="B1780" t="s">
        <v>934</v>
      </c>
      <c r="C1780">
        <v>15</v>
      </c>
      <c r="D1780" t="s">
        <v>29</v>
      </c>
      <c r="E1780" t="s">
        <v>94</v>
      </c>
      <c r="F1780" t="s">
        <v>112</v>
      </c>
      <c r="G1780" t="s">
        <v>121</v>
      </c>
      <c r="H1780" t="s">
        <v>103</v>
      </c>
      <c r="J1780">
        <v>0</v>
      </c>
      <c r="K1780">
        <v>4</v>
      </c>
      <c r="L1780">
        <v>65.09375</v>
      </c>
      <c r="M1780">
        <v>37.895352600000002</v>
      </c>
      <c r="N1780">
        <v>2.2882677779999998</v>
      </c>
      <c r="O1780">
        <v>2.2111774</v>
      </c>
      <c r="P1780">
        <v>98.291666669999998</v>
      </c>
      <c r="Q1780">
        <v>30.315130790000001</v>
      </c>
      <c r="R1780">
        <v>5.0803484000000003E-2</v>
      </c>
      <c r="S1780">
        <v>0.42866070000000001</v>
      </c>
      <c r="T1780" t="s">
        <v>1016</v>
      </c>
      <c r="U1780">
        <v>7.5802218100000003</v>
      </c>
    </row>
    <row r="1781" spans="1:21" x14ac:dyDescent="0.25">
      <c r="A1781" t="s">
        <v>28</v>
      </c>
      <c r="B1781" t="s">
        <v>934</v>
      </c>
      <c r="C1781">
        <v>15</v>
      </c>
      <c r="D1781" t="s">
        <v>29</v>
      </c>
      <c r="E1781" t="s">
        <v>94</v>
      </c>
      <c r="F1781" t="s">
        <v>112</v>
      </c>
      <c r="G1781" t="s">
        <v>121</v>
      </c>
      <c r="H1781" t="s">
        <v>103</v>
      </c>
      <c r="J1781">
        <v>0</v>
      </c>
      <c r="K1781">
        <v>4</v>
      </c>
      <c r="L1781">
        <v>65.09375</v>
      </c>
      <c r="M1781">
        <v>37.895352600000002</v>
      </c>
      <c r="N1781">
        <v>2.2882677779999998</v>
      </c>
      <c r="O1781">
        <v>2.2111774</v>
      </c>
      <c r="P1781">
        <v>98.291666669999998</v>
      </c>
      <c r="Q1781">
        <v>30.315130790000001</v>
      </c>
      <c r="R1781">
        <v>5.0803484000000003E-2</v>
      </c>
      <c r="S1781">
        <v>0.42866070000000001</v>
      </c>
      <c r="T1781" t="s">
        <v>1016</v>
      </c>
      <c r="U1781">
        <v>7.5802218100000003</v>
      </c>
    </row>
    <row r="1782" spans="1:21" x14ac:dyDescent="0.25">
      <c r="A1782" t="s">
        <v>28</v>
      </c>
      <c r="B1782" t="s">
        <v>934</v>
      </c>
      <c r="C1782">
        <v>15</v>
      </c>
      <c r="D1782" t="s">
        <v>29</v>
      </c>
      <c r="E1782" t="s">
        <v>94</v>
      </c>
      <c r="F1782" t="s">
        <v>112</v>
      </c>
      <c r="G1782" t="s">
        <v>121</v>
      </c>
      <c r="H1782" t="s">
        <v>103</v>
      </c>
      <c r="J1782">
        <v>0</v>
      </c>
      <c r="K1782">
        <v>4</v>
      </c>
      <c r="L1782">
        <v>65.09375</v>
      </c>
      <c r="M1782">
        <v>37.895352600000002</v>
      </c>
      <c r="N1782">
        <v>2.2882677779999998</v>
      </c>
      <c r="O1782">
        <v>2.2111774</v>
      </c>
      <c r="P1782">
        <v>98.291666669999998</v>
      </c>
      <c r="Q1782">
        <v>30.315130790000001</v>
      </c>
      <c r="R1782">
        <v>5.0803484000000003E-2</v>
      </c>
      <c r="S1782">
        <v>0.42866070000000001</v>
      </c>
      <c r="T1782" t="s">
        <v>1016</v>
      </c>
      <c r="U1782">
        <v>7.5802218100000003</v>
      </c>
    </row>
    <row r="1783" spans="1:21" x14ac:dyDescent="0.25">
      <c r="A1783" t="s">
        <v>28</v>
      </c>
      <c r="B1783" t="s">
        <v>934</v>
      </c>
      <c r="C1783">
        <v>15</v>
      </c>
      <c r="D1783" t="s">
        <v>29</v>
      </c>
      <c r="E1783" t="s">
        <v>94</v>
      </c>
      <c r="F1783" t="s">
        <v>112</v>
      </c>
      <c r="G1783" t="s">
        <v>121</v>
      </c>
      <c r="H1783" t="s">
        <v>103</v>
      </c>
      <c r="J1783">
        <v>0</v>
      </c>
      <c r="K1783">
        <v>4</v>
      </c>
      <c r="L1783">
        <v>65.09375</v>
      </c>
      <c r="M1783">
        <v>37.895352600000002</v>
      </c>
      <c r="N1783">
        <v>2.2882677779999998</v>
      </c>
      <c r="O1783">
        <v>2.2111774</v>
      </c>
      <c r="P1783">
        <v>98.291666669999998</v>
      </c>
      <c r="Q1783">
        <v>30.315130790000001</v>
      </c>
      <c r="R1783">
        <v>5.0803484000000003E-2</v>
      </c>
      <c r="S1783">
        <v>0.42866070000000001</v>
      </c>
      <c r="T1783" t="s">
        <v>1016</v>
      </c>
      <c r="U1783">
        <v>7.5802218100000003</v>
      </c>
    </row>
    <row r="1784" spans="1:21" x14ac:dyDescent="0.25">
      <c r="A1784" t="s">
        <v>28</v>
      </c>
      <c r="B1784" t="s">
        <v>934</v>
      </c>
      <c r="C1784">
        <v>16</v>
      </c>
      <c r="D1784" t="s">
        <v>29</v>
      </c>
      <c r="E1784" t="s">
        <v>94</v>
      </c>
      <c r="F1784" t="s">
        <v>112</v>
      </c>
      <c r="G1784" t="s">
        <v>121</v>
      </c>
      <c r="H1784" t="s">
        <v>113</v>
      </c>
      <c r="J1784">
        <v>0</v>
      </c>
      <c r="K1784">
        <v>6</v>
      </c>
      <c r="L1784">
        <v>65.09375</v>
      </c>
      <c r="M1784">
        <v>37.895352600000002</v>
      </c>
      <c r="N1784">
        <v>2.2882677779999998</v>
      </c>
      <c r="O1784">
        <v>2.2111774</v>
      </c>
      <c r="P1784">
        <v>83.757575759999995</v>
      </c>
      <c r="Q1784">
        <v>22.60997987</v>
      </c>
      <c r="R1784">
        <v>0.72884000000000004</v>
      </c>
      <c r="S1784">
        <v>0.21301339999999999</v>
      </c>
      <c r="T1784" t="s">
        <v>1016</v>
      </c>
      <c r="U1784">
        <v>15.285372730000001</v>
      </c>
    </row>
    <row r="1785" spans="1:21" x14ac:dyDescent="0.25">
      <c r="A1785" t="s">
        <v>28</v>
      </c>
      <c r="B1785" t="s">
        <v>934</v>
      </c>
      <c r="C1785">
        <v>16</v>
      </c>
      <c r="D1785" t="s">
        <v>29</v>
      </c>
      <c r="E1785" t="s">
        <v>94</v>
      </c>
      <c r="F1785" t="s">
        <v>112</v>
      </c>
      <c r="G1785" t="s">
        <v>121</v>
      </c>
      <c r="H1785" t="s">
        <v>113</v>
      </c>
      <c r="J1785">
        <v>0</v>
      </c>
      <c r="K1785">
        <v>6</v>
      </c>
      <c r="L1785">
        <v>65.09375</v>
      </c>
      <c r="M1785">
        <v>37.895352600000002</v>
      </c>
      <c r="N1785">
        <v>2.2882677779999998</v>
      </c>
      <c r="O1785">
        <v>2.2111774</v>
      </c>
      <c r="P1785">
        <v>83.757575759999995</v>
      </c>
      <c r="Q1785">
        <v>22.60997987</v>
      </c>
      <c r="R1785">
        <v>0.72884000000000004</v>
      </c>
      <c r="S1785">
        <v>0.21301339999999999</v>
      </c>
      <c r="T1785" t="s">
        <v>1016</v>
      </c>
      <c r="U1785">
        <v>15.285372730000001</v>
      </c>
    </row>
    <row r="1786" spans="1:21" x14ac:dyDescent="0.25">
      <c r="A1786" t="s">
        <v>28</v>
      </c>
      <c r="B1786" t="s">
        <v>934</v>
      </c>
      <c r="C1786">
        <v>16</v>
      </c>
      <c r="D1786" t="s">
        <v>29</v>
      </c>
      <c r="E1786" t="s">
        <v>94</v>
      </c>
      <c r="F1786" t="s">
        <v>112</v>
      </c>
      <c r="G1786" t="s">
        <v>121</v>
      </c>
      <c r="H1786" t="s">
        <v>113</v>
      </c>
      <c r="J1786">
        <v>0</v>
      </c>
      <c r="K1786">
        <v>6</v>
      </c>
      <c r="L1786">
        <v>65.09375</v>
      </c>
      <c r="M1786">
        <v>37.895352600000002</v>
      </c>
      <c r="N1786">
        <v>2.2882677779999998</v>
      </c>
      <c r="O1786">
        <v>2.2111774</v>
      </c>
      <c r="P1786">
        <v>83.757575759999995</v>
      </c>
      <c r="Q1786">
        <v>22.60997987</v>
      </c>
      <c r="R1786">
        <v>0.72884000000000004</v>
      </c>
      <c r="S1786">
        <v>0.21301339999999999</v>
      </c>
      <c r="T1786" t="s">
        <v>1016</v>
      </c>
      <c r="U1786">
        <v>15.285372730000001</v>
      </c>
    </row>
    <row r="1787" spans="1:21" x14ac:dyDescent="0.25">
      <c r="A1787" t="s">
        <v>28</v>
      </c>
      <c r="B1787" t="s">
        <v>934</v>
      </c>
      <c r="C1787">
        <v>16</v>
      </c>
      <c r="D1787" t="s">
        <v>29</v>
      </c>
      <c r="E1787" t="s">
        <v>94</v>
      </c>
      <c r="F1787" t="s">
        <v>112</v>
      </c>
      <c r="G1787" t="s">
        <v>121</v>
      </c>
      <c r="H1787" t="s">
        <v>113</v>
      </c>
      <c r="J1787">
        <v>0</v>
      </c>
      <c r="K1787">
        <v>6</v>
      </c>
      <c r="L1787">
        <v>65.09375</v>
      </c>
      <c r="M1787">
        <v>37.895352600000002</v>
      </c>
      <c r="N1787">
        <v>2.2882677779999998</v>
      </c>
      <c r="O1787">
        <v>2.2111774</v>
      </c>
      <c r="P1787">
        <v>83.757575759999995</v>
      </c>
      <c r="Q1787">
        <v>22.60997987</v>
      </c>
      <c r="R1787">
        <v>0.72884000000000004</v>
      </c>
      <c r="S1787">
        <v>0.21301339999999999</v>
      </c>
      <c r="T1787" t="s">
        <v>1016</v>
      </c>
      <c r="U1787">
        <v>15.285372730000001</v>
      </c>
    </row>
    <row r="1788" spans="1:21" x14ac:dyDescent="0.25">
      <c r="A1788" t="s">
        <v>28</v>
      </c>
      <c r="B1788" t="s">
        <v>934</v>
      </c>
      <c r="C1788">
        <v>16</v>
      </c>
      <c r="D1788" t="s">
        <v>29</v>
      </c>
      <c r="E1788" t="s">
        <v>94</v>
      </c>
      <c r="F1788" t="s">
        <v>112</v>
      </c>
      <c r="G1788" t="s">
        <v>121</v>
      </c>
      <c r="H1788" t="s">
        <v>113</v>
      </c>
      <c r="J1788">
        <v>0</v>
      </c>
      <c r="K1788">
        <v>6</v>
      </c>
      <c r="L1788">
        <v>65.09375</v>
      </c>
      <c r="M1788">
        <v>37.895352600000002</v>
      </c>
      <c r="N1788">
        <v>2.2882677779999998</v>
      </c>
      <c r="O1788">
        <v>2.2111774</v>
      </c>
      <c r="P1788">
        <v>83.757575759999995</v>
      </c>
      <c r="Q1788">
        <v>22.60997987</v>
      </c>
      <c r="R1788">
        <v>0.72884000000000004</v>
      </c>
      <c r="S1788">
        <v>0.21301339999999999</v>
      </c>
      <c r="T1788" t="s">
        <v>1016</v>
      </c>
      <c r="U1788">
        <v>15.285372730000001</v>
      </c>
    </row>
    <row r="1789" spans="1:21" x14ac:dyDescent="0.25">
      <c r="A1789" t="s">
        <v>28</v>
      </c>
      <c r="B1789" t="s">
        <v>934</v>
      </c>
      <c r="C1789">
        <v>16</v>
      </c>
      <c r="D1789" t="s">
        <v>29</v>
      </c>
      <c r="E1789" t="s">
        <v>94</v>
      </c>
      <c r="F1789" t="s">
        <v>112</v>
      </c>
      <c r="G1789" t="s">
        <v>121</v>
      </c>
      <c r="H1789" t="s">
        <v>113</v>
      </c>
      <c r="J1789">
        <v>0</v>
      </c>
      <c r="K1789">
        <v>6</v>
      </c>
      <c r="L1789">
        <v>65.09375</v>
      </c>
      <c r="M1789">
        <v>37.895352600000002</v>
      </c>
      <c r="N1789">
        <v>2.2882677779999998</v>
      </c>
      <c r="O1789">
        <v>2.2111774</v>
      </c>
      <c r="P1789">
        <v>83.757575759999995</v>
      </c>
      <c r="Q1789">
        <v>22.60997987</v>
      </c>
      <c r="R1789">
        <v>0.72884000000000004</v>
      </c>
      <c r="S1789">
        <v>0.21301339999999999</v>
      </c>
      <c r="T1789" t="s">
        <v>1016</v>
      </c>
      <c r="U1789">
        <v>15.285372730000001</v>
      </c>
    </row>
    <row r="1790" spans="1:21" x14ac:dyDescent="0.25">
      <c r="A1790" t="s">
        <v>28</v>
      </c>
      <c r="B1790" t="s">
        <v>934</v>
      </c>
      <c r="C1790">
        <v>17</v>
      </c>
      <c r="D1790" t="s">
        <v>29</v>
      </c>
      <c r="E1790" t="s">
        <v>94</v>
      </c>
      <c r="F1790" t="s">
        <v>112</v>
      </c>
      <c r="G1790" t="s">
        <v>121</v>
      </c>
      <c r="H1790" t="s">
        <v>248</v>
      </c>
      <c r="J1790">
        <v>0</v>
      </c>
      <c r="K1790">
        <v>3</v>
      </c>
      <c r="L1790">
        <v>65.09375</v>
      </c>
      <c r="M1790">
        <v>37.895352600000002</v>
      </c>
      <c r="N1790">
        <v>2.2882677779999998</v>
      </c>
      <c r="O1790">
        <v>2.2111774</v>
      </c>
      <c r="P1790">
        <v>83.92307692</v>
      </c>
      <c r="Q1790">
        <v>44.319135699999997</v>
      </c>
      <c r="R1790">
        <v>5.9548609999999997E-3</v>
      </c>
      <c r="S1790">
        <v>0.18017928</v>
      </c>
      <c r="T1790" t="s">
        <v>1016</v>
      </c>
      <c r="U1790">
        <v>-6.4237830999999996</v>
      </c>
    </row>
    <row r="1791" spans="1:21" x14ac:dyDescent="0.25">
      <c r="A1791" t="s">
        <v>28</v>
      </c>
      <c r="B1791" t="s">
        <v>934</v>
      </c>
      <c r="C1791">
        <v>17</v>
      </c>
      <c r="D1791" t="s">
        <v>29</v>
      </c>
      <c r="E1791" t="s">
        <v>94</v>
      </c>
      <c r="F1791" t="s">
        <v>112</v>
      </c>
      <c r="G1791" t="s">
        <v>121</v>
      </c>
      <c r="H1791" t="s">
        <v>248</v>
      </c>
      <c r="J1791">
        <v>0</v>
      </c>
      <c r="K1791">
        <v>3</v>
      </c>
      <c r="L1791">
        <v>65.09375</v>
      </c>
      <c r="M1791">
        <v>37.895352600000002</v>
      </c>
      <c r="N1791">
        <v>2.2882677779999998</v>
      </c>
      <c r="O1791">
        <v>2.2111774</v>
      </c>
      <c r="P1791">
        <v>83.92307692</v>
      </c>
      <c r="Q1791">
        <v>44.319135699999997</v>
      </c>
      <c r="R1791">
        <v>5.9548609999999997E-3</v>
      </c>
      <c r="S1791">
        <v>0.18017928</v>
      </c>
      <c r="T1791" t="s">
        <v>1016</v>
      </c>
      <c r="U1791">
        <v>-6.4237830999999996</v>
      </c>
    </row>
    <row r="1792" spans="1:21" x14ac:dyDescent="0.25">
      <c r="A1792" t="s">
        <v>28</v>
      </c>
      <c r="B1792" t="s">
        <v>934</v>
      </c>
      <c r="C1792">
        <v>17</v>
      </c>
      <c r="D1792" t="s">
        <v>29</v>
      </c>
      <c r="E1792" t="s">
        <v>94</v>
      </c>
      <c r="F1792" t="s">
        <v>112</v>
      </c>
      <c r="G1792" t="s">
        <v>121</v>
      </c>
      <c r="H1792" t="s">
        <v>248</v>
      </c>
      <c r="J1792">
        <v>0</v>
      </c>
      <c r="K1792">
        <v>3</v>
      </c>
      <c r="L1792">
        <v>65.09375</v>
      </c>
      <c r="M1792">
        <v>37.895352600000002</v>
      </c>
      <c r="N1792">
        <v>2.2882677779999998</v>
      </c>
      <c r="O1792">
        <v>2.2111774</v>
      </c>
      <c r="P1792">
        <v>83.92307692</v>
      </c>
      <c r="Q1792">
        <v>44.319135699999997</v>
      </c>
      <c r="R1792">
        <v>5.9548609999999997E-3</v>
      </c>
      <c r="S1792">
        <v>0.18017928</v>
      </c>
      <c r="T1792" t="s">
        <v>1016</v>
      </c>
      <c r="U1792">
        <v>-6.4237830999999996</v>
      </c>
    </row>
    <row r="1793" spans="1:21" x14ac:dyDescent="0.25">
      <c r="A1793" t="s">
        <v>30</v>
      </c>
      <c r="B1793" t="s">
        <v>935</v>
      </c>
      <c r="C1793">
        <v>15</v>
      </c>
      <c r="D1793" t="s">
        <v>31</v>
      </c>
      <c r="E1793" t="s">
        <v>95</v>
      </c>
      <c r="F1793" t="s">
        <v>113</v>
      </c>
      <c r="G1793" t="s">
        <v>121</v>
      </c>
      <c r="H1793" t="s">
        <v>113</v>
      </c>
      <c r="J1793">
        <v>0</v>
      </c>
      <c r="K1793">
        <v>1</v>
      </c>
      <c r="L1793">
        <v>83.757575759999995</v>
      </c>
      <c r="M1793">
        <v>22.60997987</v>
      </c>
      <c r="N1793">
        <v>0.72884000000000004</v>
      </c>
      <c r="O1793">
        <v>0.21301339999999999</v>
      </c>
      <c r="P1793">
        <v>83.757575759999995</v>
      </c>
      <c r="Q1793">
        <v>22.60997987</v>
      </c>
      <c r="R1793">
        <v>0.72884000000000004</v>
      </c>
      <c r="S1793">
        <v>0.21301339999999999</v>
      </c>
      <c r="T1793" t="s">
        <v>1016</v>
      </c>
      <c r="U1793">
        <v>0</v>
      </c>
    </row>
    <row r="1794" spans="1:21" x14ac:dyDescent="0.25">
      <c r="A1794" t="s">
        <v>30</v>
      </c>
      <c r="B1794" t="s">
        <v>935</v>
      </c>
      <c r="C1794">
        <v>16</v>
      </c>
      <c r="D1794" t="s">
        <v>31</v>
      </c>
      <c r="E1794" t="s">
        <v>95</v>
      </c>
      <c r="F1794" t="s">
        <v>113</v>
      </c>
      <c r="G1794" t="s">
        <v>121</v>
      </c>
      <c r="H1794" t="s">
        <v>103</v>
      </c>
      <c r="J1794">
        <v>0</v>
      </c>
      <c r="K1794">
        <v>2</v>
      </c>
      <c r="L1794">
        <v>83.757575759999995</v>
      </c>
      <c r="M1794">
        <v>22.60997987</v>
      </c>
      <c r="N1794">
        <v>0.72884000000000004</v>
      </c>
      <c r="O1794">
        <v>0.21301339999999999</v>
      </c>
      <c r="P1794">
        <v>98.291666669999998</v>
      </c>
      <c r="Q1794">
        <v>30.315130790000001</v>
      </c>
      <c r="R1794">
        <v>5.0803484000000003E-2</v>
      </c>
      <c r="S1794">
        <v>0.42866070000000001</v>
      </c>
      <c r="T1794" t="s">
        <v>1016</v>
      </c>
      <c r="U1794">
        <v>-7.7051509200000003</v>
      </c>
    </row>
    <row r="1795" spans="1:21" x14ac:dyDescent="0.25">
      <c r="A1795" t="s">
        <v>30</v>
      </c>
      <c r="B1795" t="s">
        <v>935</v>
      </c>
      <c r="C1795">
        <v>16</v>
      </c>
      <c r="D1795" t="s">
        <v>31</v>
      </c>
      <c r="E1795" t="s">
        <v>95</v>
      </c>
      <c r="F1795" t="s">
        <v>113</v>
      </c>
      <c r="G1795" t="s">
        <v>121</v>
      </c>
      <c r="H1795" t="s">
        <v>103</v>
      </c>
      <c r="J1795">
        <v>0</v>
      </c>
      <c r="K1795">
        <v>2</v>
      </c>
      <c r="L1795">
        <v>83.757575759999995</v>
      </c>
      <c r="M1795">
        <v>22.60997987</v>
      </c>
      <c r="N1795">
        <v>0.72884000000000004</v>
      </c>
      <c r="O1795">
        <v>0.21301339999999999</v>
      </c>
      <c r="P1795">
        <v>98.291666669999998</v>
      </c>
      <c r="Q1795">
        <v>30.315130790000001</v>
      </c>
      <c r="R1795">
        <v>5.0803484000000003E-2</v>
      </c>
      <c r="S1795">
        <v>0.42866070000000001</v>
      </c>
      <c r="T1795" t="s">
        <v>1016</v>
      </c>
      <c r="U1795">
        <v>-7.7051509200000003</v>
      </c>
    </row>
    <row r="1796" spans="1:21" x14ac:dyDescent="0.25">
      <c r="A1796" t="s">
        <v>30</v>
      </c>
      <c r="B1796" t="s">
        <v>935</v>
      </c>
      <c r="C1796">
        <v>17</v>
      </c>
      <c r="D1796" t="s">
        <v>31</v>
      </c>
      <c r="E1796" t="s">
        <v>95</v>
      </c>
      <c r="F1796" t="s">
        <v>113</v>
      </c>
      <c r="G1796" t="s">
        <v>121</v>
      </c>
      <c r="H1796" t="s">
        <v>248</v>
      </c>
      <c r="J1796">
        <v>0</v>
      </c>
      <c r="K1796">
        <v>9</v>
      </c>
      <c r="L1796">
        <v>83.757575759999995</v>
      </c>
      <c r="M1796">
        <v>22.60997987</v>
      </c>
      <c r="N1796">
        <v>0.72884000000000004</v>
      </c>
      <c r="O1796">
        <v>0.21301339999999999</v>
      </c>
      <c r="P1796">
        <v>83.92307692</v>
      </c>
      <c r="Q1796">
        <v>44.319135699999997</v>
      </c>
      <c r="R1796">
        <v>5.9548609999999997E-3</v>
      </c>
      <c r="S1796">
        <v>0.18017928</v>
      </c>
      <c r="T1796" t="s">
        <v>1016</v>
      </c>
      <c r="U1796">
        <v>-21.70915583</v>
      </c>
    </row>
    <row r="1797" spans="1:21" x14ac:dyDescent="0.25">
      <c r="A1797" t="s">
        <v>30</v>
      </c>
      <c r="B1797" t="s">
        <v>935</v>
      </c>
      <c r="C1797">
        <v>17</v>
      </c>
      <c r="D1797" t="s">
        <v>31</v>
      </c>
      <c r="E1797" t="s">
        <v>95</v>
      </c>
      <c r="F1797" t="s">
        <v>113</v>
      </c>
      <c r="G1797" t="s">
        <v>121</v>
      </c>
      <c r="H1797" t="s">
        <v>248</v>
      </c>
      <c r="J1797">
        <v>0</v>
      </c>
      <c r="K1797">
        <v>9</v>
      </c>
      <c r="L1797">
        <v>83.757575759999995</v>
      </c>
      <c r="M1797">
        <v>22.60997987</v>
      </c>
      <c r="N1797">
        <v>0.72884000000000004</v>
      </c>
      <c r="O1797">
        <v>0.21301339999999999</v>
      </c>
      <c r="P1797">
        <v>83.92307692</v>
      </c>
      <c r="Q1797">
        <v>44.319135699999997</v>
      </c>
      <c r="R1797">
        <v>5.9548609999999997E-3</v>
      </c>
      <c r="S1797">
        <v>0.18017928</v>
      </c>
      <c r="T1797" t="s">
        <v>1016</v>
      </c>
      <c r="U1797">
        <v>-21.70915583</v>
      </c>
    </row>
    <row r="1798" spans="1:21" x14ac:dyDescent="0.25">
      <c r="A1798" t="s">
        <v>30</v>
      </c>
      <c r="B1798" t="s">
        <v>935</v>
      </c>
      <c r="C1798">
        <v>17</v>
      </c>
      <c r="D1798" t="s">
        <v>31</v>
      </c>
      <c r="E1798" t="s">
        <v>95</v>
      </c>
      <c r="F1798" t="s">
        <v>113</v>
      </c>
      <c r="G1798" t="s">
        <v>121</v>
      </c>
      <c r="H1798" t="s">
        <v>248</v>
      </c>
      <c r="J1798">
        <v>0</v>
      </c>
      <c r="K1798">
        <v>9</v>
      </c>
      <c r="L1798">
        <v>83.757575759999995</v>
      </c>
      <c r="M1798">
        <v>22.60997987</v>
      </c>
      <c r="N1798">
        <v>0.72884000000000004</v>
      </c>
      <c r="O1798">
        <v>0.21301339999999999</v>
      </c>
      <c r="P1798">
        <v>83.92307692</v>
      </c>
      <c r="Q1798">
        <v>44.319135699999997</v>
      </c>
      <c r="R1798">
        <v>5.9548609999999997E-3</v>
      </c>
      <c r="S1798">
        <v>0.18017928</v>
      </c>
      <c r="T1798" t="s">
        <v>1016</v>
      </c>
      <c r="U1798">
        <v>-21.70915583</v>
      </c>
    </row>
    <row r="1799" spans="1:21" x14ac:dyDescent="0.25">
      <c r="A1799" t="s">
        <v>30</v>
      </c>
      <c r="B1799" t="s">
        <v>935</v>
      </c>
      <c r="C1799">
        <v>17</v>
      </c>
      <c r="D1799" t="s">
        <v>31</v>
      </c>
      <c r="E1799" t="s">
        <v>95</v>
      </c>
      <c r="F1799" t="s">
        <v>113</v>
      </c>
      <c r="G1799" t="s">
        <v>121</v>
      </c>
      <c r="H1799" t="s">
        <v>248</v>
      </c>
      <c r="J1799">
        <v>0</v>
      </c>
      <c r="K1799">
        <v>9</v>
      </c>
      <c r="L1799">
        <v>83.757575759999995</v>
      </c>
      <c r="M1799">
        <v>22.60997987</v>
      </c>
      <c r="N1799">
        <v>0.72884000000000004</v>
      </c>
      <c r="O1799">
        <v>0.21301339999999999</v>
      </c>
      <c r="P1799">
        <v>83.92307692</v>
      </c>
      <c r="Q1799">
        <v>44.319135699999997</v>
      </c>
      <c r="R1799">
        <v>5.9548609999999997E-3</v>
      </c>
      <c r="S1799">
        <v>0.18017928</v>
      </c>
      <c r="T1799" t="s">
        <v>1016</v>
      </c>
      <c r="U1799">
        <v>-21.70915583</v>
      </c>
    </row>
    <row r="1800" spans="1:21" x14ac:dyDescent="0.25">
      <c r="A1800" t="s">
        <v>30</v>
      </c>
      <c r="B1800" t="s">
        <v>935</v>
      </c>
      <c r="C1800">
        <v>17</v>
      </c>
      <c r="D1800" t="s">
        <v>31</v>
      </c>
      <c r="E1800" t="s">
        <v>95</v>
      </c>
      <c r="F1800" t="s">
        <v>113</v>
      </c>
      <c r="G1800" t="s">
        <v>121</v>
      </c>
      <c r="H1800" t="s">
        <v>248</v>
      </c>
      <c r="J1800">
        <v>0</v>
      </c>
      <c r="K1800">
        <v>9</v>
      </c>
      <c r="L1800">
        <v>83.757575759999995</v>
      </c>
      <c r="M1800">
        <v>22.60997987</v>
      </c>
      <c r="N1800">
        <v>0.72884000000000004</v>
      </c>
      <c r="O1800">
        <v>0.21301339999999999</v>
      </c>
      <c r="P1800">
        <v>83.92307692</v>
      </c>
      <c r="Q1800">
        <v>44.319135699999997</v>
      </c>
      <c r="R1800">
        <v>5.9548609999999997E-3</v>
      </c>
      <c r="S1800">
        <v>0.18017928</v>
      </c>
      <c r="T1800" t="s">
        <v>1016</v>
      </c>
      <c r="U1800">
        <v>-21.70915583</v>
      </c>
    </row>
    <row r="1801" spans="1:21" x14ac:dyDescent="0.25">
      <c r="A1801" t="s">
        <v>30</v>
      </c>
      <c r="B1801" t="s">
        <v>935</v>
      </c>
      <c r="C1801">
        <v>17</v>
      </c>
      <c r="D1801" t="s">
        <v>31</v>
      </c>
      <c r="E1801" t="s">
        <v>95</v>
      </c>
      <c r="F1801" t="s">
        <v>113</v>
      </c>
      <c r="G1801" t="s">
        <v>121</v>
      </c>
      <c r="H1801" t="s">
        <v>248</v>
      </c>
      <c r="J1801">
        <v>0</v>
      </c>
      <c r="K1801">
        <v>9</v>
      </c>
      <c r="L1801">
        <v>83.757575759999995</v>
      </c>
      <c r="M1801">
        <v>22.60997987</v>
      </c>
      <c r="N1801">
        <v>0.72884000000000004</v>
      </c>
      <c r="O1801">
        <v>0.21301339999999999</v>
      </c>
      <c r="P1801">
        <v>83.92307692</v>
      </c>
      <c r="Q1801">
        <v>44.319135699999997</v>
      </c>
      <c r="R1801">
        <v>5.9548609999999997E-3</v>
      </c>
      <c r="S1801">
        <v>0.18017928</v>
      </c>
      <c r="T1801" t="s">
        <v>1016</v>
      </c>
      <c r="U1801">
        <v>-21.70915583</v>
      </c>
    </row>
    <row r="1802" spans="1:21" x14ac:dyDescent="0.25">
      <c r="A1802" t="s">
        <v>30</v>
      </c>
      <c r="B1802" t="s">
        <v>935</v>
      </c>
      <c r="C1802">
        <v>17</v>
      </c>
      <c r="D1802" t="s">
        <v>31</v>
      </c>
      <c r="E1802" t="s">
        <v>95</v>
      </c>
      <c r="F1802" t="s">
        <v>113</v>
      </c>
      <c r="G1802" t="s">
        <v>121</v>
      </c>
      <c r="H1802" t="s">
        <v>248</v>
      </c>
      <c r="J1802">
        <v>0</v>
      </c>
      <c r="K1802">
        <v>9</v>
      </c>
      <c r="L1802">
        <v>83.757575759999995</v>
      </c>
      <c r="M1802">
        <v>22.60997987</v>
      </c>
      <c r="N1802">
        <v>0.72884000000000004</v>
      </c>
      <c r="O1802">
        <v>0.21301339999999999</v>
      </c>
      <c r="P1802">
        <v>83.92307692</v>
      </c>
      <c r="Q1802">
        <v>44.319135699999997</v>
      </c>
      <c r="R1802">
        <v>5.9548609999999997E-3</v>
      </c>
      <c r="S1802">
        <v>0.18017928</v>
      </c>
      <c r="T1802" t="s">
        <v>1016</v>
      </c>
      <c r="U1802">
        <v>-21.70915583</v>
      </c>
    </row>
    <row r="1803" spans="1:21" x14ac:dyDescent="0.25">
      <c r="A1803" t="s">
        <v>30</v>
      </c>
      <c r="B1803" t="s">
        <v>935</v>
      </c>
      <c r="C1803">
        <v>17</v>
      </c>
      <c r="D1803" t="s">
        <v>31</v>
      </c>
      <c r="E1803" t="s">
        <v>95</v>
      </c>
      <c r="F1803" t="s">
        <v>113</v>
      </c>
      <c r="G1803" t="s">
        <v>121</v>
      </c>
      <c r="H1803" t="s">
        <v>248</v>
      </c>
      <c r="J1803">
        <v>0</v>
      </c>
      <c r="K1803">
        <v>9</v>
      </c>
      <c r="L1803">
        <v>83.757575759999995</v>
      </c>
      <c r="M1803">
        <v>22.60997987</v>
      </c>
      <c r="N1803">
        <v>0.72884000000000004</v>
      </c>
      <c r="O1803">
        <v>0.21301339999999999</v>
      </c>
      <c r="P1803">
        <v>83.92307692</v>
      </c>
      <c r="Q1803">
        <v>44.319135699999997</v>
      </c>
      <c r="R1803">
        <v>5.9548609999999997E-3</v>
      </c>
      <c r="S1803">
        <v>0.18017928</v>
      </c>
      <c r="T1803" t="s">
        <v>1016</v>
      </c>
      <c r="U1803">
        <v>-21.70915583</v>
      </c>
    </row>
    <row r="1804" spans="1:21" x14ac:dyDescent="0.25">
      <c r="A1804" t="s">
        <v>30</v>
      </c>
      <c r="B1804" t="s">
        <v>935</v>
      </c>
      <c r="C1804">
        <v>17</v>
      </c>
      <c r="D1804" t="s">
        <v>31</v>
      </c>
      <c r="E1804" t="s">
        <v>95</v>
      </c>
      <c r="F1804" t="s">
        <v>113</v>
      </c>
      <c r="G1804" t="s">
        <v>121</v>
      </c>
      <c r="H1804" t="s">
        <v>248</v>
      </c>
      <c r="J1804">
        <v>0</v>
      </c>
      <c r="K1804">
        <v>9</v>
      </c>
      <c r="L1804">
        <v>83.757575759999995</v>
      </c>
      <c r="M1804">
        <v>22.60997987</v>
      </c>
      <c r="N1804">
        <v>0.72884000000000004</v>
      </c>
      <c r="O1804">
        <v>0.21301339999999999</v>
      </c>
      <c r="P1804">
        <v>83.92307692</v>
      </c>
      <c r="Q1804">
        <v>44.319135699999997</v>
      </c>
      <c r="R1804">
        <v>5.9548609999999997E-3</v>
      </c>
      <c r="S1804">
        <v>0.18017928</v>
      </c>
      <c r="T1804" t="s">
        <v>1016</v>
      </c>
      <c r="U1804">
        <v>-21.70915583</v>
      </c>
    </row>
    <row r="1805" spans="1:21" x14ac:dyDescent="0.25">
      <c r="A1805" t="s">
        <v>30</v>
      </c>
      <c r="B1805" t="s">
        <v>935</v>
      </c>
      <c r="C1805">
        <v>18</v>
      </c>
      <c r="D1805" t="s">
        <v>31</v>
      </c>
      <c r="E1805" t="s">
        <v>95</v>
      </c>
      <c r="F1805" t="s">
        <v>113</v>
      </c>
      <c r="G1805" t="s">
        <v>121</v>
      </c>
      <c r="H1805" t="s">
        <v>111</v>
      </c>
      <c r="J1805">
        <v>0</v>
      </c>
      <c r="K1805">
        <v>1</v>
      </c>
      <c r="L1805">
        <v>83.757575759999995</v>
      </c>
      <c r="M1805">
        <v>22.60997987</v>
      </c>
      <c r="N1805">
        <v>0.72884000000000004</v>
      </c>
      <c r="O1805">
        <v>0.21301339999999999</v>
      </c>
      <c r="P1805">
        <v>94.97142857</v>
      </c>
      <c r="Q1805">
        <v>24.31591813</v>
      </c>
      <c r="R1805">
        <v>0.122951111</v>
      </c>
      <c r="S1805">
        <v>0.39050790000000002</v>
      </c>
      <c r="T1805" t="s">
        <v>1016</v>
      </c>
      <c r="U1805">
        <v>-1.7059382599999999</v>
      </c>
    </row>
    <row r="1806" spans="1:21" x14ac:dyDescent="0.25">
      <c r="A1806" t="s">
        <v>30</v>
      </c>
      <c r="B1806" t="s">
        <v>936</v>
      </c>
      <c r="C1806">
        <v>15</v>
      </c>
      <c r="D1806" t="s">
        <v>31</v>
      </c>
      <c r="E1806" t="s">
        <v>95</v>
      </c>
      <c r="F1806" t="s">
        <v>103</v>
      </c>
      <c r="G1806" t="s">
        <v>113</v>
      </c>
      <c r="H1806" t="s">
        <v>113</v>
      </c>
      <c r="J1806">
        <v>0</v>
      </c>
      <c r="K1806">
        <v>3</v>
      </c>
      <c r="L1806">
        <v>98.291666669999998</v>
      </c>
      <c r="M1806">
        <v>30.315130790000001</v>
      </c>
      <c r="N1806">
        <v>5.0803484000000003E-2</v>
      </c>
      <c r="O1806">
        <v>0.42866070000000001</v>
      </c>
      <c r="P1806">
        <v>83.757575759999995</v>
      </c>
      <c r="Q1806">
        <v>22.60997987</v>
      </c>
      <c r="R1806">
        <v>0.72884000000000004</v>
      </c>
      <c r="S1806">
        <v>0.21301339999999999</v>
      </c>
      <c r="T1806" t="s">
        <v>1016</v>
      </c>
      <c r="U1806">
        <v>7.7051509200000003</v>
      </c>
    </row>
    <row r="1807" spans="1:21" x14ac:dyDescent="0.25">
      <c r="A1807" t="s">
        <v>30</v>
      </c>
      <c r="B1807" t="s">
        <v>936</v>
      </c>
      <c r="C1807">
        <v>15</v>
      </c>
      <c r="D1807" t="s">
        <v>31</v>
      </c>
      <c r="E1807" t="s">
        <v>95</v>
      </c>
      <c r="F1807" t="s">
        <v>103</v>
      </c>
      <c r="G1807" t="s">
        <v>113</v>
      </c>
      <c r="H1807" t="s">
        <v>113</v>
      </c>
      <c r="J1807">
        <v>0</v>
      </c>
      <c r="K1807">
        <v>3</v>
      </c>
      <c r="L1807">
        <v>98.291666669999998</v>
      </c>
      <c r="M1807">
        <v>30.315130790000001</v>
      </c>
      <c r="N1807">
        <v>5.0803484000000003E-2</v>
      </c>
      <c r="O1807">
        <v>0.42866070000000001</v>
      </c>
      <c r="P1807">
        <v>83.757575759999995</v>
      </c>
      <c r="Q1807">
        <v>22.60997987</v>
      </c>
      <c r="R1807">
        <v>0.72884000000000004</v>
      </c>
      <c r="S1807">
        <v>0.21301339999999999</v>
      </c>
      <c r="T1807" t="s">
        <v>1016</v>
      </c>
      <c r="U1807">
        <v>7.7051509200000003</v>
      </c>
    </row>
    <row r="1808" spans="1:21" x14ac:dyDescent="0.25">
      <c r="A1808" t="s">
        <v>30</v>
      </c>
      <c r="B1808" t="s">
        <v>936</v>
      </c>
      <c r="C1808">
        <v>15</v>
      </c>
      <c r="D1808" t="s">
        <v>31</v>
      </c>
      <c r="E1808" t="s">
        <v>95</v>
      </c>
      <c r="F1808" t="s">
        <v>103</v>
      </c>
      <c r="G1808" t="s">
        <v>113</v>
      </c>
      <c r="H1808" t="s">
        <v>113</v>
      </c>
      <c r="J1808">
        <v>0</v>
      </c>
      <c r="K1808">
        <v>3</v>
      </c>
      <c r="L1808">
        <v>98.291666669999998</v>
      </c>
      <c r="M1808">
        <v>30.315130790000001</v>
      </c>
      <c r="N1808">
        <v>5.0803484000000003E-2</v>
      </c>
      <c r="O1808">
        <v>0.42866070000000001</v>
      </c>
      <c r="P1808">
        <v>83.757575759999995</v>
      </c>
      <c r="Q1808">
        <v>22.60997987</v>
      </c>
      <c r="R1808">
        <v>0.72884000000000004</v>
      </c>
      <c r="S1808">
        <v>0.21301339999999999</v>
      </c>
      <c r="T1808" t="s">
        <v>1016</v>
      </c>
      <c r="U1808">
        <v>7.7051509200000003</v>
      </c>
    </row>
    <row r="1809" spans="1:21" x14ac:dyDescent="0.25">
      <c r="A1809" t="s">
        <v>30</v>
      </c>
      <c r="B1809" t="s">
        <v>936</v>
      </c>
      <c r="C1809">
        <v>16</v>
      </c>
      <c r="D1809" t="s">
        <v>31</v>
      </c>
      <c r="E1809" t="s">
        <v>95</v>
      </c>
      <c r="F1809" t="s">
        <v>103</v>
      </c>
      <c r="G1809" t="s">
        <v>113</v>
      </c>
      <c r="H1809" t="s">
        <v>247</v>
      </c>
      <c r="J1809">
        <v>0</v>
      </c>
      <c r="K1809">
        <v>1</v>
      </c>
      <c r="L1809">
        <v>98.291666669999998</v>
      </c>
      <c r="M1809">
        <v>30.315130790000001</v>
      </c>
      <c r="N1809">
        <v>5.0803484000000003E-2</v>
      </c>
      <c r="O1809">
        <v>0.42866070000000001</v>
      </c>
      <c r="P1809">
        <v>65.791044779999993</v>
      </c>
      <c r="Q1809">
        <v>22.94519201</v>
      </c>
      <c r="R1809">
        <v>8.1320334999999994E-2</v>
      </c>
      <c r="S1809">
        <v>0.17285655</v>
      </c>
      <c r="T1809" t="s">
        <v>1016</v>
      </c>
      <c r="U1809">
        <v>7.36993878</v>
      </c>
    </row>
    <row r="1810" spans="1:21" x14ac:dyDescent="0.25">
      <c r="A1810" t="s">
        <v>30</v>
      </c>
      <c r="B1810" t="s">
        <v>936</v>
      </c>
      <c r="C1810">
        <v>17</v>
      </c>
      <c r="D1810" t="s">
        <v>31</v>
      </c>
      <c r="E1810" t="s">
        <v>95</v>
      </c>
      <c r="F1810" t="s">
        <v>103</v>
      </c>
      <c r="G1810" t="s">
        <v>113</v>
      </c>
      <c r="H1810" t="s">
        <v>111</v>
      </c>
      <c r="J1810">
        <v>0</v>
      </c>
      <c r="K1810">
        <v>1</v>
      </c>
      <c r="L1810">
        <v>98.291666669999998</v>
      </c>
      <c r="M1810">
        <v>30.315130790000001</v>
      </c>
      <c r="N1810">
        <v>5.0803484000000003E-2</v>
      </c>
      <c r="O1810">
        <v>0.42866070000000001</v>
      </c>
      <c r="P1810">
        <v>94.97142857</v>
      </c>
      <c r="Q1810">
        <v>24.31591813</v>
      </c>
      <c r="R1810">
        <v>0.122951111</v>
      </c>
      <c r="S1810">
        <v>0.39050790000000002</v>
      </c>
      <c r="T1810" t="s">
        <v>1016</v>
      </c>
      <c r="U1810">
        <v>5.9992126600000004</v>
      </c>
    </row>
    <row r="1811" spans="1:21" x14ac:dyDescent="0.25">
      <c r="A1811" t="s">
        <v>30</v>
      </c>
      <c r="B1811" t="s">
        <v>936</v>
      </c>
      <c r="C1811">
        <v>18</v>
      </c>
      <c r="D1811" t="s">
        <v>31</v>
      </c>
      <c r="E1811" t="s">
        <v>95</v>
      </c>
      <c r="F1811" t="s">
        <v>103</v>
      </c>
      <c r="G1811" t="s">
        <v>113</v>
      </c>
      <c r="H1811" t="s">
        <v>234</v>
      </c>
      <c r="J1811">
        <v>0</v>
      </c>
      <c r="K1811">
        <v>1</v>
      </c>
      <c r="L1811">
        <v>98.291666669999998</v>
      </c>
      <c r="M1811">
        <v>30.315130790000001</v>
      </c>
      <c r="N1811">
        <v>5.0803484000000003E-2</v>
      </c>
      <c r="O1811">
        <v>0.42866070000000001</v>
      </c>
      <c r="P1811">
        <v>89.8125</v>
      </c>
      <c r="Q1811">
        <v>34.754706650000003</v>
      </c>
      <c r="R1811">
        <v>2.3065078999999999E-2</v>
      </c>
      <c r="S1811">
        <v>2.4791666700000001</v>
      </c>
      <c r="T1811" t="s">
        <v>1016</v>
      </c>
      <c r="U1811">
        <v>-4.4395758599999997</v>
      </c>
    </row>
    <row r="1812" spans="1:21" x14ac:dyDescent="0.25">
      <c r="A1812" t="s">
        <v>30</v>
      </c>
      <c r="B1812" t="s">
        <v>936</v>
      </c>
      <c r="C1812">
        <v>19</v>
      </c>
      <c r="D1812" t="s">
        <v>31</v>
      </c>
      <c r="E1812" t="s">
        <v>95</v>
      </c>
      <c r="F1812" t="s">
        <v>103</v>
      </c>
      <c r="G1812" t="s">
        <v>113</v>
      </c>
      <c r="H1812" t="s">
        <v>241</v>
      </c>
      <c r="J1812">
        <v>0</v>
      </c>
      <c r="K1812">
        <v>1</v>
      </c>
      <c r="L1812">
        <v>98.291666669999998</v>
      </c>
      <c r="M1812">
        <v>30.315130790000001</v>
      </c>
      <c r="N1812">
        <v>5.0803484000000003E-2</v>
      </c>
      <c r="O1812">
        <v>0.42866070000000001</v>
      </c>
      <c r="P1812">
        <v>114</v>
      </c>
      <c r="Q1812">
        <v>30.43077242</v>
      </c>
      <c r="R1812">
        <v>0.53383111100000002</v>
      </c>
      <c r="S1812">
        <v>0.28333332999999999</v>
      </c>
      <c r="T1812" t="s">
        <v>1016</v>
      </c>
      <c r="U1812">
        <v>-0.11564163</v>
      </c>
    </row>
    <row r="1813" spans="1:21" x14ac:dyDescent="0.25">
      <c r="A1813" t="s">
        <v>30</v>
      </c>
      <c r="B1813" t="s">
        <v>937</v>
      </c>
      <c r="C1813">
        <v>15</v>
      </c>
      <c r="D1813" t="s">
        <v>31</v>
      </c>
      <c r="E1813" t="s">
        <v>95</v>
      </c>
      <c r="F1813" t="s">
        <v>112</v>
      </c>
      <c r="G1813" t="s">
        <v>103</v>
      </c>
      <c r="H1813" t="s">
        <v>114</v>
      </c>
      <c r="J1813">
        <v>0</v>
      </c>
      <c r="K1813" t="s">
        <v>114</v>
      </c>
      <c r="L1813">
        <v>65.09375</v>
      </c>
      <c r="M1813">
        <v>37.895352600000002</v>
      </c>
      <c r="N1813">
        <v>2.2882677779999998</v>
      </c>
      <c r="O1813">
        <v>2.2111774</v>
      </c>
      <c r="P1813" t="s">
        <v>114</v>
      </c>
      <c r="Q1813" t="s">
        <v>114</v>
      </c>
      <c r="R1813" t="s">
        <v>114</v>
      </c>
      <c r="S1813" t="s">
        <v>114</v>
      </c>
      <c r="T1813" t="s">
        <v>1016</v>
      </c>
      <c r="U1813" t="s">
        <v>114</v>
      </c>
    </row>
    <row r="1814" spans="1:21" x14ac:dyDescent="0.25">
      <c r="A1814" t="s">
        <v>32</v>
      </c>
      <c r="B1814" t="s">
        <v>938</v>
      </c>
      <c r="C1814">
        <v>15</v>
      </c>
      <c r="D1814" t="s">
        <v>33</v>
      </c>
      <c r="E1814" t="s">
        <v>94</v>
      </c>
      <c r="F1814" t="s">
        <v>105</v>
      </c>
      <c r="G1814" t="s">
        <v>121</v>
      </c>
      <c r="H1814" t="s">
        <v>247</v>
      </c>
      <c r="J1814">
        <v>0</v>
      </c>
      <c r="K1814">
        <v>2</v>
      </c>
      <c r="L1814">
        <v>67.5</v>
      </c>
      <c r="M1814">
        <v>47.937235809999997</v>
      </c>
      <c r="N1814">
        <v>0.41599678000000001</v>
      </c>
      <c r="O1814">
        <v>2.0950346999999998</v>
      </c>
      <c r="P1814">
        <v>65.791044779999993</v>
      </c>
      <c r="Q1814">
        <v>22.94519201</v>
      </c>
      <c r="R1814">
        <v>8.1320334999999994E-2</v>
      </c>
      <c r="S1814">
        <v>0.17285655</v>
      </c>
      <c r="T1814" t="s">
        <v>1016</v>
      </c>
      <c r="U1814">
        <v>24.992043800000001</v>
      </c>
    </row>
    <row r="1815" spans="1:21" x14ac:dyDescent="0.25">
      <c r="A1815" t="s">
        <v>32</v>
      </c>
      <c r="B1815" t="s">
        <v>938</v>
      </c>
      <c r="C1815">
        <v>15</v>
      </c>
      <c r="D1815" t="s">
        <v>33</v>
      </c>
      <c r="E1815" t="s">
        <v>94</v>
      </c>
      <c r="F1815" t="s">
        <v>105</v>
      </c>
      <c r="G1815" t="s">
        <v>121</v>
      </c>
      <c r="H1815" t="s">
        <v>247</v>
      </c>
      <c r="J1815">
        <v>0</v>
      </c>
      <c r="K1815">
        <v>2</v>
      </c>
      <c r="L1815">
        <v>67.5</v>
      </c>
      <c r="M1815">
        <v>47.937235809999997</v>
      </c>
      <c r="N1815">
        <v>0.41599678000000001</v>
      </c>
      <c r="O1815">
        <v>2.0950346999999998</v>
      </c>
      <c r="P1815">
        <v>65.791044779999993</v>
      </c>
      <c r="Q1815">
        <v>22.94519201</v>
      </c>
      <c r="R1815">
        <v>8.1320334999999994E-2</v>
      </c>
      <c r="S1815">
        <v>0.17285655</v>
      </c>
      <c r="T1815" t="s">
        <v>1016</v>
      </c>
      <c r="U1815">
        <v>24.992043800000001</v>
      </c>
    </row>
    <row r="1816" spans="1:21" x14ac:dyDescent="0.25">
      <c r="A1816" t="s">
        <v>32</v>
      </c>
      <c r="B1816" t="s">
        <v>938</v>
      </c>
      <c r="C1816">
        <v>16</v>
      </c>
      <c r="D1816" t="s">
        <v>33</v>
      </c>
      <c r="E1816" t="s">
        <v>94</v>
      </c>
      <c r="F1816" t="s">
        <v>105</v>
      </c>
      <c r="G1816" t="s">
        <v>121</v>
      </c>
      <c r="H1816" t="s">
        <v>249</v>
      </c>
      <c r="J1816">
        <v>0</v>
      </c>
      <c r="K1816">
        <v>1</v>
      </c>
      <c r="L1816">
        <v>67.5</v>
      </c>
      <c r="M1816">
        <v>47.937235809999997</v>
      </c>
      <c r="N1816">
        <v>0.41599678000000001</v>
      </c>
      <c r="O1816">
        <v>2.0950346999999998</v>
      </c>
      <c r="P1816">
        <v>81.666666669999998</v>
      </c>
      <c r="Q1816">
        <v>48.056268459999998</v>
      </c>
      <c r="R1816">
        <v>0.120291364</v>
      </c>
      <c r="S1816" t="s">
        <v>114</v>
      </c>
      <c r="T1816" t="s">
        <v>1016</v>
      </c>
      <c r="U1816">
        <v>-0.11903265</v>
      </c>
    </row>
    <row r="1817" spans="1:21" x14ac:dyDescent="0.25">
      <c r="A1817" t="s">
        <v>34</v>
      </c>
      <c r="B1817" t="s">
        <v>939</v>
      </c>
      <c r="C1817">
        <v>15</v>
      </c>
      <c r="D1817" t="s">
        <v>35</v>
      </c>
      <c r="E1817" t="s">
        <v>94</v>
      </c>
      <c r="F1817" t="s">
        <v>112</v>
      </c>
      <c r="G1817" t="s">
        <v>112</v>
      </c>
      <c r="H1817" t="s">
        <v>112</v>
      </c>
      <c r="J1817">
        <v>0</v>
      </c>
      <c r="K1817">
        <v>1</v>
      </c>
      <c r="L1817">
        <v>65.09375</v>
      </c>
      <c r="M1817">
        <v>37.895352600000002</v>
      </c>
      <c r="N1817">
        <v>2.2882677779999998</v>
      </c>
      <c r="O1817">
        <v>2.2111774</v>
      </c>
      <c r="P1817">
        <v>65.09375</v>
      </c>
      <c r="Q1817">
        <v>37.895352600000002</v>
      </c>
      <c r="R1817">
        <v>2.2882677779999998</v>
      </c>
      <c r="S1817">
        <v>2.2111774</v>
      </c>
      <c r="T1817" t="s">
        <v>1016</v>
      </c>
      <c r="U1817">
        <v>0</v>
      </c>
    </row>
    <row r="1818" spans="1:21" x14ac:dyDescent="0.25">
      <c r="A1818" t="s">
        <v>36</v>
      </c>
      <c r="B1818" t="s">
        <v>940</v>
      </c>
      <c r="C1818">
        <v>15</v>
      </c>
      <c r="D1818" t="s">
        <v>37</v>
      </c>
      <c r="E1818" t="s">
        <v>95</v>
      </c>
      <c r="F1818" t="s">
        <v>110</v>
      </c>
      <c r="G1818" t="s">
        <v>121</v>
      </c>
      <c r="H1818" t="s">
        <v>110</v>
      </c>
      <c r="J1818">
        <v>0</v>
      </c>
      <c r="K1818">
        <v>1</v>
      </c>
      <c r="L1818">
        <v>73.260869569999997</v>
      </c>
      <c r="M1818">
        <v>34.453830549999999</v>
      </c>
      <c r="N1818">
        <v>1.058333333</v>
      </c>
      <c r="O1818">
        <v>0.90897070000000002</v>
      </c>
      <c r="P1818">
        <v>73.260869569999997</v>
      </c>
      <c r="Q1818">
        <v>34.453830549999999</v>
      </c>
      <c r="R1818">
        <v>1.058333333</v>
      </c>
      <c r="S1818">
        <v>0.90897070000000002</v>
      </c>
      <c r="T1818" t="s">
        <v>1016</v>
      </c>
      <c r="U1818">
        <v>0</v>
      </c>
    </row>
    <row r="1819" spans="1:21" x14ac:dyDescent="0.25">
      <c r="A1819" t="s">
        <v>36</v>
      </c>
      <c r="B1819" t="s">
        <v>941</v>
      </c>
      <c r="C1819">
        <v>15</v>
      </c>
      <c r="D1819" t="s">
        <v>37</v>
      </c>
      <c r="E1819" t="s">
        <v>95</v>
      </c>
      <c r="F1819" t="s">
        <v>104</v>
      </c>
      <c r="G1819" t="s">
        <v>121</v>
      </c>
      <c r="H1819" t="s">
        <v>104</v>
      </c>
      <c r="J1819">
        <v>0</v>
      </c>
      <c r="K1819">
        <v>1</v>
      </c>
      <c r="L1819">
        <v>113.9375</v>
      </c>
      <c r="M1819">
        <v>33.375507550000002</v>
      </c>
      <c r="N1819">
        <v>2.4262999999999999</v>
      </c>
      <c r="O1819">
        <v>0.40692159999999999</v>
      </c>
      <c r="P1819">
        <v>113.9375</v>
      </c>
      <c r="Q1819">
        <v>33.375507550000002</v>
      </c>
      <c r="R1819">
        <v>2.4262999999999999</v>
      </c>
      <c r="S1819">
        <v>0.40692159999999999</v>
      </c>
      <c r="T1819" t="s">
        <v>1016</v>
      </c>
      <c r="U1819">
        <v>0</v>
      </c>
    </row>
    <row r="1820" spans="1:21" x14ac:dyDescent="0.25">
      <c r="A1820" t="s">
        <v>36</v>
      </c>
      <c r="B1820" t="s">
        <v>941</v>
      </c>
      <c r="C1820">
        <v>16</v>
      </c>
      <c r="D1820" t="s">
        <v>37</v>
      </c>
      <c r="E1820" t="s">
        <v>95</v>
      </c>
      <c r="F1820" t="s">
        <v>104</v>
      </c>
      <c r="G1820" t="s">
        <v>121</v>
      </c>
      <c r="H1820" t="s">
        <v>111</v>
      </c>
      <c r="J1820">
        <v>0</v>
      </c>
      <c r="K1820">
        <v>1</v>
      </c>
      <c r="L1820">
        <v>113.9375</v>
      </c>
      <c r="M1820">
        <v>33.375507550000002</v>
      </c>
      <c r="N1820">
        <v>2.4262999999999999</v>
      </c>
      <c r="O1820">
        <v>0.40692159999999999</v>
      </c>
      <c r="P1820">
        <v>94.97142857</v>
      </c>
      <c r="Q1820">
        <v>24.31591813</v>
      </c>
      <c r="R1820">
        <v>0.122951111</v>
      </c>
      <c r="S1820">
        <v>0.39050790000000002</v>
      </c>
      <c r="T1820" t="s">
        <v>1016</v>
      </c>
      <c r="U1820">
        <v>9.05958942</v>
      </c>
    </row>
    <row r="1821" spans="1:21" x14ac:dyDescent="0.25">
      <c r="A1821" t="s">
        <v>36</v>
      </c>
      <c r="B1821" t="s">
        <v>941</v>
      </c>
      <c r="C1821">
        <v>17</v>
      </c>
      <c r="D1821" t="s">
        <v>37</v>
      </c>
      <c r="E1821" t="s">
        <v>95</v>
      </c>
      <c r="F1821" t="s">
        <v>104</v>
      </c>
      <c r="G1821" t="s">
        <v>121</v>
      </c>
      <c r="H1821" t="s">
        <v>162</v>
      </c>
      <c r="J1821">
        <v>0</v>
      </c>
      <c r="K1821">
        <v>1</v>
      </c>
      <c r="L1821">
        <v>113.9375</v>
      </c>
      <c r="M1821">
        <v>33.375507550000002</v>
      </c>
      <c r="N1821">
        <v>2.4262999999999999</v>
      </c>
      <c r="O1821">
        <v>0.40692159999999999</v>
      </c>
      <c r="P1821">
        <v>82.53846154</v>
      </c>
      <c r="Q1821">
        <v>35.660530039999998</v>
      </c>
      <c r="R1821">
        <v>3.3754499999999998</v>
      </c>
      <c r="S1821" t="s">
        <v>114</v>
      </c>
      <c r="T1821" t="s">
        <v>1016</v>
      </c>
      <c r="U1821">
        <v>-2.2850224899999998</v>
      </c>
    </row>
    <row r="1822" spans="1:21" x14ac:dyDescent="0.25">
      <c r="A1822" t="s">
        <v>38</v>
      </c>
      <c r="B1822" t="s">
        <v>942</v>
      </c>
      <c r="C1822">
        <v>2</v>
      </c>
      <c r="D1822" t="s">
        <v>11</v>
      </c>
      <c r="E1822" t="s">
        <v>95</v>
      </c>
      <c r="F1822" t="s">
        <v>113</v>
      </c>
      <c r="G1822" t="s">
        <v>103</v>
      </c>
      <c r="H1822" t="s">
        <v>103</v>
      </c>
      <c r="J1822">
        <v>0</v>
      </c>
      <c r="K1822">
        <v>3</v>
      </c>
      <c r="L1822">
        <v>83.757575759999995</v>
      </c>
      <c r="M1822">
        <v>22.60997987</v>
      </c>
      <c r="N1822">
        <v>0.72884000000000004</v>
      </c>
      <c r="O1822">
        <v>0.21301339999999999</v>
      </c>
      <c r="P1822">
        <v>98.291666669999998</v>
      </c>
      <c r="Q1822">
        <v>30.315130790000001</v>
      </c>
      <c r="R1822">
        <v>5.0803484000000003E-2</v>
      </c>
      <c r="S1822">
        <v>0.42866070000000001</v>
      </c>
      <c r="T1822" t="s">
        <v>1016</v>
      </c>
      <c r="U1822">
        <v>-7.7051509200000003</v>
      </c>
    </row>
    <row r="1823" spans="1:21" x14ac:dyDescent="0.25">
      <c r="A1823" t="s">
        <v>38</v>
      </c>
      <c r="B1823" t="s">
        <v>942</v>
      </c>
      <c r="C1823">
        <v>2</v>
      </c>
      <c r="D1823" t="s">
        <v>11</v>
      </c>
      <c r="E1823" t="s">
        <v>95</v>
      </c>
      <c r="F1823" t="s">
        <v>113</v>
      </c>
      <c r="G1823" t="s">
        <v>103</v>
      </c>
      <c r="H1823" t="s">
        <v>103</v>
      </c>
      <c r="J1823">
        <v>0</v>
      </c>
      <c r="K1823">
        <v>3</v>
      </c>
      <c r="L1823">
        <v>83.757575759999995</v>
      </c>
      <c r="M1823">
        <v>22.60997987</v>
      </c>
      <c r="N1823">
        <v>0.72884000000000004</v>
      </c>
      <c r="O1823">
        <v>0.21301339999999999</v>
      </c>
      <c r="P1823">
        <v>98.291666669999998</v>
      </c>
      <c r="Q1823">
        <v>30.315130790000001</v>
      </c>
      <c r="R1823">
        <v>5.0803484000000003E-2</v>
      </c>
      <c r="S1823">
        <v>0.42866070000000001</v>
      </c>
      <c r="T1823" t="s">
        <v>1016</v>
      </c>
      <c r="U1823">
        <v>-7.7051509200000003</v>
      </c>
    </row>
    <row r="1824" spans="1:21" x14ac:dyDescent="0.25">
      <c r="A1824" t="s">
        <v>38</v>
      </c>
      <c r="B1824" t="s">
        <v>942</v>
      </c>
      <c r="C1824">
        <v>2</v>
      </c>
      <c r="D1824" t="s">
        <v>11</v>
      </c>
      <c r="E1824" t="s">
        <v>95</v>
      </c>
      <c r="F1824" t="s">
        <v>113</v>
      </c>
      <c r="G1824" t="s">
        <v>103</v>
      </c>
      <c r="H1824" t="s">
        <v>103</v>
      </c>
      <c r="J1824">
        <v>0</v>
      </c>
      <c r="K1824">
        <v>3</v>
      </c>
      <c r="L1824">
        <v>83.757575759999995</v>
      </c>
      <c r="M1824">
        <v>22.60997987</v>
      </c>
      <c r="N1824">
        <v>0.72884000000000004</v>
      </c>
      <c r="O1824">
        <v>0.21301339999999999</v>
      </c>
      <c r="P1824">
        <v>98.291666669999998</v>
      </c>
      <c r="Q1824">
        <v>30.315130790000001</v>
      </c>
      <c r="R1824">
        <v>5.0803484000000003E-2</v>
      </c>
      <c r="S1824">
        <v>0.42866070000000001</v>
      </c>
      <c r="T1824" t="s">
        <v>1016</v>
      </c>
      <c r="U1824">
        <v>-7.7051509200000003</v>
      </c>
    </row>
    <row r="1825" spans="1:21" x14ac:dyDescent="0.25">
      <c r="A1825" t="s">
        <v>38</v>
      </c>
      <c r="B1825" t="s">
        <v>943</v>
      </c>
      <c r="C1825">
        <v>2</v>
      </c>
      <c r="D1825" t="s">
        <v>11</v>
      </c>
      <c r="E1825" t="s">
        <v>95</v>
      </c>
      <c r="F1825" t="s">
        <v>103</v>
      </c>
      <c r="G1825" t="s">
        <v>103</v>
      </c>
      <c r="H1825" t="s">
        <v>103</v>
      </c>
      <c r="J1825">
        <v>0</v>
      </c>
      <c r="K1825">
        <v>7</v>
      </c>
      <c r="L1825">
        <v>98.291666669999998</v>
      </c>
      <c r="M1825">
        <v>30.315130790000001</v>
      </c>
      <c r="N1825">
        <v>5.0803484000000003E-2</v>
      </c>
      <c r="O1825">
        <v>0.42866070000000001</v>
      </c>
      <c r="P1825">
        <v>98.291666669999998</v>
      </c>
      <c r="Q1825">
        <v>30.315130790000001</v>
      </c>
      <c r="R1825">
        <v>5.0803484000000003E-2</v>
      </c>
      <c r="S1825">
        <v>0.42866070000000001</v>
      </c>
      <c r="T1825" t="s">
        <v>1016</v>
      </c>
      <c r="U1825">
        <v>0</v>
      </c>
    </row>
    <row r="1826" spans="1:21" x14ac:dyDescent="0.25">
      <c r="A1826" t="s">
        <v>38</v>
      </c>
      <c r="B1826" t="s">
        <v>943</v>
      </c>
      <c r="C1826">
        <v>2</v>
      </c>
      <c r="D1826" t="s">
        <v>11</v>
      </c>
      <c r="E1826" t="s">
        <v>95</v>
      </c>
      <c r="F1826" t="s">
        <v>103</v>
      </c>
      <c r="G1826" t="s">
        <v>103</v>
      </c>
      <c r="H1826" t="s">
        <v>103</v>
      </c>
      <c r="J1826">
        <v>0</v>
      </c>
      <c r="K1826">
        <v>7</v>
      </c>
      <c r="L1826">
        <v>98.291666669999998</v>
      </c>
      <c r="M1826">
        <v>30.315130790000001</v>
      </c>
      <c r="N1826">
        <v>5.0803484000000003E-2</v>
      </c>
      <c r="O1826">
        <v>0.42866070000000001</v>
      </c>
      <c r="P1826">
        <v>98.291666669999998</v>
      </c>
      <c r="Q1826">
        <v>30.315130790000001</v>
      </c>
      <c r="R1826">
        <v>5.0803484000000003E-2</v>
      </c>
      <c r="S1826">
        <v>0.42866070000000001</v>
      </c>
      <c r="T1826" t="s">
        <v>1016</v>
      </c>
      <c r="U1826">
        <v>0</v>
      </c>
    </row>
    <row r="1827" spans="1:21" x14ac:dyDescent="0.25">
      <c r="A1827" t="s">
        <v>38</v>
      </c>
      <c r="B1827" t="s">
        <v>943</v>
      </c>
      <c r="C1827">
        <v>2</v>
      </c>
      <c r="D1827" t="s">
        <v>11</v>
      </c>
      <c r="E1827" t="s">
        <v>95</v>
      </c>
      <c r="F1827" t="s">
        <v>103</v>
      </c>
      <c r="G1827" t="s">
        <v>103</v>
      </c>
      <c r="H1827" t="s">
        <v>103</v>
      </c>
      <c r="J1827">
        <v>0</v>
      </c>
      <c r="K1827">
        <v>7</v>
      </c>
      <c r="L1827">
        <v>98.291666669999998</v>
      </c>
      <c r="M1827">
        <v>30.315130790000001</v>
      </c>
      <c r="N1827">
        <v>5.0803484000000003E-2</v>
      </c>
      <c r="O1827">
        <v>0.42866070000000001</v>
      </c>
      <c r="P1827">
        <v>98.291666669999998</v>
      </c>
      <c r="Q1827">
        <v>30.315130790000001</v>
      </c>
      <c r="R1827">
        <v>5.0803484000000003E-2</v>
      </c>
      <c r="S1827">
        <v>0.42866070000000001</v>
      </c>
      <c r="T1827" t="s">
        <v>1016</v>
      </c>
      <c r="U1827">
        <v>0</v>
      </c>
    </row>
    <row r="1828" spans="1:21" x14ac:dyDescent="0.25">
      <c r="A1828" t="s">
        <v>38</v>
      </c>
      <c r="B1828" t="s">
        <v>943</v>
      </c>
      <c r="C1828">
        <v>2</v>
      </c>
      <c r="D1828" t="s">
        <v>11</v>
      </c>
      <c r="E1828" t="s">
        <v>95</v>
      </c>
      <c r="F1828" t="s">
        <v>103</v>
      </c>
      <c r="G1828" t="s">
        <v>103</v>
      </c>
      <c r="H1828" t="s">
        <v>103</v>
      </c>
      <c r="J1828">
        <v>0</v>
      </c>
      <c r="K1828">
        <v>7</v>
      </c>
      <c r="L1828">
        <v>98.291666669999998</v>
      </c>
      <c r="M1828">
        <v>30.315130790000001</v>
      </c>
      <c r="N1828">
        <v>5.0803484000000003E-2</v>
      </c>
      <c r="O1828">
        <v>0.42866070000000001</v>
      </c>
      <c r="P1828">
        <v>98.291666669999998</v>
      </c>
      <c r="Q1828">
        <v>30.315130790000001</v>
      </c>
      <c r="R1828">
        <v>5.0803484000000003E-2</v>
      </c>
      <c r="S1828">
        <v>0.42866070000000001</v>
      </c>
      <c r="T1828" t="s">
        <v>1016</v>
      </c>
      <c r="U1828">
        <v>0</v>
      </c>
    </row>
    <row r="1829" spans="1:21" x14ac:dyDescent="0.25">
      <c r="A1829" t="s">
        <v>38</v>
      </c>
      <c r="B1829" t="s">
        <v>943</v>
      </c>
      <c r="C1829">
        <v>2</v>
      </c>
      <c r="D1829" t="s">
        <v>11</v>
      </c>
      <c r="E1829" t="s">
        <v>95</v>
      </c>
      <c r="F1829" t="s">
        <v>103</v>
      </c>
      <c r="G1829" t="s">
        <v>103</v>
      </c>
      <c r="H1829" t="s">
        <v>103</v>
      </c>
      <c r="J1829">
        <v>0</v>
      </c>
      <c r="K1829">
        <v>7</v>
      </c>
      <c r="L1829">
        <v>98.291666669999998</v>
      </c>
      <c r="M1829">
        <v>30.315130790000001</v>
      </c>
      <c r="N1829">
        <v>5.0803484000000003E-2</v>
      </c>
      <c r="O1829">
        <v>0.42866070000000001</v>
      </c>
      <c r="P1829">
        <v>98.291666669999998</v>
      </c>
      <c r="Q1829">
        <v>30.315130790000001</v>
      </c>
      <c r="R1829">
        <v>5.0803484000000003E-2</v>
      </c>
      <c r="S1829">
        <v>0.42866070000000001</v>
      </c>
      <c r="T1829" t="s">
        <v>1016</v>
      </c>
      <c r="U1829">
        <v>0</v>
      </c>
    </row>
    <row r="1830" spans="1:21" x14ac:dyDescent="0.25">
      <c r="A1830" t="s">
        <v>38</v>
      </c>
      <c r="B1830" t="s">
        <v>943</v>
      </c>
      <c r="C1830">
        <v>2</v>
      </c>
      <c r="D1830" t="s">
        <v>11</v>
      </c>
      <c r="E1830" t="s">
        <v>95</v>
      </c>
      <c r="F1830" t="s">
        <v>103</v>
      </c>
      <c r="G1830" t="s">
        <v>103</v>
      </c>
      <c r="H1830" t="s">
        <v>103</v>
      </c>
      <c r="J1830">
        <v>0</v>
      </c>
      <c r="K1830">
        <v>7</v>
      </c>
      <c r="L1830">
        <v>98.291666669999998</v>
      </c>
      <c r="M1830">
        <v>30.315130790000001</v>
      </c>
      <c r="N1830">
        <v>5.0803484000000003E-2</v>
      </c>
      <c r="O1830">
        <v>0.42866070000000001</v>
      </c>
      <c r="P1830">
        <v>98.291666669999998</v>
      </c>
      <c r="Q1830">
        <v>30.315130790000001</v>
      </c>
      <c r="R1830">
        <v>5.0803484000000003E-2</v>
      </c>
      <c r="S1830">
        <v>0.42866070000000001</v>
      </c>
      <c r="T1830" t="s">
        <v>1016</v>
      </c>
      <c r="U1830">
        <v>0</v>
      </c>
    </row>
    <row r="1831" spans="1:21" x14ac:dyDescent="0.25">
      <c r="A1831" t="s">
        <v>38</v>
      </c>
      <c r="B1831" t="s">
        <v>943</v>
      </c>
      <c r="C1831">
        <v>2</v>
      </c>
      <c r="D1831" t="s">
        <v>11</v>
      </c>
      <c r="E1831" t="s">
        <v>95</v>
      </c>
      <c r="F1831" t="s">
        <v>103</v>
      </c>
      <c r="G1831" t="s">
        <v>103</v>
      </c>
      <c r="H1831" t="s">
        <v>103</v>
      </c>
      <c r="J1831">
        <v>0</v>
      </c>
      <c r="K1831">
        <v>7</v>
      </c>
      <c r="L1831">
        <v>98.291666669999998</v>
      </c>
      <c r="M1831">
        <v>30.315130790000001</v>
      </c>
      <c r="N1831">
        <v>5.0803484000000003E-2</v>
      </c>
      <c r="O1831">
        <v>0.42866070000000001</v>
      </c>
      <c r="P1831">
        <v>98.291666669999998</v>
      </c>
      <c r="Q1831">
        <v>30.315130790000001</v>
      </c>
      <c r="R1831">
        <v>5.0803484000000003E-2</v>
      </c>
      <c r="S1831">
        <v>0.42866070000000001</v>
      </c>
      <c r="T1831" t="s">
        <v>1016</v>
      </c>
      <c r="U1831">
        <v>0</v>
      </c>
    </row>
    <row r="1832" spans="1:21" x14ac:dyDescent="0.25">
      <c r="A1832" t="s">
        <v>38</v>
      </c>
      <c r="B1832" t="s">
        <v>943</v>
      </c>
      <c r="C1832">
        <v>2</v>
      </c>
      <c r="D1832" t="s">
        <v>11</v>
      </c>
      <c r="E1832" t="s">
        <v>95</v>
      </c>
      <c r="F1832" t="s">
        <v>103</v>
      </c>
      <c r="G1832" t="s">
        <v>103</v>
      </c>
      <c r="H1832" t="s">
        <v>113</v>
      </c>
      <c r="J1832">
        <v>0</v>
      </c>
      <c r="K1832">
        <v>2</v>
      </c>
      <c r="L1832">
        <v>98.291666669999998</v>
      </c>
      <c r="M1832">
        <v>30.315130790000001</v>
      </c>
      <c r="N1832">
        <v>5.0803484000000003E-2</v>
      </c>
      <c r="O1832">
        <v>0.42866070000000001</v>
      </c>
      <c r="P1832">
        <v>83.757575759999995</v>
      </c>
      <c r="Q1832">
        <v>22.60997987</v>
      </c>
      <c r="R1832">
        <v>0.72884000000000004</v>
      </c>
      <c r="S1832">
        <v>0.21301339999999999</v>
      </c>
      <c r="T1832" t="s">
        <v>1016</v>
      </c>
      <c r="U1832">
        <v>7.7051509200000003</v>
      </c>
    </row>
    <row r="1833" spans="1:21" x14ac:dyDescent="0.25">
      <c r="A1833" t="s">
        <v>38</v>
      </c>
      <c r="B1833" t="s">
        <v>943</v>
      </c>
      <c r="C1833">
        <v>2</v>
      </c>
      <c r="D1833" t="s">
        <v>11</v>
      </c>
      <c r="E1833" t="s">
        <v>95</v>
      </c>
      <c r="F1833" t="s">
        <v>103</v>
      </c>
      <c r="G1833" t="s">
        <v>103</v>
      </c>
      <c r="H1833" t="s">
        <v>113</v>
      </c>
      <c r="J1833">
        <v>0</v>
      </c>
      <c r="K1833">
        <v>2</v>
      </c>
      <c r="L1833">
        <v>98.291666669999998</v>
      </c>
      <c r="M1833">
        <v>30.315130790000001</v>
      </c>
      <c r="N1833">
        <v>5.0803484000000003E-2</v>
      </c>
      <c r="O1833">
        <v>0.42866070000000001</v>
      </c>
      <c r="P1833">
        <v>83.757575759999995</v>
      </c>
      <c r="Q1833">
        <v>22.60997987</v>
      </c>
      <c r="R1833">
        <v>0.72884000000000004</v>
      </c>
      <c r="S1833">
        <v>0.21301339999999999</v>
      </c>
      <c r="T1833" t="s">
        <v>1016</v>
      </c>
      <c r="U1833">
        <v>7.7051509200000003</v>
      </c>
    </row>
    <row r="1834" spans="1:21" x14ac:dyDescent="0.25">
      <c r="A1834" t="s">
        <v>38</v>
      </c>
      <c r="B1834" t="s">
        <v>944</v>
      </c>
      <c r="C1834">
        <v>2</v>
      </c>
      <c r="D1834" t="s">
        <v>11</v>
      </c>
      <c r="E1834" t="s">
        <v>95</v>
      </c>
      <c r="F1834" t="s">
        <v>111</v>
      </c>
      <c r="G1834" t="s">
        <v>103</v>
      </c>
      <c r="H1834" t="s">
        <v>103</v>
      </c>
      <c r="J1834">
        <v>0</v>
      </c>
      <c r="K1834">
        <v>2</v>
      </c>
      <c r="L1834">
        <v>94.97142857</v>
      </c>
      <c r="M1834">
        <v>24.31591813</v>
      </c>
      <c r="N1834">
        <v>0.122951111</v>
      </c>
      <c r="O1834">
        <v>0.39050790000000002</v>
      </c>
      <c r="P1834">
        <v>98.291666669999998</v>
      </c>
      <c r="Q1834">
        <v>30.315130790000001</v>
      </c>
      <c r="R1834">
        <v>5.0803484000000003E-2</v>
      </c>
      <c r="S1834">
        <v>0.42866070000000001</v>
      </c>
      <c r="T1834" t="s">
        <v>1016</v>
      </c>
      <c r="U1834">
        <v>-5.9992126600000004</v>
      </c>
    </row>
    <row r="1835" spans="1:21" x14ac:dyDescent="0.25">
      <c r="A1835" t="s">
        <v>38</v>
      </c>
      <c r="B1835" t="s">
        <v>944</v>
      </c>
      <c r="C1835">
        <v>2</v>
      </c>
      <c r="D1835" t="s">
        <v>11</v>
      </c>
      <c r="E1835" t="s">
        <v>95</v>
      </c>
      <c r="F1835" t="s">
        <v>111</v>
      </c>
      <c r="G1835" t="s">
        <v>103</v>
      </c>
      <c r="H1835" t="s">
        <v>103</v>
      </c>
      <c r="J1835">
        <v>0</v>
      </c>
      <c r="K1835">
        <v>2</v>
      </c>
      <c r="L1835">
        <v>94.97142857</v>
      </c>
      <c r="M1835">
        <v>24.31591813</v>
      </c>
      <c r="N1835">
        <v>0.122951111</v>
      </c>
      <c r="O1835">
        <v>0.39050790000000002</v>
      </c>
      <c r="P1835">
        <v>98.291666669999998</v>
      </c>
      <c r="Q1835">
        <v>30.315130790000001</v>
      </c>
      <c r="R1835">
        <v>5.0803484000000003E-2</v>
      </c>
      <c r="S1835">
        <v>0.42866070000000001</v>
      </c>
      <c r="T1835" t="s">
        <v>1016</v>
      </c>
      <c r="U1835">
        <v>-5.9992126600000004</v>
      </c>
    </row>
    <row r="1836" spans="1:21" x14ac:dyDescent="0.25">
      <c r="A1836" t="s">
        <v>39</v>
      </c>
      <c r="B1836" t="s">
        <v>945</v>
      </c>
      <c r="C1836">
        <v>2</v>
      </c>
      <c r="D1836" t="s">
        <v>15</v>
      </c>
      <c r="E1836" t="s">
        <v>94</v>
      </c>
      <c r="F1836" t="s">
        <v>102</v>
      </c>
      <c r="G1836" t="s">
        <v>102</v>
      </c>
      <c r="H1836" t="s">
        <v>235</v>
      </c>
      <c r="J1836">
        <v>0</v>
      </c>
      <c r="K1836">
        <v>1</v>
      </c>
      <c r="L1836">
        <v>84.740740740000007</v>
      </c>
      <c r="M1836">
        <v>29.167014049999999</v>
      </c>
      <c r="N1836">
        <v>1.1169849999999999</v>
      </c>
      <c r="O1836">
        <v>1.1571499000000001</v>
      </c>
      <c r="P1836">
        <v>132.27272730000001</v>
      </c>
      <c r="Q1836">
        <v>20.180448590000001</v>
      </c>
      <c r="R1836">
        <v>3.7813451999999997E-2</v>
      </c>
      <c r="S1836">
        <v>0.41404401000000002</v>
      </c>
      <c r="T1836" t="s">
        <v>1016</v>
      </c>
      <c r="U1836">
        <v>8.9865654599999996</v>
      </c>
    </row>
    <row r="1837" spans="1:21" x14ac:dyDescent="0.25">
      <c r="A1837" t="s">
        <v>39</v>
      </c>
      <c r="B1837" t="s">
        <v>945</v>
      </c>
      <c r="C1837">
        <v>2</v>
      </c>
      <c r="D1837" t="s">
        <v>15</v>
      </c>
      <c r="E1837" t="s">
        <v>94</v>
      </c>
      <c r="F1837" t="s">
        <v>102</v>
      </c>
      <c r="G1837" t="s">
        <v>102</v>
      </c>
      <c r="H1837" t="s">
        <v>113</v>
      </c>
      <c r="J1837">
        <v>0</v>
      </c>
      <c r="K1837">
        <v>2</v>
      </c>
      <c r="L1837">
        <v>84.740740740000007</v>
      </c>
      <c r="M1837">
        <v>29.167014049999999</v>
      </c>
      <c r="N1837">
        <v>1.1169849999999999</v>
      </c>
      <c r="O1837">
        <v>1.1571499000000001</v>
      </c>
      <c r="P1837">
        <v>83.757575759999995</v>
      </c>
      <c r="Q1837">
        <v>22.60997987</v>
      </c>
      <c r="R1837">
        <v>0.72884000000000004</v>
      </c>
      <c r="S1837">
        <v>0.21301339999999999</v>
      </c>
      <c r="T1837" t="s">
        <v>1016</v>
      </c>
      <c r="U1837">
        <v>6.5570341799999996</v>
      </c>
    </row>
    <row r="1838" spans="1:21" x14ac:dyDescent="0.25">
      <c r="A1838" t="s">
        <v>39</v>
      </c>
      <c r="B1838" t="s">
        <v>945</v>
      </c>
      <c r="C1838">
        <v>2</v>
      </c>
      <c r="D1838" t="s">
        <v>15</v>
      </c>
      <c r="E1838" t="s">
        <v>94</v>
      </c>
      <c r="F1838" t="s">
        <v>102</v>
      </c>
      <c r="G1838" t="s">
        <v>102</v>
      </c>
      <c r="H1838" t="s">
        <v>113</v>
      </c>
      <c r="J1838">
        <v>0</v>
      </c>
      <c r="K1838">
        <v>2</v>
      </c>
      <c r="L1838">
        <v>84.740740740000007</v>
      </c>
      <c r="M1838">
        <v>29.167014049999999</v>
      </c>
      <c r="N1838">
        <v>1.1169849999999999</v>
      </c>
      <c r="O1838">
        <v>1.1571499000000001</v>
      </c>
      <c r="P1838">
        <v>83.757575759999995</v>
      </c>
      <c r="Q1838">
        <v>22.60997987</v>
      </c>
      <c r="R1838">
        <v>0.72884000000000004</v>
      </c>
      <c r="S1838">
        <v>0.21301339999999999</v>
      </c>
      <c r="T1838" t="s">
        <v>1016</v>
      </c>
      <c r="U1838">
        <v>6.5570341799999996</v>
      </c>
    </row>
    <row r="1839" spans="1:21" x14ac:dyDescent="0.25">
      <c r="A1839" t="s">
        <v>39</v>
      </c>
      <c r="B1839" t="s">
        <v>945</v>
      </c>
      <c r="C1839">
        <v>2</v>
      </c>
      <c r="D1839" t="s">
        <v>15</v>
      </c>
      <c r="E1839" t="s">
        <v>94</v>
      </c>
      <c r="F1839" t="s">
        <v>102</v>
      </c>
      <c r="G1839" t="s">
        <v>102</v>
      </c>
      <c r="H1839" t="s">
        <v>103</v>
      </c>
      <c r="J1839">
        <v>0</v>
      </c>
      <c r="K1839">
        <v>3</v>
      </c>
      <c r="L1839">
        <v>84.740740740000007</v>
      </c>
      <c r="M1839">
        <v>29.167014049999999</v>
      </c>
      <c r="N1839">
        <v>1.1169849999999999</v>
      </c>
      <c r="O1839">
        <v>1.1571499000000001</v>
      </c>
      <c r="P1839">
        <v>98.291666669999998</v>
      </c>
      <c r="Q1839">
        <v>30.315130790000001</v>
      </c>
      <c r="R1839">
        <v>5.0803484000000003E-2</v>
      </c>
      <c r="S1839">
        <v>0.42866070000000001</v>
      </c>
      <c r="T1839" t="s">
        <v>1016</v>
      </c>
      <c r="U1839">
        <v>-1.1481167400000001</v>
      </c>
    </row>
    <row r="1840" spans="1:21" x14ac:dyDescent="0.25">
      <c r="A1840" t="s">
        <v>39</v>
      </c>
      <c r="B1840" t="s">
        <v>945</v>
      </c>
      <c r="C1840">
        <v>2</v>
      </c>
      <c r="D1840" t="s">
        <v>15</v>
      </c>
      <c r="E1840" t="s">
        <v>94</v>
      </c>
      <c r="F1840" t="s">
        <v>102</v>
      </c>
      <c r="G1840" t="s">
        <v>102</v>
      </c>
      <c r="H1840" t="s">
        <v>103</v>
      </c>
      <c r="J1840">
        <v>0</v>
      </c>
      <c r="K1840">
        <v>3</v>
      </c>
      <c r="L1840">
        <v>84.740740740000007</v>
      </c>
      <c r="M1840">
        <v>29.167014049999999</v>
      </c>
      <c r="N1840">
        <v>1.1169849999999999</v>
      </c>
      <c r="O1840">
        <v>1.1571499000000001</v>
      </c>
      <c r="P1840">
        <v>98.291666669999998</v>
      </c>
      <c r="Q1840">
        <v>30.315130790000001</v>
      </c>
      <c r="R1840">
        <v>5.0803484000000003E-2</v>
      </c>
      <c r="S1840">
        <v>0.42866070000000001</v>
      </c>
      <c r="T1840" t="s">
        <v>1016</v>
      </c>
      <c r="U1840">
        <v>-1.1481167400000001</v>
      </c>
    </row>
    <row r="1841" spans="1:21" x14ac:dyDescent="0.25">
      <c r="A1841" t="s">
        <v>39</v>
      </c>
      <c r="B1841" t="s">
        <v>945</v>
      </c>
      <c r="C1841">
        <v>2</v>
      </c>
      <c r="D1841" t="s">
        <v>15</v>
      </c>
      <c r="E1841" t="s">
        <v>94</v>
      </c>
      <c r="F1841" t="s">
        <v>102</v>
      </c>
      <c r="G1841" t="s">
        <v>102</v>
      </c>
      <c r="H1841" t="s">
        <v>103</v>
      </c>
      <c r="J1841">
        <v>0</v>
      </c>
      <c r="K1841">
        <v>3</v>
      </c>
      <c r="L1841">
        <v>84.740740740000007</v>
      </c>
      <c r="M1841">
        <v>29.167014049999999</v>
      </c>
      <c r="N1841">
        <v>1.1169849999999999</v>
      </c>
      <c r="O1841">
        <v>1.1571499000000001</v>
      </c>
      <c r="P1841">
        <v>98.291666669999998</v>
      </c>
      <c r="Q1841">
        <v>30.315130790000001</v>
      </c>
      <c r="R1841">
        <v>5.0803484000000003E-2</v>
      </c>
      <c r="S1841">
        <v>0.42866070000000001</v>
      </c>
      <c r="T1841" t="s">
        <v>1016</v>
      </c>
      <c r="U1841">
        <v>-1.1481167400000001</v>
      </c>
    </row>
    <row r="1842" spans="1:21" x14ac:dyDescent="0.25">
      <c r="A1842" t="s">
        <v>39</v>
      </c>
      <c r="B1842" t="s">
        <v>945</v>
      </c>
      <c r="C1842">
        <v>2</v>
      </c>
      <c r="D1842" t="s">
        <v>15</v>
      </c>
      <c r="E1842" t="s">
        <v>94</v>
      </c>
      <c r="F1842" t="s">
        <v>102</v>
      </c>
      <c r="G1842" t="s">
        <v>102</v>
      </c>
      <c r="H1842" t="s">
        <v>233</v>
      </c>
      <c r="J1842">
        <v>0</v>
      </c>
      <c r="K1842">
        <v>1</v>
      </c>
      <c r="L1842">
        <v>84.740740740000007</v>
      </c>
      <c r="M1842">
        <v>29.167014049999999</v>
      </c>
      <c r="N1842">
        <v>1.1169849999999999</v>
      </c>
      <c r="O1842">
        <v>1.1571499000000001</v>
      </c>
      <c r="P1842">
        <v>106.0540541</v>
      </c>
      <c r="Q1842">
        <v>52.690533369999997</v>
      </c>
      <c r="R1842">
        <v>7.6058968000000005E-2</v>
      </c>
      <c r="S1842">
        <v>0.44888888999999998</v>
      </c>
      <c r="T1842" t="s">
        <v>1016</v>
      </c>
      <c r="U1842">
        <v>-23.523519319999998</v>
      </c>
    </row>
    <row r="1843" spans="1:21" x14ac:dyDescent="0.25">
      <c r="A1843" t="s">
        <v>39</v>
      </c>
      <c r="B1843" t="s">
        <v>945</v>
      </c>
      <c r="C1843">
        <v>2</v>
      </c>
      <c r="D1843" t="s">
        <v>15</v>
      </c>
      <c r="E1843" t="s">
        <v>94</v>
      </c>
      <c r="F1843" t="s">
        <v>102</v>
      </c>
      <c r="G1843" t="s">
        <v>102</v>
      </c>
      <c r="H1843" t="s">
        <v>104</v>
      </c>
      <c r="J1843">
        <v>0</v>
      </c>
      <c r="K1843">
        <v>1</v>
      </c>
      <c r="L1843">
        <v>84.740740740000007</v>
      </c>
      <c r="M1843">
        <v>29.167014049999999</v>
      </c>
      <c r="N1843">
        <v>1.1169849999999999</v>
      </c>
      <c r="O1843">
        <v>1.1571499000000001</v>
      </c>
      <c r="P1843">
        <v>113.9375</v>
      </c>
      <c r="Q1843">
        <v>33.375507550000002</v>
      </c>
      <c r="R1843">
        <v>2.4262999999999999</v>
      </c>
      <c r="S1843">
        <v>0.40692159999999999</v>
      </c>
      <c r="T1843" t="s">
        <v>1016</v>
      </c>
      <c r="U1843">
        <v>-4.2084935000000003</v>
      </c>
    </row>
    <row r="1844" spans="1:21" x14ac:dyDescent="0.25">
      <c r="A1844" t="s">
        <v>39</v>
      </c>
      <c r="B1844" t="s">
        <v>946</v>
      </c>
      <c r="C1844">
        <v>2</v>
      </c>
      <c r="D1844" t="s">
        <v>15</v>
      </c>
      <c r="E1844" t="s">
        <v>94</v>
      </c>
      <c r="F1844" t="s">
        <v>113</v>
      </c>
      <c r="G1844" t="s">
        <v>113</v>
      </c>
      <c r="H1844" t="s">
        <v>113</v>
      </c>
      <c r="J1844">
        <v>0</v>
      </c>
      <c r="K1844">
        <v>5</v>
      </c>
      <c r="L1844">
        <v>83.757575759999995</v>
      </c>
      <c r="M1844">
        <v>22.60997987</v>
      </c>
      <c r="N1844">
        <v>0.72884000000000004</v>
      </c>
      <c r="O1844">
        <v>0.21301339999999999</v>
      </c>
      <c r="P1844">
        <v>83.757575759999995</v>
      </c>
      <c r="Q1844">
        <v>22.60997987</v>
      </c>
      <c r="R1844">
        <v>0.72884000000000004</v>
      </c>
      <c r="S1844">
        <v>0.21301339999999999</v>
      </c>
      <c r="T1844" t="s">
        <v>1016</v>
      </c>
      <c r="U1844">
        <v>0</v>
      </c>
    </row>
    <row r="1845" spans="1:21" x14ac:dyDescent="0.25">
      <c r="A1845" t="s">
        <v>39</v>
      </c>
      <c r="B1845" t="s">
        <v>946</v>
      </c>
      <c r="C1845">
        <v>2</v>
      </c>
      <c r="D1845" t="s">
        <v>15</v>
      </c>
      <c r="E1845" t="s">
        <v>94</v>
      </c>
      <c r="F1845" t="s">
        <v>113</v>
      </c>
      <c r="G1845" t="s">
        <v>113</v>
      </c>
      <c r="H1845" t="s">
        <v>113</v>
      </c>
      <c r="J1845">
        <v>0</v>
      </c>
      <c r="K1845">
        <v>5</v>
      </c>
      <c r="L1845">
        <v>83.757575759999995</v>
      </c>
      <c r="M1845">
        <v>22.60997987</v>
      </c>
      <c r="N1845">
        <v>0.72884000000000004</v>
      </c>
      <c r="O1845">
        <v>0.21301339999999999</v>
      </c>
      <c r="P1845">
        <v>83.757575759999995</v>
      </c>
      <c r="Q1845">
        <v>22.60997987</v>
      </c>
      <c r="R1845">
        <v>0.72884000000000004</v>
      </c>
      <c r="S1845">
        <v>0.21301339999999999</v>
      </c>
      <c r="T1845" t="s">
        <v>1016</v>
      </c>
      <c r="U1845">
        <v>0</v>
      </c>
    </row>
    <row r="1846" spans="1:21" x14ac:dyDescent="0.25">
      <c r="A1846" t="s">
        <v>39</v>
      </c>
      <c r="B1846" t="s">
        <v>946</v>
      </c>
      <c r="C1846">
        <v>2</v>
      </c>
      <c r="D1846" t="s">
        <v>15</v>
      </c>
      <c r="E1846" t="s">
        <v>94</v>
      </c>
      <c r="F1846" t="s">
        <v>113</v>
      </c>
      <c r="G1846" t="s">
        <v>113</v>
      </c>
      <c r="H1846" t="s">
        <v>113</v>
      </c>
      <c r="J1846">
        <v>0</v>
      </c>
      <c r="K1846">
        <v>5</v>
      </c>
      <c r="L1846">
        <v>83.757575759999995</v>
      </c>
      <c r="M1846">
        <v>22.60997987</v>
      </c>
      <c r="N1846">
        <v>0.72884000000000004</v>
      </c>
      <c r="O1846">
        <v>0.21301339999999999</v>
      </c>
      <c r="P1846">
        <v>83.757575759999995</v>
      </c>
      <c r="Q1846">
        <v>22.60997987</v>
      </c>
      <c r="R1846">
        <v>0.72884000000000004</v>
      </c>
      <c r="S1846">
        <v>0.21301339999999999</v>
      </c>
      <c r="T1846" t="s">
        <v>1016</v>
      </c>
      <c r="U1846">
        <v>0</v>
      </c>
    </row>
    <row r="1847" spans="1:21" x14ac:dyDescent="0.25">
      <c r="A1847" t="s">
        <v>39</v>
      </c>
      <c r="B1847" t="s">
        <v>946</v>
      </c>
      <c r="C1847">
        <v>2</v>
      </c>
      <c r="D1847" t="s">
        <v>15</v>
      </c>
      <c r="E1847" t="s">
        <v>94</v>
      </c>
      <c r="F1847" t="s">
        <v>113</v>
      </c>
      <c r="G1847" t="s">
        <v>113</v>
      </c>
      <c r="H1847" t="s">
        <v>113</v>
      </c>
      <c r="J1847">
        <v>0</v>
      </c>
      <c r="K1847">
        <v>5</v>
      </c>
      <c r="L1847">
        <v>83.757575759999995</v>
      </c>
      <c r="M1847">
        <v>22.60997987</v>
      </c>
      <c r="N1847">
        <v>0.72884000000000004</v>
      </c>
      <c r="O1847">
        <v>0.21301339999999999</v>
      </c>
      <c r="P1847">
        <v>83.757575759999995</v>
      </c>
      <c r="Q1847">
        <v>22.60997987</v>
      </c>
      <c r="R1847">
        <v>0.72884000000000004</v>
      </c>
      <c r="S1847">
        <v>0.21301339999999999</v>
      </c>
      <c r="T1847" t="s">
        <v>1016</v>
      </c>
      <c r="U1847">
        <v>0</v>
      </c>
    </row>
    <row r="1848" spans="1:21" x14ac:dyDescent="0.25">
      <c r="A1848" t="s">
        <v>39</v>
      </c>
      <c r="B1848" t="s">
        <v>946</v>
      </c>
      <c r="C1848">
        <v>2</v>
      </c>
      <c r="D1848" t="s">
        <v>15</v>
      </c>
      <c r="E1848" t="s">
        <v>94</v>
      </c>
      <c r="F1848" t="s">
        <v>113</v>
      </c>
      <c r="G1848" t="s">
        <v>113</v>
      </c>
      <c r="H1848" t="s">
        <v>113</v>
      </c>
      <c r="J1848">
        <v>0</v>
      </c>
      <c r="K1848">
        <v>5</v>
      </c>
      <c r="L1848">
        <v>83.757575759999995</v>
      </c>
      <c r="M1848">
        <v>22.60997987</v>
      </c>
      <c r="N1848">
        <v>0.72884000000000004</v>
      </c>
      <c r="O1848">
        <v>0.21301339999999999</v>
      </c>
      <c r="P1848">
        <v>83.757575759999995</v>
      </c>
      <c r="Q1848">
        <v>22.60997987</v>
      </c>
      <c r="R1848">
        <v>0.72884000000000004</v>
      </c>
      <c r="S1848">
        <v>0.21301339999999999</v>
      </c>
      <c r="T1848" t="s">
        <v>1016</v>
      </c>
      <c r="U1848">
        <v>0</v>
      </c>
    </row>
    <row r="1849" spans="1:21" x14ac:dyDescent="0.25">
      <c r="A1849" t="s">
        <v>39</v>
      </c>
      <c r="B1849" t="s">
        <v>946</v>
      </c>
      <c r="C1849">
        <v>2</v>
      </c>
      <c r="D1849" t="s">
        <v>15</v>
      </c>
      <c r="E1849" t="s">
        <v>94</v>
      </c>
      <c r="F1849" t="s">
        <v>113</v>
      </c>
      <c r="G1849" t="s">
        <v>113</v>
      </c>
      <c r="H1849" t="s">
        <v>233</v>
      </c>
      <c r="J1849">
        <v>0</v>
      </c>
      <c r="K1849">
        <v>4</v>
      </c>
      <c r="L1849">
        <v>83.757575759999995</v>
      </c>
      <c r="M1849">
        <v>22.60997987</v>
      </c>
      <c r="N1849">
        <v>0.72884000000000004</v>
      </c>
      <c r="O1849">
        <v>0.21301339999999999</v>
      </c>
      <c r="P1849">
        <v>106.0540541</v>
      </c>
      <c r="Q1849">
        <v>52.690533369999997</v>
      </c>
      <c r="R1849">
        <v>7.6058968000000005E-2</v>
      </c>
      <c r="S1849">
        <v>0.44888888999999998</v>
      </c>
      <c r="T1849" t="s">
        <v>1016</v>
      </c>
      <c r="U1849">
        <v>-30.080553500000001</v>
      </c>
    </row>
    <row r="1850" spans="1:21" x14ac:dyDescent="0.25">
      <c r="A1850" t="s">
        <v>39</v>
      </c>
      <c r="B1850" t="s">
        <v>946</v>
      </c>
      <c r="C1850">
        <v>2</v>
      </c>
      <c r="D1850" t="s">
        <v>15</v>
      </c>
      <c r="E1850" t="s">
        <v>94</v>
      </c>
      <c r="F1850" t="s">
        <v>113</v>
      </c>
      <c r="G1850" t="s">
        <v>113</v>
      </c>
      <c r="H1850" t="s">
        <v>233</v>
      </c>
      <c r="J1850">
        <v>0</v>
      </c>
      <c r="K1850">
        <v>4</v>
      </c>
      <c r="L1850">
        <v>83.757575759999995</v>
      </c>
      <c r="M1850">
        <v>22.60997987</v>
      </c>
      <c r="N1850">
        <v>0.72884000000000004</v>
      </c>
      <c r="O1850">
        <v>0.21301339999999999</v>
      </c>
      <c r="P1850">
        <v>106.0540541</v>
      </c>
      <c r="Q1850">
        <v>52.690533369999997</v>
      </c>
      <c r="R1850">
        <v>7.6058968000000005E-2</v>
      </c>
      <c r="S1850">
        <v>0.44888888999999998</v>
      </c>
      <c r="T1850" t="s">
        <v>1016</v>
      </c>
      <c r="U1850">
        <v>-30.080553500000001</v>
      </c>
    </row>
    <row r="1851" spans="1:21" x14ac:dyDescent="0.25">
      <c r="A1851" t="s">
        <v>39</v>
      </c>
      <c r="B1851" t="s">
        <v>946</v>
      </c>
      <c r="C1851">
        <v>2</v>
      </c>
      <c r="D1851" t="s">
        <v>15</v>
      </c>
      <c r="E1851" t="s">
        <v>94</v>
      </c>
      <c r="F1851" t="s">
        <v>113</v>
      </c>
      <c r="G1851" t="s">
        <v>113</v>
      </c>
      <c r="H1851" t="s">
        <v>233</v>
      </c>
      <c r="J1851">
        <v>0</v>
      </c>
      <c r="K1851">
        <v>4</v>
      </c>
      <c r="L1851">
        <v>83.757575759999995</v>
      </c>
      <c r="M1851">
        <v>22.60997987</v>
      </c>
      <c r="N1851">
        <v>0.72884000000000004</v>
      </c>
      <c r="O1851">
        <v>0.21301339999999999</v>
      </c>
      <c r="P1851">
        <v>106.0540541</v>
      </c>
      <c r="Q1851">
        <v>52.690533369999997</v>
      </c>
      <c r="R1851">
        <v>7.6058968000000005E-2</v>
      </c>
      <c r="S1851">
        <v>0.44888888999999998</v>
      </c>
      <c r="T1851" t="s">
        <v>1016</v>
      </c>
      <c r="U1851">
        <v>-30.080553500000001</v>
      </c>
    </row>
    <row r="1852" spans="1:21" x14ac:dyDescent="0.25">
      <c r="A1852" t="s">
        <v>39</v>
      </c>
      <c r="B1852" t="s">
        <v>946</v>
      </c>
      <c r="C1852">
        <v>2</v>
      </c>
      <c r="D1852" t="s">
        <v>15</v>
      </c>
      <c r="E1852" t="s">
        <v>94</v>
      </c>
      <c r="F1852" t="s">
        <v>113</v>
      </c>
      <c r="G1852" t="s">
        <v>113</v>
      </c>
      <c r="H1852" t="s">
        <v>233</v>
      </c>
      <c r="J1852">
        <v>0</v>
      </c>
      <c r="K1852">
        <v>4</v>
      </c>
      <c r="L1852">
        <v>83.757575759999995</v>
      </c>
      <c r="M1852">
        <v>22.60997987</v>
      </c>
      <c r="N1852">
        <v>0.72884000000000004</v>
      </c>
      <c r="O1852">
        <v>0.21301339999999999</v>
      </c>
      <c r="P1852">
        <v>106.0540541</v>
      </c>
      <c r="Q1852">
        <v>52.690533369999997</v>
      </c>
      <c r="R1852">
        <v>7.6058968000000005E-2</v>
      </c>
      <c r="S1852">
        <v>0.44888888999999998</v>
      </c>
      <c r="T1852" t="s">
        <v>1016</v>
      </c>
      <c r="U1852">
        <v>-30.080553500000001</v>
      </c>
    </row>
    <row r="1853" spans="1:21" x14ac:dyDescent="0.25">
      <c r="A1853" t="s">
        <v>39</v>
      </c>
      <c r="B1853" t="s">
        <v>946</v>
      </c>
      <c r="C1853">
        <v>2</v>
      </c>
      <c r="D1853" t="s">
        <v>15</v>
      </c>
      <c r="E1853" t="s">
        <v>94</v>
      </c>
      <c r="F1853" t="s">
        <v>113</v>
      </c>
      <c r="G1853" t="s">
        <v>113</v>
      </c>
      <c r="H1853" t="s">
        <v>234</v>
      </c>
      <c r="J1853">
        <v>0</v>
      </c>
      <c r="K1853">
        <v>1</v>
      </c>
      <c r="L1853">
        <v>83.757575759999995</v>
      </c>
      <c r="M1853">
        <v>22.60997987</v>
      </c>
      <c r="N1853">
        <v>0.72884000000000004</v>
      </c>
      <c r="O1853">
        <v>0.21301339999999999</v>
      </c>
      <c r="P1853">
        <v>89.8125</v>
      </c>
      <c r="Q1853">
        <v>34.754706650000003</v>
      </c>
      <c r="R1853">
        <v>2.3065078999999999E-2</v>
      </c>
      <c r="S1853">
        <v>2.4791666700000001</v>
      </c>
      <c r="T1853" t="s">
        <v>1016</v>
      </c>
      <c r="U1853">
        <v>-12.144726779999999</v>
      </c>
    </row>
    <row r="1854" spans="1:21" x14ac:dyDescent="0.25">
      <c r="A1854" t="s">
        <v>39</v>
      </c>
      <c r="B1854" t="s">
        <v>947</v>
      </c>
      <c r="C1854">
        <v>2</v>
      </c>
      <c r="D1854" t="s">
        <v>15</v>
      </c>
      <c r="E1854" t="s">
        <v>94</v>
      </c>
      <c r="F1854" t="s">
        <v>103</v>
      </c>
      <c r="G1854" t="s">
        <v>103</v>
      </c>
      <c r="H1854" t="s">
        <v>103</v>
      </c>
      <c r="J1854">
        <v>0</v>
      </c>
      <c r="K1854">
        <v>3</v>
      </c>
      <c r="L1854">
        <v>98.291666669999998</v>
      </c>
      <c r="M1854">
        <v>30.315130790000001</v>
      </c>
      <c r="N1854">
        <v>5.0803484000000003E-2</v>
      </c>
      <c r="O1854">
        <v>0.42866070000000001</v>
      </c>
      <c r="P1854">
        <v>98.291666669999998</v>
      </c>
      <c r="Q1854">
        <v>30.315130790000001</v>
      </c>
      <c r="R1854">
        <v>5.0803484000000003E-2</v>
      </c>
      <c r="S1854">
        <v>0.42866070000000001</v>
      </c>
      <c r="T1854" t="s">
        <v>1016</v>
      </c>
      <c r="U1854">
        <v>0</v>
      </c>
    </row>
    <row r="1855" spans="1:21" x14ac:dyDescent="0.25">
      <c r="A1855" t="s">
        <v>39</v>
      </c>
      <c r="B1855" t="s">
        <v>947</v>
      </c>
      <c r="C1855">
        <v>2</v>
      </c>
      <c r="D1855" t="s">
        <v>15</v>
      </c>
      <c r="E1855" t="s">
        <v>94</v>
      </c>
      <c r="F1855" t="s">
        <v>103</v>
      </c>
      <c r="G1855" t="s">
        <v>103</v>
      </c>
      <c r="H1855" t="s">
        <v>103</v>
      </c>
      <c r="J1855">
        <v>0</v>
      </c>
      <c r="K1855">
        <v>3</v>
      </c>
      <c r="L1855">
        <v>98.291666669999998</v>
      </c>
      <c r="M1855">
        <v>30.315130790000001</v>
      </c>
      <c r="N1855">
        <v>5.0803484000000003E-2</v>
      </c>
      <c r="O1855">
        <v>0.42866070000000001</v>
      </c>
      <c r="P1855">
        <v>98.291666669999998</v>
      </c>
      <c r="Q1855">
        <v>30.315130790000001</v>
      </c>
      <c r="R1855">
        <v>5.0803484000000003E-2</v>
      </c>
      <c r="S1855">
        <v>0.42866070000000001</v>
      </c>
      <c r="T1855" t="s">
        <v>1016</v>
      </c>
      <c r="U1855">
        <v>0</v>
      </c>
    </row>
    <row r="1856" spans="1:21" x14ac:dyDescent="0.25">
      <c r="A1856" t="s">
        <v>39</v>
      </c>
      <c r="B1856" t="s">
        <v>947</v>
      </c>
      <c r="C1856">
        <v>2</v>
      </c>
      <c r="D1856" t="s">
        <v>15</v>
      </c>
      <c r="E1856" t="s">
        <v>94</v>
      </c>
      <c r="F1856" t="s">
        <v>103</v>
      </c>
      <c r="G1856" t="s">
        <v>103</v>
      </c>
      <c r="H1856" t="s">
        <v>103</v>
      </c>
      <c r="J1856">
        <v>0</v>
      </c>
      <c r="K1856">
        <v>3</v>
      </c>
      <c r="L1856">
        <v>98.291666669999998</v>
      </c>
      <c r="M1856">
        <v>30.315130790000001</v>
      </c>
      <c r="N1856">
        <v>5.0803484000000003E-2</v>
      </c>
      <c r="O1856">
        <v>0.42866070000000001</v>
      </c>
      <c r="P1856">
        <v>98.291666669999998</v>
      </c>
      <c r="Q1856">
        <v>30.315130790000001</v>
      </c>
      <c r="R1856">
        <v>5.0803484000000003E-2</v>
      </c>
      <c r="S1856">
        <v>0.42866070000000001</v>
      </c>
      <c r="T1856" t="s">
        <v>1016</v>
      </c>
      <c r="U1856">
        <v>0</v>
      </c>
    </row>
    <row r="1857" spans="1:21" x14ac:dyDescent="0.25">
      <c r="A1857" t="s">
        <v>39</v>
      </c>
      <c r="B1857" t="s">
        <v>947</v>
      </c>
      <c r="C1857">
        <v>2</v>
      </c>
      <c r="D1857" t="s">
        <v>15</v>
      </c>
      <c r="E1857" t="s">
        <v>94</v>
      </c>
      <c r="F1857" t="s">
        <v>103</v>
      </c>
      <c r="G1857" t="s">
        <v>103</v>
      </c>
      <c r="H1857" t="s">
        <v>104</v>
      </c>
      <c r="J1857">
        <v>0</v>
      </c>
      <c r="K1857">
        <v>1</v>
      </c>
      <c r="L1857">
        <v>98.291666669999998</v>
      </c>
      <c r="M1857">
        <v>30.315130790000001</v>
      </c>
      <c r="N1857">
        <v>5.0803484000000003E-2</v>
      </c>
      <c r="O1857">
        <v>0.42866070000000001</v>
      </c>
      <c r="P1857">
        <v>113.9375</v>
      </c>
      <c r="Q1857">
        <v>33.375507550000002</v>
      </c>
      <c r="R1857">
        <v>2.4262999999999999</v>
      </c>
      <c r="S1857">
        <v>0.40692159999999999</v>
      </c>
      <c r="T1857" t="s">
        <v>1016</v>
      </c>
      <c r="U1857">
        <v>-3.06037676</v>
      </c>
    </row>
    <row r="1858" spans="1:21" x14ac:dyDescent="0.25">
      <c r="A1858" t="s">
        <v>39</v>
      </c>
      <c r="B1858" t="s">
        <v>947</v>
      </c>
      <c r="C1858">
        <v>2</v>
      </c>
      <c r="D1858" t="s">
        <v>15</v>
      </c>
      <c r="E1858" t="s">
        <v>94</v>
      </c>
      <c r="F1858" t="s">
        <v>103</v>
      </c>
      <c r="G1858" t="s">
        <v>103</v>
      </c>
      <c r="H1858" t="s">
        <v>113</v>
      </c>
      <c r="J1858">
        <v>0</v>
      </c>
      <c r="K1858">
        <v>4</v>
      </c>
      <c r="L1858">
        <v>98.291666669999998</v>
      </c>
      <c r="M1858">
        <v>30.315130790000001</v>
      </c>
      <c r="N1858">
        <v>5.0803484000000003E-2</v>
      </c>
      <c r="O1858">
        <v>0.42866070000000001</v>
      </c>
      <c r="P1858">
        <v>83.757575759999995</v>
      </c>
      <c r="Q1858">
        <v>22.60997987</v>
      </c>
      <c r="R1858">
        <v>0.72884000000000004</v>
      </c>
      <c r="S1858">
        <v>0.21301339999999999</v>
      </c>
      <c r="T1858" t="s">
        <v>1016</v>
      </c>
      <c r="U1858">
        <v>7.7051509200000003</v>
      </c>
    </row>
    <row r="1859" spans="1:21" x14ac:dyDescent="0.25">
      <c r="A1859" t="s">
        <v>39</v>
      </c>
      <c r="B1859" t="s">
        <v>947</v>
      </c>
      <c r="C1859">
        <v>2</v>
      </c>
      <c r="D1859" t="s">
        <v>15</v>
      </c>
      <c r="E1859" t="s">
        <v>94</v>
      </c>
      <c r="F1859" t="s">
        <v>103</v>
      </c>
      <c r="G1859" t="s">
        <v>103</v>
      </c>
      <c r="H1859" t="s">
        <v>113</v>
      </c>
      <c r="J1859">
        <v>0</v>
      </c>
      <c r="K1859">
        <v>4</v>
      </c>
      <c r="L1859">
        <v>98.291666669999998</v>
      </c>
      <c r="M1859">
        <v>30.315130790000001</v>
      </c>
      <c r="N1859">
        <v>5.0803484000000003E-2</v>
      </c>
      <c r="O1859">
        <v>0.42866070000000001</v>
      </c>
      <c r="P1859">
        <v>83.757575759999995</v>
      </c>
      <c r="Q1859">
        <v>22.60997987</v>
      </c>
      <c r="R1859">
        <v>0.72884000000000004</v>
      </c>
      <c r="S1859">
        <v>0.21301339999999999</v>
      </c>
      <c r="T1859" t="s">
        <v>1016</v>
      </c>
      <c r="U1859">
        <v>7.7051509200000003</v>
      </c>
    </row>
    <row r="1860" spans="1:21" x14ac:dyDescent="0.25">
      <c r="A1860" t="s">
        <v>39</v>
      </c>
      <c r="B1860" t="s">
        <v>947</v>
      </c>
      <c r="C1860">
        <v>2</v>
      </c>
      <c r="D1860" t="s">
        <v>15</v>
      </c>
      <c r="E1860" t="s">
        <v>94</v>
      </c>
      <c r="F1860" t="s">
        <v>103</v>
      </c>
      <c r="G1860" t="s">
        <v>103</v>
      </c>
      <c r="H1860" t="s">
        <v>113</v>
      </c>
      <c r="J1860">
        <v>0</v>
      </c>
      <c r="K1860">
        <v>4</v>
      </c>
      <c r="L1860">
        <v>98.291666669999998</v>
      </c>
      <c r="M1860">
        <v>30.315130790000001</v>
      </c>
      <c r="N1860">
        <v>5.0803484000000003E-2</v>
      </c>
      <c r="O1860">
        <v>0.42866070000000001</v>
      </c>
      <c r="P1860">
        <v>83.757575759999995</v>
      </c>
      <c r="Q1860">
        <v>22.60997987</v>
      </c>
      <c r="R1860">
        <v>0.72884000000000004</v>
      </c>
      <c r="S1860">
        <v>0.21301339999999999</v>
      </c>
      <c r="T1860" t="s">
        <v>1016</v>
      </c>
      <c r="U1860">
        <v>7.7051509200000003</v>
      </c>
    </row>
    <row r="1861" spans="1:21" x14ac:dyDescent="0.25">
      <c r="A1861" t="s">
        <v>39</v>
      </c>
      <c r="B1861" t="s">
        <v>947</v>
      </c>
      <c r="C1861">
        <v>2</v>
      </c>
      <c r="D1861" t="s">
        <v>15</v>
      </c>
      <c r="E1861" t="s">
        <v>94</v>
      </c>
      <c r="F1861" t="s">
        <v>103</v>
      </c>
      <c r="G1861" t="s">
        <v>103</v>
      </c>
      <c r="H1861" t="s">
        <v>113</v>
      </c>
      <c r="J1861">
        <v>0</v>
      </c>
      <c r="K1861">
        <v>4</v>
      </c>
      <c r="L1861">
        <v>98.291666669999998</v>
      </c>
      <c r="M1861">
        <v>30.315130790000001</v>
      </c>
      <c r="N1861">
        <v>5.0803484000000003E-2</v>
      </c>
      <c r="O1861">
        <v>0.42866070000000001</v>
      </c>
      <c r="P1861">
        <v>83.757575759999995</v>
      </c>
      <c r="Q1861">
        <v>22.60997987</v>
      </c>
      <c r="R1861">
        <v>0.72884000000000004</v>
      </c>
      <c r="S1861">
        <v>0.21301339999999999</v>
      </c>
      <c r="T1861" t="s">
        <v>1016</v>
      </c>
      <c r="U1861">
        <v>7.7051509200000003</v>
      </c>
    </row>
    <row r="1862" spans="1:21" x14ac:dyDescent="0.25">
      <c r="A1862" t="s">
        <v>39</v>
      </c>
      <c r="B1862" t="s">
        <v>948</v>
      </c>
      <c r="C1862">
        <v>2</v>
      </c>
      <c r="D1862" t="s">
        <v>15</v>
      </c>
      <c r="E1862" t="s">
        <v>94</v>
      </c>
      <c r="F1862" t="s">
        <v>111</v>
      </c>
      <c r="G1862" t="s">
        <v>104</v>
      </c>
      <c r="H1862" t="s">
        <v>236</v>
      </c>
      <c r="J1862">
        <v>0</v>
      </c>
      <c r="K1862">
        <v>1</v>
      </c>
      <c r="L1862">
        <v>94.97142857</v>
      </c>
      <c r="M1862">
        <v>24.31591813</v>
      </c>
      <c r="N1862">
        <v>0.122951111</v>
      </c>
      <c r="O1862">
        <v>0.39050790000000002</v>
      </c>
      <c r="P1862">
        <v>113.33333330000001</v>
      </c>
      <c r="Q1862">
        <v>26.41632581</v>
      </c>
      <c r="R1862">
        <v>1.6844570160000001</v>
      </c>
      <c r="S1862">
        <v>8.9285710000000004E-2</v>
      </c>
      <c r="T1862" t="s">
        <v>1016</v>
      </c>
      <c r="U1862">
        <v>-2.10040768</v>
      </c>
    </row>
    <row r="1863" spans="1:21" x14ac:dyDescent="0.25">
      <c r="A1863" t="s">
        <v>39</v>
      </c>
      <c r="B1863" t="s">
        <v>948</v>
      </c>
      <c r="C1863">
        <v>2</v>
      </c>
      <c r="D1863" t="s">
        <v>15</v>
      </c>
      <c r="E1863" t="s">
        <v>94</v>
      </c>
      <c r="F1863" t="s">
        <v>111</v>
      </c>
      <c r="G1863" t="s">
        <v>104</v>
      </c>
      <c r="H1863" t="s">
        <v>103</v>
      </c>
      <c r="J1863">
        <v>0</v>
      </c>
      <c r="K1863">
        <v>1</v>
      </c>
      <c r="L1863">
        <v>94.97142857</v>
      </c>
      <c r="M1863">
        <v>24.31591813</v>
      </c>
      <c r="N1863">
        <v>0.122951111</v>
      </c>
      <c r="O1863">
        <v>0.39050790000000002</v>
      </c>
      <c r="P1863">
        <v>98.291666669999998</v>
      </c>
      <c r="Q1863">
        <v>30.315130790000001</v>
      </c>
      <c r="R1863">
        <v>5.0803484000000003E-2</v>
      </c>
      <c r="S1863">
        <v>0.42866070000000001</v>
      </c>
      <c r="T1863" t="s">
        <v>1016</v>
      </c>
      <c r="U1863">
        <v>-5.9992126600000004</v>
      </c>
    </row>
    <row r="1864" spans="1:21" x14ac:dyDescent="0.25">
      <c r="A1864" t="s">
        <v>39</v>
      </c>
      <c r="B1864" t="s">
        <v>948</v>
      </c>
      <c r="C1864">
        <v>2</v>
      </c>
      <c r="D1864" t="s">
        <v>15</v>
      </c>
      <c r="E1864" t="s">
        <v>94</v>
      </c>
      <c r="F1864" t="s">
        <v>111</v>
      </c>
      <c r="G1864" t="s">
        <v>104</v>
      </c>
      <c r="H1864" t="s">
        <v>104</v>
      </c>
      <c r="J1864">
        <v>0</v>
      </c>
      <c r="K1864">
        <v>1</v>
      </c>
      <c r="L1864">
        <v>94.97142857</v>
      </c>
      <c r="M1864">
        <v>24.31591813</v>
      </c>
      <c r="N1864">
        <v>0.122951111</v>
      </c>
      <c r="O1864">
        <v>0.39050790000000002</v>
      </c>
      <c r="P1864">
        <v>113.9375</v>
      </c>
      <c r="Q1864">
        <v>33.375507550000002</v>
      </c>
      <c r="R1864">
        <v>2.4262999999999999</v>
      </c>
      <c r="S1864">
        <v>0.40692159999999999</v>
      </c>
      <c r="T1864" t="s">
        <v>1016</v>
      </c>
      <c r="U1864">
        <v>-9.05958942</v>
      </c>
    </row>
    <row r="1865" spans="1:21" x14ac:dyDescent="0.25">
      <c r="A1865" t="s">
        <v>39</v>
      </c>
      <c r="B1865" t="s">
        <v>949</v>
      </c>
      <c r="C1865">
        <v>2</v>
      </c>
      <c r="D1865" t="s">
        <v>15</v>
      </c>
      <c r="E1865" t="s">
        <v>94</v>
      </c>
      <c r="F1865" t="s">
        <v>104</v>
      </c>
      <c r="G1865" t="s">
        <v>104</v>
      </c>
      <c r="H1865" t="s">
        <v>104</v>
      </c>
      <c r="J1865">
        <v>0</v>
      </c>
      <c r="K1865">
        <v>3</v>
      </c>
      <c r="L1865">
        <v>113.9375</v>
      </c>
      <c r="M1865">
        <v>33.375507550000002</v>
      </c>
      <c r="N1865">
        <v>2.4262999999999999</v>
      </c>
      <c r="O1865">
        <v>0.40692159999999999</v>
      </c>
      <c r="P1865">
        <v>113.9375</v>
      </c>
      <c r="Q1865">
        <v>33.375507550000002</v>
      </c>
      <c r="R1865">
        <v>2.4262999999999999</v>
      </c>
      <c r="S1865">
        <v>0.40692159999999999</v>
      </c>
      <c r="T1865" t="s">
        <v>1016</v>
      </c>
      <c r="U1865">
        <v>0</v>
      </c>
    </row>
    <row r="1866" spans="1:21" x14ac:dyDescent="0.25">
      <c r="A1866" t="s">
        <v>39</v>
      </c>
      <c r="B1866" t="s">
        <v>949</v>
      </c>
      <c r="C1866">
        <v>2</v>
      </c>
      <c r="D1866" t="s">
        <v>15</v>
      </c>
      <c r="E1866" t="s">
        <v>94</v>
      </c>
      <c r="F1866" t="s">
        <v>104</v>
      </c>
      <c r="G1866" t="s">
        <v>104</v>
      </c>
      <c r="H1866" t="s">
        <v>104</v>
      </c>
      <c r="J1866">
        <v>0</v>
      </c>
      <c r="K1866">
        <v>3</v>
      </c>
      <c r="L1866">
        <v>113.9375</v>
      </c>
      <c r="M1866">
        <v>33.375507550000002</v>
      </c>
      <c r="N1866">
        <v>2.4262999999999999</v>
      </c>
      <c r="O1866">
        <v>0.40692159999999999</v>
      </c>
      <c r="P1866">
        <v>113.9375</v>
      </c>
      <c r="Q1866">
        <v>33.375507550000002</v>
      </c>
      <c r="R1866">
        <v>2.4262999999999999</v>
      </c>
      <c r="S1866">
        <v>0.40692159999999999</v>
      </c>
      <c r="T1866" t="s">
        <v>1016</v>
      </c>
      <c r="U1866">
        <v>0</v>
      </c>
    </row>
    <row r="1867" spans="1:21" x14ac:dyDescent="0.25">
      <c r="A1867" t="s">
        <v>39</v>
      </c>
      <c r="B1867" t="s">
        <v>949</v>
      </c>
      <c r="C1867">
        <v>2</v>
      </c>
      <c r="D1867" t="s">
        <v>15</v>
      </c>
      <c r="E1867" t="s">
        <v>94</v>
      </c>
      <c r="F1867" t="s">
        <v>104</v>
      </c>
      <c r="G1867" t="s">
        <v>104</v>
      </c>
      <c r="H1867" t="s">
        <v>104</v>
      </c>
      <c r="J1867">
        <v>0</v>
      </c>
      <c r="K1867">
        <v>3</v>
      </c>
      <c r="L1867">
        <v>113.9375</v>
      </c>
      <c r="M1867">
        <v>33.375507550000002</v>
      </c>
      <c r="N1867">
        <v>2.4262999999999999</v>
      </c>
      <c r="O1867">
        <v>0.40692159999999999</v>
      </c>
      <c r="P1867">
        <v>113.9375</v>
      </c>
      <c r="Q1867">
        <v>33.375507550000002</v>
      </c>
      <c r="R1867">
        <v>2.4262999999999999</v>
      </c>
      <c r="S1867">
        <v>0.40692159999999999</v>
      </c>
      <c r="T1867" t="s">
        <v>1016</v>
      </c>
      <c r="U1867">
        <v>0</v>
      </c>
    </row>
    <row r="1868" spans="1:21" x14ac:dyDescent="0.25">
      <c r="A1868" t="s">
        <v>39</v>
      </c>
      <c r="B1868" t="s">
        <v>949</v>
      </c>
      <c r="C1868">
        <v>2</v>
      </c>
      <c r="D1868" t="s">
        <v>15</v>
      </c>
      <c r="E1868" t="s">
        <v>94</v>
      </c>
      <c r="F1868" t="s">
        <v>104</v>
      </c>
      <c r="G1868" t="s">
        <v>104</v>
      </c>
      <c r="H1868" t="s">
        <v>113</v>
      </c>
      <c r="J1868">
        <v>0</v>
      </c>
      <c r="K1868">
        <v>1</v>
      </c>
      <c r="L1868">
        <v>113.9375</v>
      </c>
      <c r="M1868">
        <v>33.375507550000002</v>
      </c>
      <c r="N1868">
        <v>2.4262999999999999</v>
      </c>
      <c r="O1868">
        <v>0.40692159999999999</v>
      </c>
      <c r="P1868">
        <v>83.757575759999995</v>
      </c>
      <c r="Q1868">
        <v>22.60997987</v>
      </c>
      <c r="R1868">
        <v>0.72884000000000004</v>
      </c>
      <c r="S1868">
        <v>0.21301339999999999</v>
      </c>
      <c r="T1868" t="s">
        <v>1016</v>
      </c>
      <c r="U1868">
        <v>10.76552768</v>
      </c>
    </row>
    <row r="1869" spans="1:21" x14ac:dyDescent="0.25">
      <c r="A1869" t="s">
        <v>40</v>
      </c>
      <c r="B1869" t="s">
        <v>950</v>
      </c>
      <c r="C1869">
        <v>2</v>
      </c>
      <c r="D1869" t="s">
        <v>17</v>
      </c>
      <c r="E1869" t="s">
        <v>95</v>
      </c>
      <c r="F1869" t="s">
        <v>113</v>
      </c>
      <c r="G1869" t="s">
        <v>113</v>
      </c>
      <c r="H1869" t="s">
        <v>113</v>
      </c>
      <c r="J1869">
        <v>0</v>
      </c>
      <c r="K1869">
        <v>1</v>
      </c>
      <c r="L1869">
        <v>83.757575759999995</v>
      </c>
      <c r="M1869">
        <v>22.60997987</v>
      </c>
      <c r="N1869">
        <v>0.72884000000000004</v>
      </c>
      <c r="O1869">
        <v>0.21301339999999999</v>
      </c>
      <c r="P1869">
        <v>83.757575759999995</v>
      </c>
      <c r="Q1869">
        <v>22.60997987</v>
      </c>
      <c r="R1869">
        <v>0.72884000000000004</v>
      </c>
      <c r="S1869">
        <v>0.21301339999999999</v>
      </c>
      <c r="T1869" t="s">
        <v>1016</v>
      </c>
      <c r="U1869">
        <v>0</v>
      </c>
    </row>
    <row r="1870" spans="1:21" x14ac:dyDescent="0.25">
      <c r="A1870" t="s">
        <v>40</v>
      </c>
      <c r="B1870" t="s">
        <v>950</v>
      </c>
      <c r="C1870">
        <v>2</v>
      </c>
      <c r="D1870" t="s">
        <v>17</v>
      </c>
      <c r="E1870" t="s">
        <v>95</v>
      </c>
      <c r="F1870" t="s">
        <v>113</v>
      </c>
      <c r="G1870" t="s">
        <v>113</v>
      </c>
      <c r="H1870" t="s">
        <v>103</v>
      </c>
      <c r="J1870">
        <v>0</v>
      </c>
      <c r="K1870">
        <v>2</v>
      </c>
      <c r="L1870">
        <v>83.757575759999995</v>
      </c>
      <c r="M1870">
        <v>22.60997987</v>
      </c>
      <c r="N1870">
        <v>0.72884000000000004</v>
      </c>
      <c r="O1870">
        <v>0.21301339999999999</v>
      </c>
      <c r="P1870">
        <v>98.291666669999998</v>
      </c>
      <c r="Q1870">
        <v>30.315130790000001</v>
      </c>
      <c r="R1870">
        <v>5.0803484000000003E-2</v>
      </c>
      <c r="S1870">
        <v>0.42866070000000001</v>
      </c>
      <c r="T1870" t="s">
        <v>1016</v>
      </c>
      <c r="U1870">
        <v>-7.7051509200000003</v>
      </c>
    </row>
    <row r="1871" spans="1:21" x14ac:dyDescent="0.25">
      <c r="A1871" t="s">
        <v>40</v>
      </c>
      <c r="B1871" t="s">
        <v>950</v>
      </c>
      <c r="C1871">
        <v>2</v>
      </c>
      <c r="D1871" t="s">
        <v>17</v>
      </c>
      <c r="E1871" t="s">
        <v>95</v>
      </c>
      <c r="F1871" t="s">
        <v>113</v>
      </c>
      <c r="G1871" t="s">
        <v>113</v>
      </c>
      <c r="H1871" t="s">
        <v>103</v>
      </c>
      <c r="J1871">
        <v>0</v>
      </c>
      <c r="K1871">
        <v>2</v>
      </c>
      <c r="L1871">
        <v>83.757575759999995</v>
      </c>
      <c r="M1871">
        <v>22.60997987</v>
      </c>
      <c r="N1871">
        <v>0.72884000000000004</v>
      </c>
      <c r="O1871">
        <v>0.21301339999999999</v>
      </c>
      <c r="P1871">
        <v>98.291666669999998</v>
      </c>
      <c r="Q1871">
        <v>30.315130790000001</v>
      </c>
      <c r="R1871">
        <v>5.0803484000000003E-2</v>
      </c>
      <c r="S1871">
        <v>0.42866070000000001</v>
      </c>
      <c r="T1871" t="s">
        <v>1016</v>
      </c>
      <c r="U1871">
        <v>-7.7051509200000003</v>
      </c>
    </row>
    <row r="1872" spans="1:21" x14ac:dyDescent="0.25">
      <c r="A1872" t="s">
        <v>40</v>
      </c>
      <c r="B1872" t="s">
        <v>951</v>
      </c>
      <c r="C1872">
        <v>2</v>
      </c>
      <c r="D1872" t="s">
        <v>17</v>
      </c>
      <c r="E1872" t="s">
        <v>95</v>
      </c>
      <c r="F1872" t="s">
        <v>103</v>
      </c>
      <c r="G1872" t="s">
        <v>103</v>
      </c>
      <c r="H1872" t="s">
        <v>103</v>
      </c>
      <c r="J1872">
        <v>0</v>
      </c>
      <c r="K1872">
        <v>6</v>
      </c>
      <c r="L1872">
        <v>98.291666669999998</v>
      </c>
      <c r="M1872">
        <v>30.315130790000001</v>
      </c>
      <c r="N1872">
        <v>5.0803484000000003E-2</v>
      </c>
      <c r="O1872">
        <v>0.42866070000000001</v>
      </c>
      <c r="P1872">
        <v>98.291666669999998</v>
      </c>
      <c r="Q1872">
        <v>30.315130790000001</v>
      </c>
      <c r="R1872">
        <v>5.0803484000000003E-2</v>
      </c>
      <c r="S1872">
        <v>0.42866070000000001</v>
      </c>
      <c r="T1872" t="s">
        <v>1016</v>
      </c>
      <c r="U1872">
        <v>0</v>
      </c>
    </row>
    <row r="1873" spans="1:21" x14ac:dyDescent="0.25">
      <c r="A1873" t="s">
        <v>40</v>
      </c>
      <c r="B1873" t="s">
        <v>951</v>
      </c>
      <c r="C1873">
        <v>2</v>
      </c>
      <c r="D1873" t="s">
        <v>17</v>
      </c>
      <c r="E1873" t="s">
        <v>95</v>
      </c>
      <c r="F1873" t="s">
        <v>103</v>
      </c>
      <c r="G1873" t="s">
        <v>103</v>
      </c>
      <c r="H1873" t="s">
        <v>103</v>
      </c>
      <c r="J1873">
        <v>0</v>
      </c>
      <c r="K1873">
        <v>6</v>
      </c>
      <c r="L1873">
        <v>98.291666669999998</v>
      </c>
      <c r="M1873">
        <v>30.315130790000001</v>
      </c>
      <c r="N1873">
        <v>5.0803484000000003E-2</v>
      </c>
      <c r="O1873">
        <v>0.42866070000000001</v>
      </c>
      <c r="P1873">
        <v>98.291666669999998</v>
      </c>
      <c r="Q1873">
        <v>30.315130790000001</v>
      </c>
      <c r="R1873">
        <v>5.0803484000000003E-2</v>
      </c>
      <c r="S1873">
        <v>0.42866070000000001</v>
      </c>
      <c r="T1873" t="s">
        <v>1016</v>
      </c>
      <c r="U1873">
        <v>0</v>
      </c>
    </row>
    <row r="1874" spans="1:21" x14ac:dyDescent="0.25">
      <c r="A1874" t="s">
        <v>40</v>
      </c>
      <c r="B1874" t="s">
        <v>951</v>
      </c>
      <c r="C1874">
        <v>2</v>
      </c>
      <c r="D1874" t="s">
        <v>17</v>
      </c>
      <c r="E1874" t="s">
        <v>95</v>
      </c>
      <c r="F1874" t="s">
        <v>103</v>
      </c>
      <c r="G1874" t="s">
        <v>103</v>
      </c>
      <c r="H1874" t="s">
        <v>103</v>
      </c>
      <c r="J1874">
        <v>0</v>
      </c>
      <c r="K1874">
        <v>6</v>
      </c>
      <c r="L1874">
        <v>98.291666669999998</v>
      </c>
      <c r="M1874">
        <v>30.315130790000001</v>
      </c>
      <c r="N1874">
        <v>5.0803484000000003E-2</v>
      </c>
      <c r="O1874">
        <v>0.42866070000000001</v>
      </c>
      <c r="P1874">
        <v>98.291666669999998</v>
      </c>
      <c r="Q1874">
        <v>30.315130790000001</v>
      </c>
      <c r="R1874">
        <v>5.0803484000000003E-2</v>
      </c>
      <c r="S1874">
        <v>0.42866070000000001</v>
      </c>
      <c r="T1874" t="s">
        <v>1016</v>
      </c>
      <c r="U1874">
        <v>0</v>
      </c>
    </row>
    <row r="1875" spans="1:21" x14ac:dyDescent="0.25">
      <c r="A1875" t="s">
        <v>40</v>
      </c>
      <c r="B1875" t="s">
        <v>951</v>
      </c>
      <c r="C1875">
        <v>2</v>
      </c>
      <c r="D1875" t="s">
        <v>17</v>
      </c>
      <c r="E1875" t="s">
        <v>95</v>
      </c>
      <c r="F1875" t="s">
        <v>103</v>
      </c>
      <c r="G1875" t="s">
        <v>103</v>
      </c>
      <c r="H1875" t="s">
        <v>103</v>
      </c>
      <c r="J1875">
        <v>0</v>
      </c>
      <c r="K1875">
        <v>6</v>
      </c>
      <c r="L1875">
        <v>98.291666669999998</v>
      </c>
      <c r="M1875">
        <v>30.315130790000001</v>
      </c>
      <c r="N1875">
        <v>5.0803484000000003E-2</v>
      </c>
      <c r="O1875">
        <v>0.42866070000000001</v>
      </c>
      <c r="P1875">
        <v>98.291666669999998</v>
      </c>
      <c r="Q1875">
        <v>30.315130790000001</v>
      </c>
      <c r="R1875">
        <v>5.0803484000000003E-2</v>
      </c>
      <c r="S1875">
        <v>0.42866070000000001</v>
      </c>
      <c r="T1875" t="s">
        <v>1016</v>
      </c>
      <c r="U1875">
        <v>0</v>
      </c>
    </row>
    <row r="1876" spans="1:21" x14ac:dyDescent="0.25">
      <c r="A1876" t="s">
        <v>40</v>
      </c>
      <c r="B1876" t="s">
        <v>951</v>
      </c>
      <c r="C1876">
        <v>2</v>
      </c>
      <c r="D1876" t="s">
        <v>17</v>
      </c>
      <c r="E1876" t="s">
        <v>95</v>
      </c>
      <c r="F1876" t="s">
        <v>103</v>
      </c>
      <c r="G1876" t="s">
        <v>103</v>
      </c>
      <c r="H1876" t="s">
        <v>103</v>
      </c>
      <c r="J1876">
        <v>0</v>
      </c>
      <c r="K1876">
        <v>6</v>
      </c>
      <c r="L1876">
        <v>98.291666669999998</v>
      </c>
      <c r="M1876">
        <v>30.315130790000001</v>
      </c>
      <c r="N1876">
        <v>5.0803484000000003E-2</v>
      </c>
      <c r="O1876">
        <v>0.42866070000000001</v>
      </c>
      <c r="P1876">
        <v>98.291666669999998</v>
      </c>
      <c r="Q1876">
        <v>30.315130790000001</v>
      </c>
      <c r="R1876">
        <v>5.0803484000000003E-2</v>
      </c>
      <c r="S1876">
        <v>0.42866070000000001</v>
      </c>
      <c r="T1876" t="s">
        <v>1016</v>
      </c>
      <c r="U1876">
        <v>0</v>
      </c>
    </row>
    <row r="1877" spans="1:21" x14ac:dyDescent="0.25">
      <c r="A1877" t="s">
        <v>40</v>
      </c>
      <c r="B1877" t="s">
        <v>951</v>
      </c>
      <c r="C1877">
        <v>2</v>
      </c>
      <c r="D1877" t="s">
        <v>17</v>
      </c>
      <c r="E1877" t="s">
        <v>95</v>
      </c>
      <c r="F1877" t="s">
        <v>103</v>
      </c>
      <c r="G1877" t="s">
        <v>103</v>
      </c>
      <c r="H1877" t="s">
        <v>103</v>
      </c>
      <c r="J1877">
        <v>0</v>
      </c>
      <c r="K1877">
        <v>6</v>
      </c>
      <c r="L1877">
        <v>98.291666669999998</v>
      </c>
      <c r="M1877">
        <v>30.315130790000001</v>
      </c>
      <c r="N1877">
        <v>5.0803484000000003E-2</v>
      </c>
      <c r="O1877">
        <v>0.42866070000000001</v>
      </c>
      <c r="P1877">
        <v>98.291666669999998</v>
      </c>
      <c r="Q1877">
        <v>30.315130790000001</v>
      </c>
      <c r="R1877">
        <v>5.0803484000000003E-2</v>
      </c>
      <c r="S1877">
        <v>0.42866070000000001</v>
      </c>
      <c r="T1877" t="s">
        <v>1016</v>
      </c>
      <c r="U1877">
        <v>0</v>
      </c>
    </row>
    <row r="1878" spans="1:21" x14ac:dyDescent="0.25">
      <c r="A1878" t="s">
        <v>40</v>
      </c>
      <c r="B1878" t="s">
        <v>952</v>
      </c>
      <c r="C1878">
        <v>2</v>
      </c>
      <c r="D1878" t="s">
        <v>17</v>
      </c>
      <c r="E1878" t="s">
        <v>95</v>
      </c>
      <c r="F1878" t="s">
        <v>112</v>
      </c>
      <c r="G1878" t="s">
        <v>103</v>
      </c>
      <c r="H1878" t="s">
        <v>103</v>
      </c>
      <c r="I1878" t="s">
        <v>243</v>
      </c>
      <c r="J1878">
        <v>1</v>
      </c>
      <c r="K1878">
        <v>7</v>
      </c>
      <c r="L1878">
        <v>65.09375</v>
      </c>
      <c r="M1878">
        <v>37.895352600000002</v>
      </c>
      <c r="N1878">
        <v>2.2882677779999998</v>
      </c>
      <c r="O1878">
        <v>2.2111774</v>
      </c>
      <c r="P1878">
        <v>98.291666669999998</v>
      </c>
      <c r="Q1878">
        <v>30.315130790000001</v>
      </c>
      <c r="R1878">
        <v>5.0803484000000003E-2</v>
      </c>
      <c r="S1878">
        <v>0.42866070000000001</v>
      </c>
      <c r="T1878" t="s">
        <v>1016</v>
      </c>
      <c r="U1878">
        <v>7.5802218100000003</v>
      </c>
    </row>
    <row r="1879" spans="1:21" x14ac:dyDescent="0.25">
      <c r="A1879" t="s">
        <v>40</v>
      </c>
      <c r="B1879" t="s">
        <v>952</v>
      </c>
      <c r="C1879">
        <v>2</v>
      </c>
      <c r="D1879" t="s">
        <v>17</v>
      </c>
      <c r="E1879" t="s">
        <v>95</v>
      </c>
      <c r="F1879" t="s">
        <v>112</v>
      </c>
      <c r="G1879" t="s">
        <v>103</v>
      </c>
      <c r="H1879" t="s">
        <v>103</v>
      </c>
      <c r="I1879" t="s">
        <v>243</v>
      </c>
      <c r="J1879">
        <v>1</v>
      </c>
      <c r="K1879">
        <v>7</v>
      </c>
      <c r="L1879">
        <v>65.09375</v>
      </c>
      <c r="M1879">
        <v>37.895352600000002</v>
      </c>
      <c r="N1879">
        <v>2.2882677779999998</v>
      </c>
      <c r="O1879">
        <v>2.2111774</v>
      </c>
      <c r="P1879">
        <v>98.291666669999998</v>
      </c>
      <c r="Q1879">
        <v>30.315130790000001</v>
      </c>
      <c r="R1879">
        <v>5.0803484000000003E-2</v>
      </c>
      <c r="S1879">
        <v>0.42866070000000001</v>
      </c>
      <c r="T1879" t="s">
        <v>1016</v>
      </c>
      <c r="U1879">
        <v>7.5802218100000003</v>
      </c>
    </row>
    <row r="1880" spans="1:21" x14ac:dyDescent="0.25">
      <c r="A1880" t="s">
        <v>40</v>
      </c>
      <c r="B1880" t="s">
        <v>952</v>
      </c>
      <c r="C1880">
        <v>2</v>
      </c>
      <c r="D1880" t="s">
        <v>17</v>
      </c>
      <c r="E1880" t="s">
        <v>95</v>
      </c>
      <c r="F1880" t="s">
        <v>112</v>
      </c>
      <c r="G1880" t="s">
        <v>103</v>
      </c>
      <c r="H1880" t="s">
        <v>103</v>
      </c>
      <c r="I1880" t="s">
        <v>243</v>
      </c>
      <c r="J1880">
        <v>1</v>
      </c>
      <c r="K1880">
        <v>7</v>
      </c>
      <c r="L1880">
        <v>65.09375</v>
      </c>
      <c r="M1880">
        <v>37.895352600000002</v>
      </c>
      <c r="N1880">
        <v>2.2882677779999998</v>
      </c>
      <c r="O1880">
        <v>2.2111774</v>
      </c>
      <c r="P1880">
        <v>98.291666669999998</v>
      </c>
      <c r="Q1880">
        <v>30.315130790000001</v>
      </c>
      <c r="R1880">
        <v>5.0803484000000003E-2</v>
      </c>
      <c r="S1880">
        <v>0.42866070000000001</v>
      </c>
      <c r="T1880" t="s">
        <v>1016</v>
      </c>
      <c r="U1880">
        <v>7.5802218100000003</v>
      </c>
    </row>
    <row r="1881" spans="1:21" x14ac:dyDescent="0.25">
      <c r="A1881" t="s">
        <v>40</v>
      </c>
      <c r="B1881" t="s">
        <v>952</v>
      </c>
      <c r="C1881">
        <v>2</v>
      </c>
      <c r="D1881" t="s">
        <v>17</v>
      </c>
      <c r="E1881" t="s">
        <v>95</v>
      </c>
      <c r="F1881" t="s">
        <v>112</v>
      </c>
      <c r="G1881" t="s">
        <v>103</v>
      </c>
      <c r="H1881" t="s">
        <v>103</v>
      </c>
      <c r="I1881" t="s">
        <v>243</v>
      </c>
      <c r="J1881">
        <v>1</v>
      </c>
      <c r="K1881">
        <v>7</v>
      </c>
      <c r="L1881">
        <v>65.09375</v>
      </c>
      <c r="M1881">
        <v>37.895352600000002</v>
      </c>
      <c r="N1881">
        <v>2.2882677779999998</v>
      </c>
      <c r="O1881">
        <v>2.2111774</v>
      </c>
      <c r="P1881">
        <v>98.291666669999998</v>
      </c>
      <c r="Q1881">
        <v>30.315130790000001</v>
      </c>
      <c r="R1881">
        <v>5.0803484000000003E-2</v>
      </c>
      <c r="S1881">
        <v>0.42866070000000001</v>
      </c>
      <c r="T1881" t="s">
        <v>1016</v>
      </c>
      <c r="U1881">
        <v>7.5802218100000003</v>
      </c>
    </row>
    <row r="1882" spans="1:21" x14ac:dyDescent="0.25">
      <c r="A1882" t="s">
        <v>40</v>
      </c>
      <c r="B1882" t="s">
        <v>952</v>
      </c>
      <c r="C1882">
        <v>2</v>
      </c>
      <c r="D1882" t="s">
        <v>17</v>
      </c>
      <c r="E1882" t="s">
        <v>95</v>
      </c>
      <c r="F1882" t="s">
        <v>112</v>
      </c>
      <c r="G1882" t="s">
        <v>103</v>
      </c>
      <c r="H1882" t="s">
        <v>103</v>
      </c>
      <c r="I1882" t="s">
        <v>243</v>
      </c>
      <c r="J1882">
        <v>1</v>
      </c>
      <c r="K1882">
        <v>7</v>
      </c>
      <c r="L1882">
        <v>65.09375</v>
      </c>
      <c r="M1882">
        <v>37.895352600000002</v>
      </c>
      <c r="N1882">
        <v>2.2882677779999998</v>
      </c>
      <c r="O1882">
        <v>2.2111774</v>
      </c>
      <c r="P1882">
        <v>98.291666669999998</v>
      </c>
      <c r="Q1882">
        <v>30.315130790000001</v>
      </c>
      <c r="R1882">
        <v>5.0803484000000003E-2</v>
      </c>
      <c r="S1882">
        <v>0.42866070000000001</v>
      </c>
      <c r="T1882" t="s">
        <v>1016</v>
      </c>
      <c r="U1882">
        <v>7.5802218100000003</v>
      </c>
    </row>
    <row r="1883" spans="1:21" x14ac:dyDescent="0.25">
      <c r="A1883" t="s">
        <v>40</v>
      </c>
      <c r="B1883" t="s">
        <v>952</v>
      </c>
      <c r="C1883">
        <v>2</v>
      </c>
      <c r="D1883" t="s">
        <v>17</v>
      </c>
      <c r="E1883" t="s">
        <v>95</v>
      </c>
      <c r="F1883" t="s">
        <v>112</v>
      </c>
      <c r="G1883" t="s">
        <v>103</v>
      </c>
      <c r="H1883" t="s">
        <v>103</v>
      </c>
      <c r="I1883" t="s">
        <v>243</v>
      </c>
      <c r="J1883">
        <v>1</v>
      </c>
      <c r="K1883">
        <v>7</v>
      </c>
      <c r="L1883">
        <v>65.09375</v>
      </c>
      <c r="M1883">
        <v>37.895352600000002</v>
      </c>
      <c r="N1883">
        <v>2.2882677779999998</v>
      </c>
      <c r="O1883">
        <v>2.2111774</v>
      </c>
      <c r="P1883">
        <v>98.291666669999998</v>
      </c>
      <c r="Q1883">
        <v>30.315130790000001</v>
      </c>
      <c r="R1883">
        <v>5.0803484000000003E-2</v>
      </c>
      <c r="S1883">
        <v>0.42866070000000001</v>
      </c>
      <c r="T1883" t="s">
        <v>1016</v>
      </c>
      <c r="U1883">
        <v>7.5802218100000003</v>
      </c>
    </row>
    <row r="1884" spans="1:21" x14ac:dyDescent="0.25">
      <c r="A1884" t="s">
        <v>40</v>
      </c>
      <c r="B1884" t="s">
        <v>952</v>
      </c>
      <c r="C1884">
        <v>2</v>
      </c>
      <c r="D1884" t="s">
        <v>17</v>
      </c>
      <c r="E1884" t="s">
        <v>95</v>
      </c>
      <c r="F1884" t="s">
        <v>112</v>
      </c>
      <c r="G1884" t="s">
        <v>103</v>
      </c>
      <c r="H1884" t="s">
        <v>103</v>
      </c>
      <c r="I1884" t="s">
        <v>243</v>
      </c>
      <c r="J1884">
        <v>1</v>
      </c>
      <c r="K1884">
        <v>7</v>
      </c>
      <c r="L1884">
        <v>65.09375</v>
      </c>
      <c r="M1884">
        <v>37.895352600000002</v>
      </c>
      <c r="N1884">
        <v>2.2882677779999998</v>
      </c>
      <c r="O1884">
        <v>2.2111774</v>
      </c>
      <c r="P1884">
        <v>98.291666669999998</v>
      </c>
      <c r="Q1884">
        <v>30.315130790000001</v>
      </c>
      <c r="R1884">
        <v>5.0803484000000003E-2</v>
      </c>
      <c r="S1884">
        <v>0.42866070000000001</v>
      </c>
      <c r="T1884" t="s">
        <v>1016</v>
      </c>
      <c r="U1884">
        <v>7.5802218100000003</v>
      </c>
    </row>
    <row r="1885" spans="1:21" x14ac:dyDescent="0.25">
      <c r="A1885" t="s">
        <v>40</v>
      </c>
      <c r="B1885" t="s">
        <v>952</v>
      </c>
      <c r="C1885">
        <v>2</v>
      </c>
      <c r="D1885" t="s">
        <v>17</v>
      </c>
      <c r="E1885" t="s">
        <v>95</v>
      </c>
      <c r="F1885" t="s">
        <v>112</v>
      </c>
      <c r="G1885" t="s">
        <v>103</v>
      </c>
      <c r="H1885" t="s">
        <v>113</v>
      </c>
      <c r="J1885">
        <v>1</v>
      </c>
      <c r="K1885">
        <v>5</v>
      </c>
      <c r="L1885">
        <v>65.09375</v>
      </c>
      <c r="M1885">
        <v>37.895352600000002</v>
      </c>
      <c r="N1885">
        <v>2.2882677779999998</v>
      </c>
      <c r="O1885">
        <v>2.2111774</v>
      </c>
      <c r="P1885">
        <v>83.757575759999995</v>
      </c>
      <c r="Q1885">
        <v>22.60997987</v>
      </c>
      <c r="R1885">
        <v>0.72884000000000004</v>
      </c>
      <c r="S1885">
        <v>0.21301339999999999</v>
      </c>
      <c r="T1885" t="s">
        <v>1016</v>
      </c>
      <c r="U1885">
        <v>15.285372730000001</v>
      </c>
    </row>
    <row r="1886" spans="1:21" x14ac:dyDescent="0.25">
      <c r="A1886" t="s">
        <v>40</v>
      </c>
      <c r="B1886" t="s">
        <v>952</v>
      </c>
      <c r="C1886">
        <v>2</v>
      </c>
      <c r="D1886" t="s">
        <v>17</v>
      </c>
      <c r="E1886" t="s">
        <v>95</v>
      </c>
      <c r="F1886" t="s">
        <v>112</v>
      </c>
      <c r="G1886" t="s">
        <v>103</v>
      </c>
      <c r="H1886" t="s">
        <v>113</v>
      </c>
      <c r="J1886">
        <v>1</v>
      </c>
      <c r="K1886">
        <v>5</v>
      </c>
      <c r="L1886">
        <v>65.09375</v>
      </c>
      <c r="M1886">
        <v>37.895352600000002</v>
      </c>
      <c r="N1886">
        <v>2.2882677779999998</v>
      </c>
      <c r="O1886">
        <v>2.2111774</v>
      </c>
      <c r="P1886">
        <v>83.757575759999995</v>
      </c>
      <c r="Q1886">
        <v>22.60997987</v>
      </c>
      <c r="R1886">
        <v>0.72884000000000004</v>
      </c>
      <c r="S1886">
        <v>0.21301339999999999</v>
      </c>
      <c r="T1886" t="s">
        <v>1016</v>
      </c>
      <c r="U1886">
        <v>15.285372730000001</v>
      </c>
    </row>
    <row r="1887" spans="1:21" x14ac:dyDescent="0.25">
      <c r="A1887" t="s">
        <v>40</v>
      </c>
      <c r="B1887" t="s">
        <v>952</v>
      </c>
      <c r="C1887">
        <v>2</v>
      </c>
      <c r="D1887" t="s">
        <v>17</v>
      </c>
      <c r="E1887" t="s">
        <v>95</v>
      </c>
      <c r="F1887" t="s">
        <v>112</v>
      </c>
      <c r="G1887" t="s">
        <v>103</v>
      </c>
      <c r="H1887" t="s">
        <v>113</v>
      </c>
      <c r="J1887">
        <v>1</v>
      </c>
      <c r="K1887">
        <v>5</v>
      </c>
      <c r="L1887">
        <v>65.09375</v>
      </c>
      <c r="M1887">
        <v>37.895352600000002</v>
      </c>
      <c r="N1887">
        <v>2.2882677779999998</v>
      </c>
      <c r="O1887">
        <v>2.2111774</v>
      </c>
      <c r="P1887">
        <v>83.757575759999995</v>
      </c>
      <c r="Q1887">
        <v>22.60997987</v>
      </c>
      <c r="R1887">
        <v>0.72884000000000004</v>
      </c>
      <c r="S1887">
        <v>0.21301339999999999</v>
      </c>
      <c r="T1887" t="s">
        <v>1016</v>
      </c>
      <c r="U1887">
        <v>15.285372730000001</v>
      </c>
    </row>
    <row r="1888" spans="1:21" x14ac:dyDescent="0.25">
      <c r="A1888" t="s">
        <v>40</v>
      </c>
      <c r="B1888" t="s">
        <v>952</v>
      </c>
      <c r="C1888">
        <v>2</v>
      </c>
      <c r="D1888" t="s">
        <v>17</v>
      </c>
      <c r="E1888" t="s">
        <v>95</v>
      </c>
      <c r="F1888" t="s">
        <v>112</v>
      </c>
      <c r="G1888" t="s">
        <v>103</v>
      </c>
      <c r="H1888" t="s">
        <v>113</v>
      </c>
      <c r="J1888">
        <v>1</v>
      </c>
      <c r="K1888">
        <v>5</v>
      </c>
      <c r="L1888">
        <v>65.09375</v>
      </c>
      <c r="M1888">
        <v>37.895352600000002</v>
      </c>
      <c r="N1888">
        <v>2.2882677779999998</v>
      </c>
      <c r="O1888">
        <v>2.2111774</v>
      </c>
      <c r="P1888">
        <v>83.757575759999995</v>
      </c>
      <c r="Q1888">
        <v>22.60997987</v>
      </c>
      <c r="R1888">
        <v>0.72884000000000004</v>
      </c>
      <c r="S1888">
        <v>0.21301339999999999</v>
      </c>
      <c r="T1888" t="s">
        <v>1016</v>
      </c>
      <c r="U1888">
        <v>15.285372730000001</v>
      </c>
    </row>
    <row r="1889" spans="1:21" x14ac:dyDescent="0.25">
      <c r="A1889" t="s">
        <v>40</v>
      </c>
      <c r="B1889" t="s">
        <v>952</v>
      </c>
      <c r="C1889">
        <v>2</v>
      </c>
      <c r="D1889" t="s">
        <v>17</v>
      </c>
      <c r="E1889" t="s">
        <v>95</v>
      </c>
      <c r="F1889" t="s">
        <v>112</v>
      </c>
      <c r="G1889" t="s">
        <v>103</v>
      </c>
      <c r="H1889" t="s">
        <v>113</v>
      </c>
      <c r="J1889">
        <v>1</v>
      </c>
      <c r="K1889">
        <v>5</v>
      </c>
      <c r="L1889">
        <v>65.09375</v>
      </c>
      <c r="M1889">
        <v>37.895352600000002</v>
      </c>
      <c r="N1889">
        <v>2.2882677779999998</v>
      </c>
      <c r="O1889">
        <v>2.2111774</v>
      </c>
      <c r="P1889">
        <v>83.757575759999995</v>
      </c>
      <c r="Q1889">
        <v>22.60997987</v>
      </c>
      <c r="R1889">
        <v>0.72884000000000004</v>
      </c>
      <c r="S1889">
        <v>0.21301339999999999</v>
      </c>
      <c r="T1889" t="s">
        <v>1016</v>
      </c>
      <c r="U1889">
        <v>15.285372730000001</v>
      </c>
    </row>
    <row r="1890" spans="1:21" x14ac:dyDescent="0.25">
      <c r="A1890" t="s">
        <v>41</v>
      </c>
      <c r="B1890" t="s">
        <v>953</v>
      </c>
      <c r="C1890">
        <v>2</v>
      </c>
      <c r="D1890" t="s">
        <v>19</v>
      </c>
      <c r="E1890" t="s">
        <v>94</v>
      </c>
      <c r="F1890" t="s">
        <v>105</v>
      </c>
      <c r="G1890" t="s">
        <v>104</v>
      </c>
      <c r="H1890" t="s">
        <v>104</v>
      </c>
      <c r="J1890">
        <v>0</v>
      </c>
      <c r="K1890">
        <v>3</v>
      </c>
      <c r="L1890">
        <v>67.5</v>
      </c>
      <c r="M1890">
        <v>47.937235809999997</v>
      </c>
      <c r="N1890">
        <v>0.41599678000000001</v>
      </c>
      <c r="O1890">
        <v>2.0950346999999998</v>
      </c>
      <c r="P1890">
        <v>113.9375</v>
      </c>
      <c r="Q1890">
        <v>33.375507550000002</v>
      </c>
      <c r="R1890">
        <v>2.4262999999999999</v>
      </c>
      <c r="S1890">
        <v>0.40692159999999999</v>
      </c>
      <c r="T1890" t="s">
        <v>1016</v>
      </c>
      <c r="U1890">
        <v>14.561728260000001</v>
      </c>
    </row>
    <row r="1891" spans="1:21" x14ac:dyDescent="0.25">
      <c r="A1891" t="s">
        <v>41</v>
      </c>
      <c r="B1891" t="s">
        <v>953</v>
      </c>
      <c r="C1891">
        <v>2</v>
      </c>
      <c r="D1891" t="s">
        <v>19</v>
      </c>
      <c r="E1891" t="s">
        <v>94</v>
      </c>
      <c r="F1891" t="s">
        <v>105</v>
      </c>
      <c r="G1891" t="s">
        <v>104</v>
      </c>
      <c r="H1891" t="s">
        <v>104</v>
      </c>
      <c r="J1891">
        <v>0</v>
      </c>
      <c r="K1891">
        <v>3</v>
      </c>
      <c r="L1891">
        <v>67.5</v>
      </c>
      <c r="M1891">
        <v>47.937235809999997</v>
      </c>
      <c r="N1891">
        <v>0.41599678000000001</v>
      </c>
      <c r="O1891">
        <v>2.0950346999999998</v>
      </c>
      <c r="P1891">
        <v>113.9375</v>
      </c>
      <c r="Q1891">
        <v>33.375507550000002</v>
      </c>
      <c r="R1891">
        <v>2.4262999999999999</v>
      </c>
      <c r="S1891">
        <v>0.40692159999999999</v>
      </c>
      <c r="T1891" t="s">
        <v>1016</v>
      </c>
      <c r="U1891">
        <v>14.561728260000001</v>
      </c>
    </row>
    <row r="1892" spans="1:21" x14ac:dyDescent="0.25">
      <c r="A1892" t="s">
        <v>41</v>
      </c>
      <c r="B1892" t="s">
        <v>953</v>
      </c>
      <c r="C1892">
        <v>2</v>
      </c>
      <c r="D1892" t="s">
        <v>19</v>
      </c>
      <c r="E1892" t="s">
        <v>94</v>
      </c>
      <c r="F1892" t="s">
        <v>105</v>
      </c>
      <c r="G1892" t="s">
        <v>104</v>
      </c>
      <c r="H1892" t="s">
        <v>104</v>
      </c>
      <c r="J1892">
        <v>0</v>
      </c>
      <c r="K1892">
        <v>3</v>
      </c>
      <c r="L1892">
        <v>67.5</v>
      </c>
      <c r="M1892">
        <v>47.937235809999997</v>
      </c>
      <c r="N1892">
        <v>0.41599678000000001</v>
      </c>
      <c r="O1892">
        <v>2.0950346999999998</v>
      </c>
      <c r="P1892">
        <v>113.9375</v>
      </c>
      <c r="Q1892">
        <v>33.375507550000002</v>
      </c>
      <c r="R1892">
        <v>2.4262999999999999</v>
      </c>
      <c r="S1892">
        <v>0.40692159999999999</v>
      </c>
      <c r="T1892" t="s">
        <v>1016</v>
      </c>
      <c r="U1892">
        <v>14.561728260000001</v>
      </c>
    </row>
    <row r="1893" spans="1:21" x14ac:dyDescent="0.25">
      <c r="A1893" t="s">
        <v>41</v>
      </c>
      <c r="B1893" t="s">
        <v>953</v>
      </c>
      <c r="C1893">
        <v>2</v>
      </c>
      <c r="D1893" t="s">
        <v>19</v>
      </c>
      <c r="E1893" t="s">
        <v>94</v>
      </c>
      <c r="F1893" t="s">
        <v>105</v>
      </c>
      <c r="G1893" t="s">
        <v>104</v>
      </c>
      <c r="H1893" t="s">
        <v>113</v>
      </c>
      <c r="J1893">
        <v>0</v>
      </c>
      <c r="K1893">
        <v>1</v>
      </c>
      <c r="L1893">
        <v>67.5</v>
      </c>
      <c r="M1893">
        <v>47.937235809999997</v>
      </c>
      <c r="N1893">
        <v>0.41599678000000001</v>
      </c>
      <c r="O1893">
        <v>2.0950346999999998</v>
      </c>
      <c r="P1893">
        <v>83.757575759999995</v>
      </c>
      <c r="Q1893">
        <v>22.60997987</v>
      </c>
      <c r="R1893">
        <v>0.72884000000000004</v>
      </c>
      <c r="S1893">
        <v>0.21301339999999999</v>
      </c>
      <c r="T1893" t="s">
        <v>1016</v>
      </c>
      <c r="U1893">
        <v>25.327255940000001</v>
      </c>
    </row>
    <row r="1894" spans="1:21" x14ac:dyDescent="0.25">
      <c r="A1894" t="s">
        <v>41</v>
      </c>
      <c r="B1894" t="s">
        <v>953</v>
      </c>
      <c r="C1894">
        <v>2</v>
      </c>
      <c r="D1894" t="s">
        <v>19</v>
      </c>
      <c r="E1894" t="s">
        <v>94</v>
      </c>
      <c r="F1894" t="s">
        <v>105</v>
      </c>
      <c r="G1894" t="s">
        <v>104</v>
      </c>
      <c r="H1894" t="s">
        <v>237</v>
      </c>
      <c r="J1894">
        <v>0</v>
      </c>
      <c r="K1894">
        <v>1</v>
      </c>
      <c r="L1894">
        <v>67.5</v>
      </c>
      <c r="M1894">
        <v>47.937235809999997</v>
      </c>
      <c r="N1894">
        <v>0.41599678000000001</v>
      </c>
      <c r="O1894">
        <v>2.0950346999999998</v>
      </c>
      <c r="P1894">
        <v>83.888888890000004</v>
      </c>
      <c r="Q1894">
        <v>31.026943280000001</v>
      </c>
      <c r="R1894">
        <v>0.53083999999999998</v>
      </c>
      <c r="S1894">
        <v>0.24845418999999999</v>
      </c>
      <c r="T1894" t="s">
        <v>1016</v>
      </c>
      <c r="U1894">
        <v>16.91029253</v>
      </c>
    </row>
    <row r="1895" spans="1:21" x14ac:dyDescent="0.25">
      <c r="A1895" t="s">
        <v>41</v>
      </c>
      <c r="B1895" t="s">
        <v>953</v>
      </c>
      <c r="C1895">
        <v>2</v>
      </c>
      <c r="D1895" t="s">
        <v>19</v>
      </c>
      <c r="E1895" t="s">
        <v>94</v>
      </c>
      <c r="F1895" t="s">
        <v>105</v>
      </c>
      <c r="G1895" t="s">
        <v>104</v>
      </c>
      <c r="H1895" t="s">
        <v>239</v>
      </c>
      <c r="J1895">
        <v>0</v>
      </c>
      <c r="K1895">
        <v>1</v>
      </c>
      <c r="L1895">
        <v>67.5</v>
      </c>
      <c r="M1895">
        <v>47.937235809999997</v>
      </c>
      <c r="N1895">
        <v>0.41599678000000001</v>
      </c>
      <c r="O1895">
        <v>2.0950346999999998</v>
      </c>
      <c r="P1895">
        <v>100.45454549999999</v>
      </c>
      <c r="Q1895">
        <v>26.754810689999999</v>
      </c>
      <c r="R1895">
        <v>0.75829999999999997</v>
      </c>
      <c r="S1895">
        <v>0.40907861000000001</v>
      </c>
      <c r="T1895" t="s">
        <v>1016</v>
      </c>
      <c r="U1895">
        <v>21.182425120000001</v>
      </c>
    </row>
    <row r="1896" spans="1:21" x14ac:dyDescent="0.25">
      <c r="A1896" t="s">
        <v>41</v>
      </c>
      <c r="B1896" t="s">
        <v>954</v>
      </c>
      <c r="C1896">
        <v>2</v>
      </c>
      <c r="D1896" t="s">
        <v>19</v>
      </c>
      <c r="E1896" t="s">
        <v>94</v>
      </c>
      <c r="F1896" t="s">
        <v>113</v>
      </c>
      <c r="G1896" t="s">
        <v>104</v>
      </c>
      <c r="H1896" t="s">
        <v>237</v>
      </c>
      <c r="J1896">
        <v>0</v>
      </c>
      <c r="K1896">
        <v>1</v>
      </c>
      <c r="L1896">
        <v>83.757575759999995</v>
      </c>
      <c r="M1896">
        <v>22.60997987</v>
      </c>
      <c r="N1896">
        <v>0.72884000000000004</v>
      </c>
      <c r="O1896">
        <v>0.21301339999999999</v>
      </c>
      <c r="P1896">
        <v>83.888888890000004</v>
      </c>
      <c r="Q1896">
        <v>31.026943280000001</v>
      </c>
      <c r="R1896">
        <v>0.53083999999999998</v>
      </c>
      <c r="S1896">
        <v>0.24845418999999999</v>
      </c>
      <c r="T1896" t="s">
        <v>1016</v>
      </c>
      <c r="U1896">
        <v>-8.4169634099999993</v>
      </c>
    </row>
    <row r="1897" spans="1:21" x14ac:dyDescent="0.25">
      <c r="A1897" t="s">
        <v>41</v>
      </c>
      <c r="B1897" t="s">
        <v>954</v>
      </c>
      <c r="C1897">
        <v>2</v>
      </c>
      <c r="D1897" t="s">
        <v>19</v>
      </c>
      <c r="E1897" t="s">
        <v>94</v>
      </c>
      <c r="F1897" t="s">
        <v>113</v>
      </c>
      <c r="G1897" t="s">
        <v>104</v>
      </c>
      <c r="H1897" t="s">
        <v>113</v>
      </c>
      <c r="J1897">
        <v>0</v>
      </c>
      <c r="K1897">
        <v>7</v>
      </c>
      <c r="L1897">
        <v>83.757575759999995</v>
      </c>
      <c r="M1897">
        <v>22.60997987</v>
      </c>
      <c r="N1897">
        <v>0.72884000000000004</v>
      </c>
      <c r="O1897">
        <v>0.21301339999999999</v>
      </c>
      <c r="P1897">
        <v>83.757575759999995</v>
      </c>
      <c r="Q1897">
        <v>22.60997987</v>
      </c>
      <c r="R1897">
        <v>0.72884000000000004</v>
      </c>
      <c r="S1897">
        <v>0.21301339999999999</v>
      </c>
      <c r="T1897" t="s">
        <v>1016</v>
      </c>
      <c r="U1897">
        <v>0</v>
      </c>
    </row>
    <row r="1898" spans="1:21" x14ac:dyDescent="0.25">
      <c r="A1898" t="s">
        <v>41</v>
      </c>
      <c r="B1898" t="s">
        <v>954</v>
      </c>
      <c r="C1898">
        <v>2</v>
      </c>
      <c r="D1898" t="s">
        <v>19</v>
      </c>
      <c r="E1898" t="s">
        <v>94</v>
      </c>
      <c r="F1898" t="s">
        <v>113</v>
      </c>
      <c r="G1898" t="s">
        <v>104</v>
      </c>
      <c r="H1898" t="s">
        <v>113</v>
      </c>
      <c r="J1898">
        <v>0</v>
      </c>
      <c r="K1898">
        <v>7</v>
      </c>
      <c r="L1898">
        <v>83.757575759999995</v>
      </c>
      <c r="M1898">
        <v>22.60997987</v>
      </c>
      <c r="N1898">
        <v>0.72884000000000004</v>
      </c>
      <c r="O1898">
        <v>0.21301339999999999</v>
      </c>
      <c r="P1898">
        <v>83.757575759999995</v>
      </c>
      <c r="Q1898">
        <v>22.60997987</v>
      </c>
      <c r="R1898">
        <v>0.72884000000000004</v>
      </c>
      <c r="S1898">
        <v>0.21301339999999999</v>
      </c>
      <c r="T1898" t="s">
        <v>1016</v>
      </c>
      <c r="U1898">
        <v>0</v>
      </c>
    </row>
    <row r="1899" spans="1:21" x14ac:dyDescent="0.25">
      <c r="A1899" t="s">
        <v>41</v>
      </c>
      <c r="B1899" t="s">
        <v>954</v>
      </c>
      <c r="C1899">
        <v>2</v>
      </c>
      <c r="D1899" t="s">
        <v>19</v>
      </c>
      <c r="E1899" t="s">
        <v>94</v>
      </c>
      <c r="F1899" t="s">
        <v>113</v>
      </c>
      <c r="G1899" t="s">
        <v>104</v>
      </c>
      <c r="H1899" t="s">
        <v>113</v>
      </c>
      <c r="J1899">
        <v>0</v>
      </c>
      <c r="K1899">
        <v>7</v>
      </c>
      <c r="L1899">
        <v>83.757575759999995</v>
      </c>
      <c r="M1899">
        <v>22.60997987</v>
      </c>
      <c r="N1899">
        <v>0.72884000000000004</v>
      </c>
      <c r="O1899">
        <v>0.21301339999999999</v>
      </c>
      <c r="P1899">
        <v>83.757575759999995</v>
      </c>
      <c r="Q1899">
        <v>22.60997987</v>
      </c>
      <c r="R1899">
        <v>0.72884000000000004</v>
      </c>
      <c r="S1899">
        <v>0.21301339999999999</v>
      </c>
      <c r="T1899" t="s">
        <v>1016</v>
      </c>
      <c r="U1899">
        <v>0</v>
      </c>
    </row>
    <row r="1900" spans="1:21" x14ac:dyDescent="0.25">
      <c r="A1900" t="s">
        <v>41</v>
      </c>
      <c r="B1900" t="s">
        <v>954</v>
      </c>
      <c r="C1900">
        <v>2</v>
      </c>
      <c r="D1900" t="s">
        <v>19</v>
      </c>
      <c r="E1900" t="s">
        <v>94</v>
      </c>
      <c r="F1900" t="s">
        <v>113</v>
      </c>
      <c r="G1900" t="s">
        <v>104</v>
      </c>
      <c r="H1900" t="s">
        <v>113</v>
      </c>
      <c r="J1900">
        <v>0</v>
      </c>
      <c r="K1900">
        <v>7</v>
      </c>
      <c r="L1900">
        <v>83.757575759999995</v>
      </c>
      <c r="M1900">
        <v>22.60997987</v>
      </c>
      <c r="N1900">
        <v>0.72884000000000004</v>
      </c>
      <c r="O1900">
        <v>0.21301339999999999</v>
      </c>
      <c r="P1900">
        <v>83.757575759999995</v>
      </c>
      <c r="Q1900">
        <v>22.60997987</v>
      </c>
      <c r="R1900">
        <v>0.72884000000000004</v>
      </c>
      <c r="S1900">
        <v>0.21301339999999999</v>
      </c>
      <c r="T1900" t="s">
        <v>1016</v>
      </c>
      <c r="U1900">
        <v>0</v>
      </c>
    </row>
    <row r="1901" spans="1:21" x14ac:dyDescent="0.25">
      <c r="A1901" t="s">
        <v>41</v>
      </c>
      <c r="B1901" t="s">
        <v>954</v>
      </c>
      <c r="C1901">
        <v>2</v>
      </c>
      <c r="D1901" t="s">
        <v>19</v>
      </c>
      <c r="E1901" t="s">
        <v>94</v>
      </c>
      <c r="F1901" t="s">
        <v>113</v>
      </c>
      <c r="G1901" t="s">
        <v>104</v>
      </c>
      <c r="H1901" t="s">
        <v>113</v>
      </c>
      <c r="J1901">
        <v>0</v>
      </c>
      <c r="K1901">
        <v>7</v>
      </c>
      <c r="L1901">
        <v>83.757575759999995</v>
      </c>
      <c r="M1901">
        <v>22.60997987</v>
      </c>
      <c r="N1901">
        <v>0.72884000000000004</v>
      </c>
      <c r="O1901">
        <v>0.21301339999999999</v>
      </c>
      <c r="P1901">
        <v>83.757575759999995</v>
      </c>
      <c r="Q1901">
        <v>22.60997987</v>
      </c>
      <c r="R1901">
        <v>0.72884000000000004</v>
      </c>
      <c r="S1901">
        <v>0.21301339999999999</v>
      </c>
      <c r="T1901" t="s">
        <v>1016</v>
      </c>
      <c r="U1901">
        <v>0</v>
      </c>
    </row>
    <row r="1902" spans="1:21" x14ac:dyDescent="0.25">
      <c r="A1902" t="s">
        <v>41</v>
      </c>
      <c r="B1902" t="s">
        <v>954</v>
      </c>
      <c r="C1902">
        <v>2</v>
      </c>
      <c r="D1902" t="s">
        <v>19</v>
      </c>
      <c r="E1902" t="s">
        <v>94</v>
      </c>
      <c r="F1902" t="s">
        <v>113</v>
      </c>
      <c r="G1902" t="s">
        <v>104</v>
      </c>
      <c r="H1902" t="s">
        <v>113</v>
      </c>
      <c r="J1902">
        <v>0</v>
      </c>
      <c r="K1902">
        <v>7</v>
      </c>
      <c r="L1902">
        <v>83.757575759999995</v>
      </c>
      <c r="M1902">
        <v>22.60997987</v>
      </c>
      <c r="N1902">
        <v>0.72884000000000004</v>
      </c>
      <c r="O1902">
        <v>0.21301339999999999</v>
      </c>
      <c r="P1902">
        <v>83.757575759999995</v>
      </c>
      <c r="Q1902">
        <v>22.60997987</v>
      </c>
      <c r="R1902">
        <v>0.72884000000000004</v>
      </c>
      <c r="S1902">
        <v>0.21301339999999999</v>
      </c>
      <c r="T1902" t="s">
        <v>1016</v>
      </c>
      <c r="U1902">
        <v>0</v>
      </c>
    </row>
    <row r="1903" spans="1:21" x14ac:dyDescent="0.25">
      <c r="A1903" t="s">
        <v>41</v>
      </c>
      <c r="B1903" t="s">
        <v>954</v>
      </c>
      <c r="C1903">
        <v>2</v>
      </c>
      <c r="D1903" t="s">
        <v>19</v>
      </c>
      <c r="E1903" t="s">
        <v>94</v>
      </c>
      <c r="F1903" t="s">
        <v>113</v>
      </c>
      <c r="G1903" t="s">
        <v>104</v>
      </c>
      <c r="H1903" t="s">
        <v>113</v>
      </c>
      <c r="J1903">
        <v>0</v>
      </c>
      <c r="K1903">
        <v>7</v>
      </c>
      <c r="L1903">
        <v>83.757575759999995</v>
      </c>
      <c r="M1903">
        <v>22.60997987</v>
      </c>
      <c r="N1903">
        <v>0.72884000000000004</v>
      </c>
      <c r="O1903">
        <v>0.21301339999999999</v>
      </c>
      <c r="P1903">
        <v>83.757575759999995</v>
      </c>
      <c r="Q1903">
        <v>22.60997987</v>
      </c>
      <c r="R1903">
        <v>0.72884000000000004</v>
      </c>
      <c r="S1903">
        <v>0.21301339999999999</v>
      </c>
      <c r="T1903" t="s">
        <v>1016</v>
      </c>
      <c r="U1903">
        <v>0</v>
      </c>
    </row>
    <row r="1904" spans="1:21" x14ac:dyDescent="0.25">
      <c r="A1904" t="s">
        <v>41</v>
      </c>
      <c r="B1904" t="s">
        <v>954</v>
      </c>
      <c r="C1904">
        <v>2</v>
      </c>
      <c r="D1904" t="s">
        <v>19</v>
      </c>
      <c r="E1904" t="s">
        <v>94</v>
      </c>
      <c r="F1904" t="s">
        <v>113</v>
      </c>
      <c r="G1904" t="s">
        <v>104</v>
      </c>
      <c r="H1904" t="s">
        <v>104</v>
      </c>
      <c r="J1904">
        <v>0</v>
      </c>
      <c r="K1904">
        <v>1</v>
      </c>
      <c r="L1904">
        <v>83.757575759999995</v>
      </c>
      <c r="M1904">
        <v>22.60997987</v>
      </c>
      <c r="N1904">
        <v>0.72884000000000004</v>
      </c>
      <c r="O1904">
        <v>0.21301339999999999</v>
      </c>
      <c r="P1904">
        <v>113.9375</v>
      </c>
      <c r="Q1904">
        <v>33.375507550000002</v>
      </c>
      <c r="R1904">
        <v>2.4262999999999999</v>
      </c>
      <c r="S1904">
        <v>0.40692159999999999</v>
      </c>
      <c r="T1904" t="s">
        <v>1016</v>
      </c>
      <c r="U1904">
        <v>-10.76552768</v>
      </c>
    </row>
    <row r="1905" spans="1:21" x14ac:dyDescent="0.25">
      <c r="A1905" t="s">
        <v>41</v>
      </c>
      <c r="B1905" t="s">
        <v>954</v>
      </c>
      <c r="C1905">
        <v>2</v>
      </c>
      <c r="D1905" t="s">
        <v>19</v>
      </c>
      <c r="E1905" t="s">
        <v>94</v>
      </c>
      <c r="F1905" t="s">
        <v>113</v>
      </c>
      <c r="G1905" t="s">
        <v>104</v>
      </c>
      <c r="H1905" t="s">
        <v>238</v>
      </c>
      <c r="J1905">
        <v>0</v>
      </c>
      <c r="K1905">
        <v>1</v>
      </c>
      <c r="L1905">
        <v>83.757575759999995</v>
      </c>
      <c r="M1905">
        <v>22.60997987</v>
      </c>
      <c r="N1905">
        <v>0.72884000000000004</v>
      </c>
      <c r="O1905">
        <v>0.21301339999999999</v>
      </c>
      <c r="P1905">
        <v>87.5</v>
      </c>
      <c r="Q1905">
        <v>29.478311600000001</v>
      </c>
      <c r="R1905">
        <v>3.0797751000000002E-2</v>
      </c>
      <c r="S1905">
        <v>0.12931835</v>
      </c>
      <c r="T1905" t="s">
        <v>1016</v>
      </c>
      <c r="U1905">
        <v>-6.8683317300000004</v>
      </c>
    </row>
    <row r="1906" spans="1:21" x14ac:dyDescent="0.25">
      <c r="A1906" t="s">
        <v>41</v>
      </c>
      <c r="B1906" t="s">
        <v>955</v>
      </c>
      <c r="C1906">
        <v>2</v>
      </c>
      <c r="D1906" t="s">
        <v>19</v>
      </c>
      <c r="E1906" t="s">
        <v>94</v>
      </c>
      <c r="F1906" t="s">
        <v>103</v>
      </c>
      <c r="G1906" t="s">
        <v>113</v>
      </c>
      <c r="H1906" t="s">
        <v>103</v>
      </c>
      <c r="J1906">
        <v>0</v>
      </c>
      <c r="K1906">
        <v>2</v>
      </c>
      <c r="L1906">
        <v>98.291666669999998</v>
      </c>
      <c r="M1906">
        <v>30.315130790000001</v>
      </c>
      <c r="N1906">
        <v>5.0803484000000003E-2</v>
      </c>
      <c r="O1906">
        <v>0.42866070000000001</v>
      </c>
      <c r="P1906">
        <v>98.291666669999998</v>
      </c>
      <c r="Q1906">
        <v>30.315130790000001</v>
      </c>
      <c r="R1906">
        <v>5.0803484000000003E-2</v>
      </c>
      <c r="S1906">
        <v>0.42866070000000001</v>
      </c>
      <c r="T1906" t="s">
        <v>1016</v>
      </c>
      <c r="U1906">
        <v>0</v>
      </c>
    </row>
    <row r="1907" spans="1:21" x14ac:dyDescent="0.25">
      <c r="A1907" t="s">
        <v>41</v>
      </c>
      <c r="B1907" t="s">
        <v>955</v>
      </c>
      <c r="C1907">
        <v>2</v>
      </c>
      <c r="D1907" t="s">
        <v>19</v>
      </c>
      <c r="E1907" t="s">
        <v>94</v>
      </c>
      <c r="F1907" t="s">
        <v>103</v>
      </c>
      <c r="G1907" t="s">
        <v>113</v>
      </c>
      <c r="H1907" t="s">
        <v>103</v>
      </c>
      <c r="J1907">
        <v>0</v>
      </c>
      <c r="K1907">
        <v>2</v>
      </c>
      <c r="L1907">
        <v>98.291666669999998</v>
      </c>
      <c r="M1907">
        <v>30.315130790000001</v>
      </c>
      <c r="N1907">
        <v>5.0803484000000003E-2</v>
      </c>
      <c r="O1907">
        <v>0.42866070000000001</v>
      </c>
      <c r="P1907">
        <v>98.291666669999998</v>
      </c>
      <c r="Q1907">
        <v>30.315130790000001</v>
      </c>
      <c r="R1907">
        <v>5.0803484000000003E-2</v>
      </c>
      <c r="S1907">
        <v>0.42866070000000001</v>
      </c>
      <c r="T1907" t="s">
        <v>1016</v>
      </c>
      <c r="U1907">
        <v>0</v>
      </c>
    </row>
    <row r="1908" spans="1:21" x14ac:dyDescent="0.25">
      <c r="A1908" t="s">
        <v>41</v>
      </c>
      <c r="B1908" t="s">
        <v>955</v>
      </c>
      <c r="C1908">
        <v>2</v>
      </c>
      <c r="D1908" t="s">
        <v>19</v>
      </c>
      <c r="E1908" t="s">
        <v>94</v>
      </c>
      <c r="F1908" t="s">
        <v>103</v>
      </c>
      <c r="G1908" t="s">
        <v>113</v>
      </c>
      <c r="H1908" t="s">
        <v>113</v>
      </c>
      <c r="J1908">
        <v>0</v>
      </c>
      <c r="K1908">
        <v>3</v>
      </c>
      <c r="L1908">
        <v>98.291666669999998</v>
      </c>
      <c r="M1908">
        <v>30.315130790000001</v>
      </c>
      <c r="N1908">
        <v>5.0803484000000003E-2</v>
      </c>
      <c r="O1908">
        <v>0.42866070000000001</v>
      </c>
      <c r="P1908">
        <v>83.757575759999995</v>
      </c>
      <c r="Q1908">
        <v>22.60997987</v>
      </c>
      <c r="R1908">
        <v>0.72884000000000004</v>
      </c>
      <c r="S1908">
        <v>0.21301339999999999</v>
      </c>
      <c r="T1908" t="s">
        <v>1016</v>
      </c>
      <c r="U1908">
        <v>7.7051509200000003</v>
      </c>
    </row>
    <row r="1909" spans="1:21" x14ac:dyDescent="0.25">
      <c r="A1909" t="s">
        <v>41</v>
      </c>
      <c r="B1909" t="s">
        <v>955</v>
      </c>
      <c r="C1909">
        <v>2</v>
      </c>
      <c r="D1909" t="s">
        <v>19</v>
      </c>
      <c r="E1909" t="s">
        <v>94</v>
      </c>
      <c r="F1909" t="s">
        <v>103</v>
      </c>
      <c r="G1909" t="s">
        <v>113</v>
      </c>
      <c r="H1909" t="s">
        <v>113</v>
      </c>
      <c r="J1909">
        <v>0</v>
      </c>
      <c r="K1909">
        <v>3</v>
      </c>
      <c r="L1909">
        <v>98.291666669999998</v>
      </c>
      <c r="M1909">
        <v>30.315130790000001</v>
      </c>
      <c r="N1909">
        <v>5.0803484000000003E-2</v>
      </c>
      <c r="O1909">
        <v>0.42866070000000001</v>
      </c>
      <c r="P1909">
        <v>83.757575759999995</v>
      </c>
      <c r="Q1909">
        <v>22.60997987</v>
      </c>
      <c r="R1909">
        <v>0.72884000000000004</v>
      </c>
      <c r="S1909">
        <v>0.21301339999999999</v>
      </c>
      <c r="T1909" t="s">
        <v>1016</v>
      </c>
      <c r="U1909">
        <v>7.7051509200000003</v>
      </c>
    </row>
    <row r="1910" spans="1:21" x14ac:dyDescent="0.25">
      <c r="A1910" t="s">
        <v>41</v>
      </c>
      <c r="B1910" t="s">
        <v>955</v>
      </c>
      <c r="C1910">
        <v>2</v>
      </c>
      <c r="D1910" t="s">
        <v>19</v>
      </c>
      <c r="E1910" t="s">
        <v>94</v>
      </c>
      <c r="F1910" t="s">
        <v>103</v>
      </c>
      <c r="G1910" t="s">
        <v>113</v>
      </c>
      <c r="H1910" t="s">
        <v>113</v>
      </c>
      <c r="J1910">
        <v>0</v>
      </c>
      <c r="K1910">
        <v>3</v>
      </c>
      <c r="L1910">
        <v>98.291666669999998</v>
      </c>
      <c r="M1910">
        <v>30.315130790000001</v>
      </c>
      <c r="N1910">
        <v>5.0803484000000003E-2</v>
      </c>
      <c r="O1910">
        <v>0.42866070000000001</v>
      </c>
      <c r="P1910">
        <v>83.757575759999995</v>
      </c>
      <c r="Q1910">
        <v>22.60997987</v>
      </c>
      <c r="R1910">
        <v>0.72884000000000004</v>
      </c>
      <c r="S1910">
        <v>0.21301339999999999</v>
      </c>
      <c r="T1910" t="s">
        <v>1016</v>
      </c>
      <c r="U1910">
        <v>7.7051509200000003</v>
      </c>
    </row>
    <row r="1911" spans="1:21" x14ac:dyDescent="0.25">
      <c r="A1911" t="s">
        <v>42</v>
      </c>
      <c r="B1911" t="s">
        <v>956</v>
      </c>
      <c r="C1911">
        <v>2</v>
      </c>
      <c r="D1911" t="s">
        <v>21</v>
      </c>
      <c r="E1911" t="s">
        <v>94</v>
      </c>
      <c r="F1911" t="s">
        <v>105</v>
      </c>
      <c r="G1911" t="s">
        <v>121</v>
      </c>
      <c r="H1911" t="s">
        <v>242</v>
      </c>
      <c r="J1911">
        <v>0</v>
      </c>
      <c r="K1911">
        <v>6</v>
      </c>
      <c r="L1911">
        <v>67.5</v>
      </c>
      <c r="M1911">
        <v>47.937235809999997</v>
      </c>
      <c r="N1911">
        <v>0.41599678000000001</v>
      </c>
      <c r="O1911">
        <v>2.0950346999999998</v>
      </c>
      <c r="P1911">
        <v>139.375</v>
      </c>
      <c r="Q1911">
        <v>23.713465920000001</v>
      </c>
      <c r="R1911" t="s">
        <v>114</v>
      </c>
      <c r="S1911" t="s">
        <v>114</v>
      </c>
      <c r="T1911" t="s">
        <v>1016</v>
      </c>
      <c r="U1911">
        <v>24.22376989</v>
      </c>
    </row>
    <row r="1912" spans="1:21" x14ac:dyDescent="0.25">
      <c r="A1912" t="s">
        <v>42</v>
      </c>
      <c r="B1912" t="s">
        <v>956</v>
      </c>
      <c r="C1912">
        <v>2</v>
      </c>
      <c r="D1912" t="s">
        <v>21</v>
      </c>
      <c r="E1912" t="s">
        <v>94</v>
      </c>
      <c r="F1912" t="s">
        <v>105</v>
      </c>
      <c r="G1912" t="s">
        <v>121</v>
      </c>
      <c r="H1912" t="s">
        <v>242</v>
      </c>
      <c r="J1912">
        <v>0</v>
      </c>
      <c r="K1912">
        <v>6</v>
      </c>
      <c r="L1912">
        <v>67.5</v>
      </c>
      <c r="M1912">
        <v>47.937235809999997</v>
      </c>
      <c r="N1912">
        <v>0.41599678000000001</v>
      </c>
      <c r="O1912">
        <v>2.0950346999999998</v>
      </c>
      <c r="P1912">
        <v>139.375</v>
      </c>
      <c r="Q1912">
        <v>23.713465920000001</v>
      </c>
      <c r="R1912" t="s">
        <v>114</v>
      </c>
      <c r="S1912" t="s">
        <v>114</v>
      </c>
      <c r="T1912" t="s">
        <v>1016</v>
      </c>
      <c r="U1912">
        <v>24.22376989</v>
      </c>
    </row>
    <row r="1913" spans="1:21" x14ac:dyDescent="0.25">
      <c r="A1913" t="s">
        <v>42</v>
      </c>
      <c r="B1913" t="s">
        <v>956</v>
      </c>
      <c r="C1913">
        <v>2</v>
      </c>
      <c r="D1913" t="s">
        <v>21</v>
      </c>
      <c r="E1913" t="s">
        <v>94</v>
      </c>
      <c r="F1913" t="s">
        <v>105</v>
      </c>
      <c r="G1913" t="s">
        <v>121</v>
      </c>
      <c r="H1913" t="s">
        <v>242</v>
      </c>
      <c r="J1913">
        <v>0</v>
      </c>
      <c r="K1913">
        <v>6</v>
      </c>
      <c r="L1913">
        <v>67.5</v>
      </c>
      <c r="M1913">
        <v>47.937235809999997</v>
      </c>
      <c r="N1913">
        <v>0.41599678000000001</v>
      </c>
      <c r="O1913">
        <v>2.0950346999999998</v>
      </c>
      <c r="P1913">
        <v>139.375</v>
      </c>
      <c r="Q1913">
        <v>23.713465920000001</v>
      </c>
      <c r="R1913" t="s">
        <v>114</v>
      </c>
      <c r="S1913" t="s">
        <v>114</v>
      </c>
      <c r="T1913" t="s">
        <v>1016</v>
      </c>
      <c r="U1913">
        <v>24.22376989</v>
      </c>
    </row>
    <row r="1914" spans="1:21" x14ac:dyDescent="0.25">
      <c r="A1914" t="s">
        <v>42</v>
      </c>
      <c r="B1914" t="s">
        <v>956</v>
      </c>
      <c r="C1914">
        <v>2</v>
      </c>
      <c r="D1914" t="s">
        <v>21</v>
      </c>
      <c r="E1914" t="s">
        <v>94</v>
      </c>
      <c r="F1914" t="s">
        <v>105</v>
      </c>
      <c r="G1914" t="s">
        <v>121</v>
      </c>
      <c r="H1914" t="s">
        <v>242</v>
      </c>
      <c r="J1914">
        <v>0</v>
      </c>
      <c r="K1914">
        <v>6</v>
      </c>
      <c r="L1914">
        <v>67.5</v>
      </c>
      <c r="M1914">
        <v>47.937235809999997</v>
      </c>
      <c r="N1914">
        <v>0.41599678000000001</v>
      </c>
      <c r="O1914">
        <v>2.0950346999999998</v>
      </c>
      <c r="P1914">
        <v>139.375</v>
      </c>
      <c r="Q1914">
        <v>23.713465920000001</v>
      </c>
      <c r="R1914" t="s">
        <v>114</v>
      </c>
      <c r="S1914" t="s">
        <v>114</v>
      </c>
      <c r="T1914" t="s">
        <v>1016</v>
      </c>
      <c r="U1914">
        <v>24.22376989</v>
      </c>
    </row>
    <row r="1915" spans="1:21" x14ac:dyDescent="0.25">
      <c r="A1915" t="s">
        <v>42</v>
      </c>
      <c r="B1915" t="s">
        <v>956</v>
      </c>
      <c r="C1915">
        <v>2</v>
      </c>
      <c r="D1915" t="s">
        <v>21</v>
      </c>
      <c r="E1915" t="s">
        <v>94</v>
      </c>
      <c r="F1915" t="s">
        <v>105</v>
      </c>
      <c r="G1915" t="s">
        <v>121</v>
      </c>
      <c r="H1915" t="s">
        <v>242</v>
      </c>
      <c r="J1915">
        <v>0</v>
      </c>
      <c r="K1915">
        <v>6</v>
      </c>
      <c r="L1915">
        <v>67.5</v>
      </c>
      <c r="M1915">
        <v>47.937235809999997</v>
      </c>
      <c r="N1915">
        <v>0.41599678000000001</v>
      </c>
      <c r="O1915">
        <v>2.0950346999999998</v>
      </c>
      <c r="P1915">
        <v>139.375</v>
      </c>
      <c r="Q1915">
        <v>23.713465920000001</v>
      </c>
      <c r="R1915" t="s">
        <v>114</v>
      </c>
      <c r="S1915" t="s">
        <v>114</v>
      </c>
      <c r="T1915" t="s">
        <v>1016</v>
      </c>
      <c r="U1915">
        <v>24.22376989</v>
      </c>
    </row>
    <row r="1916" spans="1:21" x14ac:dyDescent="0.25">
      <c r="A1916" t="s">
        <v>42</v>
      </c>
      <c r="B1916" t="s">
        <v>956</v>
      </c>
      <c r="C1916">
        <v>2</v>
      </c>
      <c r="D1916" t="s">
        <v>21</v>
      </c>
      <c r="E1916" t="s">
        <v>94</v>
      </c>
      <c r="F1916" t="s">
        <v>105</v>
      </c>
      <c r="G1916" t="s">
        <v>121</v>
      </c>
      <c r="H1916" t="s">
        <v>242</v>
      </c>
      <c r="J1916">
        <v>0</v>
      </c>
      <c r="K1916">
        <v>6</v>
      </c>
      <c r="L1916">
        <v>67.5</v>
      </c>
      <c r="M1916">
        <v>47.937235809999997</v>
      </c>
      <c r="N1916">
        <v>0.41599678000000001</v>
      </c>
      <c r="O1916">
        <v>2.0950346999999998</v>
      </c>
      <c r="P1916">
        <v>139.375</v>
      </c>
      <c r="Q1916">
        <v>23.713465920000001</v>
      </c>
      <c r="R1916" t="s">
        <v>114</v>
      </c>
      <c r="S1916" t="s">
        <v>114</v>
      </c>
      <c r="T1916" t="s">
        <v>1016</v>
      </c>
      <c r="U1916">
        <v>24.22376989</v>
      </c>
    </row>
    <row r="1917" spans="1:21" x14ac:dyDescent="0.25">
      <c r="A1917" t="s">
        <v>42</v>
      </c>
      <c r="B1917" t="s">
        <v>957</v>
      </c>
      <c r="C1917">
        <v>2</v>
      </c>
      <c r="D1917" t="s">
        <v>21</v>
      </c>
      <c r="E1917" t="s">
        <v>94</v>
      </c>
      <c r="F1917" t="s">
        <v>110</v>
      </c>
      <c r="G1917" t="s">
        <v>113</v>
      </c>
      <c r="H1917" t="s">
        <v>104</v>
      </c>
      <c r="J1917">
        <v>0</v>
      </c>
      <c r="K1917">
        <v>2</v>
      </c>
      <c r="L1917">
        <v>73.260869569999997</v>
      </c>
      <c r="M1917">
        <v>34.453830549999999</v>
      </c>
      <c r="N1917">
        <v>1.058333333</v>
      </c>
      <c r="O1917">
        <v>0.90897070000000002</v>
      </c>
      <c r="P1917">
        <v>113.9375</v>
      </c>
      <c r="Q1917">
        <v>33.375507550000002</v>
      </c>
      <c r="R1917">
        <v>2.4262999999999999</v>
      </c>
      <c r="S1917">
        <v>0.40692159999999999</v>
      </c>
      <c r="T1917" t="s">
        <v>1016</v>
      </c>
      <c r="U1917">
        <v>1.0783229999999999</v>
      </c>
    </row>
    <row r="1918" spans="1:21" x14ac:dyDescent="0.25">
      <c r="A1918" t="s">
        <v>42</v>
      </c>
      <c r="B1918" t="s">
        <v>957</v>
      </c>
      <c r="C1918">
        <v>2</v>
      </c>
      <c r="D1918" t="s">
        <v>21</v>
      </c>
      <c r="E1918" t="s">
        <v>94</v>
      </c>
      <c r="F1918" t="s">
        <v>110</v>
      </c>
      <c r="G1918" t="s">
        <v>113</v>
      </c>
      <c r="H1918" t="s">
        <v>104</v>
      </c>
      <c r="J1918">
        <v>0</v>
      </c>
      <c r="K1918">
        <v>2</v>
      </c>
      <c r="L1918">
        <v>73.260869569999997</v>
      </c>
      <c r="M1918">
        <v>34.453830549999999</v>
      </c>
      <c r="N1918">
        <v>1.058333333</v>
      </c>
      <c r="O1918">
        <v>0.90897070000000002</v>
      </c>
      <c r="P1918">
        <v>113.9375</v>
      </c>
      <c r="Q1918">
        <v>33.375507550000002</v>
      </c>
      <c r="R1918">
        <v>2.4262999999999999</v>
      </c>
      <c r="S1918">
        <v>0.40692159999999999</v>
      </c>
      <c r="T1918" t="s">
        <v>1016</v>
      </c>
      <c r="U1918">
        <v>1.0783229999999999</v>
      </c>
    </row>
    <row r="1919" spans="1:21" x14ac:dyDescent="0.25">
      <c r="A1919" t="s">
        <v>42</v>
      </c>
      <c r="B1919" t="s">
        <v>957</v>
      </c>
      <c r="C1919">
        <v>2</v>
      </c>
      <c r="D1919" t="s">
        <v>21</v>
      </c>
      <c r="E1919" t="s">
        <v>94</v>
      </c>
      <c r="F1919" t="s">
        <v>110</v>
      </c>
      <c r="G1919" t="s">
        <v>113</v>
      </c>
      <c r="H1919" t="s">
        <v>242</v>
      </c>
      <c r="J1919">
        <v>0</v>
      </c>
      <c r="K1919">
        <v>5</v>
      </c>
      <c r="L1919">
        <v>73.260869569999997</v>
      </c>
      <c r="M1919">
        <v>34.453830549999999</v>
      </c>
      <c r="N1919">
        <v>1.058333333</v>
      </c>
      <c r="O1919">
        <v>0.90897070000000002</v>
      </c>
      <c r="P1919">
        <v>139.375</v>
      </c>
      <c r="Q1919">
        <v>23.713465920000001</v>
      </c>
      <c r="R1919" t="s">
        <v>114</v>
      </c>
      <c r="S1919" t="s">
        <v>114</v>
      </c>
      <c r="T1919" t="s">
        <v>1016</v>
      </c>
      <c r="U1919">
        <v>10.74036463</v>
      </c>
    </row>
    <row r="1920" spans="1:21" x14ac:dyDescent="0.25">
      <c r="A1920" t="s">
        <v>42</v>
      </c>
      <c r="B1920" t="s">
        <v>957</v>
      </c>
      <c r="C1920">
        <v>2</v>
      </c>
      <c r="D1920" t="s">
        <v>21</v>
      </c>
      <c r="E1920" t="s">
        <v>94</v>
      </c>
      <c r="F1920" t="s">
        <v>110</v>
      </c>
      <c r="G1920" t="s">
        <v>113</v>
      </c>
      <c r="H1920" t="s">
        <v>242</v>
      </c>
      <c r="J1920">
        <v>0</v>
      </c>
      <c r="K1920">
        <v>5</v>
      </c>
      <c r="L1920">
        <v>73.260869569999997</v>
      </c>
      <c r="M1920">
        <v>34.453830549999999</v>
      </c>
      <c r="N1920">
        <v>1.058333333</v>
      </c>
      <c r="O1920">
        <v>0.90897070000000002</v>
      </c>
      <c r="P1920">
        <v>139.375</v>
      </c>
      <c r="Q1920">
        <v>23.713465920000001</v>
      </c>
      <c r="R1920" t="s">
        <v>114</v>
      </c>
      <c r="S1920" t="s">
        <v>114</v>
      </c>
      <c r="T1920" t="s">
        <v>1016</v>
      </c>
      <c r="U1920">
        <v>10.74036463</v>
      </c>
    </row>
    <row r="1921" spans="1:21" x14ac:dyDescent="0.25">
      <c r="A1921" t="s">
        <v>42</v>
      </c>
      <c r="B1921" t="s">
        <v>957</v>
      </c>
      <c r="C1921">
        <v>2</v>
      </c>
      <c r="D1921" t="s">
        <v>21</v>
      </c>
      <c r="E1921" t="s">
        <v>94</v>
      </c>
      <c r="F1921" t="s">
        <v>110</v>
      </c>
      <c r="G1921" t="s">
        <v>113</v>
      </c>
      <c r="H1921" t="s">
        <v>242</v>
      </c>
      <c r="J1921">
        <v>0</v>
      </c>
      <c r="K1921">
        <v>5</v>
      </c>
      <c r="L1921">
        <v>73.260869569999997</v>
      </c>
      <c r="M1921">
        <v>34.453830549999999</v>
      </c>
      <c r="N1921">
        <v>1.058333333</v>
      </c>
      <c r="O1921">
        <v>0.90897070000000002</v>
      </c>
      <c r="P1921">
        <v>139.375</v>
      </c>
      <c r="Q1921">
        <v>23.713465920000001</v>
      </c>
      <c r="R1921" t="s">
        <v>114</v>
      </c>
      <c r="S1921" t="s">
        <v>114</v>
      </c>
      <c r="T1921" t="s">
        <v>1016</v>
      </c>
      <c r="U1921">
        <v>10.74036463</v>
      </c>
    </row>
    <row r="1922" spans="1:21" x14ac:dyDescent="0.25">
      <c r="A1922" t="s">
        <v>42</v>
      </c>
      <c r="B1922" t="s">
        <v>957</v>
      </c>
      <c r="C1922">
        <v>2</v>
      </c>
      <c r="D1922" t="s">
        <v>21</v>
      </c>
      <c r="E1922" t="s">
        <v>94</v>
      </c>
      <c r="F1922" t="s">
        <v>110</v>
      </c>
      <c r="G1922" t="s">
        <v>113</v>
      </c>
      <c r="H1922" t="s">
        <v>242</v>
      </c>
      <c r="J1922">
        <v>0</v>
      </c>
      <c r="K1922">
        <v>5</v>
      </c>
      <c r="L1922">
        <v>73.260869569999997</v>
      </c>
      <c r="M1922">
        <v>34.453830549999999</v>
      </c>
      <c r="N1922">
        <v>1.058333333</v>
      </c>
      <c r="O1922">
        <v>0.90897070000000002</v>
      </c>
      <c r="P1922">
        <v>139.375</v>
      </c>
      <c r="Q1922">
        <v>23.713465920000001</v>
      </c>
      <c r="R1922" t="s">
        <v>114</v>
      </c>
      <c r="S1922" t="s">
        <v>114</v>
      </c>
      <c r="T1922" t="s">
        <v>1016</v>
      </c>
      <c r="U1922">
        <v>10.74036463</v>
      </c>
    </row>
    <row r="1923" spans="1:21" x14ac:dyDescent="0.25">
      <c r="A1923" t="s">
        <v>42</v>
      </c>
      <c r="B1923" t="s">
        <v>957</v>
      </c>
      <c r="C1923">
        <v>2</v>
      </c>
      <c r="D1923" t="s">
        <v>21</v>
      </c>
      <c r="E1923" t="s">
        <v>94</v>
      </c>
      <c r="F1923" t="s">
        <v>110</v>
      </c>
      <c r="G1923" t="s">
        <v>113</v>
      </c>
      <c r="H1923" t="s">
        <v>242</v>
      </c>
      <c r="J1923">
        <v>0</v>
      </c>
      <c r="K1923">
        <v>5</v>
      </c>
      <c r="L1923">
        <v>73.260869569999997</v>
      </c>
      <c r="M1923">
        <v>34.453830549999999</v>
      </c>
      <c r="N1923">
        <v>1.058333333</v>
      </c>
      <c r="O1923">
        <v>0.90897070000000002</v>
      </c>
      <c r="P1923">
        <v>139.375</v>
      </c>
      <c r="Q1923">
        <v>23.713465920000001</v>
      </c>
      <c r="R1923" t="s">
        <v>114</v>
      </c>
      <c r="S1923" t="s">
        <v>114</v>
      </c>
      <c r="T1923" t="s">
        <v>1016</v>
      </c>
      <c r="U1923">
        <v>10.74036463</v>
      </c>
    </row>
    <row r="1924" spans="1:21" x14ac:dyDescent="0.25">
      <c r="A1924" t="s">
        <v>42</v>
      </c>
      <c r="B1924" t="s">
        <v>957</v>
      </c>
      <c r="C1924">
        <v>2</v>
      </c>
      <c r="D1924" t="s">
        <v>21</v>
      </c>
      <c r="E1924" t="s">
        <v>94</v>
      </c>
      <c r="F1924" t="s">
        <v>110</v>
      </c>
      <c r="G1924" t="s">
        <v>113</v>
      </c>
      <c r="H1924" t="s">
        <v>113</v>
      </c>
      <c r="J1924">
        <v>0</v>
      </c>
      <c r="K1924">
        <v>2</v>
      </c>
      <c r="L1924">
        <v>73.260869569999997</v>
      </c>
      <c r="M1924">
        <v>34.453830549999999</v>
      </c>
      <c r="N1924">
        <v>1.058333333</v>
      </c>
      <c r="O1924">
        <v>0.90897070000000002</v>
      </c>
      <c r="P1924">
        <v>83.757575759999995</v>
      </c>
      <c r="Q1924">
        <v>22.60997987</v>
      </c>
      <c r="R1924">
        <v>0.72884000000000004</v>
      </c>
      <c r="S1924">
        <v>0.21301339999999999</v>
      </c>
      <c r="T1924" t="s">
        <v>1016</v>
      </c>
      <c r="U1924">
        <v>11.843850679999999</v>
      </c>
    </row>
    <row r="1925" spans="1:21" x14ac:dyDescent="0.25">
      <c r="A1925" t="s">
        <v>42</v>
      </c>
      <c r="B1925" t="s">
        <v>957</v>
      </c>
      <c r="C1925">
        <v>2</v>
      </c>
      <c r="D1925" t="s">
        <v>21</v>
      </c>
      <c r="E1925" t="s">
        <v>94</v>
      </c>
      <c r="F1925" t="s">
        <v>110</v>
      </c>
      <c r="G1925" t="s">
        <v>113</v>
      </c>
      <c r="H1925" t="s">
        <v>113</v>
      </c>
      <c r="J1925">
        <v>0</v>
      </c>
      <c r="K1925">
        <v>2</v>
      </c>
      <c r="L1925">
        <v>73.260869569999997</v>
      </c>
      <c r="M1925">
        <v>34.453830549999999</v>
      </c>
      <c r="N1925">
        <v>1.058333333</v>
      </c>
      <c r="O1925">
        <v>0.90897070000000002</v>
      </c>
      <c r="P1925">
        <v>83.757575759999995</v>
      </c>
      <c r="Q1925">
        <v>22.60997987</v>
      </c>
      <c r="R1925">
        <v>0.72884000000000004</v>
      </c>
      <c r="S1925">
        <v>0.21301339999999999</v>
      </c>
      <c r="T1925" t="s">
        <v>1016</v>
      </c>
      <c r="U1925">
        <v>11.843850679999999</v>
      </c>
    </row>
    <row r="1926" spans="1:21" x14ac:dyDescent="0.25">
      <c r="A1926" t="s">
        <v>42</v>
      </c>
      <c r="B1926" t="s">
        <v>958</v>
      </c>
      <c r="C1926">
        <v>2</v>
      </c>
      <c r="D1926" t="s">
        <v>21</v>
      </c>
      <c r="E1926" t="s">
        <v>94</v>
      </c>
      <c r="F1926" t="s">
        <v>111</v>
      </c>
      <c r="G1926" t="s">
        <v>110</v>
      </c>
      <c r="H1926" t="s">
        <v>113</v>
      </c>
      <c r="J1926">
        <v>0</v>
      </c>
      <c r="K1926">
        <v>1</v>
      </c>
      <c r="L1926">
        <v>94.97142857</v>
      </c>
      <c r="M1926">
        <v>24.31591813</v>
      </c>
      <c r="N1926">
        <v>0.122951111</v>
      </c>
      <c r="O1926">
        <v>0.39050790000000002</v>
      </c>
      <c r="P1926">
        <v>83.757575759999995</v>
      </c>
      <c r="Q1926">
        <v>22.60997987</v>
      </c>
      <c r="R1926">
        <v>0.72884000000000004</v>
      </c>
      <c r="S1926">
        <v>0.21301339999999999</v>
      </c>
      <c r="T1926" t="s">
        <v>1016</v>
      </c>
      <c r="U1926">
        <v>1.7059382599999999</v>
      </c>
    </row>
    <row r="1927" spans="1:21" x14ac:dyDescent="0.25">
      <c r="A1927" t="s">
        <v>42</v>
      </c>
      <c r="B1927" t="s">
        <v>958</v>
      </c>
      <c r="C1927">
        <v>2</v>
      </c>
      <c r="D1927" t="s">
        <v>21</v>
      </c>
      <c r="E1927" t="s">
        <v>94</v>
      </c>
      <c r="F1927" t="s">
        <v>111</v>
      </c>
      <c r="G1927" t="s">
        <v>110</v>
      </c>
      <c r="H1927" t="s">
        <v>110</v>
      </c>
      <c r="J1927">
        <v>0</v>
      </c>
      <c r="K1927">
        <v>1</v>
      </c>
      <c r="L1927">
        <v>94.97142857</v>
      </c>
      <c r="M1927">
        <v>24.31591813</v>
      </c>
      <c r="N1927">
        <v>0.122951111</v>
      </c>
      <c r="O1927">
        <v>0.39050790000000002</v>
      </c>
      <c r="P1927">
        <v>73.260869569999997</v>
      </c>
      <c r="Q1927">
        <v>34.453830549999999</v>
      </c>
      <c r="R1927">
        <v>1.058333333</v>
      </c>
      <c r="S1927">
        <v>0.90897070000000002</v>
      </c>
      <c r="T1927" t="s">
        <v>1016</v>
      </c>
      <c r="U1927">
        <v>-10.137912419999999</v>
      </c>
    </row>
    <row r="1928" spans="1:21" x14ac:dyDescent="0.25">
      <c r="A1928" t="s">
        <v>42</v>
      </c>
      <c r="B1928" t="s">
        <v>959</v>
      </c>
      <c r="C1928">
        <v>2</v>
      </c>
      <c r="D1928" t="s">
        <v>21</v>
      </c>
      <c r="E1928" t="s">
        <v>94</v>
      </c>
      <c r="F1928" t="s">
        <v>104</v>
      </c>
      <c r="G1928" t="s">
        <v>121</v>
      </c>
      <c r="H1928" t="s">
        <v>110</v>
      </c>
      <c r="J1928">
        <v>1</v>
      </c>
      <c r="K1928">
        <v>2</v>
      </c>
      <c r="L1928">
        <v>113.9375</v>
      </c>
      <c r="M1928">
        <v>33.375507550000002</v>
      </c>
      <c r="N1928">
        <v>2.4262999999999999</v>
      </c>
      <c r="O1928">
        <v>0.40692159999999999</v>
      </c>
      <c r="P1928">
        <v>73.260869569999997</v>
      </c>
      <c r="Q1928">
        <v>34.453830549999999</v>
      </c>
      <c r="R1928">
        <v>1.058333333</v>
      </c>
      <c r="S1928">
        <v>0.90897070000000002</v>
      </c>
      <c r="T1928" t="s">
        <v>1016</v>
      </c>
      <c r="U1928">
        <v>-1.0783229999999999</v>
      </c>
    </row>
    <row r="1929" spans="1:21" x14ac:dyDescent="0.25">
      <c r="A1929" t="s">
        <v>42</v>
      </c>
      <c r="B1929" t="s">
        <v>959</v>
      </c>
      <c r="C1929">
        <v>2</v>
      </c>
      <c r="D1929" t="s">
        <v>21</v>
      </c>
      <c r="E1929" t="s">
        <v>94</v>
      </c>
      <c r="F1929" t="s">
        <v>104</v>
      </c>
      <c r="G1929" t="s">
        <v>121</v>
      </c>
      <c r="H1929" t="s">
        <v>110</v>
      </c>
      <c r="J1929">
        <v>1</v>
      </c>
      <c r="K1929">
        <v>2</v>
      </c>
      <c r="L1929">
        <v>113.9375</v>
      </c>
      <c r="M1929">
        <v>33.375507550000002</v>
      </c>
      <c r="N1929">
        <v>2.4262999999999999</v>
      </c>
      <c r="O1929">
        <v>0.40692159999999999</v>
      </c>
      <c r="P1929">
        <v>73.260869569999997</v>
      </c>
      <c r="Q1929">
        <v>34.453830549999999</v>
      </c>
      <c r="R1929">
        <v>1.058333333</v>
      </c>
      <c r="S1929">
        <v>0.90897070000000002</v>
      </c>
      <c r="T1929" t="s">
        <v>1016</v>
      </c>
      <c r="U1929">
        <v>-1.0783229999999999</v>
      </c>
    </row>
    <row r="1930" spans="1:21" x14ac:dyDescent="0.25">
      <c r="A1930" t="s">
        <v>42</v>
      </c>
      <c r="B1930" t="s">
        <v>959</v>
      </c>
      <c r="C1930">
        <v>2</v>
      </c>
      <c r="D1930" t="s">
        <v>21</v>
      </c>
      <c r="E1930" t="s">
        <v>94</v>
      </c>
      <c r="F1930" t="s">
        <v>104</v>
      </c>
      <c r="G1930" t="s">
        <v>121</v>
      </c>
      <c r="H1930" t="s">
        <v>240</v>
      </c>
      <c r="J1930">
        <v>1</v>
      </c>
      <c r="K1930">
        <v>2</v>
      </c>
      <c r="L1930">
        <v>113.9375</v>
      </c>
      <c r="M1930">
        <v>33.375507550000002</v>
      </c>
      <c r="N1930">
        <v>2.4262999999999999</v>
      </c>
      <c r="O1930">
        <v>0.40692159999999999</v>
      </c>
      <c r="P1930">
        <v>104.83333330000001</v>
      </c>
      <c r="Q1930">
        <v>43.798647680000002</v>
      </c>
      <c r="R1930">
        <v>7.7741939999999999E-3</v>
      </c>
      <c r="S1930" t="s">
        <v>114</v>
      </c>
      <c r="T1930" t="s">
        <v>1016</v>
      </c>
      <c r="U1930">
        <v>-10.42314013</v>
      </c>
    </row>
    <row r="1931" spans="1:21" x14ac:dyDescent="0.25">
      <c r="A1931" t="s">
        <v>42</v>
      </c>
      <c r="B1931" t="s">
        <v>959</v>
      </c>
      <c r="C1931">
        <v>2</v>
      </c>
      <c r="D1931" t="s">
        <v>21</v>
      </c>
      <c r="E1931" t="s">
        <v>94</v>
      </c>
      <c r="F1931" t="s">
        <v>104</v>
      </c>
      <c r="G1931" t="s">
        <v>121</v>
      </c>
      <c r="H1931" t="s">
        <v>240</v>
      </c>
      <c r="J1931">
        <v>1</v>
      </c>
      <c r="K1931">
        <v>2</v>
      </c>
      <c r="L1931">
        <v>113.9375</v>
      </c>
      <c r="M1931">
        <v>33.375507550000002</v>
      </c>
      <c r="N1931">
        <v>2.4262999999999999</v>
      </c>
      <c r="O1931">
        <v>0.40692159999999999</v>
      </c>
      <c r="P1931">
        <v>104.83333330000001</v>
      </c>
      <c r="Q1931">
        <v>43.798647680000002</v>
      </c>
      <c r="R1931">
        <v>7.7741939999999999E-3</v>
      </c>
      <c r="S1931" t="s">
        <v>114</v>
      </c>
      <c r="T1931" t="s">
        <v>1016</v>
      </c>
      <c r="U1931">
        <v>-10.42314013</v>
      </c>
    </row>
    <row r="1932" spans="1:21" x14ac:dyDescent="0.25">
      <c r="A1932" t="s">
        <v>42</v>
      </c>
      <c r="B1932" t="s">
        <v>959</v>
      </c>
      <c r="C1932">
        <v>2</v>
      </c>
      <c r="D1932" t="s">
        <v>21</v>
      </c>
      <c r="E1932" t="s">
        <v>94</v>
      </c>
      <c r="F1932" t="s">
        <v>104</v>
      </c>
      <c r="G1932" t="s">
        <v>121</v>
      </c>
      <c r="H1932" t="s">
        <v>241</v>
      </c>
      <c r="J1932">
        <v>1</v>
      </c>
      <c r="K1932">
        <v>1</v>
      </c>
      <c r="L1932">
        <v>113.9375</v>
      </c>
      <c r="M1932">
        <v>33.375507550000002</v>
      </c>
      <c r="N1932">
        <v>2.4262999999999999</v>
      </c>
      <c r="O1932">
        <v>0.40692159999999999</v>
      </c>
      <c r="P1932">
        <v>114</v>
      </c>
      <c r="Q1932">
        <v>30.43077242</v>
      </c>
      <c r="R1932">
        <v>0.53383111100000002</v>
      </c>
      <c r="S1932">
        <v>0.28333332999999999</v>
      </c>
      <c r="T1932" t="s">
        <v>1016</v>
      </c>
      <c r="U1932">
        <v>2.9447351300000002</v>
      </c>
    </row>
    <row r="1933" spans="1:21" x14ac:dyDescent="0.25">
      <c r="A1933" t="s">
        <v>43</v>
      </c>
      <c r="B1933" t="s">
        <v>960</v>
      </c>
      <c r="C1933">
        <v>2</v>
      </c>
      <c r="D1933" t="s">
        <v>23</v>
      </c>
      <c r="E1933" t="s">
        <v>94</v>
      </c>
      <c r="F1933" t="s">
        <v>105</v>
      </c>
      <c r="G1933" t="s">
        <v>104</v>
      </c>
      <c r="H1933" t="s">
        <v>104</v>
      </c>
      <c r="J1933">
        <v>0</v>
      </c>
      <c r="K1933">
        <v>1</v>
      </c>
      <c r="L1933">
        <v>67.5</v>
      </c>
      <c r="M1933">
        <v>47.937235809999997</v>
      </c>
      <c r="N1933">
        <v>0.41599678000000001</v>
      </c>
      <c r="O1933">
        <v>2.0950346999999998</v>
      </c>
      <c r="P1933">
        <v>113.9375</v>
      </c>
      <c r="Q1933">
        <v>33.375507550000002</v>
      </c>
      <c r="R1933">
        <v>2.4262999999999999</v>
      </c>
      <c r="S1933">
        <v>0.40692159999999999</v>
      </c>
      <c r="T1933" t="s">
        <v>1016</v>
      </c>
      <c r="U1933">
        <v>14.561728260000001</v>
      </c>
    </row>
    <row r="1934" spans="1:21" x14ac:dyDescent="0.25">
      <c r="A1934" t="s">
        <v>43</v>
      </c>
      <c r="B1934" t="s">
        <v>961</v>
      </c>
      <c r="C1934">
        <v>2</v>
      </c>
      <c r="D1934" t="s">
        <v>23</v>
      </c>
      <c r="E1934" t="s">
        <v>94</v>
      </c>
      <c r="F1934" t="s">
        <v>110</v>
      </c>
      <c r="G1934" t="s">
        <v>110</v>
      </c>
      <c r="H1934" t="s">
        <v>110</v>
      </c>
      <c r="J1934">
        <v>0</v>
      </c>
      <c r="K1934">
        <v>1</v>
      </c>
      <c r="L1934">
        <v>73.260869569999997</v>
      </c>
      <c r="M1934">
        <v>34.453830549999999</v>
      </c>
      <c r="N1934">
        <v>1.058333333</v>
      </c>
      <c r="O1934">
        <v>0.90897070000000002</v>
      </c>
      <c r="P1934">
        <v>73.260869569999997</v>
      </c>
      <c r="Q1934">
        <v>34.453830549999999</v>
      </c>
      <c r="R1934">
        <v>1.058333333</v>
      </c>
      <c r="S1934">
        <v>0.90897070000000002</v>
      </c>
      <c r="T1934" t="s">
        <v>1016</v>
      </c>
      <c r="U1934">
        <v>0</v>
      </c>
    </row>
    <row r="1935" spans="1:21" x14ac:dyDescent="0.25">
      <c r="A1935" t="s">
        <v>43</v>
      </c>
      <c r="B1935" t="s">
        <v>962</v>
      </c>
      <c r="C1935">
        <v>2</v>
      </c>
      <c r="D1935" t="s">
        <v>23</v>
      </c>
      <c r="E1935" t="s">
        <v>94</v>
      </c>
      <c r="F1935" t="s">
        <v>111</v>
      </c>
      <c r="G1935" t="s">
        <v>121</v>
      </c>
      <c r="H1935" t="s">
        <v>114</v>
      </c>
      <c r="J1935">
        <v>0</v>
      </c>
      <c r="K1935" t="s">
        <v>114</v>
      </c>
      <c r="L1935">
        <v>94.97142857</v>
      </c>
      <c r="M1935">
        <v>24.31591813</v>
      </c>
      <c r="N1935">
        <v>0.122951111</v>
      </c>
      <c r="O1935">
        <v>0.39050790000000002</v>
      </c>
      <c r="P1935" t="s">
        <v>114</v>
      </c>
      <c r="Q1935" t="s">
        <v>114</v>
      </c>
      <c r="R1935" t="s">
        <v>114</v>
      </c>
      <c r="S1935" t="s">
        <v>114</v>
      </c>
      <c r="T1935" t="s">
        <v>1016</v>
      </c>
      <c r="U1935" t="s">
        <v>114</v>
      </c>
    </row>
    <row r="1936" spans="1:21" x14ac:dyDescent="0.25">
      <c r="A1936" t="s">
        <v>43</v>
      </c>
      <c r="B1936" t="s">
        <v>963</v>
      </c>
      <c r="C1936">
        <v>2</v>
      </c>
      <c r="D1936" t="s">
        <v>23</v>
      </c>
      <c r="E1936" t="s">
        <v>94</v>
      </c>
      <c r="F1936" t="s">
        <v>104</v>
      </c>
      <c r="G1936" t="s">
        <v>104</v>
      </c>
      <c r="H1936" t="s">
        <v>104</v>
      </c>
      <c r="J1936">
        <v>0</v>
      </c>
      <c r="K1936">
        <v>1</v>
      </c>
      <c r="L1936">
        <v>113.9375</v>
      </c>
      <c r="M1936">
        <v>33.375507550000002</v>
      </c>
      <c r="N1936">
        <v>2.4262999999999999</v>
      </c>
      <c r="O1936">
        <v>0.40692159999999999</v>
      </c>
      <c r="P1936">
        <v>113.9375</v>
      </c>
      <c r="Q1936">
        <v>33.375507550000002</v>
      </c>
      <c r="R1936">
        <v>2.4262999999999999</v>
      </c>
      <c r="S1936">
        <v>0.40692159999999999</v>
      </c>
      <c r="T1936" t="s">
        <v>1016</v>
      </c>
      <c r="U1936">
        <v>0</v>
      </c>
    </row>
    <row r="1937" spans="1:21" x14ac:dyDescent="0.25">
      <c r="A1937" t="s">
        <v>43</v>
      </c>
      <c r="B1937" t="s">
        <v>963</v>
      </c>
      <c r="C1937">
        <v>2</v>
      </c>
      <c r="D1937" t="s">
        <v>23</v>
      </c>
      <c r="E1937" t="s">
        <v>94</v>
      </c>
      <c r="F1937" t="s">
        <v>104</v>
      </c>
      <c r="G1937" t="s">
        <v>104</v>
      </c>
      <c r="H1937" t="s">
        <v>808</v>
      </c>
      <c r="J1937">
        <v>0</v>
      </c>
      <c r="K1937">
        <v>1</v>
      </c>
      <c r="L1937">
        <v>113.9375</v>
      </c>
      <c r="M1937">
        <v>33.375507550000002</v>
      </c>
      <c r="N1937">
        <v>2.4262999999999999</v>
      </c>
      <c r="O1937">
        <v>0.40692159999999999</v>
      </c>
      <c r="P1937">
        <v>102.79166669999999</v>
      </c>
      <c r="Q1937">
        <v>27.057373470000002</v>
      </c>
      <c r="R1937">
        <v>6.3567849939999999</v>
      </c>
      <c r="S1937" t="s">
        <v>114</v>
      </c>
      <c r="T1937" t="s">
        <v>1016</v>
      </c>
      <c r="U1937">
        <v>6.3181340800000001</v>
      </c>
    </row>
    <row r="1938" spans="1:21" x14ac:dyDescent="0.25">
      <c r="A1938" t="s">
        <v>44</v>
      </c>
      <c r="B1938" t="s">
        <v>964</v>
      </c>
      <c r="C1938">
        <v>2</v>
      </c>
      <c r="D1938" t="s">
        <v>25</v>
      </c>
      <c r="E1938" t="s">
        <v>95</v>
      </c>
      <c r="F1938" t="s">
        <v>102</v>
      </c>
      <c r="G1938" t="s">
        <v>102</v>
      </c>
      <c r="H1938" t="s">
        <v>102</v>
      </c>
      <c r="J1938">
        <v>0</v>
      </c>
      <c r="K1938">
        <v>1</v>
      </c>
      <c r="L1938">
        <v>84.740740740000007</v>
      </c>
      <c r="M1938">
        <v>29.167014049999999</v>
      </c>
      <c r="N1938">
        <v>1.1169849999999999</v>
      </c>
      <c r="O1938">
        <v>1.1571499000000001</v>
      </c>
      <c r="P1938">
        <v>84.740740740000007</v>
      </c>
      <c r="Q1938">
        <v>29.167014049999999</v>
      </c>
      <c r="R1938">
        <v>1.1169849999999999</v>
      </c>
      <c r="S1938">
        <v>1.1571499000000001</v>
      </c>
      <c r="T1938" t="s">
        <v>1016</v>
      </c>
      <c r="U1938">
        <v>0</v>
      </c>
    </row>
    <row r="1939" spans="1:21" x14ac:dyDescent="0.25">
      <c r="A1939" t="s">
        <v>44</v>
      </c>
      <c r="B1939" t="s">
        <v>965</v>
      </c>
      <c r="C1939">
        <v>2</v>
      </c>
      <c r="D1939" t="s">
        <v>25</v>
      </c>
      <c r="E1939" t="s">
        <v>95</v>
      </c>
      <c r="F1939" t="s">
        <v>110</v>
      </c>
      <c r="G1939" t="s">
        <v>121</v>
      </c>
      <c r="H1939" t="s">
        <v>114</v>
      </c>
      <c r="I1939" t="s">
        <v>162</v>
      </c>
      <c r="J1939">
        <v>1</v>
      </c>
      <c r="K1939">
        <v>0</v>
      </c>
      <c r="L1939">
        <v>73.260869569999997</v>
      </c>
      <c r="M1939">
        <v>34.453830549999999</v>
      </c>
      <c r="N1939">
        <v>1.058333333</v>
      </c>
      <c r="O1939">
        <v>0.90897070000000002</v>
      </c>
      <c r="P1939" t="s">
        <v>114</v>
      </c>
      <c r="Q1939" t="s">
        <v>114</v>
      </c>
      <c r="R1939" t="s">
        <v>114</v>
      </c>
      <c r="S1939" t="s">
        <v>114</v>
      </c>
      <c r="T1939" t="s">
        <v>1016</v>
      </c>
      <c r="U1939" t="s">
        <v>114</v>
      </c>
    </row>
    <row r="1940" spans="1:21" x14ac:dyDescent="0.25">
      <c r="A1940" t="s">
        <v>44</v>
      </c>
      <c r="B1940" t="s">
        <v>966</v>
      </c>
      <c r="C1940">
        <v>2</v>
      </c>
      <c r="D1940" t="s">
        <v>25</v>
      </c>
      <c r="E1940" t="s">
        <v>95</v>
      </c>
      <c r="F1940" t="s">
        <v>104</v>
      </c>
      <c r="G1940" t="s">
        <v>112</v>
      </c>
      <c r="H1940" t="s">
        <v>112</v>
      </c>
      <c r="J1940">
        <v>0</v>
      </c>
      <c r="K1940">
        <v>1</v>
      </c>
      <c r="L1940">
        <v>113.9375</v>
      </c>
      <c r="M1940">
        <v>33.375507550000002</v>
      </c>
      <c r="N1940">
        <v>2.4262999999999999</v>
      </c>
      <c r="O1940">
        <v>0.40692159999999999</v>
      </c>
      <c r="P1940">
        <v>65.09375</v>
      </c>
      <c r="Q1940">
        <v>37.895352600000002</v>
      </c>
      <c r="R1940">
        <v>2.2882677779999998</v>
      </c>
      <c r="S1940">
        <v>2.2111774</v>
      </c>
      <c r="T1940" t="s">
        <v>1016</v>
      </c>
      <c r="U1940">
        <v>-4.5198450499999998</v>
      </c>
    </row>
    <row r="1941" spans="1:21" x14ac:dyDescent="0.25">
      <c r="A1941" t="s">
        <v>44</v>
      </c>
      <c r="B1941" t="s">
        <v>966</v>
      </c>
      <c r="C1941">
        <v>2</v>
      </c>
      <c r="D1941" t="s">
        <v>25</v>
      </c>
      <c r="E1941" t="s">
        <v>95</v>
      </c>
      <c r="F1941" t="s">
        <v>104</v>
      </c>
      <c r="G1941" t="s">
        <v>112</v>
      </c>
      <c r="H1941" t="s">
        <v>162</v>
      </c>
      <c r="J1941">
        <v>0</v>
      </c>
      <c r="K1941">
        <v>1</v>
      </c>
      <c r="L1941">
        <v>113.9375</v>
      </c>
      <c r="M1941">
        <v>33.375507550000002</v>
      </c>
      <c r="N1941">
        <v>2.4262999999999999</v>
      </c>
      <c r="O1941">
        <v>0.40692159999999999</v>
      </c>
      <c r="P1941">
        <v>82.53846154</v>
      </c>
      <c r="Q1941">
        <v>35.660530039999998</v>
      </c>
      <c r="R1941">
        <v>3.3754499999999998</v>
      </c>
      <c r="S1941" t="s">
        <v>114</v>
      </c>
      <c r="T1941" t="s">
        <v>1016</v>
      </c>
      <c r="U1941">
        <v>-2.2850224899999998</v>
      </c>
    </row>
    <row r="1942" spans="1:21" x14ac:dyDescent="0.25">
      <c r="A1942" t="s">
        <v>44</v>
      </c>
      <c r="B1942" t="s">
        <v>966</v>
      </c>
      <c r="C1942">
        <v>2</v>
      </c>
      <c r="D1942" t="s">
        <v>25</v>
      </c>
      <c r="E1942" t="s">
        <v>95</v>
      </c>
      <c r="F1942" t="s">
        <v>104</v>
      </c>
      <c r="G1942" t="s">
        <v>112</v>
      </c>
      <c r="H1942" t="s">
        <v>113</v>
      </c>
      <c r="J1942">
        <v>0</v>
      </c>
      <c r="K1942">
        <v>1</v>
      </c>
      <c r="L1942">
        <v>113.9375</v>
      </c>
      <c r="M1942">
        <v>33.375507550000002</v>
      </c>
      <c r="N1942">
        <v>2.4262999999999999</v>
      </c>
      <c r="O1942">
        <v>0.40692159999999999</v>
      </c>
      <c r="P1942">
        <v>83.757575759999995</v>
      </c>
      <c r="Q1942">
        <v>22.60997987</v>
      </c>
      <c r="R1942">
        <v>0.72884000000000004</v>
      </c>
      <c r="S1942">
        <v>0.21301339999999999</v>
      </c>
      <c r="T1942" t="s">
        <v>1016</v>
      </c>
      <c r="U1942">
        <v>10.76552768</v>
      </c>
    </row>
    <row r="1943" spans="1:21" x14ac:dyDescent="0.25">
      <c r="A1943" t="s">
        <v>44</v>
      </c>
      <c r="B1943" t="s">
        <v>967</v>
      </c>
      <c r="C1943">
        <v>2</v>
      </c>
      <c r="D1943" t="s">
        <v>25</v>
      </c>
      <c r="E1943" t="s">
        <v>95</v>
      </c>
      <c r="F1943" t="s">
        <v>112</v>
      </c>
      <c r="G1943" t="s">
        <v>121</v>
      </c>
      <c r="H1943" t="s">
        <v>114</v>
      </c>
      <c r="J1943">
        <v>0</v>
      </c>
      <c r="K1943" t="s">
        <v>114</v>
      </c>
      <c r="L1943">
        <v>65.09375</v>
      </c>
      <c r="M1943">
        <v>37.895352600000002</v>
      </c>
      <c r="N1943">
        <v>2.2882677779999998</v>
      </c>
      <c r="O1943">
        <v>2.2111774</v>
      </c>
      <c r="P1943" t="s">
        <v>114</v>
      </c>
      <c r="Q1943" t="s">
        <v>114</v>
      </c>
      <c r="R1943" t="s">
        <v>114</v>
      </c>
      <c r="S1943" t="s">
        <v>114</v>
      </c>
      <c r="T1943" t="s">
        <v>1016</v>
      </c>
      <c r="U1943" t="s">
        <v>114</v>
      </c>
    </row>
    <row r="1944" spans="1:21" x14ac:dyDescent="0.25">
      <c r="A1944" t="s">
        <v>45</v>
      </c>
      <c r="B1944" t="s">
        <v>968</v>
      </c>
      <c r="C1944">
        <v>2</v>
      </c>
      <c r="D1944" t="s">
        <v>27</v>
      </c>
      <c r="E1944" t="s">
        <v>95</v>
      </c>
      <c r="F1944" t="s">
        <v>102</v>
      </c>
      <c r="G1944" t="s">
        <v>113</v>
      </c>
      <c r="H1944" t="s">
        <v>113</v>
      </c>
      <c r="J1944">
        <v>0</v>
      </c>
      <c r="K1944">
        <v>2</v>
      </c>
      <c r="L1944">
        <v>84.740740740000007</v>
      </c>
      <c r="M1944">
        <v>29.167014049999999</v>
      </c>
      <c r="N1944">
        <v>1.1169849999999999</v>
      </c>
      <c r="O1944">
        <v>1.1571499000000001</v>
      </c>
      <c r="P1944">
        <v>83.757575759999995</v>
      </c>
      <c r="Q1944">
        <v>22.60997987</v>
      </c>
      <c r="R1944">
        <v>0.72884000000000004</v>
      </c>
      <c r="S1944">
        <v>0.21301339999999999</v>
      </c>
      <c r="T1944" t="s">
        <v>1016</v>
      </c>
      <c r="U1944">
        <v>6.5570341799999996</v>
      </c>
    </row>
    <row r="1945" spans="1:21" x14ac:dyDescent="0.25">
      <c r="A1945" t="s">
        <v>45</v>
      </c>
      <c r="B1945" t="s">
        <v>968</v>
      </c>
      <c r="C1945">
        <v>2</v>
      </c>
      <c r="D1945" t="s">
        <v>27</v>
      </c>
      <c r="E1945" t="s">
        <v>95</v>
      </c>
      <c r="F1945" t="s">
        <v>102</v>
      </c>
      <c r="G1945" t="s">
        <v>113</v>
      </c>
      <c r="H1945" t="s">
        <v>113</v>
      </c>
      <c r="J1945">
        <v>0</v>
      </c>
      <c r="K1945">
        <v>2</v>
      </c>
      <c r="L1945">
        <v>84.740740740000007</v>
      </c>
      <c r="M1945">
        <v>29.167014049999999</v>
      </c>
      <c r="N1945">
        <v>1.1169849999999999</v>
      </c>
      <c r="O1945">
        <v>1.1571499000000001</v>
      </c>
      <c r="P1945">
        <v>83.757575759999995</v>
      </c>
      <c r="Q1945">
        <v>22.60997987</v>
      </c>
      <c r="R1945">
        <v>0.72884000000000004</v>
      </c>
      <c r="S1945">
        <v>0.21301339999999999</v>
      </c>
      <c r="T1945" t="s">
        <v>1016</v>
      </c>
      <c r="U1945">
        <v>6.5570341799999996</v>
      </c>
    </row>
    <row r="1946" spans="1:21" x14ac:dyDescent="0.25">
      <c r="A1946" t="s">
        <v>45</v>
      </c>
      <c r="B1946" t="s">
        <v>969</v>
      </c>
      <c r="C1946">
        <v>2</v>
      </c>
      <c r="D1946" t="s">
        <v>27</v>
      </c>
      <c r="E1946" t="s">
        <v>95</v>
      </c>
      <c r="F1946" t="s">
        <v>105</v>
      </c>
      <c r="G1946" t="s">
        <v>113</v>
      </c>
      <c r="H1946" t="s">
        <v>113</v>
      </c>
      <c r="J1946">
        <v>0</v>
      </c>
      <c r="K1946">
        <v>6</v>
      </c>
      <c r="L1946">
        <v>67.5</v>
      </c>
      <c r="M1946">
        <v>47.937235809999997</v>
      </c>
      <c r="N1946">
        <v>0.41599678000000001</v>
      </c>
      <c r="O1946">
        <v>2.0950346999999998</v>
      </c>
      <c r="P1946">
        <v>83.757575759999995</v>
      </c>
      <c r="Q1946">
        <v>22.60997987</v>
      </c>
      <c r="R1946">
        <v>0.72884000000000004</v>
      </c>
      <c r="S1946">
        <v>0.21301339999999999</v>
      </c>
      <c r="T1946" t="s">
        <v>1016</v>
      </c>
      <c r="U1946">
        <v>25.327255940000001</v>
      </c>
    </row>
    <row r="1947" spans="1:21" x14ac:dyDescent="0.25">
      <c r="A1947" t="s">
        <v>45</v>
      </c>
      <c r="B1947" t="s">
        <v>969</v>
      </c>
      <c r="C1947">
        <v>2</v>
      </c>
      <c r="D1947" t="s">
        <v>27</v>
      </c>
      <c r="E1947" t="s">
        <v>95</v>
      </c>
      <c r="F1947" t="s">
        <v>105</v>
      </c>
      <c r="G1947" t="s">
        <v>113</v>
      </c>
      <c r="H1947" t="s">
        <v>113</v>
      </c>
      <c r="J1947">
        <v>0</v>
      </c>
      <c r="K1947">
        <v>6</v>
      </c>
      <c r="L1947">
        <v>67.5</v>
      </c>
      <c r="M1947">
        <v>47.937235809999997</v>
      </c>
      <c r="N1947">
        <v>0.41599678000000001</v>
      </c>
      <c r="O1947">
        <v>2.0950346999999998</v>
      </c>
      <c r="P1947">
        <v>83.757575759999995</v>
      </c>
      <c r="Q1947">
        <v>22.60997987</v>
      </c>
      <c r="R1947">
        <v>0.72884000000000004</v>
      </c>
      <c r="S1947">
        <v>0.21301339999999999</v>
      </c>
      <c r="T1947" t="s">
        <v>1016</v>
      </c>
      <c r="U1947">
        <v>25.327255940000001</v>
      </c>
    </row>
    <row r="1948" spans="1:21" x14ac:dyDescent="0.25">
      <c r="A1948" t="s">
        <v>45</v>
      </c>
      <c r="B1948" t="s">
        <v>969</v>
      </c>
      <c r="C1948">
        <v>2</v>
      </c>
      <c r="D1948" t="s">
        <v>27</v>
      </c>
      <c r="E1948" t="s">
        <v>95</v>
      </c>
      <c r="F1948" t="s">
        <v>105</v>
      </c>
      <c r="G1948" t="s">
        <v>113</v>
      </c>
      <c r="H1948" t="s">
        <v>113</v>
      </c>
      <c r="J1948">
        <v>0</v>
      </c>
      <c r="K1948">
        <v>6</v>
      </c>
      <c r="L1948">
        <v>67.5</v>
      </c>
      <c r="M1948">
        <v>47.937235809999997</v>
      </c>
      <c r="N1948">
        <v>0.41599678000000001</v>
      </c>
      <c r="O1948">
        <v>2.0950346999999998</v>
      </c>
      <c r="P1948">
        <v>83.757575759999995</v>
      </c>
      <c r="Q1948">
        <v>22.60997987</v>
      </c>
      <c r="R1948">
        <v>0.72884000000000004</v>
      </c>
      <c r="S1948">
        <v>0.21301339999999999</v>
      </c>
      <c r="T1948" t="s">
        <v>1016</v>
      </c>
      <c r="U1948">
        <v>25.327255940000001</v>
      </c>
    </row>
    <row r="1949" spans="1:21" x14ac:dyDescent="0.25">
      <c r="A1949" t="s">
        <v>45</v>
      </c>
      <c r="B1949" t="s">
        <v>969</v>
      </c>
      <c r="C1949">
        <v>2</v>
      </c>
      <c r="D1949" t="s">
        <v>27</v>
      </c>
      <c r="E1949" t="s">
        <v>95</v>
      </c>
      <c r="F1949" t="s">
        <v>105</v>
      </c>
      <c r="G1949" t="s">
        <v>113</v>
      </c>
      <c r="H1949" t="s">
        <v>113</v>
      </c>
      <c r="J1949">
        <v>0</v>
      </c>
      <c r="K1949">
        <v>6</v>
      </c>
      <c r="L1949">
        <v>67.5</v>
      </c>
      <c r="M1949">
        <v>47.937235809999997</v>
      </c>
      <c r="N1949">
        <v>0.41599678000000001</v>
      </c>
      <c r="O1949">
        <v>2.0950346999999998</v>
      </c>
      <c r="P1949">
        <v>83.757575759999995</v>
      </c>
      <c r="Q1949">
        <v>22.60997987</v>
      </c>
      <c r="R1949">
        <v>0.72884000000000004</v>
      </c>
      <c r="S1949">
        <v>0.21301339999999999</v>
      </c>
      <c r="T1949" t="s">
        <v>1016</v>
      </c>
      <c r="U1949">
        <v>25.327255940000001</v>
      </c>
    </row>
    <row r="1950" spans="1:21" x14ac:dyDescent="0.25">
      <c r="A1950" t="s">
        <v>45</v>
      </c>
      <c r="B1950" t="s">
        <v>969</v>
      </c>
      <c r="C1950">
        <v>2</v>
      </c>
      <c r="D1950" t="s">
        <v>27</v>
      </c>
      <c r="E1950" t="s">
        <v>95</v>
      </c>
      <c r="F1950" t="s">
        <v>105</v>
      </c>
      <c r="G1950" t="s">
        <v>113</v>
      </c>
      <c r="H1950" t="s">
        <v>113</v>
      </c>
      <c r="J1950">
        <v>0</v>
      </c>
      <c r="K1950">
        <v>6</v>
      </c>
      <c r="L1950">
        <v>67.5</v>
      </c>
      <c r="M1950">
        <v>47.937235809999997</v>
      </c>
      <c r="N1950">
        <v>0.41599678000000001</v>
      </c>
      <c r="O1950">
        <v>2.0950346999999998</v>
      </c>
      <c r="P1950">
        <v>83.757575759999995</v>
      </c>
      <c r="Q1950">
        <v>22.60997987</v>
      </c>
      <c r="R1950">
        <v>0.72884000000000004</v>
      </c>
      <c r="S1950">
        <v>0.21301339999999999</v>
      </c>
      <c r="T1950" t="s">
        <v>1016</v>
      </c>
      <c r="U1950">
        <v>25.327255940000001</v>
      </c>
    </row>
    <row r="1951" spans="1:21" x14ac:dyDescent="0.25">
      <c r="A1951" t="s">
        <v>45</v>
      </c>
      <c r="B1951" t="s">
        <v>969</v>
      </c>
      <c r="C1951">
        <v>2</v>
      </c>
      <c r="D1951" t="s">
        <v>27</v>
      </c>
      <c r="E1951" t="s">
        <v>95</v>
      </c>
      <c r="F1951" t="s">
        <v>105</v>
      </c>
      <c r="G1951" t="s">
        <v>113</v>
      </c>
      <c r="H1951" t="s">
        <v>113</v>
      </c>
      <c r="J1951">
        <v>0</v>
      </c>
      <c r="K1951">
        <v>6</v>
      </c>
      <c r="L1951">
        <v>67.5</v>
      </c>
      <c r="M1951">
        <v>47.937235809999997</v>
      </c>
      <c r="N1951">
        <v>0.41599678000000001</v>
      </c>
      <c r="O1951">
        <v>2.0950346999999998</v>
      </c>
      <c r="P1951">
        <v>83.757575759999995</v>
      </c>
      <c r="Q1951">
        <v>22.60997987</v>
      </c>
      <c r="R1951">
        <v>0.72884000000000004</v>
      </c>
      <c r="S1951">
        <v>0.21301339999999999</v>
      </c>
      <c r="T1951" t="s">
        <v>1016</v>
      </c>
      <c r="U1951">
        <v>25.327255940000001</v>
      </c>
    </row>
    <row r="1952" spans="1:21" x14ac:dyDescent="0.25">
      <c r="A1952" t="s">
        <v>45</v>
      </c>
      <c r="B1952" t="s">
        <v>970</v>
      </c>
      <c r="C1952">
        <v>2</v>
      </c>
      <c r="D1952" t="s">
        <v>27</v>
      </c>
      <c r="E1952" t="s">
        <v>95</v>
      </c>
      <c r="F1952" t="s">
        <v>112</v>
      </c>
      <c r="G1952" t="s">
        <v>121</v>
      </c>
      <c r="H1952" t="s">
        <v>113</v>
      </c>
      <c r="J1952">
        <v>0</v>
      </c>
      <c r="K1952">
        <v>8</v>
      </c>
      <c r="L1952">
        <v>65.09375</v>
      </c>
      <c r="M1952">
        <v>37.895352600000002</v>
      </c>
      <c r="N1952">
        <v>2.2882677779999998</v>
      </c>
      <c r="O1952">
        <v>2.2111774</v>
      </c>
      <c r="P1952">
        <v>83.757575759999995</v>
      </c>
      <c r="Q1952">
        <v>22.60997987</v>
      </c>
      <c r="R1952">
        <v>0.72884000000000004</v>
      </c>
      <c r="S1952">
        <v>0.21301339999999999</v>
      </c>
      <c r="T1952" t="s">
        <v>1016</v>
      </c>
      <c r="U1952">
        <v>15.285372730000001</v>
      </c>
    </row>
    <row r="1953" spans="1:21" x14ac:dyDescent="0.25">
      <c r="A1953" t="s">
        <v>45</v>
      </c>
      <c r="B1953" t="s">
        <v>970</v>
      </c>
      <c r="C1953">
        <v>2</v>
      </c>
      <c r="D1953" t="s">
        <v>27</v>
      </c>
      <c r="E1953" t="s">
        <v>95</v>
      </c>
      <c r="F1953" t="s">
        <v>112</v>
      </c>
      <c r="G1953" t="s">
        <v>121</v>
      </c>
      <c r="H1953" t="s">
        <v>113</v>
      </c>
      <c r="J1953">
        <v>0</v>
      </c>
      <c r="K1953">
        <v>8</v>
      </c>
      <c r="L1953">
        <v>65.09375</v>
      </c>
      <c r="M1953">
        <v>37.895352600000002</v>
      </c>
      <c r="N1953">
        <v>2.2882677779999998</v>
      </c>
      <c r="O1953">
        <v>2.2111774</v>
      </c>
      <c r="P1953">
        <v>83.757575759999995</v>
      </c>
      <c r="Q1953">
        <v>22.60997987</v>
      </c>
      <c r="R1953">
        <v>0.72884000000000004</v>
      </c>
      <c r="S1953">
        <v>0.21301339999999999</v>
      </c>
      <c r="T1953" t="s">
        <v>1016</v>
      </c>
      <c r="U1953">
        <v>15.285372730000001</v>
      </c>
    </row>
    <row r="1954" spans="1:21" x14ac:dyDescent="0.25">
      <c r="A1954" t="s">
        <v>45</v>
      </c>
      <c r="B1954" t="s">
        <v>970</v>
      </c>
      <c r="C1954">
        <v>2</v>
      </c>
      <c r="D1954" t="s">
        <v>27</v>
      </c>
      <c r="E1954" t="s">
        <v>95</v>
      </c>
      <c r="F1954" t="s">
        <v>112</v>
      </c>
      <c r="G1954" t="s">
        <v>121</v>
      </c>
      <c r="H1954" t="s">
        <v>113</v>
      </c>
      <c r="J1954">
        <v>0</v>
      </c>
      <c r="K1954">
        <v>8</v>
      </c>
      <c r="L1954">
        <v>65.09375</v>
      </c>
      <c r="M1954">
        <v>37.895352600000002</v>
      </c>
      <c r="N1954">
        <v>2.2882677779999998</v>
      </c>
      <c r="O1954">
        <v>2.2111774</v>
      </c>
      <c r="P1954">
        <v>83.757575759999995</v>
      </c>
      <c r="Q1954">
        <v>22.60997987</v>
      </c>
      <c r="R1954">
        <v>0.72884000000000004</v>
      </c>
      <c r="S1954">
        <v>0.21301339999999999</v>
      </c>
      <c r="T1954" t="s">
        <v>1016</v>
      </c>
      <c r="U1954">
        <v>15.285372730000001</v>
      </c>
    </row>
    <row r="1955" spans="1:21" x14ac:dyDescent="0.25">
      <c r="A1955" t="s">
        <v>45</v>
      </c>
      <c r="B1955" t="s">
        <v>970</v>
      </c>
      <c r="C1955">
        <v>2</v>
      </c>
      <c r="D1955" t="s">
        <v>27</v>
      </c>
      <c r="E1955" t="s">
        <v>95</v>
      </c>
      <c r="F1955" t="s">
        <v>112</v>
      </c>
      <c r="G1955" t="s">
        <v>121</v>
      </c>
      <c r="H1955" t="s">
        <v>113</v>
      </c>
      <c r="J1955">
        <v>0</v>
      </c>
      <c r="K1955">
        <v>8</v>
      </c>
      <c r="L1955">
        <v>65.09375</v>
      </c>
      <c r="M1955">
        <v>37.895352600000002</v>
      </c>
      <c r="N1955">
        <v>2.2882677779999998</v>
      </c>
      <c r="O1955">
        <v>2.2111774</v>
      </c>
      <c r="P1955">
        <v>83.757575759999995</v>
      </c>
      <c r="Q1955">
        <v>22.60997987</v>
      </c>
      <c r="R1955">
        <v>0.72884000000000004</v>
      </c>
      <c r="S1955">
        <v>0.21301339999999999</v>
      </c>
      <c r="T1955" t="s">
        <v>1016</v>
      </c>
      <c r="U1955">
        <v>15.285372730000001</v>
      </c>
    </row>
    <row r="1956" spans="1:21" x14ac:dyDescent="0.25">
      <c r="A1956" t="s">
        <v>45</v>
      </c>
      <c r="B1956" t="s">
        <v>970</v>
      </c>
      <c r="C1956">
        <v>2</v>
      </c>
      <c r="D1956" t="s">
        <v>27</v>
      </c>
      <c r="E1956" t="s">
        <v>95</v>
      </c>
      <c r="F1956" t="s">
        <v>112</v>
      </c>
      <c r="G1956" t="s">
        <v>121</v>
      </c>
      <c r="H1956" t="s">
        <v>113</v>
      </c>
      <c r="J1956">
        <v>0</v>
      </c>
      <c r="K1956">
        <v>8</v>
      </c>
      <c r="L1956">
        <v>65.09375</v>
      </c>
      <c r="M1956">
        <v>37.895352600000002</v>
      </c>
      <c r="N1956">
        <v>2.2882677779999998</v>
      </c>
      <c r="O1956">
        <v>2.2111774</v>
      </c>
      <c r="P1956">
        <v>83.757575759999995</v>
      </c>
      <c r="Q1956">
        <v>22.60997987</v>
      </c>
      <c r="R1956">
        <v>0.72884000000000004</v>
      </c>
      <c r="S1956">
        <v>0.21301339999999999</v>
      </c>
      <c r="T1956" t="s">
        <v>1016</v>
      </c>
      <c r="U1956">
        <v>15.285372730000001</v>
      </c>
    </row>
    <row r="1957" spans="1:21" x14ac:dyDescent="0.25">
      <c r="A1957" t="s">
        <v>45</v>
      </c>
      <c r="B1957" t="s">
        <v>970</v>
      </c>
      <c r="C1957">
        <v>2</v>
      </c>
      <c r="D1957" t="s">
        <v>27</v>
      </c>
      <c r="E1957" t="s">
        <v>95</v>
      </c>
      <c r="F1957" t="s">
        <v>112</v>
      </c>
      <c r="G1957" t="s">
        <v>121</v>
      </c>
      <c r="H1957" t="s">
        <v>113</v>
      </c>
      <c r="J1957">
        <v>0</v>
      </c>
      <c r="K1957">
        <v>8</v>
      </c>
      <c r="L1957">
        <v>65.09375</v>
      </c>
      <c r="M1957">
        <v>37.895352600000002</v>
      </c>
      <c r="N1957">
        <v>2.2882677779999998</v>
      </c>
      <c r="O1957">
        <v>2.2111774</v>
      </c>
      <c r="P1957">
        <v>83.757575759999995</v>
      </c>
      <c r="Q1957">
        <v>22.60997987</v>
      </c>
      <c r="R1957">
        <v>0.72884000000000004</v>
      </c>
      <c r="S1957">
        <v>0.21301339999999999</v>
      </c>
      <c r="T1957" t="s">
        <v>1016</v>
      </c>
      <c r="U1957">
        <v>15.285372730000001</v>
      </c>
    </row>
    <row r="1958" spans="1:21" x14ac:dyDescent="0.25">
      <c r="A1958" t="s">
        <v>45</v>
      </c>
      <c r="B1958" t="s">
        <v>970</v>
      </c>
      <c r="C1958">
        <v>2</v>
      </c>
      <c r="D1958" t="s">
        <v>27</v>
      </c>
      <c r="E1958" t="s">
        <v>95</v>
      </c>
      <c r="F1958" t="s">
        <v>112</v>
      </c>
      <c r="G1958" t="s">
        <v>121</v>
      </c>
      <c r="H1958" t="s">
        <v>113</v>
      </c>
      <c r="J1958">
        <v>0</v>
      </c>
      <c r="K1958">
        <v>8</v>
      </c>
      <c r="L1958">
        <v>65.09375</v>
      </c>
      <c r="M1958">
        <v>37.895352600000002</v>
      </c>
      <c r="N1958">
        <v>2.2882677779999998</v>
      </c>
      <c r="O1958">
        <v>2.2111774</v>
      </c>
      <c r="P1958">
        <v>83.757575759999995</v>
      </c>
      <c r="Q1958">
        <v>22.60997987</v>
      </c>
      <c r="R1958">
        <v>0.72884000000000004</v>
      </c>
      <c r="S1958">
        <v>0.21301339999999999</v>
      </c>
      <c r="T1958" t="s">
        <v>1016</v>
      </c>
      <c r="U1958">
        <v>15.285372730000001</v>
      </c>
    </row>
    <row r="1959" spans="1:21" x14ac:dyDescent="0.25">
      <c r="A1959" t="s">
        <v>45</v>
      </c>
      <c r="B1959" t="s">
        <v>970</v>
      </c>
      <c r="C1959">
        <v>2</v>
      </c>
      <c r="D1959" t="s">
        <v>27</v>
      </c>
      <c r="E1959" t="s">
        <v>95</v>
      </c>
      <c r="F1959" t="s">
        <v>112</v>
      </c>
      <c r="G1959" t="s">
        <v>121</v>
      </c>
      <c r="H1959" t="s">
        <v>113</v>
      </c>
      <c r="J1959">
        <v>0</v>
      </c>
      <c r="K1959">
        <v>8</v>
      </c>
      <c r="L1959">
        <v>65.09375</v>
      </c>
      <c r="M1959">
        <v>37.895352600000002</v>
      </c>
      <c r="N1959">
        <v>2.2882677779999998</v>
      </c>
      <c r="O1959">
        <v>2.2111774</v>
      </c>
      <c r="P1959">
        <v>83.757575759999995</v>
      </c>
      <c r="Q1959">
        <v>22.60997987</v>
      </c>
      <c r="R1959">
        <v>0.72884000000000004</v>
      </c>
      <c r="S1959">
        <v>0.21301339999999999</v>
      </c>
      <c r="T1959" t="s">
        <v>1016</v>
      </c>
      <c r="U1959">
        <v>15.285372730000001</v>
      </c>
    </row>
    <row r="1960" spans="1:21" x14ac:dyDescent="0.25">
      <c r="A1960" t="s">
        <v>45</v>
      </c>
      <c r="B1960" t="s">
        <v>970</v>
      </c>
      <c r="C1960">
        <v>2</v>
      </c>
      <c r="D1960" t="s">
        <v>27</v>
      </c>
      <c r="E1960" t="s">
        <v>95</v>
      </c>
      <c r="F1960" t="s">
        <v>112</v>
      </c>
      <c r="G1960" t="s">
        <v>121</v>
      </c>
      <c r="H1960" t="s">
        <v>103</v>
      </c>
      <c r="J1960">
        <v>0</v>
      </c>
      <c r="K1960">
        <v>1</v>
      </c>
      <c r="L1960">
        <v>65.09375</v>
      </c>
      <c r="M1960">
        <v>37.895352600000002</v>
      </c>
      <c r="N1960">
        <v>2.2882677779999998</v>
      </c>
      <c r="O1960">
        <v>2.2111774</v>
      </c>
      <c r="P1960">
        <v>98.291666669999998</v>
      </c>
      <c r="Q1960">
        <v>30.315130790000001</v>
      </c>
      <c r="R1960">
        <v>5.0803484000000003E-2</v>
      </c>
      <c r="S1960">
        <v>0.42866070000000001</v>
      </c>
      <c r="T1960" t="s">
        <v>1016</v>
      </c>
      <c r="U1960">
        <v>7.5802218100000003</v>
      </c>
    </row>
    <row r="1961" spans="1:21" x14ac:dyDescent="0.25">
      <c r="A1961" t="s">
        <v>46</v>
      </c>
      <c r="B1961" t="s">
        <v>971</v>
      </c>
      <c r="C1961">
        <v>2</v>
      </c>
      <c r="D1961" t="s">
        <v>29</v>
      </c>
      <c r="E1961" t="s">
        <v>95</v>
      </c>
      <c r="F1961" t="s">
        <v>102</v>
      </c>
      <c r="G1961" t="s">
        <v>121</v>
      </c>
      <c r="H1961" t="s">
        <v>114</v>
      </c>
      <c r="J1961">
        <v>0</v>
      </c>
      <c r="K1961" t="s">
        <v>114</v>
      </c>
      <c r="L1961">
        <v>84.740740740000007</v>
      </c>
      <c r="M1961">
        <v>29.167014049999999</v>
      </c>
      <c r="N1961">
        <v>1.1169849999999999</v>
      </c>
      <c r="O1961">
        <v>1.1571499000000001</v>
      </c>
      <c r="P1961" t="s">
        <v>114</v>
      </c>
      <c r="Q1961" t="s">
        <v>114</v>
      </c>
      <c r="R1961" t="s">
        <v>114</v>
      </c>
      <c r="S1961" t="s">
        <v>114</v>
      </c>
      <c r="T1961" t="s">
        <v>1016</v>
      </c>
      <c r="U1961" t="s">
        <v>114</v>
      </c>
    </row>
    <row r="1962" spans="1:21" x14ac:dyDescent="0.25">
      <c r="A1962" t="s">
        <v>46</v>
      </c>
      <c r="B1962" t="s">
        <v>972</v>
      </c>
      <c r="C1962">
        <v>2</v>
      </c>
      <c r="D1962" t="s">
        <v>29</v>
      </c>
      <c r="E1962" t="s">
        <v>95</v>
      </c>
      <c r="F1962" t="s">
        <v>110</v>
      </c>
      <c r="G1962" t="s">
        <v>113</v>
      </c>
      <c r="H1962" t="s">
        <v>113</v>
      </c>
      <c r="J1962">
        <v>0</v>
      </c>
      <c r="K1962">
        <v>3</v>
      </c>
      <c r="L1962">
        <v>73.260869569999997</v>
      </c>
      <c r="M1962">
        <v>34.453830549999999</v>
      </c>
      <c r="N1962">
        <v>1.058333333</v>
      </c>
      <c r="O1962">
        <v>0.90897070000000002</v>
      </c>
      <c r="P1962">
        <v>83.757575759999995</v>
      </c>
      <c r="Q1962">
        <v>22.60997987</v>
      </c>
      <c r="R1962">
        <v>0.72884000000000004</v>
      </c>
      <c r="S1962">
        <v>0.21301339999999999</v>
      </c>
      <c r="T1962" t="s">
        <v>1016</v>
      </c>
      <c r="U1962">
        <v>11.843850679999999</v>
      </c>
    </row>
    <row r="1963" spans="1:21" x14ac:dyDescent="0.25">
      <c r="A1963" t="s">
        <v>46</v>
      </c>
      <c r="B1963" t="s">
        <v>972</v>
      </c>
      <c r="C1963">
        <v>2</v>
      </c>
      <c r="D1963" t="s">
        <v>29</v>
      </c>
      <c r="E1963" t="s">
        <v>95</v>
      </c>
      <c r="F1963" t="s">
        <v>110</v>
      </c>
      <c r="G1963" t="s">
        <v>113</v>
      </c>
      <c r="H1963" t="s">
        <v>113</v>
      </c>
      <c r="J1963">
        <v>0</v>
      </c>
      <c r="K1963">
        <v>3</v>
      </c>
      <c r="L1963">
        <v>73.260869569999997</v>
      </c>
      <c r="M1963">
        <v>34.453830549999999</v>
      </c>
      <c r="N1963">
        <v>1.058333333</v>
      </c>
      <c r="O1963">
        <v>0.90897070000000002</v>
      </c>
      <c r="P1963">
        <v>83.757575759999995</v>
      </c>
      <c r="Q1963">
        <v>22.60997987</v>
      </c>
      <c r="R1963">
        <v>0.72884000000000004</v>
      </c>
      <c r="S1963">
        <v>0.21301339999999999</v>
      </c>
      <c r="T1963" t="s">
        <v>1016</v>
      </c>
      <c r="U1963">
        <v>11.843850679999999</v>
      </c>
    </row>
    <row r="1964" spans="1:21" x14ac:dyDescent="0.25">
      <c r="A1964" t="s">
        <v>46</v>
      </c>
      <c r="B1964" t="s">
        <v>972</v>
      </c>
      <c r="C1964">
        <v>2</v>
      </c>
      <c r="D1964" t="s">
        <v>29</v>
      </c>
      <c r="E1964" t="s">
        <v>95</v>
      </c>
      <c r="F1964" t="s">
        <v>110</v>
      </c>
      <c r="G1964" t="s">
        <v>113</v>
      </c>
      <c r="H1964" t="s">
        <v>113</v>
      </c>
      <c r="J1964">
        <v>0</v>
      </c>
      <c r="K1964">
        <v>3</v>
      </c>
      <c r="L1964">
        <v>73.260869569999997</v>
      </c>
      <c r="M1964">
        <v>34.453830549999999</v>
      </c>
      <c r="N1964">
        <v>1.058333333</v>
      </c>
      <c r="O1964">
        <v>0.90897070000000002</v>
      </c>
      <c r="P1964">
        <v>83.757575759999995</v>
      </c>
      <c r="Q1964">
        <v>22.60997987</v>
      </c>
      <c r="R1964">
        <v>0.72884000000000004</v>
      </c>
      <c r="S1964">
        <v>0.21301339999999999</v>
      </c>
      <c r="T1964" t="s">
        <v>1016</v>
      </c>
      <c r="U1964">
        <v>11.843850679999999</v>
      </c>
    </row>
    <row r="1965" spans="1:21" x14ac:dyDescent="0.25">
      <c r="A1965" t="s">
        <v>46</v>
      </c>
      <c r="B1965" t="s">
        <v>973</v>
      </c>
      <c r="C1965">
        <v>2</v>
      </c>
      <c r="D1965" t="s">
        <v>29</v>
      </c>
      <c r="E1965" t="s">
        <v>95</v>
      </c>
      <c r="F1965" t="s">
        <v>112</v>
      </c>
      <c r="G1965" t="s">
        <v>121</v>
      </c>
      <c r="H1965" t="s">
        <v>114</v>
      </c>
      <c r="J1965">
        <v>0</v>
      </c>
      <c r="K1965" t="s">
        <v>114</v>
      </c>
      <c r="L1965">
        <v>65.09375</v>
      </c>
      <c r="M1965">
        <v>37.895352600000002</v>
      </c>
      <c r="N1965">
        <v>2.2882677779999998</v>
      </c>
      <c r="O1965">
        <v>2.2111774</v>
      </c>
      <c r="P1965" t="s">
        <v>114</v>
      </c>
      <c r="Q1965" t="s">
        <v>114</v>
      </c>
      <c r="R1965" t="s">
        <v>114</v>
      </c>
      <c r="S1965" t="s">
        <v>114</v>
      </c>
      <c r="T1965" t="s">
        <v>1016</v>
      </c>
      <c r="U1965" t="s">
        <v>114</v>
      </c>
    </row>
    <row r="1966" spans="1:21" x14ac:dyDescent="0.25">
      <c r="A1966" t="s">
        <v>47</v>
      </c>
      <c r="B1966" t="s">
        <v>974</v>
      </c>
      <c r="C1966">
        <v>2</v>
      </c>
      <c r="D1966" t="s">
        <v>31</v>
      </c>
      <c r="E1966" t="s">
        <v>94</v>
      </c>
      <c r="F1966" t="s">
        <v>112</v>
      </c>
      <c r="G1966" t="s">
        <v>112</v>
      </c>
      <c r="H1966" t="s">
        <v>112</v>
      </c>
      <c r="J1966">
        <v>0</v>
      </c>
      <c r="K1966">
        <v>1</v>
      </c>
      <c r="L1966">
        <v>65.09375</v>
      </c>
      <c r="M1966">
        <v>37.895352600000002</v>
      </c>
      <c r="N1966">
        <v>2.2882677779999998</v>
      </c>
      <c r="O1966">
        <v>2.2111774</v>
      </c>
      <c r="P1966">
        <v>65.09375</v>
      </c>
      <c r="Q1966">
        <v>37.895352600000002</v>
      </c>
      <c r="R1966">
        <v>2.2882677779999998</v>
      </c>
      <c r="S1966">
        <v>2.2111774</v>
      </c>
      <c r="T1966" t="s">
        <v>1016</v>
      </c>
      <c r="U1966">
        <v>0</v>
      </c>
    </row>
    <row r="1967" spans="1:21" x14ac:dyDescent="0.25">
      <c r="A1967" t="s">
        <v>47</v>
      </c>
      <c r="B1967" t="s">
        <v>974</v>
      </c>
      <c r="C1967">
        <v>2</v>
      </c>
      <c r="D1967" t="s">
        <v>31</v>
      </c>
      <c r="E1967" t="s">
        <v>94</v>
      </c>
      <c r="F1967" t="s">
        <v>112</v>
      </c>
      <c r="G1967" t="s">
        <v>112</v>
      </c>
      <c r="H1967" t="s">
        <v>113</v>
      </c>
      <c r="J1967">
        <v>0</v>
      </c>
      <c r="K1967">
        <v>1</v>
      </c>
      <c r="L1967">
        <v>65.09375</v>
      </c>
      <c r="M1967">
        <v>37.895352600000002</v>
      </c>
      <c r="N1967">
        <v>2.2882677779999998</v>
      </c>
      <c r="O1967">
        <v>2.2111774</v>
      </c>
      <c r="P1967">
        <v>83.757575759999995</v>
      </c>
      <c r="Q1967">
        <v>22.60997987</v>
      </c>
      <c r="R1967">
        <v>0.72884000000000004</v>
      </c>
      <c r="S1967">
        <v>0.21301339999999999</v>
      </c>
      <c r="T1967" t="s">
        <v>1016</v>
      </c>
      <c r="U1967">
        <v>15.285372730000001</v>
      </c>
    </row>
    <row r="1968" spans="1:21" x14ac:dyDescent="0.25">
      <c r="A1968" t="s">
        <v>48</v>
      </c>
      <c r="B1968" t="s">
        <v>975</v>
      </c>
      <c r="C1968">
        <v>2</v>
      </c>
      <c r="D1968" t="s">
        <v>33</v>
      </c>
      <c r="E1968" t="s">
        <v>95</v>
      </c>
      <c r="F1968" t="s">
        <v>105</v>
      </c>
      <c r="G1968" t="s">
        <v>104</v>
      </c>
      <c r="H1968" t="s">
        <v>103</v>
      </c>
      <c r="J1968">
        <v>0</v>
      </c>
      <c r="K1968">
        <v>1</v>
      </c>
      <c r="L1968">
        <v>67.5</v>
      </c>
      <c r="M1968">
        <v>47.937235809999997</v>
      </c>
      <c r="N1968">
        <v>0.41599678000000001</v>
      </c>
      <c r="O1968">
        <v>2.0950346999999998</v>
      </c>
      <c r="P1968">
        <v>98.291666669999998</v>
      </c>
      <c r="Q1968">
        <v>30.315130790000001</v>
      </c>
      <c r="R1968">
        <v>5.0803484000000003E-2</v>
      </c>
      <c r="S1968">
        <v>0.42866070000000001</v>
      </c>
      <c r="T1968" t="s">
        <v>1016</v>
      </c>
      <c r="U1968">
        <v>17.622105019999999</v>
      </c>
    </row>
    <row r="1969" spans="1:21" x14ac:dyDescent="0.25">
      <c r="A1969" t="s">
        <v>48</v>
      </c>
      <c r="B1969" t="s">
        <v>975</v>
      </c>
      <c r="C1969">
        <v>2</v>
      </c>
      <c r="D1969" t="s">
        <v>33</v>
      </c>
      <c r="E1969" t="s">
        <v>95</v>
      </c>
      <c r="F1969" t="s">
        <v>105</v>
      </c>
      <c r="G1969" t="s">
        <v>104</v>
      </c>
      <c r="H1969" t="s">
        <v>104</v>
      </c>
      <c r="J1969">
        <v>0</v>
      </c>
      <c r="K1969">
        <v>2</v>
      </c>
      <c r="L1969">
        <v>67.5</v>
      </c>
      <c r="M1969">
        <v>47.937235809999997</v>
      </c>
      <c r="N1969">
        <v>0.41599678000000001</v>
      </c>
      <c r="O1969">
        <v>2.0950346999999998</v>
      </c>
      <c r="P1969">
        <v>113.9375</v>
      </c>
      <c r="Q1969">
        <v>33.375507550000002</v>
      </c>
      <c r="R1969">
        <v>2.4262999999999999</v>
      </c>
      <c r="S1969">
        <v>0.40692159999999999</v>
      </c>
      <c r="T1969" t="s">
        <v>1016</v>
      </c>
      <c r="U1969">
        <v>14.561728260000001</v>
      </c>
    </row>
    <row r="1970" spans="1:21" x14ac:dyDescent="0.25">
      <c r="A1970" t="s">
        <v>48</v>
      </c>
      <c r="B1970" t="s">
        <v>975</v>
      </c>
      <c r="C1970">
        <v>2</v>
      </c>
      <c r="D1970" t="s">
        <v>33</v>
      </c>
      <c r="E1970" t="s">
        <v>95</v>
      </c>
      <c r="F1970" t="s">
        <v>105</v>
      </c>
      <c r="G1970" t="s">
        <v>104</v>
      </c>
      <c r="H1970" t="s">
        <v>104</v>
      </c>
      <c r="J1970">
        <v>0</v>
      </c>
      <c r="K1970">
        <v>2</v>
      </c>
      <c r="L1970">
        <v>67.5</v>
      </c>
      <c r="M1970">
        <v>47.937235809999997</v>
      </c>
      <c r="N1970">
        <v>0.41599678000000001</v>
      </c>
      <c r="O1970">
        <v>2.0950346999999998</v>
      </c>
      <c r="P1970">
        <v>113.9375</v>
      </c>
      <c r="Q1970">
        <v>33.375507550000002</v>
      </c>
      <c r="R1970">
        <v>2.4262999999999999</v>
      </c>
      <c r="S1970">
        <v>0.40692159999999999</v>
      </c>
      <c r="T1970" t="s">
        <v>1016</v>
      </c>
      <c r="U1970">
        <v>14.561728260000001</v>
      </c>
    </row>
    <row r="1971" spans="1:21" x14ac:dyDescent="0.25">
      <c r="A1971" t="s">
        <v>48</v>
      </c>
      <c r="B1971" t="s">
        <v>976</v>
      </c>
      <c r="C1971">
        <v>2</v>
      </c>
      <c r="D1971" t="s">
        <v>33</v>
      </c>
      <c r="E1971" t="s">
        <v>95</v>
      </c>
      <c r="F1971" t="s">
        <v>111</v>
      </c>
      <c r="G1971" t="s">
        <v>113</v>
      </c>
      <c r="H1971" t="s">
        <v>113</v>
      </c>
      <c r="J1971">
        <v>0</v>
      </c>
      <c r="K1971">
        <v>1</v>
      </c>
      <c r="L1971">
        <v>94.97142857</v>
      </c>
      <c r="M1971">
        <v>24.31591813</v>
      </c>
      <c r="N1971">
        <v>0.122951111</v>
      </c>
      <c r="O1971">
        <v>0.39050790000000002</v>
      </c>
      <c r="P1971">
        <v>83.757575759999995</v>
      </c>
      <c r="Q1971">
        <v>22.60997987</v>
      </c>
      <c r="R1971">
        <v>0.72884000000000004</v>
      </c>
      <c r="S1971">
        <v>0.21301339999999999</v>
      </c>
      <c r="T1971" t="s">
        <v>1016</v>
      </c>
      <c r="U1971">
        <v>1.7059382599999999</v>
      </c>
    </row>
    <row r="1972" spans="1:21" x14ac:dyDescent="0.25">
      <c r="A1972" t="s">
        <v>48</v>
      </c>
      <c r="B1972" t="s">
        <v>976</v>
      </c>
      <c r="C1972">
        <v>2</v>
      </c>
      <c r="D1972" t="s">
        <v>33</v>
      </c>
      <c r="E1972" t="s">
        <v>95</v>
      </c>
      <c r="F1972" t="s">
        <v>111</v>
      </c>
      <c r="G1972" t="s">
        <v>113</v>
      </c>
      <c r="H1972" t="s">
        <v>241</v>
      </c>
      <c r="J1972">
        <v>0</v>
      </c>
      <c r="K1972">
        <v>1</v>
      </c>
      <c r="L1972">
        <v>94.97142857</v>
      </c>
      <c r="M1972">
        <v>24.31591813</v>
      </c>
      <c r="N1972">
        <v>0.122951111</v>
      </c>
      <c r="O1972">
        <v>0.39050790000000002</v>
      </c>
      <c r="P1972">
        <v>114</v>
      </c>
      <c r="Q1972">
        <v>30.43077242</v>
      </c>
      <c r="R1972">
        <v>0.53383111100000002</v>
      </c>
      <c r="S1972">
        <v>0.28333332999999999</v>
      </c>
      <c r="T1972" t="s">
        <v>1016</v>
      </c>
      <c r="U1972">
        <v>-6.1148542900000002</v>
      </c>
    </row>
    <row r="1973" spans="1:21" x14ac:dyDescent="0.25">
      <c r="A1973" t="s">
        <v>48</v>
      </c>
      <c r="B1973" t="s">
        <v>977</v>
      </c>
      <c r="C1973">
        <v>2</v>
      </c>
      <c r="D1973" t="s">
        <v>33</v>
      </c>
      <c r="E1973" t="s">
        <v>95</v>
      </c>
      <c r="F1973" t="s">
        <v>104</v>
      </c>
      <c r="G1973" t="s">
        <v>121</v>
      </c>
      <c r="H1973" t="s">
        <v>113</v>
      </c>
      <c r="J1973">
        <v>0</v>
      </c>
      <c r="K1973">
        <v>5</v>
      </c>
      <c r="L1973">
        <v>113.9375</v>
      </c>
      <c r="M1973">
        <v>33.375507550000002</v>
      </c>
      <c r="N1973">
        <v>2.4262999999999999</v>
      </c>
      <c r="O1973">
        <v>0.40692159999999999</v>
      </c>
      <c r="P1973">
        <v>83.757575759999995</v>
      </c>
      <c r="Q1973">
        <v>22.60997987</v>
      </c>
      <c r="R1973">
        <v>0.72884000000000004</v>
      </c>
      <c r="S1973">
        <v>0.21301339999999999</v>
      </c>
      <c r="T1973" t="s">
        <v>1016</v>
      </c>
      <c r="U1973">
        <v>10.76552768</v>
      </c>
    </row>
    <row r="1974" spans="1:21" x14ac:dyDescent="0.25">
      <c r="A1974" t="s">
        <v>48</v>
      </c>
      <c r="B1974" t="s">
        <v>977</v>
      </c>
      <c r="C1974">
        <v>2</v>
      </c>
      <c r="D1974" t="s">
        <v>33</v>
      </c>
      <c r="E1974" t="s">
        <v>95</v>
      </c>
      <c r="F1974" t="s">
        <v>104</v>
      </c>
      <c r="G1974" t="s">
        <v>121</v>
      </c>
      <c r="H1974" t="s">
        <v>113</v>
      </c>
      <c r="J1974">
        <v>0</v>
      </c>
      <c r="K1974">
        <v>5</v>
      </c>
      <c r="L1974">
        <v>113.9375</v>
      </c>
      <c r="M1974">
        <v>33.375507550000002</v>
      </c>
      <c r="N1974">
        <v>2.4262999999999999</v>
      </c>
      <c r="O1974">
        <v>0.40692159999999999</v>
      </c>
      <c r="P1974">
        <v>83.757575759999995</v>
      </c>
      <c r="Q1974">
        <v>22.60997987</v>
      </c>
      <c r="R1974">
        <v>0.72884000000000004</v>
      </c>
      <c r="S1974">
        <v>0.21301339999999999</v>
      </c>
      <c r="T1974" t="s">
        <v>1016</v>
      </c>
      <c r="U1974">
        <v>10.76552768</v>
      </c>
    </row>
    <row r="1975" spans="1:21" x14ac:dyDescent="0.25">
      <c r="A1975" t="s">
        <v>48</v>
      </c>
      <c r="B1975" t="s">
        <v>977</v>
      </c>
      <c r="C1975">
        <v>2</v>
      </c>
      <c r="D1975" t="s">
        <v>33</v>
      </c>
      <c r="E1975" t="s">
        <v>95</v>
      </c>
      <c r="F1975" t="s">
        <v>104</v>
      </c>
      <c r="G1975" t="s">
        <v>121</v>
      </c>
      <c r="H1975" t="s">
        <v>113</v>
      </c>
      <c r="J1975">
        <v>0</v>
      </c>
      <c r="K1975">
        <v>5</v>
      </c>
      <c r="L1975">
        <v>113.9375</v>
      </c>
      <c r="M1975">
        <v>33.375507550000002</v>
      </c>
      <c r="N1975">
        <v>2.4262999999999999</v>
      </c>
      <c r="O1975">
        <v>0.40692159999999999</v>
      </c>
      <c r="P1975">
        <v>83.757575759999995</v>
      </c>
      <c r="Q1975">
        <v>22.60997987</v>
      </c>
      <c r="R1975">
        <v>0.72884000000000004</v>
      </c>
      <c r="S1975">
        <v>0.21301339999999999</v>
      </c>
      <c r="T1975" t="s">
        <v>1016</v>
      </c>
      <c r="U1975">
        <v>10.76552768</v>
      </c>
    </row>
    <row r="1976" spans="1:21" x14ac:dyDescent="0.25">
      <c r="A1976" t="s">
        <v>48</v>
      </c>
      <c r="B1976" t="s">
        <v>977</v>
      </c>
      <c r="C1976">
        <v>2</v>
      </c>
      <c r="D1976" t="s">
        <v>33</v>
      </c>
      <c r="E1976" t="s">
        <v>95</v>
      </c>
      <c r="F1976" t="s">
        <v>104</v>
      </c>
      <c r="G1976" t="s">
        <v>121</v>
      </c>
      <c r="H1976" t="s">
        <v>113</v>
      </c>
      <c r="J1976">
        <v>0</v>
      </c>
      <c r="K1976">
        <v>5</v>
      </c>
      <c r="L1976">
        <v>113.9375</v>
      </c>
      <c r="M1976">
        <v>33.375507550000002</v>
      </c>
      <c r="N1976">
        <v>2.4262999999999999</v>
      </c>
      <c r="O1976">
        <v>0.40692159999999999</v>
      </c>
      <c r="P1976">
        <v>83.757575759999995</v>
      </c>
      <c r="Q1976">
        <v>22.60997987</v>
      </c>
      <c r="R1976">
        <v>0.72884000000000004</v>
      </c>
      <c r="S1976">
        <v>0.21301339999999999</v>
      </c>
      <c r="T1976" t="s">
        <v>1016</v>
      </c>
      <c r="U1976">
        <v>10.76552768</v>
      </c>
    </row>
    <row r="1977" spans="1:21" x14ac:dyDescent="0.25">
      <c r="A1977" t="s">
        <v>48</v>
      </c>
      <c r="B1977" t="s">
        <v>977</v>
      </c>
      <c r="C1977">
        <v>2</v>
      </c>
      <c r="D1977" t="s">
        <v>33</v>
      </c>
      <c r="E1977" t="s">
        <v>95</v>
      </c>
      <c r="F1977" t="s">
        <v>104</v>
      </c>
      <c r="G1977" t="s">
        <v>121</v>
      </c>
      <c r="H1977" t="s">
        <v>113</v>
      </c>
      <c r="J1977">
        <v>0</v>
      </c>
      <c r="K1977">
        <v>5</v>
      </c>
      <c r="L1977">
        <v>113.9375</v>
      </c>
      <c r="M1977">
        <v>33.375507550000002</v>
      </c>
      <c r="N1977">
        <v>2.4262999999999999</v>
      </c>
      <c r="O1977">
        <v>0.40692159999999999</v>
      </c>
      <c r="P1977">
        <v>83.757575759999995</v>
      </c>
      <c r="Q1977">
        <v>22.60997987</v>
      </c>
      <c r="R1977">
        <v>0.72884000000000004</v>
      </c>
      <c r="S1977">
        <v>0.21301339999999999</v>
      </c>
      <c r="T1977" t="s">
        <v>1016</v>
      </c>
      <c r="U1977">
        <v>10.76552768</v>
      </c>
    </row>
    <row r="1978" spans="1:21" x14ac:dyDescent="0.25">
      <c r="A1978" t="s">
        <v>48</v>
      </c>
      <c r="B1978" t="s">
        <v>977</v>
      </c>
      <c r="C1978">
        <v>2</v>
      </c>
      <c r="D1978" t="s">
        <v>33</v>
      </c>
      <c r="E1978" t="s">
        <v>95</v>
      </c>
      <c r="F1978" t="s">
        <v>104</v>
      </c>
      <c r="G1978" t="s">
        <v>121</v>
      </c>
      <c r="H1978" t="s">
        <v>104</v>
      </c>
      <c r="J1978">
        <v>0</v>
      </c>
      <c r="K1978">
        <v>2</v>
      </c>
      <c r="L1978">
        <v>113.9375</v>
      </c>
      <c r="M1978">
        <v>33.375507550000002</v>
      </c>
      <c r="N1978">
        <v>2.4262999999999999</v>
      </c>
      <c r="O1978">
        <v>0.40692159999999999</v>
      </c>
      <c r="P1978">
        <v>113.9375</v>
      </c>
      <c r="Q1978">
        <v>33.375507550000002</v>
      </c>
      <c r="R1978">
        <v>2.4262999999999999</v>
      </c>
      <c r="S1978">
        <v>0.40692159999999999</v>
      </c>
      <c r="T1978" t="s">
        <v>1016</v>
      </c>
      <c r="U1978">
        <v>0</v>
      </c>
    </row>
    <row r="1979" spans="1:21" x14ac:dyDescent="0.25">
      <c r="A1979" t="s">
        <v>48</v>
      </c>
      <c r="B1979" t="s">
        <v>977</v>
      </c>
      <c r="C1979">
        <v>2</v>
      </c>
      <c r="D1979" t="s">
        <v>33</v>
      </c>
      <c r="E1979" t="s">
        <v>95</v>
      </c>
      <c r="F1979" t="s">
        <v>104</v>
      </c>
      <c r="G1979" t="s">
        <v>121</v>
      </c>
      <c r="H1979" t="s">
        <v>104</v>
      </c>
      <c r="J1979">
        <v>0</v>
      </c>
      <c r="K1979">
        <v>2</v>
      </c>
      <c r="L1979">
        <v>113.9375</v>
      </c>
      <c r="M1979">
        <v>33.375507550000002</v>
      </c>
      <c r="N1979">
        <v>2.4262999999999999</v>
      </c>
      <c r="O1979">
        <v>0.40692159999999999</v>
      </c>
      <c r="P1979">
        <v>113.9375</v>
      </c>
      <c r="Q1979">
        <v>33.375507550000002</v>
      </c>
      <c r="R1979">
        <v>2.4262999999999999</v>
      </c>
      <c r="S1979">
        <v>0.40692159999999999</v>
      </c>
      <c r="T1979" t="s">
        <v>1016</v>
      </c>
      <c r="U1979">
        <v>0</v>
      </c>
    </row>
    <row r="1980" spans="1:21" x14ac:dyDescent="0.25">
      <c r="A1980" t="s">
        <v>48</v>
      </c>
      <c r="B1980" t="s">
        <v>977</v>
      </c>
      <c r="C1980">
        <v>2</v>
      </c>
      <c r="D1980" t="s">
        <v>33</v>
      </c>
      <c r="E1980" t="s">
        <v>95</v>
      </c>
      <c r="F1980" t="s">
        <v>104</v>
      </c>
      <c r="G1980" t="s">
        <v>121</v>
      </c>
      <c r="H1980" t="s">
        <v>103</v>
      </c>
      <c r="J1980">
        <v>0</v>
      </c>
      <c r="K1980">
        <v>1</v>
      </c>
      <c r="L1980">
        <v>113.9375</v>
      </c>
      <c r="M1980">
        <v>33.375507550000002</v>
      </c>
      <c r="N1980">
        <v>2.4262999999999999</v>
      </c>
      <c r="O1980">
        <v>0.40692159999999999</v>
      </c>
      <c r="P1980">
        <v>98.291666669999998</v>
      </c>
      <c r="Q1980">
        <v>30.315130790000001</v>
      </c>
      <c r="R1980">
        <v>5.0803484000000003E-2</v>
      </c>
      <c r="S1980">
        <v>0.42866070000000001</v>
      </c>
      <c r="T1980" t="s">
        <v>1016</v>
      </c>
      <c r="U1980">
        <v>3.06037676</v>
      </c>
    </row>
    <row r="1981" spans="1:21" x14ac:dyDescent="0.25">
      <c r="A1981" t="s">
        <v>49</v>
      </c>
      <c r="B1981" t="s">
        <v>978</v>
      </c>
      <c r="C1981">
        <v>2</v>
      </c>
      <c r="D1981" t="s">
        <v>35</v>
      </c>
      <c r="E1981" t="s">
        <v>94</v>
      </c>
      <c r="F1981" t="s">
        <v>102</v>
      </c>
      <c r="G1981" t="s">
        <v>112</v>
      </c>
      <c r="H1981" t="s">
        <v>112</v>
      </c>
      <c r="J1981">
        <v>0</v>
      </c>
      <c r="K1981">
        <v>1</v>
      </c>
      <c r="L1981">
        <v>84.740740740000007</v>
      </c>
      <c r="M1981">
        <v>29.167014049999999</v>
      </c>
      <c r="N1981">
        <v>1.1169849999999999</v>
      </c>
      <c r="O1981">
        <v>1.1571499000000001</v>
      </c>
      <c r="P1981">
        <v>65.09375</v>
      </c>
      <c r="Q1981">
        <v>37.895352600000002</v>
      </c>
      <c r="R1981">
        <v>2.2882677779999998</v>
      </c>
      <c r="S1981">
        <v>2.2111774</v>
      </c>
      <c r="T1981" t="s">
        <v>1016</v>
      </c>
      <c r="U1981">
        <v>-8.7283385500000001</v>
      </c>
    </row>
    <row r="1982" spans="1:21" x14ac:dyDescent="0.25">
      <c r="A1982" t="s">
        <v>49</v>
      </c>
      <c r="B1982" t="s">
        <v>978</v>
      </c>
      <c r="C1982">
        <v>2</v>
      </c>
      <c r="D1982" t="s">
        <v>35</v>
      </c>
      <c r="E1982" t="s">
        <v>94</v>
      </c>
      <c r="F1982" t="s">
        <v>102</v>
      </c>
      <c r="G1982" t="s">
        <v>112</v>
      </c>
      <c r="H1982" t="s">
        <v>104</v>
      </c>
      <c r="J1982">
        <v>0</v>
      </c>
      <c r="K1982">
        <v>5</v>
      </c>
      <c r="L1982">
        <v>84.740740740000007</v>
      </c>
      <c r="M1982">
        <v>29.167014049999999</v>
      </c>
      <c r="N1982">
        <v>1.1169849999999999</v>
      </c>
      <c r="O1982">
        <v>1.1571499000000001</v>
      </c>
      <c r="P1982">
        <v>113.9375</v>
      </c>
      <c r="Q1982">
        <v>33.375507550000002</v>
      </c>
      <c r="R1982">
        <v>2.4262999999999999</v>
      </c>
      <c r="S1982">
        <v>0.40692159999999999</v>
      </c>
      <c r="T1982" t="s">
        <v>1016</v>
      </c>
      <c r="U1982">
        <v>-4.2084935000000003</v>
      </c>
    </row>
    <row r="1983" spans="1:21" x14ac:dyDescent="0.25">
      <c r="A1983" t="s">
        <v>49</v>
      </c>
      <c r="B1983" t="s">
        <v>978</v>
      </c>
      <c r="C1983">
        <v>2</v>
      </c>
      <c r="D1983" t="s">
        <v>35</v>
      </c>
      <c r="E1983" t="s">
        <v>94</v>
      </c>
      <c r="F1983" t="s">
        <v>102</v>
      </c>
      <c r="G1983" t="s">
        <v>112</v>
      </c>
      <c r="H1983" t="s">
        <v>104</v>
      </c>
      <c r="J1983">
        <v>0</v>
      </c>
      <c r="K1983">
        <v>5</v>
      </c>
      <c r="L1983">
        <v>84.740740740000007</v>
      </c>
      <c r="M1983">
        <v>29.167014049999999</v>
      </c>
      <c r="N1983">
        <v>1.1169849999999999</v>
      </c>
      <c r="O1983">
        <v>1.1571499000000001</v>
      </c>
      <c r="P1983">
        <v>113.9375</v>
      </c>
      <c r="Q1983">
        <v>33.375507550000002</v>
      </c>
      <c r="R1983">
        <v>2.4262999999999999</v>
      </c>
      <c r="S1983">
        <v>0.40692159999999999</v>
      </c>
      <c r="T1983" t="s">
        <v>1016</v>
      </c>
      <c r="U1983">
        <v>-4.2084935000000003</v>
      </c>
    </row>
    <row r="1984" spans="1:21" x14ac:dyDescent="0.25">
      <c r="A1984" t="s">
        <v>49</v>
      </c>
      <c r="B1984" t="s">
        <v>978</v>
      </c>
      <c r="C1984">
        <v>2</v>
      </c>
      <c r="D1984" t="s">
        <v>35</v>
      </c>
      <c r="E1984" t="s">
        <v>94</v>
      </c>
      <c r="F1984" t="s">
        <v>102</v>
      </c>
      <c r="G1984" t="s">
        <v>112</v>
      </c>
      <c r="H1984" t="s">
        <v>104</v>
      </c>
      <c r="J1984">
        <v>0</v>
      </c>
      <c r="K1984">
        <v>5</v>
      </c>
      <c r="L1984">
        <v>84.740740740000007</v>
      </c>
      <c r="M1984">
        <v>29.167014049999999</v>
      </c>
      <c r="N1984">
        <v>1.1169849999999999</v>
      </c>
      <c r="O1984">
        <v>1.1571499000000001</v>
      </c>
      <c r="P1984">
        <v>113.9375</v>
      </c>
      <c r="Q1984">
        <v>33.375507550000002</v>
      </c>
      <c r="R1984">
        <v>2.4262999999999999</v>
      </c>
      <c r="S1984">
        <v>0.40692159999999999</v>
      </c>
      <c r="T1984" t="s">
        <v>1016</v>
      </c>
      <c r="U1984">
        <v>-4.2084935000000003</v>
      </c>
    </row>
    <row r="1985" spans="1:21" x14ac:dyDescent="0.25">
      <c r="A1985" t="s">
        <v>49</v>
      </c>
      <c r="B1985" t="s">
        <v>978</v>
      </c>
      <c r="C1985">
        <v>2</v>
      </c>
      <c r="D1985" t="s">
        <v>35</v>
      </c>
      <c r="E1985" t="s">
        <v>94</v>
      </c>
      <c r="F1985" t="s">
        <v>102</v>
      </c>
      <c r="G1985" t="s">
        <v>112</v>
      </c>
      <c r="H1985" t="s">
        <v>104</v>
      </c>
      <c r="J1985">
        <v>0</v>
      </c>
      <c r="K1985">
        <v>5</v>
      </c>
      <c r="L1985">
        <v>84.740740740000007</v>
      </c>
      <c r="M1985">
        <v>29.167014049999999</v>
      </c>
      <c r="N1985">
        <v>1.1169849999999999</v>
      </c>
      <c r="O1985">
        <v>1.1571499000000001</v>
      </c>
      <c r="P1985">
        <v>113.9375</v>
      </c>
      <c r="Q1985">
        <v>33.375507550000002</v>
      </c>
      <c r="R1985">
        <v>2.4262999999999999</v>
      </c>
      <c r="S1985">
        <v>0.40692159999999999</v>
      </c>
      <c r="T1985" t="s">
        <v>1016</v>
      </c>
      <c r="U1985">
        <v>-4.2084935000000003</v>
      </c>
    </row>
    <row r="1986" spans="1:21" x14ac:dyDescent="0.25">
      <c r="A1986" t="s">
        <v>49</v>
      </c>
      <c r="B1986" t="s">
        <v>978</v>
      </c>
      <c r="C1986">
        <v>2</v>
      </c>
      <c r="D1986" t="s">
        <v>35</v>
      </c>
      <c r="E1986" t="s">
        <v>94</v>
      </c>
      <c r="F1986" t="s">
        <v>102</v>
      </c>
      <c r="G1986" t="s">
        <v>112</v>
      </c>
      <c r="H1986" t="s">
        <v>104</v>
      </c>
      <c r="J1986">
        <v>0</v>
      </c>
      <c r="K1986">
        <v>5</v>
      </c>
      <c r="L1986">
        <v>84.740740740000007</v>
      </c>
      <c r="M1986">
        <v>29.167014049999999</v>
      </c>
      <c r="N1986">
        <v>1.1169849999999999</v>
      </c>
      <c r="O1986">
        <v>1.1571499000000001</v>
      </c>
      <c r="P1986">
        <v>113.9375</v>
      </c>
      <c r="Q1986">
        <v>33.375507550000002</v>
      </c>
      <c r="R1986">
        <v>2.4262999999999999</v>
      </c>
      <c r="S1986">
        <v>0.40692159999999999</v>
      </c>
      <c r="T1986" t="s">
        <v>1016</v>
      </c>
      <c r="U1986">
        <v>-4.2084935000000003</v>
      </c>
    </row>
    <row r="1987" spans="1:21" x14ac:dyDescent="0.25">
      <c r="A1987" t="s">
        <v>49</v>
      </c>
      <c r="B1987" t="s">
        <v>979</v>
      </c>
      <c r="C1987">
        <v>2</v>
      </c>
      <c r="D1987" t="s">
        <v>35</v>
      </c>
      <c r="E1987" t="s">
        <v>94</v>
      </c>
      <c r="F1987" t="s">
        <v>112</v>
      </c>
      <c r="G1987" t="s">
        <v>112</v>
      </c>
      <c r="H1987" t="s">
        <v>112</v>
      </c>
      <c r="J1987">
        <v>0</v>
      </c>
      <c r="K1987">
        <v>1</v>
      </c>
      <c r="L1987">
        <v>65.09375</v>
      </c>
      <c r="M1987">
        <v>37.895352600000002</v>
      </c>
      <c r="N1987">
        <v>2.2882677779999998</v>
      </c>
      <c r="O1987">
        <v>2.2111774</v>
      </c>
      <c r="P1987">
        <v>65.09375</v>
      </c>
      <c r="Q1987">
        <v>37.895352600000002</v>
      </c>
      <c r="R1987">
        <v>2.2882677779999998</v>
      </c>
      <c r="S1987">
        <v>2.2111774</v>
      </c>
      <c r="T1987" t="s">
        <v>1016</v>
      </c>
      <c r="U1987">
        <v>0</v>
      </c>
    </row>
    <row r="1988" spans="1:21" x14ac:dyDescent="0.25">
      <c r="A1988" t="s">
        <v>49</v>
      </c>
      <c r="B1988" t="s">
        <v>979</v>
      </c>
      <c r="C1988">
        <v>2</v>
      </c>
      <c r="D1988" t="s">
        <v>35</v>
      </c>
      <c r="E1988" t="s">
        <v>94</v>
      </c>
      <c r="F1988" t="s">
        <v>112</v>
      </c>
      <c r="G1988" t="s">
        <v>112</v>
      </c>
      <c r="H1988" t="s">
        <v>103</v>
      </c>
      <c r="J1988">
        <v>0</v>
      </c>
      <c r="K1988">
        <v>1</v>
      </c>
      <c r="L1988">
        <v>65.09375</v>
      </c>
      <c r="M1988">
        <v>37.895352600000002</v>
      </c>
      <c r="N1988">
        <v>2.2882677779999998</v>
      </c>
      <c r="O1988">
        <v>2.2111774</v>
      </c>
      <c r="P1988">
        <v>98.291666669999998</v>
      </c>
      <c r="Q1988">
        <v>30.315130790000001</v>
      </c>
      <c r="R1988">
        <v>5.0803484000000003E-2</v>
      </c>
      <c r="S1988">
        <v>0.42866070000000001</v>
      </c>
      <c r="T1988" t="s">
        <v>1016</v>
      </c>
      <c r="U1988">
        <v>7.5802218100000003</v>
      </c>
    </row>
    <row r="1989" spans="1:21" x14ac:dyDescent="0.25">
      <c r="A1989" t="s">
        <v>79</v>
      </c>
      <c r="B1989" t="s">
        <v>980</v>
      </c>
      <c r="C1989">
        <v>6</v>
      </c>
      <c r="D1989" t="s">
        <v>11</v>
      </c>
      <c r="E1989" t="s">
        <v>95</v>
      </c>
      <c r="F1989" t="s">
        <v>113</v>
      </c>
      <c r="G1989" t="s">
        <v>113</v>
      </c>
      <c r="H1989" t="s">
        <v>113</v>
      </c>
      <c r="J1989">
        <v>0</v>
      </c>
      <c r="K1989">
        <v>4</v>
      </c>
      <c r="L1989">
        <v>83.757575759999995</v>
      </c>
      <c r="M1989">
        <v>22.60997987</v>
      </c>
      <c r="N1989">
        <v>0.72884000000000004</v>
      </c>
      <c r="O1989">
        <v>0.21301339999999999</v>
      </c>
      <c r="P1989">
        <v>83.757575759999995</v>
      </c>
      <c r="Q1989">
        <v>22.60997987</v>
      </c>
      <c r="R1989">
        <v>0.72884000000000004</v>
      </c>
      <c r="S1989">
        <v>0.21301339999999999</v>
      </c>
      <c r="T1989" t="s">
        <v>1016</v>
      </c>
      <c r="U1989">
        <v>0</v>
      </c>
    </row>
    <row r="1990" spans="1:21" x14ac:dyDescent="0.25">
      <c r="A1990" t="s">
        <v>79</v>
      </c>
      <c r="B1990" t="s">
        <v>980</v>
      </c>
      <c r="C1990">
        <v>6</v>
      </c>
      <c r="D1990" t="s">
        <v>11</v>
      </c>
      <c r="E1990" t="s">
        <v>95</v>
      </c>
      <c r="F1990" t="s">
        <v>113</v>
      </c>
      <c r="G1990" t="s">
        <v>113</v>
      </c>
      <c r="H1990" t="s">
        <v>113</v>
      </c>
      <c r="J1990">
        <v>0</v>
      </c>
      <c r="K1990">
        <v>4</v>
      </c>
      <c r="L1990">
        <v>83.757575759999995</v>
      </c>
      <c r="M1990">
        <v>22.60997987</v>
      </c>
      <c r="N1990">
        <v>0.72884000000000004</v>
      </c>
      <c r="O1990">
        <v>0.21301339999999999</v>
      </c>
      <c r="P1990">
        <v>83.757575759999995</v>
      </c>
      <c r="Q1990">
        <v>22.60997987</v>
      </c>
      <c r="R1990">
        <v>0.72884000000000004</v>
      </c>
      <c r="S1990">
        <v>0.21301339999999999</v>
      </c>
      <c r="T1990" t="s">
        <v>1016</v>
      </c>
      <c r="U1990">
        <v>0</v>
      </c>
    </row>
    <row r="1991" spans="1:21" x14ac:dyDescent="0.25">
      <c r="A1991" t="s">
        <v>79</v>
      </c>
      <c r="B1991" t="s">
        <v>980</v>
      </c>
      <c r="C1991">
        <v>6</v>
      </c>
      <c r="D1991" t="s">
        <v>11</v>
      </c>
      <c r="E1991" t="s">
        <v>95</v>
      </c>
      <c r="F1991" t="s">
        <v>113</v>
      </c>
      <c r="G1991" t="s">
        <v>113</v>
      </c>
      <c r="H1991" t="s">
        <v>113</v>
      </c>
      <c r="J1991">
        <v>0</v>
      </c>
      <c r="K1991">
        <v>4</v>
      </c>
      <c r="L1991">
        <v>83.757575759999995</v>
      </c>
      <c r="M1991">
        <v>22.60997987</v>
      </c>
      <c r="N1991">
        <v>0.72884000000000004</v>
      </c>
      <c r="O1991">
        <v>0.21301339999999999</v>
      </c>
      <c r="P1991">
        <v>83.757575759999995</v>
      </c>
      <c r="Q1991">
        <v>22.60997987</v>
      </c>
      <c r="R1991">
        <v>0.72884000000000004</v>
      </c>
      <c r="S1991">
        <v>0.21301339999999999</v>
      </c>
      <c r="T1991" t="s">
        <v>1016</v>
      </c>
      <c r="U1991">
        <v>0</v>
      </c>
    </row>
    <row r="1992" spans="1:21" x14ac:dyDescent="0.25">
      <c r="A1992" t="s">
        <v>79</v>
      </c>
      <c r="B1992" t="s">
        <v>980</v>
      </c>
      <c r="C1992">
        <v>6</v>
      </c>
      <c r="D1992" t="s">
        <v>11</v>
      </c>
      <c r="E1992" t="s">
        <v>95</v>
      </c>
      <c r="F1992" t="s">
        <v>113</v>
      </c>
      <c r="G1992" t="s">
        <v>113</v>
      </c>
      <c r="H1992" t="s">
        <v>113</v>
      </c>
      <c r="J1992">
        <v>0</v>
      </c>
      <c r="K1992">
        <v>4</v>
      </c>
      <c r="L1992">
        <v>83.757575759999995</v>
      </c>
      <c r="M1992">
        <v>22.60997987</v>
      </c>
      <c r="N1992">
        <v>0.72884000000000004</v>
      </c>
      <c r="O1992">
        <v>0.21301339999999999</v>
      </c>
      <c r="P1992">
        <v>83.757575759999995</v>
      </c>
      <c r="Q1992">
        <v>22.60997987</v>
      </c>
      <c r="R1992">
        <v>0.72884000000000004</v>
      </c>
      <c r="S1992">
        <v>0.21301339999999999</v>
      </c>
      <c r="T1992" t="s">
        <v>1016</v>
      </c>
      <c r="U1992">
        <v>0</v>
      </c>
    </row>
    <row r="1993" spans="1:21" x14ac:dyDescent="0.25">
      <c r="A1993" t="s">
        <v>79</v>
      </c>
      <c r="B1993" t="s">
        <v>981</v>
      </c>
      <c r="C1993">
        <v>6</v>
      </c>
      <c r="D1993" t="s">
        <v>11</v>
      </c>
      <c r="E1993" t="s">
        <v>95</v>
      </c>
      <c r="F1993" t="s">
        <v>103</v>
      </c>
      <c r="G1993" t="s">
        <v>113</v>
      </c>
      <c r="H1993" t="s">
        <v>113</v>
      </c>
      <c r="J1993">
        <v>0</v>
      </c>
      <c r="K1993">
        <v>7</v>
      </c>
      <c r="L1993">
        <v>98.291666669999998</v>
      </c>
      <c r="M1993">
        <v>30.315130790000001</v>
      </c>
      <c r="N1993">
        <v>5.0803484000000003E-2</v>
      </c>
      <c r="O1993">
        <v>0.42866070000000001</v>
      </c>
      <c r="P1993">
        <v>83.757575759999995</v>
      </c>
      <c r="Q1993">
        <v>22.60997987</v>
      </c>
      <c r="R1993">
        <v>0.72884000000000004</v>
      </c>
      <c r="S1993">
        <v>0.21301339999999999</v>
      </c>
      <c r="T1993" t="s">
        <v>1016</v>
      </c>
      <c r="U1993">
        <v>7.7051509200000003</v>
      </c>
    </row>
    <row r="1994" spans="1:21" x14ac:dyDescent="0.25">
      <c r="A1994" t="s">
        <v>79</v>
      </c>
      <c r="B1994" t="s">
        <v>981</v>
      </c>
      <c r="C1994">
        <v>6</v>
      </c>
      <c r="D1994" t="s">
        <v>11</v>
      </c>
      <c r="E1994" t="s">
        <v>95</v>
      </c>
      <c r="F1994" t="s">
        <v>103</v>
      </c>
      <c r="G1994" t="s">
        <v>113</v>
      </c>
      <c r="H1994" t="s">
        <v>113</v>
      </c>
      <c r="J1994">
        <v>0</v>
      </c>
      <c r="K1994">
        <v>7</v>
      </c>
      <c r="L1994">
        <v>98.291666669999998</v>
      </c>
      <c r="M1994">
        <v>30.315130790000001</v>
      </c>
      <c r="N1994">
        <v>5.0803484000000003E-2</v>
      </c>
      <c r="O1994">
        <v>0.42866070000000001</v>
      </c>
      <c r="P1994">
        <v>83.757575759999995</v>
      </c>
      <c r="Q1994">
        <v>22.60997987</v>
      </c>
      <c r="R1994">
        <v>0.72884000000000004</v>
      </c>
      <c r="S1994">
        <v>0.21301339999999999</v>
      </c>
      <c r="T1994" t="s">
        <v>1016</v>
      </c>
      <c r="U1994">
        <v>7.7051509200000003</v>
      </c>
    </row>
    <row r="1995" spans="1:21" x14ac:dyDescent="0.25">
      <c r="A1995" t="s">
        <v>79</v>
      </c>
      <c r="B1995" t="s">
        <v>981</v>
      </c>
      <c r="C1995">
        <v>6</v>
      </c>
      <c r="D1995" t="s">
        <v>11</v>
      </c>
      <c r="E1995" t="s">
        <v>95</v>
      </c>
      <c r="F1995" t="s">
        <v>103</v>
      </c>
      <c r="G1995" t="s">
        <v>113</v>
      </c>
      <c r="H1995" t="s">
        <v>113</v>
      </c>
      <c r="J1995">
        <v>0</v>
      </c>
      <c r="K1995">
        <v>7</v>
      </c>
      <c r="L1995">
        <v>98.291666669999998</v>
      </c>
      <c r="M1995">
        <v>30.315130790000001</v>
      </c>
      <c r="N1995">
        <v>5.0803484000000003E-2</v>
      </c>
      <c r="O1995">
        <v>0.42866070000000001</v>
      </c>
      <c r="P1995">
        <v>83.757575759999995</v>
      </c>
      <c r="Q1995">
        <v>22.60997987</v>
      </c>
      <c r="R1995">
        <v>0.72884000000000004</v>
      </c>
      <c r="S1995">
        <v>0.21301339999999999</v>
      </c>
      <c r="T1995" t="s">
        <v>1016</v>
      </c>
      <c r="U1995">
        <v>7.7051509200000003</v>
      </c>
    </row>
    <row r="1996" spans="1:21" x14ac:dyDescent="0.25">
      <c r="A1996" t="s">
        <v>79</v>
      </c>
      <c r="B1996" t="s">
        <v>981</v>
      </c>
      <c r="C1996">
        <v>6</v>
      </c>
      <c r="D1996" t="s">
        <v>11</v>
      </c>
      <c r="E1996" t="s">
        <v>95</v>
      </c>
      <c r="F1996" t="s">
        <v>103</v>
      </c>
      <c r="G1996" t="s">
        <v>113</v>
      </c>
      <c r="H1996" t="s">
        <v>113</v>
      </c>
      <c r="J1996">
        <v>0</v>
      </c>
      <c r="K1996">
        <v>7</v>
      </c>
      <c r="L1996">
        <v>98.291666669999998</v>
      </c>
      <c r="M1996">
        <v>30.315130790000001</v>
      </c>
      <c r="N1996">
        <v>5.0803484000000003E-2</v>
      </c>
      <c r="O1996">
        <v>0.42866070000000001</v>
      </c>
      <c r="P1996">
        <v>83.757575759999995</v>
      </c>
      <c r="Q1996">
        <v>22.60997987</v>
      </c>
      <c r="R1996">
        <v>0.72884000000000004</v>
      </c>
      <c r="S1996">
        <v>0.21301339999999999</v>
      </c>
      <c r="T1996" t="s">
        <v>1016</v>
      </c>
      <c r="U1996">
        <v>7.7051509200000003</v>
      </c>
    </row>
    <row r="1997" spans="1:21" x14ac:dyDescent="0.25">
      <c r="A1997" t="s">
        <v>79</v>
      </c>
      <c r="B1997" t="s">
        <v>981</v>
      </c>
      <c r="C1997">
        <v>6</v>
      </c>
      <c r="D1997" t="s">
        <v>11</v>
      </c>
      <c r="E1997" t="s">
        <v>95</v>
      </c>
      <c r="F1997" t="s">
        <v>103</v>
      </c>
      <c r="G1997" t="s">
        <v>113</v>
      </c>
      <c r="H1997" t="s">
        <v>113</v>
      </c>
      <c r="J1997">
        <v>0</v>
      </c>
      <c r="K1997">
        <v>7</v>
      </c>
      <c r="L1997">
        <v>98.291666669999998</v>
      </c>
      <c r="M1997">
        <v>30.315130790000001</v>
      </c>
      <c r="N1997">
        <v>5.0803484000000003E-2</v>
      </c>
      <c r="O1997">
        <v>0.42866070000000001</v>
      </c>
      <c r="P1997">
        <v>83.757575759999995</v>
      </c>
      <c r="Q1997">
        <v>22.60997987</v>
      </c>
      <c r="R1997">
        <v>0.72884000000000004</v>
      </c>
      <c r="S1997">
        <v>0.21301339999999999</v>
      </c>
      <c r="T1997" t="s">
        <v>1016</v>
      </c>
      <c r="U1997">
        <v>7.7051509200000003</v>
      </c>
    </row>
    <row r="1998" spans="1:21" x14ac:dyDescent="0.25">
      <c r="A1998" t="s">
        <v>79</v>
      </c>
      <c r="B1998" t="s">
        <v>981</v>
      </c>
      <c r="C1998">
        <v>6</v>
      </c>
      <c r="D1998" t="s">
        <v>11</v>
      </c>
      <c r="E1998" t="s">
        <v>95</v>
      </c>
      <c r="F1998" t="s">
        <v>103</v>
      </c>
      <c r="G1998" t="s">
        <v>113</v>
      </c>
      <c r="H1998" t="s">
        <v>113</v>
      </c>
      <c r="J1998">
        <v>0</v>
      </c>
      <c r="K1998">
        <v>7</v>
      </c>
      <c r="L1998">
        <v>98.291666669999998</v>
      </c>
      <c r="M1998">
        <v>30.315130790000001</v>
      </c>
      <c r="N1998">
        <v>5.0803484000000003E-2</v>
      </c>
      <c r="O1998">
        <v>0.42866070000000001</v>
      </c>
      <c r="P1998">
        <v>83.757575759999995</v>
      </c>
      <c r="Q1998">
        <v>22.60997987</v>
      </c>
      <c r="R1998">
        <v>0.72884000000000004</v>
      </c>
      <c r="S1998">
        <v>0.21301339999999999</v>
      </c>
      <c r="T1998" t="s">
        <v>1016</v>
      </c>
      <c r="U1998">
        <v>7.7051509200000003</v>
      </c>
    </row>
    <row r="1999" spans="1:21" x14ac:dyDescent="0.25">
      <c r="A1999" t="s">
        <v>79</v>
      </c>
      <c r="B1999" t="s">
        <v>981</v>
      </c>
      <c r="C1999">
        <v>6</v>
      </c>
      <c r="D1999" t="s">
        <v>11</v>
      </c>
      <c r="E1999" t="s">
        <v>95</v>
      </c>
      <c r="F1999" t="s">
        <v>103</v>
      </c>
      <c r="G1999" t="s">
        <v>113</v>
      </c>
      <c r="H1999" t="s">
        <v>113</v>
      </c>
      <c r="J1999">
        <v>0</v>
      </c>
      <c r="K1999">
        <v>7</v>
      </c>
      <c r="L1999">
        <v>98.291666669999998</v>
      </c>
      <c r="M1999">
        <v>30.315130790000001</v>
      </c>
      <c r="N1999">
        <v>5.0803484000000003E-2</v>
      </c>
      <c r="O1999">
        <v>0.42866070000000001</v>
      </c>
      <c r="P1999">
        <v>83.757575759999995</v>
      </c>
      <c r="Q1999">
        <v>22.60997987</v>
      </c>
      <c r="R1999">
        <v>0.72884000000000004</v>
      </c>
      <c r="S1999">
        <v>0.21301339999999999</v>
      </c>
      <c r="T1999" t="s">
        <v>1016</v>
      </c>
      <c r="U1999">
        <v>7.7051509200000003</v>
      </c>
    </row>
    <row r="2000" spans="1:21" x14ac:dyDescent="0.25">
      <c r="A2000" t="s">
        <v>79</v>
      </c>
      <c r="B2000" t="s">
        <v>981</v>
      </c>
      <c r="C2000">
        <v>6</v>
      </c>
      <c r="D2000" t="s">
        <v>11</v>
      </c>
      <c r="E2000" t="s">
        <v>95</v>
      </c>
      <c r="F2000" t="s">
        <v>103</v>
      </c>
      <c r="G2000" t="s">
        <v>113</v>
      </c>
      <c r="H2000" t="s">
        <v>103</v>
      </c>
      <c r="J2000">
        <v>0</v>
      </c>
      <c r="K2000">
        <v>4</v>
      </c>
      <c r="L2000">
        <v>98.291666669999998</v>
      </c>
      <c r="M2000">
        <v>30.315130790000001</v>
      </c>
      <c r="N2000">
        <v>5.0803484000000003E-2</v>
      </c>
      <c r="O2000">
        <v>0.42866070000000001</v>
      </c>
      <c r="P2000">
        <v>98.291666669999998</v>
      </c>
      <c r="Q2000">
        <v>30.315130790000001</v>
      </c>
      <c r="R2000">
        <v>5.0803484000000003E-2</v>
      </c>
      <c r="S2000">
        <v>0.42866070000000001</v>
      </c>
      <c r="T2000" t="s">
        <v>1016</v>
      </c>
      <c r="U2000">
        <v>0</v>
      </c>
    </row>
    <row r="2001" spans="1:21" x14ac:dyDescent="0.25">
      <c r="A2001" t="s">
        <v>79</v>
      </c>
      <c r="B2001" t="s">
        <v>981</v>
      </c>
      <c r="C2001">
        <v>6</v>
      </c>
      <c r="D2001" t="s">
        <v>11</v>
      </c>
      <c r="E2001" t="s">
        <v>95</v>
      </c>
      <c r="F2001" t="s">
        <v>103</v>
      </c>
      <c r="G2001" t="s">
        <v>113</v>
      </c>
      <c r="H2001" t="s">
        <v>103</v>
      </c>
      <c r="J2001">
        <v>0</v>
      </c>
      <c r="K2001">
        <v>4</v>
      </c>
      <c r="L2001">
        <v>98.291666669999998</v>
      </c>
      <c r="M2001">
        <v>30.315130790000001</v>
      </c>
      <c r="N2001">
        <v>5.0803484000000003E-2</v>
      </c>
      <c r="O2001">
        <v>0.42866070000000001</v>
      </c>
      <c r="P2001">
        <v>98.291666669999998</v>
      </c>
      <c r="Q2001">
        <v>30.315130790000001</v>
      </c>
      <c r="R2001">
        <v>5.0803484000000003E-2</v>
      </c>
      <c r="S2001">
        <v>0.42866070000000001</v>
      </c>
      <c r="T2001" t="s">
        <v>1016</v>
      </c>
      <c r="U2001">
        <v>0</v>
      </c>
    </row>
    <row r="2002" spans="1:21" x14ac:dyDescent="0.25">
      <c r="A2002" t="s">
        <v>79</v>
      </c>
      <c r="B2002" t="s">
        <v>981</v>
      </c>
      <c r="C2002">
        <v>6</v>
      </c>
      <c r="D2002" t="s">
        <v>11</v>
      </c>
      <c r="E2002" t="s">
        <v>95</v>
      </c>
      <c r="F2002" t="s">
        <v>103</v>
      </c>
      <c r="G2002" t="s">
        <v>113</v>
      </c>
      <c r="H2002" t="s">
        <v>103</v>
      </c>
      <c r="J2002">
        <v>0</v>
      </c>
      <c r="K2002">
        <v>4</v>
      </c>
      <c r="L2002">
        <v>98.291666669999998</v>
      </c>
      <c r="M2002">
        <v>30.315130790000001</v>
      </c>
      <c r="N2002">
        <v>5.0803484000000003E-2</v>
      </c>
      <c r="O2002">
        <v>0.42866070000000001</v>
      </c>
      <c r="P2002">
        <v>98.291666669999998</v>
      </c>
      <c r="Q2002">
        <v>30.315130790000001</v>
      </c>
      <c r="R2002">
        <v>5.0803484000000003E-2</v>
      </c>
      <c r="S2002">
        <v>0.42866070000000001</v>
      </c>
      <c r="T2002" t="s">
        <v>1016</v>
      </c>
      <c r="U2002">
        <v>0</v>
      </c>
    </row>
    <row r="2003" spans="1:21" x14ac:dyDescent="0.25">
      <c r="A2003" t="s">
        <v>79</v>
      </c>
      <c r="B2003" t="s">
        <v>981</v>
      </c>
      <c r="C2003">
        <v>6</v>
      </c>
      <c r="D2003" t="s">
        <v>11</v>
      </c>
      <c r="E2003" t="s">
        <v>95</v>
      </c>
      <c r="F2003" t="s">
        <v>103</v>
      </c>
      <c r="G2003" t="s">
        <v>113</v>
      </c>
      <c r="H2003" t="s">
        <v>103</v>
      </c>
      <c r="J2003">
        <v>0</v>
      </c>
      <c r="K2003">
        <v>4</v>
      </c>
      <c r="L2003">
        <v>98.291666669999998</v>
      </c>
      <c r="M2003">
        <v>30.315130790000001</v>
      </c>
      <c r="N2003">
        <v>5.0803484000000003E-2</v>
      </c>
      <c r="O2003">
        <v>0.42866070000000001</v>
      </c>
      <c r="P2003">
        <v>98.291666669999998</v>
      </c>
      <c r="Q2003">
        <v>30.315130790000001</v>
      </c>
      <c r="R2003">
        <v>5.0803484000000003E-2</v>
      </c>
      <c r="S2003">
        <v>0.42866070000000001</v>
      </c>
      <c r="T2003" t="s">
        <v>1016</v>
      </c>
      <c r="U2003">
        <v>0</v>
      </c>
    </row>
    <row r="2004" spans="1:21" x14ac:dyDescent="0.25">
      <c r="A2004" t="s">
        <v>79</v>
      </c>
      <c r="B2004" t="s">
        <v>982</v>
      </c>
      <c r="C2004">
        <v>6</v>
      </c>
      <c r="D2004" t="s">
        <v>11</v>
      </c>
      <c r="E2004" t="s">
        <v>95</v>
      </c>
      <c r="F2004" t="s">
        <v>111</v>
      </c>
      <c r="G2004" t="s">
        <v>113</v>
      </c>
      <c r="H2004" t="s">
        <v>234</v>
      </c>
      <c r="J2004">
        <v>0</v>
      </c>
      <c r="K2004">
        <v>1</v>
      </c>
      <c r="L2004">
        <v>94.97142857</v>
      </c>
      <c r="M2004">
        <v>24.31591813</v>
      </c>
      <c r="N2004">
        <v>0.122951111</v>
      </c>
      <c r="O2004">
        <v>0.39050790000000002</v>
      </c>
      <c r="P2004">
        <v>89.8125</v>
      </c>
      <c r="Q2004">
        <v>34.754706650000003</v>
      </c>
      <c r="R2004">
        <v>2.3065078999999999E-2</v>
      </c>
      <c r="S2004">
        <v>2.4791666700000001</v>
      </c>
      <c r="T2004" t="s">
        <v>1016</v>
      </c>
      <c r="U2004">
        <v>-10.438788519999999</v>
      </c>
    </row>
    <row r="2005" spans="1:21" x14ac:dyDescent="0.25">
      <c r="A2005" t="s">
        <v>79</v>
      </c>
      <c r="B2005" t="s">
        <v>982</v>
      </c>
      <c r="C2005">
        <v>6</v>
      </c>
      <c r="D2005" t="s">
        <v>11</v>
      </c>
      <c r="E2005" t="s">
        <v>95</v>
      </c>
      <c r="F2005" t="s">
        <v>111</v>
      </c>
      <c r="G2005" t="s">
        <v>113</v>
      </c>
      <c r="H2005" t="s">
        <v>113</v>
      </c>
      <c r="J2005">
        <v>0</v>
      </c>
      <c r="K2005">
        <v>5</v>
      </c>
      <c r="L2005">
        <v>94.97142857</v>
      </c>
      <c r="M2005">
        <v>24.31591813</v>
      </c>
      <c r="N2005">
        <v>0.122951111</v>
      </c>
      <c r="O2005">
        <v>0.39050790000000002</v>
      </c>
      <c r="P2005">
        <v>83.757575759999995</v>
      </c>
      <c r="Q2005">
        <v>22.60997987</v>
      </c>
      <c r="R2005">
        <v>0.72884000000000004</v>
      </c>
      <c r="S2005">
        <v>0.21301339999999999</v>
      </c>
      <c r="T2005" t="s">
        <v>1016</v>
      </c>
      <c r="U2005">
        <v>1.7059382599999999</v>
      </c>
    </row>
    <row r="2006" spans="1:21" x14ac:dyDescent="0.25">
      <c r="A2006" t="s">
        <v>79</v>
      </c>
      <c r="B2006" t="s">
        <v>982</v>
      </c>
      <c r="C2006">
        <v>6</v>
      </c>
      <c r="D2006" t="s">
        <v>11</v>
      </c>
      <c r="E2006" t="s">
        <v>95</v>
      </c>
      <c r="F2006" t="s">
        <v>111</v>
      </c>
      <c r="G2006" t="s">
        <v>113</v>
      </c>
      <c r="H2006" t="s">
        <v>113</v>
      </c>
      <c r="J2006">
        <v>0</v>
      </c>
      <c r="K2006">
        <v>5</v>
      </c>
      <c r="L2006">
        <v>94.97142857</v>
      </c>
      <c r="M2006">
        <v>24.31591813</v>
      </c>
      <c r="N2006">
        <v>0.122951111</v>
      </c>
      <c r="O2006">
        <v>0.39050790000000002</v>
      </c>
      <c r="P2006">
        <v>83.757575759999995</v>
      </c>
      <c r="Q2006">
        <v>22.60997987</v>
      </c>
      <c r="R2006">
        <v>0.72884000000000004</v>
      </c>
      <c r="S2006">
        <v>0.21301339999999999</v>
      </c>
      <c r="T2006" t="s">
        <v>1016</v>
      </c>
      <c r="U2006">
        <v>1.7059382599999999</v>
      </c>
    </row>
    <row r="2007" spans="1:21" x14ac:dyDescent="0.25">
      <c r="A2007" t="s">
        <v>79</v>
      </c>
      <c r="B2007" t="s">
        <v>982</v>
      </c>
      <c r="C2007">
        <v>6</v>
      </c>
      <c r="D2007" t="s">
        <v>11</v>
      </c>
      <c r="E2007" t="s">
        <v>95</v>
      </c>
      <c r="F2007" t="s">
        <v>111</v>
      </c>
      <c r="G2007" t="s">
        <v>113</v>
      </c>
      <c r="H2007" t="s">
        <v>113</v>
      </c>
      <c r="J2007">
        <v>0</v>
      </c>
      <c r="K2007">
        <v>5</v>
      </c>
      <c r="L2007">
        <v>94.97142857</v>
      </c>
      <c r="M2007">
        <v>24.31591813</v>
      </c>
      <c r="N2007">
        <v>0.122951111</v>
      </c>
      <c r="O2007">
        <v>0.39050790000000002</v>
      </c>
      <c r="P2007">
        <v>83.757575759999995</v>
      </c>
      <c r="Q2007">
        <v>22.60997987</v>
      </c>
      <c r="R2007">
        <v>0.72884000000000004</v>
      </c>
      <c r="S2007">
        <v>0.21301339999999999</v>
      </c>
      <c r="T2007" t="s">
        <v>1016</v>
      </c>
      <c r="U2007">
        <v>1.7059382599999999</v>
      </c>
    </row>
    <row r="2008" spans="1:21" x14ac:dyDescent="0.25">
      <c r="A2008" t="s">
        <v>79</v>
      </c>
      <c r="B2008" t="s">
        <v>982</v>
      </c>
      <c r="C2008">
        <v>6</v>
      </c>
      <c r="D2008" t="s">
        <v>11</v>
      </c>
      <c r="E2008" t="s">
        <v>95</v>
      </c>
      <c r="F2008" t="s">
        <v>111</v>
      </c>
      <c r="G2008" t="s">
        <v>113</v>
      </c>
      <c r="H2008" t="s">
        <v>113</v>
      </c>
      <c r="J2008">
        <v>0</v>
      </c>
      <c r="K2008">
        <v>5</v>
      </c>
      <c r="L2008">
        <v>94.97142857</v>
      </c>
      <c r="M2008">
        <v>24.31591813</v>
      </c>
      <c r="N2008">
        <v>0.122951111</v>
      </c>
      <c r="O2008">
        <v>0.39050790000000002</v>
      </c>
      <c r="P2008">
        <v>83.757575759999995</v>
      </c>
      <c r="Q2008">
        <v>22.60997987</v>
      </c>
      <c r="R2008">
        <v>0.72884000000000004</v>
      </c>
      <c r="S2008">
        <v>0.21301339999999999</v>
      </c>
      <c r="T2008" t="s">
        <v>1016</v>
      </c>
      <c r="U2008">
        <v>1.7059382599999999</v>
      </c>
    </row>
    <row r="2009" spans="1:21" x14ac:dyDescent="0.25">
      <c r="A2009" t="s">
        <v>79</v>
      </c>
      <c r="B2009" t="s">
        <v>982</v>
      </c>
      <c r="C2009">
        <v>6</v>
      </c>
      <c r="D2009" t="s">
        <v>11</v>
      </c>
      <c r="E2009" t="s">
        <v>95</v>
      </c>
      <c r="F2009" t="s">
        <v>111</v>
      </c>
      <c r="G2009" t="s">
        <v>113</v>
      </c>
      <c r="H2009" t="s">
        <v>113</v>
      </c>
      <c r="J2009">
        <v>0</v>
      </c>
      <c r="K2009">
        <v>5</v>
      </c>
      <c r="L2009">
        <v>94.97142857</v>
      </c>
      <c r="M2009">
        <v>24.31591813</v>
      </c>
      <c r="N2009">
        <v>0.122951111</v>
      </c>
      <c r="O2009">
        <v>0.39050790000000002</v>
      </c>
      <c r="P2009">
        <v>83.757575759999995</v>
      </c>
      <c r="Q2009">
        <v>22.60997987</v>
      </c>
      <c r="R2009">
        <v>0.72884000000000004</v>
      </c>
      <c r="S2009">
        <v>0.21301339999999999</v>
      </c>
      <c r="T2009" t="s">
        <v>1016</v>
      </c>
      <c r="U2009">
        <v>1.7059382599999999</v>
      </c>
    </row>
    <row r="2010" spans="1:21" x14ac:dyDescent="0.25">
      <c r="A2010" t="s">
        <v>79</v>
      </c>
      <c r="B2010" t="s">
        <v>982</v>
      </c>
      <c r="C2010">
        <v>6</v>
      </c>
      <c r="D2010" t="s">
        <v>11</v>
      </c>
      <c r="E2010" t="s">
        <v>95</v>
      </c>
      <c r="F2010" t="s">
        <v>111</v>
      </c>
      <c r="G2010" t="s">
        <v>113</v>
      </c>
      <c r="H2010" t="s">
        <v>103</v>
      </c>
      <c r="J2010">
        <v>0</v>
      </c>
      <c r="K2010">
        <v>1</v>
      </c>
      <c r="L2010">
        <v>94.97142857</v>
      </c>
      <c r="M2010">
        <v>24.31591813</v>
      </c>
      <c r="N2010">
        <v>0.122951111</v>
      </c>
      <c r="O2010">
        <v>0.39050790000000002</v>
      </c>
      <c r="P2010">
        <v>98.291666669999998</v>
      </c>
      <c r="Q2010">
        <v>30.315130790000001</v>
      </c>
      <c r="R2010">
        <v>5.0803484000000003E-2</v>
      </c>
      <c r="S2010">
        <v>0.42866070000000001</v>
      </c>
      <c r="T2010" t="s">
        <v>1016</v>
      </c>
      <c r="U2010">
        <v>-5.9992126600000004</v>
      </c>
    </row>
    <row r="2011" spans="1:21" x14ac:dyDescent="0.25">
      <c r="A2011" t="s">
        <v>80</v>
      </c>
      <c r="B2011" t="s">
        <v>983</v>
      </c>
      <c r="C2011">
        <v>6</v>
      </c>
      <c r="D2011" t="s">
        <v>15</v>
      </c>
      <c r="E2011" t="s">
        <v>95</v>
      </c>
      <c r="F2011" t="s">
        <v>105</v>
      </c>
      <c r="G2011" t="s">
        <v>121</v>
      </c>
      <c r="H2011" t="s">
        <v>113</v>
      </c>
      <c r="J2011">
        <v>0</v>
      </c>
      <c r="K2011">
        <v>1</v>
      </c>
      <c r="L2011">
        <v>67.5</v>
      </c>
      <c r="M2011">
        <v>47.937235809999997</v>
      </c>
      <c r="N2011">
        <v>0.41599678000000001</v>
      </c>
      <c r="O2011">
        <v>2.0950346999999998</v>
      </c>
      <c r="P2011">
        <v>83.757575759999995</v>
      </c>
      <c r="Q2011">
        <v>22.60997987</v>
      </c>
      <c r="R2011">
        <v>0.72884000000000004</v>
      </c>
      <c r="S2011">
        <v>0.21301339999999999</v>
      </c>
      <c r="T2011" t="s">
        <v>1016</v>
      </c>
      <c r="U2011">
        <v>25.327255940000001</v>
      </c>
    </row>
    <row r="2012" spans="1:21" x14ac:dyDescent="0.25">
      <c r="A2012" t="s">
        <v>80</v>
      </c>
      <c r="B2012" t="s">
        <v>983</v>
      </c>
      <c r="C2012">
        <v>6</v>
      </c>
      <c r="D2012" t="s">
        <v>15</v>
      </c>
      <c r="E2012" t="s">
        <v>95</v>
      </c>
      <c r="F2012" t="s">
        <v>105</v>
      </c>
      <c r="G2012" t="s">
        <v>121</v>
      </c>
      <c r="H2012" t="s">
        <v>103</v>
      </c>
      <c r="J2012">
        <v>0</v>
      </c>
      <c r="K2012">
        <v>9</v>
      </c>
      <c r="L2012">
        <v>67.5</v>
      </c>
      <c r="M2012">
        <v>47.937235809999997</v>
      </c>
      <c r="N2012">
        <v>0.41599678000000001</v>
      </c>
      <c r="O2012">
        <v>2.0950346999999998</v>
      </c>
      <c r="P2012">
        <v>98.291666669999998</v>
      </c>
      <c r="Q2012">
        <v>30.315130790000001</v>
      </c>
      <c r="R2012">
        <v>5.0803484000000003E-2</v>
      </c>
      <c r="S2012">
        <v>0.42866070000000001</v>
      </c>
      <c r="T2012" t="s">
        <v>1016</v>
      </c>
      <c r="U2012">
        <v>17.622105019999999</v>
      </c>
    </row>
    <row r="2013" spans="1:21" x14ac:dyDescent="0.25">
      <c r="A2013" t="s">
        <v>80</v>
      </c>
      <c r="B2013" t="s">
        <v>983</v>
      </c>
      <c r="C2013">
        <v>6</v>
      </c>
      <c r="D2013" t="s">
        <v>15</v>
      </c>
      <c r="E2013" t="s">
        <v>95</v>
      </c>
      <c r="F2013" t="s">
        <v>105</v>
      </c>
      <c r="G2013" t="s">
        <v>121</v>
      </c>
      <c r="H2013" t="s">
        <v>103</v>
      </c>
      <c r="J2013">
        <v>0</v>
      </c>
      <c r="K2013">
        <v>9</v>
      </c>
      <c r="L2013">
        <v>67.5</v>
      </c>
      <c r="M2013">
        <v>47.937235809999997</v>
      </c>
      <c r="N2013">
        <v>0.41599678000000001</v>
      </c>
      <c r="O2013">
        <v>2.0950346999999998</v>
      </c>
      <c r="P2013">
        <v>98.291666669999998</v>
      </c>
      <c r="Q2013">
        <v>30.315130790000001</v>
      </c>
      <c r="R2013">
        <v>5.0803484000000003E-2</v>
      </c>
      <c r="S2013">
        <v>0.42866070000000001</v>
      </c>
      <c r="T2013" t="s">
        <v>1016</v>
      </c>
      <c r="U2013">
        <v>17.622105019999999</v>
      </c>
    </row>
    <row r="2014" spans="1:21" x14ac:dyDescent="0.25">
      <c r="A2014" t="s">
        <v>80</v>
      </c>
      <c r="B2014" t="s">
        <v>983</v>
      </c>
      <c r="C2014">
        <v>6</v>
      </c>
      <c r="D2014" t="s">
        <v>15</v>
      </c>
      <c r="E2014" t="s">
        <v>95</v>
      </c>
      <c r="F2014" t="s">
        <v>105</v>
      </c>
      <c r="G2014" t="s">
        <v>121</v>
      </c>
      <c r="H2014" t="s">
        <v>103</v>
      </c>
      <c r="J2014">
        <v>0</v>
      </c>
      <c r="K2014">
        <v>9</v>
      </c>
      <c r="L2014">
        <v>67.5</v>
      </c>
      <c r="M2014">
        <v>47.937235809999997</v>
      </c>
      <c r="N2014">
        <v>0.41599678000000001</v>
      </c>
      <c r="O2014">
        <v>2.0950346999999998</v>
      </c>
      <c r="P2014">
        <v>98.291666669999998</v>
      </c>
      <c r="Q2014">
        <v>30.315130790000001</v>
      </c>
      <c r="R2014">
        <v>5.0803484000000003E-2</v>
      </c>
      <c r="S2014">
        <v>0.42866070000000001</v>
      </c>
      <c r="T2014" t="s">
        <v>1016</v>
      </c>
      <c r="U2014">
        <v>17.622105019999999</v>
      </c>
    </row>
    <row r="2015" spans="1:21" x14ac:dyDescent="0.25">
      <c r="A2015" t="s">
        <v>80</v>
      </c>
      <c r="B2015" t="s">
        <v>983</v>
      </c>
      <c r="C2015">
        <v>6</v>
      </c>
      <c r="D2015" t="s">
        <v>15</v>
      </c>
      <c r="E2015" t="s">
        <v>95</v>
      </c>
      <c r="F2015" t="s">
        <v>105</v>
      </c>
      <c r="G2015" t="s">
        <v>121</v>
      </c>
      <c r="H2015" t="s">
        <v>103</v>
      </c>
      <c r="J2015">
        <v>0</v>
      </c>
      <c r="K2015">
        <v>9</v>
      </c>
      <c r="L2015">
        <v>67.5</v>
      </c>
      <c r="M2015">
        <v>47.937235809999997</v>
      </c>
      <c r="N2015">
        <v>0.41599678000000001</v>
      </c>
      <c r="O2015">
        <v>2.0950346999999998</v>
      </c>
      <c r="P2015">
        <v>98.291666669999998</v>
      </c>
      <c r="Q2015">
        <v>30.315130790000001</v>
      </c>
      <c r="R2015">
        <v>5.0803484000000003E-2</v>
      </c>
      <c r="S2015">
        <v>0.42866070000000001</v>
      </c>
      <c r="T2015" t="s">
        <v>1016</v>
      </c>
      <c r="U2015">
        <v>17.622105019999999</v>
      </c>
    </row>
    <row r="2016" spans="1:21" x14ac:dyDescent="0.25">
      <c r="A2016" t="s">
        <v>80</v>
      </c>
      <c r="B2016" t="s">
        <v>983</v>
      </c>
      <c r="C2016">
        <v>6</v>
      </c>
      <c r="D2016" t="s">
        <v>15</v>
      </c>
      <c r="E2016" t="s">
        <v>95</v>
      </c>
      <c r="F2016" t="s">
        <v>105</v>
      </c>
      <c r="G2016" t="s">
        <v>121</v>
      </c>
      <c r="H2016" t="s">
        <v>103</v>
      </c>
      <c r="J2016">
        <v>0</v>
      </c>
      <c r="K2016">
        <v>9</v>
      </c>
      <c r="L2016">
        <v>67.5</v>
      </c>
      <c r="M2016">
        <v>47.937235809999997</v>
      </c>
      <c r="N2016">
        <v>0.41599678000000001</v>
      </c>
      <c r="O2016">
        <v>2.0950346999999998</v>
      </c>
      <c r="P2016">
        <v>98.291666669999998</v>
      </c>
      <c r="Q2016">
        <v>30.315130790000001</v>
      </c>
      <c r="R2016">
        <v>5.0803484000000003E-2</v>
      </c>
      <c r="S2016">
        <v>0.42866070000000001</v>
      </c>
      <c r="T2016" t="s">
        <v>1016</v>
      </c>
      <c r="U2016">
        <v>17.622105019999999</v>
      </c>
    </row>
    <row r="2017" spans="1:21" x14ac:dyDescent="0.25">
      <c r="A2017" t="s">
        <v>80</v>
      </c>
      <c r="B2017" t="s">
        <v>983</v>
      </c>
      <c r="C2017">
        <v>6</v>
      </c>
      <c r="D2017" t="s">
        <v>15</v>
      </c>
      <c r="E2017" t="s">
        <v>95</v>
      </c>
      <c r="F2017" t="s">
        <v>105</v>
      </c>
      <c r="G2017" t="s">
        <v>121</v>
      </c>
      <c r="H2017" t="s">
        <v>103</v>
      </c>
      <c r="J2017">
        <v>0</v>
      </c>
      <c r="K2017">
        <v>9</v>
      </c>
      <c r="L2017">
        <v>67.5</v>
      </c>
      <c r="M2017">
        <v>47.937235809999997</v>
      </c>
      <c r="N2017">
        <v>0.41599678000000001</v>
      </c>
      <c r="O2017">
        <v>2.0950346999999998</v>
      </c>
      <c r="P2017">
        <v>98.291666669999998</v>
      </c>
      <c r="Q2017">
        <v>30.315130790000001</v>
      </c>
      <c r="R2017">
        <v>5.0803484000000003E-2</v>
      </c>
      <c r="S2017">
        <v>0.42866070000000001</v>
      </c>
      <c r="T2017" t="s">
        <v>1016</v>
      </c>
      <c r="U2017">
        <v>17.622105019999999</v>
      </c>
    </row>
    <row r="2018" spans="1:21" x14ac:dyDescent="0.25">
      <c r="A2018" t="s">
        <v>80</v>
      </c>
      <c r="B2018" t="s">
        <v>983</v>
      </c>
      <c r="C2018">
        <v>6</v>
      </c>
      <c r="D2018" t="s">
        <v>15</v>
      </c>
      <c r="E2018" t="s">
        <v>95</v>
      </c>
      <c r="F2018" t="s">
        <v>105</v>
      </c>
      <c r="G2018" t="s">
        <v>121</v>
      </c>
      <c r="H2018" t="s">
        <v>103</v>
      </c>
      <c r="J2018">
        <v>0</v>
      </c>
      <c r="K2018">
        <v>9</v>
      </c>
      <c r="L2018">
        <v>67.5</v>
      </c>
      <c r="M2018">
        <v>47.937235809999997</v>
      </c>
      <c r="N2018">
        <v>0.41599678000000001</v>
      </c>
      <c r="O2018">
        <v>2.0950346999999998</v>
      </c>
      <c r="P2018">
        <v>98.291666669999998</v>
      </c>
      <c r="Q2018">
        <v>30.315130790000001</v>
      </c>
      <c r="R2018">
        <v>5.0803484000000003E-2</v>
      </c>
      <c r="S2018">
        <v>0.42866070000000001</v>
      </c>
      <c r="T2018" t="s">
        <v>1016</v>
      </c>
      <c r="U2018">
        <v>17.622105019999999</v>
      </c>
    </row>
    <row r="2019" spans="1:21" x14ac:dyDescent="0.25">
      <c r="A2019" t="s">
        <v>80</v>
      </c>
      <c r="B2019" t="s">
        <v>983</v>
      </c>
      <c r="C2019">
        <v>6</v>
      </c>
      <c r="D2019" t="s">
        <v>15</v>
      </c>
      <c r="E2019" t="s">
        <v>95</v>
      </c>
      <c r="F2019" t="s">
        <v>105</v>
      </c>
      <c r="G2019" t="s">
        <v>121</v>
      </c>
      <c r="H2019" t="s">
        <v>103</v>
      </c>
      <c r="J2019">
        <v>0</v>
      </c>
      <c r="K2019">
        <v>9</v>
      </c>
      <c r="L2019">
        <v>67.5</v>
      </c>
      <c r="M2019">
        <v>47.937235809999997</v>
      </c>
      <c r="N2019">
        <v>0.41599678000000001</v>
      </c>
      <c r="O2019">
        <v>2.0950346999999998</v>
      </c>
      <c r="P2019">
        <v>98.291666669999998</v>
      </c>
      <c r="Q2019">
        <v>30.315130790000001</v>
      </c>
      <c r="R2019">
        <v>5.0803484000000003E-2</v>
      </c>
      <c r="S2019">
        <v>0.42866070000000001</v>
      </c>
      <c r="T2019" t="s">
        <v>1016</v>
      </c>
      <c r="U2019">
        <v>17.622105019999999</v>
      </c>
    </row>
    <row r="2020" spans="1:21" x14ac:dyDescent="0.25">
      <c r="A2020" t="s">
        <v>80</v>
      </c>
      <c r="B2020" t="s">
        <v>983</v>
      </c>
      <c r="C2020">
        <v>6</v>
      </c>
      <c r="D2020" t="s">
        <v>15</v>
      </c>
      <c r="E2020" t="s">
        <v>95</v>
      </c>
      <c r="F2020" t="s">
        <v>105</v>
      </c>
      <c r="G2020" t="s">
        <v>121</v>
      </c>
      <c r="H2020" t="s">
        <v>103</v>
      </c>
      <c r="J2020">
        <v>0</v>
      </c>
      <c r="K2020">
        <v>9</v>
      </c>
      <c r="L2020">
        <v>67.5</v>
      </c>
      <c r="M2020">
        <v>47.937235809999997</v>
      </c>
      <c r="N2020">
        <v>0.41599678000000001</v>
      </c>
      <c r="O2020">
        <v>2.0950346999999998</v>
      </c>
      <c r="P2020">
        <v>98.291666669999998</v>
      </c>
      <c r="Q2020">
        <v>30.315130790000001</v>
      </c>
      <c r="R2020">
        <v>5.0803484000000003E-2</v>
      </c>
      <c r="S2020">
        <v>0.42866070000000001</v>
      </c>
      <c r="T2020" t="s">
        <v>1016</v>
      </c>
      <c r="U2020">
        <v>17.622105019999999</v>
      </c>
    </row>
    <row r="2021" spans="1:21" x14ac:dyDescent="0.25">
      <c r="A2021" t="s">
        <v>80</v>
      </c>
      <c r="B2021" t="s">
        <v>984</v>
      </c>
      <c r="C2021">
        <v>6</v>
      </c>
      <c r="D2021" t="s">
        <v>15</v>
      </c>
      <c r="E2021" t="s">
        <v>95</v>
      </c>
      <c r="F2021" t="s">
        <v>113</v>
      </c>
      <c r="G2021" t="s">
        <v>113</v>
      </c>
      <c r="H2021" t="s">
        <v>113</v>
      </c>
      <c r="J2021">
        <v>0</v>
      </c>
      <c r="K2021">
        <v>6</v>
      </c>
      <c r="L2021">
        <v>83.757575759999995</v>
      </c>
      <c r="M2021">
        <v>22.60997987</v>
      </c>
      <c r="N2021">
        <v>0.72884000000000004</v>
      </c>
      <c r="O2021">
        <v>0.21301339999999999</v>
      </c>
      <c r="P2021">
        <v>83.757575759999995</v>
      </c>
      <c r="Q2021">
        <v>22.60997987</v>
      </c>
      <c r="R2021">
        <v>0.72884000000000004</v>
      </c>
      <c r="S2021">
        <v>0.21301339999999999</v>
      </c>
      <c r="T2021" t="s">
        <v>1016</v>
      </c>
      <c r="U2021">
        <v>0</v>
      </c>
    </row>
    <row r="2022" spans="1:21" x14ac:dyDescent="0.25">
      <c r="A2022" t="s">
        <v>80</v>
      </c>
      <c r="B2022" t="s">
        <v>984</v>
      </c>
      <c r="C2022">
        <v>6</v>
      </c>
      <c r="D2022" t="s">
        <v>15</v>
      </c>
      <c r="E2022" t="s">
        <v>95</v>
      </c>
      <c r="F2022" t="s">
        <v>113</v>
      </c>
      <c r="G2022" t="s">
        <v>113</v>
      </c>
      <c r="H2022" t="s">
        <v>113</v>
      </c>
      <c r="J2022">
        <v>0</v>
      </c>
      <c r="K2022">
        <v>6</v>
      </c>
      <c r="L2022">
        <v>83.757575759999995</v>
      </c>
      <c r="M2022">
        <v>22.60997987</v>
      </c>
      <c r="N2022">
        <v>0.72884000000000004</v>
      </c>
      <c r="O2022">
        <v>0.21301339999999999</v>
      </c>
      <c r="P2022">
        <v>83.757575759999995</v>
      </c>
      <c r="Q2022">
        <v>22.60997987</v>
      </c>
      <c r="R2022">
        <v>0.72884000000000004</v>
      </c>
      <c r="S2022">
        <v>0.21301339999999999</v>
      </c>
      <c r="T2022" t="s">
        <v>1016</v>
      </c>
      <c r="U2022">
        <v>0</v>
      </c>
    </row>
    <row r="2023" spans="1:21" x14ac:dyDescent="0.25">
      <c r="A2023" t="s">
        <v>80</v>
      </c>
      <c r="B2023" t="s">
        <v>984</v>
      </c>
      <c r="C2023">
        <v>6</v>
      </c>
      <c r="D2023" t="s">
        <v>15</v>
      </c>
      <c r="E2023" t="s">
        <v>95</v>
      </c>
      <c r="F2023" t="s">
        <v>113</v>
      </c>
      <c r="G2023" t="s">
        <v>113</v>
      </c>
      <c r="H2023" t="s">
        <v>113</v>
      </c>
      <c r="J2023">
        <v>0</v>
      </c>
      <c r="K2023">
        <v>6</v>
      </c>
      <c r="L2023">
        <v>83.757575759999995</v>
      </c>
      <c r="M2023">
        <v>22.60997987</v>
      </c>
      <c r="N2023">
        <v>0.72884000000000004</v>
      </c>
      <c r="O2023">
        <v>0.21301339999999999</v>
      </c>
      <c r="P2023">
        <v>83.757575759999995</v>
      </c>
      <c r="Q2023">
        <v>22.60997987</v>
      </c>
      <c r="R2023">
        <v>0.72884000000000004</v>
      </c>
      <c r="S2023">
        <v>0.21301339999999999</v>
      </c>
      <c r="T2023" t="s">
        <v>1016</v>
      </c>
      <c r="U2023">
        <v>0</v>
      </c>
    </row>
    <row r="2024" spans="1:21" x14ac:dyDescent="0.25">
      <c r="A2024" t="s">
        <v>80</v>
      </c>
      <c r="B2024" t="s">
        <v>984</v>
      </c>
      <c r="C2024">
        <v>6</v>
      </c>
      <c r="D2024" t="s">
        <v>15</v>
      </c>
      <c r="E2024" t="s">
        <v>95</v>
      </c>
      <c r="F2024" t="s">
        <v>113</v>
      </c>
      <c r="G2024" t="s">
        <v>113</v>
      </c>
      <c r="H2024" t="s">
        <v>113</v>
      </c>
      <c r="J2024">
        <v>0</v>
      </c>
      <c r="K2024">
        <v>6</v>
      </c>
      <c r="L2024">
        <v>83.757575759999995</v>
      </c>
      <c r="M2024">
        <v>22.60997987</v>
      </c>
      <c r="N2024">
        <v>0.72884000000000004</v>
      </c>
      <c r="O2024">
        <v>0.21301339999999999</v>
      </c>
      <c r="P2024">
        <v>83.757575759999995</v>
      </c>
      <c r="Q2024">
        <v>22.60997987</v>
      </c>
      <c r="R2024">
        <v>0.72884000000000004</v>
      </c>
      <c r="S2024">
        <v>0.21301339999999999</v>
      </c>
      <c r="T2024" t="s">
        <v>1016</v>
      </c>
      <c r="U2024">
        <v>0</v>
      </c>
    </row>
    <row r="2025" spans="1:21" x14ac:dyDescent="0.25">
      <c r="A2025" t="s">
        <v>80</v>
      </c>
      <c r="B2025" t="s">
        <v>984</v>
      </c>
      <c r="C2025">
        <v>6</v>
      </c>
      <c r="D2025" t="s">
        <v>15</v>
      </c>
      <c r="E2025" t="s">
        <v>95</v>
      </c>
      <c r="F2025" t="s">
        <v>113</v>
      </c>
      <c r="G2025" t="s">
        <v>113</v>
      </c>
      <c r="H2025" t="s">
        <v>113</v>
      </c>
      <c r="J2025">
        <v>0</v>
      </c>
      <c r="K2025">
        <v>6</v>
      </c>
      <c r="L2025">
        <v>83.757575759999995</v>
      </c>
      <c r="M2025">
        <v>22.60997987</v>
      </c>
      <c r="N2025">
        <v>0.72884000000000004</v>
      </c>
      <c r="O2025">
        <v>0.21301339999999999</v>
      </c>
      <c r="P2025">
        <v>83.757575759999995</v>
      </c>
      <c r="Q2025">
        <v>22.60997987</v>
      </c>
      <c r="R2025">
        <v>0.72884000000000004</v>
      </c>
      <c r="S2025">
        <v>0.21301339999999999</v>
      </c>
      <c r="T2025" t="s">
        <v>1016</v>
      </c>
      <c r="U2025">
        <v>0</v>
      </c>
    </row>
    <row r="2026" spans="1:21" x14ac:dyDescent="0.25">
      <c r="A2026" t="s">
        <v>80</v>
      </c>
      <c r="B2026" t="s">
        <v>984</v>
      </c>
      <c r="C2026">
        <v>6</v>
      </c>
      <c r="D2026" t="s">
        <v>15</v>
      </c>
      <c r="E2026" t="s">
        <v>95</v>
      </c>
      <c r="F2026" t="s">
        <v>113</v>
      </c>
      <c r="G2026" t="s">
        <v>113</v>
      </c>
      <c r="H2026" t="s">
        <v>113</v>
      </c>
      <c r="J2026">
        <v>0</v>
      </c>
      <c r="K2026">
        <v>6</v>
      </c>
      <c r="L2026">
        <v>83.757575759999995</v>
      </c>
      <c r="M2026">
        <v>22.60997987</v>
      </c>
      <c r="N2026">
        <v>0.72884000000000004</v>
      </c>
      <c r="O2026">
        <v>0.21301339999999999</v>
      </c>
      <c r="P2026">
        <v>83.757575759999995</v>
      </c>
      <c r="Q2026">
        <v>22.60997987</v>
      </c>
      <c r="R2026">
        <v>0.72884000000000004</v>
      </c>
      <c r="S2026">
        <v>0.21301339999999999</v>
      </c>
      <c r="T2026" t="s">
        <v>1016</v>
      </c>
      <c r="U2026">
        <v>0</v>
      </c>
    </row>
    <row r="2027" spans="1:21" x14ac:dyDescent="0.25">
      <c r="A2027" t="s">
        <v>80</v>
      </c>
      <c r="B2027" t="s">
        <v>985</v>
      </c>
      <c r="C2027">
        <v>6</v>
      </c>
      <c r="D2027" t="s">
        <v>15</v>
      </c>
      <c r="E2027" t="s">
        <v>95</v>
      </c>
      <c r="F2027" t="s">
        <v>103</v>
      </c>
      <c r="G2027" t="s">
        <v>113</v>
      </c>
      <c r="H2027" t="s">
        <v>113</v>
      </c>
      <c r="J2027">
        <v>0</v>
      </c>
      <c r="K2027">
        <v>1</v>
      </c>
      <c r="L2027">
        <v>98.291666669999998</v>
      </c>
      <c r="M2027">
        <v>30.315130790000001</v>
      </c>
      <c r="N2027">
        <v>5.0803484000000003E-2</v>
      </c>
      <c r="O2027">
        <v>0.42866070000000001</v>
      </c>
      <c r="P2027">
        <v>83.757575759999995</v>
      </c>
      <c r="Q2027">
        <v>22.60997987</v>
      </c>
      <c r="R2027">
        <v>0.72884000000000004</v>
      </c>
      <c r="S2027">
        <v>0.21301339999999999</v>
      </c>
      <c r="T2027" t="s">
        <v>1016</v>
      </c>
      <c r="U2027">
        <v>7.7051509200000003</v>
      </c>
    </row>
    <row r="2028" spans="1:21" x14ac:dyDescent="0.25">
      <c r="A2028" t="s">
        <v>80</v>
      </c>
      <c r="B2028" t="s">
        <v>985</v>
      </c>
      <c r="C2028">
        <v>6</v>
      </c>
      <c r="D2028" t="s">
        <v>15</v>
      </c>
      <c r="E2028" t="s">
        <v>95</v>
      </c>
      <c r="F2028" t="s">
        <v>103</v>
      </c>
      <c r="G2028" t="s">
        <v>113</v>
      </c>
      <c r="H2028" t="s">
        <v>103</v>
      </c>
      <c r="J2028">
        <v>0</v>
      </c>
      <c r="K2028">
        <v>2</v>
      </c>
      <c r="L2028">
        <v>98.291666669999998</v>
      </c>
      <c r="M2028">
        <v>30.315130790000001</v>
      </c>
      <c r="N2028">
        <v>5.0803484000000003E-2</v>
      </c>
      <c r="O2028">
        <v>0.42866070000000001</v>
      </c>
      <c r="P2028">
        <v>98.291666669999998</v>
      </c>
      <c r="Q2028">
        <v>30.315130790000001</v>
      </c>
      <c r="R2028">
        <v>5.0803484000000003E-2</v>
      </c>
      <c r="S2028">
        <v>0.42866070000000001</v>
      </c>
      <c r="T2028" t="s">
        <v>1016</v>
      </c>
      <c r="U2028">
        <v>0</v>
      </c>
    </row>
    <row r="2029" spans="1:21" x14ac:dyDescent="0.25">
      <c r="A2029" t="s">
        <v>80</v>
      </c>
      <c r="B2029" t="s">
        <v>985</v>
      </c>
      <c r="C2029">
        <v>6</v>
      </c>
      <c r="D2029" t="s">
        <v>15</v>
      </c>
      <c r="E2029" t="s">
        <v>95</v>
      </c>
      <c r="F2029" t="s">
        <v>103</v>
      </c>
      <c r="G2029" t="s">
        <v>113</v>
      </c>
      <c r="H2029" t="s">
        <v>103</v>
      </c>
      <c r="J2029">
        <v>0</v>
      </c>
      <c r="K2029">
        <v>2</v>
      </c>
      <c r="L2029">
        <v>98.291666669999998</v>
      </c>
      <c r="M2029">
        <v>30.315130790000001</v>
      </c>
      <c r="N2029">
        <v>5.0803484000000003E-2</v>
      </c>
      <c r="O2029">
        <v>0.42866070000000001</v>
      </c>
      <c r="P2029">
        <v>98.291666669999998</v>
      </c>
      <c r="Q2029">
        <v>30.315130790000001</v>
      </c>
      <c r="R2029">
        <v>5.0803484000000003E-2</v>
      </c>
      <c r="S2029">
        <v>0.42866070000000001</v>
      </c>
      <c r="T2029" t="s">
        <v>1016</v>
      </c>
      <c r="U2029">
        <v>0</v>
      </c>
    </row>
    <row r="2030" spans="1:21" x14ac:dyDescent="0.25">
      <c r="A2030" t="s">
        <v>81</v>
      </c>
      <c r="B2030" t="s">
        <v>986</v>
      </c>
      <c r="C2030">
        <v>6</v>
      </c>
      <c r="D2030" t="s">
        <v>17</v>
      </c>
      <c r="E2030" t="s">
        <v>94</v>
      </c>
      <c r="F2030" t="s">
        <v>105</v>
      </c>
      <c r="G2030" t="s">
        <v>113</v>
      </c>
      <c r="H2030" t="s">
        <v>113</v>
      </c>
      <c r="J2030">
        <v>0</v>
      </c>
      <c r="K2030">
        <v>6</v>
      </c>
      <c r="L2030">
        <v>67.5</v>
      </c>
      <c r="M2030">
        <v>47.937235809999997</v>
      </c>
      <c r="N2030">
        <v>0.41599678000000001</v>
      </c>
      <c r="O2030">
        <v>2.0950346999999998</v>
      </c>
      <c r="P2030">
        <v>83.757575759999995</v>
      </c>
      <c r="Q2030">
        <v>22.60997987</v>
      </c>
      <c r="R2030">
        <v>0.72884000000000004</v>
      </c>
      <c r="S2030">
        <v>0.21301339999999999</v>
      </c>
      <c r="T2030" t="s">
        <v>1016</v>
      </c>
      <c r="U2030">
        <v>25.327255940000001</v>
      </c>
    </row>
    <row r="2031" spans="1:21" x14ac:dyDescent="0.25">
      <c r="A2031" t="s">
        <v>81</v>
      </c>
      <c r="B2031" t="s">
        <v>986</v>
      </c>
      <c r="C2031">
        <v>6</v>
      </c>
      <c r="D2031" t="s">
        <v>17</v>
      </c>
      <c r="E2031" t="s">
        <v>94</v>
      </c>
      <c r="F2031" t="s">
        <v>105</v>
      </c>
      <c r="G2031" t="s">
        <v>113</v>
      </c>
      <c r="H2031" t="s">
        <v>113</v>
      </c>
      <c r="J2031">
        <v>0</v>
      </c>
      <c r="K2031">
        <v>6</v>
      </c>
      <c r="L2031">
        <v>67.5</v>
      </c>
      <c r="M2031">
        <v>47.937235809999997</v>
      </c>
      <c r="N2031">
        <v>0.41599678000000001</v>
      </c>
      <c r="O2031">
        <v>2.0950346999999998</v>
      </c>
      <c r="P2031">
        <v>83.757575759999995</v>
      </c>
      <c r="Q2031">
        <v>22.60997987</v>
      </c>
      <c r="R2031">
        <v>0.72884000000000004</v>
      </c>
      <c r="S2031">
        <v>0.21301339999999999</v>
      </c>
      <c r="T2031" t="s">
        <v>1016</v>
      </c>
      <c r="U2031">
        <v>25.327255940000001</v>
      </c>
    </row>
    <row r="2032" spans="1:21" x14ac:dyDescent="0.25">
      <c r="A2032" t="s">
        <v>81</v>
      </c>
      <c r="B2032" t="s">
        <v>986</v>
      </c>
      <c r="C2032">
        <v>6</v>
      </c>
      <c r="D2032" t="s">
        <v>17</v>
      </c>
      <c r="E2032" t="s">
        <v>94</v>
      </c>
      <c r="F2032" t="s">
        <v>105</v>
      </c>
      <c r="G2032" t="s">
        <v>113</v>
      </c>
      <c r="H2032" t="s">
        <v>113</v>
      </c>
      <c r="J2032">
        <v>0</v>
      </c>
      <c r="K2032">
        <v>6</v>
      </c>
      <c r="L2032">
        <v>67.5</v>
      </c>
      <c r="M2032">
        <v>47.937235809999997</v>
      </c>
      <c r="N2032">
        <v>0.41599678000000001</v>
      </c>
      <c r="O2032">
        <v>2.0950346999999998</v>
      </c>
      <c r="P2032">
        <v>83.757575759999995</v>
      </c>
      <c r="Q2032">
        <v>22.60997987</v>
      </c>
      <c r="R2032">
        <v>0.72884000000000004</v>
      </c>
      <c r="S2032">
        <v>0.21301339999999999</v>
      </c>
      <c r="T2032" t="s">
        <v>1016</v>
      </c>
      <c r="U2032">
        <v>25.327255940000001</v>
      </c>
    </row>
    <row r="2033" spans="1:21" x14ac:dyDescent="0.25">
      <c r="A2033" t="s">
        <v>81</v>
      </c>
      <c r="B2033" t="s">
        <v>986</v>
      </c>
      <c r="C2033">
        <v>6</v>
      </c>
      <c r="D2033" t="s">
        <v>17</v>
      </c>
      <c r="E2033" t="s">
        <v>94</v>
      </c>
      <c r="F2033" t="s">
        <v>105</v>
      </c>
      <c r="G2033" t="s">
        <v>113</v>
      </c>
      <c r="H2033" t="s">
        <v>113</v>
      </c>
      <c r="J2033">
        <v>0</v>
      </c>
      <c r="K2033">
        <v>6</v>
      </c>
      <c r="L2033">
        <v>67.5</v>
      </c>
      <c r="M2033">
        <v>47.937235809999997</v>
      </c>
      <c r="N2033">
        <v>0.41599678000000001</v>
      </c>
      <c r="O2033">
        <v>2.0950346999999998</v>
      </c>
      <c r="P2033">
        <v>83.757575759999995</v>
      </c>
      <c r="Q2033">
        <v>22.60997987</v>
      </c>
      <c r="R2033">
        <v>0.72884000000000004</v>
      </c>
      <c r="S2033">
        <v>0.21301339999999999</v>
      </c>
      <c r="T2033" t="s">
        <v>1016</v>
      </c>
      <c r="U2033">
        <v>25.327255940000001</v>
      </c>
    </row>
    <row r="2034" spans="1:21" x14ac:dyDescent="0.25">
      <c r="A2034" t="s">
        <v>81</v>
      </c>
      <c r="B2034" t="s">
        <v>986</v>
      </c>
      <c r="C2034">
        <v>6</v>
      </c>
      <c r="D2034" t="s">
        <v>17</v>
      </c>
      <c r="E2034" t="s">
        <v>94</v>
      </c>
      <c r="F2034" t="s">
        <v>105</v>
      </c>
      <c r="G2034" t="s">
        <v>113</v>
      </c>
      <c r="H2034" t="s">
        <v>113</v>
      </c>
      <c r="J2034">
        <v>0</v>
      </c>
      <c r="K2034">
        <v>6</v>
      </c>
      <c r="L2034">
        <v>67.5</v>
      </c>
      <c r="M2034">
        <v>47.937235809999997</v>
      </c>
      <c r="N2034">
        <v>0.41599678000000001</v>
      </c>
      <c r="O2034">
        <v>2.0950346999999998</v>
      </c>
      <c r="P2034">
        <v>83.757575759999995</v>
      </c>
      <c r="Q2034">
        <v>22.60997987</v>
      </c>
      <c r="R2034">
        <v>0.72884000000000004</v>
      </c>
      <c r="S2034">
        <v>0.21301339999999999</v>
      </c>
      <c r="T2034" t="s">
        <v>1016</v>
      </c>
      <c r="U2034">
        <v>25.327255940000001</v>
      </c>
    </row>
    <row r="2035" spans="1:21" x14ac:dyDescent="0.25">
      <c r="A2035" t="s">
        <v>81</v>
      </c>
      <c r="B2035" t="s">
        <v>986</v>
      </c>
      <c r="C2035">
        <v>6</v>
      </c>
      <c r="D2035" t="s">
        <v>17</v>
      </c>
      <c r="E2035" t="s">
        <v>94</v>
      </c>
      <c r="F2035" t="s">
        <v>105</v>
      </c>
      <c r="G2035" t="s">
        <v>113</v>
      </c>
      <c r="H2035" t="s">
        <v>113</v>
      </c>
      <c r="J2035">
        <v>0</v>
      </c>
      <c r="K2035">
        <v>6</v>
      </c>
      <c r="L2035">
        <v>67.5</v>
      </c>
      <c r="M2035">
        <v>47.937235809999997</v>
      </c>
      <c r="N2035">
        <v>0.41599678000000001</v>
      </c>
      <c r="O2035">
        <v>2.0950346999999998</v>
      </c>
      <c r="P2035">
        <v>83.757575759999995</v>
      </c>
      <c r="Q2035">
        <v>22.60997987</v>
      </c>
      <c r="R2035">
        <v>0.72884000000000004</v>
      </c>
      <c r="S2035">
        <v>0.21301339999999999</v>
      </c>
      <c r="T2035" t="s">
        <v>1016</v>
      </c>
      <c r="U2035">
        <v>25.327255940000001</v>
      </c>
    </row>
    <row r="2036" spans="1:21" x14ac:dyDescent="0.25">
      <c r="A2036" t="s">
        <v>81</v>
      </c>
      <c r="B2036" t="s">
        <v>987</v>
      </c>
      <c r="C2036">
        <v>6</v>
      </c>
      <c r="D2036" t="s">
        <v>17</v>
      </c>
      <c r="E2036" t="s">
        <v>94</v>
      </c>
      <c r="F2036" t="s">
        <v>113</v>
      </c>
      <c r="G2036" t="s">
        <v>113</v>
      </c>
      <c r="H2036" t="s">
        <v>113</v>
      </c>
      <c r="J2036">
        <v>0</v>
      </c>
      <c r="K2036">
        <v>6</v>
      </c>
      <c r="L2036">
        <v>83.757575759999995</v>
      </c>
      <c r="M2036">
        <v>22.60997987</v>
      </c>
      <c r="N2036">
        <v>0.72884000000000004</v>
      </c>
      <c r="O2036">
        <v>0.21301339999999999</v>
      </c>
      <c r="P2036">
        <v>83.757575759999995</v>
      </c>
      <c r="Q2036">
        <v>22.60997987</v>
      </c>
      <c r="R2036">
        <v>0.72884000000000004</v>
      </c>
      <c r="S2036">
        <v>0.21301339999999999</v>
      </c>
      <c r="T2036" t="s">
        <v>1016</v>
      </c>
      <c r="U2036">
        <v>0</v>
      </c>
    </row>
    <row r="2037" spans="1:21" x14ac:dyDescent="0.25">
      <c r="A2037" t="s">
        <v>81</v>
      </c>
      <c r="B2037" t="s">
        <v>987</v>
      </c>
      <c r="C2037">
        <v>6</v>
      </c>
      <c r="D2037" t="s">
        <v>17</v>
      </c>
      <c r="E2037" t="s">
        <v>94</v>
      </c>
      <c r="F2037" t="s">
        <v>113</v>
      </c>
      <c r="G2037" t="s">
        <v>113</v>
      </c>
      <c r="H2037" t="s">
        <v>113</v>
      </c>
      <c r="J2037">
        <v>0</v>
      </c>
      <c r="K2037">
        <v>6</v>
      </c>
      <c r="L2037">
        <v>83.757575759999995</v>
      </c>
      <c r="M2037">
        <v>22.60997987</v>
      </c>
      <c r="N2037">
        <v>0.72884000000000004</v>
      </c>
      <c r="O2037">
        <v>0.21301339999999999</v>
      </c>
      <c r="P2037">
        <v>83.757575759999995</v>
      </c>
      <c r="Q2037">
        <v>22.60997987</v>
      </c>
      <c r="R2037">
        <v>0.72884000000000004</v>
      </c>
      <c r="S2037">
        <v>0.21301339999999999</v>
      </c>
      <c r="T2037" t="s">
        <v>1016</v>
      </c>
      <c r="U2037">
        <v>0</v>
      </c>
    </row>
    <row r="2038" spans="1:21" x14ac:dyDescent="0.25">
      <c r="A2038" t="s">
        <v>81</v>
      </c>
      <c r="B2038" t="s">
        <v>987</v>
      </c>
      <c r="C2038">
        <v>6</v>
      </c>
      <c r="D2038" t="s">
        <v>17</v>
      </c>
      <c r="E2038" t="s">
        <v>94</v>
      </c>
      <c r="F2038" t="s">
        <v>113</v>
      </c>
      <c r="G2038" t="s">
        <v>113</v>
      </c>
      <c r="H2038" t="s">
        <v>113</v>
      </c>
      <c r="J2038">
        <v>0</v>
      </c>
      <c r="K2038">
        <v>6</v>
      </c>
      <c r="L2038">
        <v>83.757575759999995</v>
      </c>
      <c r="M2038">
        <v>22.60997987</v>
      </c>
      <c r="N2038">
        <v>0.72884000000000004</v>
      </c>
      <c r="O2038">
        <v>0.21301339999999999</v>
      </c>
      <c r="P2038">
        <v>83.757575759999995</v>
      </c>
      <c r="Q2038">
        <v>22.60997987</v>
      </c>
      <c r="R2038">
        <v>0.72884000000000004</v>
      </c>
      <c r="S2038">
        <v>0.21301339999999999</v>
      </c>
      <c r="T2038" t="s">
        <v>1016</v>
      </c>
      <c r="U2038">
        <v>0</v>
      </c>
    </row>
    <row r="2039" spans="1:21" x14ac:dyDescent="0.25">
      <c r="A2039" t="s">
        <v>81</v>
      </c>
      <c r="B2039" t="s">
        <v>987</v>
      </c>
      <c r="C2039">
        <v>6</v>
      </c>
      <c r="D2039" t="s">
        <v>17</v>
      </c>
      <c r="E2039" t="s">
        <v>94</v>
      </c>
      <c r="F2039" t="s">
        <v>113</v>
      </c>
      <c r="G2039" t="s">
        <v>113</v>
      </c>
      <c r="H2039" t="s">
        <v>113</v>
      </c>
      <c r="J2039">
        <v>0</v>
      </c>
      <c r="K2039">
        <v>6</v>
      </c>
      <c r="L2039">
        <v>83.757575759999995</v>
      </c>
      <c r="M2039">
        <v>22.60997987</v>
      </c>
      <c r="N2039">
        <v>0.72884000000000004</v>
      </c>
      <c r="O2039">
        <v>0.21301339999999999</v>
      </c>
      <c r="P2039">
        <v>83.757575759999995</v>
      </c>
      <c r="Q2039">
        <v>22.60997987</v>
      </c>
      <c r="R2039">
        <v>0.72884000000000004</v>
      </c>
      <c r="S2039">
        <v>0.21301339999999999</v>
      </c>
      <c r="T2039" t="s">
        <v>1016</v>
      </c>
      <c r="U2039">
        <v>0</v>
      </c>
    </row>
    <row r="2040" spans="1:21" x14ac:dyDescent="0.25">
      <c r="A2040" t="s">
        <v>81</v>
      </c>
      <c r="B2040" t="s">
        <v>987</v>
      </c>
      <c r="C2040">
        <v>6</v>
      </c>
      <c r="D2040" t="s">
        <v>17</v>
      </c>
      <c r="E2040" t="s">
        <v>94</v>
      </c>
      <c r="F2040" t="s">
        <v>113</v>
      </c>
      <c r="G2040" t="s">
        <v>113</v>
      </c>
      <c r="H2040" t="s">
        <v>113</v>
      </c>
      <c r="J2040">
        <v>0</v>
      </c>
      <c r="K2040">
        <v>6</v>
      </c>
      <c r="L2040">
        <v>83.757575759999995</v>
      </c>
      <c r="M2040">
        <v>22.60997987</v>
      </c>
      <c r="N2040">
        <v>0.72884000000000004</v>
      </c>
      <c r="O2040">
        <v>0.21301339999999999</v>
      </c>
      <c r="P2040">
        <v>83.757575759999995</v>
      </c>
      <c r="Q2040">
        <v>22.60997987</v>
      </c>
      <c r="R2040">
        <v>0.72884000000000004</v>
      </c>
      <c r="S2040">
        <v>0.21301339999999999</v>
      </c>
      <c r="T2040" t="s">
        <v>1016</v>
      </c>
      <c r="U2040">
        <v>0</v>
      </c>
    </row>
    <row r="2041" spans="1:21" x14ac:dyDescent="0.25">
      <c r="A2041" t="s">
        <v>81</v>
      </c>
      <c r="B2041" t="s">
        <v>987</v>
      </c>
      <c r="C2041">
        <v>6</v>
      </c>
      <c r="D2041" t="s">
        <v>17</v>
      </c>
      <c r="E2041" t="s">
        <v>94</v>
      </c>
      <c r="F2041" t="s">
        <v>113</v>
      </c>
      <c r="G2041" t="s">
        <v>113</v>
      </c>
      <c r="H2041" t="s">
        <v>113</v>
      </c>
      <c r="J2041">
        <v>0</v>
      </c>
      <c r="K2041">
        <v>6</v>
      </c>
      <c r="L2041">
        <v>83.757575759999995</v>
      </c>
      <c r="M2041">
        <v>22.60997987</v>
      </c>
      <c r="N2041">
        <v>0.72884000000000004</v>
      </c>
      <c r="O2041">
        <v>0.21301339999999999</v>
      </c>
      <c r="P2041">
        <v>83.757575759999995</v>
      </c>
      <c r="Q2041">
        <v>22.60997987</v>
      </c>
      <c r="R2041">
        <v>0.72884000000000004</v>
      </c>
      <c r="S2041">
        <v>0.21301339999999999</v>
      </c>
      <c r="T2041" t="s">
        <v>1016</v>
      </c>
      <c r="U2041">
        <v>0</v>
      </c>
    </row>
    <row r="2042" spans="1:21" x14ac:dyDescent="0.25">
      <c r="A2042" t="s">
        <v>81</v>
      </c>
      <c r="B2042" t="s">
        <v>988</v>
      </c>
      <c r="C2042">
        <v>6</v>
      </c>
      <c r="D2042" t="s">
        <v>17</v>
      </c>
      <c r="E2042" t="s">
        <v>94</v>
      </c>
      <c r="F2042" t="s">
        <v>103</v>
      </c>
      <c r="G2042" t="s">
        <v>113</v>
      </c>
      <c r="H2042" t="s">
        <v>113</v>
      </c>
      <c r="J2042">
        <v>0</v>
      </c>
      <c r="K2042">
        <v>5</v>
      </c>
      <c r="L2042">
        <v>98.291666669999998</v>
      </c>
      <c r="M2042">
        <v>30.315130790000001</v>
      </c>
      <c r="N2042">
        <v>5.0803484000000003E-2</v>
      </c>
      <c r="O2042">
        <v>0.42866070000000001</v>
      </c>
      <c r="P2042">
        <v>83.757575759999995</v>
      </c>
      <c r="Q2042">
        <v>22.60997987</v>
      </c>
      <c r="R2042">
        <v>0.72884000000000004</v>
      </c>
      <c r="S2042">
        <v>0.21301339999999999</v>
      </c>
      <c r="T2042" t="s">
        <v>1016</v>
      </c>
      <c r="U2042">
        <v>7.7051509200000003</v>
      </c>
    </row>
    <row r="2043" spans="1:21" x14ac:dyDescent="0.25">
      <c r="A2043" t="s">
        <v>81</v>
      </c>
      <c r="B2043" t="s">
        <v>988</v>
      </c>
      <c r="C2043">
        <v>6</v>
      </c>
      <c r="D2043" t="s">
        <v>17</v>
      </c>
      <c r="E2043" t="s">
        <v>94</v>
      </c>
      <c r="F2043" t="s">
        <v>103</v>
      </c>
      <c r="G2043" t="s">
        <v>113</v>
      </c>
      <c r="H2043" t="s">
        <v>113</v>
      </c>
      <c r="J2043">
        <v>0</v>
      </c>
      <c r="K2043">
        <v>5</v>
      </c>
      <c r="L2043">
        <v>98.291666669999998</v>
      </c>
      <c r="M2043">
        <v>30.315130790000001</v>
      </c>
      <c r="N2043">
        <v>5.0803484000000003E-2</v>
      </c>
      <c r="O2043">
        <v>0.42866070000000001</v>
      </c>
      <c r="P2043">
        <v>83.757575759999995</v>
      </c>
      <c r="Q2043">
        <v>22.60997987</v>
      </c>
      <c r="R2043">
        <v>0.72884000000000004</v>
      </c>
      <c r="S2043">
        <v>0.21301339999999999</v>
      </c>
      <c r="T2043" t="s">
        <v>1016</v>
      </c>
      <c r="U2043">
        <v>7.7051509200000003</v>
      </c>
    </row>
    <row r="2044" spans="1:21" x14ac:dyDescent="0.25">
      <c r="A2044" t="s">
        <v>81</v>
      </c>
      <c r="B2044" t="s">
        <v>988</v>
      </c>
      <c r="C2044">
        <v>6</v>
      </c>
      <c r="D2044" t="s">
        <v>17</v>
      </c>
      <c r="E2044" t="s">
        <v>94</v>
      </c>
      <c r="F2044" t="s">
        <v>103</v>
      </c>
      <c r="G2044" t="s">
        <v>113</v>
      </c>
      <c r="H2044" t="s">
        <v>113</v>
      </c>
      <c r="J2044">
        <v>0</v>
      </c>
      <c r="K2044">
        <v>5</v>
      </c>
      <c r="L2044">
        <v>98.291666669999998</v>
      </c>
      <c r="M2044">
        <v>30.315130790000001</v>
      </c>
      <c r="N2044">
        <v>5.0803484000000003E-2</v>
      </c>
      <c r="O2044">
        <v>0.42866070000000001</v>
      </c>
      <c r="P2044">
        <v>83.757575759999995</v>
      </c>
      <c r="Q2044">
        <v>22.60997987</v>
      </c>
      <c r="R2044">
        <v>0.72884000000000004</v>
      </c>
      <c r="S2044">
        <v>0.21301339999999999</v>
      </c>
      <c r="T2044" t="s">
        <v>1016</v>
      </c>
      <c r="U2044">
        <v>7.7051509200000003</v>
      </c>
    </row>
    <row r="2045" spans="1:21" x14ac:dyDescent="0.25">
      <c r="A2045" t="s">
        <v>81</v>
      </c>
      <c r="B2045" t="s">
        <v>988</v>
      </c>
      <c r="C2045">
        <v>6</v>
      </c>
      <c r="D2045" t="s">
        <v>17</v>
      </c>
      <c r="E2045" t="s">
        <v>94</v>
      </c>
      <c r="F2045" t="s">
        <v>103</v>
      </c>
      <c r="G2045" t="s">
        <v>113</v>
      </c>
      <c r="H2045" t="s">
        <v>113</v>
      </c>
      <c r="J2045">
        <v>0</v>
      </c>
      <c r="K2045">
        <v>5</v>
      </c>
      <c r="L2045">
        <v>98.291666669999998</v>
      </c>
      <c r="M2045">
        <v>30.315130790000001</v>
      </c>
      <c r="N2045">
        <v>5.0803484000000003E-2</v>
      </c>
      <c r="O2045">
        <v>0.42866070000000001</v>
      </c>
      <c r="P2045">
        <v>83.757575759999995</v>
      </c>
      <c r="Q2045">
        <v>22.60997987</v>
      </c>
      <c r="R2045">
        <v>0.72884000000000004</v>
      </c>
      <c r="S2045">
        <v>0.21301339999999999</v>
      </c>
      <c r="T2045" t="s">
        <v>1016</v>
      </c>
      <c r="U2045">
        <v>7.7051509200000003</v>
      </c>
    </row>
    <row r="2046" spans="1:21" x14ac:dyDescent="0.25">
      <c r="A2046" t="s">
        <v>81</v>
      </c>
      <c r="B2046" t="s">
        <v>988</v>
      </c>
      <c r="C2046">
        <v>6</v>
      </c>
      <c r="D2046" t="s">
        <v>17</v>
      </c>
      <c r="E2046" t="s">
        <v>94</v>
      </c>
      <c r="F2046" t="s">
        <v>103</v>
      </c>
      <c r="G2046" t="s">
        <v>113</v>
      </c>
      <c r="H2046" t="s">
        <v>113</v>
      </c>
      <c r="J2046">
        <v>0</v>
      </c>
      <c r="K2046">
        <v>5</v>
      </c>
      <c r="L2046">
        <v>98.291666669999998</v>
      </c>
      <c r="M2046">
        <v>30.315130790000001</v>
      </c>
      <c r="N2046">
        <v>5.0803484000000003E-2</v>
      </c>
      <c r="O2046">
        <v>0.42866070000000001</v>
      </c>
      <c r="P2046">
        <v>83.757575759999995</v>
      </c>
      <c r="Q2046">
        <v>22.60997987</v>
      </c>
      <c r="R2046">
        <v>0.72884000000000004</v>
      </c>
      <c r="S2046">
        <v>0.21301339999999999</v>
      </c>
      <c r="T2046" t="s">
        <v>1016</v>
      </c>
      <c r="U2046">
        <v>7.7051509200000003</v>
      </c>
    </row>
    <row r="2047" spans="1:21" x14ac:dyDescent="0.25">
      <c r="A2047" t="s">
        <v>81</v>
      </c>
      <c r="B2047" t="s">
        <v>988</v>
      </c>
      <c r="C2047">
        <v>6</v>
      </c>
      <c r="D2047" t="s">
        <v>17</v>
      </c>
      <c r="E2047" t="s">
        <v>94</v>
      </c>
      <c r="F2047" t="s">
        <v>103</v>
      </c>
      <c r="G2047" t="s">
        <v>113</v>
      </c>
      <c r="H2047" t="s">
        <v>103</v>
      </c>
      <c r="J2047">
        <v>0</v>
      </c>
      <c r="K2047">
        <v>1</v>
      </c>
      <c r="L2047">
        <v>98.291666669999998</v>
      </c>
      <c r="M2047">
        <v>30.315130790000001</v>
      </c>
      <c r="N2047">
        <v>5.0803484000000003E-2</v>
      </c>
      <c r="O2047">
        <v>0.42866070000000001</v>
      </c>
      <c r="P2047">
        <v>98.291666669999998</v>
      </c>
      <c r="Q2047">
        <v>30.315130790000001</v>
      </c>
      <c r="R2047">
        <v>5.0803484000000003E-2</v>
      </c>
      <c r="S2047">
        <v>0.42866070000000001</v>
      </c>
      <c r="T2047" t="s">
        <v>1016</v>
      </c>
      <c r="U2047">
        <v>0</v>
      </c>
    </row>
    <row r="2048" spans="1:21" x14ac:dyDescent="0.25">
      <c r="A2048" t="s">
        <v>82</v>
      </c>
      <c r="B2048" t="s">
        <v>989</v>
      </c>
      <c r="C2048">
        <v>6</v>
      </c>
      <c r="D2048" t="s">
        <v>19</v>
      </c>
      <c r="E2048" t="s">
        <v>94</v>
      </c>
      <c r="F2048" t="s">
        <v>102</v>
      </c>
      <c r="G2048" t="s">
        <v>102</v>
      </c>
      <c r="H2048" t="s">
        <v>102</v>
      </c>
      <c r="J2048">
        <v>0</v>
      </c>
      <c r="K2048">
        <v>1</v>
      </c>
      <c r="L2048">
        <v>84.740740740000007</v>
      </c>
      <c r="M2048">
        <v>29.167014049999999</v>
      </c>
      <c r="N2048">
        <v>1.1169849999999999</v>
      </c>
      <c r="O2048">
        <v>1.1571499000000001</v>
      </c>
      <c r="P2048">
        <v>84.740740740000007</v>
      </c>
      <c r="Q2048">
        <v>29.167014049999999</v>
      </c>
      <c r="R2048">
        <v>1.1169849999999999</v>
      </c>
      <c r="S2048">
        <v>1.1571499000000001</v>
      </c>
      <c r="T2048" t="s">
        <v>1016</v>
      </c>
      <c r="U2048">
        <v>0</v>
      </c>
    </row>
    <row r="2049" spans="1:21" x14ac:dyDescent="0.25">
      <c r="A2049" t="s">
        <v>82</v>
      </c>
      <c r="B2049" t="s">
        <v>990</v>
      </c>
      <c r="C2049">
        <v>6</v>
      </c>
      <c r="D2049" t="s">
        <v>19</v>
      </c>
      <c r="E2049" t="s">
        <v>94</v>
      </c>
      <c r="F2049" t="s">
        <v>113</v>
      </c>
      <c r="G2049" t="s">
        <v>113</v>
      </c>
      <c r="H2049" t="s">
        <v>113</v>
      </c>
      <c r="J2049">
        <v>0</v>
      </c>
      <c r="K2049">
        <v>4</v>
      </c>
      <c r="L2049">
        <v>83.757575759999995</v>
      </c>
      <c r="M2049">
        <v>22.60997987</v>
      </c>
      <c r="N2049">
        <v>0.72884000000000004</v>
      </c>
      <c r="O2049">
        <v>0.21301339999999999</v>
      </c>
      <c r="P2049">
        <v>83.757575759999995</v>
      </c>
      <c r="Q2049">
        <v>22.60997987</v>
      </c>
      <c r="R2049">
        <v>0.72884000000000004</v>
      </c>
      <c r="S2049">
        <v>0.21301339999999999</v>
      </c>
      <c r="T2049" t="s">
        <v>1016</v>
      </c>
      <c r="U2049">
        <v>0</v>
      </c>
    </row>
    <row r="2050" spans="1:21" x14ac:dyDescent="0.25">
      <c r="A2050" t="s">
        <v>82</v>
      </c>
      <c r="B2050" t="s">
        <v>990</v>
      </c>
      <c r="C2050">
        <v>6</v>
      </c>
      <c r="D2050" t="s">
        <v>19</v>
      </c>
      <c r="E2050" t="s">
        <v>94</v>
      </c>
      <c r="F2050" t="s">
        <v>113</v>
      </c>
      <c r="G2050" t="s">
        <v>113</v>
      </c>
      <c r="H2050" t="s">
        <v>113</v>
      </c>
      <c r="J2050">
        <v>0</v>
      </c>
      <c r="K2050">
        <v>4</v>
      </c>
      <c r="L2050">
        <v>83.757575759999995</v>
      </c>
      <c r="M2050">
        <v>22.60997987</v>
      </c>
      <c r="N2050">
        <v>0.72884000000000004</v>
      </c>
      <c r="O2050">
        <v>0.21301339999999999</v>
      </c>
      <c r="P2050">
        <v>83.757575759999995</v>
      </c>
      <c r="Q2050">
        <v>22.60997987</v>
      </c>
      <c r="R2050">
        <v>0.72884000000000004</v>
      </c>
      <c r="S2050">
        <v>0.21301339999999999</v>
      </c>
      <c r="T2050" t="s">
        <v>1016</v>
      </c>
      <c r="U2050">
        <v>0</v>
      </c>
    </row>
    <row r="2051" spans="1:21" x14ac:dyDescent="0.25">
      <c r="A2051" t="s">
        <v>82</v>
      </c>
      <c r="B2051" t="s">
        <v>990</v>
      </c>
      <c r="C2051">
        <v>6</v>
      </c>
      <c r="D2051" t="s">
        <v>19</v>
      </c>
      <c r="E2051" t="s">
        <v>94</v>
      </c>
      <c r="F2051" t="s">
        <v>113</v>
      </c>
      <c r="G2051" t="s">
        <v>113</v>
      </c>
      <c r="H2051" t="s">
        <v>113</v>
      </c>
      <c r="J2051">
        <v>0</v>
      </c>
      <c r="K2051">
        <v>4</v>
      </c>
      <c r="L2051">
        <v>83.757575759999995</v>
      </c>
      <c r="M2051">
        <v>22.60997987</v>
      </c>
      <c r="N2051">
        <v>0.72884000000000004</v>
      </c>
      <c r="O2051">
        <v>0.21301339999999999</v>
      </c>
      <c r="P2051">
        <v>83.757575759999995</v>
      </c>
      <c r="Q2051">
        <v>22.60997987</v>
      </c>
      <c r="R2051">
        <v>0.72884000000000004</v>
      </c>
      <c r="S2051">
        <v>0.21301339999999999</v>
      </c>
      <c r="T2051" t="s">
        <v>1016</v>
      </c>
      <c r="U2051">
        <v>0</v>
      </c>
    </row>
    <row r="2052" spans="1:21" x14ac:dyDescent="0.25">
      <c r="A2052" t="s">
        <v>82</v>
      </c>
      <c r="B2052" t="s">
        <v>990</v>
      </c>
      <c r="C2052">
        <v>6</v>
      </c>
      <c r="D2052" t="s">
        <v>19</v>
      </c>
      <c r="E2052" t="s">
        <v>94</v>
      </c>
      <c r="F2052" t="s">
        <v>113</v>
      </c>
      <c r="G2052" t="s">
        <v>113</v>
      </c>
      <c r="H2052" t="s">
        <v>113</v>
      </c>
      <c r="J2052">
        <v>0</v>
      </c>
      <c r="K2052">
        <v>4</v>
      </c>
      <c r="L2052">
        <v>83.757575759999995</v>
      </c>
      <c r="M2052">
        <v>22.60997987</v>
      </c>
      <c r="N2052">
        <v>0.72884000000000004</v>
      </c>
      <c r="O2052">
        <v>0.21301339999999999</v>
      </c>
      <c r="P2052">
        <v>83.757575759999995</v>
      </c>
      <c r="Q2052">
        <v>22.60997987</v>
      </c>
      <c r="R2052">
        <v>0.72884000000000004</v>
      </c>
      <c r="S2052">
        <v>0.21301339999999999</v>
      </c>
      <c r="T2052" t="s">
        <v>1016</v>
      </c>
      <c r="U2052">
        <v>0</v>
      </c>
    </row>
    <row r="2053" spans="1:21" x14ac:dyDescent="0.25">
      <c r="A2053" t="s">
        <v>82</v>
      </c>
      <c r="B2053" t="s">
        <v>990</v>
      </c>
      <c r="C2053">
        <v>6</v>
      </c>
      <c r="D2053" t="s">
        <v>19</v>
      </c>
      <c r="E2053" t="s">
        <v>94</v>
      </c>
      <c r="F2053" t="s">
        <v>113</v>
      </c>
      <c r="G2053" t="s">
        <v>113</v>
      </c>
      <c r="H2053" t="s">
        <v>241</v>
      </c>
      <c r="J2053">
        <v>0</v>
      </c>
      <c r="K2053">
        <v>1</v>
      </c>
      <c r="L2053">
        <v>83.757575759999995</v>
      </c>
      <c r="M2053">
        <v>22.60997987</v>
      </c>
      <c r="N2053">
        <v>0.72884000000000004</v>
      </c>
      <c r="O2053">
        <v>0.21301339999999999</v>
      </c>
      <c r="P2053">
        <v>114</v>
      </c>
      <c r="Q2053">
        <v>30.43077242</v>
      </c>
      <c r="R2053">
        <v>0.53383111100000002</v>
      </c>
      <c r="S2053">
        <v>0.28333332999999999</v>
      </c>
      <c r="T2053" t="s">
        <v>1016</v>
      </c>
      <c r="U2053">
        <v>-7.8207925500000002</v>
      </c>
    </row>
    <row r="2054" spans="1:21" x14ac:dyDescent="0.25">
      <c r="A2054" t="s">
        <v>82</v>
      </c>
      <c r="B2054" t="s">
        <v>990</v>
      </c>
      <c r="C2054">
        <v>6</v>
      </c>
      <c r="D2054" t="s">
        <v>19</v>
      </c>
      <c r="E2054" t="s">
        <v>94</v>
      </c>
      <c r="F2054" t="s">
        <v>113</v>
      </c>
      <c r="G2054" t="s">
        <v>113</v>
      </c>
      <c r="H2054" t="s">
        <v>808</v>
      </c>
      <c r="J2054">
        <v>0</v>
      </c>
      <c r="K2054">
        <v>1</v>
      </c>
      <c r="L2054">
        <v>83.757575759999995</v>
      </c>
      <c r="M2054">
        <v>22.60997987</v>
      </c>
      <c r="N2054">
        <v>0.72884000000000004</v>
      </c>
      <c r="O2054">
        <v>0.21301339999999999</v>
      </c>
      <c r="P2054">
        <v>102.79166669999999</v>
      </c>
      <c r="Q2054">
        <v>27.057373470000002</v>
      </c>
      <c r="R2054">
        <v>6.3567849939999999</v>
      </c>
      <c r="S2054" t="s">
        <v>114</v>
      </c>
      <c r="T2054" t="s">
        <v>1016</v>
      </c>
      <c r="U2054">
        <v>-4.4473935999999998</v>
      </c>
    </row>
    <row r="2055" spans="1:21" x14ac:dyDescent="0.25">
      <c r="A2055" t="s">
        <v>82</v>
      </c>
      <c r="B2055" t="s">
        <v>990</v>
      </c>
      <c r="C2055">
        <v>6</v>
      </c>
      <c r="D2055" t="s">
        <v>19</v>
      </c>
      <c r="E2055" t="s">
        <v>94</v>
      </c>
      <c r="F2055" t="s">
        <v>113</v>
      </c>
      <c r="G2055" t="s">
        <v>113</v>
      </c>
      <c r="H2055" t="s">
        <v>103</v>
      </c>
      <c r="J2055">
        <v>0</v>
      </c>
      <c r="K2055">
        <v>1</v>
      </c>
      <c r="L2055">
        <v>83.757575759999995</v>
      </c>
      <c r="M2055">
        <v>22.60997987</v>
      </c>
      <c r="N2055">
        <v>0.72884000000000004</v>
      </c>
      <c r="O2055">
        <v>0.21301339999999999</v>
      </c>
      <c r="P2055">
        <v>98.291666669999998</v>
      </c>
      <c r="Q2055">
        <v>30.315130790000001</v>
      </c>
      <c r="R2055">
        <v>5.0803484000000003E-2</v>
      </c>
      <c r="S2055">
        <v>0.42866070000000001</v>
      </c>
      <c r="T2055" t="s">
        <v>1016</v>
      </c>
      <c r="U2055">
        <v>-7.7051509200000003</v>
      </c>
    </row>
    <row r="2056" spans="1:21" x14ac:dyDescent="0.25">
      <c r="A2056" t="s">
        <v>82</v>
      </c>
      <c r="B2056" t="s">
        <v>991</v>
      </c>
      <c r="C2056">
        <v>6</v>
      </c>
      <c r="D2056" t="s">
        <v>19</v>
      </c>
      <c r="E2056" t="s">
        <v>94</v>
      </c>
      <c r="F2056" t="s">
        <v>104</v>
      </c>
      <c r="G2056" t="s">
        <v>113</v>
      </c>
      <c r="H2056" t="s">
        <v>113</v>
      </c>
      <c r="J2056">
        <v>0</v>
      </c>
      <c r="K2056">
        <v>3</v>
      </c>
      <c r="L2056">
        <v>113.9375</v>
      </c>
      <c r="M2056">
        <v>33.375507550000002</v>
      </c>
      <c r="N2056">
        <v>2.4262999999999999</v>
      </c>
      <c r="O2056">
        <v>0.40692159999999999</v>
      </c>
      <c r="P2056">
        <v>83.757575759999995</v>
      </c>
      <c r="Q2056">
        <v>22.60997987</v>
      </c>
      <c r="R2056">
        <v>0.72884000000000004</v>
      </c>
      <c r="S2056">
        <v>0.21301339999999999</v>
      </c>
      <c r="T2056" t="s">
        <v>1016</v>
      </c>
      <c r="U2056">
        <v>10.76552768</v>
      </c>
    </row>
    <row r="2057" spans="1:21" x14ac:dyDescent="0.25">
      <c r="A2057" t="s">
        <v>82</v>
      </c>
      <c r="B2057" t="s">
        <v>991</v>
      </c>
      <c r="C2057">
        <v>6</v>
      </c>
      <c r="D2057" t="s">
        <v>19</v>
      </c>
      <c r="E2057" t="s">
        <v>94</v>
      </c>
      <c r="F2057" t="s">
        <v>104</v>
      </c>
      <c r="G2057" t="s">
        <v>113</v>
      </c>
      <c r="H2057" t="s">
        <v>113</v>
      </c>
      <c r="J2057">
        <v>0</v>
      </c>
      <c r="K2057">
        <v>3</v>
      </c>
      <c r="L2057">
        <v>113.9375</v>
      </c>
      <c r="M2057">
        <v>33.375507550000002</v>
      </c>
      <c r="N2057">
        <v>2.4262999999999999</v>
      </c>
      <c r="O2057">
        <v>0.40692159999999999</v>
      </c>
      <c r="P2057">
        <v>83.757575759999995</v>
      </c>
      <c r="Q2057">
        <v>22.60997987</v>
      </c>
      <c r="R2057">
        <v>0.72884000000000004</v>
      </c>
      <c r="S2057">
        <v>0.21301339999999999</v>
      </c>
      <c r="T2057" t="s">
        <v>1016</v>
      </c>
      <c r="U2057">
        <v>10.76552768</v>
      </c>
    </row>
    <row r="2058" spans="1:21" x14ac:dyDescent="0.25">
      <c r="A2058" t="s">
        <v>82</v>
      </c>
      <c r="B2058" t="s">
        <v>991</v>
      </c>
      <c r="C2058">
        <v>6</v>
      </c>
      <c r="D2058" t="s">
        <v>19</v>
      </c>
      <c r="E2058" t="s">
        <v>94</v>
      </c>
      <c r="F2058" t="s">
        <v>104</v>
      </c>
      <c r="G2058" t="s">
        <v>113</v>
      </c>
      <c r="H2058" t="s">
        <v>113</v>
      </c>
      <c r="J2058">
        <v>0</v>
      </c>
      <c r="K2058">
        <v>3</v>
      </c>
      <c r="L2058">
        <v>113.9375</v>
      </c>
      <c r="M2058">
        <v>33.375507550000002</v>
      </c>
      <c r="N2058">
        <v>2.4262999999999999</v>
      </c>
      <c r="O2058">
        <v>0.40692159999999999</v>
      </c>
      <c r="P2058">
        <v>83.757575759999995</v>
      </c>
      <c r="Q2058">
        <v>22.60997987</v>
      </c>
      <c r="R2058">
        <v>0.72884000000000004</v>
      </c>
      <c r="S2058">
        <v>0.21301339999999999</v>
      </c>
      <c r="T2058" t="s">
        <v>1016</v>
      </c>
      <c r="U2058">
        <v>10.76552768</v>
      </c>
    </row>
    <row r="2059" spans="1:21" x14ac:dyDescent="0.25">
      <c r="A2059" t="s">
        <v>83</v>
      </c>
      <c r="B2059" t="s">
        <v>992</v>
      </c>
      <c r="C2059">
        <v>6</v>
      </c>
      <c r="D2059" t="s">
        <v>21</v>
      </c>
      <c r="E2059" t="s">
        <v>94</v>
      </c>
      <c r="F2059" t="s">
        <v>102</v>
      </c>
      <c r="G2059" t="s">
        <v>121</v>
      </c>
      <c r="H2059" t="s">
        <v>114</v>
      </c>
      <c r="J2059">
        <v>0</v>
      </c>
      <c r="K2059">
        <v>0</v>
      </c>
      <c r="L2059">
        <v>84.740740740000007</v>
      </c>
      <c r="M2059">
        <v>29.167014049999999</v>
      </c>
      <c r="N2059">
        <v>1.1169849999999999</v>
      </c>
      <c r="O2059">
        <v>1.1571499000000001</v>
      </c>
      <c r="P2059" t="s">
        <v>114</v>
      </c>
      <c r="Q2059" t="s">
        <v>114</v>
      </c>
      <c r="R2059" t="s">
        <v>114</v>
      </c>
      <c r="S2059" t="s">
        <v>114</v>
      </c>
      <c r="T2059" t="s">
        <v>1016</v>
      </c>
      <c r="U2059" t="s">
        <v>114</v>
      </c>
    </row>
    <row r="2060" spans="1:21" x14ac:dyDescent="0.25">
      <c r="A2060" t="s">
        <v>83</v>
      </c>
      <c r="B2060" t="s">
        <v>993</v>
      </c>
      <c r="C2060">
        <v>6</v>
      </c>
      <c r="D2060" t="s">
        <v>21</v>
      </c>
      <c r="E2060" t="s">
        <v>94</v>
      </c>
      <c r="F2060" t="s">
        <v>103</v>
      </c>
      <c r="G2060" t="s">
        <v>103</v>
      </c>
      <c r="H2060" t="s">
        <v>103</v>
      </c>
      <c r="J2060">
        <v>0</v>
      </c>
      <c r="K2060">
        <v>2</v>
      </c>
      <c r="L2060">
        <v>98.291666669999998</v>
      </c>
      <c r="M2060">
        <v>30.315130790000001</v>
      </c>
      <c r="N2060">
        <v>5.0803484000000003E-2</v>
      </c>
      <c r="O2060">
        <v>0.42866070000000001</v>
      </c>
      <c r="P2060">
        <v>98.291666669999998</v>
      </c>
      <c r="Q2060">
        <v>30.315130790000001</v>
      </c>
      <c r="R2060">
        <v>5.0803484000000003E-2</v>
      </c>
      <c r="S2060">
        <v>0.42866070000000001</v>
      </c>
      <c r="T2060" t="s">
        <v>1016</v>
      </c>
      <c r="U2060">
        <v>0</v>
      </c>
    </row>
    <row r="2061" spans="1:21" x14ac:dyDescent="0.25">
      <c r="A2061" t="s">
        <v>83</v>
      </c>
      <c r="B2061" t="s">
        <v>993</v>
      </c>
      <c r="C2061">
        <v>6</v>
      </c>
      <c r="D2061" t="s">
        <v>21</v>
      </c>
      <c r="E2061" t="s">
        <v>94</v>
      </c>
      <c r="F2061" t="s">
        <v>103</v>
      </c>
      <c r="G2061" t="s">
        <v>103</v>
      </c>
      <c r="H2061" t="s">
        <v>103</v>
      </c>
      <c r="J2061">
        <v>0</v>
      </c>
      <c r="K2061">
        <v>2</v>
      </c>
      <c r="L2061">
        <v>98.291666669999998</v>
      </c>
      <c r="M2061">
        <v>30.315130790000001</v>
      </c>
      <c r="N2061">
        <v>5.0803484000000003E-2</v>
      </c>
      <c r="O2061">
        <v>0.42866070000000001</v>
      </c>
      <c r="P2061">
        <v>98.291666669999998</v>
      </c>
      <c r="Q2061">
        <v>30.315130790000001</v>
      </c>
      <c r="R2061">
        <v>5.0803484000000003E-2</v>
      </c>
      <c r="S2061">
        <v>0.42866070000000001</v>
      </c>
      <c r="T2061" t="s">
        <v>1016</v>
      </c>
      <c r="U2061">
        <v>0</v>
      </c>
    </row>
    <row r="2062" spans="1:21" x14ac:dyDescent="0.25">
      <c r="A2062" t="s">
        <v>83</v>
      </c>
      <c r="B2062" t="s">
        <v>993</v>
      </c>
      <c r="C2062">
        <v>6</v>
      </c>
      <c r="D2062" t="s">
        <v>21</v>
      </c>
      <c r="E2062" t="s">
        <v>94</v>
      </c>
      <c r="F2062" t="s">
        <v>103</v>
      </c>
      <c r="G2062" t="s">
        <v>103</v>
      </c>
      <c r="H2062" t="s">
        <v>246</v>
      </c>
      <c r="J2062">
        <v>0</v>
      </c>
      <c r="K2062">
        <v>1</v>
      </c>
      <c r="L2062">
        <v>98.291666669999998</v>
      </c>
      <c r="M2062">
        <v>30.315130790000001</v>
      </c>
      <c r="N2062">
        <v>5.0803484000000003E-2</v>
      </c>
      <c r="O2062">
        <v>0.42866070000000001</v>
      </c>
      <c r="P2062">
        <v>120.25</v>
      </c>
      <c r="Q2062">
        <v>30.670450110000001</v>
      </c>
      <c r="R2062">
        <v>0.91037498500000003</v>
      </c>
      <c r="S2062" t="s">
        <v>114</v>
      </c>
      <c r="T2062" t="s">
        <v>1016</v>
      </c>
      <c r="U2062">
        <v>-0.35531931999999999</v>
      </c>
    </row>
    <row r="2063" spans="1:21" x14ac:dyDescent="0.25">
      <c r="A2063" t="s">
        <v>83</v>
      </c>
      <c r="B2063" t="s">
        <v>993</v>
      </c>
      <c r="C2063">
        <v>6</v>
      </c>
      <c r="D2063" t="s">
        <v>21</v>
      </c>
      <c r="E2063" t="s">
        <v>94</v>
      </c>
      <c r="F2063" t="s">
        <v>103</v>
      </c>
      <c r="G2063" t="s">
        <v>103</v>
      </c>
      <c r="H2063" t="s">
        <v>239</v>
      </c>
      <c r="J2063">
        <v>0</v>
      </c>
      <c r="K2063">
        <v>1</v>
      </c>
      <c r="L2063">
        <v>98.291666669999998</v>
      </c>
      <c r="M2063">
        <v>30.315130790000001</v>
      </c>
      <c r="N2063">
        <v>5.0803484000000003E-2</v>
      </c>
      <c r="O2063">
        <v>0.42866070000000001</v>
      </c>
      <c r="P2063">
        <v>100.45454549999999</v>
      </c>
      <c r="Q2063">
        <v>26.754810689999999</v>
      </c>
      <c r="R2063">
        <v>0.75829999999999997</v>
      </c>
      <c r="S2063">
        <v>0.40907861000000001</v>
      </c>
      <c r="T2063" t="s">
        <v>1016</v>
      </c>
      <c r="U2063">
        <v>3.5603201000000002</v>
      </c>
    </row>
    <row r="2064" spans="1:21" x14ac:dyDescent="0.25">
      <c r="A2064" t="s">
        <v>83</v>
      </c>
      <c r="B2064" t="s">
        <v>994</v>
      </c>
      <c r="C2064">
        <v>6</v>
      </c>
      <c r="D2064" t="s">
        <v>21</v>
      </c>
      <c r="E2064" t="s">
        <v>94</v>
      </c>
      <c r="F2064" t="s">
        <v>111</v>
      </c>
      <c r="G2064" t="s">
        <v>121</v>
      </c>
      <c r="H2064" t="s">
        <v>114</v>
      </c>
      <c r="J2064">
        <v>0</v>
      </c>
      <c r="K2064">
        <v>0</v>
      </c>
      <c r="L2064">
        <v>94.97142857</v>
      </c>
      <c r="M2064">
        <v>24.31591813</v>
      </c>
      <c r="N2064">
        <v>0.122951111</v>
      </c>
      <c r="O2064">
        <v>0.39050790000000002</v>
      </c>
      <c r="P2064" t="s">
        <v>114</v>
      </c>
      <c r="Q2064" t="s">
        <v>114</v>
      </c>
      <c r="R2064" t="s">
        <v>114</v>
      </c>
      <c r="S2064" t="s">
        <v>114</v>
      </c>
      <c r="T2064" t="s">
        <v>1016</v>
      </c>
      <c r="U2064" t="s">
        <v>114</v>
      </c>
    </row>
    <row r="2065" spans="1:21" x14ac:dyDescent="0.25">
      <c r="A2065" t="s">
        <v>84</v>
      </c>
      <c r="B2065" t="s">
        <v>995</v>
      </c>
      <c r="C2065">
        <v>6</v>
      </c>
      <c r="D2065" t="s">
        <v>23</v>
      </c>
      <c r="E2065" t="s">
        <v>95</v>
      </c>
      <c r="F2065" t="s">
        <v>102</v>
      </c>
      <c r="G2065" t="s">
        <v>121</v>
      </c>
      <c r="H2065" t="s">
        <v>254</v>
      </c>
      <c r="J2065">
        <v>0</v>
      </c>
      <c r="K2065">
        <v>3</v>
      </c>
      <c r="L2065">
        <v>84.740740740000007</v>
      </c>
      <c r="M2065">
        <v>29.167014049999999</v>
      </c>
      <c r="N2065">
        <v>1.1169849999999999</v>
      </c>
      <c r="O2065">
        <v>1.1571499000000001</v>
      </c>
      <c r="P2065" t="s">
        <v>114</v>
      </c>
      <c r="Q2065" t="s">
        <v>114</v>
      </c>
      <c r="R2065" t="s">
        <v>114</v>
      </c>
      <c r="S2065" t="s">
        <v>114</v>
      </c>
      <c r="T2065" t="s">
        <v>1016</v>
      </c>
      <c r="U2065" t="s">
        <v>114</v>
      </c>
    </row>
    <row r="2066" spans="1:21" x14ac:dyDescent="0.25">
      <c r="A2066" t="s">
        <v>84</v>
      </c>
      <c r="B2066" t="s">
        <v>995</v>
      </c>
      <c r="C2066">
        <v>6</v>
      </c>
      <c r="D2066" t="s">
        <v>23</v>
      </c>
      <c r="E2066" t="s">
        <v>95</v>
      </c>
      <c r="F2066" t="s">
        <v>102</v>
      </c>
      <c r="G2066" t="s">
        <v>121</v>
      </c>
      <c r="H2066" t="s">
        <v>254</v>
      </c>
      <c r="J2066">
        <v>0</v>
      </c>
      <c r="K2066">
        <v>3</v>
      </c>
      <c r="L2066">
        <v>84.740740740000007</v>
      </c>
      <c r="M2066">
        <v>29.167014049999999</v>
      </c>
      <c r="N2066">
        <v>1.1169849999999999</v>
      </c>
      <c r="O2066">
        <v>1.1571499000000001</v>
      </c>
      <c r="P2066" t="s">
        <v>114</v>
      </c>
      <c r="Q2066" t="s">
        <v>114</v>
      </c>
      <c r="R2066" t="s">
        <v>114</v>
      </c>
      <c r="S2066" t="s">
        <v>114</v>
      </c>
      <c r="T2066" t="s">
        <v>1016</v>
      </c>
      <c r="U2066" t="s">
        <v>114</v>
      </c>
    </row>
    <row r="2067" spans="1:21" x14ac:dyDescent="0.25">
      <c r="A2067" t="s">
        <v>84</v>
      </c>
      <c r="B2067" t="s">
        <v>995</v>
      </c>
      <c r="C2067">
        <v>6</v>
      </c>
      <c r="D2067" t="s">
        <v>23</v>
      </c>
      <c r="E2067" t="s">
        <v>95</v>
      </c>
      <c r="F2067" t="s">
        <v>102</v>
      </c>
      <c r="G2067" t="s">
        <v>121</v>
      </c>
      <c r="H2067" t="s">
        <v>254</v>
      </c>
      <c r="J2067">
        <v>0</v>
      </c>
      <c r="K2067">
        <v>3</v>
      </c>
      <c r="L2067">
        <v>84.740740740000007</v>
      </c>
      <c r="M2067">
        <v>29.167014049999999</v>
      </c>
      <c r="N2067">
        <v>1.1169849999999999</v>
      </c>
      <c r="O2067">
        <v>1.1571499000000001</v>
      </c>
      <c r="P2067" t="s">
        <v>114</v>
      </c>
      <c r="Q2067" t="s">
        <v>114</v>
      </c>
      <c r="R2067" t="s">
        <v>114</v>
      </c>
      <c r="S2067" t="s">
        <v>114</v>
      </c>
      <c r="T2067" t="s">
        <v>1016</v>
      </c>
      <c r="U2067" t="s">
        <v>114</v>
      </c>
    </row>
    <row r="2068" spans="1:21" x14ac:dyDescent="0.25">
      <c r="A2068" t="s">
        <v>84</v>
      </c>
      <c r="B2068" t="s">
        <v>995</v>
      </c>
      <c r="C2068">
        <v>6</v>
      </c>
      <c r="D2068" t="s">
        <v>23</v>
      </c>
      <c r="E2068" t="s">
        <v>95</v>
      </c>
      <c r="F2068" t="s">
        <v>102</v>
      </c>
      <c r="G2068" t="s">
        <v>121</v>
      </c>
      <c r="H2068" t="s">
        <v>248</v>
      </c>
      <c r="J2068">
        <v>0</v>
      </c>
      <c r="K2068">
        <v>1</v>
      </c>
      <c r="L2068">
        <v>84.740740740000007</v>
      </c>
      <c r="M2068">
        <v>29.167014049999999</v>
      </c>
      <c r="N2068">
        <v>1.1169849999999999</v>
      </c>
      <c r="O2068">
        <v>1.1571499000000001</v>
      </c>
      <c r="P2068">
        <v>83.92307692</v>
      </c>
      <c r="Q2068">
        <v>44.319135699999997</v>
      </c>
      <c r="R2068">
        <v>5.9548609999999997E-3</v>
      </c>
      <c r="S2068">
        <v>0.18017928</v>
      </c>
      <c r="T2068" t="s">
        <v>1016</v>
      </c>
      <c r="U2068">
        <v>-15.15212165</v>
      </c>
    </row>
    <row r="2069" spans="1:21" x14ac:dyDescent="0.25">
      <c r="A2069" t="s">
        <v>84</v>
      </c>
      <c r="B2069" t="s">
        <v>995</v>
      </c>
      <c r="C2069">
        <v>6</v>
      </c>
      <c r="D2069" t="s">
        <v>23</v>
      </c>
      <c r="E2069" t="s">
        <v>95</v>
      </c>
      <c r="F2069" t="s">
        <v>102</v>
      </c>
      <c r="G2069" t="s">
        <v>121</v>
      </c>
      <c r="H2069" t="s">
        <v>233</v>
      </c>
      <c r="J2069">
        <v>0</v>
      </c>
      <c r="K2069">
        <v>1</v>
      </c>
      <c r="L2069">
        <v>84.740740740000007</v>
      </c>
      <c r="M2069">
        <v>29.167014049999999</v>
      </c>
      <c r="N2069">
        <v>1.1169849999999999</v>
      </c>
      <c r="O2069">
        <v>1.1571499000000001</v>
      </c>
      <c r="P2069">
        <v>106.0540541</v>
      </c>
      <c r="Q2069">
        <v>52.690533369999997</v>
      </c>
      <c r="R2069">
        <v>7.6058968000000005E-2</v>
      </c>
      <c r="S2069">
        <v>0.44888888999999998</v>
      </c>
      <c r="T2069" t="s">
        <v>1016</v>
      </c>
      <c r="U2069">
        <v>-23.523519319999998</v>
      </c>
    </row>
    <row r="2070" spans="1:21" x14ac:dyDescent="0.25">
      <c r="A2070" t="s">
        <v>84</v>
      </c>
      <c r="B2070" t="s">
        <v>995</v>
      </c>
      <c r="C2070">
        <v>6</v>
      </c>
      <c r="D2070" t="s">
        <v>23</v>
      </c>
      <c r="E2070" t="s">
        <v>95</v>
      </c>
      <c r="F2070" t="s">
        <v>102</v>
      </c>
      <c r="G2070" t="s">
        <v>121</v>
      </c>
      <c r="H2070" t="s">
        <v>103</v>
      </c>
      <c r="J2070">
        <v>0</v>
      </c>
      <c r="K2070">
        <v>5</v>
      </c>
      <c r="L2070">
        <v>84.740740740000007</v>
      </c>
      <c r="M2070">
        <v>29.167014049999999</v>
      </c>
      <c r="N2070">
        <v>1.1169849999999999</v>
      </c>
      <c r="O2070">
        <v>1.1571499000000001</v>
      </c>
      <c r="P2070">
        <v>98.291666669999998</v>
      </c>
      <c r="Q2070">
        <v>30.315130790000001</v>
      </c>
      <c r="R2070">
        <v>5.0803484000000003E-2</v>
      </c>
      <c r="S2070">
        <v>0.42866070000000001</v>
      </c>
      <c r="T2070" t="s">
        <v>1016</v>
      </c>
      <c r="U2070">
        <v>-1.1481167400000001</v>
      </c>
    </row>
    <row r="2071" spans="1:21" x14ac:dyDescent="0.25">
      <c r="A2071" t="s">
        <v>84</v>
      </c>
      <c r="B2071" t="s">
        <v>995</v>
      </c>
      <c r="C2071">
        <v>6</v>
      </c>
      <c r="D2071" t="s">
        <v>23</v>
      </c>
      <c r="E2071" t="s">
        <v>95</v>
      </c>
      <c r="F2071" t="s">
        <v>102</v>
      </c>
      <c r="G2071" t="s">
        <v>121</v>
      </c>
      <c r="H2071" t="s">
        <v>103</v>
      </c>
      <c r="J2071">
        <v>0</v>
      </c>
      <c r="K2071">
        <v>5</v>
      </c>
      <c r="L2071">
        <v>84.740740740000007</v>
      </c>
      <c r="M2071">
        <v>29.167014049999999</v>
      </c>
      <c r="N2071">
        <v>1.1169849999999999</v>
      </c>
      <c r="O2071">
        <v>1.1571499000000001</v>
      </c>
      <c r="P2071">
        <v>98.291666669999998</v>
      </c>
      <c r="Q2071">
        <v>30.315130790000001</v>
      </c>
      <c r="R2071">
        <v>5.0803484000000003E-2</v>
      </c>
      <c r="S2071">
        <v>0.42866070000000001</v>
      </c>
      <c r="T2071" t="s">
        <v>1016</v>
      </c>
      <c r="U2071">
        <v>-1.1481167400000001</v>
      </c>
    </row>
    <row r="2072" spans="1:21" x14ac:dyDescent="0.25">
      <c r="A2072" t="s">
        <v>84</v>
      </c>
      <c r="B2072" t="s">
        <v>995</v>
      </c>
      <c r="C2072">
        <v>6</v>
      </c>
      <c r="D2072" t="s">
        <v>23</v>
      </c>
      <c r="E2072" t="s">
        <v>95</v>
      </c>
      <c r="F2072" t="s">
        <v>102</v>
      </c>
      <c r="G2072" t="s">
        <v>121</v>
      </c>
      <c r="H2072" t="s">
        <v>103</v>
      </c>
      <c r="J2072">
        <v>0</v>
      </c>
      <c r="K2072">
        <v>5</v>
      </c>
      <c r="L2072">
        <v>84.740740740000007</v>
      </c>
      <c r="M2072">
        <v>29.167014049999999</v>
      </c>
      <c r="N2072">
        <v>1.1169849999999999</v>
      </c>
      <c r="O2072">
        <v>1.1571499000000001</v>
      </c>
      <c r="P2072">
        <v>98.291666669999998</v>
      </c>
      <c r="Q2072">
        <v>30.315130790000001</v>
      </c>
      <c r="R2072">
        <v>5.0803484000000003E-2</v>
      </c>
      <c r="S2072">
        <v>0.42866070000000001</v>
      </c>
      <c r="T2072" t="s">
        <v>1016</v>
      </c>
      <c r="U2072">
        <v>-1.1481167400000001</v>
      </c>
    </row>
    <row r="2073" spans="1:21" x14ac:dyDescent="0.25">
      <c r="A2073" t="s">
        <v>84</v>
      </c>
      <c r="B2073" t="s">
        <v>995</v>
      </c>
      <c r="C2073">
        <v>6</v>
      </c>
      <c r="D2073" t="s">
        <v>23</v>
      </c>
      <c r="E2073" t="s">
        <v>95</v>
      </c>
      <c r="F2073" t="s">
        <v>102</v>
      </c>
      <c r="G2073" t="s">
        <v>121</v>
      </c>
      <c r="H2073" t="s">
        <v>103</v>
      </c>
      <c r="J2073">
        <v>0</v>
      </c>
      <c r="K2073">
        <v>5</v>
      </c>
      <c r="L2073">
        <v>84.740740740000007</v>
      </c>
      <c r="M2073">
        <v>29.167014049999999</v>
      </c>
      <c r="N2073">
        <v>1.1169849999999999</v>
      </c>
      <c r="O2073">
        <v>1.1571499000000001</v>
      </c>
      <c r="P2073">
        <v>98.291666669999998</v>
      </c>
      <c r="Q2073">
        <v>30.315130790000001</v>
      </c>
      <c r="R2073">
        <v>5.0803484000000003E-2</v>
      </c>
      <c r="S2073">
        <v>0.42866070000000001</v>
      </c>
      <c r="T2073" t="s">
        <v>1016</v>
      </c>
      <c r="U2073">
        <v>-1.1481167400000001</v>
      </c>
    </row>
    <row r="2074" spans="1:21" x14ac:dyDescent="0.25">
      <c r="A2074" t="s">
        <v>84</v>
      </c>
      <c r="B2074" t="s">
        <v>995</v>
      </c>
      <c r="C2074">
        <v>6</v>
      </c>
      <c r="D2074" t="s">
        <v>23</v>
      </c>
      <c r="E2074" t="s">
        <v>95</v>
      </c>
      <c r="F2074" t="s">
        <v>102</v>
      </c>
      <c r="G2074" t="s">
        <v>121</v>
      </c>
      <c r="H2074" t="s">
        <v>103</v>
      </c>
      <c r="J2074">
        <v>0</v>
      </c>
      <c r="K2074">
        <v>5</v>
      </c>
      <c r="L2074">
        <v>84.740740740000007</v>
      </c>
      <c r="M2074">
        <v>29.167014049999999</v>
      </c>
      <c r="N2074">
        <v>1.1169849999999999</v>
      </c>
      <c r="O2074">
        <v>1.1571499000000001</v>
      </c>
      <c r="P2074">
        <v>98.291666669999998</v>
      </c>
      <c r="Q2074">
        <v>30.315130790000001</v>
      </c>
      <c r="R2074">
        <v>5.0803484000000003E-2</v>
      </c>
      <c r="S2074">
        <v>0.42866070000000001</v>
      </c>
      <c r="T2074" t="s">
        <v>1016</v>
      </c>
      <c r="U2074">
        <v>-1.1481167400000001</v>
      </c>
    </row>
    <row r="2075" spans="1:21" x14ac:dyDescent="0.25">
      <c r="A2075" t="s">
        <v>84</v>
      </c>
      <c r="B2075" t="s">
        <v>996</v>
      </c>
      <c r="C2075">
        <v>6</v>
      </c>
      <c r="D2075" t="s">
        <v>23</v>
      </c>
      <c r="E2075" t="s">
        <v>95</v>
      </c>
      <c r="F2075" t="s">
        <v>105</v>
      </c>
      <c r="G2075" t="s">
        <v>103</v>
      </c>
      <c r="H2075" t="s">
        <v>114</v>
      </c>
      <c r="J2075">
        <v>0</v>
      </c>
      <c r="K2075" t="s">
        <v>114</v>
      </c>
      <c r="L2075">
        <v>67.5</v>
      </c>
      <c r="M2075">
        <v>47.937235809999997</v>
      </c>
      <c r="N2075">
        <v>0.41599678000000001</v>
      </c>
      <c r="O2075">
        <v>2.0950346999999998</v>
      </c>
      <c r="P2075" t="s">
        <v>114</v>
      </c>
      <c r="Q2075" t="s">
        <v>114</v>
      </c>
      <c r="R2075" t="s">
        <v>114</v>
      </c>
      <c r="S2075" t="s">
        <v>114</v>
      </c>
      <c r="T2075" t="s">
        <v>1016</v>
      </c>
      <c r="U2075" t="s">
        <v>114</v>
      </c>
    </row>
    <row r="2076" spans="1:21" x14ac:dyDescent="0.25">
      <c r="A2076" t="s">
        <v>84</v>
      </c>
      <c r="B2076" t="s">
        <v>997</v>
      </c>
      <c r="C2076">
        <v>6</v>
      </c>
      <c r="D2076" t="s">
        <v>23</v>
      </c>
      <c r="E2076" t="s">
        <v>95</v>
      </c>
      <c r="F2076" t="s">
        <v>111</v>
      </c>
      <c r="G2076" t="s">
        <v>103</v>
      </c>
      <c r="H2076" t="s">
        <v>103</v>
      </c>
      <c r="J2076">
        <v>0</v>
      </c>
      <c r="K2076">
        <v>2</v>
      </c>
      <c r="L2076">
        <v>94.97142857</v>
      </c>
      <c r="M2076">
        <v>24.31591813</v>
      </c>
      <c r="N2076">
        <v>0.122951111</v>
      </c>
      <c r="O2076">
        <v>0.39050790000000002</v>
      </c>
      <c r="P2076">
        <v>98.291666669999998</v>
      </c>
      <c r="Q2076">
        <v>30.315130790000001</v>
      </c>
      <c r="R2076">
        <v>5.0803484000000003E-2</v>
      </c>
      <c r="S2076">
        <v>0.42866070000000001</v>
      </c>
      <c r="T2076" t="s">
        <v>1016</v>
      </c>
      <c r="U2076">
        <v>-5.9992126600000004</v>
      </c>
    </row>
    <row r="2077" spans="1:21" x14ac:dyDescent="0.25">
      <c r="A2077" t="s">
        <v>84</v>
      </c>
      <c r="B2077" t="s">
        <v>997</v>
      </c>
      <c r="C2077">
        <v>6</v>
      </c>
      <c r="D2077" t="s">
        <v>23</v>
      </c>
      <c r="E2077" t="s">
        <v>95</v>
      </c>
      <c r="F2077" t="s">
        <v>111</v>
      </c>
      <c r="G2077" t="s">
        <v>103</v>
      </c>
      <c r="H2077" t="s">
        <v>103</v>
      </c>
      <c r="J2077">
        <v>0</v>
      </c>
      <c r="K2077">
        <v>2</v>
      </c>
      <c r="L2077">
        <v>94.97142857</v>
      </c>
      <c r="M2077">
        <v>24.31591813</v>
      </c>
      <c r="N2077">
        <v>0.122951111</v>
      </c>
      <c r="O2077">
        <v>0.39050790000000002</v>
      </c>
      <c r="P2077">
        <v>98.291666669999998</v>
      </c>
      <c r="Q2077">
        <v>30.315130790000001</v>
      </c>
      <c r="R2077">
        <v>5.0803484000000003E-2</v>
      </c>
      <c r="S2077">
        <v>0.42866070000000001</v>
      </c>
      <c r="T2077" t="s">
        <v>1016</v>
      </c>
      <c r="U2077">
        <v>-5.9992126600000004</v>
      </c>
    </row>
    <row r="2078" spans="1:21" x14ac:dyDescent="0.25">
      <c r="A2078" t="s">
        <v>84</v>
      </c>
      <c r="B2078" t="s">
        <v>997</v>
      </c>
      <c r="C2078">
        <v>6</v>
      </c>
      <c r="D2078" t="s">
        <v>23</v>
      </c>
      <c r="E2078" t="s">
        <v>95</v>
      </c>
      <c r="F2078" t="s">
        <v>111</v>
      </c>
      <c r="G2078" t="s">
        <v>103</v>
      </c>
      <c r="H2078" t="s">
        <v>247</v>
      </c>
      <c r="J2078">
        <v>0</v>
      </c>
      <c r="K2078">
        <v>1</v>
      </c>
      <c r="L2078">
        <v>94.97142857</v>
      </c>
      <c r="M2078">
        <v>24.31591813</v>
      </c>
      <c r="N2078">
        <v>0.122951111</v>
      </c>
      <c r="O2078">
        <v>0.39050790000000002</v>
      </c>
      <c r="P2078">
        <v>65.791044779999993</v>
      </c>
      <c r="Q2078">
        <v>22.94519201</v>
      </c>
      <c r="R2078">
        <v>8.1320334999999994E-2</v>
      </c>
      <c r="S2078">
        <v>0.17285655</v>
      </c>
      <c r="T2078" t="s">
        <v>1016</v>
      </c>
      <c r="U2078">
        <v>1.37072612</v>
      </c>
    </row>
    <row r="2079" spans="1:21" x14ac:dyDescent="0.25">
      <c r="A2079" t="s">
        <v>84</v>
      </c>
      <c r="B2079" t="s">
        <v>997</v>
      </c>
      <c r="C2079">
        <v>6</v>
      </c>
      <c r="D2079" t="s">
        <v>23</v>
      </c>
      <c r="E2079" t="s">
        <v>95</v>
      </c>
      <c r="F2079" t="s">
        <v>111</v>
      </c>
      <c r="G2079" t="s">
        <v>103</v>
      </c>
      <c r="H2079" t="s">
        <v>233</v>
      </c>
      <c r="J2079">
        <v>0</v>
      </c>
      <c r="K2079">
        <v>1</v>
      </c>
      <c r="L2079">
        <v>94.97142857</v>
      </c>
      <c r="M2079">
        <v>24.31591813</v>
      </c>
      <c r="N2079">
        <v>0.122951111</v>
      </c>
      <c r="O2079">
        <v>0.39050790000000002</v>
      </c>
      <c r="P2079">
        <v>106.0540541</v>
      </c>
      <c r="Q2079">
        <v>52.690533369999997</v>
      </c>
      <c r="R2079">
        <v>7.6058968000000005E-2</v>
      </c>
      <c r="S2079">
        <v>0.44888888999999998</v>
      </c>
      <c r="T2079" t="s">
        <v>1016</v>
      </c>
      <c r="U2079">
        <v>-28.374615240000001</v>
      </c>
    </row>
    <row r="2080" spans="1:21" x14ac:dyDescent="0.25">
      <c r="A2080" t="s">
        <v>84</v>
      </c>
      <c r="B2080" t="s">
        <v>997</v>
      </c>
      <c r="C2080">
        <v>6</v>
      </c>
      <c r="D2080" t="s">
        <v>23</v>
      </c>
      <c r="E2080" t="s">
        <v>95</v>
      </c>
      <c r="F2080" t="s">
        <v>111</v>
      </c>
      <c r="G2080" t="s">
        <v>103</v>
      </c>
      <c r="H2080" t="s">
        <v>808</v>
      </c>
      <c r="J2080">
        <v>0</v>
      </c>
      <c r="K2080">
        <v>1</v>
      </c>
      <c r="L2080">
        <v>94.97142857</v>
      </c>
      <c r="M2080">
        <v>24.31591813</v>
      </c>
      <c r="N2080">
        <v>0.122951111</v>
      </c>
      <c r="O2080">
        <v>0.39050790000000002</v>
      </c>
      <c r="P2080">
        <v>102.79166669999999</v>
      </c>
      <c r="Q2080">
        <v>27.057373470000002</v>
      </c>
      <c r="R2080">
        <v>6.3567849939999999</v>
      </c>
      <c r="S2080" t="s">
        <v>114</v>
      </c>
      <c r="T2080" t="s">
        <v>1016</v>
      </c>
      <c r="U2080">
        <v>-2.7414553399999999</v>
      </c>
    </row>
    <row r="2081" spans="1:21" x14ac:dyDescent="0.25">
      <c r="A2081" t="s">
        <v>84</v>
      </c>
      <c r="B2081" t="s">
        <v>998</v>
      </c>
      <c r="C2081">
        <v>6</v>
      </c>
      <c r="D2081" t="s">
        <v>23</v>
      </c>
      <c r="E2081" t="s">
        <v>95</v>
      </c>
      <c r="F2081" t="s">
        <v>112</v>
      </c>
      <c r="G2081" t="s">
        <v>103</v>
      </c>
      <c r="H2081" t="s">
        <v>236</v>
      </c>
      <c r="J2081">
        <v>0</v>
      </c>
      <c r="K2081">
        <v>1</v>
      </c>
      <c r="L2081">
        <v>65.09375</v>
      </c>
      <c r="M2081">
        <v>37.895352600000002</v>
      </c>
      <c r="N2081">
        <v>2.2882677779999998</v>
      </c>
      <c r="O2081">
        <v>2.2111774</v>
      </c>
      <c r="P2081">
        <v>113.33333330000001</v>
      </c>
      <c r="Q2081">
        <v>26.41632581</v>
      </c>
      <c r="R2081">
        <v>1.6844570160000001</v>
      </c>
      <c r="S2081">
        <v>8.9285710000000004E-2</v>
      </c>
      <c r="T2081" t="s">
        <v>1016</v>
      </c>
      <c r="U2081">
        <v>11.479026790000001</v>
      </c>
    </row>
    <row r="2082" spans="1:21" x14ac:dyDescent="0.25">
      <c r="A2082" t="s">
        <v>84</v>
      </c>
      <c r="B2082" t="s">
        <v>998</v>
      </c>
      <c r="C2082">
        <v>6</v>
      </c>
      <c r="D2082" t="s">
        <v>23</v>
      </c>
      <c r="E2082" t="s">
        <v>95</v>
      </c>
      <c r="F2082" t="s">
        <v>112</v>
      </c>
      <c r="G2082" t="s">
        <v>103</v>
      </c>
      <c r="H2082" t="s">
        <v>103</v>
      </c>
      <c r="J2082">
        <v>0</v>
      </c>
      <c r="K2082">
        <v>2</v>
      </c>
      <c r="L2082">
        <v>65.09375</v>
      </c>
      <c r="M2082">
        <v>37.895352600000002</v>
      </c>
      <c r="N2082">
        <v>2.2882677779999998</v>
      </c>
      <c r="O2082">
        <v>2.2111774</v>
      </c>
      <c r="P2082">
        <v>98.291666669999998</v>
      </c>
      <c r="Q2082">
        <v>30.315130790000001</v>
      </c>
      <c r="R2082">
        <v>5.0803484000000003E-2</v>
      </c>
      <c r="S2082">
        <v>0.42866070000000001</v>
      </c>
      <c r="T2082" t="s">
        <v>1016</v>
      </c>
      <c r="U2082">
        <v>7.5802218100000003</v>
      </c>
    </row>
    <row r="2083" spans="1:21" x14ac:dyDescent="0.25">
      <c r="A2083" t="s">
        <v>84</v>
      </c>
      <c r="B2083" t="s">
        <v>998</v>
      </c>
      <c r="C2083">
        <v>6</v>
      </c>
      <c r="D2083" t="s">
        <v>23</v>
      </c>
      <c r="E2083" t="s">
        <v>95</v>
      </c>
      <c r="F2083" t="s">
        <v>112</v>
      </c>
      <c r="G2083" t="s">
        <v>103</v>
      </c>
      <c r="H2083" t="s">
        <v>103</v>
      </c>
      <c r="J2083">
        <v>0</v>
      </c>
      <c r="K2083">
        <v>2</v>
      </c>
      <c r="L2083">
        <v>65.09375</v>
      </c>
      <c r="M2083">
        <v>37.895352600000002</v>
      </c>
      <c r="N2083">
        <v>2.2882677779999998</v>
      </c>
      <c r="O2083">
        <v>2.2111774</v>
      </c>
      <c r="P2083">
        <v>98.291666669999998</v>
      </c>
      <c r="Q2083">
        <v>30.315130790000001</v>
      </c>
      <c r="R2083">
        <v>5.0803484000000003E-2</v>
      </c>
      <c r="S2083">
        <v>0.42866070000000001</v>
      </c>
      <c r="T2083" t="s">
        <v>1016</v>
      </c>
      <c r="U2083">
        <v>7.5802218100000003</v>
      </c>
    </row>
    <row r="2084" spans="1:21" x14ac:dyDescent="0.25">
      <c r="A2084" t="s">
        <v>84</v>
      </c>
      <c r="B2084" t="s">
        <v>998</v>
      </c>
      <c r="C2084">
        <v>6</v>
      </c>
      <c r="D2084" t="s">
        <v>23</v>
      </c>
      <c r="E2084" t="s">
        <v>95</v>
      </c>
      <c r="F2084" t="s">
        <v>112</v>
      </c>
      <c r="G2084" t="s">
        <v>103</v>
      </c>
      <c r="H2084" t="s">
        <v>808</v>
      </c>
      <c r="J2084">
        <v>0</v>
      </c>
      <c r="K2084">
        <v>1</v>
      </c>
      <c r="L2084">
        <v>65.09375</v>
      </c>
      <c r="M2084">
        <v>37.895352600000002</v>
      </c>
      <c r="N2084">
        <v>2.2882677779999998</v>
      </c>
      <c r="O2084">
        <v>2.2111774</v>
      </c>
      <c r="P2084">
        <v>102.79166669999999</v>
      </c>
      <c r="Q2084">
        <v>27.057373470000002</v>
      </c>
      <c r="R2084">
        <v>6.3567849939999999</v>
      </c>
      <c r="S2084" t="s">
        <v>114</v>
      </c>
      <c r="T2084" t="s">
        <v>1016</v>
      </c>
      <c r="U2084">
        <v>10.837979130000001</v>
      </c>
    </row>
    <row r="2085" spans="1:21" x14ac:dyDescent="0.25">
      <c r="A2085" t="s">
        <v>84</v>
      </c>
      <c r="B2085" t="s">
        <v>998</v>
      </c>
      <c r="C2085">
        <v>6</v>
      </c>
      <c r="D2085" t="s">
        <v>23</v>
      </c>
      <c r="E2085" t="s">
        <v>95</v>
      </c>
      <c r="F2085" t="s">
        <v>112</v>
      </c>
      <c r="G2085" t="s">
        <v>103</v>
      </c>
      <c r="H2085" t="s">
        <v>239</v>
      </c>
      <c r="J2085">
        <v>0</v>
      </c>
      <c r="K2085">
        <v>2</v>
      </c>
      <c r="L2085">
        <v>65.09375</v>
      </c>
      <c r="M2085">
        <v>37.895352600000002</v>
      </c>
      <c r="N2085">
        <v>2.2882677779999998</v>
      </c>
      <c r="O2085">
        <v>2.2111774</v>
      </c>
      <c r="P2085">
        <v>100.45454549999999</v>
      </c>
      <c r="Q2085">
        <v>26.754810689999999</v>
      </c>
      <c r="R2085">
        <v>0.75829999999999997</v>
      </c>
      <c r="S2085">
        <v>0.40907861000000001</v>
      </c>
      <c r="T2085" t="s">
        <v>1016</v>
      </c>
      <c r="U2085">
        <v>11.14054191</v>
      </c>
    </row>
    <row r="2086" spans="1:21" x14ac:dyDescent="0.25">
      <c r="A2086" t="s">
        <v>84</v>
      </c>
      <c r="B2086" t="s">
        <v>998</v>
      </c>
      <c r="C2086">
        <v>6</v>
      </c>
      <c r="D2086" t="s">
        <v>23</v>
      </c>
      <c r="E2086" t="s">
        <v>95</v>
      </c>
      <c r="F2086" t="s">
        <v>112</v>
      </c>
      <c r="G2086" t="s">
        <v>103</v>
      </c>
      <c r="H2086" t="s">
        <v>239</v>
      </c>
      <c r="J2086">
        <v>0</v>
      </c>
      <c r="K2086">
        <v>2</v>
      </c>
      <c r="L2086">
        <v>65.09375</v>
      </c>
      <c r="M2086">
        <v>37.895352600000002</v>
      </c>
      <c r="N2086">
        <v>2.2882677779999998</v>
      </c>
      <c r="O2086">
        <v>2.2111774</v>
      </c>
      <c r="P2086">
        <v>100.45454549999999</v>
      </c>
      <c r="Q2086">
        <v>26.754810689999999</v>
      </c>
      <c r="R2086">
        <v>0.75829999999999997</v>
      </c>
      <c r="S2086">
        <v>0.40907861000000001</v>
      </c>
      <c r="T2086" t="s">
        <v>1016</v>
      </c>
      <c r="U2086">
        <v>11.14054191</v>
      </c>
    </row>
    <row r="2087" spans="1:21" x14ac:dyDescent="0.25">
      <c r="A2087" t="s">
        <v>85</v>
      </c>
      <c r="B2087" t="s">
        <v>999</v>
      </c>
      <c r="C2087">
        <v>6</v>
      </c>
      <c r="D2087" t="s">
        <v>25</v>
      </c>
      <c r="E2087" t="s">
        <v>94</v>
      </c>
      <c r="F2087" t="s">
        <v>105</v>
      </c>
      <c r="G2087" t="s">
        <v>103</v>
      </c>
      <c r="H2087" t="s">
        <v>810</v>
      </c>
      <c r="J2087">
        <v>0</v>
      </c>
      <c r="K2087">
        <v>1</v>
      </c>
      <c r="L2087">
        <v>67.5</v>
      </c>
      <c r="M2087">
        <v>47.937235809999997</v>
      </c>
      <c r="N2087">
        <v>0.41599678000000001</v>
      </c>
      <c r="O2087">
        <v>2.0950346999999998</v>
      </c>
      <c r="P2087">
        <v>77.055555560000002</v>
      </c>
      <c r="Q2087">
        <v>18.389110710000001</v>
      </c>
      <c r="R2087">
        <v>1.5559800079999999</v>
      </c>
      <c r="S2087" t="s">
        <v>114</v>
      </c>
      <c r="T2087" t="s">
        <v>1016</v>
      </c>
      <c r="U2087">
        <v>29.5481251</v>
      </c>
    </row>
    <row r="2088" spans="1:21" x14ac:dyDescent="0.25">
      <c r="A2088" t="s">
        <v>85</v>
      </c>
      <c r="B2088" t="s">
        <v>999</v>
      </c>
      <c r="C2088">
        <v>6</v>
      </c>
      <c r="D2088" t="s">
        <v>25</v>
      </c>
      <c r="E2088" t="s">
        <v>94</v>
      </c>
      <c r="F2088" t="s">
        <v>105</v>
      </c>
      <c r="G2088" t="s">
        <v>103</v>
      </c>
      <c r="H2088" t="s">
        <v>104</v>
      </c>
      <c r="J2088">
        <v>0</v>
      </c>
      <c r="K2088">
        <v>1</v>
      </c>
      <c r="L2088">
        <v>67.5</v>
      </c>
      <c r="M2088">
        <v>47.937235809999997</v>
      </c>
      <c r="N2088">
        <v>0.41599678000000001</v>
      </c>
      <c r="O2088">
        <v>2.0950346999999998</v>
      </c>
      <c r="P2088">
        <v>113.9375</v>
      </c>
      <c r="Q2088">
        <v>33.375507550000002</v>
      </c>
      <c r="R2088">
        <v>2.4262999999999999</v>
      </c>
      <c r="S2088">
        <v>0.40692159999999999</v>
      </c>
      <c r="T2088" t="s">
        <v>1016</v>
      </c>
      <c r="U2088">
        <v>14.561728260000001</v>
      </c>
    </row>
    <row r="2089" spans="1:21" x14ac:dyDescent="0.25">
      <c r="A2089" t="s">
        <v>85</v>
      </c>
      <c r="B2089" t="s">
        <v>999</v>
      </c>
      <c r="C2089">
        <v>6</v>
      </c>
      <c r="D2089" t="s">
        <v>25</v>
      </c>
      <c r="E2089" t="s">
        <v>94</v>
      </c>
      <c r="F2089" t="s">
        <v>105</v>
      </c>
      <c r="G2089" t="s">
        <v>103</v>
      </c>
      <c r="H2089" t="s">
        <v>110</v>
      </c>
      <c r="J2089">
        <v>0</v>
      </c>
      <c r="K2089">
        <v>1</v>
      </c>
      <c r="L2089">
        <v>67.5</v>
      </c>
      <c r="M2089">
        <v>47.937235809999997</v>
      </c>
      <c r="N2089">
        <v>0.41599678000000001</v>
      </c>
      <c r="O2089">
        <v>2.0950346999999998</v>
      </c>
      <c r="P2089">
        <v>73.260869569999997</v>
      </c>
      <c r="Q2089">
        <v>34.453830549999999</v>
      </c>
      <c r="R2089">
        <v>1.058333333</v>
      </c>
      <c r="S2089">
        <v>0.90897070000000002</v>
      </c>
      <c r="T2089" t="s">
        <v>1016</v>
      </c>
      <c r="U2089">
        <v>13.48340526</v>
      </c>
    </row>
    <row r="2090" spans="1:21" x14ac:dyDescent="0.25">
      <c r="A2090" t="s">
        <v>85</v>
      </c>
      <c r="B2090" t="s">
        <v>999</v>
      </c>
      <c r="C2090">
        <v>6</v>
      </c>
      <c r="D2090" t="s">
        <v>25</v>
      </c>
      <c r="E2090" t="s">
        <v>94</v>
      </c>
      <c r="F2090" t="s">
        <v>105</v>
      </c>
      <c r="G2090" t="s">
        <v>103</v>
      </c>
      <c r="H2090" t="s">
        <v>103</v>
      </c>
      <c r="J2090">
        <v>0</v>
      </c>
      <c r="K2090">
        <v>4</v>
      </c>
      <c r="L2090">
        <v>67.5</v>
      </c>
      <c r="M2090">
        <v>47.937235809999997</v>
      </c>
      <c r="N2090">
        <v>0.41599678000000001</v>
      </c>
      <c r="O2090">
        <v>2.0950346999999998</v>
      </c>
      <c r="P2090">
        <v>98.291666669999998</v>
      </c>
      <c r="Q2090">
        <v>30.315130790000001</v>
      </c>
      <c r="R2090">
        <v>5.0803484000000003E-2</v>
      </c>
      <c r="S2090">
        <v>0.42866070000000001</v>
      </c>
      <c r="T2090" t="s">
        <v>1016</v>
      </c>
      <c r="U2090">
        <v>17.622105019999999</v>
      </c>
    </row>
    <row r="2091" spans="1:21" x14ac:dyDescent="0.25">
      <c r="A2091" t="s">
        <v>85</v>
      </c>
      <c r="B2091" t="s">
        <v>999</v>
      </c>
      <c r="C2091">
        <v>6</v>
      </c>
      <c r="D2091" t="s">
        <v>25</v>
      </c>
      <c r="E2091" t="s">
        <v>94</v>
      </c>
      <c r="F2091" t="s">
        <v>105</v>
      </c>
      <c r="G2091" t="s">
        <v>103</v>
      </c>
      <c r="H2091" t="s">
        <v>103</v>
      </c>
      <c r="J2091">
        <v>0</v>
      </c>
      <c r="K2091">
        <v>4</v>
      </c>
      <c r="L2091">
        <v>67.5</v>
      </c>
      <c r="M2091">
        <v>47.937235809999997</v>
      </c>
      <c r="N2091">
        <v>0.41599678000000001</v>
      </c>
      <c r="O2091">
        <v>2.0950346999999998</v>
      </c>
      <c r="P2091">
        <v>98.291666669999998</v>
      </c>
      <c r="Q2091">
        <v>30.315130790000001</v>
      </c>
      <c r="R2091">
        <v>5.0803484000000003E-2</v>
      </c>
      <c r="S2091">
        <v>0.42866070000000001</v>
      </c>
      <c r="T2091" t="s">
        <v>1016</v>
      </c>
      <c r="U2091">
        <v>17.622105019999999</v>
      </c>
    </row>
    <row r="2092" spans="1:21" x14ac:dyDescent="0.25">
      <c r="A2092" t="s">
        <v>85</v>
      </c>
      <c r="B2092" t="s">
        <v>999</v>
      </c>
      <c r="C2092">
        <v>6</v>
      </c>
      <c r="D2092" t="s">
        <v>25</v>
      </c>
      <c r="E2092" t="s">
        <v>94</v>
      </c>
      <c r="F2092" t="s">
        <v>105</v>
      </c>
      <c r="G2092" t="s">
        <v>103</v>
      </c>
      <c r="H2092" t="s">
        <v>103</v>
      </c>
      <c r="J2092">
        <v>0</v>
      </c>
      <c r="K2092">
        <v>4</v>
      </c>
      <c r="L2092">
        <v>67.5</v>
      </c>
      <c r="M2092">
        <v>47.937235809999997</v>
      </c>
      <c r="N2092">
        <v>0.41599678000000001</v>
      </c>
      <c r="O2092">
        <v>2.0950346999999998</v>
      </c>
      <c r="P2092">
        <v>98.291666669999998</v>
      </c>
      <c r="Q2092">
        <v>30.315130790000001</v>
      </c>
      <c r="R2092">
        <v>5.0803484000000003E-2</v>
      </c>
      <c r="S2092">
        <v>0.42866070000000001</v>
      </c>
      <c r="T2092" t="s">
        <v>1016</v>
      </c>
      <c r="U2092">
        <v>17.622105019999999</v>
      </c>
    </row>
    <row r="2093" spans="1:21" x14ac:dyDescent="0.25">
      <c r="A2093" t="s">
        <v>85</v>
      </c>
      <c r="B2093" t="s">
        <v>999</v>
      </c>
      <c r="C2093">
        <v>6</v>
      </c>
      <c r="D2093" t="s">
        <v>25</v>
      </c>
      <c r="E2093" t="s">
        <v>94</v>
      </c>
      <c r="F2093" t="s">
        <v>105</v>
      </c>
      <c r="G2093" t="s">
        <v>103</v>
      </c>
      <c r="H2093" t="s">
        <v>103</v>
      </c>
      <c r="J2093">
        <v>0</v>
      </c>
      <c r="K2093">
        <v>4</v>
      </c>
      <c r="L2093">
        <v>67.5</v>
      </c>
      <c r="M2093">
        <v>47.937235809999997</v>
      </c>
      <c r="N2093">
        <v>0.41599678000000001</v>
      </c>
      <c r="O2093">
        <v>2.0950346999999998</v>
      </c>
      <c r="P2093">
        <v>98.291666669999998</v>
      </c>
      <c r="Q2093">
        <v>30.315130790000001</v>
      </c>
      <c r="R2093">
        <v>5.0803484000000003E-2</v>
      </c>
      <c r="S2093">
        <v>0.42866070000000001</v>
      </c>
      <c r="T2093" t="s">
        <v>1016</v>
      </c>
      <c r="U2093">
        <v>17.622105019999999</v>
      </c>
    </row>
    <row r="2094" spans="1:21" x14ac:dyDescent="0.25">
      <c r="A2094" t="s">
        <v>85</v>
      </c>
      <c r="B2094" t="s">
        <v>1000</v>
      </c>
      <c r="C2094">
        <v>6</v>
      </c>
      <c r="D2094" t="s">
        <v>25</v>
      </c>
      <c r="E2094" t="s">
        <v>94</v>
      </c>
      <c r="F2094" t="s">
        <v>110</v>
      </c>
      <c r="G2094" t="s">
        <v>103</v>
      </c>
      <c r="H2094" t="s">
        <v>103</v>
      </c>
      <c r="J2094">
        <v>0</v>
      </c>
      <c r="K2094">
        <v>9</v>
      </c>
      <c r="L2094">
        <v>73.260869569999997</v>
      </c>
      <c r="M2094">
        <v>34.453830549999999</v>
      </c>
      <c r="N2094">
        <v>1.058333333</v>
      </c>
      <c r="O2094">
        <v>0.90897070000000002</v>
      </c>
      <c r="P2094">
        <v>98.291666669999998</v>
      </c>
      <c r="Q2094">
        <v>30.315130790000001</v>
      </c>
      <c r="R2094">
        <v>5.0803484000000003E-2</v>
      </c>
      <c r="S2094">
        <v>0.42866070000000001</v>
      </c>
      <c r="T2094" t="s">
        <v>1016</v>
      </c>
      <c r="U2094">
        <v>4.1386997599999997</v>
      </c>
    </row>
    <row r="2095" spans="1:21" x14ac:dyDescent="0.25">
      <c r="A2095" t="s">
        <v>85</v>
      </c>
      <c r="B2095" t="s">
        <v>1000</v>
      </c>
      <c r="C2095">
        <v>6</v>
      </c>
      <c r="D2095" t="s">
        <v>25</v>
      </c>
      <c r="E2095" t="s">
        <v>94</v>
      </c>
      <c r="F2095" t="s">
        <v>110</v>
      </c>
      <c r="G2095" t="s">
        <v>103</v>
      </c>
      <c r="H2095" t="s">
        <v>103</v>
      </c>
      <c r="J2095">
        <v>0</v>
      </c>
      <c r="K2095">
        <v>9</v>
      </c>
      <c r="L2095">
        <v>73.260869569999997</v>
      </c>
      <c r="M2095">
        <v>34.453830549999999</v>
      </c>
      <c r="N2095">
        <v>1.058333333</v>
      </c>
      <c r="O2095">
        <v>0.90897070000000002</v>
      </c>
      <c r="P2095">
        <v>98.291666669999998</v>
      </c>
      <c r="Q2095">
        <v>30.315130790000001</v>
      </c>
      <c r="R2095">
        <v>5.0803484000000003E-2</v>
      </c>
      <c r="S2095">
        <v>0.42866070000000001</v>
      </c>
      <c r="T2095" t="s">
        <v>1016</v>
      </c>
      <c r="U2095">
        <v>4.1386997599999997</v>
      </c>
    </row>
    <row r="2096" spans="1:21" x14ac:dyDescent="0.25">
      <c r="A2096" t="s">
        <v>85</v>
      </c>
      <c r="B2096" t="s">
        <v>1000</v>
      </c>
      <c r="C2096">
        <v>6</v>
      </c>
      <c r="D2096" t="s">
        <v>25</v>
      </c>
      <c r="E2096" t="s">
        <v>94</v>
      </c>
      <c r="F2096" t="s">
        <v>110</v>
      </c>
      <c r="G2096" t="s">
        <v>103</v>
      </c>
      <c r="H2096" t="s">
        <v>103</v>
      </c>
      <c r="J2096">
        <v>0</v>
      </c>
      <c r="K2096">
        <v>9</v>
      </c>
      <c r="L2096">
        <v>73.260869569999997</v>
      </c>
      <c r="M2096">
        <v>34.453830549999999</v>
      </c>
      <c r="N2096">
        <v>1.058333333</v>
      </c>
      <c r="O2096">
        <v>0.90897070000000002</v>
      </c>
      <c r="P2096">
        <v>98.291666669999998</v>
      </c>
      <c r="Q2096">
        <v>30.315130790000001</v>
      </c>
      <c r="R2096">
        <v>5.0803484000000003E-2</v>
      </c>
      <c r="S2096">
        <v>0.42866070000000001</v>
      </c>
      <c r="T2096" t="s">
        <v>1016</v>
      </c>
      <c r="U2096">
        <v>4.1386997599999997</v>
      </c>
    </row>
    <row r="2097" spans="1:21" x14ac:dyDescent="0.25">
      <c r="A2097" t="s">
        <v>85</v>
      </c>
      <c r="B2097" t="s">
        <v>1000</v>
      </c>
      <c r="C2097">
        <v>6</v>
      </c>
      <c r="D2097" t="s">
        <v>25</v>
      </c>
      <c r="E2097" t="s">
        <v>94</v>
      </c>
      <c r="F2097" t="s">
        <v>110</v>
      </c>
      <c r="G2097" t="s">
        <v>103</v>
      </c>
      <c r="H2097" t="s">
        <v>103</v>
      </c>
      <c r="J2097">
        <v>0</v>
      </c>
      <c r="K2097">
        <v>9</v>
      </c>
      <c r="L2097">
        <v>73.260869569999997</v>
      </c>
      <c r="M2097">
        <v>34.453830549999999</v>
      </c>
      <c r="N2097">
        <v>1.058333333</v>
      </c>
      <c r="O2097">
        <v>0.90897070000000002</v>
      </c>
      <c r="P2097">
        <v>98.291666669999998</v>
      </c>
      <c r="Q2097">
        <v>30.315130790000001</v>
      </c>
      <c r="R2097">
        <v>5.0803484000000003E-2</v>
      </c>
      <c r="S2097">
        <v>0.42866070000000001</v>
      </c>
      <c r="T2097" t="s">
        <v>1016</v>
      </c>
      <c r="U2097">
        <v>4.1386997599999997</v>
      </c>
    </row>
    <row r="2098" spans="1:21" x14ac:dyDescent="0.25">
      <c r="A2098" t="s">
        <v>85</v>
      </c>
      <c r="B2098" t="s">
        <v>1000</v>
      </c>
      <c r="C2098">
        <v>6</v>
      </c>
      <c r="D2098" t="s">
        <v>25</v>
      </c>
      <c r="E2098" t="s">
        <v>94</v>
      </c>
      <c r="F2098" t="s">
        <v>110</v>
      </c>
      <c r="G2098" t="s">
        <v>103</v>
      </c>
      <c r="H2098" t="s">
        <v>103</v>
      </c>
      <c r="J2098">
        <v>0</v>
      </c>
      <c r="K2098">
        <v>9</v>
      </c>
      <c r="L2098">
        <v>73.260869569999997</v>
      </c>
      <c r="M2098">
        <v>34.453830549999999</v>
      </c>
      <c r="N2098">
        <v>1.058333333</v>
      </c>
      <c r="O2098">
        <v>0.90897070000000002</v>
      </c>
      <c r="P2098">
        <v>98.291666669999998</v>
      </c>
      <c r="Q2098">
        <v>30.315130790000001</v>
      </c>
      <c r="R2098">
        <v>5.0803484000000003E-2</v>
      </c>
      <c r="S2098">
        <v>0.42866070000000001</v>
      </c>
      <c r="T2098" t="s">
        <v>1016</v>
      </c>
      <c r="U2098">
        <v>4.1386997599999997</v>
      </c>
    </row>
    <row r="2099" spans="1:21" x14ac:dyDescent="0.25">
      <c r="A2099" t="s">
        <v>85</v>
      </c>
      <c r="B2099" t="s">
        <v>1000</v>
      </c>
      <c r="C2099">
        <v>6</v>
      </c>
      <c r="D2099" t="s">
        <v>25</v>
      </c>
      <c r="E2099" t="s">
        <v>94</v>
      </c>
      <c r="F2099" t="s">
        <v>110</v>
      </c>
      <c r="G2099" t="s">
        <v>103</v>
      </c>
      <c r="H2099" t="s">
        <v>103</v>
      </c>
      <c r="J2099">
        <v>0</v>
      </c>
      <c r="K2099">
        <v>9</v>
      </c>
      <c r="L2099">
        <v>73.260869569999997</v>
      </c>
      <c r="M2099">
        <v>34.453830549999999</v>
      </c>
      <c r="N2099">
        <v>1.058333333</v>
      </c>
      <c r="O2099">
        <v>0.90897070000000002</v>
      </c>
      <c r="P2099">
        <v>98.291666669999998</v>
      </c>
      <c r="Q2099">
        <v>30.315130790000001</v>
      </c>
      <c r="R2099">
        <v>5.0803484000000003E-2</v>
      </c>
      <c r="S2099">
        <v>0.42866070000000001</v>
      </c>
      <c r="T2099" t="s">
        <v>1016</v>
      </c>
      <c r="U2099">
        <v>4.1386997599999997</v>
      </c>
    </row>
    <row r="2100" spans="1:21" x14ac:dyDescent="0.25">
      <c r="A2100" t="s">
        <v>85</v>
      </c>
      <c r="B2100" t="s">
        <v>1000</v>
      </c>
      <c r="C2100">
        <v>6</v>
      </c>
      <c r="D2100" t="s">
        <v>25</v>
      </c>
      <c r="E2100" t="s">
        <v>94</v>
      </c>
      <c r="F2100" t="s">
        <v>110</v>
      </c>
      <c r="G2100" t="s">
        <v>103</v>
      </c>
      <c r="H2100" t="s">
        <v>103</v>
      </c>
      <c r="J2100">
        <v>0</v>
      </c>
      <c r="K2100">
        <v>9</v>
      </c>
      <c r="L2100">
        <v>73.260869569999997</v>
      </c>
      <c r="M2100">
        <v>34.453830549999999</v>
      </c>
      <c r="N2100">
        <v>1.058333333</v>
      </c>
      <c r="O2100">
        <v>0.90897070000000002</v>
      </c>
      <c r="P2100">
        <v>98.291666669999998</v>
      </c>
      <c r="Q2100">
        <v>30.315130790000001</v>
      </c>
      <c r="R2100">
        <v>5.0803484000000003E-2</v>
      </c>
      <c r="S2100">
        <v>0.42866070000000001</v>
      </c>
      <c r="T2100" t="s">
        <v>1016</v>
      </c>
      <c r="U2100">
        <v>4.1386997599999997</v>
      </c>
    </row>
    <row r="2101" spans="1:21" x14ac:dyDescent="0.25">
      <c r="A2101" t="s">
        <v>85</v>
      </c>
      <c r="B2101" t="s">
        <v>1000</v>
      </c>
      <c r="C2101">
        <v>6</v>
      </c>
      <c r="D2101" t="s">
        <v>25</v>
      </c>
      <c r="E2101" t="s">
        <v>94</v>
      </c>
      <c r="F2101" t="s">
        <v>110</v>
      </c>
      <c r="G2101" t="s">
        <v>103</v>
      </c>
      <c r="H2101" t="s">
        <v>103</v>
      </c>
      <c r="J2101">
        <v>0</v>
      </c>
      <c r="K2101">
        <v>9</v>
      </c>
      <c r="L2101">
        <v>73.260869569999997</v>
      </c>
      <c r="M2101">
        <v>34.453830549999999</v>
      </c>
      <c r="N2101">
        <v>1.058333333</v>
      </c>
      <c r="O2101">
        <v>0.90897070000000002</v>
      </c>
      <c r="P2101">
        <v>98.291666669999998</v>
      </c>
      <c r="Q2101">
        <v>30.315130790000001</v>
      </c>
      <c r="R2101">
        <v>5.0803484000000003E-2</v>
      </c>
      <c r="S2101">
        <v>0.42866070000000001</v>
      </c>
      <c r="T2101" t="s">
        <v>1016</v>
      </c>
      <c r="U2101">
        <v>4.1386997599999997</v>
      </c>
    </row>
    <row r="2102" spans="1:21" x14ac:dyDescent="0.25">
      <c r="A2102" t="s">
        <v>85</v>
      </c>
      <c r="B2102" t="s">
        <v>1000</v>
      </c>
      <c r="C2102">
        <v>6</v>
      </c>
      <c r="D2102" t="s">
        <v>25</v>
      </c>
      <c r="E2102" t="s">
        <v>94</v>
      </c>
      <c r="F2102" t="s">
        <v>110</v>
      </c>
      <c r="G2102" t="s">
        <v>103</v>
      </c>
      <c r="H2102" t="s">
        <v>103</v>
      </c>
      <c r="J2102">
        <v>0</v>
      </c>
      <c r="K2102">
        <v>9</v>
      </c>
      <c r="L2102">
        <v>73.260869569999997</v>
      </c>
      <c r="M2102">
        <v>34.453830549999999</v>
      </c>
      <c r="N2102">
        <v>1.058333333</v>
      </c>
      <c r="O2102">
        <v>0.90897070000000002</v>
      </c>
      <c r="P2102">
        <v>98.291666669999998</v>
      </c>
      <c r="Q2102">
        <v>30.315130790000001</v>
      </c>
      <c r="R2102">
        <v>5.0803484000000003E-2</v>
      </c>
      <c r="S2102">
        <v>0.42866070000000001</v>
      </c>
      <c r="T2102" t="s">
        <v>1016</v>
      </c>
      <c r="U2102">
        <v>4.1386997599999997</v>
      </c>
    </row>
    <row r="2103" spans="1:21" x14ac:dyDescent="0.25">
      <c r="A2103" t="s">
        <v>85</v>
      </c>
      <c r="B2103" t="s">
        <v>1000</v>
      </c>
      <c r="C2103">
        <v>6</v>
      </c>
      <c r="D2103" t="s">
        <v>25</v>
      </c>
      <c r="E2103" t="s">
        <v>94</v>
      </c>
      <c r="F2103" t="s">
        <v>110</v>
      </c>
      <c r="G2103" t="s">
        <v>103</v>
      </c>
      <c r="H2103" t="s">
        <v>248</v>
      </c>
      <c r="J2103">
        <v>0</v>
      </c>
      <c r="K2103">
        <v>4</v>
      </c>
      <c r="L2103">
        <v>73.260869569999997</v>
      </c>
      <c r="M2103">
        <v>34.453830549999999</v>
      </c>
      <c r="N2103">
        <v>1.058333333</v>
      </c>
      <c r="O2103">
        <v>0.90897070000000002</v>
      </c>
      <c r="P2103">
        <v>83.92307692</v>
      </c>
      <c r="Q2103">
        <v>44.319135699999997</v>
      </c>
      <c r="R2103">
        <v>5.9548609999999997E-3</v>
      </c>
      <c r="S2103">
        <v>0.18017928</v>
      </c>
      <c r="T2103" t="s">
        <v>1016</v>
      </c>
      <c r="U2103">
        <v>-9.8653051499999993</v>
      </c>
    </row>
    <row r="2104" spans="1:21" x14ac:dyDescent="0.25">
      <c r="A2104" t="s">
        <v>85</v>
      </c>
      <c r="B2104" t="s">
        <v>1000</v>
      </c>
      <c r="C2104">
        <v>6</v>
      </c>
      <c r="D2104" t="s">
        <v>25</v>
      </c>
      <c r="E2104" t="s">
        <v>94</v>
      </c>
      <c r="F2104" t="s">
        <v>110</v>
      </c>
      <c r="G2104" t="s">
        <v>103</v>
      </c>
      <c r="H2104" t="s">
        <v>248</v>
      </c>
      <c r="J2104">
        <v>0</v>
      </c>
      <c r="K2104">
        <v>4</v>
      </c>
      <c r="L2104">
        <v>73.260869569999997</v>
      </c>
      <c r="M2104">
        <v>34.453830549999999</v>
      </c>
      <c r="N2104">
        <v>1.058333333</v>
      </c>
      <c r="O2104">
        <v>0.90897070000000002</v>
      </c>
      <c r="P2104">
        <v>83.92307692</v>
      </c>
      <c r="Q2104">
        <v>44.319135699999997</v>
      </c>
      <c r="R2104">
        <v>5.9548609999999997E-3</v>
      </c>
      <c r="S2104">
        <v>0.18017928</v>
      </c>
      <c r="T2104" t="s">
        <v>1016</v>
      </c>
      <c r="U2104">
        <v>-9.8653051499999993</v>
      </c>
    </row>
    <row r="2105" spans="1:21" x14ac:dyDescent="0.25">
      <c r="A2105" t="s">
        <v>85</v>
      </c>
      <c r="B2105" t="s">
        <v>1000</v>
      </c>
      <c r="C2105">
        <v>6</v>
      </c>
      <c r="D2105" t="s">
        <v>25</v>
      </c>
      <c r="E2105" t="s">
        <v>94</v>
      </c>
      <c r="F2105" t="s">
        <v>110</v>
      </c>
      <c r="G2105" t="s">
        <v>103</v>
      </c>
      <c r="H2105" t="s">
        <v>248</v>
      </c>
      <c r="J2105">
        <v>0</v>
      </c>
      <c r="K2105">
        <v>4</v>
      </c>
      <c r="L2105">
        <v>73.260869569999997</v>
      </c>
      <c r="M2105">
        <v>34.453830549999999</v>
      </c>
      <c r="N2105">
        <v>1.058333333</v>
      </c>
      <c r="O2105">
        <v>0.90897070000000002</v>
      </c>
      <c r="P2105">
        <v>83.92307692</v>
      </c>
      <c r="Q2105">
        <v>44.319135699999997</v>
      </c>
      <c r="R2105">
        <v>5.9548609999999997E-3</v>
      </c>
      <c r="S2105">
        <v>0.18017928</v>
      </c>
      <c r="T2105" t="s">
        <v>1016</v>
      </c>
      <c r="U2105">
        <v>-9.8653051499999993</v>
      </c>
    </row>
    <row r="2106" spans="1:21" x14ac:dyDescent="0.25">
      <c r="A2106" t="s">
        <v>85</v>
      </c>
      <c r="B2106" t="s">
        <v>1000</v>
      </c>
      <c r="C2106">
        <v>6</v>
      </c>
      <c r="D2106" t="s">
        <v>25</v>
      </c>
      <c r="E2106" t="s">
        <v>94</v>
      </c>
      <c r="F2106" t="s">
        <v>110</v>
      </c>
      <c r="G2106" t="s">
        <v>103</v>
      </c>
      <c r="H2106" t="s">
        <v>248</v>
      </c>
      <c r="J2106">
        <v>0</v>
      </c>
      <c r="K2106">
        <v>4</v>
      </c>
      <c r="L2106">
        <v>73.260869569999997</v>
      </c>
      <c r="M2106">
        <v>34.453830549999999</v>
      </c>
      <c r="N2106">
        <v>1.058333333</v>
      </c>
      <c r="O2106">
        <v>0.90897070000000002</v>
      </c>
      <c r="P2106">
        <v>83.92307692</v>
      </c>
      <c r="Q2106">
        <v>44.319135699999997</v>
      </c>
      <c r="R2106">
        <v>5.9548609999999997E-3</v>
      </c>
      <c r="S2106">
        <v>0.18017928</v>
      </c>
      <c r="T2106" t="s">
        <v>1016</v>
      </c>
      <c r="U2106">
        <v>-9.8653051499999993</v>
      </c>
    </row>
    <row r="2107" spans="1:21" x14ac:dyDescent="0.25">
      <c r="A2107" t="s">
        <v>85</v>
      </c>
      <c r="B2107" t="s">
        <v>1000</v>
      </c>
      <c r="C2107">
        <v>6</v>
      </c>
      <c r="D2107" t="s">
        <v>25</v>
      </c>
      <c r="E2107" t="s">
        <v>94</v>
      </c>
      <c r="F2107" t="s">
        <v>110</v>
      </c>
      <c r="G2107" t="s">
        <v>103</v>
      </c>
      <c r="H2107" t="s">
        <v>233</v>
      </c>
      <c r="J2107">
        <v>0</v>
      </c>
      <c r="K2107">
        <v>3</v>
      </c>
      <c r="L2107">
        <v>73.260869569999997</v>
      </c>
      <c r="M2107">
        <v>34.453830549999999</v>
      </c>
      <c r="N2107">
        <v>1.058333333</v>
      </c>
      <c r="O2107">
        <v>0.90897070000000002</v>
      </c>
      <c r="P2107">
        <v>106.0540541</v>
      </c>
      <c r="Q2107">
        <v>52.690533369999997</v>
      </c>
      <c r="R2107">
        <v>7.6058968000000005E-2</v>
      </c>
      <c r="S2107">
        <v>0.44888888999999998</v>
      </c>
      <c r="T2107" t="s">
        <v>1016</v>
      </c>
      <c r="U2107">
        <v>-18.236702820000001</v>
      </c>
    </row>
    <row r="2108" spans="1:21" x14ac:dyDescent="0.25">
      <c r="A2108" t="s">
        <v>85</v>
      </c>
      <c r="B2108" t="s">
        <v>1000</v>
      </c>
      <c r="C2108">
        <v>6</v>
      </c>
      <c r="D2108" t="s">
        <v>25</v>
      </c>
      <c r="E2108" t="s">
        <v>94</v>
      </c>
      <c r="F2108" t="s">
        <v>110</v>
      </c>
      <c r="G2108" t="s">
        <v>103</v>
      </c>
      <c r="H2108" t="s">
        <v>233</v>
      </c>
      <c r="J2108">
        <v>0</v>
      </c>
      <c r="K2108">
        <v>3</v>
      </c>
      <c r="L2108">
        <v>73.260869569999997</v>
      </c>
      <c r="M2108">
        <v>34.453830549999999</v>
      </c>
      <c r="N2108">
        <v>1.058333333</v>
      </c>
      <c r="O2108">
        <v>0.90897070000000002</v>
      </c>
      <c r="P2108">
        <v>106.0540541</v>
      </c>
      <c r="Q2108">
        <v>52.690533369999997</v>
      </c>
      <c r="R2108">
        <v>7.6058968000000005E-2</v>
      </c>
      <c r="S2108">
        <v>0.44888888999999998</v>
      </c>
      <c r="T2108" t="s">
        <v>1016</v>
      </c>
      <c r="U2108">
        <v>-18.236702820000001</v>
      </c>
    </row>
    <row r="2109" spans="1:21" x14ac:dyDescent="0.25">
      <c r="A2109" t="s">
        <v>85</v>
      </c>
      <c r="B2109" t="s">
        <v>1000</v>
      </c>
      <c r="C2109">
        <v>6</v>
      </c>
      <c r="D2109" t="s">
        <v>25</v>
      </c>
      <c r="E2109" t="s">
        <v>94</v>
      </c>
      <c r="F2109" t="s">
        <v>110</v>
      </c>
      <c r="G2109" t="s">
        <v>103</v>
      </c>
      <c r="H2109" t="s">
        <v>233</v>
      </c>
      <c r="J2109">
        <v>0</v>
      </c>
      <c r="K2109">
        <v>3</v>
      </c>
      <c r="L2109">
        <v>73.260869569999997</v>
      </c>
      <c r="M2109">
        <v>34.453830549999999</v>
      </c>
      <c r="N2109">
        <v>1.058333333</v>
      </c>
      <c r="O2109">
        <v>0.90897070000000002</v>
      </c>
      <c r="P2109">
        <v>106.0540541</v>
      </c>
      <c r="Q2109">
        <v>52.690533369999997</v>
      </c>
      <c r="R2109">
        <v>7.6058968000000005E-2</v>
      </c>
      <c r="S2109">
        <v>0.44888888999999998</v>
      </c>
      <c r="T2109" t="s">
        <v>1016</v>
      </c>
      <c r="U2109">
        <v>-18.236702820000001</v>
      </c>
    </row>
    <row r="2110" spans="1:21" x14ac:dyDescent="0.25">
      <c r="A2110" t="s">
        <v>85</v>
      </c>
      <c r="B2110" t="s">
        <v>1000</v>
      </c>
      <c r="C2110">
        <v>6</v>
      </c>
      <c r="D2110" t="s">
        <v>25</v>
      </c>
      <c r="E2110" t="s">
        <v>94</v>
      </c>
      <c r="F2110" t="s">
        <v>110</v>
      </c>
      <c r="G2110" t="s">
        <v>103</v>
      </c>
      <c r="H2110" t="s">
        <v>110</v>
      </c>
      <c r="J2110">
        <v>0</v>
      </c>
      <c r="K2110">
        <v>1</v>
      </c>
      <c r="L2110">
        <v>73.260869569999997</v>
      </c>
      <c r="M2110">
        <v>34.453830549999999</v>
      </c>
      <c r="N2110">
        <v>1.058333333</v>
      </c>
      <c r="O2110">
        <v>0.90897070000000002</v>
      </c>
      <c r="P2110">
        <v>73.260869569999997</v>
      </c>
      <c r="Q2110">
        <v>34.453830549999999</v>
      </c>
      <c r="R2110">
        <v>1.058333333</v>
      </c>
      <c r="S2110">
        <v>0.90897070000000002</v>
      </c>
      <c r="T2110" t="s">
        <v>1016</v>
      </c>
      <c r="U2110">
        <v>0</v>
      </c>
    </row>
    <row r="2111" spans="1:21" x14ac:dyDescent="0.25">
      <c r="A2111" t="s">
        <v>86</v>
      </c>
      <c r="B2111" t="s">
        <v>1001</v>
      </c>
      <c r="C2111">
        <v>6</v>
      </c>
      <c r="D2111" t="s">
        <v>27</v>
      </c>
      <c r="E2111" t="s">
        <v>94</v>
      </c>
      <c r="F2111" t="s">
        <v>110</v>
      </c>
      <c r="G2111" t="s">
        <v>121</v>
      </c>
      <c r="H2111" t="s">
        <v>246</v>
      </c>
      <c r="J2111">
        <v>0</v>
      </c>
      <c r="K2111">
        <v>1</v>
      </c>
      <c r="L2111">
        <v>73.260869569999997</v>
      </c>
      <c r="M2111">
        <v>34.453830549999999</v>
      </c>
      <c r="N2111">
        <v>1.058333333</v>
      </c>
      <c r="O2111">
        <v>0.90897070000000002</v>
      </c>
      <c r="P2111">
        <v>120.25</v>
      </c>
      <c r="Q2111">
        <v>30.670450110000001</v>
      </c>
      <c r="R2111">
        <v>0.91037498500000003</v>
      </c>
      <c r="S2111" t="s">
        <v>114</v>
      </c>
      <c r="T2111" t="s">
        <v>1016</v>
      </c>
      <c r="U2111">
        <v>3.7833804400000002</v>
      </c>
    </row>
    <row r="2112" spans="1:21" x14ac:dyDescent="0.25">
      <c r="A2112" t="s">
        <v>86</v>
      </c>
      <c r="B2112" t="s">
        <v>1001</v>
      </c>
      <c r="C2112">
        <v>6</v>
      </c>
      <c r="D2112" t="s">
        <v>27</v>
      </c>
      <c r="E2112" t="s">
        <v>94</v>
      </c>
      <c r="F2112" t="s">
        <v>110</v>
      </c>
      <c r="G2112" t="s">
        <v>121</v>
      </c>
      <c r="H2112" t="s">
        <v>242</v>
      </c>
      <c r="J2112">
        <v>0</v>
      </c>
      <c r="K2112">
        <v>2</v>
      </c>
      <c r="L2112">
        <v>73.260869569999997</v>
      </c>
      <c r="M2112">
        <v>34.453830549999999</v>
      </c>
      <c r="N2112">
        <v>1.058333333</v>
      </c>
      <c r="O2112">
        <v>0.90897070000000002</v>
      </c>
      <c r="P2112">
        <v>139.375</v>
      </c>
      <c r="Q2112">
        <v>23.713465920000001</v>
      </c>
      <c r="R2112" t="s">
        <v>114</v>
      </c>
      <c r="S2112" t="s">
        <v>114</v>
      </c>
      <c r="T2112" t="s">
        <v>1016</v>
      </c>
      <c r="U2112">
        <v>10.74036463</v>
      </c>
    </row>
    <row r="2113" spans="1:21" x14ac:dyDescent="0.25">
      <c r="A2113" t="s">
        <v>86</v>
      </c>
      <c r="B2113" t="s">
        <v>1001</v>
      </c>
      <c r="C2113">
        <v>6</v>
      </c>
      <c r="D2113" t="s">
        <v>27</v>
      </c>
      <c r="E2113" t="s">
        <v>94</v>
      </c>
      <c r="F2113" t="s">
        <v>110</v>
      </c>
      <c r="G2113" t="s">
        <v>121</v>
      </c>
      <c r="H2113" t="s">
        <v>242</v>
      </c>
      <c r="J2113">
        <v>0</v>
      </c>
      <c r="K2113">
        <v>2</v>
      </c>
      <c r="L2113">
        <v>73.260869569999997</v>
      </c>
      <c r="M2113">
        <v>34.453830549999999</v>
      </c>
      <c r="N2113">
        <v>1.058333333</v>
      </c>
      <c r="O2113">
        <v>0.90897070000000002</v>
      </c>
      <c r="P2113">
        <v>139.375</v>
      </c>
      <c r="Q2113">
        <v>23.713465920000001</v>
      </c>
      <c r="R2113" t="s">
        <v>114</v>
      </c>
      <c r="S2113" t="s">
        <v>114</v>
      </c>
      <c r="T2113" t="s">
        <v>1016</v>
      </c>
      <c r="U2113">
        <v>10.74036463</v>
      </c>
    </row>
    <row r="2114" spans="1:21" x14ac:dyDescent="0.25">
      <c r="A2114" t="s">
        <v>86</v>
      </c>
      <c r="B2114" t="s">
        <v>1002</v>
      </c>
      <c r="C2114">
        <v>6</v>
      </c>
      <c r="D2114" t="s">
        <v>27</v>
      </c>
      <c r="E2114" t="s">
        <v>94</v>
      </c>
      <c r="F2114" t="s">
        <v>112</v>
      </c>
      <c r="G2114" t="s">
        <v>110</v>
      </c>
      <c r="H2114" t="s">
        <v>110</v>
      </c>
      <c r="J2114">
        <v>0</v>
      </c>
      <c r="K2114">
        <v>1</v>
      </c>
      <c r="L2114">
        <v>65.09375</v>
      </c>
      <c r="M2114">
        <v>37.895352600000002</v>
      </c>
      <c r="N2114">
        <v>2.2882677779999998</v>
      </c>
      <c r="O2114">
        <v>2.2111774</v>
      </c>
      <c r="P2114">
        <v>73.260869569999997</v>
      </c>
      <c r="Q2114">
        <v>34.453830549999999</v>
      </c>
      <c r="R2114">
        <v>1.058333333</v>
      </c>
      <c r="S2114">
        <v>0.90897070000000002</v>
      </c>
      <c r="T2114" t="s">
        <v>1016</v>
      </c>
      <c r="U2114">
        <v>3.4415220500000001</v>
      </c>
    </row>
    <row r="2115" spans="1:21" x14ac:dyDescent="0.25">
      <c r="A2115" t="s">
        <v>86</v>
      </c>
      <c r="B2115" t="s">
        <v>1002</v>
      </c>
      <c r="C2115">
        <v>6</v>
      </c>
      <c r="D2115" t="s">
        <v>27</v>
      </c>
      <c r="E2115" t="s">
        <v>94</v>
      </c>
      <c r="F2115" t="s">
        <v>112</v>
      </c>
      <c r="G2115" t="s">
        <v>110</v>
      </c>
      <c r="H2115" t="s">
        <v>246</v>
      </c>
      <c r="J2115">
        <v>0</v>
      </c>
      <c r="K2115">
        <v>1</v>
      </c>
      <c r="L2115">
        <v>65.09375</v>
      </c>
      <c r="M2115">
        <v>37.895352600000002</v>
      </c>
      <c r="N2115">
        <v>2.2882677779999998</v>
      </c>
      <c r="O2115">
        <v>2.2111774</v>
      </c>
      <c r="P2115">
        <v>120.25</v>
      </c>
      <c r="Q2115">
        <v>30.670450110000001</v>
      </c>
      <c r="R2115">
        <v>0.91037498500000003</v>
      </c>
      <c r="S2115" t="s">
        <v>114</v>
      </c>
      <c r="T2115" t="s">
        <v>1016</v>
      </c>
      <c r="U2115">
        <v>7.2249024899999998</v>
      </c>
    </row>
    <row r="2116" spans="1:21" x14ac:dyDescent="0.25">
      <c r="A2116" t="s">
        <v>87</v>
      </c>
      <c r="B2116" t="s">
        <v>1003</v>
      </c>
      <c r="C2116">
        <v>6</v>
      </c>
      <c r="D2116" t="s">
        <v>29</v>
      </c>
      <c r="E2116" t="s">
        <v>95</v>
      </c>
      <c r="F2116" t="s">
        <v>102</v>
      </c>
      <c r="G2116" t="s">
        <v>110</v>
      </c>
      <c r="H2116" t="s">
        <v>110</v>
      </c>
      <c r="J2116">
        <v>0</v>
      </c>
      <c r="K2116">
        <v>3</v>
      </c>
      <c r="L2116">
        <v>84.740740740000007</v>
      </c>
      <c r="M2116">
        <v>29.167014049999999</v>
      </c>
      <c r="N2116">
        <v>1.1169849999999999</v>
      </c>
      <c r="O2116">
        <v>1.1571499000000001</v>
      </c>
      <c r="P2116">
        <v>73.260869569999997</v>
      </c>
      <c r="Q2116">
        <v>34.453830549999999</v>
      </c>
      <c r="R2116">
        <v>1.058333333</v>
      </c>
      <c r="S2116">
        <v>0.90897070000000002</v>
      </c>
      <c r="T2116" t="s">
        <v>1016</v>
      </c>
      <c r="U2116">
        <v>-5.2868164999999996</v>
      </c>
    </row>
    <row r="2117" spans="1:21" x14ac:dyDescent="0.25">
      <c r="A2117" t="s">
        <v>87</v>
      </c>
      <c r="B2117" t="s">
        <v>1003</v>
      </c>
      <c r="C2117">
        <v>6</v>
      </c>
      <c r="D2117" t="s">
        <v>29</v>
      </c>
      <c r="E2117" t="s">
        <v>95</v>
      </c>
      <c r="F2117" t="s">
        <v>102</v>
      </c>
      <c r="G2117" t="s">
        <v>110</v>
      </c>
      <c r="H2117" t="s">
        <v>110</v>
      </c>
      <c r="J2117">
        <v>0</v>
      </c>
      <c r="K2117">
        <v>3</v>
      </c>
      <c r="L2117">
        <v>84.740740740000007</v>
      </c>
      <c r="M2117">
        <v>29.167014049999999</v>
      </c>
      <c r="N2117">
        <v>1.1169849999999999</v>
      </c>
      <c r="O2117">
        <v>1.1571499000000001</v>
      </c>
      <c r="P2117">
        <v>73.260869569999997</v>
      </c>
      <c r="Q2117">
        <v>34.453830549999999</v>
      </c>
      <c r="R2117">
        <v>1.058333333</v>
      </c>
      <c r="S2117">
        <v>0.90897070000000002</v>
      </c>
      <c r="T2117" t="s">
        <v>1016</v>
      </c>
      <c r="U2117">
        <v>-5.2868164999999996</v>
      </c>
    </row>
    <row r="2118" spans="1:21" x14ac:dyDescent="0.25">
      <c r="A2118" t="s">
        <v>87</v>
      </c>
      <c r="B2118" t="s">
        <v>1003</v>
      </c>
      <c r="C2118">
        <v>6</v>
      </c>
      <c r="D2118" t="s">
        <v>29</v>
      </c>
      <c r="E2118" t="s">
        <v>95</v>
      </c>
      <c r="F2118" t="s">
        <v>102</v>
      </c>
      <c r="G2118" t="s">
        <v>110</v>
      </c>
      <c r="H2118" t="s">
        <v>110</v>
      </c>
      <c r="J2118">
        <v>0</v>
      </c>
      <c r="K2118">
        <v>3</v>
      </c>
      <c r="L2118">
        <v>84.740740740000007</v>
      </c>
      <c r="M2118">
        <v>29.167014049999999</v>
      </c>
      <c r="N2118">
        <v>1.1169849999999999</v>
      </c>
      <c r="O2118">
        <v>1.1571499000000001</v>
      </c>
      <c r="P2118">
        <v>73.260869569999997</v>
      </c>
      <c r="Q2118">
        <v>34.453830549999999</v>
      </c>
      <c r="R2118">
        <v>1.058333333</v>
      </c>
      <c r="S2118">
        <v>0.90897070000000002</v>
      </c>
      <c r="T2118" t="s">
        <v>1016</v>
      </c>
      <c r="U2118">
        <v>-5.2868164999999996</v>
      </c>
    </row>
    <row r="2119" spans="1:21" x14ac:dyDescent="0.25">
      <c r="A2119" t="s">
        <v>87</v>
      </c>
      <c r="B2119" t="s">
        <v>1003</v>
      </c>
      <c r="C2119">
        <v>6</v>
      </c>
      <c r="D2119" t="s">
        <v>29</v>
      </c>
      <c r="E2119" t="s">
        <v>95</v>
      </c>
      <c r="F2119" t="s">
        <v>102</v>
      </c>
      <c r="G2119" t="s">
        <v>110</v>
      </c>
      <c r="H2119" t="s">
        <v>246</v>
      </c>
      <c r="J2119">
        <v>0</v>
      </c>
      <c r="K2119">
        <v>1</v>
      </c>
      <c r="L2119">
        <v>84.740740740000007</v>
      </c>
      <c r="M2119">
        <v>29.167014049999999</v>
      </c>
      <c r="N2119">
        <v>1.1169849999999999</v>
      </c>
      <c r="O2119">
        <v>1.1571499000000001</v>
      </c>
      <c r="P2119">
        <v>120.25</v>
      </c>
      <c r="Q2119">
        <v>30.670450110000001</v>
      </c>
      <c r="R2119">
        <v>0.91037498500000003</v>
      </c>
      <c r="S2119" t="s">
        <v>114</v>
      </c>
      <c r="T2119" t="s">
        <v>1016</v>
      </c>
      <c r="U2119">
        <v>-1.5034360600000001</v>
      </c>
    </row>
    <row r="2120" spans="1:21" x14ac:dyDescent="0.25">
      <c r="A2120" t="s">
        <v>87</v>
      </c>
      <c r="B2120" t="s">
        <v>1003</v>
      </c>
      <c r="C2120">
        <v>6</v>
      </c>
      <c r="D2120" t="s">
        <v>29</v>
      </c>
      <c r="E2120" t="s">
        <v>95</v>
      </c>
      <c r="F2120" t="s">
        <v>102</v>
      </c>
      <c r="G2120" t="s">
        <v>110</v>
      </c>
      <c r="H2120" t="s">
        <v>242</v>
      </c>
      <c r="J2120">
        <v>0</v>
      </c>
      <c r="K2120">
        <v>2</v>
      </c>
      <c r="L2120">
        <v>84.740740740000007</v>
      </c>
      <c r="M2120">
        <v>29.167014049999999</v>
      </c>
      <c r="N2120">
        <v>1.1169849999999999</v>
      </c>
      <c r="O2120">
        <v>1.1571499000000001</v>
      </c>
      <c r="P2120">
        <v>139.375</v>
      </c>
      <c r="Q2120">
        <v>23.713465920000001</v>
      </c>
      <c r="R2120" t="s">
        <v>114</v>
      </c>
      <c r="S2120" t="s">
        <v>114</v>
      </c>
      <c r="T2120" t="s">
        <v>1016</v>
      </c>
      <c r="U2120">
        <v>5.4535481299999997</v>
      </c>
    </row>
    <row r="2121" spans="1:21" x14ac:dyDescent="0.25">
      <c r="A2121" t="s">
        <v>87</v>
      </c>
      <c r="B2121" t="s">
        <v>1003</v>
      </c>
      <c r="C2121">
        <v>6</v>
      </c>
      <c r="D2121" t="s">
        <v>29</v>
      </c>
      <c r="E2121" t="s">
        <v>95</v>
      </c>
      <c r="F2121" t="s">
        <v>102</v>
      </c>
      <c r="G2121" t="s">
        <v>110</v>
      </c>
      <c r="H2121" t="s">
        <v>242</v>
      </c>
      <c r="J2121">
        <v>0</v>
      </c>
      <c r="K2121">
        <v>2</v>
      </c>
      <c r="L2121">
        <v>84.740740740000007</v>
      </c>
      <c r="M2121">
        <v>29.167014049999999</v>
      </c>
      <c r="N2121">
        <v>1.1169849999999999</v>
      </c>
      <c r="O2121">
        <v>1.1571499000000001</v>
      </c>
      <c r="P2121">
        <v>139.375</v>
      </c>
      <c r="Q2121">
        <v>23.713465920000001</v>
      </c>
      <c r="R2121" t="s">
        <v>114</v>
      </c>
      <c r="S2121" t="s">
        <v>114</v>
      </c>
      <c r="T2121" t="s">
        <v>1016</v>
      </c>
      <c r="U2121">
        <v>5.4535481299999997</v>
      </c>
    </row>
    <row r="2122" spans="1:21" x14ac:dyDescent="0.25">
      <c r="A2122" t="s">
        <v>87</v>
      </c>
      <c r="B2122" t="s">
        <v>1004</v>
      </c>
      <c r="C2122">
        <v>6</v>
      </c>
      <c r="D2122" t="s">
        <v>29</v>
      </c>
      <c r="E2122" t="s">
        <v>95</v>
      </c>
      <c r="F2122" t="s">
        <v>110</v>
      </c>
      <c r="G2122" t="s">
        <v>110</v>
      </c>
      <c r="H2122" t="s">
        <v>110</v>
      </c>
      <c r="J2122">
        <v>0</v>
      </c>
      <c r="K2122">
        <v>1</v>
      </c>
      <c r="L2122">
        <v>73.260869569999997</v>
      </c>
      <c r="M2122">
        <v>34.453830549999999</v>
      </c>
      <c r="N2122">
        <v>1.058333333</v>
      </c>
      <c r="O2122">
        <v>0.90897070000000002</v>
      </c>
      <c r="P2122">
        <v>73.260869569999997</v>
      </c>
      <c r="Q2122">
        <v>34.453830549999999</v>
      </c>
      <c r="R2122">
        <v>1.058333333</v>
      </c>
      <c r="S2122">
        <v>0.90897070000000002</v>
      </c>
      <c r="T2122" t="s">
        <v>1016</v>
      </c>
      <c r="U2122">
        <v>0</v>
      </c>
    </row>
    <row r="2123" spans="1:21" x14ac:dyDescent="0.25">
      <c r="A2123" t="s">
        <v>88</v>
      </c>
      <c r="B2123" t="s">
        <v>1005</v>
      </c>
      <c r="C2123">
        <v>6</v>
      </c>
      <c r="D2123" t="s">
        <v>31</v>
      </c>
      <c r="E2123" t="s">
        <v>95</v>
      </c>
      <c r="F2123" t="s">
        <v>110</v>
      </c>
      <c r="G2123" t="s">
        <v>113</v>
      </c>
      <c r="H2123" t="s">
        <v>113</v>
      </c>
      <c r="J2123">
        <v>0</v>
      </c>
      <c r="K2123">
        <v>3</v>
      </c>
      <c r="L2123">
        <v>73.260869569999997</v>
      </c>
      <c r="M2123">
        <v>34.453830549999999</v>
      </c>
      <c r="N2123">
        <v>1.058333333</v>
      </c>
      <c r="O2123">
        <v>0.90897070000000002</v>
      </c>
      <c r="P2123">
        <v>83.757575759999995</v>
      </c>
      <c r="Q2123">
        <v>22.60997987</v>
      </c>
      <c r="R2123">
        <v>0.72884000000000004</v>
      </c>
      <c r="S2123">
        <v>0.21301339999999999</v>
      </c>
      <c r="T2123" t="s">
        <v>1016</v>
      </c>
      <c r="U2123">
        <v>11.843850679999999</v>
      </c>
    </row>
    <row r="2124" spans="1:21" x14ac:dyDescent="0.25">
      <c r="A2124" t="s">
        <v>88</v>
      </c>
      <c r="B2124" t="s">
        <v>1005</v>
      </c>
      <c r="C2124">
        <v>6</v>
      </c>
      <c r="D2124" t="s">
        <v>31</v>
      </c>
      <c r="E2124" t="s">
        <v>95</v>
      </c>
      <c r="F2124" t="s">
        <v>110</v>
      </c>
      <c r="G2124" t="s">
        <v>113</v>
      </c>
      <c r="H2124" t="s">
        <v>113</v>
      </c>
      <c r="J2124">
        <v>0</v>
      </c>
      <c r="K2124">
        <v>3</v>
      </c>
      <c r="L2124">
        <v>73.260869569999997</v>
      </c>
      <c r="M2124">
        <v>34.453830549999999</v>
      </c>
      <c r="N2124">
        <v>1.058333333</v>
      </c>
      <c r="O2124">
        <v>0.90897070000000002</v>
      </c>
      <c r="P2124">
        <v>83.757575759999995</v>
      </c>
      <c r="Q2124">
        <v>22.60997987</v>
      </c>
      <c r="R2124">
        <v>0.72884000000000004</v>
      </c>
      <c r="S2124">
        <v>0.21301339999999999</v>
      </c>
      <c r="T2124" t="s">
        <v>1016</v>
      </c>
      <c r="U2124">
        <v>11.843850679999999</v>
      </c>
    </row>
    <row r="2125" spans="1:21" x14ac:dyDescent="0.25">
      <c r="A2125" t="s">
        <v>88</v>
      </c>
      <c r="B2125" t="s">
        <v>1005</v>
      </c>
      <c r="C2125">
        <v>6</v>
      </c>
      <c r="D2125" t="s">
        <v>31</v>
      </c>
      <c r="E2125" t="s">
        <v>95</v>
      </c>
      <c r="F2125" t="s">
        <v>110</v>
      </c>
      <c r="G2125" t="s">
        <v>113</v>
      </c>
      <c r="H2125" t="s">
        <v>113</v>
      </c>
      <c r="J2125">
        <v>0</v>
      </c>
      <c r="K2125">
        <v>3</v>
      </c>
      <c r="L2125">
        <v>73.260869569999997</v>
      </c>
      <c r="M2125">
        <v>34.453830549999999</v>
      </c>
      <c r="N2125">
        <v>1.058333333</v>
      </c>
      <c r="O2125">
        <v>0.90897070000000002</v>
      </c>
      <c r="P2125">
        <v>83.757575759999995</v>
      </c>
      <c r="Q2125">
        <v>22.60997987</v>
      </c>
      <c r="R2125">
        <v>0.72884000000000004</v>
      </c>
      <c r="S2125">
        <v>0.21301339999999999</v>
      </c>
      <c r="T2125" t="s">
        <v>1016</v>
      </c>
      <c r="U2125">
        <v>11.843850679999999</v>
      </c>
    </row>
    <row r="2126" spans="1:21" x14ac:dyDescent="0.25">
      <c r="A2126" t="s">
        <v>88</v>
      </c>
      <c r="B2126" t="s">
        <v>1005</v>
      </c>
      <c r="C2126">
        <v>6</v>
      </c>
      <c r="D2126" t="s">
        <v>31</v>
      </c>
      <c r="E2126" t="s">
        <v>95</v>
      </c>
      <c r="F2126" t="s">
        <v>110</v>
      </c>
      <c r="G2126" t="s">
        <v>113</v>
      </c>
      <c r="H2126" t="s">
        <v>103</v>
      </c>
      <c r="J2126">
        <v>0</v>
      </c>
      <c r="K2126">
        <v>1</v>
      </c>
      <c r="L2126">
        <v>73.260869569999997</v>
      </c>
      <c r="M2126">
        <v>34.453830549999999</v>
      </c>
      <c r="N2126">
        <v>1.058333333</v>
      </c>
      <c r="O2126">
        <v>0.90897070000000002</v>
      </c>
      <c r="P2126">
        <v>98.291666669999998</v>
      </c>
      <c r="Q2126">
        <v>30.315130790000001</v>
      </c>
      <c r="R2126">
        <v>5.0803484000000003E-2</v>
      </c>
      <c r="S2126">
        <v>0.42866070000000001</v>
      </c>
      <c r="T2126" t="s">
        <v>1016</v>
      </c>
      <c r="U2126">
        <v>4.1386997599999997</v>
      </c>
    </row>
    <row r="2127" spans="1:21" x14ac:dyDescent="0.25">
      <c r="A2127" t="s">
        <v>88</v>
      </c>
      <c r="B2127" t="s">
        <v>1006</v>
      </c>
      <c r="C2127">
        <v>6</v>
      </c>
      <c r="D2127" t="s">
        <v>31</v>
      </c>
      <c r="E2127" t="s">
        <v>95</v>
      </c>
      <c r="F2127" t="s">
        <v>112</v>
      </c>
      <c r="G2127" t="s">
        <v>113</v>
      </c>
      <c r="H2127" t="s">
        <v>113</v>
      </c>
      <c r="J2127">
        <v>0</v>
      </c>
      <c r="K2127">
        <v>2</v>
      </c>
      <c r="L2127">
        <v>65.09375</v>
      </c>
      <c r="M2127">
        <v>37.895352600000002</v>
      </c>
      <c r="N2127">
        <v>2.2882677779999998</v>
      </c>
      <c r="O2127">
        <v>2.2111774</v>
      </c>
      <c r="P2127">
        <v>83.757575759999995</v>
      </c>
      <c r="Q2127">
        <v>22.60997987</v>
      </c>
      <c r="R2127">
        <v>0.72884000000000004</v>
      </c>
      <c r="S2127">
        <v>0.21301339999999999</v>
      </c>
      <c r="T2127" t="s">
        <v>1016</v>
      </c>
      <c r="U2127">
        <v>15.285372730000001</v>
      </c>
    </row>
    <row r="2128" spans="1:21" x14ac:dyDescent="0.25">
      <c r="A2128" t="s">
        <v>88</v>
      </c>
      <c r="B2128" t="s">
        <v>1006</v>
      </c>
      <c r="C2128">
        <v>6</v>
      </c>
      <c r="D2128" t="s">
        <v>31</v>
      </c>
      <c r="E2128" t="s">
        <v>95</v>
      </c>
      <c r="F2128" t="s">
        <v>112</v>
      </c>
      <c r="G2128" t="s">
        <v>113</v>
      </c>
      <c r="H2128" t="s">
        <v>113</v>
      </c>
      <c r="J2128">
        <v>0</v>
      </c>
      <c r="K2128">
        <v>2</v>
      </c>
      <c r="L2128">
        <v>65.09375</v>
      </c>
      <c r="M2128">
        <v>37.895352600000002</v>
      </c>
      <c r="N2128">
        <v>2.2882677779999998</v>
      </c>
      <c r="O2128">
        <v>2.2111774</v>
      </c>
      <c r="P2128">
        <v>83.757575759999995</v>
      </c>
      <c r="Q2128">
        <v>22.60997987</v>
      </c>
      <c r="R2128">
        <v>0.72884000000000004</v>
      </c>
      <c r="S2128">
        <v>0.21301339999999999</v>
      </c>
      <c r="T2128" t="s">
        <v>1016</v>
      </c>
      <c r="U2128">
        <v>15.285372730000001</v>
      </c>
    </row>
    <row r="2129" spans="1:21" x14ac:dyDescent="0.25">
      <c r="A2129" t="s">
        <v>89</v>
      </c>
      <c r="B2129" t="s">
        <v>1007</v>
      </c>
      <c r="C2129">
        <v>6</v>
      </c>
      <c r="D2129" t="s">
        <v>33</v>
      </c>
      <c r="E2129" t="s">
        <v>95</v>
      </c>
      <c r="F2129" t="s">
        <v>104</v>
      </c>
      <c r="G2129" t="s">
        <v>104</v>
      </c>
      <c r="H2129" t="s">
        <v>104</v>
      </c>
      <c r="J2129">
        <v>1</v>
      </c>
      <c r="K2129">
        <v>1</v>
      </c>
      <c r="L2129">
        <v>113.9375</v>
      </c>
      <c r="M2129">
        <v>33.375507550000002</v>
      </c>
      <c r="N2129">
        <v>2.4262999999999999</v>
      </c>
      <c r="O2129">
        <v>0.40692159999999999</v>
      </c>
      <c r="P2129">
        <v>113.9375</v>
      </c>
      <c r="Q2129">
        <v>33.375507550000002</v>
      </c>
      <c r="R2129">
        <v>2.4262999999999999</v>
      </c>
      <c r="S2129">
        <v>0.40692159999999999</v>
      </c>
      <c r="T2129" t="s">
        <v>1016</v>
      </c>
      <c r="U2129">
        <v>0</v>
      </c>
    </row>
    <row r="2130" spans="1:21" x14ac:dyDescent="0.25">
      <c r="A2130" t="s">
        <v>89</v>
      </c>
      <c r="B2130" t="s">
        <v>1007</v>
      </c>
      <c r="C2130">
        <v>6</v>
      </c>
      <c r="D2130" t="s">
        <v>33</v>
      </c>
      <c r="E2130" t="s">
        <v>95</v>
      </c>
      <c r="F2130" t="s">
        <v>104</v>
      </c>
      <c r="G2130" t="s">
        <v>104</v>
      </c>
      <c r="H2130" t="s">
        <v>103</v>
      </c>
      <c r="J2130">
        <v>1</v>
      </c>
      <c r="K2130">
        <v>1</v>
      </c>
      <c r="L2130">
        <v>113.9375</v>
      </c>
      <c r="M2130">
        <v>33.375507550000002</v>
      </c>
      <c r="N2130">
        <v>2.4262999999999999</v>
      </c>
      <c r="O2130">
        <v>0.40692159999999999</v>
      </c>
      <c r="P2130">
        <v>98.291666669999998</v>
      </c>
      <c r="Q2130">
        <v>30.315130790000001</v>
      </c>
      <c r="R2130">
        <v>5.0803484000000003E-2</v>
      </c>
      <c r="S2130">
        <v>0.42866070000000001</v>
      </c>
      <c r="T2130" t="s">
        <v>1016</v>
      </c>
      <c r="U2130">
        <v>3.06037676</v>
      </c>
    </row>
    <row r="2131" spans="1:21" x14ac:dyDescent="0.25">
      <c r="A2131" t="s">
        <v>89</v>
      </c>
      <c r="B2131" t="s">
        <v>1007</v>
      </c>
      <c r="C2131">
        <v>6</v>
      </c>
      <c r="D2131" t="s">
        <v>33</v>
      </c>
      <c r="E2131" t="s">
        <v>95</v>
      </c>
      <c r="F2131" t="s">
        <v>104</v>
      </c>
      <c r="G2131" t="s">
        <v>104</v>
      </c>
      <c r="H2131" t="s">
        <v>246</v>
      </c>
      <c r="J2131">
        <v>1</v>
      </c>
      <c r="K2131">
        <v>1</v>
      </c>
      <c r="L2131">
        <v>113.9375</v>
      </c>
      <c r="M2131">
        <v>33.375507550000002</v>
      </c>
      <c r="N2131">
        <v>2.4262999999999999</v>
      </c>
      <c r="O2131">
        <v>0.40692159999999999</v>
      </c>
      <c r="P2131">
        <v>120.25</v>
      </c>
      <c r="Q2131">
        <v>30.670450110000001</v>
      </c>
      <c r="R2131">
        <v>0.91037498500000003</v>
      </c>
      <c r="S2131" t="s">
        <v>114</v>
      </c>
      <c r="T2131" t="s">
        <v>1016</v>
      </c>
      <c r="U2131">
        <v>2.70505744</v>
      </c>
    </row>
    <row r="2132" spans="1:21" x14ac:dyDescent="0.25">
      <c r="A2132" t="s">
        <v>89</v>
      </c>
      <c r="B2132" t="s">
        <v>1008</v>
      </c>
      <c r="C2132">
        <v>6</v>
      </c>
      <c r="D2132" t="s">
        <v>33</v>
      </c>
      <c r="E2132" t="s">
        <v>95</v>
      </c>
      <c r="F2132" t="s">
        <v>112</v>
      </c>
      <c r="G2132" t="s">
        <v>113</v>
      </c>
      <c r="H2132" t="s">
        <v>113</v>
      </c>
      <c r="I2132" t="s">
        <v>255</v>
      </c>
      <c r="J2132">
        <v>0</v>
      </c>
      <c r="K2132">
        <v>4</v>
      </c>
      <c r="L2132">
        <v>65.09375</v>
      </c>
      <c r="M2132">
        <v>37.895352600000002</v>
      </c>
      <c r="N2132">
        <v>2.2882677779999998</v>
      </c>
      <c r="O2132">
        <v>2.2111774</v>
      </c>
      <c r="P2132">
        <v>83.757575759999995</v>
      </c>
      <c r="Q2132">
        <v>22.60997987</v>
      </c>
      <c r="R2132">
        <v>0.72884000000000004</v>
      </c>
      <c r="S2132">
        <v>0.21301339999999999</v>
      </c>
      <c r="T2132" t="s">
        <v>1016</v>
      </c>
      <c r="U2132">
        <v>15.285372730000001</v>
      </c>
    </row>
    <row r="2133" spans="1:21" x14ac:dyDescent="0.25">
      <c r="A2133" t="s">
        <v>89</v>
      </c>
      <c r="B2133" t="s">
        <v>1008</v>
      </c>
      <c r="C2133">
        <v>6</v>
      </c>
      <c r="D2133" t="s">
        <v>33</v>
      </c>
      <c r="E2133" t="s">
        <v>95</v>
      </c>
      <c r="F2133" t="s">
        <v>112</v>
      </c>
      <c r="G2133" t="s">
        <v>113</v>
      </c>
      <c r="H2133" t="s">
        <v>113</v>
      </c>
      <c r="I2133" t="s">
        <v>255</v>
      </c>
      <c r="J2133">
        <v>0</v>
      </c>
      <c r="K2133">
        <v>4</v>
      </c>
      <c r="L2133">
        <v>65.09375</v>
      </c>
      <c r="M2133">
        <v>37.895352600000002</v>
      </c>
      <c r="N2133">
        <v>2.2882677779999998</v>
      </c>
      <c r="O2133">
        <v>2.2111774</v>
      </c>
      <c r="P2133">
        <v>83.757575759999995</v>
      </c>
      <c r="Q2133">
        <v>22.60997987</v>
      </c>
      <c r="R2133">
        <v>0.72884000000000004</v>
      </c>
      <c r="S2133">
        <v>0.21301339999999999</v>
      </c>
      <c r="T2133" t="s">
        <v>1016</v>
      </c>
      <c r="U2133">
        <v>15.285372730000001</v>
      </c>
    </row>
    <row r="2134" spans="1:21" x14ac:dyDescent="0.25">
      <c r="A2134" t="s">
        <v>89</v>
      </c>
      <c r="B2134" t="s">
        <v>1008</v>
      </c>
      <c r="C2134">
        <v>6</v>
      </c>
      <c r="D2134" t="s">
        <v>33</v>
      </c>
      <c r="E2134" t="s">
        <v>95</v>
      </c>
      <c r="F2134" t="s">
        <v>112</v>
      </c>
      <c r="G2134" t="s">
        <v>113</v>
      </c>
      <c r="H2134" t="s">
        <v>113</v>
      </c>
      <c r="I2134" t="s">
        <v>255</v>
      </c>
      <c r="J2134">
        <v>0</v>
      </c>
      <c r="K2134">
        <v>4</v>
      </c>
      <c r="L2134">
        <v>65.09375</v>
      </c>
      <c r="M2134">
        <v>37.895352600000002</v>
      </c>
      <c r="N2134">
        <v>2.2882677779999998</v>
      </c>
      <c r="O2134">
        <v>2.2111774</v>
      </c>
      <c r="P2134">
        <v>83.757575759999995</v>
      </c>
      <c r="Q2134">
        <v>22.60997987</v>
      </c>
      <c r="R2134">
        <v>0.72884000000000004</v>
      </c>
      <c r="S2134">
        <v>0.21301339999999999</v>
      </c>
      <c r="T2134" t="s">
        <v>1016</v>
      </c>
      <c r="U2134">
        <v>15.285372730000001</v>
      </c>
    </row>
    <row r="2135" spans="1:21" x14ac:dyDescent="0.25">
      <c r="A2135" t="s">
        <v>89</v>
      </c>
      <c r="B2135" t="s">
        <v>1008</v>
      </c>
      <c r="C2135">
        <v>6</v>
      </c>
      <c r="D2135" t="s">
        <v>33</v>
      </c>
      <c r="E2135" t="s">
        <v>95</v>
      </c>
      <c r="F2135" t="s">
        <v>112</v>
      </c>
      <c r="G2135" t="s">
        <v>113</v>
      </c>
      <c r="H2135" t="s">
        <v>113</v>
      </c>
      <c r="I2135" t="s">
        <v>255</v>
      </c>
      <c r="J2135">
        <v>0</v>
      </c>
      <c r="K2135">
        <v>4</v>
      </c>
      <c r="L2135">
        <v>65.09375</v>
      </c>
      <c r="M2135">
        <v>37.895352600000002</v>
      </c>
      <c r="N2135">
        <v>2.2882677779999998</v>
      </c>
      <c r="O2135">
        <v>2.2111774</v>
      </c>
      <c r="P2135">
        <v>83.757575759999995</v>
      </c>
      <c r="Q2135">
        <v>22.60997987</v>
      </c>
      <c r="R2135">
        <v>0.72884000000000004</v>
      </c>
      <c r="S2135">
        <v>0.21301339999999999</v>
      </c>
      <c r="T2135" t="s">
        <v>1016</v>
      </c>
      <c r="U2135">
        <v>15.285372730000001</v>
      </c>
    </row>
    <row r="2136" spans="1:21" x14ac:dyDescent="0.25">
      <c r="A2136" t="s">
        <v>90</v>
      </c>
      <c r="B2136" t="s">
        <v>1009</v>
      </c>
      <c r="C2136">
        <v>6</v>
      </c>
      <c r="D2136" t="s">
        <v>35</v>
      </c>
      <c r="E2136" t="s">
        <v>94</v>
      </c>
      <c r="F2136" t="s">
        <v>111</v>
      </c>
      <c r="G2136" t="s">
        <v>121</v>
      </c>
      <c r="H2136" t="s">
        <v>253</v>
      </c>
      <c r="J2136">
        <v>0</v>
      </c>
      <c r="K2136">
        <v>3</v>
      </c>
      <c r="L2136">
        <v>94.97142857</v>
      </c>
      <c r="M2136">
        <v>24.31591813</v>
      </c>
      <c r="N2136">
        <v>0.122951111</v>
      </c>
      <c r="O2136">
        <v>0.39050790000000002</v>
      </c>
      <c r="P2136">
        <v>172.08823530000001</v>
      </c>
      <c r="Q2136">
        <v>29.581605960000001</v>
      </c>
      <c r="R2136">
        <v>0.24280444400000001</v>
      </c>
      <c r="S2136" t="s">
        <v>114</v>
      </c>
      <c r="T2136" t="s">
        <v>1016</v>
      </c>
      <c r="U2136">
        <v>-5.2656878300000001</v>
      </c>
    </row>
    <row r="2137" spans="1:21" x14ac:dyDescent="0.25">
      <c r="A2137" t="s">
        <v>90</v>
      </c>
      <c r="B2137" t="s">
        <v>1009</v>
      </c>
      <c r="C2137">
        <v>6</v>
      </c>
      <c r="D2137" t="s">
        <v>35</v>
      </c>
      <c r="E2137" t="s">
        <v>94</v>
      </c>
      <c r="F2137" t="s">
        <v>111</v>
      </c>
      <c r="G2137" t="s">
        <v>121</v>
      </c>
      <c r="H2137" t="s">
        <v>253</v>
      </c>
      <c r="J2137">
        <v>0</v>
      </c>
      <c r="K2137">
        <v>3</v>
      </c>
      <c r="L2137">
        <v>94.97142857</v>
      </c>
      <c r="M2137">
        <v>24.31591813</v>
      </c>
      <c r="N2137">
        <v>0.122951111</v>
      </c>
      <c r="O2137">
        <v>0.39050790000000002</v>
      </c>
      <c r="P2137">
        <v>172.08823530000001</v>
      </c>
      <c r="Q2137">
        <v>29.581605960000001</v>
      </c>
      <c r="R2137">
        <v>0.24280444400000001</v>
      </c>
      <c r="S2137" t="s">
        <v>114</v>
      </c>
      <c r="T2137" t="s">
        <v>1016</v>
      </c>
      <c r="U2137">
        <v>-5.2656878300000001</v>
      </c>
    </row>
    <row r="2138" spans="1:21" x14ac:dyDescent="0.25">
      <c r="A2138" t="s">
        <v>90</v>
      </c>
      <c r="B2138" t="s">
        <v>1009</v>
      </c>
      <c r="C2138">
        <v>6</v>
      </c>
      <c r="D2138" t="s">
        <v>35</v>
      </c>
      <c r="E2138" t="s">
        <v>94</v>
      </c>
      <c r="F2138" t="s">
        <v>111</v>
      </c>
      <c r="G2138" t="s">
        <v>121</v>
      </c>
      <c r="H2138" t="s">
        <v>253</v>
      </c>
      <c r="J2138">
        <v>0</v>
      </c>
      <c r="K2138">
        <v>3</v>
      </c>
      <c r="L2138">
        <v>94.97142857</v>
      </c>
      <c r="M2138">
        <v>24.31591813</v>
      </c>
      <c r="N2138">
        <v>0.122951111</v>
      </c>
      <c r="O2138">
        <v>0.39050790000000002</v>
      </c>
      <c r="P2138">
        <v>172.08823530000001</v>
      </c>
      <c r="Q2138">
        <v>29.581605960000001</v>
      </c>
      <c r="R2138">
        <v>0.24280444400000001</v>
      </c>
      <c r="S2138" t="s">
        <v>114</v>
      </c>
      <c r="T2138" t="s">
        <v>1016</v>
      </c>
      <c r="U2138">
        <v>-5.2656878300000001</v>
      </c>
    </row>
    <row r="2139" spans="1:21" x14ac:dyDescent="0.25">
      <c r="A2139" t="s">
        <v>90</v>
      </c>
      <c r="B2139" t="s">
        <v>1009</v>
      </c>
      <c r="C2139">
        <v>6</v>
      </c>
      <c r="D2139" t="s">
        <v>35</v>
      </c>
      <c r="E2139" t="s">
        <v>94</v>
      </c>
      <c r="F2139" t="s">
        <v>111</v>
      </c>
      <c r="G2139" t="s">
        <v>121</v>
      </c>
      <c r="H2139" t="s">
        <v>162</v>
      </c>
      <c r="J2139">
        <v>0</v>
      </c>
      <c r="K2139">
        <v>1</v>
      </c>
      <c r="L2139">
        <v>94.97142857</v>
      </c>
      <c r="M2139">
        <v>24.31591813</v>
      </c>
      <c r="N2139">
        <v>0.122951111</v>
      </c>
      <c r="O2139">
        <v>0.39050790000000002</v>
      </c>
      <c r="P2139">
        <v>82.53846154</v>
      </c>
      <c r="Q2139">
        <v>35.660530039999998</v>
      </c>
      <c r="R2139">
        <v>3.3754499999999998</v>
      </c>
      <c r="S2139" t="s">
        <v>114</v>
      </c>
      <c r="T2139" t="s">
        <v>1016</v>
      </c>
      <c r="U2139">
        <v>-11.344611909999999</v>
      </c>
    </row>
    <row r="2140" spans="1:21" x14ac:dyDescent="0.25">
      <c r="A2140" t="s">
        <v>90</v>
      </c>
      <c r="B2140" t="s">
        <v>1010</v>
      </c>
      <c r="C2140">
        <v>6</v>
      </c>
      <c r="D2140" t="s">
        <v>35</v>
      </c>
      <c r="E2140" t="s">
        <v>94</v>
      </c>
      <c r="F2140" t="s">
        <v>104</v>
      </c>
      <c r="G2140" t="s">
        <v>111</v>
      </c>
      <c r="H2140" t="s">
        <v>111</v>
      </c>
      <c r="J2140">
        <v>1</v>
      </c>
      <c r="K2140">
        <v>1</v>
      </c>
      <c r="L2140">
        <v>113.9375</v>
      </c>
      <c r="M2140">
        <v>33.375507550000002</v>
      </c>
      <c r="N2140">
        <v>2.4262999999999999</v>
      </c>
      <c r="O2140">
        <v>0.40692159999999999</v>
      </c>
      <c r="P2140">
        <v>94.97142857</v>
      </c>
      <c r="Q2140">
        <v>24.31591813</v>
      </c>
      <c r="R2140">
        <v>0.122951111</v>
      </c>
      <c r="S2140">
        <v>0.39050790000000002</v>
      </c>
      <c r="T2140" t="s">
        <v>1016</v>
      </c>
      <c r="U2140">
        <v>9.05958942</v>
      </c>
    </row>
    <row r="2141" spans="1:21" x14ac:dyDescent="0.25">
      <c r="A2141" t="s">
        <v>90</v>
      </c>
      <c r="B2141" t="s">
        <v>1010</v>
      </c>
      <c r="C2141">
        <v>6</v>
      </c>
      <c r="D2141" t="s">
        <v>35</v>
      </c>
      <c r="E2141" t="s">
        <v>94</v>
      </c>
      <c r="F2141" t="s">
        <v>104</v>
      </c>
      <c r="G2141" t="s">
        <v>111</v>
      </c>
      <c r="H2141" t="s">
        <v>253</v>
      </c>
      <c r="J2141">
        <v>1</v>
      </c>
      <c r="K2141">
        <v>2</v>
      </c>
      <c r="L2141">
        <v>113.9375</v>
      </c>
      <c r="M2141">
        <v>33.375507550000002</v>
      </c>
      <c r="N2141">
        <v>2.4262999999999999</v>
      </c>
      <c r="O2141">
        <v>0.40692159999999999</v>
      </c>
      <c r="P2141">
        <v>172.08823530000001</v>
      </c>
      <c r="Q2141">
        <v>29.581605960000001</v>
      </c>
      <c r="R2141">
        <v>0.24280444400000001</v>
      </c>
      <c r="S2141" t="s">
        <v>114</v>
      </c>
      <c r="T2141" t="s">
        <v>1016</v>
      </c>
      <c r="U2141">
        <v>3.7939015899999999</v>
      </c>
    </row>
    <row r="2142" spans="1:21" x14ac:dyDescent="0.25">
      <c r="A2142" t="s">
        <v>90</v>
      </c>
      <c r="B2142" t="s">
        <v>1010</v>
      </c>
      <c r="C2142">
        <v>6</v>
      </c>
      <c r="D2142" t="s">
        <v>35</v>
      </c>
      <c r="E2142" t="s">
        <v>94</v>
      </c>
      <c r="F2142" t="s">
        <v>104</v>
      </c>
      <c r="G2142" t="s">
        <v>111</v>
      </c>
      <c r="H2142" t="s">
        <v>253</v>
      </c>
      <c r="J2142">
        <v>1</v>
      </c>
      <c r="K2142">
        <v>2</v>
      </c>
      <c r="L2142">
        <v>113.9375</v>
      </c>
      <c r="M2142">
        <v>33.375507550000002</v>
      </c>
      <c r="N2142">
        <v>2.4262999999999999</v>
      </c>
      <c r="O2142">
        <v>0.40692159999999999</v>
      </c>
      <c r="P2142">
        <v>172.08823530000001</v>
      </c>
      <c r="Q2142">
        <v>29.581605960000001</v>
      </c>
      <c r="R2142">
        <v>0.24280444400000001</v>
      </c>
      <c r="S2142" t="s">
        <v>114</v>
      </c>
      <c r="T2142" t="s">
        <v>1016</v>
      </c>
      <c r="U2142">
        <v>3.7939015899999999</v>
      </c>
    </row>
    <row r="2143" spans="1:21" x14ac:dyDescent="0.25">
      <c r="A2143" t="s">
        <v>91</v>
      </c>
      <c r="B2143" t="s">
        <v>1011</v>
      </c>
      <c r="C2143">
        <v>6</v>
      </c>
      <c r="D2143" t="s">
        <v>37</v>
      </c>
      <c r="E2143" t="s">
        <v>94</v>
      </c>
      <c r="F2143" t="s">
        <v>112</v>
      </c>
      <c r="G2143" t="s">
        <v>112</v>
      </c>
      <c r="H2143" t="s">
        <v>112</v>
      </c>
      <c r="J2143">
        <v>0</v>
      </c>
      <c r="K2143">
        <v>1</v>
      </c>
      <c r="L2143">
        <v>65.09375</v>
      </c>
      <c r="M2143">
        <v>37.895352600000002</v>
      </c>
      <c r="N2143">
        <v>2.2882677779999998</v>
      </c>
      <c r="O2143">
        <v>2.2111774</v>
      </c>
      <c r="P2143">
        <v>65.09375</v>
      </c>
      <c r="Q2143">
        <v>37.895352600000002</v>
      </c>
      <c r="R2143">
        <v>2.2882677779999998</v>
      </c>
      <c r="S2143">
        <v>2.2111774</v>
      </c>
      <c r="T2143" t="s">
        <v>1016</v>
      </c>
      <c r="U2143">
        <v>0</v>
      </c>
    </row>
    <row r="2144" spans="1:21" x14ac:dyDescent="0.25">
      <c r="A2144" t="s">
        <v>92</v>
      </c>
      <c r="B2144" t="s">
        <v>1012</v>
      </c>
      <c r="C2144">
        <v>6</v>
      </c>
      <c r="D2144" t="s">
        <v>64</v>
      </c>
      <c r="E2144" t="s">
        <v>94</v>
      </c>
      <c r="F2144" t="s">
        <v>112</v>
      </c>
      <c r="G2144" t="s">
        <v>102</v>
      </c>
      <c r="H2144" t="s">
        <v>102</v>
      </c>
      <c r="J2144">
        <v>0</v>
      </c>
      <c r="K2144">
        <v>2</v>
      </c>
      <c r="L2144">
        <v>65.09375</v>
      </c>
      <c r="M2144">
        <v>37.895352600000002</v>
      </c>
      <c r="N2144">
        <v>2.2882677779999998</v>
      </c>
      <c r="O2144">
        <v>2.2111774</v>
      </c>
      <c r="P2144">
        <v>84.740740740000007</v>
      </c>
      <c r="Q2144">
        <v>29.167014049999999</v>
      </c>
      <c r="R2144">
        <v>1.1169849999999999</v>
      </c>
      <c r="S2144">
        <v>1.1571499000000001</v>
      </c>
      <c r="T2144" t="s">
        <v>1016</v>
      </c>
      <c r="U2144">
        <v>8.7283385500000001</v>
      </c>
    </row>
    <row r="2145" spans="1:21" x14ac:dyDescent="0.25">
      <c r="A2145" t="s">
        <v>92</v>
      </c>
      <c r="B2145" t="s">
        <v>1012</v>
      </c>
      <c r="C2145">
        <v>6</v>
      </c>
      <c r="D2145" t="s">
        <v>64</v>
      </c>
      <c r="E2145" t="s">
        <v>94</v>
      </c>
      <c r="F2145" t="s">
        <v>112</v>
      </c>
      <c r="G2145" t="s">
        <v>102</v>
      </c>
      <c r="H2145" t="s">
        <v>102</v>
      </c>
      <c r="J2145">
        <v>0</v>
      </c>
      <c r="K2145">
        <v>2</v>
      </c>
      <c r="L2145">
        <v>65.09375</v>
      </c>
      <c r="M2145">
        <v>37.895352600000002</v>
      </c>
      <c r="N2145">
        <v>2.2882677779999998</v>
      </c>
      <c r="O2145">
        <v>2.2111774</v>
      </c>
      <c r="P2145">
        <v>84.740740740000007</v>
      </c>
      <c r="Q2145">
        <v>29.167014049999999</v>
      </c>
      <c r="R2145">
        <v>1.1169849999999999</v>
      </c>
      <c r="S2145">
        <v>1.1571499000000001</v>
      </c>
      <c r="T2145" t="s">
        <v>1016</v>
      </c>
      <c r="U2145">
        <v>8.7283385500000001</v>
      </c>
    </row>
    <row r="2146" spans="1:21" x14ac:dyDescent="0.25">
      <c r="A2146" t="s">
        <v>92</v>
      </c>
      <c r="B2146" t="s">
        <v>1012</v>
      </c>
      <c r="C2146">
        <v>6</v>
      </c>
      <c r="D2146" t="s">
        <v>64</v>
      </c>
      <c r="E2146" t="s">
        <v>94</v>
      </c>
      <c r="F2146" t="s">
        <v>112</v>
      </c>
      <c r="G2146" t="s">
        <v>102</v>
      </c>
      <c r="H2146" t="s">
        <v>241</v>
      </c>
      <c r="J2146">
        <v>0</v>
      </c>
      <c r="K2146">
        <v>1</v>
      </c>
      <c r="L2146">
        <v>65.09375</v>
      </c>
      <c r="M2146">
        <v>37.895352600000002</v>
      </c>
      <c r="N2146">
        <v>2.2882677779999998</v>
      </c>
      <c r="O2146">
        <v>2.2111774</v>
      </c>
      <c r="P2146">
        <v>114</v>
      </c>
      <c r="Q2146">
        <v>30.43077242</v>
      </c>
      <c r="R2146">
        <v>0.53383111100000002</v>
      </c>
      <c r="S2146">
        <v>0.28333332999999999</v>
      </c>
      <c r="T2146" t="s">
        <v>1016</v>
      </c>
      <c r="U2146">
        <v>7.4645801799999996</v>
      </c>
    </row>
    <row r="2147" spans="1:21" x14ac:dyDescent="0.25">
      <c r="A2147" t="s">
        <v>93</v>
      </c>
      <c r="B2147" t="s">
        <v>1013</v>
      </c>
      <c r="C2147">
        <v>6</v>
      </c>
      <c r="D2147" t="s">
        <v>66</v>
      </c>
      <c r="E2147" t="s">
        <v>95</v>
      </c>
      <c r="F2147" t="s">
        <v>104</v>
      </c>
      <c r="G2147" t="s">
        <v>103</v>
      </c>
      <c r="H2147" t="s">
        <v>104</v>
      </c>
      <c r="J2147">
        <v>0</v>
      </c>
      <c r="K2147">
        <v>1</v>
      </c>
      <c r="L2147">
        <v>113.9375</v>
      </c>
      <c r="M2147">
        <v>33.375507550000002</v>
      </c>
      <c r="N2147">
        <v>2.4262999999999999</v>
      </c>
      <c r="O2147">
        <v>0.40692159999999999</v>
      </c>
      <c r="P2147">
        <v>113.9375</v>
      </c>
      <c r="Q2147">
        <v>33.375507550000002</v>
      </c>
      <c r="R2147">
        <v>2.4262999999999999</v>
      </c>
      <c r="S2147">
        <v>0.40692159999999999</v>
      </c>
      <c r="T2147" t="s">
        <v>1016</v>
      </c>
      <c r="U2147">
        <v>0</v>
      </c>
    </row>
    <row r="2148" spans="1:21" x14ac:dyDescent="0.25">
      <c r="A2148" t="s">
        <v>93</v>
      </c>
      <c r="B2148" t="s">
        <v>1013</v>
      </c>
      <c r="C2148">
        <v>6</v>
      </c>
      <c r="D2148" t="s">
        <v>66</v>
      </c>
      <c r="E2148" t="s">
        <v>95</v>
      </c>
      <c r="F2148" t="s">
        <v>104</v>
      </c>
      <c r="G2148" t="s">
        <v>103</v>
      </c>
      <c r="H2148" t="s">
        <v>111</v>
      </c>
      <c r="J2148">
        <v>0</v>
      </c>
      <c r="K2148">
        <v>1</v>
      </c>
      <c r="L2148">
        <v>113.9375</v>
      </c>
      <c r="M2148">
        <v>33.375507550000002</v>
      </c>
      <c r="N2148">
        <v>2.4262999999999999</v>
      </c>
      <c r="O2148">
        <v>0.40692159999999999</v>
      </c>
      <c r="P2148">
        <v>94.97142857</v>
      </c>
      <c r="Q2148">
        <v>24.31591813</v>
      </c>
      <c r="R2148">
        <v>0.122951111</v>
      </c>
      <c r="S2148">
        <v>0.39050790000000002</v>
      </c>
      <c r="T2148" t="s">
        <v>1016</v>
      </c>
      <c r="U2148">
        <v>9.05958942</v>
      </c>
    </row>
    <row r="2149" spans="1:21" x14ac:dyDescent="0.25">
      <c r="A2149" t="s">
        <v>93</v>
      </c>
      <c r="B2149" t="s">
        <v>1013</v>
      </c>
      <c r="C2149">
        <v>6</v>
      </c>
      <c r="D2149" t="s">
        <v>66</v>
      </c>
      <c r="E2149" t="s">
        <v>95</v>
      </c>
      <c r="F2149" t="s">
        <v>104</v>
      </c>
      <c r="G2149" t="s">
        <v>103</v>
      </c>
      <c r="H2149" t="s">
        <v>103</v>
      </c>
      <c r="J2149">
        <v>0</v>
      </c>
      <c r="K2149">
        <v>4</v>
      </c>
      <c r="L2149">
        <v>113.9375</v>
      </c>
      <c r="M2149">
        <v>33.375507550000002</v>
      </c>
      <c r="N2149">
        <v>2.4262999999999999</v>
      </c>
      <c r="O2149">
        <v>0.40692159999999999</v>
      </c>
      <c r="P2149">
        <v>98.291666669999998</v>
      </c>
      <c r="Q2149">
        <v>30.315130790000001</v>
      </c>
      <c r="R2149">
        <v>5.0803484000000003E-2</v>
      </c>
      <c r="S2149">
        <v>0.42866070000000001</v>
      </c>
      <c r="T2149" t="s">
        <v>1016</v>
      </c>
      <c r="U2149">
        <v>3.06037676</v>
      </c>
    </row>
    <row r="2150" spans="1:21" x14ac:dyDescent="0.25">
      <c r="A2150" t="s">
        <v>93</v>
      </c>
      <c r="B2150" t="s">
        <v>1013</v>
      </c>
      <c r="C2150">
        <v>6</v>
      </c>
      <c r="D2150" t="s">
        <v>66</v>
      </c>
      <c r="E2150" t="s">
        <v>95</v>
      </c>
      <c r="F2150" t="s">
        <v>104</v>
      </c>
      <c r="G2150" t="s">
        <v>103</v>
      </c>
      <c r="H2150" t="s">
        <v>103</v>
      </c>
      <c r="J2150">
        <v>0</v>
      </c>
      <c r="K2150">
        <v>4</v>
      </c>
      <c r="L2150">
        <v>113.9375</v>
      </c>
      <c r="M2150">
        <v>33.375507550000002</v>
      </c>
      <c r="N2150">
        <v>2.4262999999999999</v>
      </c>
      <c r="O2150">
        <v>0.40692159999999999</v>
      </c>
      <c r="P2150">
        <v>98.291666669999998</v>
      </c>
      <c r="Q2150">
        <v>30.315130790000001</v>
      </c>
      <c r="R2150">
        <v>5.0803484000000003E-2</v>
      </c>
      <c r="S2150">
        <v>0.42866070000000001</v>
      </c>
      <c r="T2150" t="s">
        <v>1016</v>
      </c>
      <c r="U2150">
        <v>3.06037676</v>
      </c>
    </row>
    <row r="2151" spans="1:21" x14ac:dyDescent="0.25">
      <c r="A2151" t="s">
        <v>93</v>
      </c>
      <c r="B2151" t="s">
        <v>1013</v>
      </c>
      <c r="C2151">
        <v>6</v>
      </c>
      <c r="D2151" t="s">
        <v>66</v>
      </c>
      <c r="E2151" t="s">
        <v>95</v>
      </c>
      <c r="F2151" t="s">
        <v>104</v>
      </c>
      <c r="G2151" t="s">
        <v>103</v>
      </c>
      <c r="H2151" t="s">
        <v>103</v>
      </c>
      <c r="J2151">
        <v>0</v>
      </c>
      <c r="K2151">
        <v>4</v>
      </c>
      <c r="L2151">
        <v>113.9375</v>
      </c>
      <c r="M2151">
        <v>33.375507550000002</v>
      </c>
      <c r="N2151">
        <v>2.4262999999999999</v>
      </c>
      <c r="O2151">
        <v>0.40692159999999999</v>
      </c>
      <c r="P2151">
        <v>98.291666669999998</v>
      </c>
      <c r="Q2151">
        <v>30.315130790000001</v>
      </c>
      <c r="R2151">
        <v>5.0803484000000003E-2</v>
      </c>
      <c r="S2151">
        <v>0.42866070000000001</v>
      </c>
      <c r="T2151" t="s">
        <v>1016</v>
      </c>
      <c r="U2151">
        <v>3.06037676</v>
      </c>
    </row>
    <row r="2152" spans="1:21" x14ac:dyDescent="0.25">
      <c r="A2152" t="s">
        <v>93</v>
      </c>
      <c r="B2152" t="s">
        <v>1013</v>
      </c>
      <c r="C2152">
        <v>6</v>
      </c>
      <c r="D2152" t="s">
        <v>66</v>
      </c>
      <c r="E2152" t="s">
        <v>95</v>
      </c>
      <c r="F2152" t="s">
        <v>104</v>
      </c>
      <c r="G2152" t="s">
        <v>103</v>
      </c>
      <c r="H2152" t="s">
        <v>103</v>
      </c>
      <c r="J2152">
        <v>0</v>
      </c>
      <c r="K2152">
        <v>4</v>
      </c>
      <c r="L2152">
        <v>113.9375</v>
      </c>
      <c r="M2152">
        <v>33.375507550000002</v>
      </c>
      <c r="N2152">
        <v>2.4262999999999999</v>
      </c>
      <c r="O2152">
        <v>0.40692159999999999</v>
      </c>
      <c r="P2152">
        <v>98.291666669999998</v>
      </c>
      <c r="Q2152">
        <v>30.315130790000001</v>
      </c>
      <c r="R2152">
        <v>5.0803484000000003E-2</v>
      </c>
      <c r="S2152">
        <v>0.42866070000000001</v>
      </c>
      <c r="T2152" t="s">
        <v>1016</v>
      </c>
      <c r="U2152">
        <v>3.06037676</v>
      </c>
    </row>
    <row r="2153" spans="1:21" x14ac:dyDescent="0.25">
      <c r="A2153" t="s">
        <v>93</v>
      </c>
      <c r="B2153" t="s">
        <v>1013</v>
      </c>
      <c r="C2153">
        <v>6</v>
      </c>
      <c r="D2153" t="s">
        <v>66</v>
      </c>
      <c r="E2153" t="s">
        <v>95</v>
      </c>
      <c r="F2153" t="s">
        <v>104</v>
      </c>
      <c r="G2153" t="s">
        <v>103</v>
      </c>
      <c r="H2153" t="s">
        <v>238</v>
      </c>
      <c r="J2153">
        <v>0</v>
      </c>
      <c r="K2153">
        <v>2</v>
      </c>
      <c r="L2153">
        <v>113.9375</v>
      </c>
      <c r="M2153">
        <v>33.375507550000002</v>
      </c>
      <c r="N2153">
        <v>2.4262999999999999</v>
      </c>
      <c r="O2153">
        <v>0.40692159999999999</v>
      </c>
      <c r="P2153">
        <v>87.5</v>
      </c>
      <c r="Q2153">
        <v>29.478311600000001</v>
      </c>
      <c r="R2153">
        <v>3.0797751000000002E-2</v>
      </c>
      <c r="S2153">
        <v>0.12931835</v>
      </c>
      <c r="T2153" t="s">
        <v>1016</v>
      </c>
      <c r="U2153">
        <v>3.89719595</v>
      </c>
    </row>
    <row r="2154" spans="1:21" x14ac:dyDescent="0.25">
      <c r="A2154" t="s">
        <v>93</v>
      </c>
      <c r="B2154" t="s">
        <v>1013</v>
      </c>
      <c r="C2154">
        <v>6</v>
      </c>
      <c r="D2154" t="s">
        <v>66</v>
      </c>
      <c r="E2154" t="s">
        <v>95</v>
      </c>
      <c r="F2154" t="s">
        <v>104</v>
      </c>
      <c r="G2154" t="s">
        <v>103</v>
      </c>
      <c r="H2154" t="s">
        <v>238</v>
      </c>
      <c r="J2154">
        <v>0</v>
      </c>
      <c r="K2154">
        <v>2</v>
      </c>
      <c r="L2154">
        <v>113.9375</v>
      </c>
      <c r="M2154">
        <v>33.375507550000002</v>
      </c>
      <c r="N2154">
        <v>2.4262999999999999</v>
      </c>
      <c r="O2154">
        <v>0.40692159999999999</v>
      </c>
      <c r="P2154">
        <v>87.5</v>
      </c>
      <c r="Q2154">
        <v>29.478311600000001</v>
      </c>
      <c r="R2154">
        <v>3.0797751000000002E-2</v>
      </c>
      <c r="S2154">
        <v>0.12931835</v>
      </c>
      <c r="T2154" t="s">
        <v>1016</v>
      </c>
      <c r="U2154">
        <v>3.89719595</v>
      </c>
    </row>
    <row r="2155" spans="1:21" x14ac:dyDescent="0.25">
      <c r="A2155" t="s">
        <v>93</v>
      </c>
      <c r="B2155" t="s">
        <v>1013</v>
      </c>
      <c r="C2155">
        <v>6</v>
      </c>
      <c r="D2155" t="s">
        <v>66</v>
      </c>
      <c r="E2155" t="s">
        <v>95</v>
      </c>
      <c r="F2155" t="s">
        <v>104</v>
      </c>
      <c r="G2155" t="s">
        <v>103</v>
      </c>
      <c r="H2155" t="s">
        <v>246</v>
      </c>
      <c r="J2155">
        <v>0</v>
      </c>
      <c r="K2155">
        <v>1</v>
      </c>
      <c r="L2155">
        <v>113.9375</v>
      </c>
      <c r="M2155">
        <v>33.375507550000002</v>
      </c>
      <c r="N2155">
        <v>2.4262999999999999</v>
      </c>
      <c r="O2155">
        <v>0.40692159999999999</v>
      </c>
      <c r="P2155">
        <v>120.25</v>
      </c>
      <c r="Q2155">
        <v>30.670450110000001</v>
      </c>
      <c r="R2155">
        <v>0.91037498500000003</v>
      </c>
      <c r="S2155" t="s">
        <v>114</v>
      </c>
      <c r="T2155" t="s">
        <v>1016</v>
      </c>
      <c r="U2155">
        <v>2.70505744</v>
      </c>
    </row>
    <row r="2156" spans="1:21" x14ac:dyDescent="0.25">
      <c r="A2156" t="s">
        <v>67</v>
      </c>
      <c r="B2156" t="s">
        <v>820</v>
      </c>
      <c r="C2156">
        <v>10</v>
      </c>
      <c r="D2156" t="s">
        <v>11</v>
      </c>
      <c r="E2156" t="s">
        <v>94</v>
      </c>
      <c r="F2156" t="s">
        <v>113</v>
      </c>
      <c r="G2156" t="s">
        <v>121</v>
      </c>
      <c r="H2156" t="s">
        <v>113</v>
      </c>
      <c r="J2156">
        <v>0</v>
      </c>
      <c r="K2156">
        <v>2</v>
      </c>
      <c r="L2156">
        <v>83.757575759999995</v>
      </c>
      <c r="M2156">
        <v>22.60997987</v>
      </c>
      <c r="N2156">
        <v>0.72884000000000004</v>
      </c>
      <c r="O2156">
        <v>0.21301339999999999</v>
      </c>
      <c r="P2156">
        <v>83.757575759999995</v>
      </c>
      <c r="Q2156">
        <v>22.60997987</v>
      </c>
      <c r="R2156">
        <v>0.72884000000000004</v>
      </c>
      <c r="S2156">
        <v>0.21301339999999999</v>
      </c>
      <c r="T2156" t="s">
        <v>1017</v>
      </c>
      <c r="U2156">
        <v>0</v>
      </c>
    </row>
    <row r="2157" spans="1:21" x14ac:dyDescent="0.25">
      <c r="A2157" t="s">
        <v>67</v>
      </c>
      <c r="B2157" t="s">
        <v>820</v>
      </c>
      <c r="C2157">
        <v>10</v>
      </c>
      <c r="D2157" t="s">
        <v>11</v>
      </c>
      <c r="E2157" t="s">
        <v>94</v>
      </c>
      <c r="F2157" t="s">
        <v>113</v>
      </c>
      <c r="G2157" t="s">
        <v>121</v>
      </c>
      <c r="H2157" t="s">
        <v>113</v>
      </c>
      <c r="J2157">
        <v>0</v>
      </c>
      <c r="K2157">
        <v>2</v>
      </c>
      <c r="L2157">
        <v>83.757575759999995</v>
      </c>
      <c r="M2157">
        <v>22.60997987</v>
      </c>
      <c r="N2157">
        <v>0.72884000000000004</v>
      </c>
      <c r="O2157">
        <v>0.21301339999999999</v>
      </c>
      <c r="P2157">
        <v>83.757575759999995</v>
      </c>
      <c r="Q2157">
        <v>22.60997987</v>
      </c>
      <c r="R2157">
        <v>0.72884000000000004</v>
      </c>
      <c r="S2157">
        <v>0.21301339999999999</v>
      </c>
      <c r="T2157" t="s">
        <v>1017</v>
      </c>
      <c r="U2157">
        <v>0</v>
      </c>
    </row>
    <row r="2158" spans="1:21" x14ac:dyDescent="0.25">
      <c r="A2158" t="s">
        <v>67</v>
      </c>
      <c r="B2158" t="s">
        <v>820</v>
      </c>
      <c r="C2158">
        <v>10</v>
      </c>
      <c r="D2158" t="s">
        <v>11</v>
      </c>
      <c r="E2158" t="s">
        <v>94</v>
      </c>
      <c r="F2158" t="s">
        <v>113</v>
      </c>
      <c r="G2158" t="s">
        <v>121</v>
      </c>
      <c r="H2158" t="s">
        <v>248</v>
      </c>
      <c r="J2158">
        <v>0</v>
      </c>
      <c r="K2158">
        <v>1</v>
      </c>
      <c r="L2158">
        <v>83.757575759999995</v>
      </c>
      <c r="M2158">
        <v>22.60997987</v>
      </c>
      <c r="N2158">
        <v>0.72884000000000004</v>
      </c>
      <c r="O2158">
        <v>0.21301339999999999</v>
      </c>
      <c r="P2158">
        <v>83.92307692</v>
      </c>
      <c r="Q2158">
        <v>44.319135699999997</v>
      </c>
      <c r="R2158">
        <v>5.9548609999999997E-3</v>
      </c>
      <c r="S2158">
        <v>0.18017928</v>
      </c>
      <c r="T2158" t="s">
        <v>1017</v>
      </c>
      <c r="U2158">
        <v>21.70915583</v>
      </c>
    </row>
    <row r="2159" spans="1:21" x14ac:dyDescent="0.25">
      <c r="A2159" t="s">
        <v>67</v>
      </c>
      <c r="B2159" t="s">
        <v>821</v>
      </c>
      <c r="C2159">
        <v>10</v>
      </c>
      <c r="D2159" t="s">
        <v>11</v>
      </c>
      <c r="E2159" t="s">
        <v>94</v>
      </c>
      <c r="F2159" t="s">
        <v>103</v>
      </c>
      <c r="G2159" t="s">
        <v>121</v>
      </c>
      <c r="H2159" t="s">
        <v>103</v>
      </c>
      <c r="J2159">
        <v>0</v>
      </c>
      <c r="K2159">
        <v>1</v>
      </c>
      <c r="L2159">
        <v>98.291666669999998</v>
      </c>
      <c r="M2159">
        <v>30.315130790000001</v>
      </c>
      <c r="N2159">
        <v>5.0803484000000003E-2</v>
      </c>
      <c r="O2159">
        <v>0.42866070000000001</v>
      </c>
      <c r="P2159">
        <v>98.291666669999998</v>
      </c>
      <c r="Q2159">
        <v>30.315130790000001</v>
      </c>
      <c r="R2159">
        <v>5.0803484000000003E-2</v>
      </c>
      <c r="S2159">
        <v>0.42866070000000001</v>
      </c>
      <c r="T2159" t="s">
        <v>1017</v>
      </c>
      <c r="U2159">
        <v>0</v>
      </c>
    </row>
    <row r="2160" spans="1:21" x14ac:dyDescent="0.25">
      <c r="A2160" t="s">
        <v>67</v>
      </c>
      <c r="B2160" t="s">
        <v>822</v>
      </c>
      <c r="C2160">
        <v>10</v>
      </c>
      <c r="D2160" t="s">
        <v>11</v>
      </c>
      <c r="E2160" t="s">
        <v>94</v>
      </c>
      <c r="F2160" t="s">
        <v>112</v>
      </c>
      <c r="G2160" t="s">
        <v>121</v>
      </c>
      <c r="H2160" t="s">
        <v>235</v>
      </c>
      <c r="J2160">
        <v>0</v>
      </c>
      <c r="K2160">
        <v>1</v>
      </c>
      <c r="L2160">
        <v>65.09375</v>
      </c>
      <c r="M2160">
        <v>37.895352600000002</v>
      </c>
      <c r="N2160">
        <v>2.2882677779999998</v>
      </c>
      <c r="O2160">
        <v>2.2111774</v>
      </c>
      <c r="P2160">
        <v>132.27272730000001</v>
      </c>
      <c r="Q2160">
        <v>20.180448590000001</v>
      </c>
      <c r="R2160">
        <v>3.7813451999999997E-2</v>
      </c>
      <c r="S2160">
        <v>0.41404401000000002</v>
      </c>
      <c r="T2160" t="s">
        <v>1017</v>
      </c>
      <c r="U2160">
        <v>17.714904010000001</v>
      </c>
    </row>
    <row r="2161" spans="1:21" x14ac:dyDescent="0.25">
      <c r="A2161" t="s">
        <v>67</v>
      </c>
      <c r="B2161" t="s">
        <v>822</v>
      </c>
      <c r="C2161">
        <v>10</v>
      </c>
      <c r="D2161" t="s">
        <v>11</v>
      </c>
      <c r="E2161" t="s">
        <v>94</v>
      </c>
      <c r="F2161" t="s">
        <v>112</v>
      </c>
      <c r="G2161" t="s">
        <v>121</v>
      </c>
      <c r="H2161" t="s">
        <v>248</v>
      </c>
      <c r="J2161">
        <v>0</v>
      </c>
      <c r="K2161">
        <v>2</v>
      </c>
      <c r="L2161">
        <v>65.09375</v>
      </c>
      <c r="M2161">
        <v>37.895352600000002</v>
      </c>
      <c r="N2161">
        <v>2.2882677779999998</v>
      </c>
      <c r="O2161">
        <v>2.2111774</v>
      </c>
      <c r="P2161">
        <v>83.92307692</v>
      </c>
      <c r="Q2161">
        <v>44.319135699999997</v>
      </c>
      <c r="R2161">
        <v>5.9548609999999997E-3</v>
      </c>
      <c r="S2161">
        <v>0.18017928</v>
      </c>
      <c r="T2161" t="s">
        <v>1017</v>
      </c>
      <c r="U2161">
        <v>6.4237830999999996</v>
      </c>
    </row>
    <row r="2162" spans="1:21" x14ac:dyDescent="0.25">
      <c r="A2162" t="s">
        <v>67</v>
      </c>
      <c r="B2162" t="s">
        <v>822</v>
      </c>
      <c r="C2162">
        <v>10</v>
      </c>
      <c r="D2162" t="s">
        <v>11</v>
      </c>
      <c r="E2162" t="s">
        <v>94</v>
      </c>
      <c r="F2162" t="s">
        <v>112</v>
      </c>
      <c r="G2162" t="s">
        <v>121</v>
      </c>
      <c r="H2162" t="s">
        <v>248</v>
      </c>
      <c r="J2162">
        <v>0</v>
      </c>
      <c r="K2162">
        <v>2</v>
      </c>
      <c r="L2162">
        <v>65.09375</v>
      </c>
      <c r="M2162">
        <v>37.895352600000002</v>
      </c>
      <c r="N2162">
        <v>2.2882677779999998</v>
      </c>
      <c r="O2162">
        <v>2.2111774</v>
      </c>
      <c r="P2162">
        <v>83.92307692</v>
      </c>
      <c r="Q2162">
        <v>44.319135699999997</v>
      </c>
      <c r="R2162">
        <v>5.9548609999999997E-3</v>
      </c>
      <c r="S2162">
        <v>0.18017928</v>
      </c>
      <c r="T2162" t="s">
        <v>1017</v>
      </c>
      <c r="U2162">
        <v>6.4237830999999996</v>
      </c>
    </row>
    <row r="2163" spans="1:21" x14ac:dyDescent="0.25">
      <c r="A2163" t="s">
        <v>68</v>
      </c>
      <c r="B2163" t="s">
        <v>823</v>
      </c>
      <c r="C2163">
        <v>10</v>
      </c>
      <c r="D2163" t="s">
        <v>15</v>
      </c>
      <c r="E2163" t="s">
        <v>95</v>
      </c>
      <c r="F2163" t="s">
        <v>113</v>
      </c>
      <c r="G2163" t="s">
        <v>121</v>
      </c>
      <c r="H2163" t="s">
        <v>113</v>
      </c>
      <c r="J2163">
        <v>0</v>
      </c>
      <c r="K2163">
        <v>1</v>
      </c>
      <c r="L2163">
        <v>83.757575759999995</v>
      </c>
      <c r="M2163">
        <v>22.60997987</v>
      </c>
      <c r="N2163">
        <v>0.72884000000000004</v>
      </c>
      <c r="O2163">
        <v>0.21301339999999999</v>
      </c>
      <c r="P2163">
        <v>83.757575759999995</v>
      </c>
      <c r="Q2163">
        <v>22.60997987</v>
      </c>
      <c r="R2163">
        <v>0.72884000000000004</v>
      </c>
      <c r="S2163">
        <v>0.21301339999999999</v>
      </c>
      <c r="T2163" t="s">
        <v>1017</v>
      </c>
      <c r="U2163">
        <v>0</v>
      </c>
    </row>
    <row r="2164" spans="1:21" x14ac:dyDescent="0.25">
      <c r="A2164" t="s">
        <v>68</v>
      </c>
      <c r="B2164" t="s">
        <v>824</v>
      </c>
      <c r="C2164">
        <v>10</v>
      </c>
      <c r="D2164" t="s">
        <v>15</v>
      </c>
      <c r="E2164" t="s">
        <v>95</v>
      </c>
      <c r="F2164" t="s">
        <v>110</v>
      </c>
      <c r="G2164" t="s">
        <v>113</v>
      </c>
      <c r="H2164" t="s">
        <v>113</v>
      </c>
      <c r="J2164">
        <v>0</v>
      </c>
      <c r="K2164">
        <v>2</v>
      </c>
      <c r="L2164">
        <v>73.260869569999997</v>
      </c>
      <c r="M2164">
        <v>34.453830549999999</v>
      </c>
      <c r="N2164">
        <v>1.058333333</v>
      </c>
      <c r="O2164">
        <v>0.90897070000000002</v>
      </c>
      <c r="P2164">
        <v>83.757575759999995</v>
      </c>
      <c r="Q2164">
        <v>22.60997987</v>
      </c>
      <c r="R2164">
        <v>0.72884000000000004</v>
      </c>
      <c r="S2164">
        <v>0.21301339999999999</v>
      </c>
      <c r="T2164" t="s">
        <v>1017</v>
      </c>
      <c r="U2164">
        <v>11.843850679999999</v>
      </c>
    </row>
    <row r="2165" spans="1:21" x14ac:dyDescent="0.25">
      <c r="A2165" t="s">
        <v>68</v>
      </c>
      <c r="B2165" t="s">
        <v>824</v>
      </c>
      <c r="C2165">
        <v>10</v>
      </c>
      <c r="D2165" t="s">
        <v>15</v>
      </c>
      <c r="E2165" t="s">
        <v>95</v>
      </c>
      <c r="F2165" t="s">
        <v>110</v>
      </c>
      <c r="G2165" t="s">
        <v>113</v>
      </c>
      <c r="H2165" t="s">
        <v>113</v>
      </c>
      <c r="J2165">
        <v>0</v>
      </c>
      <c r="K2165">
        <v>2</v>
      </c>
      <c r="L2165">
        <v>73.260869569999997</v>
      </c>
      <c r="M2165">
        <v>34.453830549999999</v>
      </c>
      <c r="N2165">
        <v>1.058333333</v>
      </c>
      <c r="O2165">
        <v>0.90897070000000002</v>
      </c>
      <c r="P2165">
        <v>83.757575759999995</v>
      </c>
      <c r="Q2165">
        <v>22.60997987</v>
      </c>
      <c r="R2165">
        <v>0.72884000000000004</v>
      </c>
      <c r="S2165">
        <v>0.21301339999999999</v>
      </c>
      <c r="T2165" t="s">
        <v>1017</v>
      </c>
      <c r="U2165">
        <v>11.843850679999999</v>
      </c>
    </row>
    <row r="2166" spans="1:21" x14ac:dyDescent="0.25">
      <c r="A2166" t="s">
        <v>68</v>
      </c>
      <c r="B2166" t="s">
        <v>825</v>
      </c>
      <c r="C2166">
        <v>10</v>
      </c>
      <c r="D2166" t="s">
        <v>15</v>
      </c>
      <c r="E2166" t="s">
        <v>95</v>
      </c>
      <c r="F2166" t="s">
        <v>111</v>
      </c>
      <c r="G2166" t="s">
        <v>121</v>
      </c>
      <c r="H2166" t="s">
        <v>239</v>
      </c>
      <c r="J2166">
        <v>0</v>
      </c>
      <c r="K2166">
        <v>1</v>
      </c>
      <c r="L2166">
        <v>94.97142857</v>
      </c>
      <c r="M2166">
        <v>24.31591813</v>
      </c>
      <c r="N2166">
        <v>0.122951111</v>
      </c>
      <c r="O2166">
        <v>0.39050790000000002</v>
      </c>
      <c r="P2166">
        <v>100.45454549999999</v>
      </c>
      <c r="Q2166">
        <v>26.754810689999999</v>
      </c>
      <c r="R2166">
        <v>0.75829999999999997</v>
      </c>
      <c r="S2166">
        <v>0.40907861000000001</v>
      </c>
      <c r="T2166" t="s">
        <v>1017</v>
      </c>
      <c r="U2166">
        <v>2.4388925600000002</v>
      </c>
    </row>
    <row r="2167" spans="1:21" x14ac:dyDescent="0.25">
      <c r="A2167" t="s">
        <v>68</v>
      </c>
      <c r="B2167" t="s">
        <v>826</v>
      </c>
      <c r="C2167">
        <v>10</v>
      </c>
      <c r="D2167" t="s">
        <v>15</v>
      </c>
      <c r="E2167" t="s">
        <v>95</v>
      </c>
      <c r="F2167" t="s">
        <v>104</v>
      </c>
      <c r="G2167" t="s">
        <v>121</v>
      </c>
      <c r="H2167" t="s">
        <v>114</v>
      </c>
      <c r="I2167" t="s">
        <v>161</v>
      </c>
      <c r="J2167">
        <v>1</v>
      </c>
      <c r="K2167">
        <v>0</v>
      </c>
      <c r="L2167">
        <v>113.9375</v>
      </c>
      <c r="M2167">
        <v>33.375507550000002</v>
      </c>
      <c r="N2167">
        <v>2.4262999999999999</v>
      </c>
      <c r="O2167">
        <v>0.40692159999999999</v>
      </c>
      <c r="P2167" t="s">
        <v>114</v>
      </c>
      <c r="Q2167" t="s">
        <v>114</v>
      </c>
      <c r="R2167" t="s">
        <v>114</v>
      </c>
      <c r="S2167" t="s">
        <v>114</v>
      </c>
      <c r="T2167" t="s">
        <v>1017</v>
      </c>
      <c r="U2167" t="s">
        <v>114</v>
      </c>
    </row>
    <row r="2168" spans="1:21" x14ac:dyDescent="0.25">
      <c r="A2168" t="s">
        <v>69</v>
      </c>
      <c r="B2168" t="s">
        <v>827</v>
      </c>
      <c r="C2168">
        <v>10</v>
      </c>
      <c r="D2168" t="s">
        <v>17</v>
      </c>
      <c r="E2168" t="s">
        <v>95</v>
      </c>
      <c r="F2168" t="s">
        <v>102</v>
      </c>
      <c r="G2168" t="s">
        <v>102</v>
      </c>
      <c r="H2168" t="s">
        <v>102</v>
      </c>
      <c r="J2168">
        <v>0</v>
      </c>
      <c r="K2168">
        <v>1</v>
      </c>
      <c r="L2168">
        <v>84.740740740000007</v>
      </c>
      <c r="M2168">
        <v>29.167014049999999</v>
      </c>
      <c r="N2168">
        <v>1.1169849999999999</v>
      </c>
      <c r="O2168">
        <v>1.1571499000000001</v>
      </c>
      <c r="P2168">
        <v>84.740740740000007</v>
      </c>
      <c r="Q2168">
        <v>29.167014049999999</v>
      </c>
      <c r="R2168">
        <v>1.1169849999999999</v>
      </c>
      <c r="S2168">
        <v>1.1571499000000001</v>
      </c>
      <c r="T2168" t="s">
        <v>1017</v>
      </c>
      <c r="U2168">
        <v>0</v>
      </c>
    </row>
    <row r="2169" spans="1:21" x14ac:dyDescent="0.25">
      <c r="A2169" t="s">
        <v>69</v>
      </c>
      <c r="B2169" t="s">
        <v>827</v>
      </c>
      <c r="C2169">
        <v>10</v>
      </c>
      <c r="D2169" t="s">
        <v>17</v>
      </c>
      <c r="E2169" t="s">
        <v>95</v>
      </c>
      <c r="F2169" t="s">
        <v>102</v>
      </c>
      <c r="G2169" t="s">
        <v>102</v>
      </c>
      <c r="H2169" t="s">
        <v>235</v>
      </c>
      <c r="J2169">
        <v>0</v>
      </c>
      <c r="K2169">
        <v>2</v>
      </c>
      <c r="L2169">
        <v>84.740740740000007</v>
      </c>
      <c r="M2169">
        <v>29.167014049999999</v>
      </c>
      <c r="N2169">
        <v>1.1169849999999999</v>
      </c>
      <c r="O2169">
        <v>1.1571499000000001</v>
      </c>
      <c r="P2169">
        <v>132.27272730000001</v>
      </c>
      <c r="Q2169">
        <v>20.180448590000001</v>
      </c>
      <c r="R2169">
        <v>3.7813451999999997E-2</v>
      </c>
      <c r="S2169">
        <v>0.41404401000000002</v>
      </c>
      <c r="T2169" t="s">
        <v>1017</v>
      </c>
      <c r="U2169">
        <v>8.9865654599999996</v>
      </c>
    </row>
    <row r="2170" spans="1:21" x14ac:dyDescent="0.25">
      <c r="A2170" t="s">
        <v>69</v>
      </c>
      <c r="B2170" t="s">
        <v>827</v>
      </c>
      <c r="C2170">
        <v>10</v>
      </c>
      <c r="D2170" t="s">
        <v>17</v>
      </c>
      <c r="E2170" t="s">
        <v>95</v>
      </c>
      <c r="F2170" t="s">
        <v>102</v>
      </c>
      <c r="G2170" t="s">
        <v>102</v>
      </c>
      <c r="H2170" t="s">
        <v>235</v>
      </c>
      <c r="J2170">
        <v>0</v>
      </c>
      <c r="K2170">
        <v>2</v>
      </c>
      <c r="L2170">
        <v>84.740740740000007</v>
      </c>
      <c r="M2170">
        <v>29.167014049999999</v>
      </c>
      <c r="N2170">
        <v>1.1169849999999999</v>
      </c>
      <c r="O2170">
        <v>1.1571499000000001</v>
      </c>
      <c r="P2170">
        <v>132.27272730000001</v>
      </c>
      <c r="Q2170">
        <v>20.180448590000001</v>
      </c>
      <c r="R2170">
        <v>3.7813451999999997E-2</v>
      </c>
      <c r="S2170">
        <v>0.41404401000000002</v>
      </c>
      <c r="T2170" t="s">
        <v>1017</v>
      </c>
      <c r="U2170">
        <v>8.9865654599999996</v>
      </c>
    </row>
    <row r="2171" spans="1:21" x14ac:dyDescent="0.25">
      <c r="A2171" t="s">
        <v>69</v>
      </c>
      <c r="B2171" t="s">
        <v>828</v>
      </c>
      <c r="C2171">
        <v>10</v>
      </c>
      <c r="D2171" t="s">
        <v>17</v>
      </c>
      <c r="E2171" t="s">
        <v>95</v>
      </c>
      <c r="F2171" t="s">
        <v>113</v>
      </c>
      <c r="G2171" t="s">
        <v>113</v>
      </c>
      <c r="H2171" t="s">
        <v>113</v>
      </c>
      <c r="J2171">
        <v>0</v>
      </c>
      <c r="K2171">
        <v>1</v>
      </c>
      <c r="L2171">
        <v>83.757575759999995</v>
      </c>
      <c r="M2171">
        <v>22.60997987</v>
      </c>
      <c r="N2171">
        <v>0.72884000000000004</v>
      </c>
      <c r="O2171">
        <v>0.21301339999999999</v>
      </c>
      <c r="P2171">
        <v>83.757575759999995</v>
      </c>
      <c r="Q2171">
        <v>22.60997987</v>
      </c>
      <c r="R2171">
        <v>0.72884000000000004</v>
      </c>
      <c r="S2171">
        <v>0.21301339999999999</v>
      </c>
      <c r="T2171" t="s">
        <v>1017</v>
      </c>
      <c r="U2171">
        <v>0</v>
      </c>
    </row>
    <row r="2172" spans="1:21" x14ac:dyDescent="0.25">
      <c r="A2172" t="s">
        <v>69</v>
      </c>
      <c r="B2172" t="s">
        <v>828</v>
      </c>
      <c r="C2172">
        <v>10</v>
      </c>
      <c r="D2172" t="s">
        <v>17</v>
      </c>
      <c r="E2172" t="s">
        <v>95</v>
      </c>
      <c r="F2172" t="s">
        <v>113</v>
      </c>
      <c r="G2172" t="s">
        <v>113</v>
      </c>
      <c r="H2172" t="s">
        <v>235</v>
      </c>
      <c r="J2172">
        <v>0</v>
      </c>
      <c r="K2172">
        <v>2</v>
      </c>
      <c r="L2172">
        <v>83.757575759999995</v>
      </c>
      <c r="M2172">
        <v>22.60997987</v>
      </c>
      <c r="N2172">
        <v>0.72884000000000004</v>
      </c>
      <c r="O2172">
        <v>0.21301339999999999</v>
      </c>
      <c r="P2172">
        <v>132.27272730000001</v>
      </c>
      <c r="Q2172">
        <v>20.180448590000001</v>
      </c>
      <c r="R2172">
        <v>3.7813451999999997E-2</v>
      </c>
      <c r="S2172">
        <v>0.41404401000000002</v>
      </c>
      <c r="T2172" t="s">
        <v>1017</v>
      </c>
      <c r="U2172">
        <v>2.42953128</v>
      </c>
    </row>
    <row r="2173" spans="1:21" x14ac:dyDescent="0.25">
      <c r="A2173" t="s">
        <v>69</v>
      </c>
      <c r="B2173" t="s">
        <v>828</v>
      </c>
      <c r="C2173">
        <v>10</v>
      </c>
      <c r="D2173" t="s">
        <v>17</v>
      </c>
      <c r="E2173" t="s">
        <v>95</v>
      </c>
      <c r="F2173" t="s">
        <v>113</v>
      </c>
      <c r="G2173" t="s">
        <v>113</v>
      </c>
      <c r="H2173" t="s">
        <v>235</v>
      </c>
      <c r="J2173">
        <v>0</v>
      </c>
      <c r="K2173">
        <v>2</v>
      </c>
      <c r="L2173">
        <v>83.757575759999995</v>
      </c>
      <c r="M2173">
        <v>22.60997987</v>
      </c>
      <c r="N2173">
        <v>0.72884000000000004</v>
      </c>
      <c r="O2173">
        <v>0.21301339999999999</v>
      </c>
      <c r="P2173">
        <v>132.27272730000001</v>
      </c>
      <c r="Q2173">
        <v>20.180448590000001</v>
      </c>
      <c r="R2173">
        <v>3.7813451999999997E-2</v>
      </c>
      <c r="S2173">
        <v>0.41404401000000002</v>
      </c>
      <c r="T2173" t="s">
        <v>1017</v>
      </c>
      <c r="U2173">
        <v>2.42953128</v>
      </c>
    </row>
    <row r="2174" spans="1:21" x14ac:dyDescent="0.25">
      <c r="A2174" t="s">
        <v>69</v>
      </c>
      <c r="B2174" t="s">
        <v>829</v>
      </c>
      <c r="C2174">
        <v>10</v>
      </c>
      <c r="D2174" t="s">
        <v>17</v>
      </c>
      <c r="E2174" t="s">
        <v>95</v>
      </c>
      <c r="F2174" t="s">
        <v>103</v>
      </c>
      <c r="G2174" t="s">
        <v>103</v>
      </c>
      <c r="H2174" t="s">
        <v>103</v>
      </c>
      <c r="J2174">
        <v>0</v>
      </c>
      <c r="K2174">
        <v>1</v>
      </c>
      <c r="L2174">
        <v>98.291666669999998</v>
      </c>
      <c r="M2174">
        <v>30.315130790000001</v>
      </c>
      <c r="N2174">
        <v>5.0803484000000003E-2</v>
      </c>
      <c r="O2174">
        <v>0.42866070000000001</v>
      </c>
      <c r="P2174">
        <v>98.291666669999998</v>
      </c>
      <c r="Q2174">
        <v>30.315130790000001</v>
      </c>
      <c r="R2174">
        <v>5.0803484000000003E-2</v>
      </c>
      <c r="S2174">
        <v>0.42866070000000001</v>
      </c>
      <c r="T2174" t="s">
        <v>1017</v>
      </c>
      <c r="U2174">
        <v>0</v>
      </c>
    </row>
    <row r="2175" spans="1:21" x14ac:dyDescent="0.25">
      <c r="A2175" t="s">
        <v>69</v>
      </c>
      <c r="B2175" t="s">
        <v>829</v>
      </c>
      <c r="C2175">
        <v>10</v>
      </c>
      <c r="D2175" t="s">
        <v>17</v>
      </c>
      <c r="E2175" t="s">
        <v>95</v>
      </c>
      <c r="F2175" t="s">
        <v>103</v>
      </c>
      <c r="G2175" t="s">
        <v>103</v>
      </c>
      <c r="H2175" t="s">
        <v>241</v>
      </c>
      <c r="J2175">
        <v>0</v>
      </c>
      <c r="K2175">
        <v>1</v>
      </c>
      <c r="L2175">
        <v>98.291666669999998</v>
      </c>
      <c r="M2175">
        <v>30.315130790000001</v>
      </c>
      <c r="N2175">
        <v>5.0803484000000003E-2</v>
      </c>
      <c r="O2175">
        <v>0.42866070000000001</v>
      </c>
      <c r="P2175">
        <v>114</v>
      </c>
      <c r="Q2175">
        <v>30.43077242</v>
      </c>
      <c r="R2175">
        <v>0.53383111100000002</v>
      </c>
      <c r="S2175">
        <v>0.28333332999999999</v>
      </c>
      <c r="T2175" t="s">
        <v>1017</v>
      </c>
      <c r="U2175">
        <v>0.11564163</v>
      </c>
    </row>
    <row r="2176" spans="1:21" x14ac:dyDescent="0.25">
      <c r="A2176" t="s">
        <v>69</v>
      </c>
      <c r="B2176" t="s">
        <v>829</v>
      </c>
      <c r="C2176">
        <v>10</v>
      </c>
      <c r="D2176" t="s">
        <v>17</v>
      </c>
      <c r="E2176" t="s">
        <v>95</v>
      </c>
      <c r="F2176" t="s">
        <v>103</v>
      </c>
      <c r="G2176" t="s">
        <v>103</v>
      </c>
      <c r="H2176" t="s">
        <v>235</v>
      </c>
      <c r="J2176">
        <v>0</v>
      </c>
      <c r="K2176">
        <v>1</v>
      </c>
      <c r="L2176">
        <v>98.291666669999998</v>
      </c>
      <c r="M2176">
        <v>30.315130790000001</v>
      </c>
      <c r="N2176">
        <v>5.0803484000000003E-2</v>
      </c>
      <c r="O2176">
        <v>0.42866070000000001</v>
      </c>
      <c r="P2176">
        <v>132.27272730000001</v>
      </c>
      <c r="Q2176">
        <v>20.180448590000001</v>
      </c>
      <c r="R2176">
        <v>3.7813451999999997E-2</v>
      </c>
      <c r="S2176">
        <v>0.41404401000000002</v>
      </c>
      <c r="T2176" t="s">
        <v>1017</v>
      </c>
      <c r="U2176">
        <v>10.1346822</v>
      </c>
    </row>
    <row r="2177" spans="1:21" x14ac:dyDescent="0.25">
      <c r="A2177" t="s">
        <v>69</v>
      </c>
      <c r="B2177" t="s">
        <v>830</v>
      </c>
      <c r="C2177">
        <v>10</v>
      </c>
      <c r="D2177" t="s">
        <v>17</v>
      </c>
      <c r="E2177" t="s">
        <v>95</v>
      </c>
      <c r="F2177" t="s">
        <v>111</v>
      </c>
      <c r="G2177" t="s">
        <v>121</v>
      </c>
      <c r="H2177" t="s">
        <v>235</v>
      </c>
      <c r="J2177">
        <v>0</v>
      </c>
      <c r="K2177">
        <v>3</v>
      </c>
      <c r="L2177">
        <v>94.97142857</v>
      </c>
      <c r="M2177">
        <v>24.31591813</v>
      </c>
      <c r="N2177">
        <v>0.122951111</v>
      </c>
      <c r="O2177">
        <v>0.39050790000000002</v>
      </c>
      <c r="P2177">
        <v>132.27272730000001</v>
      </c>
      <c r="Q2177">
        <v>20.180448590000001</v>
      </c>
      <c r="R2177">
        <v>3.7813451999999997E-2</v>
      </c>
      <c r="S2177">
        <v>0.41404401000000002</v>
      </c>
      <c r="T2177" t="s">
        <v>1017</v>
      </c>
      <c r="U2177">
        <v>4.1354695399999999</v>
      </c>
    </row>
    <row r="2178" spans="1:21" x14ac:dyDescent="0.25">
      <c r="A2178" t="s">
        <v>69</v>
      </c>
      <c r="B2178" t="s">
        <v>830</v>
      </c>
      <c r="C2178">
        <v>10</v>
      </c>
      <c r="D2178" t="s">
        <v>17</v>
      </c>
      <c r="E2178" t="s">
        <v>95</v>
      </c>
      <c r="F2178" t="s">
        <v>111</v>
      </c>
      <c r="G2178" t="s">
        <v>121</v>
      </c>
      <c r="H2178" t="s">
        <v>235</v>
      </c>
      <c r="J2178">
        <v>0</v>
      </c>
      <c r="K2178">
        <v>3</v>
      </c>
      <c r="L2178">
        <v>94.97142857</v>
      </c>
      <c r="M2178">
        <v>24.31591813</v>
      </c>
      <c r="N2178">
        <v>0.122951111</v>
      </c>
      <c r="O2178">
        <v>0.39050790000000002</v>
      </c>
      <c r="P2178">
        <v>132.27272730000001</v>
      </c>
      <c r="Q2178">
        <v>20.180448590000001</v>
      </c>
      <c r="R2178">
        <v>3.7813451999999997E-2</v>
      </c>
      <c r="S2178">
        <v>0.41404401000000002</v>
      </c>
      <c r="T2178" t="s">
        <v>1017</v>
      </c>
      <c r="U2178">
        <v>4.1354695399999999</v>
      </c>
    </row>
    <row r="2179" spans="1:21" x14ac:dyDescent="0.25">
      <c r="A2179" t="s">
        <v>69</v>
      </c>
      <c r="B2179" t="s">
        <v>830</v>
      </c>
      <c r="C2179">
        <v>10</v>
      </c>
      <c r="D2179" t="s">
        <v>17</v>
      </c>
      <c r="E2179" t="s">
        <v>95</v>
      </c>
      <c r="F2179" t="s">
        <v>111</v>
      </c>
      <c r="G2179" t="s">
        <v>121</v>
      </c>
      <c r="H2179" t="s">
        <v>235</v>
      </c>
      <c r="J2179">
        <v>0</v>
      </c>
      <c r="K2179">
        <v>3</v>
      </c>
      <c r="L2179">
        <v>94.97142857</v>
      </c>
      <c r="M2179">
        <v>24.31591813</v>
      </c>
      <c r="N2179">
        <v>0.122951111</v>
      </c>
      <c r="O2179">
        <v>0.39050790000000002</v>
      </c>
      <c r="P2179">
        <v>132.27272730000001</v>
      </c>
      <c r="Q2179">
        <v>20.180448590000001</v>
      </c>
      <c r="R2179">
        <v>3.7813451999999997E-2</v>
      </c>
      <c r="S2179">
        <v>0.41404401000000002</v>
      </c>
      <c r="T2179" t="s">
        <v>1017</v>
      </c>
      <c r="U2179">
        <v>4.1354695399999999</v>
      </c>
    </row>
    <row r="2180" spans="1:21" x14ac:dyDescent="0.25">
      <c r="A2180" t="s">
        <v>69</v>
      </c>
      <c r="B2180" t="s">
        <v>831</v>
      </c>
      <c r="C2180">
        <v>10</v>
      </c>
      <c r="D2180" t="s">
        <v>17</v>
      </c>
      <c r="E2180" t="s">
        <v>95</v>
      </c>
      <c r="F2180" t="s">
        <v>112</v>
      </c>
      <c r="G2180" t="s">
        <v>121</v>
      </c>
      <c r="H2180" t="s">
        <v>235</v>
      </c>
      <c r="I2180" t="s">
        <v>252</v>
      </c>
      <c r="J2180">
        <v>1</v>
      </c>
      <c r="K2180">
        <v>2</v>
      </c>
      <c r="L2180">
        <v>65.09375</v>
      </c>
      <c r="M2180">
        <v>37.895352600000002</v>
      </c>
      <c r="N2180">
        <v>2.2882677779999998</v>
      </c>
      <c r="O2180">
        <v>2.2111774</v>
      </c>
      <c r="P2180">
        <v>132.27272730000001</v>
      </c>
      <c r="Q2180">
        <v>20.180448590000001</v>
      </c>
      <c r="R2180">
        <v>3.7813451999999997E-2</v>
      </c>
      <c r="S2180">
        <v>0.41404401000000002</v>
      </c>
      <c r="T2180" t="s">
        <v>1017</v>
      </c>
      <c r="U2180">
        <v>17.714904010000001</v>
      </c>
    </row>
    <row r="2181" spans="1:21" x14ac:dyDescent="0.25">
      <c r="A2181" t="s">
        <v>69</v>
      </c>
      <c r="B2181" t="s">
        <v>831</v>
      </c>
      <c r="C2181">
        <v>10</v>
      </c>
      <c r="D2181" t="s">
        <v>17</v>
      </c>
      <c r="E2181" t="s">
        <v>95</v>
      </c>
      <c r="F2181" t="s">
        <v>112</v>
      </c>
      <c r="G2181" t="s">
        <v>121</v>
      </c>
      <c r="H2181" t="s">
        <v>235</v>
      </c>
      <c r="I2181" t="s">
        <v>252</v>
      </c>
      <c r="J2181">
        <v>1</v>
      </c>
      <c r="K2181">
        <v>2</v>
      </c>
      <c r="L2181">
        <v>65.09375</v>
      </c>
      <c r="M2181">
        <v>37.895352600000002</v>
      </c>
      <c r="N2181">
        <v>2.2882677779999998</v>
      </c>
      <c r="O2181">
        <v>2.2111774</v>
      </c>
      <c r="P2181">
        <v>132.27272730000001</v>
      </c>
      <c r="Q2181">
        <v>20.180448590000001</v>
      </c>
      <c r="R2181">
        <v>3.7813451999999997E-2</v>
      </c>
      <c r="S2181">
        <v>0.41404401000000002</v>
      </c>
      <c r="T2181" t="s">
        <v>1017</v>
      </c>
      <c r="U2181">
        <v>17.714904010000001</v>
      </c>
    </row>
    <row r="2182" spans="1:21" x14ac:dyDescent="0.25">
      <c r="A2182" t="s">
        <v>70</v>
      </c>
      <c r="B2182" t="s">
        <v>832</v>
      </c>
      <c r="C2182">
        <v>10</v>
      </c>
      <c r="D2182" t="s">
        <v>19</v>
      </c>
      <c r="E2182" t="s">
        <v>95</v>
      </c>
      <c r="F2182" t="s">
        <v>102</v>
      </c>
      <c r="G2182" t="s">
        <v>121</v>
      </c>
      <c r="H2182" t="s">
        <v>102</v>
      </c>
      <c r="J2182">
        <v>0</v>
      </c>
      <c r="K2182">
        <v>1</v>
      </c>
      <c r="L2182">
        <v>84.740740740000007</v>
      </c>
      <c r="M2182">
        <v>29.167014049999999</v>
      </c>
      <c r="N2182">
        <v>1.1169849999999999</v>
      </c>
      <c r="O2182">
        <v>1.1571499000000001</v>
      </c>
      <c r="P2182">
        <v>84.740740740000007</v>
      </c>
      <c r="Q2182">
        <v>29.167014049999999</v>
      </c>
      <c r="R2182">
        <v>1.1169849999999999</v>
      </c>
      <c r="S2182">
        <v>1.1571499000000001</v>
      </c>
      <c r="T2182" t="s">
        <v>1017</v>
      </c>
      <c r="U2182">
        <v>0</v>
      </c>
    </row>
    <row r="2183" spans="1:21" x14ac:dyDescent="0.25">
      <c r="A2183" t="s">
        <v>70</v>
      </c>
      <c r="B2183" t="s">
        <v>832</v>
      </c>
      <c r="C2183">
        <v>10</v>
      </c>
      <c r="D2183" t="s">
        <v>19</v>
      </c>
      <c r="E2183" t="s">
        <v>95</v>
      </c>
      <c r="F2183" t="s">
        <v>102</v>
      </c>
      <c r="G2183" t="s">
        <v>121</v>
      </c>
      <c r="H2183" t="s">
        <v>236</v>
      </c>
      <c r="J2183">
        <v>0</v>
      </c>
      <c r="K2183">
        <v>1</v>
      </c>
      <c r="L2183">
        <v>84.740740740000007</v>
      </c>
      <c r="M2183">
        <v>29.167014049999999</v>
      </c>
      <c r="N2183">
        <v>1.1169849999999999</v>
      </c>
      <c r="O2183">
        <v>1.1571499000000001</v>
      </c>
      <c r="P2183">
        <v>113.33333330000001</v>
      </c>
      <c r="Q2183">
        <v>26.41632581</v>
      </c>
      <c r="R2183">
        <v>1.6844570160000001</v>
      </c>
      <c r="S2183">
        <v>8.9285710000000004E-2</v>
      </c>
      <c r="T2183" t="s">
        <v>1017</v>
      </c>
      <c r="U2183">
        <v>2.7506882400000001</v>
      </c>
    </row>
    <row r="2184" spans="1:21" x14ac:dyDescent="0.25">
      <c r="A2184" t="s">
        <v>70</v>
      </c>
      <c r="B2184" t="s">
        <v>833</v>
      </c>
      <c r="C2184">
        <v>10</v>
      </c>
      <c r="D2184" t="s">
        <v>19</v>
      </c>
      <c r="E2184" t="s">
        <v>95</v>
      </c>
      <c r="F2184" t="s">
        <v>105</v>
      </c>
      <c r="G2184" t="s">
        <v>121</v>
      </c>
      <c r="H2184" t="s">
        <v>235</v>
      </c>
      <c r="J2184">
        <v>0</v>
      </c>
      <c r="K2184">
        <v>1</v>
      </c>
      <c r="L2184">
        <v>67.5</v>
      </c>
      <c r="M2184">
        <v>47.937235809999997</v>
      </c>
      <c r="N2184">
        <v>0.41599678000000001</v>
      </c>
      <c r="O2184">
        <v>2.0950346999999998</v>
      </c>
      <c r="P2184">
        <v>132.27272730000001</v>
      </c>
      <c r="Q2184">
        <v>20.180448590000001</v>
      </c>
      <c r="R2184">
        <v>3.7813451999999997E-2</v>
      </c>
      <c r="S2184">
        <v>0.41404401000000002</v>
      </c>
      <c r="T2184" t="s">
        <v>1017</v>
      </c>
      <c r="U2184">
        <v>27.75678722</v>
      </c>
    </row>
    <row r="2185" spans="1:21" x14ac:dyDescent="0.25">
      <c r="A2185" t="s">
        <v>70</v>
      </c>
      <c r="B2185" t="s">
        <v>833</v>
      </c>
      <c r="C2185">
        <v>10</v>
      </c>
      <c r="D2185" t="s">
        <v>19</v>
      </c>
      <c r="E2185" t="s">
        <v>95</v>
      </c>
      <c r="F2185" t="s">
        <v>105</v>
      </c>
      <c r="G2185" t="s">
        <v>121</v>
      </c>
      <c r="H2185" t="s">
        <v>236</v>
      </c>
      <c r="J2185">
        <v>0</v>
      </c>
      <c r="K2185">
        <v>2</v>
      </c>
      <c r="L2185">
        <v>67.5</v>
      </c>
      <c r="M2185">
        <v>47.937235809999997</v>
      </c>
      <c r="N2185">
        <v>0.41599678000000001</v>
      </c>
      <c r="O2185">
        <v>2.0950346999999998</v>
      </c>
      <c r="P2185">
        <v>113.33333330000001</v>
      </c>
      <c r="Q2185">
        <v>26.41632581</v>
      </c>
      <c r="R2185">
        <v>1.6844570160000001</v>
      </c>
      <c r="S2185">
        <v>8.9285710000000004E-2</v>
      </c>
      <c r="T2185" t="s">
        <v>1017</v>
      </c>
      <c r="U2185">
        <v>21.520910000000001</v>
      </c>
    </row>
    <row r="2186" spans="1:21" x14ac:dyDescent="0.25">
      <c r="A2186" t="s">
        <v>70</v>
      </c>
      <c r="B2186" t="s">
        <v>833</v>
      </c>
      <c r="C2186">
        <v>10</v>
      </c>
      <c r="D2186" t="s">
        <v>19</v>
      </c>
      <c r="E2186" t="s">
        <v>95</v>
      </c>
      <c r="F2186" t="s">
        <v>105</v>
      </c>
      <c r="G2186" t="s">
        <v>121</v>
      </c>
      <c r="H2186" t="s">
        <v>236</v>
      </c>
      <c r="J2186">
        <v>0</v>
      </c>
      <c r="K2186">
        <v>2</v>
      </c>
      <c r="L2186">
        <v>67.5</v>
      </c>
      <c r="M2186">
        <v>47.937235809999997</v>
      </c>
      <c r="N2186">
        <v>0.41599678000000001</v>
      </c>
      <c r="O2186">
        <v>2.0950346999999998</v>
      </c>
      <c r="P2186">
        <v>113.33333330000001</v>
      </c>
      <c r="Q2186">
        <v>26.41632581</v>
      </c>
      <c r="R2186">
        <v>1.6844570160000001</v>
      </c>
      <c r="S2186">
        <v>8.9285710000000004E-2</v>
      </c>
      <c r="T2186" t="s">
        <v>1017</v>
      </c>
      <c r="U2186">
        <v>21.520910000000001</v>
      </c>
    </row>
    <row r="2187" spans="1:21" x14ac:dyDescent="0.25">
      <c r="A2187" t="s">
        <v>70</v>
      </c>
      <c r="B2187" t="s">
        <v>833</v>
      </c>
      <c r="C2187">
        <v>10</v>
      </c>
      <c r="D2187" t="s">
        <v>19</v>
      </c>
      <c r="E2187" t="s">
        <v>95</v>
      </c>
      <c r="F2187" t="s">
        <v>105</v>
      </c>
      <c r="G2187" t="s">
        <v>121</v>
      </c>
      <c r="H2187" t="s">
        <v>162</v>
      </c>
      <c r="J2187">
        <v>0</v>
      </c>
      <c r="K2187">
        <v>1</v>
      </c>
      <c r="L2187">
        <v>67.5</v>
      </c>
      <c r="M2187">
        <v>47.937235809999997</v>
      </c>
      <c r="N2187">
        <v>0.41599678000000001</v>
      </c>
      <c r="O2187">
        <v>2.0950346999999998</v>
      </c>
      <c r="P2187">
        <v>82.53846154</v>
      </c>
      <c r="Q2187">
        <v>35.660530039999998</v>
      </c>
      <c r="R2187">
        <v>3.3754499999999998</v>
      </c>
      <c r="S2187" t="s">
        <v>114</v>
      </c>
      <c r="T2187" t="s">
        <v>1017</v>
      </c>
      <c r="U2187">
        <v>12.27670577</v>
      </c>
    </row>
    <row r="2188" spans="1:21" x14ac:dyDescent="0.25">
      <c r="A2188" t="s">
        <v>70</v>
      </c>
      <c r="B2188" t="s">
        <v>834</v>
      </c>
      <c r="C2188">
        <v>10</v>
      </c>
      <c r="D2188" t="s">
        <v>19</v>
      </c>
      <c r="E2188" t="s">
        <v>95</v>
      </c>
      <c r="F2188" t="s">
        <v>111</v>
      </c>
      <c r="G2188" t="s">
        <v>121</v>
      </c>
      <c r="H2188" t="s">
        <v>235</v>
      </c>
      <c r="J2188">
        <v>0</v>
      </c>
      <c r="K2188">
        <v>1</v>
      </c>
      <c r="L2188">
        <v>94.97142857</v>
      </c>
      <c r="M2188">
        <v>24.31591813</v>
      </c>
      <c r="N2188">
        <v>0.122951111</v>
      </c>
      <c r="O2188">
        <v>0.39050790000000002</v>
      </c>
      <c r="P2188">
        <v>132.27272730000001</v>
      </c>
      <c r="Q2188">
        <v>20.180448590000001</v>
      </c>
      <c r="R2188">
        <v>3.7813451999999997E-2</v>
      </c>
      <c r="S2188">
        <v>0.41404401000000002</v>
      </c>
      <c r="T2188" t="s">
        <v>1017</v>
      </c>
      <c r="U2188">
        <v>4.1354695399999999</v>
      </c>
    </row>
    <row r="2189" spans="1:21" x14ac:dyDescent="0.25">
      <c r="A2189" t="s">
        <v>71</v>
      </c>
      <c r="B2189" t="s">
        <v>835</v>
      </c>
      <c r="C2189">
        <v>10</v>
      </c>
      <c r="D2189" t="s">
        <v>21</v>
      </c>
      <c r="E2189" t="s">
        <v>94</v>
      </c>
      <c r="F2189" t="s">
        <v>102</v>
      </c>
      <c r="G2189" t="s">
        <v>121</v>
      </c>
      <c r="H2189" t="s">
        <v>114</v>
      </c>
      <c r="J2189">
        <v>0</v>
      </c>
      <c r="K2189" t="s">
        <v>114</v>
      </c>
      <c r="L2189">
        <v>84.740740740000007</v>
      </c>
      <c r="M2189">
        <v>29.167014049999999</v>
      </c>
      <c r="N2189">
        <v>1.1169849999999999</v>
      </c>
      <c r="O2189">
        <v>1.1571499000000001</v>
      </c>
      <c r="P2189" t="s">
        <v>114</v>
      </c>
      <c r="Q2189" t="s">
        <v>114</v>
      </c>
      <c r="R2189" t="s">
        <v>114</v>
      </c>
      <c r="S2189" t="s">
        <v>114</v>
      </c>
      <c r="T2189" t="s">
        <v>1017</v>
      </c>
      <c r="U2189" t="s">
        <v>114</v>
      </c>
    </row>
    <row r="2190" spans="1:21" x14ac:dyDescent="0.25">
      <c r="A2190" t="s">
        <v>71</v>
      </c>
      <c r="B2190" t="s">
        <v>836</v>
      </c>
      <c r="C2190">
        <v>10</v>
      </c>
      <c r="D2190" t="s">
        <v>21</v>
      </c>
      <c r="E2190" t="s">
        <v>94</v>
      </c>
      <c r="F2190" t="s">
        <v>111</v>
      </c>
      <c r="G2190" t="s">
        <v>111</v>
      </c>
      <c r="H2190" t="s">
        <v>111</v>
      </c>
      <c r="J2190">
        <v>0</v>
      </c>
      <c r="K2190">
        <v>1</v>
      </c>
      <c r="L2190">
        <v>94.97142857</v>
      </c>
      <c r="M2190">
        <v>24.31591813</v>
      </c>
      <c r="N2190">
        <v>0.122951111</v>
      </c>
      <c r="O2190">
        <v>0.39050790000000002</v>
      </c>
      <c r="P2190">
        <v>94.97142857</v>
      </c>
      <c r="Q2190">
        <v>24.31591813</v>
      </c>
      <c r="R2190">
        <v>0.122951111</v>
      </c>
      <c r="S2190">
        <v>0.39050790000000002</v>
      </c>
      <c r="T2190" t="s">
        <v>1017</v>
      </c>
      <c r="U2190">
        <v>0</v>
      </c>
    </row>
    <row r="2191" spans="1:21" x14ac:dyDescent="0.25">
      <c r="A2191" t="s">
        <v>71</v>
      </c>
      <c r="B2191" t="s">
        <v>836</v>
      </c>
      <c r="C2191">
        <v>10</v>
      </c>
      <c r="D2191" t="s">
        <v>21</v>
      </c>
      <c r="E2191" t="s">
        <v>94</v>
      </c>
      <c r="F2191" t="s">
        <v>111</v>
      </c>
      <c r="G2191" t="s">
        <v>111</v>
      </c>
      <c r="H2191" t="s">
        <v>250</v>
      </c>
      <c r="J2191">
        <v>0</v>
      </c>
      <c r="K2191">
        <v>1</v>
      </c>
      <c r="L2191">
        <v>94.97142857</v>
      </c>
      <c r="M2191">
        <v>24.31591813</v>
      </c>
      <c r="N2191">
        <v>0.122951111</v>
      </c>
      <c r="O2191">
        <v>0.39050790000000002</v>
      </c>
      <c r="P2191">
        <v>157.14285709999999</v>
      </c>
      <c r="Q2191">
        <v>28.969081320000001</v>
      </c>
      <c r="R2191">
        <v>0.55164111100000002</v>
      </c>
      <c r="S2191" t="s">
        <v>114</v>
      </c>
      <c r="T2191" t="s">
        <v>1017</v>
      </c>
      <c r="U2191">
        <v>4.6531631899999999</v>
      </c>
    </row>
    <row r="2192" spans="1:21" x14ac:dyDescent="0.25">
      <c r="A2192" t="s">
        <v>71</v>
      </c>
      <c r="B2192" t="s">
        <v>837</v>
      </c>
      <c r="C2192">
        <v>10</v>
      </c>
      <c r="D2192" t="s">
        <v>21</v>
      </c>
      <c r="E2192" t="s">
        <v>94</v>
      </c>
      <c r="F2192" t="s">
        <v>104</v>
      </c>
      <c r="G2192" t="s">
        <v>104</v>
      </c>
      <c r="H2192" t="s">
        <v>104</v>
      </c>
      <c r="J2192">
        <v>0</v>
      </c>
      <c r="K2192">
        <v>1</v>
      </c>
      <c r="L2192">
        <v>113.9375</v>
      </c>
      <c r="M2192">
        <v>33.375507550000002</v>
      </c>
      <c r="N2192">
        <v>2.4262999999999999</v>
      </c>
      <c r="O2192">
        <v>0.40692159999999999</v>
      </c>
      <c r="P2192">
        <v>113.9375</v>
      </c>
      <c r="Q2192">
        <v>33.375507550000002</v>
      </c>
      <c r="R2192">
        <v>2.4262999999999999</v>
      </c>
      <c r="S2192">
        <v>0.40692159999999999</v>
      </c>
      <c r="T2192" t="s">
        <v>1017</v>
      </c>
      <c r="U2192">
        <v>0</v>
      </c>
    </row>
    <row r="2193" spans="1:21" x14ac:dyDescent="0.25">
      <c r="A2193" t="s">
        <v>72</v>
      </c>
      <c r="B2193" t="s">
        <v>838</v>
      </c>
      <c r="C2193">
        <v>10</v>
      </c>
      <c r="D2193" t="s">
        <v>23</v>
      </c>
      <c r="E2193" t="s">
        <v>95</v>
      </c>
      <c r="F2193" t="s">
        <v>105</v>
      </c>
      <c r="G2193" t="s">
        <v>121</v>
      </c>
      <c r="H2193" t="s">
        <v>238</v>
      </c>
      <c r="J2193">
        <v>0</v>
      </c>
      <c r="K2193">
        <v>1</v>
      </c>
      <c r="L2193">
        <v>67.5</v>
      </c>
      <c r="M2193">
        <v>47.937235809999997</v>
      </c>
      <c r="N2193">
        <v>0.41599678000000001</v>
      </c>
      <c r="O2193">
        <v>2.0950346999999998</v>
      </c>
      <c r="P2193">
        <v>87.5</v>
      </c>
      <c r="Q2193">
        <v>29.478311600000001</v>
      </c>
      <c r="R2193">
        <v>3.0797751000000002E-2</v>
      </c>
      <c r="S2193">
        <v>0.12931835</v>
      </c>
      <c r="T2193" t="s">
        <v>1017</v>
      </c>
      <c r="U2193">
        <v>18.458924209999999</v>
      </c>
    </row>
    <row r="2194" spans="1:21" x14ac:dyDescent="0.25">
      <c r="A2194" t="s">
        <v>72</v>
      </c>
      <c r="B2194" t="s">
        <v>839</v>
      </c>
      <c r="C2194">
        <v>10</v>
      </c>
      <c r="D2194" t="s">
        <v>23</v>
      </c>
      <c r="E2194" t="s">
        <v>95</v>
      </c>
      <c r="F2194" t="s">
        <v>111</v>
      </c>
      <c r="G2194" t="s">
        <v>121</v>
      </c>
      <c r="H2194" t="s">
        <v>114</v>
      </c>
      <c r="J2194">
        <v>0</v>
      </c>
      <c r="K2194">
        <v>0</v>
      </c>
      <c r="L2194">
        <v>94.97142857</v>
      </c>
      <c r="M2194">
        <v>24.31591813</v>
      </c>
      <c r="N2194">
        <v>0.122951111</v>
      </c>
      <c r="O2194">
        <v>0.39050790000000002</v>
      </c>
      <c r="P2194" t="s">
        <v>114</v>
      </c>
      <c r="Q2194" t="s">
        <v>114</v>
      </c>
      <c r="R2194" t="s">
        <v>114</v>
      </c>
      <c r="S2194" t="s">
        <v>114</v>
      </c>
      <c r="T2194" t="s">
        <v>1017</v>
      </c>
      <c r="U2194" t="s">
        <v>114</v>
      </c>
    </row>
    <row r="2195" spans="1:21" x14ac:dyDescent="0.25">
      <c r="A2195" t="s">
        <v>72</v>
      </c>
      <c r="B2195" t="s">
        <v>840</v>
      </c>
      <c r="C2195">
        <v>10</v>
      </c>
      <c r="D2195" t="s">
        <v>23</v>
      </c>
      <c r="E2195" t="s">
        <v>95</v>
      </c>
      <c r="F2195" t="s">
        <v>104</v>
      </c>
      <c r="G2195" t="s">
        <v>104</v>
      </c>
      <c r="H2195" t="s">
        <v>104</v>
      </c>
      <c r="J2195">
        <v>0</v>
      </c>
      <c r="K2195">
        <v>1</v>
      </c>
      <c r="L2195">
        <v>113.9375</v>
      </c>
      <c r="M2195">
        <v>33.375507550000002</v>
      </c>
      <c r="N2195">
        <v>2.4262999999999999</v>
      </c>
      <c r="O2195">
        <v>0.40692159999999999</v>
      </c>
      <c r="P2195">
        <v>113.9375</v>
      </c>
      <c r="Q2195">
        <v>33.375507550000002</v>
      </c>
      <c r="R2195">
        <v>2.4262999999999999</v>
      </c>
      <c r="S2195">
        <v>0.40692159999999999</v>
      </c>
      <c r="T2195" t="s">
        <v>1017</v>
      </c>
      <c r="U2195">
        <v>0</v>
      </c>
    </row>
    <row r="2196" spans="1:21" x14ac:dyDescent="0.25">
      <c r="A2196" t="s">
        <v>72</v>
      </c>
      <c r="B2196" t="s">
        <v>840</v>
      </c>
      <c r="C2196">
        <v>10</v>
      </c>
      <c r="D2196" t="s">
        <v>23</v>
      </c>
      <c r="E2196" t="s">
        <v>95</v>
      </c>
      <c r="F2196" t="s">
        <v>104</v>
      </c>
      <c r="G2196" t="s">
        <v>104</v>
      </c>
      <c r="H2196" t="s">
        <v>244</v>
      </c>
      <c r="J2196">
        <v>0</v>
      </c>
      <c r="K2196">
        <v>1</v>
      </c>
      <c r="L2196">
        <v>113.9375</v>
      </c>
      <c r="M2196">
        <v>33.375507550000002</v>
      </c>
      <c r="N2196">
        <v>2.4262999999999999</v>
      </c>
      <c r="O2196">
        <v>0.40692159999999999</v>
      </c>
      <c r="P2196">
        <v>75</v>
      </c>
      <c r="Q2196">
        <v>28.80614499</v>
      </c>
      <c r="R2196">
        <v>2.3860428570000001</v>
      </c>
      <c r="S2196">
        <v>0.26400832000000002</v>
      </c>
      <c r="T2196" t="s">
        <v>1017</v>
      </c>
      <c r="U2196">
        <v>4.5693625600000001</v>
      </c>
    </row>
    <row r="2197" spans="1:21" x14ac:dyDescent="0.25">
      <c r="A2197" t="s">
        <v>72</v>
      </c>
      <c r="B2197" t="s">
        <v>841</v>
      </c>
      <c r="C2197">
        <v>10</v>
      </c>
      <c r="D2197" t="s">
        <v>23</v>
      </c>
      <c r="E2197" t="s">
        <v>95</v>
      </c>
      <c r="F2197" t="s">
        <v>112</v>
      </c>
      <c r="G2197" t="s">
        <v>121</v>
      </c>
      <c r="H2197" t="s">
        <v>238</v>
      </c>
      <c r="J2197">
        <v>0</v>
      </c>
      <c r="K2197">
        <v>1</v>
      </c>
      <c r="L2197">
        <v>65.09375</v>
      </c>
      <c r="M2197">
        <v>37.895352600000002</v>
      </c>
      <c r="N2197">
        <v>2.2882677779999998</v>
      </c>
      <c r="O2197">
        <v>2.2111774</v>
      </c>
      <c r="P2197">
        <v>87.5</v>
      </c>
      <c r="Q2197">
        <v>29.478311600000001</v>
      </c>
      <c r="R2197">
        <v>3.0797751000000002E-2</v>
      </c>
      <c r="S2197">
        <v>0.12931835</v>
      </c>
      <c r="T2197" t="s">
        <v>1017</v>
      </c>
      <c r="U2197">
        <v>8.4170409999999993</v>
      </c>
    </row>
    <row r="2198" spans="1:21" x14ac:dyDescent="0.25">
      <c r="A2198" t="s">
        <v>73</v>
      </c>
      <c r="B2198" t="s">
        <v>842</v>
      </c>
      <c r="C2198">
        <v>10</v>
      </c>
      <c r="D2198" t="s">
        <v>25</v>
      </c>
      <c r="E2198" t="s">
        <v>94</v>
      </c>
      <c r="F2198" t="s">
        <v>105</v>
      </c>
      <c r="G2198" t="s">
        <v>112</v>
      </c>
      <c r="H2198" t="s">
        <v>112</v>
      </c>
      <c r="J2198">
        <v>0</v>
      </c>
      <c r="K2198">
        <v>1</v>
      </c>
      <c r="L2198">
        <v>67.5</v>
      </c>
      <c r="M2198">
        <v>47.937235809999997</v>
      </c>
      <c r="N2198">
        <v>0.41599678000000001</v>
      </c>
      <c r="O2198">
        <v>2.0950346999999998</v>
      </c>
      <c r="P2198">
        <v>65.09375</v>
      </c>
      <c r="Q2198">
        <v>37.895352600000002</v>
      </c>
      <c r="R2198">
        <v>2.2882677779999998</v>
      </c>
      <c r="S2198">
        <v>2.2111774</v>
      </c>
      <c r="T2198" t="s">
        <v>1017</v>
      </c>
      <c r="U2198">
        <v>10.04188321</v>
      </c>
    </row>
    <row r="2199" spans="1:21" x14ac:dyDescent="0.25">
      <c r="A2199" t="s">
        <v>73</v>
      </c>
      <c r="B2199" t="s">
        <v>843</v>
      </c>
      <c r="C2199">
        <v>10</v>
      </c>
      <c r="D2199" t="s">
        <v>25</v>
      </c>
      <c r="E2199" t="s">
        <v>94</v>
      </c>
      <c r="F2199" t="s">
        <v>110</v>
      </c>
      <c r="G2199" t="s">
        <v>110</v>
      </c>
      <c r="H2199" t="s">
        <v>110</v>
      </c>
      <c r="J2199">
        <v>0</v>
      </c>
      <c r="K2199">
        <v>3</v>
      </c>
      <c r="L2199">
        <v>73.260869569999997</v>
      </c>
      <c r="M2199">
        <v>34.453830549999999</v>
      </c>
      <c r="N2199">
        <v>1.058333333</v>
      </c>
      <c r="O2199">
        <v>0.90897070000000002</v>
      </c>
      <c r="P2199">
        <v>73.260869569999997</v>
      </c>
      <c r="Q2199">
        <v>34.453830549999999</v>
      </c>
      <c r="R2199">
        <v>1.058333333</v>
      </c>
      <c r="S2199">
        <v>0.90897070000000002</v>
      </c>
      <c r="T2199" t="s">
        <v>1017</v>
      </c>
      <c r="U2199">
        <v>0</v>
      </c>
    </row>
    <row r="2200" spans="1:21" x14ac:dyDescent="0.25">
      <c r="A2200" t="s">
        <v>73</v>
      </c>
      <c r="B2200" t="s">
        <v>843</v>
      </c>
      <c r="C2200">
        <v>10</v>
      </c>
      <c r="D2200" t="s">
        <v>25</v>
      </c>
      <c r="E2200" t="s">
        <v>94</v>
      </c>
      <c r="F2200" t="s">
        <v>110</v>
      </c>
      <c r="G2200" t="s">
        <v>110</v>
      </c>
      <c r="H2200" t="s">
        <v>110</v>
      </c>
      <c r="J2200">
        <v>0</v>
      </c>
      <c r="K2200">
        <v>3</v>
      </c>
      <c r="L2200">
        <v>73.260869569999997</v>
      </c>
      <c r="M2200">
        <v>34.453830549999999</v>
      </c>
      <c r="N2200">
        <v>1.058333333</v>
      </c>
      <c r="O2200">
        <v>0.90897070000000002</v>
      </c>
      <c r="P2200">
        <v>73.260869569999997</v>
      </c>
      <c r="Q2200">
        <v>34.453830549999999</v>
      </c>
      <c r="R2200">
        <v>1.058333333</v>
      </c>
      <c r="S2200">
        <v>0.90897070000000002</v>
      </c>
      <c r="T2200" t="s">
        <v>1017</v>
      </c>
      <c r="U2200">
        <v>0</v>
      </c>
    </row>
    <row r="2201" spans="1:21" x14ac:dyDescent="0.25">
      <c r="A2201" t="s">
        <v>73</v>
      </c>
      <c r="B2201" t="s">
        <v>843</v>
      </c>
      <c r="C2201">
        <v>10</v>
      </c>
      <c r="D2201" t="s">
        <v>25</v>
      </c>
      <c r="E2201" t="s">
        <v>94</v>
      </c>
      <c r="F2201" t="s">
        <v>110</v>
      </c>
      <c r="G2201" t="s">
        <v>110</v>
      </c>
      <c r="H2201" t="s">
        <v>110</v>
      </c>
      <c r="J2201">
        <v>0</v>
      </c>
      <c r="K2201">
        <v>3</v>
      </c>
      <c r="L2201">
        <v>73.260869569999997</v>
      </c>
      <c r="M2201">
        <v>34.453830549999999</v>
      </c>
      <c r="N2201">
        <v>1.058333333</v>
      </c>
      <c r="O2201">
        <v>0.90897070000000002</v>
      </c>
      <c r="P2201">
        <v>73.260869569999997</v>
      </c>
      <c r="Q2201">
        <v>34.453830549999999</v>
      </c>
      <c r="R2201">
        <v>1.058333333</v>
      </c>
      <c r="S2201">
        <v>0.90897070000000002</v>
      </c>
      <c r="T2201" t="s">
        <v>1017</v>
      </c>
      <c r="U2201">
        <v>0</v>
      </c>
    </row>
    <row r="2202" spans="1:21" x14ac:dyDescent="0.25">
      <c r="A2202" t="s">
        <v>73</v>
      </c>
      <c r="B2202" t="s">
        <v>843</v>
      </c>
      <c r="C2202">
        <v>10</v>
      </c>
      <c r="D2202" t="s">
        <v>25</v>
      </c>
      <c r="E2202" t="s">
        <v>94</v>
      </c>
      <c r="F2202" t="s">
        <v>110</v>
      </c>
      <c r="G2202" t="s">
        <v>110</v>
      </c>
      <c r="H2202" t="s">
        <v>251</v>
      </c>
      <c r="J2202">
        <v>0</v>
      </c>
      <c r="K2202">
        <v>1</v>
      </c>
      <c r="L2202">
        <v>73.260869569999997</v>
      </c>
      <c r="M2202">
        <v>34.453830549999999</v>
      </c>
      <c r="N2202">
        <v>1.058333333</v>
      </c>
      <c r="O2202">
        <v>0.90897070000000002</v>
      </c>
      <c r="P2202">
        <v>85</v>
      </c>
      <c r="Q2202">
        <v>37.099157669999997</v>
      </c>
      <c r="R2202">
        <v>0.65291888899999995</v>
      </c>
      <c r="S2202" t="s">
        <v>114</v>
      </c>
      <c r="T2202" t="s">
        <v>1017</v>
      </c>
      <c r="U2202">
        <v>2.6453271200000001</v>
      </c>
    </row>
    <row r="2203" spans="1:21" x14ac:dyDescent="0.25">
      <c r="A2203" t="s">
        <v>73</v>
      </c>
      <c r="B2203" t="s">
        <v>843</v>
      </c>
      <c r="C2203">
        <v>10</v>
      </c>
      <c r="D2203" t="s">
        <v>25</v>
      </c>
      <c r="E2203" t="s">
        <v>94</v>
      </c>
      <c r="F2203" t="s">
        <v>110</v>
      </c>
      <c r="G2203" t="s">
        <v>110</v>
      </c>
      <c r="H2203" t="s">
        <v>246</v>
      </c>
      <c r="J2203">
        <v>0</v>
      </c>
      <c r="K2203">
        <v>1</v>
      </c>
      <c r="L2203">
        <v>73.260869569999997</v>
      </c>
      <c r="M2203">
        <v>34.453830549999999</v>
      </c>
      <c r="N2203">
        <v>1.058333333</v>
      </c>
      <c r="O2203">
        <v>0.90897070000000002</v>
      </c>
      <c r="P2203">
        <v>120.25</v>
      </c>
      <c r="Q2203">
        <v>30.670450110000001</v>
      </c>
      <c r="R2203">
        <v>0.91037498500000003</v>
      </c>
      <c r="S2203" t="s">
        <v>114</v>
      </c>
      <c r="T2203" t="s">
        <v>1017</v>
      </c>
      <c r="U2203">
        <v>3.7833804400000002</v>
      </c>
    </row>
    <row r="2204" spans="1:21" x14ac:dyDescent="0.25">
      <c r="A2204" t="s">
        <v>73</v>
      </c>
      <c r="B2204" t="s">
        <v>844</v>
      </c>
      <c r="C2204">
        <v>10</v>
      </c>
      <c r="D2204" t="s">
        <v>25</v>
      </c>
      <c r="E2204" t="s">
        <v>94</v>
      </c>
      <c r="F2204" t="s">
        <v>104</v>
      </c>
      <c r="G2204" t="s">
        <v>104</v>
      </c>
      <c r="H2204" t="s">
        <v>104</v>
      </c>
      <c r="J2204">
        <v>0</v>
      </c>
      <c r="K2204">
        <v>1</v>
      </c>
      <c r="L2204">
        <v>113.9375</v>
      </c>
      <c r="M2204">
        <v>33.375507550000002</v>
      </c>
      <c r="N2204">
        <v>2.4262999999999999</v>
      </c>
      <c r="O2204">
        <v>0.40692159999999999</v>
      </c>
      <c r="P2204">
        <v>113.9375</v>
      </c>
      <c r="Q2204">
        <v>33.375507550000002</v>
      </c>
      <c r="R2204">
        <v>2.4262999999999999</v>
      </c>
      <c r="S2204">
        <v>0.40692159999999999</v>
      </c>
      <c r="T2204" t="s">
        <v>1017</v>
      </c>
      <c r="U2204">
        <v>0</v>
      </c>
    </row>
    <row r="2205" spans="1:21" x14ac:dyDescent="0.25">
      <c r="A2205" t="s">
        <v>73</v>
      </c>
      <c r="B2205" t="s">
        <v>845</v>
      </c>
      <c r="C2205">
        <v>10</v>
      </c>
      <c r="D2205" t="s">
        <v>25</v>
      </c>
      <c r="E2205" t="s">
        <v>94</v>
      </c>
      <c r="F2205" t="s">
        <v>112</v>
      </c>
      <c r="G2205" t="s">
        <v>121</v>
      </c>
      <c r="H2205" t="s">
        <v>114</v>
      </c>
      <c r="J2205">
        <v>0</v>
      </c>
      <c r="K2205" t="s">
        <v>114</v>
      </c>
      <c r="L2205">
        <v>65.09375</v>
      </c>
      <c r="M2205">
        <v>37.895352600000002</v>
      </c>
      <c r="N2205">
        <v>2.2882677779999998</v>
      </c>
      <c r="O2205">
        <v>2.2111774</v>
      </c>
      <c r="P2205" t="s">
        <v>114</v>
      </c>
      <c r="Q2205" t="s">
        <v>114</v>
      </c>
      <c r="R2205" t="s">
        <v>114</v>
      </c>
      <c r="S2205" t="s">
        <v>114</v>
      </c>
      <c r="T2205" t="s">
        <v>1017</v>
      </c>
      <c r="U2205" t="s">
        <v>114</v>
      </c>
    </row>
    <row r="2206" spans="1:21" x14ac:dyDescent="0.25">
      <c r="A2206" t="s">
        <v>74</v>
      </c>
      <c r="B2206" t="s">
        <v>846</v>
      </c>
      <c r="C2206">
        <v>10</v>
      </c>
      <c r="D2206" t="s">
        <v>27</v>
      </c>
      <c r="E2206" t="s">
        <v>95</v>
      </c>
      <c r="F2206" t="s">
        <v>102</v>
      </c>
      <c r="G2206" t="s">
        <v>113</v>
      </c>
      <c r="H2206" t="s">
        <v>113</v>
      </c>
      <c r="J2206">
        <v>0</v>
      </c>
      <c r="K2206">
        <v>3</v>
      </c>
      <c r="L2206">
        <v>84.740740740000007</v>
      </c>
      <c r="M2206">
        <v>29.167014049999999</v>
      </c>
      <c r="N2206">
        <v>1.1169849999999999</v>
      </c>
      <c r="O2206">
        <v>1.1571499000000001</v>
      </c>
      <c r="P2206">
        <v>83.757575759999995</v>
      </c>
      <c r="Q2206">
        <v>22.60997987</v>
      </c>
      <c r="R2206">
        <v>0.72884000000000004</v>
      </c>
      <c r="S2206">
        <v>0.21301339999999999</v>
      </c>
      <c r="T2206" t="s">
        <v>1017</v>
      </c>
      <c r="U2206">
        <v>6.5570341799999996</v>
      </c>
    </row>
    <row r="2207" spans="1:21" x14ac:dyDescent="0.25">
      <c r="A2207" t="s">
        <v>74</v>
      </c>
      <c r="B2207" t="s">
        <v>846</v>
      </c>
      <c r="C2207">
        <v>10</v>
      </c>
      <c r="D2207" t="s">
        <v>27</v>
      </c>
      <c r="E2207" t="s">
        <v>95</v>
      </c>
      <c r="F2207" t="s">
        <v>102</v>
      </c>
      <c r="G2207" t="s">
        <v>113</v>
      </c>
      <c r="H2207" t="s">
        <v>113</v>
      </c>
      <c r="J2207">
        <v>0</v>
      </c>
      <c r="K2207">
        <v>3</v>
      </c>
      <c r="L2207">
        <v>84.740740740000007</v>
      </c>
      <c r="M2207">
        <v>29.167014049999999</v>
      </c>
      <c r="N2207">
        <v>1.1169849999999999</v>
      </c>
      <c r="O2207">
        <v>1.1571499000000001</v>
      </c>
      <c r="P2207">
        <v>83.757575759999995</v>
      </c>
      <c r="Q2207">
        <v>22.60997987</v>
      </c>
      <c r="R2207">
        <v>0.72884000000000004</v>
      </c>
      <c r="S2207">
        <v>0.21301339999999999</v>
      </c>
      <c r="T2207" t="s">
        <v>1017</v>
      </c>
      <c r="U2207">
        <v>6.5570341799999996</v>
      </c>
    </row>
    <row r="2208" spans="1:21" x14ac:dyDescent="0.25">
      <c r="A2208" t="s">
        <v>74</v>
      </c>
      <c r="B2208" t="s">
        <v>846</v>
      </c>
      <c r="C2208">
        <v>10</v>
      </c>
      <c r="D2208" t="s">
        <v>27</v>
      </c>
      <c r="E2208" t="s">
        <v>95</v>
      </c>
      <c r="F2208" t="s">
        <v>102</v>
      </c>
      <c r="G2208" t="s">
        <v>113</v>
      </c>
      <c r="H2208" t="s">
        <v>113</v>
      </c>
      <c r="J2208">
        <v>0</v>
      </c>
      <c r="K2208">
        <v>3</v>
      </c>
      <c r="L2208">
        <v>84.740740740000007</v>
      </c>
      <c r="M2208">
        <v>29.167014049999999</v>
      </c>
      <c r="N2208">
        <v>1.1169849999999999</v>
      </c>
      <c r="O2208">
        <v>1.1571499000000001</v>
      </c>
      <c r="P2208">
        <v>83.757575759999995</v>
      </c>
      <c r="Q2208">
        <v>22.60997987</v>
      </c>
      <c r="R2208">
        <v>0.72884000000000004</v>
      </c>
      <c r="S2208">
        <v>0.21301339999999999</v>
      </c>
      <c r="T2208" t="s">
        <v>1017</v>
      </c>
      <c r="U2208">
        <v>6.5570341799999996</v>
      </c>
    </row>
    <row r="2209" spans="1:21" x14ac:dyDescent="0.25">
      <c r="A2209" t="s">
        <v>74</v>
      </c>
      <c r="B2209" t="s">
        <v>846</v>
      </c>
      <c r="C2209">
        <v>10</v>
      </c>
      <c r="D2209" t="s">
        <v>27</v>
      </c>
      <c r="E2209" t="s">
        <v>95</v>
      </c>
      <c r="F2209" t="s">
        <v>102</v>
      </c>
      <c r="G2209" t="s">
        <v>113</v>
      </c>
      <c r="H2209" t="s">
        <v>103</v>
      </c>
      <c r="J2209">
        <v>0</v>
      </c>
      <c r="K2209">
        <v>1</v>
      </c>
      <c r="L2209">
        <v>84.740740740000007</v>
      </c>
      <c r="M2209">
        <v>29.167014049999999</v>
      </c>
      <c r="N2209">
        <v>1.1169849999999999</v>
      </c>
      <c r="O2209">
        <v>1.1571499000000001</v>
      </c>
      <c r="P2209">
        <v>98.291666669999998</v>
      </c>
      <c r="Q2209">
        <v>30.315130790000001</v>
      </c>
      <c r="R2209">
        <v>5.0803484000000003E-2</v>
      </c>
      <c r="S2209">
        <v>0.42866070000000001</v>
      </c>
      <c r="T2209" t="s">
        <v>1017</v>
      </c>
      <c r="U2209">
        <v>1.1481167400000001</v>
      </c>
    </row>
    <row r="2210" spans="1:21" x14ac:dyDescent="0.25">
      <c r="A2210" t="s">
        <v>74</v>
      </c>
      <c r="B2210" t="s">
        <v>847</v>
      </c>
      <c r="C2210">
        <v>10</v>
      </c>
      <c r="D2210" t="s">
        <v>27</v>
      </c>
      <c r="E2210" t="s">
        <v>95</v>
      </c>
      <c r="F2210" t="s">
        <v>113</v>
      </c>
      <c r="G2210" t="s">
        <v>113</v>
      </c>
      <c r="H2210" t="s">
        <v>113</v>
      </c>
      <c r="J2210">
        <v>0</v>
      </c>
      <c r="K2210">
        <v>1</v>
      </c>
      <c r="L2210">
        <v>83.757575759999995</v>
      </c>
      <c r="M2210">
        <v>22.60997987</v>
      </c>
      <c r="N2210">
        <v>0.72884000000000004</v>
      </c>
      <c r="O2210">
        <v>0.21301339999999999</v>
      </c>
      <c r="P2210">
        <v>83.757575759999995</v>
      </c>
      <c r="Q2210">
        <v>22.60997987</v>
      </c>
      <c r="R2210">
        <v>0.72884000000000004</v>
      </c>
      <c r="S2210">
        <v>0.21301339999999999</v>
      </c>
      <c r="T2210" t="s">
        <v>1017</v>
      </c>
      <c r="U2210">
        <v>0</v>
      </c>
    </row>
    <row r="2211" spans="1:21" x14ac:dyDescent="0.25">
      <c r="A2211" t="s">
        <v>74</v>
      </c>
      <c r="B2211" t="s">
        <v>847</v>
      </c>
      <c r="C2211">
        <v>10</v>
      </c>
      <c r="D2211" t="s">
        <v>27</v>
      </c>
      <c r="E2211" t="s">
        <v>95</v>
      </c>
      <c r="F2211" t="s">
        <v>113</v>
      </c>
      <c r="G2211" t="s">
        <v>113</v>
      </c>
      <c r="H2211" t="s">
        <v>248</v>
      </c>
      <c r="J2211">
        <v>0</v>
      </c>
      <c r="K2211">
        <v>2</v>
      </c>
      <c r="L2211">
        <v>83.757575759999995</v>
      </c>
      <c r="M2211">
        <v>22.60997987</v>
      </c>
      <c r="N2211">
        <v>0.72884000000000004</v>
      </c>
      <c r="O2211">
        <v>0.21301339999999999</v>
      </c>
      <c r="P2211">
        <v>83.92307692</v>
      </c>
      <c r="Q2211">
        <v>44.319135699999997</v>
      </c>
      <c r="R2211">
        <v>5.9548609999999997E-3</v>
      </c>
      <c r="S2211">
        <v>0.18017928</v>
      </c>
      <c r="T2211" t="s">
        <v>1017</v>
      </c>
      <c r="U2211">
        <v>21.70915583</v>
      </c>
    </row>
    <row r="2212" spans="1:21" x14ac:dyDescent="0.25">
      <c r="A2212" t="s">
        <v>74</v>
      </c>
      <c r="B2212" t="s">
        <v>847</v>
      </c>
      <c r="C2212">
        <v>10</v>
      </c>
      <c r="D2212" t="s">
        <v>27</v>
      </c>
      <c r="E2212" t="s">
        <v>95</v>
      </c>
      <c r="F2212" t="s">
        <v>113</v>
      </c>
      <c r="G2212" t="s">
        <v>113</v>
      </c>
      <c r="H2212" t="s">
        <v>248</v>
      </c>
      <c r="J2212">
        <v>0</v>
      </c>
      <c r="K2212">
        <v>2</v>
      </c>
      <c r="L2212">
        <v>83.757575759999995</v>
      </c>
      <c r="M2212">
        <v>22.60997987</v>
      </c>
      <c r="N2212">
        <v>0.72884000000000004</v>
      </c>
      <c r="O2212">
        <v>0.21301339999999999</v>
      </c>
      <c r="P2212">
        <v>83.92307692</v>
      </c>
      <c r="Q2212">
        <v>44.319135699999997</v>
      </c>
      <c r="R2212">
        <v>5.9548609999999997E-3</v>
      </c>
      <c r="S2212">
        <v>0.18017928</v>
      </c>
      <c r="T2212" t="s">
        <v>1017</v>
      </c>
      <c r="U2212">
        <v>21.70915583</v>
      </c>
    </row>
    <row r="2213" spans="1:21" x14ac:dyDescent="0.25">
      <c r="A2213" t="s">
        <v>74</v>
      </c>
      <c r="B2213" t="s">
        <v>848</v>
      </c>
      <c r="C2213">
        <v>10</v>
      </c>
      <c r="D2213" t="s">
        <v>27</v>
      </c>
      <c r="E2213" t="s">
        <v>95</v>
      </c>
      <c r="F2213" t="s">
        <v>103</v>
      </c>
      <c r="G2213" t="s">
        <v>113</v>
      </c>
      <c r="H2213" t="s">
        <v>113</v>
      </c>
      <c r="J2213">
        <v>0</v>
      </c>
      <c r="K2213">
        <v>1</v>
      </c>
      <c r="L2213">
        <v>98.291666669999998</v>
      </c>
      <c r="M2213">
        <v>30.315130790000001</v>
      </c>
      <c r="N2213">
        <v>5.0803484000000003E-2</v>
      </c>
      <c r="O2213">
        <v>0.42866070000000001</v>
      </c>
      <c r="P2213">
        <v>83.757575759999995</v>
      </c>
      <c r="Q2213">
        <v>22.60997987</v>
      </c>
      <c r="R2213">
        <v>0.72884000000000004</v>
      </c>
      <c r="S2213">
        <v>0.21301339999999999</v>
      </c>
      <c r="T2213" t="s">
        <v>1017</v>
      </c>
      <c r="U2213">
        <v>7.7051509200000003</v>
      </c>
    </row>
    <row r="2214" spans="1:21" x14ac:dyDescent="0.25">
      <c r="A2214" t="s">
        <v>75</v>
      </c>
      <c r="B2214" t="s">
        <v>849</v>
      </c>
      <c r="C2214">
        <v>10</v>
      </c>
      <c r="D2214" t="s">
        <v>29</v>
      </c>
      <c r="E2214" t="s">
        <v>94</v>
      </c>
      <c r="F2214" t="s">
        <v>105</v>
      </c>
      <c r="G2214" t="s">
        <v>121</v>
      </c>
      <c r="H2214" t="s">
        <v>251</v>
      </c>
      <c r="J2214">
        <v>0</v>
      </c>
      <c r="K2214">
        <v>1</v>
      </c>
      <c r="L2214">
        <v>67.5</v>
      </c>
      <c r="M2214">
        <v>47.937235809999997</v>
      </c>
      <c r="N2214">
        <v>0.41599678000000001</v>
      </c>
      <c r="O2214">
        <v>2.0950346999999998</v>
      </c>
      <c r="P2214">
        <v>85</v>
      </c>
      <c r="Q2214">
        <v>37.099157669999997</v>
      </c>
      <c r="R2214">
        <v>0.65291888899999995</v>
      </c>
      <c r="S2214" t="s">
        <v>114</v>
      </c>
      <c r="T2214" t="s">
        <v>1017</v>
      </c>
      <c r="U2214">
        <v>10.83807814</v>
      </c>
    </row>
    <row r="2215" spans="1:21" x14ac:dyDescent="0.25">
      <c r="A2215" t="s">
        <v>75</v>
      </c>
      <c r="B2215" t="s">
        <v>849</v>
      </c>
      <c r="C2215">
        <v>10</v>
      </c>
      <c r="D2215" t="s">
        <v>29</v>
      </c>
      <c r="E2215" t="s">
        <v>94</v>
      </c>
      <c r="F2215" t="s">
        <v>105</v>
      </c>
      <c r="G2215" t="s">
        <v>121</v>
      </c>
      <c r="H2215" t="s">
        <v>244</v>
      </c>
      <c r="J2215">
        <v>0</v>
      </c>
      <c r="K2215">
        <v>1</v>
      </c>
      <c r="L2215">
        <v>67.5</v>
      </c>
      <c r="M2215">
        <v>47.937235809999997</v>
      </c>
      <c r="N2215">
        <v>0.41599678000000001</v>
      </c>
      <c r="O2215">
        <v>2.0950346999999998</v>
      </c>
      <c r="P2215">
        <v>75</v>
      </c>
      <c r="Q2215">
        <v>28.80614499</v>
      </c>
      <c r="R2215">
        <v>2.3860428570000001</v>
      </c>
      <c r="S2215">
        <v>0.26400832000000002</v>
      </c>
      <c r="T2215" t="s">
        <v>1017</v>
      </c>
      <c r="U2215">
        <v>19.131090820000001</v>
      </c>
    </row>
    <row r="2216" spans="1:21" x14ac:dyDescent="0.25">
      <c r="A2216" t="s">
        <v>75</v>
      </c>
      <c r="B2216" t="s">
        <v>850</v>
      </c>
      <c r="C2216">
        <v>10</v>
      </c>
      <c r="D2216" t="s">
        <v>29</v>
      </c>
      <c r="E2216" t="s">
        <v>94</v>
      </c>
      <c r="F2216" t="s">
        <v>110</v>
      </c>
      <c r="G2216" t="s">
        <v>104</v>
      </c>
      <c r="H2216" t="s">
        <v>104</v>
      </c>
      <c r="J2216">
        <v>0</v>
      </c>
      <c r="K2216">
        <v>2</v>
      </c>
      <c r="L2216">
        <v>73.260869569999997</v>
      </c>
      <c r="M2216">
        <v>34.453830549999999</v>
      </c>
      <c r="N2216">
        <v>1.058333333</v>
      </c>
      <c r="O2216">
        <v>0.90897070000000002</v>
      </c>
      <c r="P2216">
        <v>113.9375</v>
      </c>
      <c r="Q2216">
        <v>33.375507550000002</v>
      </c>
      <c r="R2216">
        <v>2.4262999999999999</v>
      </c>
      <c r="S2216">
        <v>0.40692159999999999</v>
      </c>
      <c r="T2216" t="s">
        <v>1017</v>
      </c>
      <c r="U2216">
        <v>1.0783229999999999</v>
      </c>
    </row>
    <row r="2217" spans="1:21" x14ac:dyDescent="0.25">
      <c r="A2217" t="s">
        <v>75</v>
      </c>
      <c r="B2217" t="s">
        <v>850</v>
      </c>
      <c r="C2217">
        <v>10</v>
      </c>
      <c r="D2217" t="s">
        <v>29</v>
      </c>
      <c r="E2217" t="s">
        <v>94</v>
      </c>
      <c r="F2217" t="s">
        <v>110</v>
      </c>
      <c r="G2217" t="s">
        <v>104</v>
      </c>
      <c r="H2217" t="s">
        <v>104</v>
      </c>
      <c r="J2217">
        <v>0</v>
      </c>
      <c r="K2217">
        <v>2</v>
      </c>
      <c r="L2217">
        <v>73.260869569999997</v>
      </c>
      <c r="M2217">
        <v>34.453830549999999</v>
      </c>
      <c r="N2217">
        <v>1.058333333</v>
      </c>
      <c r="O2217">
        <v>0.90897070000000002</v>
      </c>
      <c r="P2217">
        <v>113.9375</v>
      </c>
      <c r="Q2217">
        <v>33.375507550000002</v>
      </c>
      <c r="R2217">
        <v>2.4262999999999999</v>
      </c>
      <c r="S2217">
        <v>0.40692159999999999</v>
      </c>
      <c r="T2217" t="s">
        <v>1017</v>
      </c>
      <c r="U2217">
        <v>1.0783229999999999</v>
      </c>
    </row>
    <row r="2218" spans="1:21" x14ac:dyDescent="0.25">
      <c r="A2218" t="s">
        <v>75</v>
      </c>
      <c r="B2218" t="s">
        <v>851</v>
      </c>
      <c r="C2218">
        <v>10</v>
      </c>
      <c r="D2218" t="s">
        <v>29</v>
      </c>
      <c r="E2218" t="s">
        <v>94</v>
      </c>
      <c r="F2218" t="s">
        <v>103</v>
      </c>
      <c r="G2218" t="s">
        <v>121</v>
      </c>
      <c r="H2218" t="s">
        <v>251</v>
      </c>
      <c r="J2218">
        <v>0</v>
      </c>
      <c r="K2218">
        <v>1</v>
      </c>
      <c r="L2218">
        <v>98.291666669999998</v>
      </c>
      <c r="M2218">
        <v>30.315130790000001</v>
      </c>
      <c r="N2218">
        <v>5.0803484000000003E-2</v>
      </c>
      <c r="O2218">
        <v>0.42866070000000001</v>
      </c>
      <c r="P2218">
        <v>85</v>
      </c>
      <c r="Q2218">
        <v>37.099157669999997</v>
      </c>
      <c r="R2218">
        <v>0.65291888899999995</v>
      </c>
      <c r="S2218" t="s">
        <v>114</v>
      </c>
      <c r="T2218" t="s">
        <v>1017</v>
      </c>
      <c r="U2218">
        <v>6.7840268799999999</v>
      </c>
    </row>
    <row r="2219" spans="1:21" x14ac:dyDescent="0.25">
      <c r="A2219" t="s">
        <v>75</v>
      </c>
      <c r="B2219" t="s">
        <v>851</v>
      </c>
      <c r="C2219">
        <v>10</v>
      </c>
      <c r="D2219" t="s">
        <v>29</v>
      </c>
      <c r="E2219" t="s">
        <v>94</v>
      </c>
      <c r="F2219" t="s">
        <v>103</v>
      </c>
      <c r="G2219" t="s">
        <v>121</v>
      </c>
      <c r="H2219" t="s">
        <v>233</v>
      </c>
      <c r="J2219">
        <v>0</v>
      </c>
      <c r="K2219">
        <v>1</v>
      </c>
      <c r="L2219">
        <v>98.291666669999998</v>
      </c>
      <c r="M2219">
        <v>30.315130790000001</v>
      </c>
      <c r="N2219">
        <v>5.0803484000000003E-2</v>
      </c>
      <c r="O2219">
        <v>0.42866070000000001</v>
      </c>
      <c r="P2219">
        <v>106.0540541</v>
      </c>
      <c r="Q2219">
        <v>52.690533369999997</v>
      </c>
      <c r="R2219">
        <v>7.6058968000000005E-2</v>
      </c>
      <c r="S2219">
        <v>0.44888888999999998</v>
      </c>
      <c r="T2219" t="s">
        <v>1017</v>
      </c>
      <c r="U2219">
        <v>22.375402579999999</v>
      </c>
    </row>
    <row r="2220" spans="1:21" x14ac:dyDescent="0.25">
      <c r="A2220" t="s">
        <v>75</v>
      </c>
      <c r="B2220" t="s">
        <v>851</v>
      </c>
      <c r="C2220">
        <v>10</v>
      </c>
      <c r="D2220" t="s">
        <v>29</v>
      </c>
      <c r="E2220" t="s">
        <v>94</v>
      </c>
      <c r="F2220" t="s">
        <v>103</v>
      </c>
      <c r="G2220" t="s">
        <v>121</v>
      </c>
      <c r="H2220" t="s">
        <v>105</v>
      </c>
      <c r="J2220">
        <v>0</v>
      </c>
      <c r="K2220">
        <v>1</v>
      </c>
      <c r="L2220">
        <v>98.291666669999998</v>
      </c>
      <c r="M2220">
        <v>30.315130790000001</v>
      </c>
      <c r="N2220">
        <v>5.0803484000000003E-2</v>
      </c>
      <c r="O2220">
        <v>0.42866070000000001</v>
      </c>
      <c r="P2220">
        <v>67.5</v>
      </c>
      <c r="Q2220">
        <v>47.937235809999997</v>
      </c>
      <c r="R2220">
        <v>0.41599678000000001</v>
      </c>
      <c r="S2220">
        <v>2.0950346999999998</v>
      </c>
      <c r="T2220" t="s">
        <v>1017</v>
      </c>
      <c r="U2220">
        <v>17.622105019999999</v>
      </c>
    </row>
    <row r="2221" spans="1:21" x14ac:dyDescent="0.25">
      <c r="A2221" t="s">
        <v>76</v>
      </c>
      <c r="B2221" t="s">
        <v>852</v>
      </c>
      <c r="C2221">
        <v>10</v>
      </c>
      <c r="D2221" t="s">
        <v>31</v>
      </c>
      <c r="E2221" t="s">
        <v>94</v>
      </c>
      <c r="F2221" t="s">
        <v>113</v>
      </c>
      <c r="G2221" t="s">
        <v>113</v>
      </c>
      <c r="H2221" t="s">
        <v>113</v>
      </c>
      <c r="J2221">
        <v>0</v>
      </c>
      <c r="K2221">
        <v>2</v>
      </c>
      <c r="L2221">
        <v>83.757575759999995</v>
      </c>
      <c r="M2221">
        <v>22.60997987</v>
      </c>
      <c r="N2221">
        <v>0.72884000000000004</v>
      </c>
      <c r="O2221">
        <v>0.21301339999999999</v>
      </c>
      <c r="P2221">
        <v>83.757575759999995</v>
      </c>
      <c r="Q2221">
        <v>22.60997987</v>
      </c>
      <c r="R2221">
        <v>0.72884000000000004</v>
      </c>
      <c r="S2221">
        <v>0.21301339999999999</v>
      </c>
      <c r="T2221" t="s">
        <v>1017</v>
      </c>
      <c r="U2221">
        <v>0</v>
      </c>
    </row>
    <row r="2222" spans="1:21" x14ac:dyDescent="0.25">
      <c r="A2222" t="s">
        <v>76</v>
      </c>
      <c r="B2222" t="s">
        <v>852</v>
      </c>
      <c r="C2222">
        <v>10</v>
      </c>
      <c r="D2222" t="s">
        <v>31</v>
      </c>
      <c r="E2222" t="s">
        <v>94</v>
      </c>
      <c r="F2222" t="s">
        <v>113</v>
      </c>
      <c r="G2222" t="s">
        <v>113</v>
      </c>
      <c r="H2222" t="s">
        <v>113</v>
      </c>
      <c r="J2222">
        <v>0</v>
      </c>
      <c r="K2222">
        <v>2</v>
      </c>
      <c r="L2222">
        <v>83.757575759999995</v>
      </c>
      <c r="M2222">
        <v>22.60997987</v>
      </c>
      <c r="N2222">
        <v>0.72884000000000004</v>
      </c>
      <c r="O2222">
        <v>0.21301339999999999</v>
      </c>
      <c r="P2222">
        <v>83.757575759999995</v>
      </c>
      <c r="Q2222">
        <v>22.60997987</v>
      </c>
      <c r="R2222">
        <v>0.72884000000000004</v>
      </c>
      <c r="S2222">
        <v>0.21301339999999999</v>
      </c>
      <c r="T2222" t="s">
        <v>1017</v>
      </c>
      <c r="U2222">
        <v>0</v>
      </c>
    </row>
    <row r="2223" spans="1:21" x14ac:dyDescent="0.25">
      <c r="A2223" t="s">
        <v>76</v>
      </c>
      <c r="B2223" t="s">
        <v>852</v>
      </c>
      <c r="C2223">
        <v>10</v>
      </c>
      <c r="D2223" t="s">
        <v>31</v>
      </c>
      <c r="E2223" t="s">
        <v>94</v>
      </c>
      <c r="F2223" t="s">
        <v>113</v>
      </c>
      <c r="G2223" t="s">
        <v>113</v>
      </c>
      <c r="H2223" t="s">
        <v>238</v>
      </c>
      <c r="J2223">
        <v>0</v>
      </c>
      <c r="K2223">
        <v>1</v>
      </c>
      <c r="L2223">
        <v>83.757575759999995</v>
      </c>
      <c r="M2223">
        <v>22.60997987</v>
      </c>
      <c r="N2223">
        <v>0.72884000000000004</v>
      </c>
      <c r="O2223">
        <v>0.21301339999999999</v>
      </c>
      <c r="P2223">
        <v>87.5</v>
      </c>
      <c r="Q2223">
        <v>29.478311600000001</v>
      </c>
      <c r="R2223">
        <v>3.0797751000000002E-2</v>
      </c>
      <c r="S2223">
        <v>0.12931835</v>
      </c>
      <c r="T2223" t="s">
        <v>1017</v>
      </c>
      <c r="U2223">
        <v>6.8683317300000004</v>
      </c>
    </row>
    <row r="2224" spans="1:21" x14ac:dyDescent="0.25">
      <c r="A2224" t="s">
        <v>76</v>
      </c>
      <c r="B2224" t="s">
        <v>852</v>
      </c>
      <c r="C2224">
        <v>10</v>
      </c>
      <c r="D2224" t="s">
        <v>31</v>
      </c>
      <c r="E2224" t="s">
        <v>94</v>
      </c>
      <c r="F2224" t="s">
        <v>113</v>
      </c>
      <c r="G2224" t="s">
        <v>113</v>
      </c>
      <c r="H2224" t="s">
        <v>235</v>
      </c>
      <c r="J2224">
        <v>0</v>
      </c>
      <c r="K2224">
        <v>5</v>
      </c>
      <c r="L2224">
        <v>83.757575759999995</v>
      </c>
      <c r="M2224">
        <v>22.60997987</v>
      </c>
      <c r="N2224">
        <v>0.72884000000000004</v>
      </c>
      <c r="O2224">
        <v>0.21301339999999999</v>
      </c>
      <c r="P2224">
        <v>132.27272730000001</v>
      </c>
      <c r="Q2224">
        <v>20.180448590000001</v>
      </c>
      <c r="R2224">
        <v>3.7813451999999997E-2</v>
      </c>
      <c r="S2224">
        <v>0.41404401000000002</v>
      </c>
      <c r="T2224" t="s">
        <v>1017</v>
      </c>
      <c r="U2224">
        <v>2.42953128</v>
      </c>
    </row>
    <row r="2225" spans="1:21" x14ac:dyDescent="0.25">
      <c r="A2225" t="s">
        <v>76</v>
      </c>
      <c r="B2225" t="s">
        <v>852</v>
      </c>
      <c r="C2225">
        <v>10</v>
      </c>
      <c r="D2225" t="s">
        <v>31</v>
      </c>
      <c r="E2225" t="s">
        <v>94</v>
      </c>
      <c r="F2225" t="s">
        <v>113</v>
      </c>
      <c r="G2225" t="s">
        <v>113</v>
      </c>
      <c r="H2225" t="s">
        <v>235</v>
      </c>
      <c r="J2225">
        <v>0</v>
      </c>
      <c r="K2225">
        <v>5</v>
      </c>
      <c r="L2225">
        <v>83.757575759999995</v>
      </c>
      <c r="M2225">
        <v>22.60997987</v>
      </c>
      <c r="N2225">
        <v>0.72884000000000004</v>
      </c>
      <c r="O2225">
        <v>0.21301339999999999</v>
      </c>
      <c r="P2225">
        <v>132.27272730000001</v>
      </c>
      <c r="Q2225">
        <v>20.180448590000001</v>
      </c>
      <c r="R2225">
        <v>3.7813451999999997E-2</v>
      </c>
      <c r="S2225">
        <v>0.41404401000000002</v>
      </c>
      <c r="T2225" t="s">
        <v>1017</v>
      </c>
      <c r="U2225">
        <v>2.42953128</v>
      </c>
    </row>
    <row r="2226" spans="1:21" x14ac:dyDescent="0.25">
      <c r="A2226" t="s">
        <v>76</v>
      </c>
      <c r="B2226" t="s">
        <v>852</v>
      </c>
      <c r="C2226">
        <v>10</v>
      </c>
      <c r="D2226" t="s">
        <v>31</v>
      </c>
      <c r="E2226" t="s">
        <v>94</v>
      </c>
      <c r="F2226" t="s">
        <v>113</v>
      </c>
      <c r="G2226" t="s">
        <v>113</v>
      </c>
      <c r="H2226" t="s">
        <v>235</v>
      </c>
      <c r="J2226">
        <v>0</v>
      </c>
      <c r="K2226">
        <v>5</v>
      </c>
      <c r="L2226">
        <v>83.757575759999995</v>
      </c>
      <c r="M2226">
        <v>22.60997987</v>
      </c>
      <c r="N2226">
        <v>0.72884000000000004</v>
      </c>
      <c r="O2226">
        <v>0.21301339999999999</v>
      </c>
      <c r="P2226">
        <v>132.27272730000001</v>
      </c>
      <c r="Q2226">
        <v>20.180448590000001</v>
      </c>
      <c r="R2226">
        <v>3.7813451999999997E-2</v>
      </c>
      <c r="S2226">
        <v>0.41404401000000002</v>
      </c>
      <c r="T2226" t="s">
        <v>1017</v>
      </c>
      <c r="U2226">
        <v>2.42953128</v>
      </c>
    </row>
    <row r="2227" spans="1:21" x14ac:dyDescent="0.25">
      <c r="A2227" t="s">
        <v>76</v>
      </c>
      <c r="B2227" t="s">
        <v>852</v>
      </c>
      <c r="C2227">
        <v>10</v>
      </c>
      <c r="D2227" t="s">
        <v>31</v>
      </c>
      <c r="E2227" t="s">
        <v>94</v>
      </c>
      <c r="F2227" t="s">
        <v>113</v>
      </c>
      <c r="G2227" t="s">
        <v>113</v>
      </c>
      <c r="H2227" t="s">
        <v>235</v>
      </c>
      <c r="J2227">
        <v>0</v>
      </c>
      <c r="K2227">
        <v>5</v>
      </c>
      <c r="L2227">
        <v>83.757575759999995</v>
      </c>
      <c r="M2227">
        <v>22.60997987</v>
      </c>
      <c r="N2227">
        <v>0.72884000000000004</v>
      </c>
      <c r="O2227">
        <v>0.21301339999999999</v>
      </c>
      <c r="P2227">
        <v>132.27272730000001</v>
      </c>
      <c r="Q2227">
        <v>20.180448590000001</v>
      </c>
      <c r="R2227">
        <v>3.7813451999999997E-2</v>
      </c>
      <c r="S2227">
        <v>0.41404401000000002</v>
      </c>
      <c r="T2227" t="s">
        <v>1017</v>
      </c>
      <c r="U2227">
        <v>2.42953128</v>
      </c>
    </row>
    <row r="2228" spans="1:21" x14ac:dyDescent="0.25">
      <c r="A2228" t="s">
        <v>76</v>
      </c>
      <c r="B2228" t="s">
        <v>852</v>
      </c>
      <c r="C2228">
        <v>10</v>
      </c>
      <c r="D2228" t="s">
        <v>31</v>
      </c>
      <c r="E2228" t="s">
        <v>94</v>
      </c>
      <c r="F2228" t="s">
        <v>113</v>
      </c>
      <c r="G2228" t="s">
        <v>113</v>
      </c>
      <c r="H2228" t="s">
        <v>235</v>
      </c>
      <c r="J2228">
        <v>0</v>
      </c>
      <c r="K2228">
        <v>5</v>
      </c>
      <c r="L2228">
        <v>83.757575759999995</v>
      </c>
      <c r="M2228">
        <v>22.60997987</v>
      </c>
      <c r="N2228">
        <v>0.72884000000000004</v>
      </c>
      <c r="O2228">
        <v>0.21301339999999999</v>
      </c>
      <c r="P2228">
        <v>132.27272730000001</v>
      </c>
      <c r="Q2228">
        <v>20.180448590000001</v>
      </c>
      <c r="R2228">
        <v>3.7813451999999997E-2</v>
      </c>
      <c r="S2228">
        <v>0.41404401000000002</v>
      </c>
      <c r="T2228" t="s">
        <v>1017</v>
      </c>
      <c r="U2228">
        <v>2.42953128</v>
      </c>
    </row>
    <row r="2229" spans="1:21" x14ac:dyDescent="0.25">
      <c r="A2229" t="s">
        <v>77</v>
      </c>
      <c r="B2229" t="s">
        <v>853</v>
      </c>
      <c r="C2229">
        <v>10</v>
      </c>
      <c r="D2229" t="s">
        <v>33</v>
      </c>
      <c r="E2229" t="s">
        <v>94</v>
      </c>
      <c r="F2229" t="s">
        <v>102</v>
      </c>
      <c r="G2229" t="s">
        <v>110</v>
      </c>
      <c r="H2229" t="s">
        <v>110</v>
      </c>
      <c r="J2229">
        <v>0</v>
      </c>
      <c r="K2229">
        <v>1</v>
      </c>
      <c r="L2229">
        <v>84.740740740000007</v>
      </c>
      <c r="M2229">
        <v>29.167014049999999</v>
      </c>
      <c r="N2229">
        <v>1.1169849999999999</v>
      </c>
      <c r="O2229">
        <v>1.1571499000000001</v>
      </c>
      <c r="P2229">
        <v>73.260869569999997</v>
      </c>
      <c r="Q2229">
        <v>34.453830549999999</v>
      </c>
      <c r="R2229">
        <v>1.058333333</v>
      </c>
      <c r="S2229">
        <v>0.90897070000000002</v>
      </c>
      <c r="T2229" t="s">
        <v>1017</v>
      </c>
      <c r="U2229">
        <v>5.2868164999999996</v>
      </c>
    </row>
    <row r="2230" spans="1:21" x14ac:dyDescent="0.25">
      <c r="A2230" t="s">
        <v>77</v>
      </c>
      <c r="B2230" t="s">
        <v>853</v>
      </c>
      <c r="C2230">
        <v>10</v>
      </c>
      <c r="D2230" t="s">
        <v>33</v>
      </c>
      <c r="E2230" t="s">
        <v>94</v>
      </c>
      <c r="F2230" t="s">
        <v>102</v>
      </c>
      <c r="G2230" t="s">
        <v>110</v>
      </c>
      <c r="H2230" t="s">
        <v>162</v>
      </c>
      <c r="J2230">
        <v>0</v>
      </c>
      <c r="K2230">
        <v>1</v>
      </c>
      <c r="L2230">
        <v>84.740740740000007</v>
      </c>
      <c r="M2230">
        <v>29.167014049999999</v>
      </c>
      <c r="N2230">
        <v>1.1169849999999999</v>
      </c>
      <c r="O2230">
        <v>1.1571499000000001</v>
      </c>
      <c r="P2230">
        <v>82.53846154</v>
      </c>
      <c r="Q2230">
        <v>35.660530039999998</v>
      </c>
      <c r="R2230">
        <v>3.3754499999999998</v>
      </c>
      <c r="S2230" t="s">
        <v>114</v>
      </c>
      <c r="T2230" t="s">
        <v>1017</v>
      </c>
      <c r="U2230">
        <v>6.4935159899999997</v>
      </c>
    </row>
    <row r="2231" spans="1:21" x14ac:dyDescent="0.25">
      <c r="A2231" t="s">
        <v>77</v>
      </c>
      <c r="B2231" t="s">
        <v>854</v>
      </c>
      <c r="C2231">
        <v>10</v>
      </c>
      <c r="D2231" t="s">
        <v>33</v>
      </c>
      <c r="E2231" t="s">
        <v>94</v>
      </c>
      <c r="F2231" t="s">
        <v>110</v>
      </c>
      <c r="G2231" t="s">
        <v>110</v>
      </c>
      <c r="H2231" t="s">
        <v>110</v>
      </c>
      <c r="J2231">
        <v>0</v>
      </c>
      <c r="K2231">
        <v>3</v>
      </c>
      <c r="L2231">
        <v>73.260869569999997</v>
      </c>
      <c r="M2231">
        <v>34.453830549999999</v>
      </c>
      <c r="N2231">
        <v>1.058333333</v>
      </c>
      <c r="O2231">
        <v>0.90897070000000002</v>
      </c>
      <c r="P2231">
        <v>73.260869569999997</v>
      </c>
      <c r="Q2231">
        <v>34.453830549999999</v>
      </c>
      <c r="R2231">
        <v>1.058333333</v>
      </c>
      <c r="S2231">
        <v>0.90897070000000002</v>
      </c>
      <c r="T2231" t="s">
        <v>1017</v>
      </c>
      <c r="U2231">
        <v>0</v>
      </c>
    </row>
    <row r="2232" spans="1:21" x14ac:dyDescent="0.25">
      <c r="A2232" t="s">
        <v>77</v>
      </c>
      <c r="B2232" t="s">
        <v>854</v>
      </c>
      <c r="C2232">
        <v>10</v>
      </c>
      <c r="D2232" t="s">
        <v>33</v>
      </c>
      <c r="E2232" t="s">
        <v>94</v>
      </c>
      <c r="F2232" t="s">
        <v>110</v>
      </c>
      <c r="G2232" t="s">
        <v>110</v>
      </c>
      <c r="H2232" t="s">
        <v>110</v>
      </c>
      <c r="J2232">
        <v>0</v>
      </c>
      <c r="K2232">
        <v>3</v>
      </c>
      <c r="L2232">
        <v>73.260869569999997</v>
      </c>
      <c r="M2232">
        <v>34.453830549999999</v>
      </c>
      <c r="N2232">
        <v>1.058333333</v>
      </c>
      <c r="O2232">
        <v>0.90897070000000002</v>
      </c>
      <c r="P2232">
        <v>73.260869569999997</v>
      </c>
      <c r="Q2232">
        <v>34.453830549999999</v>
      </c>
      <c r="R2232">
        <v>1.058333333</v>
      </c>
      <c r="S2232">
        <v>0.90897070000000002</v>
      </c>
      <c r="T2232" t="s">
        <v>1017</v>
      </c>
      <c r="U2232">
        <v>0</v>
      </c>
    </row>
    <row r="2233" spans="1:21" x14ac:dyDescent="0.25">
      <c r="A2233" t="s">
        <v>77</v>
      </c>
      <c r="B2233" t="s">
        <v>854</v>
      </c>
      <c r="C2233">
        <v>10</v>
      </c>
      <c r="D2233" t="s">
        <v>33</v>
      </c>
      <c r="E2233" t="s">
        <v>94</v>
      </c>
      <c r="F2233" t="s">
        <v>110</v>
      </c>
      <c r="G2233" t="s">
        <v>110</v>
      </c>
      <c r="H2233" t="s">
        <v>110</v>
      </c>
      <c r="J2233">
        <v>0</v>
      </c>
      <c r="K2233">
        <v>3</v>
      </c>
      <c r="L2233">
        <v>73.260869569999997</v>
      </c>
      <c r="M2233">
        <v>34.453830549999999</v>
      </c>
      <c r="N2233">
        <v>1.058333333</v>
      </c>
      <c r="O2233">
        <v>0.90897070000000002</v>
      </c>
      <c r="P2233">
        <v>73.260869569999997</v>
      </c>
      <c r="Q2233">
        <v>34.453830549999999</v>
      </c>
      <c r="R2233">
        <v>1.058333333</v>
      </c>
      <c r="S2233">
        <v>0.90897070000000002</v>
      </c>
      <c r="T2233" t="s">
        <v>1017</v>
      </c>
      <c r="U2233">
        <v>0</v>
      </c>
    </row>
    <row r="2234" spans="1:21" x14ac:dyDescent="0.25">
      <c r="A2234" t="s">
        <v>78</v>
      </c>
      <c r="B2234" t="s">
        <v>855</v>
      </c>
      <c r="C2234">
        <v>10</v>
      </c>
      <c r="D2234" t="s">
        <v>35</v>
      </c>
      <c r="E2234" t="s">
        <v>94</v>
      </c>
      <c r="F2234" t="s">
        <v>111</v>
      </c>
      <c r="G2234" t="s">
        <v>121</v>
      </c>
      <c r="H2234" t="s">
        <v>114</v>
      </c>
      <c r="J2234">
        <v>0</v>
      </c>
      <c r="K2234">
        <v>0</v>
      </c>
      <c r="L2234">
        <v>94.97142857</v>
      </c>
      <c r="M2234">
        <v>24.31591813</v>
      </c>
      <c r="N2234">
        <v>0.122951111</v>
      </c>
      <c r="O2234">
        <v>0.39050790000000002</v>
      </c>
      <c r="P2234" t="s">
        <v>114</v>
      </c>
      <c r="Q2234" t="s">
        <v>114</v>
      </c>
      <c r="R2234" t="s">
        <v>114</v>
      </c>
      <c r="S2234" t="s">
        <v>114</v>
      </c>
      <c r="T2234" t="s">
        <v>1017</v>
      </c>
      <c r="U2234" t="s">
        <v>114</v>
      </c>
    </row>
    <row r="2235" spans="1:21" x14ac:dyDescent="0.25">
      <c r="A2235" t="s">
        <v>50</v>
      </c>
      <c r="B2235" t="s">
        <v>856</v>
      </c>
      <c r="C2235">
        <v>12</v>
      </c>
      <c r="D2235" t="s">
        <v>11</v>
      </c>
      <c r="E2235" t="s">
        <v>95</v>
      </c>
      <c r="F2235" t="s">
        <v>113</v>
      </c>
      <c r="G2235" t="s">
        <v>113</v>
      </c>
      <c r="H2235" t="s">
        <v>113</v>
      </c>
      <c r="J2235">
        <v>0</v>
      </c>
      <c r="K2235">
        <v>6</v>
      </c>
      <c r="L2235">
        <v>83.757575759999995</v>
      </c>
      <c r="M2235">
        <v>22.60997987</v>
      </c>
      <c r="N2235">
        <v>0.72884000000000004</v>
      </c>
      <c r="O2235">
        <v>0.21301339999999999</v>
      </c>
      <c r="P2235">
        <v>83.757575759999995</v>
      </c>
      <c r="Q2235">
        <v>22.60997987</v>
      </c>
      <c r="R2235">
        <v>0.72884000000000004</v>
      </c>
      <c r="S2235">
        <v>0.21301339999999999</v>
      </c>
      <c r="T2235" t="s">
        <v>1017</v>
      </c>
      <c r="U2235">
        <v>0</v>
      </c>
    </row>
    <row r="2236" spans="1:21" x14ac:dyDescent="0.25">
      <c r="A2236" t="s">
        <v>50</v>
      </c>
      <c r="B2236" t="s">
        <v>856</v>
      </c>
      <c r="C2236">
        <v>12</v>
      </c>
      <c r="D2236" t="s">
        <v>11</v>
      </c>
      <c r="E2236" t="s">
        <v>95</v>
      </c>
      <c r="F2236" t="s">
        <v>113</v>
      </c>
      <c r="G2236" t="s">
        <v>113</v>
      </c>
      <c r="H2236" t="s">
        <v>113</v>
      </c>
      <c r="J2236">
        <v>0</v>
      </c>
      <c r="K2236">
        <v>6</v>
      </c>
      <c r="L2236">
        <v>83.757575759999995</v>
      </c>
      <c r="M2236">
        <v>22.60997987</v>
      </c>
      <c r="N2236">
        <v>0.72884000000000004</v>
      </c>
      <c r="O2236">
        <v>0.21301339999999999</v>
      </c>
      <c r="P2236">
        <v>83.757575759999995</v>
      </c>
      <c r="Q2236">
        <v>22.60997987</v>
      </c>
      <c r="R2236">
        <v>0.72884000000000004</v>
      </c>
      <c r="S2236">
        <v>0.21301339999999999</v>
      </c>
      <c r="T2236" t="s">
        <v>1017</v>
      </c>
      <c r="U2236">
        <v>0</v>
      </c>
    </row>
    <row r="2237" spans="1:21" x14ac:dyDescent="0.25">
      <c r="A2237" t="s">
        <v>50</v>
      </c>
      <c r="B2237" t="s">
        <v>856</v>
      </c>
      <c r="C2237">
        <v>12</v>
      </c>
      <c r="D2237" t="s">
        <v>11</v>
      </c>
      <c r="E2237" t="s">
        <v>95</v>
      </c>
      <c r="F2237" t="s">
        <v>113</v>
      </c>
      <c r="G2237" t="s">
        <v>113</v>
      </c>
      <c r="H2237" t="s">
        <v>113</v>
      </c>
      <c r="J2237">
        <v>0</v>
      </c>
      <c r="K2237">
        <v>6</v>
      </c>
      <c r="L2237">
        <v>83.757575759999995</v>
      </c>
      <c r="M2237">
        <v>22.60997987</v>
      </c>
      <c r="N2237">
        <v>0.72884000000000004</v>
      </c>
      <c r="O2237">
        <v>0.21301339999999999</v>
      </c>
      <c r="P2237">
        <v>83.757575759999995</v>
      </c>
      <c r="Q2237">
        <v>22.60997987</v>
      </c>
      <c r="R2237">
        <v>0.72884000000000004</v>
      </c>
      <c r="S2237">
        <v>0.21301339999999999</v>
      </c>
      <c r="T2237" t="s">
        <v>1017</v>
      </c>
      <c r="U2237">
        <v>0</v>
      </c>
    </row>
    <row r="2238" spans="1:21" x14ac:dyDescent="0.25">
      <c r="A2238" t="s">
        <v>50</v>
      </c>
      <c r="B2238" t="s">
        <v>856</v>
      </c>
      <c r="C2238">
        <v>12</v>
      </c>
      <c r="D2238" t="s">
        <v>11</v>
      </c>
      <c r="E2238" t="s">
        <v>95</v>
      </c>
      <c r="F2238" t="s">
        <v>113</v>
      </c>
      <c r="G2238" t="s">
        <v>113</v>
      </c>
      <c r="H2238" t="s">
        <v>113</v>
      </c>
      <c r="J2238">
        <v>0</v>
      </c>
      <c r="K2238">
        <v>6</v>
      </c>
      <c r="L2238">
        <v>83.757575759999995</v>
      </c>
      <c r="M2238">
        <v>22.60997987</v>
      </c>
      <c r="N2238">
        <v>0.72884000000000004</v>
      </c>
      <c r="O2238">
        <v>0.21301339999999999</v>
      </c>
      <c r="P2238">
        <v>83.757575759999995</v>
      </c>
      <c r="Q2238">
        <v>22.60997987</v>
      </c>
      <c r="R2238">
        <v>0.72884000000000004</v>
      </c>
      <c r="S2238">
        <v>0.21301339999999999</v>
      </c>
      <c r="T2238" t="s">
        <v>1017</v>
      </c>
      <c r="U2238">
        <v>0</v>
      </c>
    </row>
    <row r="2239" spans="1:21" x14ac:dyDescent="0.25">
      <c r="A2239" t="s">
        <v>50</v>
      </c>
      <c r="B2239" t="s">
        <v>856</v>
      </c>
      <c r="C2239">
        <v>12</v>
      </c>
      <c r="D2239" t="s">
        <v>11</v>
      </c>
      <c r="E2239" t="s">
        <v>95</v>
      </c>
      <c r="F2239" t="s">
        <v>113</v>
      </c>
      <c r="G2239" t="s">
        <v>113</v>
      </c>
      <c r="H2239" t="s">
        <v>113</v>
      </c>
      <c r="J2239">
        <v>0</v>
      </c>
      <c r="K2239">
        <v>6</v>
      </c>
      <c r="L2239">
        <v>83.757575759999995</v>
      </c>
      <c r="M2239">
        <v>22.60997987</v>
      </c>
      <c r="N2239">
        <v>0.72884000000000004</v>
      </c>
      <c r="O2239">
        <v>0.21301339999999999</v>
      </c>
      <c r="P2239">
        <v>83.757575759999995</v>
      </c>
      <c r="Q2239">
        <v>22.60997987</v>
      </c>
      <c r="R2239">
        <v>0.72884000000000004</v>
      </c>
      <c r="S2239">
        <v>0.21301339999999999</v>
      </c>
      <c r="T2239" t="s">
        <v>1017</v>
      </c>
      <c r="U2239">
        <v>0</v>
      </c>
    </row>
    <row r="2240" spans="1:21" x14ac:dyDescent="0.25">
      <c r="A2240" t="s">
        <v>50</v>
      </c>
      <c r="B2240" t="s">
        <v>856</v>
      </c>
      <c r="C2240">
        <v>12</v>
      </c>
      <c r="D2240" t="s">
        <v>11</v>
      </c>
      <c r="E2240" t="s">
        <v>95</v>
      </c>
      <c r="F2240" t="s">
        <v>113</v>
      </c>
      <c r="G2240" t="s">
        <v>113</v>
      </c>
      <c r="H2240" t="s">
        <v>113</v>
      </c>
      <c r="J2240">
        <v>0</v>
      </c>
      <c r="K2240">
        <v>6</v>
      </c>
      <c r="L2240">
        <v>83.757575759999995</v>
      </c>
      <c r="M2240">
        <v>22.60997987</v>
      </c>
      <c r="N2240">
        <v>0.72884000000000004</v>
      </c>
      <c r="O2240">
        <v>0.21301339999999999</v>
      </c>
      <c r="P2240">
        <v>83.757575759999995</v>
      </c>
      <c r="Q2240">
        <v>22.60997987</v>
      </c>
      <c r="R2240">
        <v>0.72884000000000004</v>
      </c>
      <c r="S2240">
        <v>0.21301339999999999</v>
      </c>
      <c r="T2240" t="s">
        <v>1017</v>
      </c>
      <c r="U2240">
        <v>0</v>
      </c>
    </row>
    <row r="2241" spans="1:21" x14ac:dyDescent="0.25">
      <c r="A2241" t="s">
        <v>50</v>
      </c>
      <c r="B2241" t="s">
        <v>856</v>
      </c>
      <c r="C2241">
        <v>12</v>
      </c>
      <c r="D2241" t="s">
        <v>11</v>
      </c>
      <c r="E2241" t="s">
        <v>95</v>
      </c>
      <c r="F2241" t="s">
        <v>113</v>
      </c>
      <c r="G2241" t="s">
        <v>113</v>
      </c>
      <c r="H2241" t="s">
        <v>238</v>
      </c>
      <c r="J2241">
        <v>0</v>
      </c>
      <c r="K2241">
        <v>1</v>
      </c>
      <c r="L2241">
        <v>83.757575759999995</v>
      </c>
      <c r="M2241">
        <v>22.60997987</v>
      </c>
      <c r="N2241">
        <v>0.72884000000000004</v>
      </c>
      <c r="O2241">
        <v>0.21301339999999999</v>
      </c>
      <c r="P2241">
        <v>87.5</v>
      </c>
      <c r="Q2241">
        <v>29.478311600000001</v>
      </c>
      <c r="R2241">
        <v>3.0797751000000002E-2</v>
      </c>
      <c r="S2241">
        <v>0.12931835</v>
      </c>
      <c r="T2241" t="s">
        <v>1017</v>
      </c>
      <c r="U2241">
        <v>6.8683317300000004</v>
      </c>
    </row>
    <row r="2242" spans="1:21" x14ac:dyDescent="0.25">
      <c r="A2242" t="s">
        <v>50</v>
      </c>
      <c r="B2242" t="s">
        <v>857</v>
      </c>
      <c r="C2242">
        <v>12</v>
      </c>
      <c r="D2242" t="s">
        <v>11</v>
      </c>
      <c r="E2242" t="s">
        <v>95</v>
      </c>
      <c r="F2242" t="s">
        <v>103</v>
      </c>
      <c r="G2242" t="s">
        <v>113</v>
      </c>
      <c r="H2242" t="s">
        <v>113</v>
      </c>
      <c r="J2242">
        <v>0</v>
      </c>
      <c r="K2242">
        <v>4</v>
      </c>
      <c r="L2242">
        <v>98.291666669999998</v>
      </c>
      <c r="M2242">
        <v>30.315130790000001</v>
      </c>
      <c r="N2242">
        <v>5.0803484000000003E-2</v>
      </c>
      <c r="O2242">
        <v>0.42866070000000001</v>
      </c>
      <c r="P2242">
        <v>83.757575759999995</v>
      </c>
      <c r="Q2242">
        <v>22.60997987</v>
      </c>
      <c r="R2242">
        <v>0.72884000000000004</v>
      </c>
      <c r="S2242">
        <v>0.21301339999999999</v>
      </c>
      <c r="T2242" t="s">
        <v>1017</v>
      </c>
      <c r="U2242">
        <v>7.7051509200000003</v>
      </c>
    </row>
    <row r="2243" spans="1:21" x14ac:dyDescent="0.25">
      <c r="A2243" t="s">
        <v>50</v>
      </c>
      <c r="B2243" t="s">
        <v>857</v>
      </c>
      <c r="C2243">
        <v>12</v>
      </c>
      <c r="D2243" t="s">
        <v>11</v>
      </c>
      <c r="E2243" t="s">
        <v>95</v>
      </c>
      <c r="F2243" t="s">
        <v>103</v>
      </c>
      <c r="G2243" t="s">
        <v>113</v>
      </c>
      <c r="H2243" t="s">
        <v>113</v>
      </c>
      <c r="J2243">
        <v>0</v>
      </c>
      <c r="K2243">
        <v>4</v>
      </c>
      <c r="L2243">
        <v>98.291666669999998</v>
      </c>
      <c r="M2243">
        <v>30.315130790000001</v>
      </c>
      <c r="N2243">
        <v>5.0803484000000003E-2</v>
      </c>
      <c r="O2243">
        <v>0.42866070000000001</v>
      </c>
      <c r="P2243">
        <v>83.757575759999995</v>
      </c>
      <c r="Q2243">
        <v>22.60997987</v>
      </c>
      <c r="R2243">
        <v>0.72884000000000004</v>
      </c>
      <c r="S2243">
        <v>0.21301339999999999</v>
      </c>
      <c r="T2243" t="s">
        <v>1017</v>
      </c>
      <c r="U2243">
        <v>7.7051509200000003</v>
      </c>
    </row>
    <row r="2244" spans="1:21" x14ac:dyDescent="0.25">
      <c r="A2244" t="s">
        <v>50</v>
      </c>
      <c r="B2244" t="s">
        <v>857</v>
      </c>
      <c r="C2244">
        <v>12</v>
      </c>
      <c r="D2244" t="s">
        <v>11</v>
      </c>
      <c r="E2244" t="s">
        <v>95</v>
      </c>
      <c r="F2244" t="s">
        <v>103</v>
      </c>
      <c r="G2244" t="s">
        <v>113</v>
      </c>
      <c r="H2244" t="s">
        <v>113</v>
      </c>
      <c r="J2244">
        <v>0</v>
      </c>
      <c r="K2244">
        <v>4</v>
      </c>
      <c r="L2244">
        <v>98.291666669999998</v>
      </c>
      <c r="M2244">
        <v>30.315130790000001</v>
      </c>
      <c r="N2244">
        <v>5.0803484000000003E-2</v>
      </c>
      <c r="O2244">
        <v>0.42866070000000001</v>
      </c>
      <c r="P2244">
        <v>83.757575759999995</v>
      </c>
      <c r="Q2244">
        <v>22.60997987</v>
      </c>
      <c r="R2244">
        <v>0.72884000000000004</v>
      </c>
      <c r="S2244">
        <v>0.21301339999999999</v>
      </c>
      <c r="T2244" t="s">
        <v>1017</v>
      </c>
      <c r="U2244">
        <v>7.7051509200000003</v>
      </c>
    </row>
    <row r="2245" spans="1:21" x14ac:dyDescent="0.25">
      <c r="A2245" t="s">
        <v>50</v>
      </c>
      <c r="B2245" t="s">
        <v>857</v>
      </c>
      <c r="C2245">
        <v>12</v>
      </c>
      <c r="D2245" t="s">
        <v>11</v>
      </c>
      <c r="E2245" t="s">
        <v>95</v>
      </c>
      <c r="F2245" t="s">
        <v>103</v>
      </c>
      <c r="G2245" t="s">
        <v>113</v>
      </c>
      <c r="H2245" t="s">
        <v>113</v>
      </c>
      <c r="J2245">
        <v>0</v>
      </c>
      <c r="K2245">
        <v>4</v>
      </c>
      <c r="L2245">
        <v>98.291666669999998</v>
      </c>
      <c r="M2245">
        <v>30.315130790000001</v>
      </c>
      <c r="N2245">
        <v>5.0803484000000003E-2</v>
      </c>
      <c r="O2245">
        <v>0.42866070000000001</v>
      </c>
      <c r="P2245">
        <v>83.757575759999995</v>
      </c>
      <c r="Q2245">
        <v>22.60997987</v>
      </c>
      <c r="R2245">
        <v>0.72884000000000004</v>
      </c>
      <c r="S2245">
        <v>0.21301339999999999</v>
      </c>
      <c r="T2245" t="s">
        <v>1017</v>
      </c>
      <c r="U2245">
        <v>7.7051509200000003</v>
      </c>
    </row>
    <row r="2246" spans="1:21" x14ac:dyDescent="0.25">
      <c r="A2246" t="s">
        <v>50</v>
      </c>
      <c r="B2246" t="s">
        <v>857</v>
      </c>
      <c r="C2246">
        <v>12</v>
      </c>
      <c r="D2246" t="s">
        <v>11</v>
      </c>
      <c r="E2246" t="s">
        <v>95</v>
      </c>
      <c r="F2246" t="s">
        <v>103</v>
      </c>
      <c r="G2246" t="s">
        <v>113</v>
      </c>
      <c r="H2246" t="s">
        <v>242</v>
      </c>
      <c r="J2246">
        <v>0</v>
      </c>
      <c r="K2246">
        <v>3</v>
      </c>
      <c r="L2246">
        <v>98.291666669999998</v>
      </c>
      <c r="M2246">
        <v>30.315130790000001</v>
      </c>
      <c r="N2246">
        <v>5.0803484000000003E-2</v>
      </c>
      <c r="O2246">
        <v>0.42866070000000001</v>
      </c>
      <c r="P2246">
        <v>139.375</v>
      </c>
      <c r="Q2246">
        <v>23.713465920000001</v>
      </c>
      <c r="R2246" t="s">
        <v>114</v>
      </c>
      <c r="S2246" t="s">
        <v>114</v>
      </c>
      <c r="T2246" t="s">
        <v>1017</v>
      </c>
      <c r="U2246">
        <v>6.6016648699999996</v>
      </c>
    </row>
    <row r="2247" spans="1:21" x14ac:dyDescent="0.25">
      <c r="A2247" t="s">
        <v>50</v>
      </c>
      <c r="B2247" t="s">
        <v>857</v>
      </c>
      <c r="C2247">
        <v>12</v>
      </c>
      <c r="D2247" t="s">
        <v>11</v>
      </c>
      <c r="E2247" t="s">
        <v>95</v>
      </c>
      <c r="F2247" t="s">
        <v>103</v>
      </c>
      <c r="G2247" t="s">
        <v>113</v>
      </c>
      <c r="H2247" t="s">
        <v>242</v>
      </c>
      <c r="J2247">
        <v>0</v>
      </c>
      <c r="K2247">
        <v>3</v>
      </c>
      <c r="L2247">
        <v>98.291666669999998</v>
      </c>
      <c r="M2247">
        <v>30.315130790000001</v>
      </c>
      <c r="N2247">
        <v>5.0803484000000003E-2</v>
      </c>
      <c r="O2247">
        <v>0.42866070000000001</v>
      </c>
      <c r="P2247">
        <v>139.375</v>
      </c>
      <c r="Q2247">
        <v>23.713465920000001</v>
      </c>
      <c r="R2247" t="s">
        <v>114</v>
      </c>
      <c r="S2247" t="s">
        <v>114</v>
      </c>
      <c r="T2247" t="s">
        <v>1017</v>
      </c>
      <c r="U2247">
        <v>6.6016648699999996</v>
      </c>
    </row>
    <row r="2248" spans="1:21" x14ac:dyDescent="0.25">
      <c r="A2248" t="s">
        <v>50</v>
      </c>
      <c r="B2248" t="s">
        <v>857</v>
      </c>
      <c r="C2248">
        <v>12</v>
      </c>
      <c r="D2248" t="s">
        <v>11</v>
      </c>
      <c r="E2248" t="s">
        <v>95</v>
      </c>
      <c r="F2248" t="s">
        <v>103</v>
      </c>
      <c r="G2248" t="s">
        <v>113</v>
      </c>
      <c r="H2248" t="s">
        <v>242</v>
      </c>
      <c r="J2248">
        <v>0</v>
      </c>
      <c r="K2248">
        <v>3</v>
      </c>
      <c r="L2248">
        <v>98.291666669999998</v>
      </c>
      <c r="M2248">
        <v>30.315130790000001</v>
      </c>
      <c r="N2248">
        <v>5.0803484000000003E-2</v>
      </c>
      <c r="O2248">
        <v>0.42866070000000001</v>
      </c>
      <c r="P2248">
        <v>139.375</v>
      </c>
      <c r="Q2248">
        <v>23.713465920000001</v>
      </c>
      <c r="R2248" t="s">
        <v>114</v>
      </c>
      <c r="S2248" t="s">
        <v>114</v>
      </c>
      <c r="T2248" t="s">
        <v>1017</v>
      </c>
      <c r="U2248">
        <v>6.6016648699999996</v>
      </c>
    </row>
    <row r="2249" spans="1:21" x14ac:dyDescent="0.25">
      <c r="A2249" t="s">
        <v>50</v>
      </c>
      <c r="B2249" t="s">
        <v>858</v>
      </c>
      <c r="C2249">
        <v>12</v>
      </c>
      <c r="D2249" t="s">
        <v>11</v>
      </c>
      <c r="E2249" t="s">
        <v>95</v>
      </c>
      <c r="F2249" t="s">
        <v>111</v>
      </c>
      <c r="G2249" t="s">
        <v>113</v>
      </c>
      <c r="H2249" t="s">
        <v>113</v>
      </c>
      <c r="J2249">
        <v>0</v>
      </c>
      <c r="K2249">
        <v>3</v>
      </c>
      <c r="L2249">
        <v>94.97142857</v>
      </c>
      <c r="M2249">
        <v>24.31591813</v>
      </c>
      <c r="N2249">
        <v>0.122951111</v>
      </c>
      <c r="O2249">
        <v>0.39050790000000002</v>
      </c>
      <c r="P2249">
        <v>83.757575759999995</v>
      </c>
      <c r="Q2249">
        <v>22.60997987</v>
      </c>
      <c r="R2249">
        <v>0.72884000000000004</v>
      </c>
      <c r="S2249">
        <v>0.21301339999999999</v>
      </c>
      <c r="T2249" t="s">
        <v>1017</v>
      </c>
      <c r="U2249">
        <v>1.7059382599999999</v>
      </c>
    </row>
    <row r="2250" spans="1:21" x14ac:dyDescent="0.25">
      <c r="A2250" t="s">
        <v>50</v>
      </c>
      <c r="B2250" t="s">
        <v>858</v>
      </c>
      <c r="C2250">
        <v>12</v>
      </c>
      <c r="D2250" t="s">
        <v>11</v>
      </c>
      <c r="E2250" t="s">
        <v>95</v>
      </c>
      <c r="F2250" t="s">
        <v>111</v>
      </c>
      <c r="G2250" t="s">
        <v>113</v>
      </c>
      <c r="H2250" t="s">
        <v>113</v>
      </c>
      <c r="J2250">
        <v>0</v>
      </c>
      <c r="K2250">
        <v>3</v>
      </c>
      <c r="L2250">
        <v>94.97142857</v>
      </c>
      <c r="M2250">
        <v>24.31591813</v>
      </c>
      <c r="N2250">
        <v>0.122951111</v>
      </c>
      <c r="O2250">
        <v>0.39050790000000002</v>
      </c>
      <c r="P2250">
        <v>83.757575759999995</v>
      </c>
      <c r="Q2250">
        <v>22.60997987</v>
      </c>
      <c r="R2250">
        <v>0.72884000000000004</v>
      </c>
      <c r="S2250">
        <v>0.21301339999999999</v>
      </c>
      <c r="T2250" t="s">
        <v>1017</v>
      </c>
      <c r="U2250">
        <v>1.7059382599999999</v>
      </c>
    </row>
    <row r="2251" spans="1:21" x14ac:dyDescent="0.25">
      <c r="A2251" t="s">
        <v>50</v>
      </c>
      <c r="B2251" t="s">
        <v>858</v>
      </c>
      <c r="C2251">
        <v>12</v>
      </c>
      <c r="D2251" t="s">
        <v>11</v>
      </c>
      <c r="E2251" t="s">
        <v>95</v>
      </c>
      <c r="F2251" t="s">
        <v>111</v>
      </c>
      <c r="G2251" t="s">
        <v>113</v>
      </c>
      <c r="H2251" t="s">
        <v>113</v>
      </c>
      <c r="J2251">
        <v>0</v>
      </c>
      <c r="K2251">
        <v>3</v>
      </c>
      <c r="L2251">
        <v>94.97142857</v>
      </c>
      <c r="M2251">
        <v>24.31591813</v>
      </c>
      <c r="N2251">
        <v>0.122951111</v>
      </c>
      <c r="O2251">
        <v>0.39050790000000002</v>
      </c>
      <c r="P2251">
        <v>83.757575759999995</v>
      </c>
      <c r="Q2251">
        <v>22.60997987</v>
      </c>
      <c r="R2251">
        <v>0.72884000000000004</v>
      </c>
      <c r="S2251">
        <v>0.21301339999999999</v>
      </c>
      <c r="T2251" t="s">
        <v>1017</v>
      </c>
      <c r="U2251">
        <v>1.7059382599999999</v>
      </c>
    </row>
    <row r="2252" spans="1:21" x14ac:dyDescent="0.25">
      <c r="A2252" t="s">
        <v>50</v>
      </c>
      <c r="B2252" t="s">
        <v>858</v>
      </c>
      <c r="C2252">
        <v>12</v>
      </c>
      <c r="D2252" t="s">
        <v>11</v>
      </c>
      <c r="E2252" t="s">
        <v>95</v>
      </c>
      <c r="F2252" t="s">
        <v>111</v>
      </c>
      <c r="G2252" t="s">
        <v>113</v>
      </c>
      <c r="H2252" t="s">
        <v>242</v>
      </c>
      <c r="J2252">
        <v>0</v>
      </c>
      <c r="K2252">
        <v>2</v>
      </c>
      <c r="L2252">
        <v>94.97142857</v>
      </c>
      <c r="M2252">
        <v>24.31591813</v>
      </c>
      <c r="N2252">
        <v>0.122951111</v>
      </c>
      <c r="O2252">
        <v>0.39050790000000002</v>
      </c>
      <c r="P2252">
        <v>139.375</v>
      </c>
      <c r="Q2252">
        <v>23.713465920000001</v>
      </c>
      <c r="R2252" t="s">
        <v>114</v>
      </c>
      <c r="S2252" t="s">
        <v>114</v>
      </c>
      <c r="T2252" t="s">
        <v>1017</v>
      </c>
      <c r="U2252">
        <v>0.60245221000000004</v>
      </c>
    </row>
    <row r="2253" spans="1:21" x14ac:dyDescent="0.25">
      <c r="A2253" t="s">
        <v>50</v>
      </c>
      <c r="B2253" t="s">
        <v>858</v>
      </c>
      <c r="C2253">
        <v>12</v>
      </c>
      <c r="D2253" t="s">
        <v>11</v>
      </c>
      <c r="E2253" t="s">
        <v>95</v>
      </c>
      <c r="F2253" t="s">
        <v>111</v>
      </c>
      <c r="G2253" t="s">
        <v>113</v>
      </c>
      <c r="H2253" t="s">
        <v>242</v>
      </c>
      <c r="J2253">
        <v>0</v>
      </c>
      <c r="K2253">
        <v>2</v>
      </c>
      <c r="L2253">
        <v>94.97142857</v>
      </c>
      <c r="M2253">
        <v>24.31591813</v>
      </c>
      <c r="N2253">
        <v>0.122951111</v>
      </c>
      <c r="O2253">
        <v>0.39050790000000002</v>
      </c>
      <c r="P2253">
        <v>139.375</v>
      </c>
      <c r="Q2253">
        <v>23.713465920000001</v>
      </c>
      <c r="R2253" t="s">
        <v>114</v>
      </c>
      <c r="S2253" t="s">
        <v>114</v>
      </c>
      <c r="T2253" t="s">
        <v>1017</v>
      </c>
      <c r="U2253">
        <v>0.60245221000000004</v>
      </c>
    </row>
    <row r="2254" spans="1:21" x14ac:dyDescent="0.25">
      <c r="A2254" t="s">
        <v>50</v>
      </c>
      <c r="B2254" t="s">
        <v>859</v>
      </c>
      <c r="C2254">
        <v>12</v>
      </c>
      <c r="D2254" t="s">
        <v>11</v>
      </c>
      <c r="E2254" t="s">
        <v>95</v>
      </c>
      <c r="F2254" t="s">
        <v>104</v>
      </c>
      <c r="G2254" t="s">
        <v>121</v>
      </c>
      <c r="H2254" t="s">
        <v>103</v>
      </c>
      <c r="J2254">
        <v>0</v>
      </c>
      <c r="K2254">
        <v>1</v>
      </c>
      <c r="L2254">
        <v>113.9375</v>
      </c>
      <c r="M2254">
        <v>33.375507550000002</v>
      </c>
      <c r="N2254">
        <v>2.4262999999999999</v>
      </c>
      <c r="O2254">
        <v>0.40692159999999999</v>
      </c>
      <c r="P2254">
        <v>98.291666669999998</v>
      </c>
      <c r="Q2254">
        <v>30.315130790000001</v>
      </c>
      <c r="R2254">
        <v>5.0803484000000003E-2</v>
      </c>
      <c r="S2254">
        <v>0.42866070000000001</v>
      </c>
      <c r="T2254" t="s">
        <v>1017</v>
      </c>
      <c r="U2254">
        <v>3.06037676</v>
      </c>
    </row>
    <row r="2255" spans="1:21" x14ac:dyDescent="0.25">
      <c r="A2255" t="s">
        <v>50</v>
      </c>
      <c r="B2255" t="s">
        <v>859</v>
      </c>
      <c r="C2255">
        <v>12</v>
      </c>
      <c r="D2255" t="s">
        <v>11</v>
      </c>
      <c r="E2255" t="s">
        <v>95</v>
      </c>
      <c r="F2255" t="s">
        <v>104</v>
      </c>
      <c r="G2255" t="s">
        <v>121</v>
      </c>
      <c r="H2255" t="s">
        <v>238</v>
      </c>
      <c r="J2255">
        <v>0</v>
      </c>
      <c r="K2255">
        <v>1</v>
      </c>
      <c r="L2255">
        <v>113.9375</v>
      </c>
      <c r="M2255">
        <v>33.375507550000002</v>
      </c>
      <c r="N2255">
        <v>2.4262999999999999</v>
      </c>
      <c r="O2255">
        <v>0.40692159999999999</v>
      </c>
      <c r="P2255">
        <v>87.5</v>
      </c>
      <c r="Q2255">
        <v>29.478311600000001</v>
      </c>
      <c r="R2255">
        <v>3.0797751000000002E-2</v>
      </c>
      <c r="S2255">
        <v>0.12931835</v>
      </c>
      <c r="T2255" t="s">
        <v>1017</v>
      </c>
      <c r="U2255">
        <v>3.89719595</v>
      </c>
    </row>
    <row r="2256" spans="1:21" x14ac:dyDescent="0.25">
      <c r="A2256" t="s">
        <v>51</v>
      </c>
      <c r="B2256" t="s">
        <v>860</v>
      </c>
      <c r="C2256">
        <v>12</v>
      </c>
      <c r="D2256" t="s">
        <v>15</v>
      </c>
      <c r="E2256" t="s">
        <v>94</v>
      </c>
      <c r="F2256" t="s">
        <v>105</v>
      </c>
      <c r="G2256" t="s">
        <v>104</v>
      </c>
      <c r="H2256" t="s">
        <v>104</v>
      </c>
      <c r="J2256">
        <v>0</v>
      </c>
      <c r="K2256">
        <v>2</v>
      </c>
      <c r="L2256">
        <v>67.5</v>
      </c>
      <c r="M2256">
        <v>47.937235809999997</v>
      </c>
      <c r="N2256">
        <v>0.41599678000000001</v>
      </c>
      <c r="O2256">
        <v>2.0950346999999998</v>
      </c>
      <c r="P2256">
        <v>113.9375</v>
      </c>
      <c r="Q2256">
        <v>33.375507550000002</v>
      </c>
      <c r="R2256">
        <v>2.4262999999999999</v>
      </c>
      <c r="S2256">
        <v>0.40692159999999999</v>
      </c>
      <c r="T2256" t="s">
        <v>1017</v>
      </c>
      <c r="U2256">
        <v>14.561728260000001</v>
      </c>
    </row>
    <row r="2257" spans="1:21" x14ac:dyDescent="0.25">
      <c r="A2257" t="s">
        <v>51</v>
      </c>
      <c r="B2257" t="s">
        <v>860</v>
      </c>
      <c r="C2257">
        <v>12</v>
      </c>
      <c r="D2257" t="s">
        <v>15</v>
      </c>
      <c r="E2257" t="s">
        <v>94</v>
      </c>
      <c r="F2257" t="s">
        <v>105</v>
      </c>
      <c r="G2257" t="s">
        <v>104</v>
      </c>
      <c r="H2257" t="s">
        <v>104</v>
      </c>
      <c r="J2257">
        <v>0</v>
      </c>
      <c r="K2257">
        <v>2</v>
      </c>
      <c r="L2257">
        <v>67.5</v>
      </c>
      <c r="M2257">
        <v>47.937235809999997</v>
      </c>
      <c r="N2257">
        <v>0.41599678000000001</v>
      </c>
      <c r="O2257">
        <v>2.0950346999999998</v>
      </c>
      <c r="P2257">
        <v>113.9375</v>
      </c>
      <c r="Q2257">
        <v>33.375507550000002</v>
      </c>
      <c r="R2257">
        <v>2.4262999999999999</v>
      </c>
      <c r="S2257">
        <v>0.40692159999999999</v>
      </c>
      <c r="T2257" t="s">
        <v>1017</v>
      </c>
      <c r="U2257">
        <v>14.561728260000001</v>
      </c>
    </row>
    <row r="2258" spans="1:21" x14ac:dyDescent="0.25">
      <c r="A2258" t="s">
        <v>51</v>
      </c>
      <c r="B2258" t="s">
        <v>861</v>
      </c>
      <c r="C2258">
        <v>12</v>
      </c>
      <c r="D2258" t="s">
        <v>15</v>
      </c>
      <c r="E2258" t="s">
        <v>94</v>
      </c>
      <c r="F2258" t="s">
        <v>111</v>
      </c>
      <c r="G2258" t="s">
        <v>121</v>
      </c>
      <c r="H2258" t="s">
        <v>241</v>
      </c>
      <c r="J2258">
        <v>0</v>
      </c>
      <c r="K2258">
        <v>1</v>
      </c>
      <c r="L2258">
        <v>94.97142857</v>
      </c>
      <c r="M2258">
        <v>24.31591813</v>
      </c>
      <c r="N2258">
        <v>0.122951111</v>
      </c>
      <c r="O2258">
        <v>0.39050790000000002</v>
      </c>
      <c r="P2258">
        <v>114</v>
      </c>
      <c r="Q2258">
        <v>30.43077242</v>
      </c>
      <c r="R2258">
        <v>0.53383111100000002</v>
      </c>
      <c r="S2258">
        <v>0.28333332999999999</v>
      </c>
      <c r="T2258" t="s">
        <v>1017</v>
      </c>
      <c r="U2258">
        <v>6.1148542900000002</v>
      </c>
    </row>
    <row r="2259" spans="1:21" x14ac:dyDescent="0.25">
      <c r="A2259" t="s">
        <v>51</v>
      </c>
      <c r="B2259" t="s">
        <v>862</v>
      </c>
      <c r="C2259">
        <v>12</v>
      </c>
      <c r="D2259" t="s">
        <v>15</v>
      </c>
      <c r="E2259" t="s">
        <v>94</v>
      </c>
      <c r="F2259" t="s">
        <v>112</v>
      </c>
      <c r="G2259" t="s">
        <v>112</v>
      </c>
      <c r="H2259" t="s">
        <v>112</v>
      </c>
      <c r="J2259">
        <v>0</v>
      </c>
      <c r="K2259">
        <v>2</v>
      </c>
      <c r="L2259">
        <v>65.09375</v>
      </c>
      <c r="M2259">
        <v>37.895352600000002</v>
      </c>
      <c r="N2259">
        <v>2.2882677779999998</v>
      </c>
      <c r="O2259">
        <v>2.2111774</v>
      </c>
      <c r="P2259">
        <v>65.09375</v>
      </c>
      <c r="Q2259">
        <v>37.895352600000002</v>
      </c>
      <c r="R2259">
        <v>2.2882677779999998</v>
      </c>
      <c r="S2259">
        <v>2.2111774</v>
      </c>
      <c r="T2259" t="s">
        <v>1017</v>
      </c>
      <c r="U2259">
        <v>0</v>
      </c>
    </row>
    <row r="2260" spans="1:21" x14ac:dyDescent="0.25">
      <c r="A2260" t="s">
        <v>51</v>
      </c>
      <c r="B2260" t="s">
        <v>862</v>
      </c>
      <c r="C2260">
        <v>12</v>
      </c>
      <c r="D2260" t="s">
        <v>15</v>
      </c>
      <c r="E2260" t="s">
        <v>94</v>
      </c>
      <c r="F2260" t="s">
        <v>112</v>
      </c>
      <c r="G2260" t="s">
        <v>112</v>
      </c>
      <c r="H2260" t="s">
        <v>112</v>
      </c>
      <c r="J2260">
        <v>0</v>
      </c>
      <c r="K2260">
        <v>2</v>
      </c>
      <c r="L2260">
        <v>65.09375</v>
      </c>
      <c r="M2260">
        <v>37.895352600000002</v>
      </c>
      <c r="N2260">
        <v>2.2882677779999998</v>
      </c>
      <c r="O2260">
        <v>2.2111774</v>
      </c>
      <c r="P2260">
        <v>65.09375</v>
      </c>
      <c r="Q2260">
        <v>37.895352600000002</v>
      </c>
      <c r="R2260">
        <v>2.2882677779999998</v>
      </c>
      <c r="S2260">
        <v>2.2111774</v>
      </c>
      <c r="T2260" t="s">
        <v>1017</v>
      </c>
      <c r="U2260">
        <v>0</v>
      </c>
    </row>
    <row r="2261" spans="1:21" x14ac:dyDescent="0.25">
      <c r="A2261" t="s">
        <v>52</v>
      </c>
      <c r="B2261" t="s">
        <v>863</v>
      </c>
      <c r="C2261">
        <v>12</v>
      </c>
      <c r="D2261" t="s">
        <v>17</v>
      </c>
      <c r="E2261" t="s">
        <v>95</v>
      </c>
      <c r="F2261" t="s">
        <v>102</v>
      </c>
      <c r="G2261" t="s">
        <v>121</v>
      </c>
      <c r="H2261" t="s">
        <v>238</v>
      </c>
      <c r="J2261">
        <v>0</v>
      </c>
      <c r="K2261">
        <v>1</v>
      </c>
      <c r="L2261">
        <v>84.740740740000007</v>
      </c>
      <c r="M2261">
        <v>29.167014049999999</v>
      </c>
      <c r="N2261">
        <v>1.1169849999999999</v>
      </c>
      <c r="O2261">
        <v>1.1571499000000001</v>
      </c>
      <c r="P2261">
        <v>87.5</v>
      </c>
      <c r="Q2261">
        <v>29.478311600000001</v>
      </c>
      <c r="R2261">
        <v>3.0797751000000002E-2</v>
      </c>
      <c r="S2261">
        <v>0.12931835</v>
      </c>
      <c r="T2261" t="s">
        <v>1017</v>
      </c>
      <c r="U2261">
        <v>0.31129754999999998</v>
      </c>
    </row>
    <row r="2262" spans="1:21" x14ac:dyDescent="0.25">
      <c r="A2262" t="s">
        <v>52</v>
      </c>
      <c r="B2262" t="s">
        <v>863</v>
      </c>
      <c r="C2262">
        <v>12</v>
      </c>
      <c r="D2262" t="s">
        <v>17</v>
      </c>
      <c r="E2262" t="s">
        <v>95</v>
      </c>
      <c r="F2262" t="s">
        <v>102</v>
      </c>
      <c r="G2262" t="s">
        <v>121</v>
      </c>
      <c r="H2262" t="s">
        <v>113</v>
      </c>
      <c r="J2262">
        <v>0</v>
      </c>
      <c r="K2262">
        <v>1</v>
      </c>
      <c r="L2262">
        <v>84.740740740000007</v>
      </c>
      <c r="M2262">
        <v>29.167014049999999</v>
      </c>
      <c r="N2262">
        <v>1.1169849999999999</v>
      </c>
      <c r="O2262">
        <v>1.1571499000000001</v>
      </c>
      <c r="P2262">
        <v>83.757575759999995</v>
      </c>
      <c r="Q2262">
        <v>22.60997987</v>
      </c>
      <c r="R2262">
        <v>0.72884000000000004</v>
      </c>
      <c r="S2262">
        <v>0.21301339999999999</v>
      </c>
      <c r="T2262" t="s">
        <v>1017</v>
      </c>
      <c r="U2262">
        <v>6.5570341799999996</v>
      </c>
    </row>
    <row r="2263" spans="1:21" x14ac:dyDescent="0.25">
      <c r="A2263" t="s">
        <v>52</v>
      </c>
      <c r="B2263" t="s">
        <v>864</v>
      </c>
      <c r="C2263">
        <v>12</v>
      </c>
      <c r="D2263" t="s">
        <v>17</v>
      </c>
      <c r="E2263" t="s">
        <v>95</v>
      </c>
      <c r="F2263" t="s">
        <v>103</v>
      </c>
      <c r="G2263" t="s">
        <v>121</v>
      </c>
      <c r="H2263" t="s">
        <v>234</v>
      </c>
      <c r="J2263">
        <v>0</v>
      </c>
      <c r="K2263">
        <v>5</v>
      </c>
      <c r="L2263">
        <v>98.291666669999998</v>
      </c>
      <c r="M2263">
        <v>30.315130790000001</v>
      </c>
      <c r="N2263">
        <v>5.0803484000000003E-2</v>
      </c>
      <c r="O2263">
        <v>0.42866070000000001</v>
      </c>
      <c r="P2263">
        <v>89.8125</v>
      </c>
      <c r="Q2263">
        <v>34.754706650000003</v>
      </c>
      <c r="R2263">
        <v>2.3065078999999999E-2</v>
      </c>
      <c r="S2263">
        <v>2.4791666700000001</v>
      </c>
      <c r="T2263" t="s">
        <v>1017</v>
      </c>
      <c r="U2263">
        <v>4.4395758599999997</v>
      </c>
    </row>
    <row r="2264" spans="1:21" x14ac:dyDescent="0.25">
      <c r="A2264" t="s">
        <v>52</v>
      </c>
      <c r="B2264" t="s">
        <v>864</v>
      </c>
      <c r="C2264">
        <v>12</v>
      </c>
      <c r="D2264" t="s">
        <v>17</v>
      </c>
      <c r="E2264" t="s">
        <v>95</v>
      </c>
      <c r="F2264" t="s">
        <v>103</v>
      </c>
      <c r="G2264" t="s">
        <v>121</v>
      </c>
      <c r="H2264" t="s">
        <v>234</v>
      </c>
      <c r="J2264">
        <v>0</v>
      </c>
      <c r="K2264">
        <v>5</v>
      </c>
      <c r="L2264">
        <v>98.291666669999998</v>
      </c>
      <c r="M2264">
        <v>30.315130790000001</v>
      </c>
      <c r="N2264">
        <v>5.0803484000000003E-2</v>
      </c>
      <c r="O2264">
        <v>0.42866070000000001</v>
      </c>
      <c r="P2264">
        <v>89.8125</v>
      </c>
      <c r="Q2264">
        <v>34.754706650000003</v>
      </c>
      <c r="R2264">
        <v>2.3065078999999999E-2</v>
      </c>
      <c r="S2264">
        <v>2.4791666700000001</v>
      </c>
      <c r="T2264" t="s">
        <v>1017</v>
      </c>
      <c r="U2264">
        <v>4.4395758599999997</v>
      </c>
    </row>
    <row r="2265" spans="1:21" x14ac:dyDescent="0.25">
      <c r="A2265" t="s">
        <v>52</v>
      </c>
      <c r="B2265" t="s">
        <v>864</v>
      </c>
      <c r="C2265">
        <v>12</v>
      </c>
      <c r="D2265" t="s">
        <v>17</v>
      </c>
      <c r="E2265" t="s">
        <v>95</v>
      </c>
      <c r="F2265" t="s">
        <v>103</v>
      </c>
      <c r="G2265" t="s">
        <v>121</v>
      </c>
      <c r="H2265" t="s">
        <v>234</v>
      </c>
      <c r="J2265">
        <v>0</v>
      </c>
      <c r="K2265">
        <v>5</v>
      </c>
      <c r="L2265">
        <v>98.291666669999998</v>
      </c>
      <c r="M2265">
        <v>30.315130790000001</v>
      </c>
      <c r="N2265">
        <v>5.0803484000000003E-2</v>
      </c>
      <c r="O2265">
        <v>0.42866070000000001</v>
      </c>
      <c r="P2265">
        <v>89.8125</v>
      </c>
      <c r="Q2265">
        <v>34.754706650000003</v>
      </c>
      <c r="R2265">
        <v>2.3065078999999999E-2</v>
      </c>
      <c r="S2265">
        <v>2.4791666700000001</v>
      </c>
      <c r="T2265" t="s">
        <v>1017</v>
      </c>
      <c r="U2265">
        <v>4.4395758599999997</v>
      </c>
    </row>
    <row r="2266" spans="1:21" x14ac:dyDescent="0.25">
      <c r="A2266" t="s">
        <v>52</v>
      </c>
      <c r="B2266" t="s">
        <v>864</v>
      </c>
      <c r="C2266">
        <v>12</v>
      </c>
      <c r="D2266" t="s">
        <v>17</v>
      </c>
      <c r="E2266" t="s">
        <v>95</v>
      </c>
      <c r="F2266" t="s">
        <v>103</v>
      </c>
      <c r="G2266" t="s">
        <v>121</v>
      </c>
      <c r="H2266" t="s">
        <v>234</v>
      </c>
      <c r="J2266">
        <v>0</v>
      </c>
      <c r="K2266">
        <v>5</v>
      </c>
      <c r="L2266">
        <v>98.291666669999998</v>
      </c>
      <c r="M2266">
        <v>30.315130790000001</v>
      </c>
      <c r="N2266">
        <v>5.0803484000000003E-2</v>
      </c>
      <c r="O2266">
        <v>0.42866070000000001</v>
      </c>
      <c r="P2266">
        <v>89.8125</v>
      </c>
      <c r="Q2266">
        <v>34.754706650000003</v>
      </c>
      <c r="R2266">
        <v>2.3065078999999999E-2</v>
      </c>
      <c r="S2266">
        <v>2.4791666700000001</v>
      </c>
      <c r="T2266" t="s">
        <v>1017</v>
      </c>
      <c r="U2266">
        <v>4.4395758599999997</v>
      </c>
    </row>
    <row r="2267" spans="1:21" x14ac:dyDescent="0.25">
      <c r="A2267" t="s">
        <v>52</v>
      </c>
      <c r="B2267" t="s">
        <v>864</v>
      </c>
      <c r="C2267">
        <v>12</v>
      </c>
      <c r="D2267" t="s">
        <v>17</v>
      </c>
      <c r="E2267" t="s">
        <v>95</v>
      </c>
      <c r="F2267" t="s">
        <v>103</v>
      </c>
      <c r="G2267" t="s">
        <v>121</v>
      </c>
      <c r="H2267" t="s">
        <v>234</v>
      </c>
      <c r="J2267">
        <v>0</v>
      </c>
      <c r="K2267">
        <v>5</v>
      </c>
      <c r="L2267">
        <v>98.291666669999998</v>
      </c>
      <c r="M2267">
        <v>30.315130790000001</v>
      </c>
      <c r="N2267">
        <v>5.0803484000000003E-2</v>
      </c>
      <c r="O2267">
        <v>0.42866070000000001</v>
      </c>
      <c r="P2267">
        <v>89.8125</v>
      </c>
      <c r="Q2267">
        <v>34.754706650000003</v>
      </c>
      <c r="R2267">
        <v>2.3065078999999999E-2</v>
      </c>
      <c r="S2267">
        <v>2.4791666700000001</v>
      </c>
      <c r="T2267" t="s">
        <v>1017</v>
      </c>
      <c r="U2267">
        <v>4.4395758599999997</v>
      </c>
    </row>
    <row r="2268" spans="1:21" x14ac:dyDescent="0.25">
      <c r="A2268" t="s">
        <v>52</v>
      </c>
      <c r="B2268" t="s">
        <v>865</v>
      </c>
      <c r="C2268">
        <v>12</v>
      </c>
      <c r="D2268" t="s">
        <v>17</v>
      </c>
      <c r="E2268" t="s">
        <v>95</v>
      </c>
      <c r="F2268" t="s">
        <v>111</v>
      </c>
      <c r="G2268" t="s">
        <v>103</v>
      </c>
      <c r="H2268" t="s">
        <v>103</v>
      </c>
      <c r="J2268">
        <v>0</v>
      </c>
      <c r="K2268">
        <v>1</v>
      </c>
      <c r="L2268">
        <v>94.97142857</v>
      </c>
      <c r="M2268">
        <v>24.31591813</v>
      </c>
      <c r="N2268">
        <v>0.122951111</v>
      </c>
      <c r="O2268">
        <v>0.39050790000000002</v>
      </c>
      <c r="P2268">
        <v>98.291666669999998</v>
      </c>
      <c r="Q2268">
        <v>30.315130790000001</v>
      </c>
      <c r="R2268">
        <v>5.0803484000000003E-2</v>
      </c>
      <c r="S2268">
        <v>0.42866070000000001</v>
      </c>
      <c r="T2268" t="s">
        <v>1017</v>
      </c>
      <c r="U2268">
        <v>5.9992126600000004</v>
      </c>
    </row>
    <row r="2269" spans="1:21" x14ac:dyDescent="0.25">
      <c r="A2269" t="s">
        <v>52</v>
      </c>
      <c r="B2269" t="s">
        <v>866</v>
      </c>
      <c r="C2269">
        <v>12</v>
      </c>
      <c r="D2269" t="s">
        <v>17</v>
      </c>
      <c r="E2269" t="s">
        <v>95</v>
      </c>
      <c r="F2269" t="s">
        <v>112</v>
      </c>
      <c r="G2269" t="s">
        <v>121</v>
      </c>
      <c r="H2269" t="s">
        <v>235</v>
      </c>
      <c r="J2269">
        <v>0</v>
      </c>
      <c r="K2269">
        <v>1</v>
      </c>
      <c r="L2269">
        <v>65.09375</v>
      </c>
      <c r="M2269">
        <v>37.895352600000002</v>
      </c>
      <c r="N2269">
        <v>2.2882677779999998</v>
      </c>
      <c r="O2269">
        <v>2.2111774</v>
      </c>
      <c r="P2269">
        <v>132.27272730000001</v>
      </c>
      <c r="Q2269">
        <v>20.180448590000001</v>
      </c>
      <c r="R2269">
        <v>3.7813451999999997E-2</v>
      </c>
      <c r="S2269">
        <v>0.41404401000000002</v>
      </c>
      <c r="T2269" t="s">
        <v>1017</v>
      </c>
      <c r="U2269">
        <v>17.714904010000001</v>
      </c>
    </row>
    <row r="2270" spans="1:21" x14ac:dyDescent="0.25">
      <c r="A2270" t="s">
        <v>53</v>
      </c>
      <c r="B2270" t="s">
        <v>867</v>
      </c>
      <c r="C2270">
        <v>12</v>
      </c>
      <c r="D2270" t="s">
        <v>19</v>
      </c>
      <c r="E2270" t="s">
        <v>94</v>
      </c>
      <c r="F2270" t="s">
        <v>102</v>
      </c>
      <c r="G2270" t="s">
        <v>121</v>
      </c>
      <c r="H2270" t="s">
        <v>808</v>
      </c>
      <c r="J2270">
        <v>0</v>
      </c>
      <c r="K2270">
        <v>1</v>
      </c>
      <c r="L2270">
        <v>84.740740740000007</v>
      </c>
      <c r="M2270">
        <v>29.167014049999999</v>
      </c>
      <c r="N2270">
        <v>1.1169849999999999</v>
      </c>
      <c r="O2270">
        <v>1.1571499000000001</v>
      </c>
      <c r="P2270">
        <v>102.79166669999999</v>
      </c>
      <c r="Q2270">
        <v>27.057373470000002</v>
      </c>
      <c r="R2270">
        <v>6.3567849939999999</v>
      </c>
      <c r="S2270" t="s">
        <v>114</v>
      </c>
      <c r="T2270" t="s">
        <v>1017</v>
      </c>
      <c r="U2270">
        <v>2.1096405800000002</v>
      </c>
    </row>
    <row r="2271" spans="1:21" x14ac:dyDescent="0.25">
      <c r="A2271" t="s">
        <v>53</v>
      </c>
      <c r="B2271" t="s">
        <v>867</v>
      </c>
      <c r="C2271">
        <v>12</v>
      </c>
      <c r="D2271" t="s">
        <v>19</v>
      </c>
      <c r="E2271" t="s">
        <v>94</v>
      </c>
      <c r="F2271" t="s">
        <v>102</v>
      </c>
      <c r="G2271" t="s">
        <v>121</v>
      </c>
      <c r="H2271" t="s">
        <v>241</v>
      </c>
      <c r="J2271">
        <v>0</v>
      </c>
      <c r="K2271">
        <v>1</v>
      </c>
      <c r="L2271">
        <v>84.740740740000007</v>
      </c>
      <c r="M2271">
        <v>29.167014049999999</v>
      </c>
      <c r="N2271">
        <v>1.1169849999999999</v>
      </c>
      <c r="O2271">
        <v>1.1571499000000001</v>
      </c>
      <c r="P2271">
        <v>114</v>
      </c>
      <c r="Q2271">
        <v>30.43077242</v>
      </c>
      <c r="R2271">
        <v>0.53383111100000002</v>
      </c>
      <c r="S2271">
        <v>0.28333332999999999</v>
      </c>
      <c r="T2271" t="s">
        <v>1017</v>
      </c>
      <c r="U2271">
        <v>1.2637583699999999</v>
      </c>
    </row>
    <row r="2272" spans="1:21" x14ac:dyDescent="0.25">
      <c r="A2272" t="s">
        <v>53</v>
      </c>
      <c r="B2272" t="s">
        <v>868</v>
      </c>
      <c r="C2272">
        <v>12</v>
      </c>
      <c r="D2272" t="s">
        <v>19</v>
      </c>
      <c r="E2272" t="s">
        <v>94</v>
      </c>
      <c r="F2272" t="s">
        <v>113</v>
      </c>
      <c r="G2272" t="s">
        <v>121</v>
      </c>
      <c r="H2272" t="s">
        <v>103</v>
      </c>
      <c r="J2272">
        <v>0</v>
      </c>
      <c r="K2272">
        <v>1</v>
      </c>
      <c r="L2272">
        <v>83.757575759999995</v>
      </c>
      <c r="M2272">
        <v>22.60997987</v>
      </c>
      <c r="N2272">
        <v>0.72884000000000004</v>
      </c>
      <c r="O2272">
        <v>0.21301339999999999</v>
      </c>
      <c r="P2272">
        <v>98.291666669999998</v>
      </c>
      <c r="Q2272">
        <v>30.315130790000001</v>
      </c>
      <c r="R2272">
        <v>5.0803484000000003E-2</v>
      </c>
      <c r="S2272">
        <v>0.42866070000000001</v>
      </c>
      <c r="T2272" t="s">
        <v>1017</v>
      </c>
      <c r="U2272">
        <v>7.7051509200000003</v>
      </c>
    </row>
    <row r="2273" spans="1:21" x14ac:dyDescent="0.25">
      <c r="A2273" t="s">
        <v>53</v>
      </c>
      <c r="B2273" t="s">
        <v>868</v>
      </c>
      <c r="C2273">
        <v>12</v>
      </c>
      <c r="D2273" t="s">
        <v>19</v>
      </c>
      <c r="E2273" t="s">
        <v>94</v>
      </c>
      <c r="F2273" t="s">
        <v>113</v>
      </c>
      <c r="G2273" t="s">
        <v>121</v>
      </c>
      <c r="H2273" t="s">
        <v>238</v>
      </c>
      <c r="J2273">
        <v>0</v>
      </c>
      <c r="K2273">
        <v>1</v>
      </c>
      <c r="L2273">
        <v>83.757575759999995</v>
      </c>
      <c r="M2273">
        <v>22.60997987</v>
      </c>
      <c r="N2273">
        <v>0.72884000000000004</v>
      </c>
      <c r="O2273">
        <v>0.21301339999999999</v>
      </c>
      <c r="P2273">
        <v>87.5</v>
      </c>
      <c r="Q2273">
        <v>29.478311600000001</v>
      </c>
      <c r="R2273">
        <v>3.0797751000000002E-2</v>
      </c>
      <c r="S2273">
        <v>0.12931835</v>
      </c>
      <c r="T2273" t="s">
        <v>1017</v>
      </c>
      <c r="U2273">
        <v>6.8683317300000004</v>
      </c>
    </row>
    <row r="2274" spans="1:21" x14ac:dyDescent="0.25">
      <c r="A2274" t="s">
        <v>53</v>
      </c>
      <c r="B2274" t="s">
        <v>868</v>
      </c>
      <c r="C2274">
        <v>12</v>
      </c>
      <c r="D2274" t="s">
        <v>19</v>
      </c>
      <c r="E2274" t="s">
        <v>94</v>
      </c>
      <c r="F2274" t="s">
        <v>113</v>
      </c>
      <c r="G2274" t="s">
        <v>121</v>
      </c>
      <c r="H2274" t="s">
        <v>235</v>
      </c>
      <c r="J2274">
        <v>0</v>
      </c>
      <c r="K2274">
        <v>1</v>
      </c>
      <c r="L2274">
        <v>83.757575759999995</v>
      </c>
      <c r="M2274">
        <v>22.60997987</v>
      </c>
      <c r="N2274">
        <v>0.72884000000000004</v>
      </c>
      <c r="O2274">
        <v>0.21301339999999999</v>
      </c>
      <c r="P2274">
        <v>132.27272730000001</v>
      </c>
      <c r="Q2274">
        <v>20.180448590000001</v>
      </c>
      <c r="R2274">
        <v>3.7813451999999997E-2</v>
      </c>
      <c r="S2274">
        <v>0.41404401000000002</v>
      </c>
      <c r="T2274" t="s">
        <v>1017</v>
      </c>
      <c r="U2274">
        <v>2.42953128</v>
      </c>
    </row>
    <row r="2275" spans="1:21" x14ac:dyDescent="0.25">
      <c r="A2275" t="s">
        <v>53</v>
      </c>
      <c r="B2275" t="s">
        <v>868</v>
      </c>
      <c r="C2275">
        <v>12</v>
      </c>
      <c r="D2275" t="s">
        <v>19</v>
      </c>
      <c r="E2275" t="s">
        <v>94</v>
      </c>
      <c r="F2275" t="s">
        <v>113</v>
      </c>
      <c r="G2275" t="s">
        <v>121</v>
      </c>
      <c r="H2275" t="s">
        <v>241</v>
      </c>
      <c r="J2275">
        <v>0</v>
      </c>
      <c r="K2275">
        <v>2</v>
      </c>
      <c r="L2275">
        <v>83.757575759999995</v>
      </c>
      <c r="M2275">
        <v>22.60997987</v>
      </c>
      <c r="N2275">
        <v>0.72884000000000004</v>
      </c>
      <c r="O2275">
        <v>0.21301339999999999</v>
      </c>
      <c r="P2275">
        <v>114</v>
      </c>
      <c r="Q2275">
        <v>30.43077242</v>
      </c>
      <c r="R2275">
        <v>0.53383111100000002</v>
      </c>
      <c r="S2275">
        <v>0.28333332999999999</v>
      </c>
      <c r="T2275" t="s">
        <v>1017</v>
      </c>
      <c r="U2275">
        <v>7.8207925500000002</v>
      </c>
    </row>
    <row r="2276" spans="1:21" x14ac:dyDescent="0.25">
      <c r="A2276" t="s">
        <v>53</v>
      </c>
      <c r="B2276" t="s">
        <v>868</v>
      </c>
      <c r="C2276">
        <v>12</v>
      </c>
      <c r="D2276" t="s">
        <v>19</v>
      </c>
      <c r="E2276" t="s">
        <v>94</v>
      </c>
      <c r="F2276" t="s">
        <v>113</v>
      </c>
      <c r="G2276" t="s">
        <v>121</v>
      </c>
      <c r="H2276" t="s">
        <v>241</v>
      </c>
      <c r="J2276">
        <v>0</v>
      </c>
      <c r="K2276">
        <v>2</v>
      </c>
      <c r="L2276">
        <v>83.757575759999995</v>
      </c>
      <c r="M2276">
        <v>22.60997987</v>
      </c>
      <c r="N2276">
        <v>0.72884000000000004</v>
      </c>
      <c r="O2276">
        <v>0.21301339999999999</v>
      </c>
      <c r="P2276">
        <v>114</v>
      </c>
      <c r="Q2276">
        <v>30.43077242</v>
      </c>
      <c r="R2276">
        <v>0.53383111100000002</v>
      </c>
      <c r="S2276">
        <v>0.28333332999999999</v>
      </c>
      <c r="T2276" t="s">
        <v>1017</v>
      </c>
      <c r="U2276">
        <v>7.8207925500000002</v>
      </c>
    </row>
    <row r="2277" spans="1:21" x14ac:dyDescent="0.25">
      <c r="A2277" t="s">
        <v>53</v>
      </c>
      <c r="B2277" t="s">
        <v>868</v>
      </c>
      <c r="C2277">
        <v>12</v>
      </c>
      <c r="D2277" t="s">
        <v>19</v>
      </c>
      <c r="E2277" t="s">
        <v>94</v>
      </c>
      <c r="F2277" t="s">
        <v>113</v>
      </c>
      <c r="G2277" t="s">
        <v>121</v>
      </c>
      <c r="H2277" t="s">
        <v>242</v>
      </c>
      <c r="J2277">
        <v>0</v>
      </c>
      <c r="K2277">
        <v>1</v>
      </c>
      <c r="L2277">
        <v>83.757575759999995</v>
      </c>
      <c r="M2277">
        <v>22.60997987</v>
      </c>
      <c r="N2277">
        <v>0.72884000000000004</v>
      </c>
      <c r="O2277">
        <v>0.21301339999999999</v>
      </c>
      <c r="P2277">
        <v>139.375</v>
      </c>
      <c r="Q2277">
        <v>23.713465920000001</v>
      </c>
      <c r="R2277" t="s">
        <v>114</v>
      </c>
      <c r="S2277" t="s">
        <v>114</v>
      </c>
      <c r="T2277" t="s">
        <v>1017</v>
      </c>
      <c r="U2277">
        <v>1.1034860500000001</v>
      </c>
    </row>
    <row r="2278" spans="1:21" x14ac:dyDescent="0.25">
      <c r="A2278" t="s">
        <v>53</v>
      </c>
      <c r="B2278" t="s">
        <v>868</v>
      </c>
      <c r="C2278">
        <v>12</v>
      </c>
      <c r="D2278" t="s">
        <v>19</v>
      </c>
      <c r="E2278" t="s">
        <v>94</v>
      </c>
      <c r="F2278" t="s">
        <v>113</v>
      </c>
      <c r="G2278" t="s">
        <v>121</v>
      </c>
      <c r="H2278" t="s">
        <v>112</v>
      </c>
      <c r="J2278">
        <v>0</v>
      </c>
      <c r="K2278">
        <v>1</v>
      </c>
      <c r="L2278">
        <v>83.757575759999995</v>
      </c>
      <c r="M2278">
        <v>22.60997987</v>
      </c>
      <c r="N2278">
        <v>0.72884000000000004</v>
      </c>
      <c r="O2278">
        <v>0.21301339999999999</v>
      </c>
      <c r="P2278">
        <v>65.09375</v>
      </c>
      <c r="Q2278">
        <v>37.895352600000002</v>
      </c>
      <c r="R2278">
        <v>2.2882677779999998</v>
      </c>
      <c r="S2278">
        <v>2.2111774</v>
      </c>
      <c r="T2278" t="s">
        <v>1017</v>
      </c>
      <c r="U2278">
        <v>15.285372730000001</v>
      </c>
    </row>
    <row r="2279" spans="1:21" x14ac:dyDescent="0.25">
      <c r="A2279" t="s">
        <v>53</v>
      </c>
      <c r="B2279" t="s">
        <v>869</v>
      </c>
      <c r="C2279">
        <v>12</v>
      </c>
      <c r="D2279" t="s">
        <v>19</v>
      </c>
      <c r="E2279" t="s">
        <v>94</v>
      </c>
      <c r="F2279" t="s">
        <v>103</v>
      </c>
      <c r="G2279" t="s">
        <v>121</v>
      </c>
      <c r="H2279" t="s">
        <v>103</v>
      </c>
      <c r="J2279">
        <v>0</v>
      </c>
      <c r="K2279">
        <v>1</v>
      </c>
      <c r="L2279">
        <v>98.291666669999998</v>
      </c>
      <c r="M2279">
        <v>30.315130790000001</v>
      </c>
      <c r="N2279">
        <v>5.0803484000000003E-2</v>
      </c>
      <c r="O2279">
        <v>0.42866070000000001</v>
      </c>
      <c r="P2279">
        <v>98.291666669999998</v>
      </c>
      <c r="Q2279">
        <v>30.315130790000001</v>
      </c>
      <c r="R2279">
        <v>5.0803484000000003E-2</v>
      </c>
      <c r="S2279">
        <v>0.42866070000000001</v>
      </c>
      <c r="T2279" t="s">
        <v>1017</v>
      </c>
      <c r="U2279">
        <v>0</v>
      </c>
    </row>
    <row r="2280" spans="1:21" x14ac:dyDescent="0.25">
      <c r="A2280" t="s">
        <v>53</v>
      </c>
      <c r="B2280" t="s">
        <v>869</v>
      </c>
      <c r="C2280">
        <v>12</v>
      </c>
      <c r="D2280" t="s">
        <v>19</v>
      </c>
      <c r="E2280" t="s">
        <v>94</v>
      </c>
      <c r="F2280" t="s">
        <v>103</v>
      </c>
      <c r="G2280" t="s">
        <v>121</v>
      </c>
      <c r="H2280" t="s">
        <v>241</v>
      </c>
      <c r="J2280">
        <v>0</v>
      </c>
      <c r="K2280">
        <v>1</v>
      </c>
      <c r="L2280">
        <v>98.291666669999998</v>
      </c>
      <c r="M2280">
        <v>30.315130790000001</v>
      </c>
      <c r="N2280">
        <v>5.0803484000000003E-2</v>
      </c>
      <c r="O2280">
        <v>0.42866070000000001</v>
      </c>
      <c r="P2280">
        <v>114</v>
      </c>
      <c r="Q2280">
        <v>30.43077242</v>
      </c>
      <c r="R2280">
        <v>0.53383111100000002</v>
      </c>
      <c r="S2280">
        <v>0.28333332999999999</v>
      </c>
      <c r="T2280" t="s">
        <v>1017</v>
      </c>
      <c r="U2280">
        <v>0.11564163</v>
      </c>
    </row>
    <row r="2281" spans="1:21" x14ac:dyDescent="0.25">
      <c r="A2281" t="s">
        <v>53</v>
      </c>
      <c r="B2281" t="s">
        <v>870</v>
      </c>
      <c r="C2281">
        <v>12</v>
      </c>
      <c r="D2281" t="s">
        <v>19</v>
      </c>
      <c r="E2281" t="s">
        <v>94</v>
      </c>
      <c r="F2281" t="s">
        <v>112</v>
      </c>
      <c r="G2281" t="s">
        <v>121</v>
      </c>
      <c r="H2281" t="s">
        <v>114</v>
      </c>
      <c r="J2281">
        <v>0</v>
      </c>
      <c r="K2281">
        <v>0</v>
      </c>
      <c r="L2281">
        <v>65.09375</v>
      </c>
      <c r="M2281">
        <v>37.895352600000002</v>
      </c>
      <c r="N2281">
        <v>2.2882677779999998</v>
      </c>
      <c r="O2281">
        <v>2.2111774</v>
      </c>
      <c r="P2281" t="s">
        <v>114</v>
      </c>
      <c r="Q2281" t="s">
        <v>114</v>
      </c>
      <c r="R2281" t="s">
        <v>114</v>
      </c>
      <c r="S2281" t="s">
        <v>114</v>
      </c>
      <c r="T2281" t="s">
        <v>1017</v>
      </c>
      <c r="U2281" t="s">
        <v>114</v>
      </c>
    </row>
    <row r="2282" spans="1:21" x14ac:dyDescent="0.25">
      <c r="A2282" t="s">
        <v>54</v>
      </c>
      <c r="B2282" t="s">
        <v>871</v>
      </c>
      <c r="C2282">
        <v>12</v>
      </c>
      <c r="D2282" t="s">
        <v>21</v>
      </c>
      <c r="E2282" t="s">
        <v>95</v>
      </c>
      <c r="F2282" t="s">
        <v>113</v>
      </c>
      <c r="G2282" t="s">
        <v>121</v>
      </c>
      <c r="H2282" t="s">
        <v>241</v>
      </c>
      <c r="J2282">
        <v>0</v>
      </c>
      <c r="K2282">
        <v>2</v>
      </c>
      <c r="L2282">
        <v>83.757575759999995</v>
      </c>
      <c r="M2282">
        <v>22.60997987</v>
      </c>
      <c r="N2282">
        <v>0.72884000000000004</v>
      </c>
      <c r="O2282">
        <v>0.21301339999999999</v>
      </c>
      <c r="P2282">
        <v>114</v>
      </c>
      <c r="Q2282">
        <v>30.43077242</v>
      </c>
      <c r="R2282">
        <v>0.53383111100000002</v>
      </c>
      <c r="S2282">
        <v>0.28333332999999999</v>
      </c>
      <c r="T2282" t="s">
        <v>1017</v>
      </c>
      <c r="U2282">
        <v>7.8207925500000002</v>
      </c>
    </row>
    <row r="2283" spans="1:21" x14ac:dyDescent="0.25">
      <c r="A2283" t="s">
        <v>54</v>
      </c>
      <c r="B2283" t="s">
        <v>871</v>
      </c>
      <c r="C2283">
        <v>12</v>
      </c>
      <c r="D2283" t="s">
        <v>21</v>
      </c>
      <c r="E2283" t="s">
        <v>95</v>
      </c>
      <c r="F2283" t="s">
        <v>113</v>
      </c>
      <c r="G2283" t="s">
        <v>121</v>
      </c>
      <c r="H2283" t="s">
        <v>241</v>
      </c>
      <c r="J2283">
        <v>0</v>
      </c>
      <c r="K2283">
        <v>2</v>
      </c>
      <c r="L2283">
        <v>83.757575759999995</v>
      </c>
      <c r="M2283">
        <v>22.60997987</v>
      </c>
      <c r="N2283">
        <v>0.72884000000000004</v>
      </c>
      <c r="O2283">
        <v>0.21301339999999999</v>
      </c>
      <c r="P2283">
        <v>114</v>
      </c>
      <c r="Q2283">
        <v>30.43077242</v>
      </c>
      <c r="R2283">
        <v>0.53383111100000002</v>
      </c>
      <c r="S2283">
        <v>0.28333332999999999</v>
      </c>
      <c r="T2283" t="s">
        <v>1017</v>
      </c>
      <c r="U2283">
        <v>7.8207925500000002</v>
      </c>
    </row>
    <row r="2284" spans="1:21" x14ac:dyDescent="0.25">
      <c r="A2284" t="s">
        <v>54</v>
      </c>
      <c r="B2284" t="s">
        <v>872</v>
      </c>
      <c r="C2284">
        <v>12</v>
      </c>
      <c r="D2284" t="s">
        <v>21</v>
      </c>
      <c r="E2284" t="s">
        <v>95</v>
      </c>
      <c r="F2284" t="s">
        <v>110</v>
      </c>
      <c r="G2284" t="s">
        <v>121</v>
      </c>
      <c r="H2284" t="s">
        <v>241</v>
      </c>
      <c r="I2284" t="s">
        <v>162</v>
      </c>
      <c r="J2284">
        <v>1</v>
      </c>
      <c r="K2284">
        <v>2</v>
      </c>
      <c r="L2284">
        <v>73.260869569999997</v>
      </c>
      <c r="M2284">
        <v>34.453830549999999</v>
      </c>
      <c r="N2284">
        <v>1.058333333</v>
      </c>
      <c r="O2284">
        <v>0.90897070000000002</v>
      </c>
      <c r="P2284">
        <v>114</v>
      </c>
      <c r="Q2284">
        <v>30.43077242</v>
      </c>
      <c r="R2284">
        <v>0.53383111100000002</v>
      </c>
      <c r="S2284">
        <v>0.28333332999999999</v>
      </c>
      <c r="T2284" t="s">
        <v>1017</v>
      </c>
      <c r="U2284">
        <v>4.0230581299999999</v>
      </c>
    </row>
    <row r="2285" spans="1:21" x14ac:dyDescent="0.25">
      <c r="A2285" t="s">
        <v>54</v>
      </c>
      <c r="B2285" t="s">
        <v>872</v>
      </c>
      <c r="C2285">
        <v>12</v>
      </c>
      <c r="D2285" t="s">
        <v>21</v>
      </c>
      <c r="E2285" t="s">
        <v>95</v>
      </c>
      <c r="F2285" t="s">
        <v>110</v>
      </c>
      <c r="G2285" t="s">
        <v>121</v>
      </c>
      <c r="H2285" t="s">
        <v>241</v>
      </c>
      <c r="I2285" t="s">
        <v>162</v>
      </c>
      <c r="J2285">
        <v>1</v>
      </c>
      <c r="K2285">
        <v>2</v>
      </c>
      <c r="L2285">
        <v>73.260869569999997</v>
      </c>
      <c r="M2285">
        <v>34.453830549999999</v>
      </c>
      <c r="N2285">
        <v>1.058333333</v>
      </c>
      <c r="O2285">
        <v>0.90897070000000002</v>
      </c>
      <c r="P2285">
        <v>114</v>
      </c>
      <c r="Q2285">
        <v>30.43077242</v>
      </c>
      <c r="R2285">
        <v>0.53383111100000002</v>
      </c>
      <c r="S2285">
        <v>0.28333332999999999</v>
      </c>
      <c r="T2285" t="s">
        <v>1017</v>
      </c>
      <c r="U2285">
        <v>4.0230581299999999</v>
      </c>
    </row>
    <row r="2286" spans="1:21" x14ac:dyDescent="0.25">
      <c r="A2286" t="s">
        <v>54</v>
      </c>
      <c r="B2286" t="s">
        <v>873</v>
      </c>
      <c r="C2286">
        <v>12</v>
      </c>
      <c r="D2286" t="s">
        <v>21</v>
      </c>
      <c r="E2286" t="s">
        <v>95</v>
      </c>
      <c r="F2286" t="s">
        <v>111</v>
      </c>
      <c r="G2286" t="s">
        <v>121</v>
      </c>
      <c r="H2286" t="s">
        <v>162</v>
      </c>
      <c r="J2286">
        <v>0</v>
      </c>
      <c r="K2286">
        <v>1</v>
      </c>
      <c r="L2286">
        <v>94.97142857</v>
      </c>
      <c r="M2286">
        <v>24.31591813</v>
      </c>
      <c r="N2286">
        <v>0.122951111</v>
      </c>
      <c r="O2286">
        <v>0.39050790000000002</v>
      </c>
      <c r="P2286">
        <v>82.53846154</v>
      </c>
      <c r="Q2286">
        <v>35.660530039999998</v>
      </c>
      <c r="R2286">
        <v>3.3754499999999998</v>
      </c>
      <c r="S2286" t="s">
        <v>114</v>
      </c>
      <c r="T2286" t="s">
        <v>1017</v>
      </c>
      <c r="U2286">
        <v>11.344611909999999</v>
      </c>
    </row>
    <row r="2287" spans="1:21" x14ac:dyDescent="0.25">
      <c r="A2287" t="s">
        <v>55</v>
      </c>
      <c r="B2287" t="s">
        <v>874</v>
      </c>
      <c r="C2287">
        <v>12</v>
      </c>
      <c r="D2287" t="s">
        <v>23</v>
      </c>
      <c r="E2287" t="s">
        <v>94</v>
      </c>
      <c r="F2287" t="s">
        <v>113</v>
      </c>
      <c r="G2287" t="s">
        <v>110</v>
      </c>
      <c r="H2287" t="s">
        <v>238</v>
      </c>
      <c r="J2287">
        <v>0</v>
      </c>
      <c r="K2287">
        <v>1</v>
      </c>
      <c r="L2287">
        <v>83.757575759999995</v>
      </c>
      <c r="M2287">
        <v>22.60997987</v>
      </c>
      <c r="N2287">
        <v>0.72884000000000004</v>
      </c>
      <c r="O2287">
        <v>0.21301339999999999</v>
      </c>
      <c r="P2287">
        <v>87.5</v>
      </c>
      <c r="Q2287">
        <v>29.478311600000001</v>
      </c>
      <c r="R2287">
        <v>3.0797751000000002E-2</v>
      </c>
      <c r="S2287">
        <v>0.12931835</v>
      </c>
      <c r="T2287" t="s">
        <v>1017</v>
      </c>
      <c r="U2287">
        <v>6.8683317300000004</v>
      </c>
    </row>
    <row r="2288" spans="1:21" x14ac:dyDescent="0.25">
      <c r="A2288" t="s">
        <v>55</v>
      </c>
      <c r="B2288" t="s">
        <v>874</v>
      </c>
      <c r="C2288">
        <v>12</v>
      </c>
      <c r="D2288" t="s">
        <v>23</v>
      </c>
      <c r="E2288" t="s">
        <v>94</v>
      </c>
      <c r="F2288" t="s">
        <v>113</v>
      </c>
      <c r="G2288" t="s">
        <v>110</v>
      </c>
      <c r="H2288" t="s">
        <v>103</v>
      </c>
      <c r="J2288">
        <v>0</v>
      </c>
      <c r="K2288">
        <v>1</v>
      </c>
      <c r="L2288">
        <v>83.757575759999995</v>
      </c>
      <c r="M2288">
        <v>22.60997987</v>
      </c>
      <c r="N2288">
        <v>0.72884000000000004</v>
      </c>
      <c r="O2288">
        <v>0.21301339999999999</v>
      </c>
      <c r="P2288">
        <v>98.291666669999998</v>
      </c>
      <c r="Q2288">
        <v>30.315130790000001</v>
      </c>
      <c r="R2288">
        <v>5.0803484000000003E-2</v>
      </c>
      <c r="S2288">
        <v>0.42866070000000001</v>
      </c>
      <c r="T2288" t="s">
        <v>1017</v>
      </c>
      <c r="U2288">
        <v>7.7051509200000003</v>
      </c>
    </row>
    <row r="2289" spans="1:21" x14ac:dyDescent="0.25">
      <c r="A2289" t="s">
        <v>55</v>
      </c>
      <c r="B2289" t="s">
        <v>874</v>
      </c>
      <c r="C2289">
        <v>12</v>
      </c>
      <c r="D2289" t="s">
        <v>23</v>
      </c>
      <c r="E2289" t="s">
        <v>94</v>
      </c>
      <c r="F2289" t="s">
        <v>113</v>
      </c>
      <c r="G2289" t="s">
        <v>110</v>
      </c>
      <c r="H2289" t="s">
        <v>808</v>
      </c>
      <c r="J2289">
        <v>0</v>
      </c>
      <c r="K2289">
        <v>1</v>
      </c>
      <c r="L2289">
        <v>83.757575759999995</v>
      </c>
      <c r="M2289">
        <v>22.60997987</v>
      </c>
      <c r="N2289">
        <v>0.72884000000000004</v>
      </c>
      <c r="O2289">
        <v>0.21301339999999999</v>
      </c>
      <c r="P2289">
        <v>102.79166669999999</v>
      </c>
      <c r="Q2289">
        <v>27.057373470000002</v>
      </c>
      <c r="R2289">
        <v>6.3567849939999999</v>
      </c>
      <c r="S2289" t="s">
        <v>114</v>
      </c>
      <c r="T2289" t="s">
        <v>1017</v>
      </c>
      <c r="U2289">
        <v>4.4473935999999998</v>
      </c>
    </row>
    <row r="2290" spans="1:21" x14ac:dyDescent="0.25">
      <c r="A2290" t="s">
        <v>55</v>
      </c>
      <c r="B2290" t="s">
        <v>874</v>
      </c>
      <c r="C2290">
        <v>12</v>
      </c>
      <c r="D2290" t="s">
        <v>23</v>
      </c>
      <c r="E2290" t="s">
        <v>94</v>
      </c>
      <c r="F2290" t="s">
        <v>113</v>
      </c>
      <c r="G2290" t="s">
        <v>110</v>
      </c>
      <c r="H2290" t="s">
        <v>113</v>
      </c>
      <c r="J2290">
        <v>0</v>
      </c>
      <c r="K2290">
        <v>1</v>
      </c>
      <c r="L2290">
        <v>83.757575759999995</v>
      </c>
      <c r="M2290">
        <v>22.60997987</v>
      </c>
      <c r="N2290">
        <v>0.72884000000000004</v>
      </c>
      <c r="O2290">
        <v>0.21301339999999999</v>
      </c>
      <c r="P2290">
        <v>83.757575759999995</v>
      </c>
      <c r="Q2290">
        <v>22.60997987</v>
      </c>
      <c r="R2290">
        <v>0.72884000000000004</v>
      </c>
      <c r="S2290">
        <v>0.21301339999999999</v>
      </c>
      <c r="T2290" t="s">
        <v>1017</v>
      </c>
      <c r="U2290">
        <v>0</v>
      </c>
    </row>
    <row r="2291" spans="1:21" x14ac:dyDescent="0.25">
      <c r="A2291" t="s">
        <v>55</v>
      </c>
      <c r="B2291" t="s">
        <v>875</v>
      </c>
      <c r="C2291">
        <v>12</v>
      </c>
      <c r="D2291" t="s">
        <v>23</v>
      </c>
      <c r="E2291" t="s">
        <v>94</v>
      </c>
      <c r="F2291" t="s">
        <v>110</v>
      </c>
      <c r="G2291" t="s">
        <v>103</v>
      </c>
      <c r="H2291" t="s">
        <v>114</v>
      </c>
      <c r="J2291">
        <v>0</v>
      </c>
      <c r="K2291" t="s">
        <v>114</v>
      </c>
      <c r="L2291">
        <v>73.260869569999997</v>
      </c>
      <c r="M2291">
        <v>34.453830549999999</v>
      </c>
      <c r="N2291">
        <v>1.058333333</v>
      </c>
      <c r="O2291">
        <v>0.90897070000000002</v>
      </c>
      <c r="P2291" t="s">
        <v>114</v>
      </c>
      <c r="Q2291" t="s">
        <v>114</v>
      </c>
      <c r="R2291" t="s">
        <v>114</v>
      </c>
      <c r="S2291" t="s">
        <v>114</v>
      </c>
      <c r="T2291" t="s">
        <v>1017</v>
      </c>
      <c r="U2291" t="s">
        <v>114</v>
      </c>
    </row>
    <row r="2292" spans="1:21" x14ac:dyDescent="0.25">
      <c r="A2292" t="s">
        <v>55</v>
      </c>
      <c r="B2292" t="s">
        <v>876</v>
      </c>
      <c r="C2292">
        <v>12</v>
      </c>
      <c r="D2292" t="s">
        <v>23</v>
      </c>
      <c r="E2292" t="s">
        <v>94</v>
      </c>
      <c r="F2292" t="s">
        <v>103</v>
      </c>
      <c r="G2292" t="s">
        <v>103</v>
      </c>
      <c r="H2292" t="s">
        <v>114</v>
      </c>
      <c r="J2292">
        <v>0</v>
      </c>
      <c r="K2292" t="s">
        <v>114</v>
      </c>
      <c r="L2292">
        <v>98.291666669999998</v>
      </c>
      <c r="M2292">
        <v>30.315130790000001</v>
      </c>
      <c r="N2292">
        <v>5.0803484000000003E-2</v>
      </c>
      <c r="O2292">
        <v>0.42866070000000001</v>
      </c>
      <c r="P2292" t="s">
        <v>114</v>
      </c>
      <c r="Q2292" t="s">
        <v>114</v>
      </c>
      <c r="R2292" t="s">
        <v>114</v>
      </c>
      <c r="S2292" t="s">
        <v>114</v>
      </c>
      <c r="T2292" t="s">
        <v>1017</v>
      </c>
      <c r="U2292" t="s">
        <v>114</v>
      </c>
    </row>
    <row r="2293" spans="1:21" x14ac:dyDescent="0.25">
      <c r="A2293" t="s">
        <v>55</v>
      </c>
      <c r="B2293" t="s">
        <v>877</v>
      </c>
      <c r="C2293">
        <v>12</v>
      </c>
      <c r="D2293" t="s">
        <v>23</v>
      </c>
      <c r="E2293" t="s">
        <v>94</v>
      </c>
      <c r="F2293" t="s">
        <v>111</v>
      </c>
      <c r="G2293" t="s">
        <v>113</v>
      </c>
      <c r="H2293" t="s">
        <v>113</v>
      </c>
      <c r="J2293">
        <v>0</v>
      </c>
      <c r="K2293">
        <v>2</v>
      </c>
      <c r="L2293">
        <v>94.97142857</v>
      </c>
      <c r="M2293">
        <v>24.31591813</v>
      </c>
      <c r="N2293">
        <v>0.122951111</v>
      </c>
      <c r="O2293">
        <v>0.39050790000000002</v>
      </c>
      <c r="P2293">
        <v>83.757575759999995</v>
      </c>
      <c r="Q2293">
        <v>22.60997987</v>
      </c>
      <c r="R2293">
        <v>0.72884000000000004</v>
      </c>
      <c r="S2293">
        <v>0.21301339999999999</v>
      </c>
      <c r="T2293" t="s">
        <v>1017</v>
      </c>
      <c r="U2293">
        <v>1.7059382599999999</v>
      </c>
    </row>
    <row r="2294" spans="1:21" x14ac:dyDescent="0.25">
      <c r="A2294" t="s">
        <v>55</v>
      </c>
      <c r="B2294" t="s">
        <v>877</v>
      </c>
      <c r="C2294">
        <v>12</v>
      </c>
      <c r="D2294" t="s">
        <v>23</v>
      </c>
      <c r="E2294" t="s">
        <v>94</v>
      </c>
      <c r="F2294" t="s">
        <v>111</v>
      </c>
      <c r="G2294" t="s">
        <v>113</v>
      </c>
      <c r="H2294" t="s">
        <v>113</v>
      </c>
      <c r="J2294">
        <v>0</v>
      </c>
      <c r="K2294">
        <v>2</v>
      </c>
      <c r="L2294">
        <v>94.97142857</v>
      </c>
      <c r="M2294">
        <v>24.31591813</v>
      </c>
      <c r="N2294">
        <v>0.122951111</v>
      </c>
      <c r="O2294">
        <v>0.39050790000000002</v>
      </c>
      <c r="P2294">
        <v>83.757575759999995</v>
      </c>
      <c r="Q2294">
        <v>22.60997987</v>
      </c>
      <c r="R2294">
        <v>0.72884000000000004</v>
      </c>
      <c r="S2294">
        <v>0.21301339999999999</v>
      </c>
      <c r="T2294" t="s">
        <v>1017</v>
      </c>
      <c r="U2294">
        <v>1.7059382599999999</v>
      </c>
    </row>
    <row r="2295" spans="1:21" x14ac:dyDescent="0.25">
      <c r="A2295" t="s">
        <v>55</v>
      </c>
      <c r="B2295" t="s">
        <v>877</v>
      </c>
      <c r="C2295">
        <v>12</v>
      </c>
      <c r="D2295" t="s">
        <v>23</v>
      </c>
      <c r="E2295" t="s">
        <v>94</v>
      </c>
      <c r="F2295" t="s">
        <v>111</v>
      </c>
      <c r="G2295" t="s">
        <v>113</v>
      </c>
      <c r="H2295" t="s">
        <v>797</v>
      </c>
      <c r="J2295">
        <v>0</v>
      </c>
      <c r="K2295">
        <v>1</v>
      </c>
      <c r="L2295">
        <v>94.97142857</v>
      </c>
      <c r="M2295">
        <v>24.31591813</v>
      </c>
      <c r="N2295">
        <v>0.122951111</v>
      </c>
      <c r="O2295">
        <v>0.39050790000000002</v>
      </c>
      <c r="P2295">
        <v>179.45454549999999</v>
      </c>
      <c r="Q2295">
        <v>26.326869609999999</v>
      </c>
      <c r="R2295">
        <v>2.3456094639999998</v>
      </c>
      <c r="S2295">
        <v>0.18833116</v>
      </c>
      <c r="T2295" t="s">
        <v>1017</v>
      </c>
      <c r="U2295">
        <v>2.0109514800000001</v>
      </c>
    </row>
    <row r="2296" spans="1:21" x14ac:dyDescent="0.25">
      <c r="A2296" t="s">
        <v>56</v>
      </c>
      <c r="B2296" t="s">
        <v>878</v>
      </c>
      <c r="C2296">
        <v>12</v>
      </c>
      <c r="D2296" t="s">
        <v>25</v>
      </c>
      <c r="E2296" t="s">
        <v>94</v>
      </c>
      <c r="F2296" t="s">
        <v>113</v>
      </c>
      <c r="G2296" t="s">
        <v>113</v>
      </c>
      <c r="H2296" t="s">
        <v>113</v>
      </c>
      <c r="J2296">
        <v>0</v>
      </c>
      <c r="K2296">
        <v>3</v>
      </c>
      <c r="L2296">
        <v>83.757575759999995</v>
      </c>
      <c r="M2296">
        <v>22.60997987</v>
      </c>
      <c r="N2296">
        <v>0.72884000000000004</v>
      </c>
      <c r="O2296">
        <v>0.21301339999999999</v>
      </c>
      <c r="P2296">
        <v>83.757575759999995</v>
      </c>
      <c r="Q2296">
        <v>22.60997987</v>
      </c>
      <c r="R2296">
        <v>0.72884000000000004</v>
      </c>
      <c r="S2296">
        <v>0.21301339999999999</v>
      </c>
      <c r="T2296" t="s">
        <v>1017</v>
      </c>
      <c r="U2296">
        <v>0</v>
      </c>
    </row>
    <row r="2297" spans="1:21" x14ac:dyDescent="0.25">
      <c r="A2297" t="s">
        <v>56</v>
      </c>
      <c r="B2297" t="s">
        <v>878</v>
      </c>
      <c r="C2297">
        <v>12</v>
      </c>
      <c r="D2297" t="s">
        <v>25</v>
      </c>
      <c r="E2297" t="s">
        <v>94</v>
      </c>
      <c r="F2297" t="s">
        <v>113</v>
      </c>
      <c r="G2297" t="s">
        <v>113</v>
      </c>
      <c r="H2297" t="s">
        <v>113</v>
      </c>
      <c r="J2297">
        <v>0</v>
      </c>
      <c r="K2297">
        <v>3</v>
      </c>
      <c r="L2297">
        <v>83.757575759999995</v>
      </c>
      <c r="M2297">
        <v>22.60997987</v>
      </c>
      <c r="N2297">
        <v>0.72884000000000004</v>
      </c>
      <c r="O2297">
        <v>0.21301339999999999</v>
      </c>
      <c r="P2297">
        <v>83.757575759999995</v>
      </c>
      <c r="Q2297">
        <v>22.60997987</v>
      </c>
      <c r="R2297">
        <v>0.72884000000000004</v>
      </c>
      <c r="S2297">
        <v>0.21301339999999999</v>
      </c>
      <c r="T2297" t="s">
        <v>1017</v>
      </c>
      <c r="U2297">
        <v>0</v>
      </c>
    </row>
    <row r="2298" spans="1:21" x14ac:dyDescent="0.25">
      <c r="A2298" t="s">
        <v>56</v>
      </c>
      <c r="B2298" t="s">
        <v>878</v>
      </c>
      <c r="C2298">
        <v>12</v>
      </c>
      <c r="D2298" t="s">
        <v>25</v>
      </c>
      <c r="E2298" t="s">
        <v>94</v>
      </c>
      <c r="F2298" t="s">
        <v>113</v>
      </c>
      <c r="G2298" t="s">
        <v>113</v>
      </c>
      <c r="H2298" t="s">
        <v>113</v>
      </c>
      <c r="J2298">
        <v>0</v>
      </c>
      <c r="K2298">
        <v>3</v>
      </c>
      <c r="L2298">
        <v>83.757575759999995</v>
      </c>
      <c r="M2298">
        <v>22.60997987</v>
      </c>
      <c r="N2298">
        <v>0.72884000000000004</v>
      </c>
      <c r="O2298">
        <v>0.21301339999999999</v>
      </c>
      <c r="P2298">
        <v>83.757575759999995</v>
      </c>
      <c r="Q2298">
        <v>22.60997987</v>
      </c>
      <c r="R2298">
        <v>0.72884000000000004</v>
      </c>
      <c r="S2298">
        <v>0.21301339999999999</v>
      </c>
      <c r="T2298" t="s">
        <v>1017</v>
      </c>
      <c r="U2298">
        <v>0</v>
      </c>
    </row>
    <row r="2299" spans="1:21" x14ac:dyDescent="0.25">
      <c r="A2299" t="s">
        <v>56</v>
      </c>
      <c r="B2299" t="s">
        <v>879</v>
      </c>
      <c r="C2299">
        <v>12</v>
      </c>
      <c r="D2299" t="s">
        <v>25</v>
      </c>
      <c r="E2299" t="s">
        <v>94</v>
      </c>
      <c r="F2299" t="s">
        <v>111</v>
      </c>
      <c r="G2299" t="s">
        <v>121</v>
      </c>
      <c r="H2299" t="s">
        <v>112</v>
      </c>
      <c r="J2299">
        <v>0</v>
      </c>
      <c r="K2299">
        <v>1</v>
      </c>
      <c r="L2299">
        <v>94.97142857</v>
      </c>
      <c r="M2299">
        <v>24.31591813</v>
      </c>
      <c r="N2299">
        <v>0.122951111</v>
      </c>
      <c r="O2299">
        <v>0.39050790000000002</v>
      </c>
      <c r="P2299">
        <v>65.09375</v>
      </c>
      <c r="Q2299">
        <v>37.895352600000002</v>
      </c>
      <c r="R2299">
        <v>2.2882677779999998</v>
      </c>
      <c r="S2299">
        <v>2.2111774</v>
      </c>
      <c r="T2299" t="s">
        <v>1017</v>
      </c>
      <c r="U2299">
        <v>13.579434470000001</v>
      </c>
    </row>
    <row r="2300" spans="1:21" x14ac:dyDescent="0.25">
      <c r="A2300" t="s">
        <v>56</v>
      </c>
      <c r="B2300" t="s">
        <v>880</v>
      </c>
      <c r="C2300">
        <v>12</v>
      </c>
      <c r="D2300" t="s">
        <v>25</v>
      </c>
      <c r="E2300" t="s">
        <v>94</v>
      </c>
      <c r="F2300" t="s">
        <v>104</v>
      </c>
      <c r="G2300" t="s">
        <v>121</v>
      </c>
      <c r="H2300" t="s">
        <v>104</v>
      </c>
      <c r="J2300">
        <v>0</v>
      </c>
      <c r="K2300">
        <v>1</v>
      </c>
      <c r="L2300">
        <v>113.9375</v>
      </c>
      <c r="M2300">
        <v>33.375507550000002</v>
      </c>
      <c r="N2300">
        <v>2.4262999999999999</v>
      </c>
      <c r="O2300">
        <v>0.40692159999999999</v>
      </c>
      <c r="P2300">
        <v>113.9375</v>
      </c>
      <c r="Q2300">
        <v>33.375507550000002</v>
      </c>
      <c r="R2300">
        <v>2.4262999999999999</v>
      </c>
      <c r="S2300">
        <v>0.40692159999999999</v>
      </c>
      <c r="T2300" t="s">
        <v>1017</v>
      </c>
      <c r="U2300">
        <v>0</v>
      </c>
    </row>
    <row r="2301" spans="1:21" x14ac:dyDescent="0.25">
      <c r="A2301" t="s">
        <v>56</v>
      </c>
      <c r="B2301" t="s">
        <v>881</v>
      </c>
      <c r="C2301">
        <v>12</v>
      </c>
      <c r="D2301" t="s">
        <v>25</v>
      </c>
      <c r="E2301" t="s">
        <v>94</v>
      </c>
      <c r="F2301" t="s">
        <v>112</v>
      </c>
      <c r="G2301" t="s">
        <v>121</v>
      </c>
      <c r="H2301" t="s">
        <v>241</v>
      </c>
      <c r="J2301">
        <v>0</v>
      </c>
      <c r="K2301">
        <v>4</v>
      </c>
      <c r="L2301">
        <v>65.09375</v>
      </c>
      <c r="M2301">
        <v>37.895352600000002</v>
      </c>
      <c r="N2301">
        <v>2.2882677779999998</v>
      </c>
      <c r="O2301">
        <v>2.2111774</v>
      </c>
      <c r="P2301">
        <v>114</v>
      </c>
      <c r="Q2301">
        <v>30.43077242</v>
      </c>
      <c r="R2301">
        <v>0.53383111100000002</v>
      </c>
      <c r="S2301">
        <v>0.28333332999999999</v>
      </c>
      <c r="T2301" t="s">
        <v>1017</v>
      </c>
      <c r="U2301">
        <v>7.4645801799999996</v>
      </c>
    </row>
    <row r="2302" spans="1:21" x14ac:dyDescent="0.25">
      <c r="A2302" t="s">
        <v>56</v>
      </c>
      <c r="B2302" t="s">
        <v>881</v>
      </c>
      <c r="C2302">
        <v>12</v>
      </c>
      <c r="D2302" t="s">
        <v>25</v>
      </c>
      <c r="E2302" t="s">
        <v>94</v>
      </c>
      <c r="F2302" t="s">
        <v>112</v>
      </c>
      <c r="G2302" t="s">
        <v>121</v>
      </c>
      <c r="H2302" t="s">
        <v>241</v>
      </c>
      <c r="J2302">
        <v>0</v>
      </c>
      <c r="K2302">
        <v>4</v>
      </c>
      <c r="L2302">
        <v>65.09375</v>
      </c>
      <c r="M2302">
        <v>37.895352600000002</v>
      </c>
      <c r="N2302">
        <v>2.2882677779999998</v>
      </c>
      <c r="O2302">
        <v>2.2111774</v>
      </c>
      <c r="P2302">
        <v>114</v>
      </c>
      <c r="Q2302">
        <v>30.43077242</v>
      </c>
      <c r="R2302">
        <v>0.53383111100000002</v>
      </c>
      <c r="S2302">
        <v>0.28333332999999999</v>
      </c>
      <c r="T2302" t="s">
        <v>1017</v>
      </c>
      <c r="U2302">
        <v>7.4645801799999996</v>
      </c>
    </row>
    <row r="2303" spans="1:21" x14ac:dyDescent="0.25">
      <c r="A2303" t="s">
        <v>56</v>
      </c>
      <c r="B2303" t="s">
        <v>881</v>
      </c>
      <c r="C2303">
        <v>12</v>
      </c>
      <c r="D2303" t="s">
        <v>25</v>
      </c>
      <c r="E2303" t="s">
        <v>94</v>
      </c>
      <c r="F2303" t="s">
        <v>112</v>
      </c>
      <c r="G2303" t="s">
        <v>121</v>
      </c>
      <c r="H2303" t="s">
        <v>241</v>
      </c>
      <c r="J2303">
        <v>0</v>
      </c>
      <c r="K2303">
        <v>4</v>
      </c>
      <c r="L2303">
        <v>65.09375</v>
      </c>
      <c r="M2303">
        <v>37.895352600000002</v>
      </c>
      <c r="N2303">
        <v>2.2882677779999998</v>
      </c>
      <c r="O2303">
        <v>2.2111774</v>
      </c>
      <c r="P2303">
        <v>114</v>
      </c>
      <c r="Q2303">
        <v>30.43077242</v>
      </c>
      <c r="R2303">
        <v>0.53383111100000002</v>
      </c>
      <c r="S2303">
        <v>0.28333332999999999</v>
      </c>
      <c r="T2303" t="s">
        <v>1017</v>
      </c>
      <c r="U2303">
        <v>7.4645801799999996</v>
      </c>
    </row>
    <row r="2304" spans="1:21" x14ac:dyDescent="0.25">
      <c r="A2304" t="s">
        <v>56</v>
      </c>
      <c r="B2304" t="s">
        <v>881</v>
      </c>
      <c r="C2304">
        <v>12</v>
      </c>
      <c r="D2304" t="s">
        <v>25</v>
      </c>
      <c r="E2304" t="s">
        <v>94</v>
      </c>
      <c r="F2304" t="s">
        <v>112</v>
      </c>
      <c r="G2304" t="s">
        <v>121</v>
      </c>
      <c r="H2304" t="s">
        <v>241</v>
      </c>
      <c r="J2304">
        <v>0</v>
      </c>
      <c r="K2304">
        <v>4</v>
      </c>
      <c r="L2304">
        <v>65.09375</v>
      </c>
      <c r="M2304">
        <v>37.895352600000002</v>
      </c>
      <c r="N2304">
        <v>2.2882677779999998</v>
      </c>
      <c r="O2304">
        <v>2.2111774</v>
      </c>
      <c r="P2304">
        <v>114</v>
      </c>
      <c r="Q2304">
        <v>30.43077242</v>
      </c>
      <c r="R2304">
        <v>0.53383111100000002</v>
      </c>
      <c r="S2304">
        <v>0.28333332999999999</v>
      </c>
      <c r="T2304" t="s">
        <v>1017</v>
      </c>
      <c r="U2304">
        <v>7.4645801799999996</v>
      </c>
    </row>
    <row r="2305" spans="1:21" x14ac:dyDescent="0.25">
      <c r="A2305" t="s">
        <v>57</v>
      </c>
      <c r="B2305" t="s">
        <v>882</v>
      </c>
      <c r="C2305">
        <v>12</v>
      </c>
      <c r="D2305" t="s">
        <v>27</v>
      </c>
      <c r="E2305" t="s">
        <v>94</v>
      </c>
      <c r="F2305" t="s">
        <v>105</v>
      </c>
      <c r="G2305" t="s">
        <v>121</v>
      </c>
      <c r="H2305" t="s">
        <v>247</v>
      </c>
      <c r="J2305">
        <v>0</v>
      </c>
      <c r="K2305">
        <v>1</v>
      </c>
      <c r="L2305">
        <v>67.5</v>
      </c>
      <c r="M2305">
        <v>47.937235809999997</v>
      </c>
      <c r="N2305">
        <v>0.41599678000000001</v>
      </c>
      <c r="O2305">
        <v>2.0950346999999998</v>
      </c>
      <c r="P2305">
        <v>65.791044779999993</v>
      </c>
      <c r="Q2305">
        <v>22.94519201</v>
      </c>
      <c r="R2305">
        <v>8.1320334999999994E-2</v>
      </c>
      <c r="S2305">
        <v>0.17285655</v>
      </c>
      <c r="T2305" t="s">
        <v>1017</v>
      </c>
      <c r="U2305">
        <v>24.992043800000001</v>
      </c>
    </row>
    <row r="2306" spans="1:21" x14ac:dyDescent="0.25">
      <c r="A2306" t="s">
        <v>57</v>
      </c>
      <c r="B2306" t="s">
        <v>882</v>
      </c>
      <c r="C2306">
        <v>12</v>
      </c>
      <c r="D2306" t="s">
        <v>27</v>
      </c>
      <c r="E2306" t="s">
        <v>94</v>
      </c>
      <c r="F2306" t="s">
        <v>105</v>
      </c>
      <c r="G2306" t="s">
        <v>121</v>
      </c>
      <c r="H2306" t="s">
        <v>103</v>
      </c>
      <c r="J2306">
        <v>0</v>
      </c>
      <c r="K2306">
        <v>1</v>
      </c>
      <c r="L2306">
        <v>67.5</v>
      </c>
      <c r="M2306">
        <v>47.937235809999997</v>
      </c>
      <c r="N2306">
        <v>0.41599678000000001</v>
      </c>
      <c r="O2306">
        <v>2.0950346999999998</v>
      </c>
      <c r="P2306">
        <v>98.291666669999998</v>
      </c>
      <c r="Q2306">
        <v>30.315130790000001</v>
      </c>
      <c r="R2306">
        <v>5.0803484000000003E-2</v>
      </c>
      <c r="S2306">
        <v>0.42866070000000001</v>
      </c>
      <c r="T2306" t="s">
        <v>1017</v>
      </c>
      <c r="U2306">
        <v>17.622105019999999</v>
      </c>
    </row>
    <row r="2307" spans="1:21" x14ac:dyDescent="0.25">
      <c r="A2307" t="s">
        <v>57</v>
      </c>
      <c r="B2307" t="s">
        <v>882</v>
      </c>
      <c r="C2307">
        <v>12</v>
      </c>
      <c r="D2307" t="s">
        <v>27</v>
      </c>
      <c r="E2307" t="s">
        <v>94</v>
      </c>
      <c r="F2307" t="s">
        <v>105</v>
      </c>
      <c r="G2307" t="s">
        <v>121</v>
      </c>
      <c r="H2307" t="s">
        <v>233</v>
      </c>
      <c r="J2307">
        <v>0</v>
      </c>
      <c r="K2307">
        <v>6</v>
      </c>
      <c r="L2307">
        <v>67.5</v>
      </c>
      <c r="M2307">
        <v>47.937235809999997</v>
      </c>
      <c r="N2307">
        <v>0.41599678000000001</v>
      </c>
      <c r="O2307">
        <v>2.0950346999999998</v>
      </c>
      <c r="P2307">
        <v>106.0540541</v>
      </c>
      <c r="Q2307">
        <v>52.690533369999997</v>
      </c>
      <c r="R2307">
        <v>7.6058968000000005E-2</v>
      </c>
      <c r="S2307">
        <v>0.44888888999999998</v>
      </c>
      <c r="T2307" t="s">
        <v>1017</v>
      </c>
      <c r="U2307">
        <v>4.75329756</v>
      </c>
    </row>
    <row r="2308" spans="1:21" x14ac:dyDescent="0.25">
      <c r="A2308" t="s">
        <v>57</v>
      </c>
      <c r="B2308" t="s">
        <v>882</v>
      </c>
      <c r="C2308">
        <v>12</v>
      </c>
      <c r="D2308" t="s">
        <v>27</v>
      </c>
      <c r="E2308" t="s">
        <v>94</v>
      </c>
      <c r="F2308" t="s">
        <v>105</v>
      </c>
      <c r="G2308" t="s">
        <v>121</v>
      </c>
      <c r="H2308" t="s">
        <v>233</v>
      </c>
      <c r="J2308">
        <v>0</v>
      </c>
      <c r="K2308">
        <v>6</v>
      </c>
      <c r="L2308">
        <v>67.5</v>
      </c>
      <c r="M2308">
        <v>47.937235809999997</v>
      </c>
      <c r="N2308">
        <v>0.41599678000000001</v>
      </c>
      <c r="O2308">
        <v>2.0950346999999998</v>
      </c>
      <c r="P2308">
        <v>106.0540541</v>
      </c>
      <c r="Q2308">
        <v>52.690533369999997</v>
      </c>
      <c r="R2308">
        <v>7.6058968000000005E-2</v>
      </c>
      <c r="S2308">
        <v>0.44888888999999998</v>
      </c>
      <c r="T2308" t="s">
        <v>1017</v>
      </c>
      <c r="U2308">
        <v>4.75329756</v>
      </c>
    </row>
    <row r="2309" spans="1:21" x14ac:dyDescent="0.25">
      <c r="A2309" t="s">
        <v>57</v>
      </c>
      <c r="B2309" t="s">
        <v>882</v>
      </c>
      <c r="C2309">
        <v>12</v>
      </c>
      <c r="D2309" t="s">
        <v>27</v>
      </c>
      <c r="E2309" t="s">
        <v>94</v>
      </c>
      <c r="F2309" t="s">
        <v>105</v>
      </c>
      <c r="G2309" t="s">
        <v>121</v>
      </c>
      <c r="H2309" t="s">
        <v>233</v>
      </c>
      <c r="J2309">
        <v>0</v>
      </c>
      <c r="K2309">
        <v>6</v>
      </c>
      <c r="L2309">
        <v>67.5</v>
      </c>
      <c r="M2309">
        <v>47.937235809999997</v>
      </c>
      <c r="N2309">
        <v>0.41599678000000001</v>
      </c>
      <c r="O2309">
        <v>2.0950346999999998</v>
      </c>
      <c r="P2309">
        <v>106.0540541</v>
      </c>
      <c r="Q2309">
        <v>52.690533369999997</v>
      </c>
      <c r="R2309">
        <v>7.6058968000000005E-2</v>
      </c>
      <c r="S2309">
        <v>0.44888888999999998</v>
      </c>
      <c r="T2309" t="s">
        <v>1017</v>
      </c>
      <c r="U2309">
        <v>4.75329756</v>
      </c>
    </row>
    <row r="2310" spans="1:21" x14ac:dyDescent="0.25">
      <c r="A2310" t="s">
        <v>57</v>
      </c>
      <c r="B2310" t="s">
        <v>882</v>
      </c>
      <c r="C2310">
        <v>12</v>
      </c>
      <c r="D2310" t="s">
        <v>27</v>
      </c>
      <c r="E2310" t="s">
        <v>94</v>
      </c>
      <c r="F2310" t="s">
        <v>105</v>
      </c>
      <c r="G2310" t="s">
        <v>121</v>
      </c>
      <c r="H2310" t="s">
        <v>233</v>
      </c>
      <c r="J2310">
        <v>0</v>
      </c>
      <c r="K2310">
        <v>6</v>
      </c>
      <c r="L2310">
        <v>67.5</v>
      </c>
      <c r="M2310">
        <v>47.937235809999997</v>
      </c>
      <c r="N2310">
        <v>0.41599678000000001</v>
      </c>
      <c r="O2310">
        <v>2.0950346999999998</v>
      </c>
      <c r="P2310">
        <v>106.0540541</v>
      </c>
      <c r="Q2310">
        <v>52.690533369999997</v>
      </c>
      <c r="R2310">
        <v>7.6058968000000005E-2</v>
      </c>
      <c r="S2310">
        <v>0.44888888999999998</v>
      </c>
      <c r="T2310" t="s">
        <v>1017</v>
      </c>
      <c r="U2310">
        <v>4.75329756</v>
      </c>
    </row>
    <row r="2311" spans="1:21" x14ac:dyDescent="0.25">
      <c r="A2311" t="s">
        <v>57</v>
      </c>
      <c r="B2311" t="s">
        <v>882</v>
      </c>
      <c r="C2311">
        <v>12</v>
      </c>
      <c r="D2311" t="s">
        <v>27</v>
      </c>
      <c r="E2311" t="s">
        <v>94</v>
      </c>
      <c r="F2311" t="s">
        <v>105</v>
      </c>
      <c r="G2311" t="s">
        <v>121</v>
      </c>
      <c r="H2311" t="s">
        <v>233</v>
      </c>
      <c r="J2311">
        <v>0</v>
      </c>
      <c r="K2311">
        <v>6</v>
      </c>
      <c r="L2311">
        <v>67.5</v>
      </c>
      <c r="M2311">
        <v>47.937235809999997</v>
      </c>
      <c r="N2311">
        <v>0.41599678000000001</v>
      </c>
      <c r="O2311">
        <v>2.0950346999999998</v>
      </c>
      <c r="P2311">
        <v>106.0540541</v>
      </c>
      <c r="Q2311">
        <v>52.690533369999997</v>
      </c>
      <c r="R2311">
        <v>7.6058968000000005E-2</v>
      </c>
      <c r="S2311">
        <v>0.44888888999999998</v>
      </c>
      <c r="T2311" t="s">
        <v>1017</v>
      </c>
      <c r="U2311">
        <v>4.75329756</v>
      </c>
    </row>
    <row r="2312" spans="1:21" x14ac:dyDescent="0.25">
      <c r="A2312" t="s">
        <v>57</v>
      </c>
      <c r="B2312" t="s">
        <v>882</v>
      </c>
      <c r="C2312">
        <v>12</v>
      </c>
      <c r="D2312" t="s">
        <v>27</v>
      </c>
      <c r="E2312" t="s">
        <v>94</v>
      </c>
      <c r="F2312" t="s">
        <v>105</v>
      </c>
      <c r="G2312" t="s">
        <v>121</v>
      </c>
      <c r="H2312" t="s">
        <v>233</v>
      </c>
      <c r="J2312">
        <v>0</v>
      </c>
      <c r="K2312">
        <v>6</v>
      </c>
      <c r="L2312">
        <v>67.5</v>
      </c>
      <c r="M2312">
        <v>47.937235809999997</v>
      </c>
      <c r="N2312">
        <v>0.41599678000000001</v>
      </c>
      <c r="O2312">
        <v>2.0950346999999998</v>
      </c>
      <c r="P2312">
        <v>106.0540541</v>
      </c>
      <c r="Q2312">
        <v>52.690533369999997</v>
      </c>
      <c r="R2312">
        <v>7.6058968000000005E-2</v>
      </c>
      <c r="S2312">
        <v>0.44888888999999998</v>
      </c>
      <c r="T2312" t="s">
        <v>1017</v>
      </c>
      <c r="U2312">
        <v>4.75329756</v>
      </c>
    </row>
    <row r="2313" spans="1:21" x14ac:dyDescent="0.25">
      <c r="A2313" t="s">
        <v>57</v>
      </c>
      <c r="B2313" t="s">
        <v>883</v>
      </c>
      <c r="C2313">
        <v>12</v>
      </c>
      <c r="D2313" t="s">
        <v>27</v>
      </c>
      <c r="E2313" t="s">
        <v>94</v>
      </c>
      <c r="F2313" t="s">
        <v>113</v>
      </c>
      <c r="G2313" t="s">
        <v>121</v>
      </c>
      <c r="H2313" t="s">
        <v>114</v>
      </c>
      <c r="J2313">
        <v>0</v>
      </c>
      <c r="K2313" t="s">
        <v>114</v>
      </c>
      <c r="L2313">
        <v>83.757575759999995</v>
      </c>
      <c r="M2313">
        <v>22.60997987</v>
      </c>
      <c r="N2313">
        <v>0.72884000000000004</v>
      </c>
      <c r="O2313">
        <v>0.21301339999999999</v>
      </c>
      <c r="P2313" t="s">
        <v>114</v>
      </c>
      <c r="Q2313" t="s">
        <v>114</v>
      </c>
      <c r="R2313" t="s">
        <v>114</v>
      </c>
      <c r="S2313" t="s">
        <v>114</v>
      </c>
      <c r="T2313" t="s">
        <v>1017</v>
      </c>
      <c r="U2313" t="s">
        <v>114</v>
      </c>
    </row>
    <row r="2314" spans="1:21" x14ac:dyDescent="0.25">
      <c r="A2314" t="s">
        <v>57</v>
      </c>
      <c r="B2314" t="s">
        <v>884</v>
      </c>
      <c r="C2314">
        <v>12</v>
      </c>
      <c r="D2314" t="s">
        <v>27</v>
      </c>
      <c r="E2314" t="s">
        <v>94</v>
      </c>
      <c r="F2314" t="s">
        <v>112</v>
      </c>
      <c r="G2314" t="s">
        <v>112</v>
      </c>
      <c r="H2314" t="s">
        <v>112</v>
      </c>
      <c r="J2314">
        <v>0</v>
      </c>
      <c r="K2314">
        <v>2</v>
      </c>
      <c r="L2314">
        <v>65.09375</v>
      </c>
      <c r="M2314">
        <v>37.895352600000002</v>
      </c>
      <c r="N2314">
        <v>2.2882677779999998</v>
      </c>
      <c r="O2314">
        <v>2.2111774</v>
      </c>
      <c r="P2314">
        <v>65.09375</v>
      </c>
      <c r="Q2314">
        <v>37.895352600000002</v>
      </c>
      <c r="R2314">
        <v>2.2882677779999998</v>
      </c>
      <c r="S2314">
        <v>2.2111774</v>
      </c>
      <c r="T2314" t="s">
        <v>1017</v>
      </c>
      <c r="U2314">
        <v>0</v>
      </c>
    </row>
    <row r="2315" spans="1:21" x14ac:dyDescent="0.25">
      <c r="A2315" t="s">
        <v>57</v>
      </c>
      <c r="B2315" t="s">
        <v>884</v>
      </c>
      <c r="C2315">
        <v>12</v>
      </c>
      <c r="D2315" t="s">
        <v>27</v>
      </c>
      <c r="E2315" t="s">
        <v>94</v>
      </c>
      <c r="F2315" t="s">
        <v>112</v>
      </c>
      <c r="G2315" t="s">
        <v>112</v>
      </c>
      <c r="H2315" t="s">
        <v>112</v>
      </c>
      <c r="J2315">
        <v>0</v>
      </c>
      <c r="K2315">
        <v>2</v>
      </c>
      <c r="L2315">
        <v>65.09375</v>
      </c>
      <c r="M2315">
        <v>37.895352600000002</v>
      </c>
      <c r="N2315">
        <v>2.2882677779999998</v>
      </c>
      <c r="O2315">
        <v>2.2111774</v>
      </c>
      <c r="P2315">
        <v>65.09375</v>
      </c>
      <c r="Q2315">
        <v>37.895352600000002</v>
      </c>
      <c r="R2315">
        <v>2.2882677779999998</v>
      </c>
      <c r="S2315">
        <v>2.2111774</v>
      </c>
      <c r="T2315" t="s">
        <v>1017</v>
      </c>
      <c r="U2315">
        <v>0</v>
      </c>
    </row>
    <row r="2316" spans="1:21" x14ac:dyDescent="0.25">
      <c r="A2316" t="s">
        <v>57</v>
      </c>
      <c r="B2316" t="s">
        <v>884</v>
      </c>
      <c r="C2316">
        <v>12</v>
      </c>
      <c r="D2316" t="s">
        <v>27</v>
      </c>
      <c r="E2316" t="s">
        <v>94</v>
      </c>
      <c r="F2316" t="s">
        <v>112</v>
      </c>
      <c r="G2316" t="s">
        <v>112</v>
      </c>
      <c r="H2316" t="s">
        <v>247</v>
      </c>
      <c r="J2316">
        <v>0</v>
      </c>
      <c r="K2316">
        <v>1</v>
      </c>
      <c r="L2316">
        <v>65.09375</v>
      </c>
      <c r="M2316">
        <v>37.895352600000002</v>
      </c>
      <c r="N2316">
        <v>2.2882677779999998</v>
      </c>
      <c r="O2316">
        <v>2.2111774</v>
      </c>
      <c r="P2316">
        <v>65.791044779999993</v>
      </c>
      <c r="Q2316">
        <v>22.94519201</v>
      </c>
      <c r="R2316">
        <v>8.1320334999999994E-2</v>
      </c>
      <c r="S2316">
        <v>0.17285655</v>
      </c>
      <c r="T2316" t="s">
        <v>1017</v>
      </c>
      <c r="U2316">
        <v>14.950160589999999</v>
      </c>
    </row>
    <row r="2317" spans="1:21" x14ac:dyDescent="0.25">
      <c r="A2317" t="s">
        <v>58</v>
      </c>
      <c r="B2317" t="s">
        <v>885</v>
      </c>
      <c r="C2317">
        <v>12</v>
      </c>
      <c r="D2317" t="s">
        <v>29</v>
      </c>
      <c r="E2317" t="s">
        <v>95</v>
      </c>
      <c r="F2317" t="s">
        <v>102</v>
      </c>
      <c r="G2317" t="s">
        <v>104</v>
      </c>
      <c r="H2317" t="s">
        <v>104</v>
      </c>
      <c r="J2317">
        <v>0</v>
      </c>
      <c r="K2317">
        <v>1</v>
      </c>
      <c r="L2317">
        <v>84.740740740000007</v>
      </c>
      <c r="M2317">
        <v>29.167014049999999</v>
      </c>
      <c r="N2317">
        <v>1.1169849999999999</v>
      </c>
      <c r="O2317">
        <v>1.1571499000000001</v>
      </c>
      <c r="P2317">
        <v>113.9375</v>
      </c>
      <c r="Q2317">
        <v>33.375507550000002</v>
      </c>
      <c r="R2317">
        <v>2.4262999999999999</v>
      </c>
      <c r="S2317">
        <v>0.40692159999999999</v>
      </c>
      <c r="T2317" t="s">
        <v>1017</v>
      </c>
      <c r="U2317">
        <v>4.2084935000000003</v>
      </c>
    </row>
    <row r="2318" spans="1:21" x14ac:dyDescent="0.25">
      <c r="A2318" t="s">
        <v>58</v>
      </c>
      <c r="B2318" t="s">
        <v>885</v>
      </c>
      <c r="C2318">
        <v>12</v>
      </c>
      <c r="D2318" t="s">
        <v>29</v>
      </c>
      <c r="E2318" t="s">
        <v>95</v>
      </c>
      <c r="F2318" t="s">
        <v>102</v>
      </c>
      <c r="G2318" t="s">
        <v>104</v>
      </c>
      <c r="H2318" t="s">
        <v>246</v>
      </c>
      <c r="J2318">
        <v>0</v>
      </c>
      <c r="K2318">
        <v>1</v>
      </c>
      <c r="L2318">
        <v>84.740740740000007</v>
      </c>
      <c r="M2318">
        <v>29.167014049999999</v>
      </c>
      <c r="N2318">
        <v>1.1169849999999999</v>
      </c>
      <c r="O2318">
        <v>1.1571499000000001</v>
      </c>
      <c r="P2318">
        <v>120.25</v>
      </c>
      <c r="Q2318">
        <v>30.670450110000001</v>
      </c>
      <c r="R2318">
        <v>0.91037498500000003</v>
      </c>
      <c r="S2318" t="s">
        <v>114</v>
      </c>
      <c r="T2318" t="s">
        <v>1017</v>
      </c>
      <c r="U2318">
        <v>1.5034360600000001</v>
      </c>
    </row>
    <row r="2319" spans="1:21" x14ac:dyDescent="0.25">
      <c r="A2319" t="s">
        <v>58</v>
      </c>
      <c r="B2319" t="s">
        <v>886</v>
      </c>
      <c r="C2319">
        <v>12</v>
      </c>
      <c r="D2319" t="s">
        <v>29</v>
      </c>
      <c r="E2319" t="s">
        <v>95</v>
      </c>
      <c r="F2319" t="s">
        <v>110</v>
      </c>
      <c r="G2319" t="s">
        <v>121</v>
      </c>
      <c r="H2319" t="s">
        <v>246</v>
      </c>
      <c r="I2319" t="s">
        <v>162</v>
      </c>
      <c r="J2319">
        <v>1</v>
      </c>
      <c r="K2319">
        <v>1</v>
      </c>
      <c r="L2319">
        <v>73.260869569999997</v>
      </c>
      <c r="M2319">
        <v>34.453830549999999</v>
      </c>
      <c r="N2319">
        <v>1.058333333</v>
      </c>
      <c r="O2319">
        <v>0.90897070000000002</v>
      </c>
      <c r="P2319">
        <v>120.25</v>
      </c>
      <c r="Q2319">
        <v>30.670450110000001</v>
      </c>
      <c r="R2319">
        <v>0.91037498500000003</v>
      </c>
      <c r="S2319" t="s">
        <v>114</v>
      </c>
      <c r="T2319" t="s">
        <v>1017</v>
      </c>
      <c r="U2319">
        <v>3.7833804400000002</v>
      </c>
    </row>
    <row r="2320" spans="1:21" x14ac:dyDescent="0.25">
      <c r="A2320" t="s">
        <v>58</v>
      </c>
      <c r="B2320" t="s">
        <v>886</v>
      </c>
      <c r="C2320">
        <v>12</v>
      </c>
      <c r="D2320" t="s">
        <v>29</v>
      </c>
      <c r="E2320" t="s">
        <v>95</v>
      </c>
      <c r="F2320" t="s">
        <v>110</v>
      </c>
      <c r="G2320" t="s">
        <v>121</v>
      </c>
      <c r="H2320" t="s">
        <v>239</v>
      </c>
      <c r="J2320">
        <v>1</v>
      </c>
      <c r="K2320">
        <v>1</v>
      </c>
      <c r="L2320">
        <v>73.260869569999997</v>
      </c>
      <c r="M2320">
        <v>34.453830549999999</v>
      </c>
      <c r="N2320">
        <v>1.058333333</v>
      </c>
      <c r="O2320">
        <v>0.90897070000000002</v>
      </c>
      <c r="P2320">
        <v>100.45454549999999</v>
      </c>
      <c r="Q2320">
        <v>26.754810689999999</v>
      </c>
      <c r="R2320">
        <v>0.75829999999999997</v>
      </c>
      <c r="S2320">
        <v>0.40907861000000001</v>
      </c>
      <c r="T2320" t="s">
        <v>1017</v>
      </c>
      <c r="U2320">
        <v>7.6990198599999999</v>
      </c>
    </row>
    <row r="2321" spans="1:21" x14ac:dyDescent="0.25">
      <c r="A2321" t="s">
        <v>58</v>
      </c>
      <c r="B2321" t="s">
        <v>887</v>
      </c>
      <c r="C2321">
        <v>12</v>
      </c>
      <c r="D2321" t="s">
        <v>29</v>
      </c>
      <c r="E2321" t="s">
        <v>95</v>
      </c>
      <c r="F2321" t="s">
        <v>103</v>
      </c>
      <c r="G2321" t="s">
        <v>121</v>
      </c>
      <c r="H2321" t="s">
        <v>249</v>
      </c>
      <c r="J2321">
        <v>0</v>
      </c>
      <c r="K2321">
        <v>1</v>
      </c>
      <c r="L2321">
        <v>98.291666669999998</v>
      </c>
      <c r="M2321">
        <v>30.315130790000001</v>
      </c>
      <c r="N2321">
        <v>5.0803484000000003E-2</v>
      </c>
      <c r="O2321">
        <v>0.42866070000000001</v>
      </c>
      <c r="P2321">
        <v>81.666666669999998</v>
      </c>
      <c r="Q2321">
        <v>48.056268459999998</v>
      </c>
      <c r="R2321">
        <v>0.120291364</v>
      </c>
      <c r="S2321" t="s">
        <v>114</v>
      </c>
      <c r="T2321" t="s">
        <v>1017</v>
      </c>
      <c r="U2321">
        <v>17.741137670000001</v>
      </c>
    </row>
    <row r="2322" spans="1:21" x14ac:dyDescent="0.25">
      <c r="A2322" t="s">
        <v>58</v>
      </c>
      <c r="B2322" t="s">
        <v>887</v>
      </c>
      <c r="C2322">
        <v>12</v>
      </c>
      <c r="D2322" t="s">
        <v>29</v>
      </c>
      <c r="E2322" t="s">
        <v>95</v>
      </c>
      <c r="F2322" t="s">
        <v>103</v>
      </c>
      <c r="G2322" t="s">
        <v>121</v>
      </c>
      <c r="H2322" t="s">
        <v>238</v>
      </c>
      <c r="J2322">
        <v>0</v>
      </c>
      <c r="K2322">
        <v>1</v>
      </c>
      <c r="L2322">
        <v>98.291666669999998</v>
      </c>
      <c r="M2322">
        <v>30.315130790000001</v>
      </c>
      <c r="N2322">
        <v>5.0803484000000003E-2</v>
      </c>
      <c r="O2322">
        <v>0.42866070000000001</v>
      </c>
      <c r="P2322">
        <v>87.5</v>
      </c>
      <c r="Q2322">
        <v>29.478311600000001</v>
      </c>
      <c r="R2322">
        <v>3.0797751000000002E-2</v>
      </c>
      <c r="S2322">
        <v>0.12931835</v>
      </c>
      <c r="T2322" t="s">
        <v>1017</v>
      </c>
      <c r="U2322">
        <v>0.83681919000000005</v>
      </c>
    </row>
    <row r="2323" spans="1:21" x14ac:dyDescent="0.25">
      <c r="A2323" t="s">
        <v>59</v>
      </c>
      <c r="B2323" t="s">
        <v>888</v>
      </c>
      <c r="C2323">
        <v>12</v>
      </c>
      <c r="D2323" t="s">
        <v>31</v>
      </c>
      <c r="E2323" t="s">
        <v>94</v>
      </c>
      <c r="F2323" t="s">
        <v>105</v>
      </c>
      <c r="G2323" t="s">
        <v>121</v>
      </c>
      <c r="H2323" t="s">
        <v>241</v>
      </c>
      <c r="J2323">
        <v>0</v>
      </c>
      <c r="K2323">
        <v>1</v>
      </c>
      <c r="L2323">
        <v>67.5</v>
      </c>
      <c r="M2323">
        <v>47.937235809999997</v>
      </c>
      <c r="N2323">
        <v>0.41599678000000001</v>
      </c>
      <c r="O2323">
        <v>2.0950346999999998</v>
      </c>
      <c r="P2323">
        <v>114</v>
      </c>
      <c r="Q2323">
        <v>30.43077242</v>
      </c>
      <c r="R2323">
        <v>0.53383111100000002</v>
      </c>
      <c r="S2323">
        <v>0.28333332999999999</v>
      </c>
      <c r="T2323" t="s">
        <v>1017</v>
      </c>
      <c r="U2323">
        <v>17.50646339</v>
      </c>
    </row>
    <row r="2324" spans="1:21" x14ac:dyDescent="0.25">
      <c r="A2324" t="s">
        <v>59</v>
      </c>
      <c r="B2324" t="s">
        <v>889</v>
      </c>
      <c r="C2324">
        <v>12</v>
      </c>
      <c r="D2324" t="s">
        <v>31</v>
      </c>
      <c r="E2324" t="s">
        <v>94</v>
      </c>
      <c r="F2324" t="s">
        <v>110</v>
      </c>
      <c r="G2324" t="s">
        <v>121</v>
      </c>
      <c r="H2324" t="s">
        <v>241</v>
      </c>
      <c r="J2324">
        <v>0</v>
      </c>
      <c r="K2324">
        <v>2</v>
      </c>
      <c r="L2324">
        <v>73.260869569999997</v>
      </c>
      <c r="M2324">
        <v>34.453830549999999</v>
      </c>
      <c r="N2324">
        <v>1.058333333</v>
      </c>
      <c r="O2324">
        <v>0.90897070000000002</v>
      </c>
      <c r="P2324">
        <v>114</v>
      </c>
      <c r="Q2324">
        <v>30.43077242</v>
      </c>
      <c r="R2324">
        <v>0.53383111100000002</v>
      </c>
      <c r="S2324">
        <v>0.28333332999999999</v>
      </c>
      <c r="T2324" t="s">
        <v>1017</v>
      </c>
      <c r="U2324">
        <v>4.0230581299999999</v>
      </c>
    </row>
    <row r="2325" spans="1:21" x14ac:dyDescent="0.25">
      <c r="A2325" t="s">
        <v>59</v>
      </c>
      <c r="B2325" t="s">
        <v>889</v>
      </c>
      <c r="C2325">
        <v>12</v>
      </c>
      <c r="D2325" t="s">
        <v>31</v>
      </c>
      <c r="E2325" t="s">
        <v>94</v>
      </c>
      <c r="F2325" t="s">
        <v>110</v>
      </c>
      <c r="G2325" t="s">
        <v>121</v>
      </c>
      <c r="H2325" t="s">
        <v>241</v>
      </c>
      <c r="J2325">
        <v>0</v>
      </c>
      <c r="K2325">
        <v>2</v>
      </c>
      <c r="L2325">
        <v>73.260869569999997</v>
      </c>
      <c r="M2325">
        <v>34.453830549999999</v>
      </c>
      <c r="N2325">
        <v>1.058333333</v>
      </c>
      <c r="O2325">
        <v>0.90897070000000002</v>
      </c>
      <c r="P2325">
        <v>114</v>
      </c>
      <c r="Q2325">
        <v>30.43077242</v>
      </c>
      <c r="R2325">
        <v>0.53383111100000002</v>
      </c>
      <c r="S2325">
        <v>0.28333332999999999</v>
      </c>
      <c r="T2325" t="s">
        <v>1017</v>
      </c>
      <c r="U2325">
        <v>4.0230581299999999</v>
      </c>
    </row>
    <row r="2326" spans="1:21" x14ac:dyDescent="0.25">
      <c r="A2326" t="s">
        <v>60</v>
      </c>
      <c r="B2326" t="s">
        <v>890</v>
      </c>
      <c r="C2326">
        <v>12</v>
      </c>
      <c r="D2326" t="s">
        <v>33</v>
      </c>
      <c r="E2326" t="s">
        <v>95</v>
      </c>
      <c r="F2326" t="s">
        <v>102</v>
      </c>
      <c r="G2326" t="s">
        <v>104</v>
      </c>
      <c r="H2326" t="s">
        <v>104</v>
      </c>
      <c r="J2326">
        <v>0</v>
      </c>
      <c r="K2326">
        <v>1</v>
      </c>
      <c r="L2326">
        <v>84.740740740000007</v>
      </c>
      <c r="M2326">
        <v>29.167014049999999</v>
      </c>
      <c r="N2326">
        <v>1.1169849999999999</v>
      </c>
      <c r="O2326">
        <v>1.1571499000000001</v>
      </c>
      <c r="P2326">
        <v>113.9375</v>
      </c>
      <c r="Q2326">
        <v>33.375507550000002</v>
      </c>
      <c r="R2326">
        <v>2.4262999999999999</v>
      </c>
      <c r="S2326">
        <v>0.40692159999999999</v>
      </c>
      <c r="T2326" t="s">
        <v>1017</v>
      </c>
      <c r="U2326">
        <v>4.2084935000000003</v>
      </c>
    </row>
    <row r="2327" spans="1:21" x14ac:dyDescent="0.25">
      <c r="A2327" t="s">
        <v>60</v>
      </c>
      <c r="B2327" t="s">
        <v>891</v>
      </c>
      <c r="C2327">
        <v>12</v>
      </c>
      <c r="D2327" t="s">
        <v>33</v>
      </c>
      <c r="E2327" t="s">
        <v>95</v>
      </c>
      <c r="F2327" t="s">
        <v>110</v>
      </c>
      <c r="G2327" t="s">
        <v>121</v>
      </c>
      <c r="H2327" t="s">
        <v>241</v>
      </c>
      <c r="J2327">
        <v>0</v>
      </c>
      <c r="K2327">
        <v>2</v>
      </c>
      <c r="L2327">
        <v>73.260869569999997</v>
      </c>
      <c r="M2327">
        <v>34.453830549999999</v>
      </c>
      <c r="N2327">
        <v>1.058333333</v>
      </c>
      <c r="O2327">
        <v>0.90897070000000002</v>
      </c>
      <c r="P2327">
        <v>114</v>
      </c>
      <c r="Q2327">
        <v>30.43077242</v>
      </c>
      <c r="R2327">
        <v>0.53383111100000002</v>
      </c>
      <c r="S2327">
        <v>0.28333332999999999</v>
      </c>
      <c r="T2327" t="s">
        <v>1017</v>
      </c>
      <c r="U2327">
        <v>4.0230581299999999</v>
      </c>
    </row>
    <row r="2328" spans="1:21" x14ac:dyDescent="0.25">
      <c r="A2328" t="s">
        <v>60</v>
      </c>
      <c r="B2328" t="s">
        <v>891</v>
      </c>
      <c r="C2328">
        <v>12</v>
      </c>
      <c r="D2328" t="s">
        <v>33</v>
      </c>
      <c r="E2328" t="s">
        <v>95</v>
      </c>
      <c r="F2328" t="s">
        <v>110</v>
      </c>
      <c r="G2328" t="s">
        <v>121</v>
      </c>
      <c r="H2328" t="s">
        <v>241</v>
      </c>
      <c r="J2328">
        <v>0</v>
      </c>
      <c r="K2328">
        <v>2</v>
      </c>
      <c r="L2328">
        <v>73.260869569999997</v>
      </c>
      <c r="M2328">
        <v>34.453830549999999</v>
      </c>
      <c r="N2328">
        <v>1.058333333</v>
      </c>
      <c r="O2328">
        <v>0.90897070000000002</v>
      </c>
      <c r="P2328">
        <v>114</v>
      </c>
      <c r="Q2328">
        <v>30.43077242</v>
      </c>
      <c r="R2328">
        <v>0.53383111100000002</v>
      </c>
      <c r="S2328">
        <v>0.28333332999999999</v>
      </c>
      <c r="T2328" t="s">
        <v>1017</v>
      </c>
      <c r="U2328">
        <v>4.0230581299999999</v>
      </c>
    </row>
    <row r="2329" spans="1:21" x14ac:dyDescent="0.25">
      <c r="A2329" t="s">
        <v>60</v>
      </c>
      <c r="B2329" t="s">
        <v>891</v>
      </c>
      <c r="C2329">
        <v>12</v>
      </c>
      <c r="D2329" t="s">
        <v>33</v>
      </c>
      <c r="E2329" t="s">
        <v>95</v>
      </c>
      <c r="F2329" t="s">
        <v>110</v>
      </c>
      <c r="G2329" t="s">
        <v>121</v>
      </c>
      <c r="H2329" t="s">
        <v>246</v>
      </c>
      <c r="J2329">
        <v>0</v>
      </c>
      <c r="K2329">
        <v>2</v>
      </c>
      <c r="L2329">
        <v>73.260869569999997</v>
      </c>
      <c r="M2329">
        <v>34.453830549999999</v>
      </c>
      <c r="N2329">
        <v>1.058333333</v>
      </c>
      <c r="O2329">
        <v>0.90897070000000002</v>
      </c>
      <c r="P2329">
        <v>120.25</v>
      </c>
      <c r="Q2329">
        <v>30.670450110000001</v>
      </c>
      <c r="R2329">
        <v>0.91037498500000003</v>
      </c>
      <c r="S2329" t="s">
        <v>114</v>
      </c>
      <c r="T2329" t="s">
        <v>1017</v>
      </c>
      <c r="U2329">
        <v>3.7833804400000002</v>
      </c>
    </row>
    <row r="2330" spans="1:21" x14ac:dyDescent="0.25">
      <c r="A2330" t="s">
        <v>60</v>
      </c>
      <c r="B2330" t="s">
        <v>891</v>
      </c>
      <c r="C2330">
        <v>12</v>
      </c>
      <c r="D2330" t="s">
        <v>33</v>
      </c>
      <c r="E2330" t="s">
        <v>95</v>
      </c>
      <c r="F2330" t="s">
        <v>110</v>
      </c>
      <c r="G2330" t="s">
        <v>121</v>
      </c>
      <c r="H2330" t="s">
        <v>246</v>
      </c>
      <c r="J2330">
        <v>0</v>
      </c>
      <c r="K2330">
        <v>2</v>
      </c>
      <c r="L2330">
        <v>73.260869569999997</v>
      </c>
      <c r="M2330">
        <v>34.453830549999999</v>
      </c>
      <c r="N2330">
        <v>1.058333333</v>
      </c>
      <c r="O2330">
        <v>0.90897070000000002</v>
      </c>
      <c r="P2330">
        <v>120.25</v>
      </c>
      <c r="Q2330">
        <v>30.670450110000001</v>
      </c>
      <c r="R2330">
        <v>0.91037498500000003</v>
      </c>
      <c r="S2330" t="s">
        <v>114</v>
      </c>
      <c r="T2330" t="s">
        <v>1017</v>
      </c>
      <c r="U2330">
        <v>3.7833804400000002</v>
      </c>
    </row>
    <row r="2331" spans="1:21" x14ac:dyDescent="0.25">
      <c r="A2331" t="s">
        <v>60</v>
      </c>
      <c r="B2331" t="s">
        <v>892</v>
      </c>
      <c r="C2331">
        <v>12</v>
      </c>
      <c r="D2331" t="s">
        <v>33</v>
      </c>
      <c r="E2331" t="s">
        <v>95</v>
      </c>
      <c r="F2331" t="s">
        <v>104</v>
      </c>
      <c r="G2331" t="s">
        <v>104</v>
      </c>
      <c r="H2331" t="s">
        <v>104</v>
      </c>
      <c r="J2331">
        <v>0</v>
      </c>
      <c r="K2331">
        <v>1</v>
      </c>
      <c r="L2331">
        <v>113.9375</v>
      </c>
      <c r="M2331">
        <v>33.375507550000002</v>
      </c>
      <c r="N2331">
        <v>2.4262999999999999</v>
      </c>
      <c r="O2331">
        <v>0.40692159999999999</v>
      </c>
      <c r="P2331">
        <v>113.9375</v>
      </c>
      <c r="Q2331">
        <v>33.375507550000002</v>
      </c>
      <c r="R2331">
        <v>2.4262999999999999</v>
      </c>
      <c r="S2331">
        <v>0.40692159999999999</v>
      </c>
      <c r="T2331" t="s">
        <v>1017</v>
      </c>
      <c r="U2331">
        <v>0</v>
      </c>
    </row>
    <row r="2332" spans="1:21" x14ac:dyDescent="0.25">
      <c r="A2332" t="s">
        <v>60</v>
      </c>
      <c r="B2332" t="s">
        <v>892</v>
      </c>
      <c r="C2332">
        <v>12</v>
      </c>
      <c r="D2332" t="s">
        <v>33</v>
      </c>
      <c r="E2332" t="s">
        <v>95</v>
      </c>
      <c r="F2332" t="s">
        <v>104</v>
      </c>
      <c r="G2332" t="s">
        <v>104</v>
      </c>
      <c r="H2332" t="s">
        <v>246</v>
      </c>
      <c r="J2332">
        <v>0</v>
      </c>
      <c r="K2332">
        <v>2</v>
      </c>
      <c r="L2332">
        <v>113.9375</v>
      </c>
      <c r="M2332">
        <v>33.375507550000002</v>
      </c>
      <c r="N2332">
        <v>2.4262999999999999</v>
      </c>
      <c r="O2332">
        <v>0.40692159999999999</v>
      </c>
      <c r="P2332">
        <v>120.25</v>
      </c>
      <c r="Q2332">
        <v>30.670450110000001</v>
      </c>
      <c r="R2332">
        <v>0.91037498500000003</v>
      </c>
      <c r="S2332" t="s">
        <v>114</v>
      </c>
      <c r="T2332" t="s">
        <v>1017</v>
      </c>
      <c r="U2332">
        <v>2.70505744</v>
      </c>
    </row>
    <row r="2333" spans="1:21" x14ac:dyDescent="0.25">
      <c r="A2333" t="s">
        <v>60</v>
      </c>
      <c r="B2333" t="s">
        <v>892</v>
      </c>
      <c r="C2333">
        <v>12</v>
      </c>
      <c r="D2333" t="s">
        <v>33</v>
      </c>
      <c r="E2333" t="s">
        <v>95</v>
      </c>
      <c r="F2333" t="s">
        <v>104</v>
      </c>
      <c r="G2333" t="s">
        <v>104</v>
      </c>
      <c r="H2333" t="s">
        <v>246</v>
      </c>
      <c r="J2333">
        <v>0</v>
      </c>
      <c r="K2333">
        <v>2</v>
      </c>
      <c r="L2333">
        <v>113.9375</v>
      </c>
      <c r="M2333">
        <v>33.375507550000002</v>
      </c>
      <c r="N2333">
        <v>2.4262999999999999</v>
      </c>
      <c r="O2333">
        <v>0.40692159999999999</v>
      </c>
      <c r="P2333">
        <v>120.25</v>
      </c>
      <c r="Q2333">
        <v>30.670450110000001</v>
      </c>
      <c r="R2333">
        <v>0.91037498500000003</v>
      </c>
      <c r="S2333" t="s">
        <v>114</v>
      </c>
      <c r="T2333" t="s">
        <v>1017</v>
      </c>
      <c r="U2333">
        <v>2.70505744</v>
      </c>
    </row>
    <row r="2334" spans="1:21" x14ac:dyDescent="0.25">
      <c r="A2334" t="s">
        <v>60</v>
      </c>
      <c r="B2334" t="s">
        <v>892</v>
      </c>
      <c r="C2334">
        <v>12</v>
      </c>
      <c r="D2334" t="s">
        <v>33</v>
      </c>
      <c r="E2334" t="s">
        <v>95</v>
      </c>
      <c r="F2334" t="s">
        <v>104</v>
      </c>
      <c r="G2334" t="s">
        <v>104</v>
      </c>
      <c r="H2334" t="s">
        <v>797</v>
      </c>
      <c r="J2334">
        <v>0</v>
      </c>
      <c r="K2334">
        <v>1</v>
      </c>
      <c r="L2334">
        <v>113.9375</v>
      </c>
      <c r="M2334">
        <v>33.375507550000002</v>
      </c>
      <c r="N2334">
        <v>2.4262999999999999</v>
      </c>
      <c r="O2334">
        <v>0.40692159999999999</v>
      </c>
      <c r="P2334">
        <v>179.45454549999999</v>
      </c>
      <c r="Q2334">
        <v>26.326869609999999</v>
      </c>
      <c r="R2334">
        <v>2.3456094639999998</v>
      </c>
      <c r="S2334">
        <v>0.18833116</v>
      </c>
      <c r="T2334" t="s">
        <v>1017</v>
      </c>
      <c r="U2334">
        <v>7.0486379399999999</v>
      </c>
    </row>
    <row r="2335" spans="1:21" x14ac:dyDescent="0.25">
      <c r="A2335" t="s">
        <v>60</v>
      </c>
      <c r="B2335" t="s">
        <v>892</v>
      </c>
      <c r="C2335">
        <v>12</v>
      </c>
      <c r="D2335" t="s">
        <v>33</v>
      </c>
      <c r="E2335" t="s">
        <v>95</v>
      </c>
      <c r="F2335" t="s">
        <v>104</v>
      </c>
      <c r="G2335" t="s">
        <v>104</v>
      </c>
      <c r="H2335" t="s">
        <v>247</v>
      </c>
      <c r="J2335">
        <v>0</v>
      </c>
      <c r="K2335">
        <v>1</v>
      </c>
      <c r="L2335">
        <v>113.9375</v>
      </c>
      <c r="M2335">
        <v>33.375507550000002</v>
      </c>
      <c r="N2335">
        <v>2.4262999999999999</v>
      </c>
      <c r="O2335">
        <v>0.40692159999999999</v>
      </c>
      <c r="P2335">
        <v>65.791044779999993</v>
      </c>
      <c r="Q2335">
        <v>22.94519201</v>
      </c>
      <c r="R2335">
        <v>8.1320334999999994E-2</v>
      </c>
      <c r="S2335">
        <v>0.17285655</v>
      </c>
      <c r="T2335" t="s">
        <v>1017</v>
      </c>
      <c r="U2335">
        <v>10.43031554</v>
      </c>
    </row>
    <row r="2336" spans="1:21" x14ac:dyDescent="0.25">
      <c r="A2336" t="s">
        <v>60</v>
      </c>
      <c r="B2336" t="s">
        <v>893</v>
      </c>
      <c r="C2336">
        <v>12</v>
      </c>
      <c r="D2336" t="s">
        <v>33</v>
      </c>
      <c r="E2336" t="s">
        <v>95</v>
      </c>
      <c r="F2336" t="s">
        <v>112</v>
      </c>
      <c r="G2336" t="s">
        <v>121</v>
      </c>
      <c r="H2336" t="s">
        <v>114</v>
      </c>
      <c r="J2336">
        <v>0</v>
      </c>
      <c r="K2336">
        <v>0</v>
      </c>
      <c r="L2336">
        <v>65.09375</v>
      </c>
      <c r="M2336">
        <v>37.895352600000002</v>
      </c>
      <c r="N2336">
        <v>2.2882677779999998</v>
      </c>
      <c r="O2336">
        <v>2.2111774</v>
      </c>
      <c r="P2336" t="s">
        <v>114</v>
      </c>
      <c r="Q2336" t="s">
        <v>114</v>
      </c>
      <c r="R2336" t="s">
        <v>114</v>
      </c>
      <c r="S2336" t="s">
        <v>114</v>
      </c>
      <c r="T2336" t="s">
        <v>1017</v>
      </c>
      <c r="U2336" t="s">
        <v>114</v>
      </c>
    </row>
    <row r="2337" spans="1:21" x14ac:dyDescent="0.25">
      <c r="A2337" t="s">
        <v>61</v>
      </c>
      <c r="B2337" t="s">
        <v>894</v>
      </c>
      <c r="C2337">
        <v>12</v>
      </c>
      <c r="D2337" t="s">
        <v>35</v>
      </c>
      <c r="E2337" t="s">
        <v>94</v>
      </c>
      <c r="F2337" t="s">
        <v>102</v>
      </c>
      <c r="G2337" t="s">
        <v>121</v>
      </c>
      <c r="H2337" t="s">
        <v>162</v>
      </c>
      <c r="J2337">
        <v>1</v>
      </c>
      <c r="K2337">
        <v>1</v>
      </c>
      <c r="L2337">
        <v>84.740740740000007</v>
      </c>
      <c r="M2337">
        <v>29.167014049999999</v>
      </c>
      <c r="N2337">
        <v>1.1169849999999999</v>
      </c>
      <c r="O2337">
        <v>1.1571499000000001</v>
      </c>
      <c r="P2337">
        <v>82.53846154</v>
      </c>
      <c r="Q2337">
        <v>35.660530039999998</v>
      </c>
      <c r="R2337">
        <v>3.3754499999999998</v>
      </c>
      <c r="S2337" t="s">
        <v>114</v>
      </c>
      <c r="T2337" t="s">
        <v>1017</v>
      </c>
      <c r="U2337">
        <v>6.4935159899999997</v>
      </c>
    </row>
    <row r="2338" spans="1:21" x14ac:dyDescent="0.25">
      <c r="A2338" t="s">
        <v>61</v>
      </c>
      <c r="B2338" t="s">
        <v>895</v>
      </c>
      <c r="C2338">
        <v>12</v>
      </c>
      <c r="D2338" t="s">
        <v>35</v>
      </c>
      <c r="E2338" t="s">
        <v>94</v>
      </c>
      <c r="F2338" t="s">
        <v>110</v>
      </c>
      <c r="G2338" t="s">
        <v>121</v>
      </c>
      <c r="H2338" t="s">
        <v>162</v>
      </c>
      <c r="J2338">
        <v>0</v>
      </c>
      <c r="K2338">
        <v>1</v>
      </c>
      <c r="L2338">
        <v>73.260869569999997</v>
      </c>
      <c r="M2338">
        <v>34.453830549999999</v>
      </c>
      <c r="N2338">
        <v>1.058333333</v>
      </c>
      <c r="O2338">
        <v>0.90897070000000002</v>
      </c>
      <c r="P2338">
        <v>82.53846154</v>
      </c>
      <c r="Q2338">
        <v>35.660530039999998</v>
      </c>
      <c r="R2338">
        <v>3.3754499999999998</v>
      </c>
      <c r="S2338" t="s">
        <v>114</v>
      </c>
      <c r="T2338" t="s">
        <v>1017</v>
      </c>
      <c r="U2338">
        <v>1.2066994900000001</v>
      </c>
    </row>
    <row r="2339" spans="1:21" x14ac:dyDescent="0.25">
      <c r="A2339" t="s">
        <v>61</v>
      </c>
      <c r="B2339" t="s">
        <v>895</v>
      </c>
      <c r="C2339">
        <v>12</v>
      </c>
      <c r="D2339" t="s">
        <v>35</v>
      </c>
      <c r="E2339" t="s">
        <v>94</v>
      </c>
      <c r="F2339" t="s">
        <v>110</v>
      </c>
      <c r="G2339" t="s">
        <v>121</v>
      </c>
      <c r="H2339" t="s">
        <v>102</v>
      </c>
      <c r="J2339">
        <v>0</v>
      </c>
      <c r="K2339">
        <v>1</v>
      </c>
      <c r="L2339">
        <v>73.260869569999997</v>
      </c>
      <c r="M2339">
        <v>34.453830549999999</v>
      </c>
      <c r="N2339">
        <v>1.058333333</v>
      </c>
      <c r="O2339">
        <v>0.90897070000000002</v>
      </c>
      <c r="P2339">
        <v>84.740740740000007</v>
      </c>
      <c r="Q2339">
        <v>29.167014049999999</v>
      </c>
      <c r="R2339">
        <v>1.1169849999999999</v>
      </c>
      <c r="S2339">
        <v>1.1571499000000001</v>
      </c>
      <c r="T2339" t="s">
        <v>1017</v>
      </c>
      <c r="U2339">
        <v>5.2868164999999996</v>
      </c>
    </row>
    <row r="2340" spans="1:21" x14ac:dyDescent="0.25">
      <c r="A2340" t="s">
        <v>61</v>
      </c>
      <c r="B2340" t="s">
        <v>896</v>
      </c>
      <c r="C2340">
        <v>12</v>
      </c>
      <c r="D2340" t="s">
        <v>35</v>
      </c>
      <c r="E2340" t="s">
        <v>94</v>
      </c>
      <c r="F2340" t="s">
        <v>112</v>
      </c>
      <c r="G2340" t="s">
        <v>121</v>
      </c>
      <c r="H2340" t="s">
        <v>162</v>
      </c>
      <c r="J2340">
        <v>0</v>
      </c>
      <c r="K2340">
        <v>1</v>
      </c>
      <c r="L2340">
        <v>65.09375</v>
      </c>
      <c r="M2340">
        <v>37.895352600000002</v>
      </c>
      <c r="N2340">
        <v>2.2882677779999998</v>
      </c>
      <c r="O2340">
        <v>2.2111774</v>
      </c>
      <c r="P2340">
        <v>82.53846154</v>
      </c>
      <c r="Q2340">
        <v>35.660530039999998</v>
      </c>
      <c r="R2340">
        <v>3.3754499999999998</v>
      </c>
      <c r="S2340" t="s">
        <v>114</v>
      </c>
      <c r="T2340" t="s">
        <v>1017</v>
      </c>
      <c r="U2340">
        <v>2.23482256</v>
      </c>
    </row>
    <row r="2341" spans="1:21" x14ac:dyDescent="0.25">
      <c r="A2341" t="s">
        <v>62</v>
      </c>
      <c r="B2341" t="s">
        <v>897</v>
      </c>
      <c r="C2341">
        <v>12</v>
      </c>
      <c r="D2341" t="s">
        <v>37</v>
      </c>
      <c r="E2341" t="s">
        <v>95</v>
      </c>
      <c r="F2341" t="s">
        <v>102</v>
      </c>
      <c r="G2341" t="s">
        <v>121</v>
      </c>
      <c r="H2341" t="s">
        <v>114</v>
      </c>
      <c r="J2341">
        <v>0</v>
      </c>
      <c r="K2341">
        <v>0</v>
      </c>
      <c r="L2341">
        <v>84.740740740000007</v>
      </c>
      <c r="M2341">
        <v>29.167014049999999</v>
      </c>
      <c r="N2341">
        <v>1.1169849999999999</v>
      </c>
      <c r="O2341">
        <v>1.1571499000000001</v>
      </c>
      <c r="P2341" t="s">
        <v>114</v>
      </c>
      <c r="Q2341" t="s">
        <v>114</v>
      </c>
      <c r="R2341" t="s">
        <v>114</v>
      </c>
      <c r="S2341" t="s">
        <v>114</v>
      </c>
      <c r="T2341" t="s">
        <v>1017</v>
      </c>
      <c r="U2341" t="s">
        <v>114</v>
      </c>
    </row>
    <row r="2342" spans="1:21" x14ac:dyDescent="0.25">
      <c r="A2342" t="s">
        <v>62</v>
      </c>
      <c r="B2342" t="s">
        <v>898</v>
      </c>
      <c r="C2342">
        <v>12</v>
      </c>
      <c r="D2342" t="s">
        <v>37</v>
      </c>
      <c r="E2342" t="s">
        <v>95</v>
      </c>
      <c r="F2342" t="s">
        <v>103</v>
      </c>
      <c r="G2342" t="s">
        <v>121</v>
      </c>
      <c r="H2342" t="s">
        <v>233</v>
      </c>
      <c r="J2342">
        <v>0</v>
      </c>
      <c r="K2342">
        <v>1</v>
      </c>
      <c r="L2342">
        <v>98.291666669999998</v>
      </c>
      <c r="M2342">
        <v>30.315130790000001</v>
      </c>
      <c r="N2342">
        <v>5.0803484000000003E-2</v>
      </c>
      <c r="O2342">
        <v>0.42866070000000001</v>
      </c>
      <c r="P2342">
        <v>106.0540541</v>
      </c>
      <c r="Q2342">
        <v>52.690533369999997</v>
      </c>
      <c r="R2342">
        <v>7.6058968000000005E-2</v>
      </c>
      <c r="S2342">
        <v>0.44888888999999998</v>
      </c>
      <c r="T2342" t="s">
        <v>1017</v>
      </c>
      <c r="U2342">
        <v>22.375402579999999</v>
      </c>
    </row>
    <row r="2343" spans="1:21" x14ac:dyDescent="0.25">
      <c r="A2343" t="s">
        <v>62</v>
      </c>
      <c r="B2343" t="s">
        <v>898</v>
      </c>
      <c r="C2343">
        <v>12</v>
      </c>
      <c r="D2343" t="s">
        <v>37</v>
      </c>
      <c r="E2343" t="s">
        <v>95</v>
      </c>
      <c r="F2343" t="s">
        <v>103</v>
      </c>
      <c r="G2343" t="s">
        <v>121</v>
      </c>
      <c r="H2343" t="s">
        <v>234</v>
      </c>
      <c r="J2343">
        <v>0</v>
      </c>
      <c r="K2343">
        <v>1</v>
      </c>
      <c r="L2343">
        <v>98.291666669999998</v>
      </c>
      <c r="M2343">
        <v>30.315130790000001</v>
      </c>
      <c r="N2343">
        <v>5.0803484000000003E-2</v>
      </c>
      <c r="O2343">
        <v>0.42866070000000001</v>
      </c>
      <c r="P2343">
        <v>89.8125</v>
      </c>
      <c r="Q2343">
        <v>34.754706650000003</v>
      </c>
      <c r="R2343">
        <v>2.3065078999999999E-2</v>
      </c>
      <c r="S2343">
        <v>2.4791666700000001</v>
      </c>
      <c r="T2343" t="s">
        <v>1017</v>
      </c>
      <c r="U2343">
        <v>4.4395758599999997</v>
      </c>
    </row>
    <row r="2344" spans="1:21" x14ac:dyDescent="0.25">
      <c r="A2344" t="s">
        <v>62</v>
      </c>
      <c r="B2344" t="s">
        <v>898</v>
      </c>
      <c r="C2344">
        <v>12</v>
      </c>
      <c r="D2344" t="s">
        <v>37</v>
      </c>
      <c r="E2344" t="s">
        <v>95</v>
      </c>
      <c r="F2344" t="s">
        <v>103</v>
      </c>
      <c r="G2344" t="s">
        <v>121</v>
      </c>
      <c r="H2344" t="s">
        <v>241</v>
      </c>
      <c r="J2344">
        <v>0</v>
      </c>
      <c r="K2344">
        <v>1</v>
      </c>
      <c r="L2344">
        <v>98.291666669999998</v>
      </c>
      <c r="M2344">
        <v>30.315130790000001</v>
      </c>
      <c r="N2344">
        <v>5.0803484000000003E-2</v>
      </c>
      <c r="O2344">
        <v>0.42866070000000001</v>
      </c>
      <c r="P2344">
        <v>114</v>
      </c>
      <c r="Q2344">
        <v>30.43077242</v>
      </c>
      <c r="R2344">
        <v>0.53383111100000002</v>
      </c>
      <c r="S2344">
        <v>0.28333332999999999</v>
      </c>
      <c r="T2344" t="s">
        <v>1017</v>
      </c>
      <c r="U2344">
        <v>0.11564163</v>
      </c>
    </row>
    <row r="2345" spans="1:21" x14ac:dyDescent="0.25">
      <c r="A2345" t="s">
        <v>63</v>
      </c>
      <c r="B2345" t="s">
        <v>899</v>
      </c>
      <c r="C2345">
        <v>12</v>
      </c>
      <c r="D2345" t="s">
        <v>64</v>
      </c>
      <c r="E2345" t="s">
        <v>94</v>
      </c>
      <c r="F2345" t="s">
        <v>104</v>
      </c>
      <c r="G2345" t="s">
        <v>121</v>
      </c>
      <c r="H2345" t="s">
        <v>238</v>
      </c>
      <c r="J2345">
        <v>0</v>
      </c>
      <c r="K2345">
        <v>2</v>
      </c>
      <c r="L2345">
        <v>113.9375</v>
      </c>
      <c r="M2345">
        <v>33.375507550000002</v>
      </c>
      <c r="N2345">
        <v>2.4262999999999999</v>
      </c>
      <c r="O2345">
        <v>0.40692159999999999</v>
      </c>
      <c r="P2345">
        <v>87.5</v>
      </c>
      <c r="Q2345">
        <v>29.478311600000001</v>
      </c>
      <c r="R2345">
        <v>3.0797751000000002E-2</v>
      </c>
      <c r="S2345">
        <v>0.12931835</v>
      </c>
      <c r="T2345" t="s">
        <v>1017</v>
      </c>
      <c r="U2345">
        <v>3.89719595</v>
      </c>
    </row>
    <row r="2346" spans="1:21" x14ac:dyDescent="0.25">
      <c r="A2346" t="s">
        <v>63</v>
      </c>
      <c r="B2346" t="s">
        <v>899</v>
      </c>
      <c r="C2346">
        <v>12</v>
      </c>
      <c r="D2346" t="s">
        <v>64</v>
      </c>
      <c r="E2346" t="s">
        <v>94</v>
      </c>
      <c r="F2346" t="s">
        <v>104</v>
      </c>
      <c r="G2346" t="s">
        <v>121</v>
      </c>
      <c r="H2346" t="s">
        <v>238</v>
      </c>
      <c r="J2346">
        <v>0</v>
      </c>
      <c r="K2346">
        <v>2</v>
      </c>
      <c r="L2346">
        <v>113.9375</v>
      </c>
      <c r="M2346">
        <v>33.375507550000002</v>
      </c>
      <c r="N2346">
        <v>2.4262999999999999</v>
      </c>
      <c r="O2346">
        <v>0.40692159999999999</v>
      </c>
      <c r="P2346">
        <v>87.5</v>
      </c>
      <c r="Q2346">
        <v>29.478311600000001</v>
      </c>
      <c r="R2346">
        <v>3.0797751000000002E-2</v>
      </c>
      <c r="S2346">
        <v>0.12931835</v>
      </c>
      <c r="T2346" t="s">
        <v>1017</v>
      </c>
      <c r="U2346">
        <v>3.89719595</v>
      </c>
    </row>
    <row r="2347" spans="1:21" x14ac:dyDescent="0.25">
      <c r="A2347" t="s">
        <v>63</v>
      </c>
      <c r="B2347" t="s">
        <v>899</v>
      </c>
      <c r="C2347">
        <v>12</v>
      </c>
      <c r="D2347" t="s">
        <v>64</v>
      </c>
      <c r="E2347" t="s">
        <v>94</v>
      </c>
      <c r="F2347" t="s">
        <v>104</v>
      </c>
      <c r="G2347" t="s">
        <v>121</v>
      </c>
      <c r="H2347" t="s">
        <v>103</v>
      </c>
      <c r="J2347">
        <v>0</v>
      </c>
      <c r="K2347">
        <v>1</v>
      </c>
      <c r="L2347">
        <v>113.9375</v>
      </c>
      <c r="M2347">
        <v>33.375507550000002</v>
      </c>
      <c r="N2347">
        <v>2.4262999999999999</v>
      </c>
      <c r="O2347">
        <v>0.40692159999999999</v>
      </c>
      <c r="P2347">
        <v>98.291666669999998</v>
      </c>
      <c r="Q2347">
        <v>30.315130790000001</v>
      </c>
      <c r="R2347">
        <v>5.0803484000000003E-2</v>
      </c>
      <c r="S2347">
        <v>0.42866070000000001</v>
      </c>
      <c r="T2347" t="s">
        <v>1017</v>
      </c>
      <c r="U2347">
        <v>3.06037676</v>
      </c>
    </row>
    <row r="2348" spans="1:21" x14ac:dyDescent="0.25">
      <c r="A2348" t="s">
        <v>63</v>
      </c>
      <c r="B2348" t="s">
        <v>899</v>
      </c>
      <c r="C2348">
        <v>12</v>
      </c>
      <c r="D2348" t="s">
        <v>64</v>
      </c>
      <c r="E2348" t="s">
        <v>94</v>
      </c>
      <c r="F2348" t="s">
        <v>104</v>
      </c>
      <c r="G2348" t="s">
        <v>121</v>
      </c>
      <c r="H2348" t="s">
        <v>248</v>
      </c>
      <c r="J2348">
        <v>0</v>
      </c>
      <c r="K2348">
        <v>2</v>
      </c>
      <c r="L2348">
        <v>113.9375</v>
      </c>
      <c r="M2348">
        <v>33.375507550000002</v>
      </c>
      <c r="N2348">
        <v>2.4262999999999999</v>
      </c>
      <c r="O2348">
        <v>0.40692159999999999</v>
      </c>
      <c r="P2348">
        <v>83.92307692</v>
      </c>
      <c r="Q2348">
        <v>44.319135699999997</v>
      </c>
      <c r="R2348">
        <v>5.9548609999999997E-3</v>
      </c>
      <c r="S2348">
        <v>0.18017928</v>
      </c>
      <c r="T2348" t="s">
        <v>1017</v>
      </c>
      <c r="U2348">
        <v>10.94362815</v>
      </c>
    </row>
    <row r="2349" spans="1:21" x14ac:dyDescent="0.25">
      <c r="A2349" t="s">
        <v>63</v>
      </c>
      <c r="B2349" t="s">
        <v>899</v>
      </c>
      <c r="C2349">
        <v>12</v>
      </c>
      <c r="D2349" t="s">
        <v>64</v>
      </c>
      <c r="E2349" t="s">
        <v>94</v>
      </c>
      <c r="F2349" t="s">
        <v>104</v>
      </c>
      <c r="G2349" t="s">
        <v>121</v>
      </c>
      <c r="H2349" t="s">
        <v>248</v>
      </c>
      <c r="J2349">
        <v>0</v>
      </c>
      <c r="K2349">
        <v>2</v>
      </c>
      <c r="L2349">
        <v>113.9375</v>
      </c>
      <c r="M2349">
        <v>33.375507550000002</v>
      </c>
      <c r="N2349">
        <v>2.4262999999999999</v>
      </c>
      <c r="O2349">
        <v>0.40692159999999999</v>
      </c>
      <c r="P2349">
        <v>83.92307692</v>
      </c>
      <c r="Q2349">
        <v>44.319135699999997</v>
      </c>
      <c r="R2349">
        <v>5.9548609999999997E-3</v>
      </c>
      <c r="S2349">
        <v>0.18017928</v>
      </c>
      <c r="T2349" t="s">
        <v>1017</v>
      </c>
      <c r="U2349">
        <v>10.94362815</v>
      </c>
    </row>
    <row r="2350" spans="1:21" x14ac:dyDescent="0.25">
      <c r="A2350" t="s">
        <v>65</v>
      </c>
      <c r="B2350" t="s">
        <v>900</v>
      </c>
      <c r="C2350">
        <v>12</v>
      </c>
      <c r="D2350" t="s">
        <v>66</v>
      </c>
      <c r="E2350" t="s">
        <v>95</v>
      </c>
      <c r="F2350" t="s">
        <v>105</v>
      </c>
      <c r="G2350" t="s">
        <v>121</v>
      </c>
      <c r="H2350" t="s">
        <v>111</v>
      </c>
      <c r="J2350">
        <v>0</v>
      </c>
      <c r="K2350">
        <v>1</v>
      </c>
      <c r="L2350">
        <v>67.5</v>
      </c>
      <c r="M2350">
        <v>47.937235809999997</v>
      </c>
      <c r="N2350">
        <v>0.41599678000000001</v>
      </c>
      <c r="O2350">
        <v>2.0950346999999998</v>
      </c>
      <c r="P2350">
        <v>94.97142857</v>
      </c>
      <c r="Q2350">
        <v>24.31591813</v>
      </c>
      <c r="R2350">
        <v>0.122951111</v>
      </c>
      <c r="S2350">
        <v>0.39050790000000002</v>
      </c>
      <c r="T2350" t="s">
        <v>1017</v>
      </c>
      <c r="U2350">
        <v>23.621317680000001</v>
      </c>
    </row>
    <row r="2351" spans="1:21" x14ac:dyDescent="0.25">
      <c r="A2351" t="s">
        <v>65</v>
      </c>
      <c r="B2351" t="s">
        <v>900</v>
      </c>
      <c r="C2351">
        <v>12</v>
      </c>
      <c r="D2351" t="s">
        <v>66</v>
      </c>
      <c r="E2351" t="s">
        <v>95</v>
      </c>
      <c r="F2351" t="s">
        <v>105</v>
      </c>
      <c r="G2351" t="s">
        <v>121</v>
      </c>
      <c r="H2351" t="s">
        <v>808</v>
      </c>
      <c r="J2351">
        <v>0</v>
      </c>
      <c r="K2351">
        <v>1</v>
      </c>
      <c r="L2351">
        <v>67.5</v>
      </c>
      <c r="M2351">
        <v>47.937235809999997</v>
      </c>
      <c r="N2351">
        <v>0.41599678000000001</v>
      </c>
      <c r="O2351">
        <v>2.0950346999999998</v>
      </c>
      <c r="P2351">
        <v>102.79166669999999</v>
      </c>
      <c r="Q2351">
        <v>27.057373470000002</v>
      </c>
      <c r="R2351">
        <v>6.3567849939999999</v>
      </c>
      <c r="S2351" t="s">
        <v>114</v>
      </c>
      <c r="T2351" t="s">
        <v>1017</v>
      </c>
      <c r="U2351">
        <v>20.879862339999999</v>
      </c>
    </row>
    <row r="2352" spans="1:21" x14ac:dyDescent="0.25">
      <c r="A2352" t="s">
        <v>65</v>
      </c>
      <c r="B2352" t="s">
        <v>900</v>
      </c>
      <c r="C2352">
        <v>12</v>
      </c>
      <c r="D2352" t="s">
        <v>66</v>
      </c>
      <c r="E2352" t="s">
        <v>95</v>
      </c>
      <c r="F2352" t="s">
        <v>105</v>
      </c>
      <c r="G2352" t="s">
        <v>121</v>
      </c>
      <c r="H2352" t="s">
        <v>247</v>
      </c>
      <c r="J2352">
        <v>0</v>
      </c>
      <c r="K2352">
        <v>1</v>
      </c>
      <c r="L2352">
        <v>67.5</v>
      </c>
      <c r="M2352">
        <v>47.937235809999997</v>
      </c>
      <c r="N2352">
        <v>0.41599678000000001</v>
      </c>
      <c r="O2352">
        <v>2.0950346999999998</v>
      </c>
      <c r="P2352">
        <v>65.791044779999993</v>
      </c>
      <c r="Q2352">
        <v>22.94519201</v>
      </c>
      <c r="R2352">
        <v>8.1320334999999994E-2</v>
      </c>
      <c r="S2352">
        <v>0.17285655</v>
      </c>
      <c r="T2352" t="s">
        <v>1017</v>
      </c>
      <c r="U2352">
        <v>24.992043800000001</v>
      </c>
    </row>
    <row r="2353" spans="1:21" x14ac:dyDescent="0.25">
      <c r="A2353" t="s">
        <v>65</v>
      </c>
      <c r="B2353" t="s">
        <v>900</v>
      </c>
      <c r="C2353">
        <v>12</v>
      </c>
      <c r="D2353" t="s">
        <v>66</v>
      </c>
      <c r="E2353" t="s">
        <v>95</v>
      </c>
      <c r="F2353" t="s">
        <v>105</v>
      </c>
      <c r="G2353" t="s">
        <v>121</v>
      </c>
      <c r="H2353" t="s">
        <v>248</v>
      </c>
      <c r="J2353">
        <v>0</v>
      </c>
      <c r="K2353">
        <v>2</v>
      </c>
      <c r="L2353">
        <v>67.5</v>
      </c>
      <c r="M2353">
        <v>47.937235809999997</v>
      </c>
      <c r="N2353">
        <v>0.41599678000000001</v>
      </c>
      <c r="O2353">
        <v>2.0950346999999998</v>
      </c>
      <c r="P2353">
        <v>83.92307692</v>
      </c>
      <c r="Q2353">
        <v>44.319135699999997</v>
      </c>
      <c r="R2353">
        <v>5.9548609999999997E-3</v>
      </c>
      <c r="S2353">
        <v>0.18017928</v>
      </c>
      <c r="T2353" t="s">
        <v>1017</v>
      </c>
      <c r="U2353">
        <v>3.6181001099999999</v>
      </c>
    </row>
    <row r="2354" spans="1:21" x14ac:dyDescent="0.25">
      <c r="A2354" t="s">
        <v>65</v>
      </c>
      <c r="B2354" t="s">
        <v>900</v>
      </c>
      <c r="C2354">
        <v>12</v>
      </c>
      <c r="D2354" t="s">
        <v>66</v>
      </c>
      <c r="E2354" t="s">
        <v>95</v>
      </c>
      <c r="F2354" t="s">
        <v>105</v>
      </c>
      <c r="G2354" t="s">
        <v>121</v>
      </c>
      <c r="H2354" t="s">
        <v>248</v>
      </c>
      <c r="J2354">
        <v>0</v>
      </c>
      <c r="K2354">
        <v>2</v>
      </c>
      <c r="L2354">
        <v>67.5</v>
      </c>
      <c r="M2354">
        <v>47.937235809999997</v>
      </c>
      <c r="N2354">
        <v>0.41599678000000001</v>
      </c>
      <c r="O2354">
        <v>2.0950346999999998</v>
      </c>
      <c r="P2354">
        <v>83.92307692</v>
      </c>
      <c r="Q2354">
        <v>44.319135699999997</v>
      </c>
      <c r="R2354">
        <v>5.9548609999999997E-3</v>
      </c>
      <c r="S2354">
        <v>0.18017928</v>
      </c>
      <c r="T2354" t="s">
        <v>1017</v>
      </c>
      <c r="U2354">
        <v>3.6181001099999999</v>
      </c>
    </row>
    <row r="2355" spans="1:21" x14ac:dyDescent="0.25">
      <c r="A2355" t="s">
        <v>10</v>
      </c>
      <c r="B2355" t="s">
        <v>901</v>
      </c>
      <c r="C2355">
        <v>15</v>
      </c>
      <c r="D2355" t="s">
        <v>11</v>
      </c>
      <c r="E2355" t="s">
        <v>94</v>
      </c>
      <c r="F2355" t="s">
        <v>102</v>
      </c>
      <c r="G2355" t="s">
        <v>102</v>
      </c>
      <c r="H2355" t="s">
        <v>102</v>
      </c>
      <c r="J2355">
        <v>0</v>
      </c>
      <c r="K2355">
        <v>1</v>
      </c>
      <c r="L2355">
        <v>84.740740740000007</v>
      </c>
      <c r="M2355">
        <v>29.167014049999999</v>
      </c>
      <c r="N2355">
        <v>1.1169849999999999</v>
      </c>
      <c r="O2355">
        <v>1.1571499000000001</v>
      </c>
      <c r="P2355">
        <v>84.740740740000007</v>
      </c>
      <c r="Q2355">
        <v>29.167014049999999</v>
      </c>
      <c r="R2355">
        <v>1.1169849999999999</v>
      </c>
      <c r="S2355">
        <v>1.1571499000000001</v>
      </c>
      <c r="T2355" t="s">
        <v>1017</v>
      </c>
      <c r="U2355">
        <v>0</v>
      </c>
    </row>
    <row r="2356" spans="1:21" x14ac:dyDescent="0.25">
      <c r="A2356" t="s">
        <v>10</v>
      </c>
      <c r="B2356" t="s">
        <v>901</v>
      </c>
      <c r="C2356">
        <v>16</v>
      </c>
      <c r="D2356" t="s">
        <v>11</v>
      </c>
      <c r="E2356" t="s">
        <v>94</v>
      </c>
      <c r="F2356" t="s">
        <v>102</v>
      </c>
      <c r="G2356" t="s">
        <v>102</v>
      </c>
      <c r="H2356" t="s">
        <v>111</v>
      </c>
      <c r="J2356">
        <v>0</v>
      </c>
      <c r="K2356">
        <v>1</v>
      </c>
      <c r="L2356">
        <v>84.740740740000007</v>
      </c>
      <c r="M2356">
        <v>29.167014049999999</v>
      </c>
      <c r="N2356">
        <v>1.1169849999999999</v>
      </c>
      <c r="O2356">
        <v>1.1571499000000001</v>
      </c>
      <c r="P2356">
        <v>94.97142857</v>
      </c>
      <c r="Q2356">
        <v>24.31591813</v>
      </c>
      <c r="R2356">
        <v>0.122951111</v>
      </c>
      <c r="S2356">
        <v>0.39050790000000002</v>
      </c>
      <c r="T2356" t="s">
        <v>1017</v>
      </c>
      <c r="U2356">
        <v>4.8510959199999997</v>
      </c>
    </row>
    <row r="2357" spans="1:21" x14ac:dyDescent="0.25">
      <c r="A2357" t="s">
        <v>10</v>
      </c>
      <c r="B2357" t="s">
        <v>902</v>
      </c>
      <c r="C2357">
        <v>15</v>
      </c>
      <c r="D2357" t="s">
        <v>11</v>
      </c>
      <c r="E2357" t="s">
        <v>94</v>
      </c>
      <c r="F2357" t="s">
        <v>105</v>
      </c>
      <c r="G2357" t="s">
        <v>121</v>
      </c>
      <c r="H2357" t="s">
        <v>244</v>
      </c>
      <c r="J2357">
        <v>0</v>
      </c>
      <c r="K2357">
        <v>2</v>
      </c>
      <c r="L2357">
        <v>67.5</v>
      </c>
      <c r="M2357">
        <v>47.937235809999997</v>
      </c>
      <c r="N2357">
        <v>0.41599678000000001</v>
      </c>
      <c r="O2357">
        <v>2.0950346999999998</v>
      </c>
      <c r="P2357">
        <v>75</v>
      </c>
      <c r="Q2357">
        <v>28.80614499</v>
      </c>
      <c r="R2357">
        <v>2.3860428570000001</v>
      </c>
      <c r="S2357">
        <v>0.26400832000000002</v>
      </c>
      <c r="T2357" t="s">
        <v>1017</v>
      </c>
      <c r="U2357">
        <v>19.131090820000001</v>
      </c>
    </row>
    <row r="2358" spans="1:21" x14ac:dyDescent="0.25">
      <c r="A2358" t="s">
        <v>10</v>
      </c>
      <c r="B2358" t="s">
        <v>902</v>
      </c>
      <c r="C2358">
        <v>15</v>
      </c>
      <c r="D2358" t="s">
        <v>11</v>
      </c>
      <c r="E2358" t="s">
        <v>94</v>
      </c>
      <c r="F2358" t="s">
        <v>105</v>
      </c>
      <c r="G2358" t="s">
        <v>121</v>
      </c>
      <c r="H2358" t="s">
        <v>244</v>
      </c>
      <c r="J2358">
        <v>0</v>
      </c>
      <c r="K2358">
        <v>2</v>
      </c>
      <c r="L2358">
        <v>67.5</v>
      </c>
      <c r="M2358">
        <v>47.937235809999997</v>
      </c>
      <c r="N2358">
        <v>0.41599678000000001</v>
      </c>
      <c r="O2358">
        <v>2.0950346999999998</v>
      </c>
      <c r="P2358">
        <v>75</v>
      </c>
      <c r="Q2358">
        <v>28.80614499</v>
      </c>
      <c r="R2358">
        <v>2.3860428570000001</v>
      </c>
      <c r="S2358">
        <v>0.26400832000000002</v>
      </c>
      <c r="T2358" t="s">
        <v>1017</v>
      </c>
      <c r="U2358">
        <v>19.131090820000001</v>
      </c>
    </row>
    <row r="2359" spans="1:21" x14ac:dyDescent="0.25">
      <c r="A2359" t="s">
        <v>10</v>
      </c>
      <c r="B2359" t="s">
        <v>902</v>
      </c>
      <c r="C2359">
        <v>16</v>
      </c>
      <c r="D2359" t="s">
        <v>11</v>
      </c>
      <c r="E2359" t="s">
        <v>94</v>
      </c>
      <c r="F2359" t="s">
        <v>105</v>
      </c>
      <c r="G2359" t="s">
        <v>121</v>
      </c>
      <c r="H2359" t="s">
        <v>104</v>
      </c>
      <c r="J2359">
        <v>0</v>
      </c>
      <c r="K2359">
        <v>1</v>
      </c>
      <c r="L2359">
        <v>67.5</v>
      </c>
      <c r="M2359">
        <v>47.937235809999997</v>
      </c>
      <c r="N2359">
        <v>0.41599678000000001</v>
      </c>
      <c r="O2359">
        <v>2.0950346999999998</v>
      </c>
      <c r="P2359">
        <v>113.9375</v>
      </c>
      <c r="Q2359">
        <v>33.375507550000002</v>
      </c>
      <c r="R2359">
        <v>2.4262999999999999</v>
      </c>
      <c r="S2359">
        <v>0.40692159999999999</v>
      </c>
      <c r="T2359" t="s">
        <v>1017</v>
      </c>
      <c r="U2359">
        <v>14.561728260000001</v>
      </c>
    </row>
    <row r="2360" spans="1:21" x14ac:dyDescent="0.25">
      <c r="A2360" t="s">
        <v>10</v>
      </c>
      <c r="B2360" t="s">
        <v>903</v>
      </c>
      <c r="C2360">
        <v>15</v>
      </c>
      <c r="D2360" t="s">
        <v>11</v>
      </c>
      <c r="E2360" t="s">
        <v>94</v>
      </c>
      <c r="F2360" t="s">
        <v>103</v>
      </c>
      <c r="G2360" t="s">
        <v>121</v>
      </c>
      <c r="H2360" t="s">
        <v>245</v>
      </c>
      <c r="J2360">
        <v>0</v>
      </c>
      <c r="K2360">
        <v>1</v>
      </c>
      <c r="L2360">
        <v>98.291666669999998</v>
      </c>
      <c r="M2360">
        <v>30.315130790000001</v>
      </c>
      <c r="N2360">
        <v>5.0803484000000003E-2</v>
      </c>
      <c r="O2360">
        <v>0.42866070000000001</v>
      </c>
      <c r="P2360" t="s">
        <v>114</v>
      </c>
      <c r="Q2360" t="s">
        <v>114</v>
      </c>
      <c r="R2360" t="s">
        <v>114</v>
      </c>
      <c r="S2360" t="s">
        <v>114</v>
      </c>
      <c r="T2360" t="s">
        <v>1017</v>
      </c>
      <c r="U2360" t="s">
        <v>114</v>
      </c>
    </row>
    <row r="2361" spans="1:21" x14ac:dyDescent="0.25">
      <c r="A2361" t="s">
        <v>10</v>
      </c>
      <c r="B2361" t="s">
        <v>904</v>
      </c>
      <c r="C2361">
        <v>15</v>
      </c>
      <c r="D2361" t="s">
        <v>11</v>
      </c>
      <c r="E2361" t="s">
        <v>94</v>
      </c>
      <c r="F2361" t="s">
        <v>104</v>
      </c>
      <c r="G2361" t="s">
        <v>121</v>
      </c>
      <c r="H2361" t="s">
        <v>242</v>
      </c>
      <c r="J2361">
        <v>0</v>
      </c>
      <c r="K2361">
        <v>6</v>
      </c>
      <c r="L2361">
        <v>113.9375</v>
      </c>
      <c r="M2361">
        <v>33.375507550000002</v>
      </c>
      <c r="N2361">
        <v>2.4262999999999999</v>
      </c>
      <c r="O2361">
        <v>0.40692159999999999</v>
      </c>
      <c r="P2361">
        <v>139.375</v>
      </c>
      <c r="Q2361">
        <v>23.713465920000001</v>
      </c>
      <c r="R2361" t="s">
        <v>114</v>
      </c>
      <c r="S2361" t="s">
        <v>114</v>
      </c>
      <c r="T2361" t="s">
        <v>1017</v>
      </c>
      <c r="U2361">
        <v>9.6620416299999992</v>
      </c>
    </row>
    <row r="2362" spans="1:21" x14ac:dyDescent="0.25">
      <c r="A2362" t="s">
        <v>10</v>
      </c>
      <c r="B2362" t="s">
        <v>904</v>
      </c>
      <c r="C2362">
        <v>15</v>
      </c>
      <c r="D2362" t="s">
        <v>11</v>
      </c>
      <c r="E2362" t="s">
        <v>94</v>
      </c>
      <c r="F2362" t="s">
        <v>104</v>
      </c>
      <c r="G2362" t="s">
        <v>121</v>
      </c>
      <c r="H2362" t="s">
        <v>242</v>
      </c>
      <c r="J2362">
        <v>0</v>
      </c>
      <c r="K2362">
        <v>6</v>
      </c>
      <c r="L2362">
        <v>113.9375</v>
      </c>
      <c r="M2362">
        <v>33.375507550000002</v>
      </c>
      <c r="N2362">
        <v>2.4262999999999999</v>
      </c>
      <c r="O2362">
        <v>0.40692159999999999</v>
      </c>
      <c r="P2362">
        <v>139.375</v>
      </c>
      <c r="Q2362">
        <v>23.713465920000001</v>
      </c>
      <c r="R2362" t="s">
        <v>114</v>
      </c>
      <c r="S2362" t="s">
        <v>114</v>
      </c>
      <c r="T2362" t="s">
        <v>1017</v>
      </c>
      <c r="U2362">
        <v>9.6620416299999992</v>
      </c>
    </row>
    <row r="2363" spans="1:21" x14ac:dyDescent="0.25">
      <c r="A2363" t="s">
        <v>10</v>
      </c>
      <c r="B2363" t="s">
        <v>904</v>
      </c>
      <c r="C2363">
        <v>15</v>
      </c>
      <c r="D2363" t="s">
        <v>11</v>
      </c>
      <c r="E2363" t="s">
        <v>94</v>
      </c>
      <c r="F2363" t="s">
        <v>104</v>
      </c>
      <c r="G2363" t="s">
        <v>121</v>
      </c>
      <c r="H2363" t="s">
        <v>242</v>
      </c>
      <c r="J2363">
        <v>0</v>
      </c>
      <c r="K2363">
        <v>6</v>
      </c>
      <c r="L2363">
        <v>113.9375</v>
      </c>
      <c r="M2363">
        <v>33.375507550000002</v>
      </c>
      <c r="N2363">
        <v>2.4262999999999999</v>
      </c>
      <c r="O2363">
        <v>0.40692159999999999</v>
      </c>
      <c r="P2363">
        <v>139.375</v>
      </c>
      <c r="Q2363">
        <v>23.713465920000001</v>
      </c>
      <c r="R2363" t="s">
        <v>114</v>
      </c>
      <c r="S2363" t="s">
        <v>114</v>
      </c>
      <c r="T2363" t="s">
        <v>1017</v>
      </c>
      <c r="U2363">
        <v>9.6620416299999992</v>
      </c>
    </row>
    <row r="2364" spans="1:21" x14ac:dyDescent="0.25">
      <c r="A2364" t="s">
        <v>10</v>
      </c>
      <c r="B2364" t="s">
        <v>904</v>
      </c>
      <c r="C2364">
        <v>15</v>
      </c>
      <c r="D2364" t="s">
        <v>11</v>
      </c>
      <c r="E2364" t="s">
        <v>94</v>
      </c>
      <c r="F2364" t="s">
        <v>104</v>
      </c>
      <c r="G2364" t="s">
        <v>121</v>
      </c>
      <c r="H2364" t="s">
        <v>242</v>
      </c>
      <c r="J2364">
        <v>0</v>
      </c>
      <c r="K2364">
        <v>6</v>
      </c>
      <c r="L2364">
        <v>113.9375</v>
      </c>
      <c r="M2364">
        <v>33.375507550000002</v>
      </c>
      <c r="N2364">
        <v>2.4262999999999999</v>
      </c>
      <c r="O2364">
        <v>0.40692159999999999</v>
      </c>
      <c r="P2364">
        <v>139.375</v>
      </c>
      <c r="Q2364">
        <v>23.713465920000001</v>
      </c>
      <c r="R2364" t="s">
        <v>114</v>
      </c>
      <c r="S2364" t="s">
        <v>114</v>
      </c>
      <c r="T2364" t="s">
        <v>1017</v>
      </c>
      <c r="U2364">
        <v>9.6620416299999992</v>
      </c>
    </row>
    <row r="2365" spans="1:21" x14ac:dyDescent="0.25">
      <c r="A2365" t="s">
        <v>10</v>
      </c>
      <c r="B2365" t="s">
        <v>904</v>
      </c>
      <c r="C2365">
        <v>15</v>
      </c>
      <c r="D2365" t="s">
        <v>11</v>
      </c>
      <c r="E2365" t="s">
        <v>94</v>
      </c>
      <c r="F2365" t="s">
        <v>104</v>
      </c>
      <c r="G2365" t="s">
        <v>121</v>
      </c>
      <c r="H2365" t="s">
        <v>242</v>
      </c>
      <c r="J2365">
        <v>0</v>
      </c>
      <c r="K2365">
        <v>6</v>
      </c>
      <c r="L2365">
        <v>113.9375</v>
      </c>
      <c r="M2365">
        <v>33.375507550000002</v>
      </c>
      <c r="N2365">
        <v>2.4262999999999999</v>
      </c>
      <c r="O2365">
        <v>0.40692159999999999</v>
      </c>
      <c r="P2365">
        <v>139.375</v>
      </c>
      <c r="Q2365">
        <v>23.713465920000001</v>
      </c>
      <c r="R2365" t="s">
        <v>114</v>
      </c>
      <c r="S2365" t="s">
        <v>114</v>
      </c>
      <c r="T2365" t="s">
        <v>1017</v>
      </c>
      <c r="U2365">
        <v>9.6620416299999992</v>
      </c>
    </row>
    <row r="2366" spans="1:21" x14ac:dyDescent="0.25">
      <c r="A2366" t="s">
        <v>10</v>
      </c>
      <c r="B2366" t="s">
        <v>904</v>
      </c>
      <c r="C2366">
        <v>15</v>
      </c>
      <c r="D2366" t="s">
        <v>11</v>
      </c>
      <c r="E2366" t="s">
        <v>94</v>
      </c>
      <c r="F2366" t="s">
        <v>104</v>
      </c>
      <c r="G2366" t="s">
        <v>121</v>
      </c>
      <c r="H2366" t="s">
        <v>242</v>
      </c>
      <c r="J2366">
        <v>0</v>
      </c>
      <c r="K2366">
        <v>6</v>
      </c>
      <c r="L2366">
        <v>113.9375</v>
      </c>
      <c r="M2366">
        <v>33.375507550000002</v>
      </c>
      <c r="N2366">
        <v>2.4262999999999999</v>
      </c>
      <c r="O2366">
        <v>0.40692159999999999</v>
      </c>
      <c r="P2366">
        <v>139.375</v>
      </c>
      <c r="Q2366">
        <v>23.713465920000001</v>
      </c>
      <c r="R2366" t="s">
        <v>114</v>
      </c>
      <c r="S2366" t="s">
        <v>114</v>
      </c>
      <c r="T2366" t="s">
        <v>1017</v>
      </c>
      <c r="U2366">
        <v>9.6620416299999992</v>
      </c>
    </row>
    <row r="2367" spans="1:21" x14ac:dyDescent="0.25">
      <c r="A2367" t="s">
        <v>14</v>
      </c>
      <c r="B2367" t="s">
        <v>905</v>
      </c>
      <c r="C2367">
        <v>15</v>
      </c>
      <c r="D2367" t="s">
        <v>15</v>
      </c>
      <c r="E2367" t="s">
        <v>94</v>
      </c>
      <c r="F2367" t="s">
        <v>102</v>
      </c>
      <c r="G2367" t="s">
        <v>121</v>
      </c>
      <c r="H2367" t="s">
        <v>114</v>
      </c>
      <c r="J2367">
        <v>0</v>
      </c>
      <c r="K2367" t="s">
        <v>114</v>
      </c>
      <c r="L2367">
        <v>84.740740740000007</v>
      </c>
      <c r="M2367">
        <v>29.167014049999999</v>
      </c>
      <c r="N2367">
        <v>1.1169849999999999</v>
      </c>
      <c r="O2367">
        <v>1.1571499000000001</v>
      </c>
      <c r="P2367" t="s">
        <v>114</v>
      </c>
      <c r="Q2367" t="s">
        <v>114</v>
      </c>
      <c r="R2367" t="s">
        <v>114</v>
      </c>
      <c r="S2367" t="s">
        <v>114</v>
      </c>
      <c r="T2367" t="s">
        <v>1017</v>
      </c>
      <c r="U2367" t="s">
        <v>114</v>
      </c>
    </row>
    <row r="2368" spans="1:21" x14ac:dyDescent="0.25">
      <c r="A2368" t="s">
        <v>14</v>
      </c>
      <c r="B2368" t="s">
        <v>906</v>
      </c>
      <c r="C2368">
        <v>15</v>
      </c>
      <c r="D2368" t="s">
        <v>15</v>
      </c>
      <c r="E2368" t="s">
        <v>94</v>
      </c>
      <c r="F2368" t="s">
        <v>110</v>
      </c>
      <c r="G2368" t="s">
        <v>121</v>
      </c>
      <c r="H2368" t="s">
        <v>114</v>
      </c>
      <c r="J2368">
        <v>0</v>
      </c>
      <c r="K2368" t="s">
        <v>114</v>
      </c>
      <c r="L2368">
        <v>73.260869569999997</v>
      </c>
      <c r="M2368">
        <v>34.453830549999999</v>
      </c>
      <c r="N2368">
        <v>1.058333333</v>
      </c>
      <c r="O2368">
        <v>0.90897070000000002</v>
      </c>
      <c r="P2368" t="s">
        <v>114</v>
      </c>
      <c r="Q2368" t="s">
        <v>114</v>
      </c>
      <c r="R2368" t="s">
        <v>114</v>
      </c>
      <c r="S2368" t="s">
        <v>114</v>
      </c>
      <c r="T2368" t="s">
        <v>1017</v>
      </c>
      <c r="U2368" t="s">
        <v>114</v>
      </c>
    </row>
    <row r="2369" spans="1:21" x14ac:dyDescent="0.25">
      <c r="A2369" t="s">
        <v>14</v>
      </c>
      <c r="B2369" t="s">
        <v>907</v>
      </c>
      <c r="C2369">
        <v>15</v>
      </c>
      <c r="D2369" t="s">
        <v>15</v>
      </c>
      <c r="E2369" t="s">
        <v>94</v>
      </c>
      <c r="F2369" t="s">
        <v>111</v>
      </c>
      <c r="G2369" t="s">
        <v>110</v>
      </c>
      <c r="H2369" t="s">
        <v>110</v>
      </c>
      <c r="J2369">
        <v>0</v>
      </c>
      <c r="K2369">
        <v>1</v>
      </c>
      <c r="L2369">
        <v>94.97142857</v>
      </c>
      <c r="M2369">
        <v>24.31591813</v>
      </c>
      <c r="N2369">
        <v>0.122951111</v>
      </c>
      <c r="O2369">
        <v>0.39050790000000002</v>
      </c>
      <c r="P2369">
        <v>73.260869569999997</v>
      </c>
      <c r="Q2369">
        <v>34.453830549999999</v>
      </c>
      <c r="R2369">
        <v>1.058333333</v>
      </c>
      <c r="S2369">
        <v>0.90897070000000002</v>
      </c>
      <c r="T2369" t="s">
        <v>1017</v>
      </c>
      <c r="U2369">
        <v>10.137912419999999</v>
      </c>
    </row>
    <row r="2370" spans="1:21" x14ac:dyDescent="0.25">
      <c r="A2370" t="s">
        <v>14</v>
      </c>
      <c r="B2370" t="s">
        <v>908</v>
      </c>
      <c r="C2370">
        <v>15</v>
      </c>
      <c r="D2370" t="s">
        <v>15</v>
      </c>
      <c r="E2370" t="s">
        <v>94</v>
      </c>
      <c r="F2370" t="s">
        <v>104</v>
      </c>
      <c r="G2370" t="s">
        <v>110</v>
      </c>
      <c r="H2370" t="s">
        <v>110</v>
      </c>
      <c r="J2370">
        <v>0</v>
      </c>
      <c r="K2370">
        <v>1</v>
      </c>
      <c r="L2370">
        <v>113.9375</v>
      </c>
      <c r="M2370">
        <v>33.375507550000002</v>
      </c>
      <c r="N2370">
        <v>2.4262999999999999</v>
      </c>
      <c r="O2370">
        <v>0.40692159999999999</v>
      </c>
      <c r="P2370">
        <v>73.260869569999997</v>
      </c>
      <c r="Q2370">
        <v>34.453830549999999</v>
      </c>
      <c r="R2370">
        <v>1.058333333</v>
      </c>
      <c r="S2370">
        <v>0.90897070000000002</v>
      </c>
      <c r="T2370" t="s">
        <v>1017</v>
      </c>
      <c r="U2370">
        <v>1.0783229999999999</v>
      </c>
    </row>
    <row r="2371" spans="1:21" x14ac:dyDescent="0.25">
      <c r="A2371" t="s">
        <v>14</v>
      </c>
      <c r="B2371" t="s">
        <v>908</v>
      </c>
      <c r="C2371">
        <v>16</v>
      </c>
      <c r="D2371" t="s">
        <v>15</v>
      </c>
      <c r="E2371" t="s">
        <v>94</v>
      </c>
      <c r="F2371" t="s">
        <v>104</v>
      </c>
      <c r="G2371" t="s">
        <v>110</v>
      </c>
      <c r="H2371" t="s">
        <v>104</v>
      </c>
      <c r="J2371">
        <v>0</v>
      </c>
      <c r="K2371">
        <v>2</v>
      </c>
      <c r="L2371">
        <v>113.9375</v>
      </c>
      <c r="M2371">
        <v>33.375507550000002</v>
      </c>
      <c r="N2371">
        <v>2.4262999999999999</v>
      </c>
      <c r="O2371">
        <v>0.40692159999999999</v>
      </c>
      <c r="P2371">
        <v>113.9375</v>
      </c>
      <c r="Q2371">
        <v>33.375507550000002</v>
      </c>
      <c r="R2371">
        <v>2.4262999999999999</v>
      </c>
      <c r="S2371">
        <v>0.40692159999999999</v>
      </c>
      <c r="T2371" t="s">
        <v>1017</v>
      </c>
      <c r="U2371">
        <v>0</v>
      </c>
    </row>
    <row r="2372" spans="1:21" x14ac:dyDescent="0.25">
      <c r="A2372" t="s">
        <v>14</v>
      </c>
      <c r="B2372" t="s">
        <v>908</v>
      </c>
      <c r="C2372">
        <v>16</v>
      </c>
      <c r="D2372" t="s">
        <v>15</v>
      </c>
      <c r="E2372" t="s">
        <v>94</v>
      </c>
      <c r="F2372" t="s">
        <v>104</v>
      </c>
      <c r="G2372" t="s">
        <v>110</v>
      </c>
      <c r="H2372" t="s">
        <v>104</v>
      </c>
      <c r="J2372">
        <v>0</v>
      </c>
      <c r="K2372">
        <v>2</v>
      </c>
      <c r="L2372">
        <v>113.9375</v>
      </c>
      <c r="M2372">
        <v>33.375507550000002</v>
      </c>
      <c r="N2372">
        <v>2.4262999999999999</v>
      </c>
      <c r="O2372">
        <v>0.40692159999999999</v>
      </c>
      <c r="P2372">
        <v>113.9375</v>
      </c>
      <c r="Q2372">
        <v>33.375507550000002</v>
      </c>
      <c r="R2372">
        <v>2.4262999999999999</v>
      </c>
      <c r="S2372">
        <v>0.40692159999999999</v>
      </c>
      <c r="T2372" t="s">
        <v>1017</v>
      </c>
      <c r="U2372">
        <v>0</v>
      </c>
    </row>
    <row r="2373" spans="1:21" x14ac:dyDescent="0.25">
      <c r="A2373" t="s">
        <v>16</v>
      </c>
      <c r="B2373" t="s">
        <v>909</v>
      </c>
      <c r="C2373">
        <v>15</v>
      </c>
      <c r="D2373" t="s">
        <v>17</v>
      </c>
      <c r="E2373" t="s">
        <v>95</v>
      </c>
      <c r="F2373" t="s">
        <v>113</v>
      </c>
      <c r="G2373" t="s">
        <v>104</v>
      </c>
      <c r="H2373" t="s">
        <v>104</v>
      </c>
      <c r="J2373">
        <v>0</v>
      </c>
      <c r="K2373">
        <v>1</v>
      </c>
      <c r="L2373">
        <v>83.757575759999995</v>
      </c>
      <c r="M2373">
        <v>22.60997987</v>
      </c>
      <c r="N2373">
        <v>0.72884000000000004</v>
      </c>
      <c r="O2373">
        <v>0.21301339999999999</v>
      </c>
      <c r="P2373">
        <v>113.9375</v>
      </c>
      <c r="Q2373">
        <v>33.375507550000002</v>
      </c>
      <c r="R2373">
        <v>2.4262999999999999</v>
      </c>
      <c r="S2373">
        <v>0.40692159999999999</v>
      </c>
      <c r="T2373" t="s">
        <v>1017</v>
      </c>
      <c r="U2373">
        <v>10.76552768</v>
      </c>
    </row>
    <row r="2374" spans="1:21" x14ac:dyDescent="0.25">
      <c r="A2374" t="s">
        <v>16</v>
      </c>
      <c r="B2374" t="s">
        <v>909</v>
      </c>
      <c r="C2374">
        <v>16</v>
      </c>
      <c r="D2374" t="s">
        <v>17</v>
      </c>
      <c r="E2374" t="s">
        <v>95</v>
      </c>
      <c r="F2374" t="s">
        <v>113</v>
      </c>
      <c r="G2374" t="s">
        <v>104</v>
      </c>
      <c r="H2374" t="s">
        <v>113</v>
      </c>
      <c r="J2374">
        <v>0</v>
      </c>
      <c r="K2374">
        <v>3</v>
      </c>
      <c r="L2374">
        <v>83.757575759999995</v>
      </c>
      <c r="M2374">
        <v>22.60997987</v>
      </c>
      <c r="N2374">
        <v>0.72884000000000004</v>
      </c>
      <c r="O2374">
        <v>0.21301339999999999</v>
      </c>
      <c r="P2374">
        <v>83.757575759999995</v>
      </c>
      <c r="Q2374">
        <v>22.60997987</v>
      </c>
      <c r="R2374">
        <v>0.72884000000000004</v>
      </c>
      <c r="S2374">
        <v>0.21301339999999999</v>
      </c>
      <c r="T2374" t="s">
        <v>1017</v>
      </c>
      <c r="U2374">
        <v>0</v>
      </c>
    </row>
    <row r="2375" spans="1:21" x14ac:dyDescent="0.25">
      <c r="A2375" t="s">
        <v>16</v>
      </c>
      <c r="B2375" t="s">
        <v>909</v>
      </c>
      <c r="C2375">
        <v>16</v>
      </c>
      <c r="D2375" t="s">
        <v>17</v>
      </c>
      <c r="E2375" t="s">
        <v>95</v>
      </c>
      <c r="F2375" t="s">
        <v>113</v>
      </c>
      <c r="G2375" t="s">
        <v>104</v>
      </c>
      <c r="H2375" t="s">
        <v>113</v>
      </c>
      <c r="J2375">
        <v>0</v>
      </c>
      <c r="K2375">
        <v>3</v>
      </c>
      <c r="L2375">
        <v>83.757575759999995</v>
      </c>
      <c r="M2375">
        <v>22.60997987</v>
      </c>
      <c r="N2375">
        <v>0.72884000000000004</v>
      </c>
      <c r="O2375">
        <v>0.21301339999999999</v>
      </c>
      <c r="P2375">
        <v>83.757575759999995</v>
      </c>
      <c r="Q2375">
        <v>22.60997987</v>
      </c>
      <c r="R2375">
        <v>0.72884000000000004</v>
      </c>
      <c r="S2375">
        <v>0.21301339999999999</v>
      </c>
      <c r="T2375" t="s">
        <v>1017</v>
      </c>
      <c r="U2375">
        <v>0</v>
      </c>
    </row>
    <row r="2376" spans="1:21" x14ac:dyDescent="0.25">
      <c r="A2376" t="s">
        <v>16</v>
      </c>
      <c r="B2376" t="s">
        <v>909</v>
      </c>
      <c r="C2376">
        <v>16</v>
      </c>
      <c r="D2376" t="s">
        <v>17</v>
      </c>
      <c r="E2376" t="s">
        <v>95</v>
      </c>
      <c r="F2376" t="s">
        <v>113</v>
      </c>
      <c r="G2376" t="s">
        <v>104</v>
      </c>
      <c r="H2376" t="s">
        <v>113</v>
      </c>
      <c r="J2376">
        <v>0</v>
      </c>
      <c r="K2376">
        <v>3</v>
      </c>
      <c r="L2376">
        <v>83.757575759999995</v>
      </c>
      <c r="M2376">
        <v>22.60997987</v>
      </c>
      <c r="N2376">
        <v>0.72884000000000004</v>
      </c>
      <c r="O2376">
        <v>0.21301339999999999</v>
      </c>
      <c r="P2376">
        <v>83.757575759999995</v>
      </c>
      <c r="Q2376">
        <v>22.60997987</v>
      </c>
      <c r="R2376">
        <v>0.72884000000000004</v>
      </c>
      <c r="S2376">
        <v>0.21301339999999999</v>
      </c>
      <c r="T2376" t="s">
        <v>1017</v>
      </c>
      <c r="U2376">
        <v>0</v>
      </c>
    </row>
    <row r="2377" spans="1:21" x14ac:dyDescent="0.25">
      <c r="A2377" t="s">
        <v>16</v>
      </c>
      <c r="B2377" t="s">
        <v>910</v>
      </c>
      <c r="C2377">
        <v>15</v>
      </c>
      <c r="D2377" t="s">
        <v>17</v>
      </c>
      <c r="E2377" t="s">
        <v>95</v>
      </c>
      <c r="F2377" t="s">
        <v>110</v>
      </c>
      <c r="G2377" t="s">
        <v>121</v>
      </c>
      <c r="H2377" t="s">
        <v>104</v>
      </c>
      <c r="J2377">
        <v>0</v>
      </c>
      <c r="K2377">
        <v>1</v>
      </c>
      <c r="L2377">
        <v>73.260869569999997</v>
      </c>
      <c r="M2377">
        <v>34.453830549999999</v>
      </c>
      <c r="N2377">
        <v>1.058333333</v>
      </c>
      <c r="O2377">
        <v>0.90897070000000002</v>
      </c>
      <c r="P2377">
        <v>113.9375</v>
      </c>
      <c r="Q2377">
        <v>33.375507550000002</v>
      </c>
      <c r="R2377">
        <v>2.4262999999999999</v>
      </c>
      <c r="S2377">
        <v>0.40692159999999999</v>
      </c>
      <c r="T2377" t="s">
        <v>1017</v>
      </c>
      <c r="U2377">
        <v>1.0783229999999999</v>
      </c>
    </row>
    <row r="2378" spans="1:21" x14ac:dyDescent="0.25">
      <c r="A2378" t="s">
        <v>16</v>
      </c>
      <c r="B2378" t="s">
        <v>910</v>
      </c>
      <c r="C2378">
        <v>16</v>
      </c>
      <c r="D2378" t="s">
        <v>17</v>
      </c>
      <c r="E2378" t="s">
        <v>95</v>
      </c>
      <c r="F2378" t="s">
        <v>110</v>
      </c>
      <c r="G2378" t="s">
        <v>121</v>
      </c>
      <c r="H2378" t="s">
        <v>241</v>
      </c>
      <c r="J2378">
        <v>0</v>
      </c>
      <c r="K2378">
        <v>1</v>
      </c>
      <c r="L2378">
        <v>73.260869569999997</v>
      </c>
      <c r="M2378">
        <v>34.453830549999999</v>
      </c>
      <c r="N2378">
        <v>1.058333333</v>
      </c>
      <c r="O2378">
        <v>0.90897070000000002</v>
      </c>
      <c r="P2378">
        <v>114</v>
      </c>
      <c r="Q2378">
        <v>30.43077242</v>
      </c>
      <c r="R2378">
        <v>0.53383111100000002</v>
      </c>
      <c r="S2378">
        <v>0.28333332999999999</v>
      </c>
      <c r="T2378" t="s">
        <v>1017</v>
      </c>
      <c r="U2378">
        <v>4.0230581299999999</v>
      </c>
    </row>
    <row r="2379" spans="1:21" x14ac:dyDescent="0.25">
      <c r="A2379" t="s">
        <v>16</v>
      </c>
      <c r="B2379" t="s">
        <v>911</v>
      </c>
      <c r="C2379">
        <v>15</v>
      </c>
      <c r="D2379" t="s">
        <v>17</v>
      </c>
      <c r="E2379" t="s">
        <v>95</v>
      </c>
      <c r="F2379" t="s">
        <v>111</v>
      </c>
      <c r="G2379" t="s">
        <v>113</v>
      </c>
      <c r="H2379" t="s">
        <v>113</v>
      </c>
      <c r="J2379">
        <v>0</v>
      </c>
      <c r="K2379">
        <v>2</v>
      </c>
      <c r="L2379">
        <v>94.97142857</v>
      </c>
      <c r="M2379">
        <v>24.31591813</v>
      </c>
      <c r="N2379">
        <v>0.122951111</v>
      </c>
      <c r="O2379">
        <v>0.39050790000000002</v>
      </c>
      <c r="P2379">
        <v>83.757575759999995</v>
      </c>
      <c r="Q2379">
        <v>22.60997987</v>
      </c>
      <c r="R2379">
        <v>0.72884000000000004</v>
      </c>
      <c r="S2379">
        <v>0.21301339999999999</v>
      </c>
      <c r="T2379" t="s">
        <v>1017</v>
      </c>
      <c r="U2379">
        <v>1.7059382599999999</v>
      </c>
    </row>
    <row r="2380" spans="1:21" x14ac:dyDescent="0.25">
      <c r="A2380" t="s">
        <v>16</v>
      </c>
      <c r="B2380" t="s">
        <v>911</v>
      </c>
      <c r="C2380">
        <v>15</v>
      </c>
      <c r="D2380" t="s">
        <v>17</v>
      </c>
      <c r="E2380" t="s">
        <v>95</v>
      </c>
      <c r="F2380" t="s">
        <v>111</v>
      </c>
      <c r="G2380" t="s">
        <v>113</v>
      </c>
      <c r="H2380" t="s">
        <v>113</v>
      </c>
      <c r="J2380">
        <v>0</v>
      </c>
      <c r="K2380">
        <v>2</v>
      </c>
      <c r="L2380">
        <v>94.97142857</v>
      </c>
      <c r="M2380">
        <v>24.31591813</v>
      </c>
      <c r="N2380">
        <v>0.122951111</v>
      </c>
      <c r="O2380">
        <v>0.39050790000000002</v>
      </c>
      <c r="P2380">
        <v>83.757575759999995</v>
      </c>
      <c r="Q2380">
        <v>22.60997987</v>
      </c>
      <c r="R2380">
        <v>0.72884000000000004</v>
      </c>
      <c r="S2380">
        <v>0.21301339999999999</v>
      </c>
      <c r="T2380" t="s">
        <v>1017</v>
      </c>
      <c r="U2380">
        <v>1.7059382599999999</v>
      </c>
    </row>
    <row r="2381" spans="1:21" x14ac:dyDescent="0.25">
      <c r="A2381" t="s">
        <v>16</v>
      </c>
      <c r="B2381" t="s">
        <v>911</v>
      </c>
      <c r="C2381">
        <v>16</v>
      </c>
      <c r="D2381" t="s">
        <v>17</v>
      </c>
      <c r="E2381" t="s">
        <v>95</v>
      </c>
      <c r="F2381" t="s">
        <v>111</v>
      </c>
      <c r="G2381" t="s">
        <v>113</v>
      </c>
      <c r="H2381" t="s">
        <v>247</v>
      </c>
      <c r="J2381">
        <v>0</v>
      </c>
      <c r="K2381">
        <v>3</v>
      </c>
      <c r="L2381">
        <v>94.97142857</v>
      </c>
      <c r="M2381">
        <v>24.31591813</v>
      </c>
      <c r="N2381">
        <v>0.122951111</v>
      </c>
      <c r="O2381">
        <v>0.39050790000000002</v>
      </c>
      <c r="P2381">
        <v>65.791044779999993</v>
      </c>
      <c r="Q2381">
        <v>22.94519201</v>
      </c>
      <c r="R2381">
        <v>8.1320334999999994E-2</v>
      </c>
      <c r="S2381">
        <v>0.17285655</v>
      </c>
      <c r="T2381" t="s">
        <v>1017</v>
      </c>
      <c r="U2381">
        <v>1.37072612</v>
      </c>
    </row>
    <row r="2382" spans="1:21" x14ac:dyDescent="0.25">
      <c r="A2382" t="s">
        <v>16</v>
      </c>
      <c r="B2382" t="s">
        <v>911</v>
      </c>
      <c r="C2382">
        <v>16</v>
      </c>
      <c r="D2382" t="s">
        <v>17</v>
      </c>
      <c r="E2382" t="s">
        <v>95</v>
      </c>
      <c r="F2382" t="s">
        <v>111</v>
      </c>
      <c r="G2382" t="s">
        <v>113</v>
      </c>
      <c r="H2382" t="s">
        <v>247</v>
      </c>
      <c r="J2382">
        <v>0</v>
      </c>
      <c r="K2382">
        <v>3</v>
      </c>
      <c r="L2382">
        <v>94.97142857</v>
      </c>
      <c r="M2382">
        <v>24.31591813</v>
      </c>
      <c r="N2382">
        <v>0.122951111</v>
      </c>
      <c r="O2382">
        <v>0.39050790000000002</v>
      </c>
      <c r="P2382">
        <v>65.791044779999993</v>
      </c>
      <c r="Q2382">
        <v>22.94519201</v>
      </c>
      <c r="R2382">
        <v>8.1320334999999994E-2</v>
      </c>
      <c r="S2382">
        <v>0.17285655</v>
      </c>
      <c r="T2382" t="s">
        <v>1017</v>
      </c>
      <c r="U2382">
        <v>1.37072612</v>
      </c>
    </row>
    <row r="2383" spans="1:21" x14ac:dyDescent="0.25">
      <c r="A2383" t="s">
        <v>16</v>
      </c>
      <c r="B2383" t="s">
        <v>911</v>
      </c>
      <c r="C2383">
        <v>16</v>
      </c>
      <c r="D2383" t="s">
        <v>17</v>
      </c>
      <c r="E2383" t="s">
        <v>95</v>
      </c>
      <c r="F2383" t="s">
        <v>111</v>
      </c>
      <c r="G2383" t="s">
        <v>113</v>
      </c>
      <c r="H2383" t="s">
        <v>247</v>
      </c>
      <c r="J2383">
        <v>0</v>
      </c>
      <c r="K2383">
        <v>3</v>
      </c>
      <c r="L2383">
        <v>94.97142857</v>
      </c>
      <c r="M2383">
        <v>24.31591813</v>
      </c>
      <c r="N2383">
        <v>0.122951111</v>
      </c>
      <c r="O2383">
        <v>0.39050790000000002</v>
      </c>
      <c r="P2383">
        <v>65.791044779999993</v>
      </c>
      <c r="Q2383">
        <v>22.94519201</v>
      </c>
      <c r="R2383">
        <v>8.1320334999999994E-2</v>
      </c>
      <c r="S2383">
        <v>0.17285655</v>
      </c>
      <c r="T2383" t="s">
        <v>1017</v>
      </c>
      <c r="U2383">
        <v>1.37072612</v>
      </c>
    </row>
    <row r="2384" spans="1:21" x14ac:dyDescent="0.25">
      <c r="A2384" t="s">
        <v>16</v>
      </c>
      <c r="B2384" t="s">
        <v>912</v>
      </c>
      <c r="C2384">
        <v>15</v>
      </c>
      <c r="D2384" t="s">
        <v>17</v>
      </c>
      <c r="E2384" t="s">
        <v>95</v>
      </c>
      <c r="F2384" t="s">
        <v>104</v>
      </c>
      <c r="G2384" t="s">
        <v>121</v>
      </c>
      <c r="H2384" t="s">
        <v>247</v>
      </c>
      <c r="J2384">
        <v>0</v>
      </c>
      <c r="K2384">
        <v>1</v>
      </c>
      <c r="L2384">
        <v>113.9375</v>
      </c>
      <c r="M2384">
        <v>33.375507550000002</v>
      </c>
      <c r="N2384">
        <v>2.4262999999999999</v>
      </c>
      <c r="O2384">
        <v>0.40692159999999999</v>
      </c>
      <c r="P2384">
        <v>65.791044779999993</v>
      </c>
      <c r="Q2384">
        <v>22.94519201</v>
      </c>
      <c r="R2384">
        <v>8.1320334999999994E-2</v>
      </c>
      <c r="S2384">
        <v>0.17285655</v>
      </c>
      <c r="T2384" t="s">
        <v>1017</v>
      </c>
      <c r="U2384">
        <v>10.43031554</v>
      </c>
    </row>
    <row r="2385" spans="1:21" x14ac:dyDescent="0.25">
      <c r="A2385" t="s">
        <v>16</v>
      </c>
      <c r="B2385" t="s">
        <v>912</v>
      </c>
      <c r="C2385">
        <v>16</v>
      </c>
      <c r="D2385" t="s">
        <v>17</v>
      </c>
      <c r="E2385" t="s">
        <v>95</v>
      </c>
      <c r="F2385" t="s">
        <v>104</v>
      </c>
      <c r="G2385" t="s">
        <v>121</v>
      </c>
      <c r="H2385" t="s">
        <v>111</v>
      </c>
      <c r="J2385">
        <v>0</v>
      </c>
      <c r="K2385">
        <v>1</v>
      </c>
      <c r="L2385">
        <v>113.9375</v>
      </c>
      <c r="M2385">
        <v>33.375507550000002</v>
      </c>
      <c r="N2385">
        <v>2.4262999999999999</v>
      </c>
      <c r="O2385">
        <v>0.40692159999999999</v>
      </c>
      <c r="P2385">
        <v>94.97142857</v>
      </c>
      <c r="Q2385">
        <v>24.31591813</v>
      </c>
      <c r="R2385">
        <v>0.122951111</v>
      </c>
      <c r="S2385">
        <v>0.39050790000000002</v>
      </c>
      <c r="T2385" t="s">
        <v>1017</v>
      </c>
      <c r="U2385">
        <v>9.05958942</v>
      </c>
    </row>
    <row r="2386" spans="1:21" x14ac:dyDescent="0.25">
      <c r="A2386" t="s">
        <v>18</v>
      </c>
      <c r="B2386" t="s">
        <v>913</v>
      </c>
      <c r="C2386">
        <v>15</v>
      </c>
      <c r="D2386" t="s">
        <v>19</v>
      </c>
      <c r="E2386" t="s">
        <v>95</v>
      </c>
      <c r="F2386" t="s">
        <v>113</v>
      </c>
      <c r="G2386" t="s">
        <v>121</v>
      </c>
      <c r="H2386" t="s">
        <v>113</v>
      </c>
      <c r="J2386">
        <v>0</v>
      </c>
      <c r="K2386">
        <v>3</v>
      </c>
      <c r="L2386">
        <v>83.757575759999995</v>
      </c>
      <c r="M2386">
        <v>22.60997987</v>
      </c>
      <c r="N2386">
        <v>0.72884000000000004</v>
      </c>
      <c r="O2386">
        <v>0.21301339999999999</v>
      </c>
      <c r="P2386">
        <v>83.757575759999995</v>
      </c>
      <c r="Q2386">
        <v>22.60997987</v>
      </c>
      <c r="R2386">
        <v>0.72884000000000004</v>
      </c>
      <c r="S2386">
        <v>0.21301339999999999</v>
      </c>
      <c r="T2386" t="s">
        <v>1017</v>
      </c>
      <c r="U2386">
        <v>0</v>
      </c>
    </row>
    <row r="2387" spans="1:21" x14ac:dyDescent="0.25">
      <c r="A2387" t="s">
        <v>18</v>
      </c>
      <c r="B2387" t="s">
        <v>913</v>
      </c>
      <c r="C2387">
        <v>15</v>
      </c>
      <c r="D2387" t="s">
        <v>19</v>
      </c>
      <c r="E2387" t="s">
        <v>95</v>
      </c>
      <c r="F2387" t="s">
        <v>113</v>
      </c>
      <c r="G2387" t="s">
        <v>121</v>
      </c>
      <c r="H2387" t="s">
        <v>113</v>
      </c>
      <c r="J2387">
        <v>0</v>
      </c>
      <c r="K2387">
        <v>3</v>
      </c>
      <c r="L2387">
        <v>83.757575759999995</v>
      </c>
      <c r="M2387">
        <v>22.60997987</v>
      </c>
      <c r="N2387">
        <v>0.72884000000000004</v>
      </c>
      <c r="O2387">
        <v>0.21301339999999999</v>
      </c>
      <c r="P2387">
        <v>83.757575759999995</v>
      </c>
      <c r="Q2387">
        <v>22.60997987</v>
      </c>
      <c r="R2387">
        <v>0.72884000000000004</v>
      </c>
      <c r="S2387">
        <v>0.21301339999999999</v>
      </c>
      <c r="T2387" t="s">
        <v>1017</v>
      </c>
      <c r="U2387">
        <v>0</v>
      </c>
    </row>
    <row r="2388" spans="1:21" x14ac:dyDescent="0.25">
      <c r="A2388" t="s">
        <v>18</v>
      </c>
      <c r="B2388" t="s">
        <v>913</v>
      </c>
      <c r="C2388">
        <v>15</v>
      </c>
      <c r="D2388" t="s">
        <v>19</v>
      </c>
      <c r="E2388" t="s">
        <v>95</v>
      </c>
      <c r="F2388" t="s">
        <v>113</v>
      </c>
      <c r="G2388" t="s">
        <v>121</v>
      </c>
      <c r="H2388" t="s">
        <v>113</v>
      </c>
      <c r="J2388">
        <v>0</v>
      </c>
      <c r="K2388">
        <v>3</v>
      </c>
      <c r="L2388">
        <v>83.757575759999995</v>
      </c>
      <c r="M2388">
        <v>22.60997987</v>
      </c>
      <c r="N2388">
        <v>0.72884000000000004</v>
      </c>
      <c r="O2388">
        <v>0.21301339999999999</v>
      </c>
      <c r="P2388">
        <v>83.757575759999995</v>
      </c>
      <c r="Q2388">
        <v>22.60997987</v>
      </c>
      <c r="R2388">
        <v>0.72884000000000004</v>
      </c>
      <c r="S2388">
        <v>0.21301339999999999</v>
      </c>
      <c r="T2388" t="s">
        <v>1017</v>
      </c>
      <c r="U2388">
        <v>0</v>
      </c>
    </row>
    <row r="2389" spans="1:21" x14ac:dyDescent="0.25">
      <c r="A2389" t="s">
        <v>18</v>
      </c>
      <c r="B2389" t="s">
        <v>913</v>
      </c>
      <c r="C2389">
        <v>16</v>
      </c>
      <c r="D2389" t="s">
        <v>19</v>
      </c>
      <c r="E2389" t="s">
        <v>95</v>
      </c>
      <c r="F2389" t="s">
        <v>113</v>
      </c>
      <c r="G2389" t="s">
        <v>121</v>
      </c>
      <c r="H2389" t="s">
        <v>808</v>
      </c>
      <c r="J2389">
        <v>0</v>
      </c>
      <c r="K2389">
        <v>1</v>
      </c>
      <c r="L2389">
        <v>83.757575759999995</v>
      </c>
      <c r="M2389">
        <v>22.60997987</v>
      </c>
      <c r="N2389">
        <v>0.72884000000000004</v>
      </c>
      <c r="O2389">
        <v>0.21301339999999999</v>
      </c>
      <c r="P2389">
        <v>102.79166669999999</v>
      </c>
      <c r="Q2389">
        <v>27.057373470000002</v>
      </c>
      <c r="R2389">
        <v>6.3567849939999999</v>
      </c>
      <c r="S2389" t="s">
        <v>114</v>
      </c>
      <c r="T2389" t="s">
        <v>1017</v>
      </c>
      <c r="U2389">
        <v>4.4473935999999998</v>
      </c>
    </row>
    <row r="2390" spans="1:21" x14ac:dyDescent="0.25">
      <c r="A2390" t="s">
        <v>18</v>
      </c>
      <c r="B2390" t="s">
        <v>913</v>
      </c>
      <c r="C2390">
        <v>17</v>
      </c>
      <c r="D2390" t="s">
        <v>19</v>
      </c>
      <c r="E2390" t="s">
        <v>95</v>
      </c>
      <c r="F2390" t="s">
        <v>113</v>
      </c>
      <c r="G2390" t="s">
        <v>121</v>
      </c>
      <c r="H2390" t="s">
        <v>242</v>
      </c>
      <c r="J2390">
        <v>0</v>
      </c>
      <c r="K2390">
        <v>15</v>
      </c>
      <c r="L2390">
        <v>83.757575759999995</v>
      </c>
      <c r="M2390">
        <v>22.60997987</v>
      </c>
      <c r="N2390">
        <v>0.72884000000000004</v>
      </c>
      <c r="O2390">
        <v>0.21301339999999999</v>
      </c>
      <c r="P2390">
        <v>139.375</v>
      </c>
      <c r="Q2390">
        <v>23.713465920000001</v>
      </c>
      <c r="R2390" t="s">
        <v>114</v>
      </c>
      <c r="S2390" t="s">
        <v>114</v>
      </c>
      <c r="T2390" t="s">
        <v>1017</v>
      </c>
      <c r="U2390">
        <v>1.1034860500000001</v>
      </c>
    </row>
    <row r="2391" spans="1:21" x14ac:dyDescent="0.25">
      <c r="A2391" t="s">
        <v>18</v>
      </c>
      <c r="B2391" t="s">
        <v>913</v>
      </c>
      <c r="C2391">
        <v>17</v>
      </c>
      <c r="D2391" t="s">
        <v>19</v>
      </c>
      <c r="E2391" t="s">
        <v>95</v>
      </c>
      <c r="F2391" t="s">
        <v>113</v>
      </c>
      <c r="G2391" t="s">
        <v>121</v>
      </c>
      <c r="H2391" t="s">
        <v>242</v>
      </c>
      <c r="J2391">
        <v>0</v>
      </c>
      <c r="K2391">
        <v>15</v>
      </c>
      <c r="L2391">
        <v>83.757575759999995</v>
      </c>
      <c r="M2391">
        <v>22.60997987</v>
      </c>
      <c r="N2391">
        <v>0.72884000000000004</v>
      </c>
      <c r="O2391">
        <v>0.21301339999999999</v>
      </c>
      <c r="P2391">
        <v>139.375</v>
      </c>
      <c r="Q2391">
        <v>23.713465920000001</v>
      </c>
      <c r="R2391" t="s">
        <v>114</v>
      </c>
      <c r="S2391" t="s">
        <v>114</v>
      </c>
      <c r="T2391" t="s">
        <v>1017</v>
      </c>
      <c r="U2391">
        <v>1.1034860500000001</v>
      </c>
    </row>
    <row r="2392" spans="1:21" x14ac:dyDescent="0.25">
      <c r="A2392" t="s">
        <v>18</v>
      </c>
      <c r="B2392" t="s">
        <v>913</v>
      </c>
      <c r="C2392">
        <v>17</v>
      </c>
      <c r="D2392" t="s">
        <v>19</v>
      </c>
      <c r="E2392" t="s">
        <v>95</v>
      </c>
      <c r="F2392" t="s">
        <v>113</v>
      </c>
      <c r="G2392" t="s">
        <v>121</v>
      </c>
      <c r="H2392" t="s">
        <v>242</v>
      </c>
      <c r="J2392">
        <v>0</v>
      </c>
      <c r="K2392">
        <v>15</v>
      </c>
      <c r="L2392">
        <v>83.757575759999995</v>
      </c>
      <c r="M2392">
        <v>22.60997987</v>
      </c>
      <c r="N2392">
        <v>0.72884000000000004</v>
      </c>
      <c r="O2392">
        <v>0.21301339999999999</v>
      </c>
      <c r="P2392">
        <v>139.375</v>
      </c>
      <c r="Q2392">
        <v>23.713465920000001</v>
      </c>
      <c r="R2392" t="s">
        <v>114</v>
      </c>
      <c r="S2392" t="s">
        <v>114</v>
      </c>
      <c r="T2392" t="s">
        <v>1017</v>
      </c>
      <c r="U2392">
        <v>1.1034860500000001</v>
      </c>
    </row>
    <row r="2393" spans="1:21" x14ac:dyDescent="0.25">
      <c r="A2393" t="s">
        <v>18</v>
      </c>
      <c r="B2393" t="s">
        <v>913</v>
      </c>
      <c r="C2393">
        <v>17</v>
      </c>
      <c r="D2393" t="s">
        <v>19</v>
      </c>
      <c r="E2393" t="s">
        <v>95</v>
      </c>
      <c r="F2393" t="s">
        <v>113</v>
      </c>
      <c r="G2393" t="s">
        <v>121</v>
      </c>
      <c r="H2393" t="s">
        <v>242</v>
      </c>
      <c r="J2393">
        <v>0</v>
      </c>
      <c r="K2393">
        <v>15</v>
      </c>
      <c r="L2393">
        <v>83.757575759999995</v>
      </c>
      <c r="M2393">
        <v>22.60997987</v>
      </c>
      <c r="N2393">
        <v>0.72884000000000004</v>
      </c>
      <c r="O2393">
        <v>0.21301339999999999</v>
      </c>
      <c r="P2393">
        <v>139.375</v>
      </c>
      <c r="Q2393">
        <v>23.713465920000001</v>
      </c>
      <c r="R2393" t="s">
        <v>114</v>
      </c>
      <c r="S2393" t="s">
        <v>114</v>
      </c>
      <c r="T2393" t="s">
        <v>1017</v>
      </c>
      <c r="U2393">
        <v>1.1034860500000001</v>
      </c>
    </row>
    <row r="2394" spans="1:21" x14ac:dyDescent="0.25">
      <c r="A2394" t="s">
        <v>18</v>
      </c>
      <c r="B2394" t="s">
        <v>913</v>
      </c>
      <c r="C2394">
        <v>17</v>
      </c>
      <c r="D2394" t="s">
        <v>19</v>
      </c>
      <c r="E2394" t="s">
        <v>95</v>
      </c>
      <c r="F2394" t="s">
        <v>113</v>
      </c>
      <c r="G2394" t="s">
        <v>121</v>
      </c>
      <c r="H2394" t="s">
        <v>242</v>
      </c>
      <c r="J2394">
        <v>0</v>
      </c>
      <c r="K2394">
        <v>15</v>
      </c>
      <c r="L2394">
        <v>83.757575759999995</v>
      </c>
      <c r="M2394">
        <v>22.60997987</v>
      </c>
      <c r="N2394">
        <v>0.72884000000000004</v>
      </c>
      <c r="O2394">
        <v>0.21301339999999999</v>
      </c>
      <c r="P2394">
        <v>139.375</v>
      </c>
      <c r="Q2394">
        <v>23.713465920000001</v>
      </c>
      <c r="R2394" t="s">
        <v>114</v>
      </c>
      <c r="S2394" t="s">
        <v>114</v>
      </c>
      <c r="T2394" t="s">
        <v>1017</v>
      </c>
      <c r="U2394">
        <v>1.1034860500000001</v>
      </c>
    </row>
    <row r="2395" spans="1:21" x14ac:dyDescent="0.25">
      <c r="A2395" t="s">
        <v>18</v>
      </c>
      <c r="B2395" t="s">
        <v>913</v>
      </c>
      <c r="C2395">
        <v>17</v>
      </c>
      <c r="D2395" t="s">
        <v>19</v>
      </c>
      <c r="E2395" t="s">
        <v>95</v>
      </c>
      <c r="F2395" t="s">
        <v>113</v>
      </c>
      <c r="G2395" t="s">
        <v>121</v>
      </c>
      <c r="H2395" t="s">
        <v>242</v>
      </c>
      <c r="J2395">
        <v>0</v>
      </c>
      <c r="K2395">
        <v>15</v>
      </c>
      <c r="L2395">
        <v>83.757575759999995</v>
      </c>
      <c r="M2395">
        <v>22.60997987</v>
      </c>
      <c r="N2395">
        <v>0.72884000000000004</v>
      </c>
      <c r="O2395">
        <v>0.21301339999999999</v>
      </c>
      <c r="P2395">
        <v>139.375</v>
      </c>
      <c r="Q2395">
        <v>23.713465920000001</v>
      </c>
      <c r="R2395" t="s">
        <v>114</v>
      </c>
      <c r="S2395" t="s">
        <v>114</v>
      </c>
      <c r="T2395" t="s">
        <v>1017</v>
      </c>
      <c r="U2395">
        <v>1.1034860500000001</v>
      </c>
    </row>
    <row r="2396" spans="1:21" x14ac:dyDescent="0.25">
      <c r="A2396" t="s">
        <v>18</v>
      </c>
      <c r="B2396" t="s">
        <v>913</v>
      </c>
      <c r="C2396">
        <v>17</v>
      </c>
      <c r="D2396" t="s">
        <v>19</v>
      </c>
      <c r="E2396" t="s">
        <v>95</v>
      </c>
      <c r="F2396" t="s">
        <v>113</v>
      </c>
      <c r="G2396" t="s">
        <v>121</v>
      </c>
      <c r="H2396" t="s">
        <v>242</v>
      </c>
      <c r="J2396">
        <v>0</v>
      </c>
      <c r="K2396">
        <v>15</v>
      </c>
      <c r="L2396">
        <v>83.757575759999995</v>
      </c>
      <c r="M2396">
        <v>22.60997987</v>
      </c>
      <c r="N2396">
        <v>0.72884000000000004</v>
      </c>
      <c r="O2396">
        <v>0.21301339999999999</v>
      </c>
      <c r="P2396">
        <v>139.375</v>
      </c>
      <c r="Q2396">
        <v>23.713465920000001</v>
      </c>
      <c r="R2396" t="s">
        <v>114</v>
      </c>
      <c r="S2396" t="s">
        <v>114</v>
      </c>
      <c r="T2396" t="s">
        <v>1017</v>
      </c>
      <c r="U2396">
        <v>1.1034860500000001</v>
      </c>
    </row>
    <row r="2397" spans="1:21" x14ac:dyDescent="0.25">
      <c r="A2397" t="s">
        <v>18</v>
      </c>
      <c r="B2397" t="s">
        <v>913</v>
      </c>
      <c r="C2397">
        <v>17</v>
      </c>
      <c r="D2397" t="s">
        <v>19</v>
      </c>
      <c r="E2397" t="s">
        <v>95</v>
      </c>
      <c r="F2397" t="s">
        <v>113</v>
      </c>
      <c r="G2397" t="s">
        <v>121</v>
      </c>
      <c r="H2397" t="s">
        <v>242</v>
      </c>
      <c r="J2397">
        <v>0</v>
      </c>
      <c r="K2397">
        <v>15</v>
      </c>
      <c r="L2397">
        <v>83.757575759999995</v>
      </c>
      <c r="M2397">
        <v>22.60997987</v>
      </c>
      <c r="N2397">
        <v>0.72884000000000004</v>
      </c>
      <c r="O2397">
        <v>0.21301339999999999</v>
      </c>
      <c r="P2397">
        <v>139.375</v>
      </c>
      <c r="Q2397">
        <v>23.713465920000001</v>
      </c>
      <c r="R2397" t="s">
        <v>114</v>
      </c>
      <c r="S2397" t="s">
        <v>114</v>
      </c>
      <c r="T2397" t="s">
        <v>1017</v>
      </c>
      <c r="U2397">
        <v>1.1034860500000001</v>
      </c>
    </row>
    <row r="2398" spans="1:21" x14ac:dyDescent="0.25">
      <c r="A2398" t="s">
        <v>18</v>
      </c>
      <c r="B2398" t="s">
        <v>913</v>
      </c>
      <c r="C2398">
        <v>17</v>
      </c>
      <c r="D2398" t="s">
        <v>19</v>
      </c>
      <c r="E2398" t="s">
        <v>95</v>
      </c>
      <c r="F2398" t="s">
        <v>113</v>
      </c>
      <c r="G2398" t="s">
        <v>121</v>
      </c>
      <c r="H2398" t="s">
        <v>242</v>
      </c>
      <c r="J2398">
        <v>0</v>
      </c>
      <c r="K2398">
        <v>15</v>
      </c>
      <c r="L2398">
        <v>83.757575759999995</v>
      </c>
      <c r="M2398">
        <v>22.60997987</v>
      </c>
      <c r="N2398">
        <v>0.72884000000000004</v>
      </c>
      <c r="O2398">
        <v>0.21301339999999999</v>
      </c>
      <c r="P2398">
        <v>139.375</v>
      </c>
      <c r="Q2398">
        <v>23.713465920000001</v>
      </c>
      <c r="R2398" t="s">
        <v>114</v>
      </c>
      <c r="S2398" t="s">
        <v>114</v>
      </c>
      <c r="T2398" t="s">
        <v>1017</v>
      </c>
      <c r="U2398">
        <v>1.1034860500000001</v>
      </c>
    </row>
    <row r="2399" spans="1:21" x14ac:dyDescent="0.25">
      <c r="A2399" t="s">
        <v>18</v>
      </c>
      <c r="B2399" t="s">
        <v>913</v>
      </c>
      <c r="C2399">
        <v>17</v>
      </c>
      <c r="D2399" t="s">
        <v>19</v>
      </c>
      <c r="E2399" t="s">
        <v>95</v>
      </c>
      <c r="F2399" t="s">
        <v>113</v>
      </c>
      <c r="G2399" t="s">
        <v>121</v>
      </c>
      <c r="H2399" t="s">
        <v>242</v>
      </c>
      <c r="J2399">
        <v>0</v>
      </c>
      <c r="K2399">
        <v>15</v>
      </c>
      <c r="L2399">
        <v>83.757575759999995</v>
      </c>
      <c r="M2399">
        <v>22.60997987</v>
      </c>
      <c r="N2399">
        <v>0.72884000000000004</v>
      </c>
      <c r="O2399">
        <v>0.21301339999999999</v>
      </c>
      <c r="P2399">
        <v>139.375</v>
      </c>
      <c r="Q2399">
        <v>23.713465920000001</v>
      </c>
      <c r="R2399" t="s">
        <v>114</v>
      </c>
      <c r="S2399" t="s">
        <v>114</v>
      </c>
      <c r="T2399" t="s">
        <v>1017</v>
      </c>
      <c r="U2399">
        <v>1.1034860500000001</v>
      </c>
    </row>
    <row r="2400" spans="1:21" x14ac:dyDescent="0.25">
      <c r="A2400" t="s">
        <v>18</v>
      </c>
      <c r="B2400" t="s">
        <v>913</v>
      </c>
      <c r="C2400">
        <v>17</v>
      </c>
      <c r="D2400" t="s">
        <v>19</v>
      </c>
      <c r="E2400" t="s">
        <v>95</v>
      </c>
      <c r="F2400" t="s">
        <v>113</v>
      </c>
      <c r="G2400" t="s">
        <v>121</v>
      </c>
      <c r="H2400" t="s">
        <v>242</v>
      </c>
      <c r="J2400">
        <v>0</v>
      </c>
      <c r="K2400">
        <v>15</v>
      </c>
      <c r="L2400">
        <v>83.757575759999995</v>
      </c>
      <c r="M2400">
        <v>22.60997987</v>
      </c>
      <c r="N2400">
        <v>0.72884000000000004</v>
      </c>
      <c r="O2400">
        <v>0.21301339999999999</v>
      </c>
      <c r="P2400">
        <v>139.375</v>
      </c>
      <c r="Q2400">
        <v>23.713465920000001</v>
      </c>
      <c r="R2400" t="s">
        <v>114</v>
      </c>
      <c r="S2400" t="s">
        <v>114</v>
      </c>
      <c r="T2400" t="s">
        <v>1017</v>
      </c>
      <c r="U2400">
        <v>1.1034860500000001</v>
      </c>
    </row>
    <row r="2401" spans="1:21" x14ac:dyDescent="0.25">
      <c r="A2401" t="s">
        <v>18</v>
      </c>
      <c r="B2401" t="s">
        <v>913</v>
      </c>
      <c r="C2401">
        <v>17</v>
      </c>
      <c r="D2401" t="s">
        <v>19</v>
      </c>
      <c r="E2401" t="s">
        <v>95</v>
      </c>
      <c r="F2401" t="s">
        <v>113</v>
      </c>
      <c r="G2401" t="s">
        <v>121</v>
      </c>
      <c r="H2401" t="s">
        <v>242</v>
      </c>
      <c r="J2401">
        <v>0</v>
      </c>
      <c r="K2401">
        <v>15</v>
      </c>
      <c r="L2401">
        <v>83.757575759999995</v>
      </c>
      <c r="M2401">
        <v>22.60997987</v>
      </c>
      <c r="N2401">
        <v>0.72884000000000004</v>
      </c>
      <c r="O2401">
        <v>0.21301339999999999</v>
      </c>
      <c r="P2401">
        <v>139.375</v>
      </c>
      <c r="Q2401">
        <v>23.713465920000001</v>
      </c>
      <c r="R2401" t="s">
        <v>114</v>
      </c>
      <c r="S2401" t="s">
        <v>114</v>
      </c>
      <c r="T2401" t="s">
        <v>1017</v>
      </c>
      <c r="U2401">
        <v>1.1034860500000001</v>
      </c>
    </row>
    <row r="2402" spans="1:21" x14ac:dyDescent="0.25">
      <c r="A2402" t="s">
        <v>18</v>
      </c>
      <c r="B2402" t="s">
        <v>913</v>
      </c>
      <c r="C2402">
        <v>17</v>
      </c>
      <c r="D2402" t="s">
        <v>19</v>
      </c>
      <c r="E2402" t="s">
        <v>95</v>
      </c>
      <c r="F2402" t="s">
        <v>113</v>
      </c>
      <c r="G2402" t="s">
        <v>121</v>
      </c>
      <c r="H2402" t="s">
        <v>242</v>
      </c>
      <c r="J2402">
        <v>0</v>
      </c>
      <c r="K2402">
        <v>15</v>
      </c>
      <c r="L2402">
        <v>83.757575759999995</v>
      </c>
      <c r="M2402">
        <v>22.60997987</v>
      </c>
      <c r="N2402">
        <v>0.72884000000000004</v>
      </c>
      <c r="O2402">
        <v>0.21301339999999999</v>
      </c>
      <c r="P2402">
        <v>139.375</v>
      </c>
      <c r="Q2402">
        <v>23.713465920000001</v>
      </c>
      <c r="R2402" t="s">
        <v>114</v>
      </c>
      <c r="S2402" t="s">
        <v>114</v>
      </c>
      <c r="T2402" t="s">
        <v>1017</v>
      </c>
      <c r="U2402">
        <v>1.1034860500000001</v>
      </c>
    </row>
    <row r="2403" spans="1:21" x14ac:dyDescent="0.25">
      <c r="A2403" t="s">
        <v>18</v>
      </c>
      <c r="B2403" t="s">
        <v>913</v>
      </c>
      <c r="C2403">
        <v>17</v>
      </c>
      <c r="D2403" t="s">
        <v>19</v>
      </c>
      <c r="E2403" t="s">
        <v>95</v>
      </c>
      <c r="F2403" t="s">
        <v>113</v>
      </c>
      <c r="G2403" t="s">
        <v>121</v>
      </c>
      <c r="H2403" t="s">
        <v>242</v>
      </c>
      <c r="J2403">
        <v>0</v>
      </c>
      <c r="K2403">
        <v>15</v>
      </c>
      <c r="L2403">
        <v>83.757575759999995</v>
      </c>
      <c r="M2403">
        <v>22.60997987</v>
      </c>
      <c r="N2403">
        <v>0.72884000000000004</v>
      </c>
      <c r="O2403">
        <v>0.21301339999999999</v>
      </c>
      <c r="P2403">
        <v>139.375</v>
      </c>
      <c r="Q2403">
        <v>23.713465920000001</v>
      </c>
      <c r="R2403" t="s">
        <v>114</v>
      </c>
      <c r="S2403" t="s">
        <v>114</v>
      </c>
      <c r="T2403" t="s">
        <v>1017</v>
      </c>
      <c r="U2403">
        <v>1.1034860500000001</v>
      </c>
    </row>
    <row r="2404" spans="1:21" x14ac:dyDescent="0.25">
      <c r="A2404" t="s">
        <v>18</v>
      </c>
      <c r="B2404" t="s">
        <v>913</v>
      </c>
      <c r="C2404">
        <v>17</v>
      </c>
      <c r="D2404" t="s">
        <v>19</v>
      </c>
      <c r="E2404" t="s">
        <v>95</v>
      </c>
      <c r="F2404" t="s">
        <v>113</v>
      </c>
      <c r="G2404" t="s">
        <v>121</v>
      </c>
      <c r="H2404" t="s">
        <v>242</v>
      </c>
      <c r="J2404">
        <v>0</v>
      </c>
      <c r="K2404">
        <v>15</v>
      </c>
      <c r="L2404">
        <v>83.757575759999995</v>
      </c>
      <c r="M2404">
        <v>22.60997987</v>
      </c>
      <c r="N2404">
        <v>0.72884000000000004</v>
      </c>
      <c r="O2404">
        <v>0.21301339999999999</v>
      </c>
      <c r="P2404">
        <v>139.375</v>
      </c>
      <c r="Q2404">
        <v>23.713465920000001</v>
      </c>
      <c r="R2404" t="s">
        <v>114</v>
      </c>
      <c r="S2404" t="s">
        <v>114</v>
      </c>
      <c r="T2404" t="s">
        <v>1017</v>
      </c>
      <c r="U2404">
        <v>1.1034860500000001</v>
      </c>
    </row>
    <row r="2405" spans="1:21" x14ac:dyDescent="0.25">
      <c r="A2405" t="s">
        <v>18</v>
      </c>
      <c r="B2405" t="s">
        <v>914</v>
      </c>
      <c r="C2405">
        <v>15</v>
      </c>
      <c r="D2405" t="s">
        <v>19</v>
      </c>
      <c r="E2405" t="s">
        <v>95</v>
      </c>
      <c r="F2405" t="s">
        <v>111</v>
      </c>
      <c r="G2405" t="s">
        <v>121</v>
      </c>
      <c r="H2405" t="s">
        <v>113</v>
      </c>
      <c r="J2405">
        <v>0</v>
      </c>
      <c r="K2405">
        <v>2</v>
      </c>
      <c r="L2405">
        <v>94.97142857</v>
      </c>
      <c r="M2405">
        <v>24.31591813</v>
      </c>
      <c r="N2405">
        <v>0.122951111</v>
      </c>
      <c r="O2405">
        <v>0.39050790000000002</v>
      </c>
      <c r="P2405">
        <v>83.757575759999995</v>
      </c>
      <c r="Q2405">
        <v>22.60997987</v>
      </c>
      <c r="R2405">
        <v>0.72884000000000004</v>
      </c>
      <c r="S2405">
        <v>0.21301339999999999</v>
      </c>
      <c r="T2405" t="s">
        <v>1017</v>
      </c>
      <c r="U2405">
        <v>1.7059382599999999</v>
      </c>
    </row>
    <row r="2406" spans="1:21" x14ac:dyDescent="0.25">
      <c r="A2406" t="s">
        <v>18</v>
      </c>
      <c r="B2406" t="s">
        <v>914</v>
      </c>
      <c r="C2406">
        <v>15</v>
      </c>
      <c r="D2406" t="s">
        <v>19</v>
      </c>
      <c r="E2406" t="s">
        <v>95</v>
      </c>
      <c r="F2406" t="s">
        <v>111</v>
      </c>
      <c r="G2406" t="s">
        <v>121</v>
      </c>
      <c r="H2406" t="s">
        <v>113</v>
      </c>
      <c r="J2406">
        <v>0</v>
      </c>
      <c r="K2406">
        <v>2</v>
      </c>
      <c r="L2406">
        <v>94.97142857</v>
      </c>
      <c r="M2406">
        <v>24.31591813</v>
      </c>
      <c r="N2406">
        <v>0.122951111</v>
      </c>
      <c r="O2406">
        <v>0.39050790000000002</v>
      </c>
      <c r="P2406">
        <v>83.757575759999995</v>
      </c>
      <c r="Q2406">
        <v>22.60997987</v>
      </c>
      <c r="R2406">
        <v>0.72884000000000004</v>
      </c>
      <c r="S2406">
        <v>0.21301339999999999</v>
      </c>
      <c r="T2406" t="s">
        <v>1017</v>
      </c>
      <c r="U2406">
        <v>1.7059382599999999</v>
      </c>
    </row>
    <row r="2407" spans="1:21" x14ac:dyDescent="0.25">
      <c r="A2407" t="s">
        <v>18</v>
      </c>
      <c r="B2407" t="s">
        <v>914</v>
      </c>
      <c r="C2407">
        <v>16</v>
      </c>
      <c r="D2407" t="s">
        <v>19</v>
      </c>
      <c r="E2407" t="s">
        <v>95</v>
      </c>
      <c r="F2407" t="s">
        <v>111</v>
      </c>
      <c r="G2407" t="s">
        <v>121</v>
      </c>
      <c r="H2407" t="s">
        <v>242</v>
      </c>
      <c r="J2407">
        <v>0</v>
      </c>
      <c r="K2407">
        <v>2</v>
      </c>
      <c r="L2407">
        <v>94.97142857</v>
      </c>
      <c r="M2407">
        <v>24.31591813</v>
      </c>
      <c r="N2407">
        <v>0.122951111</v>
      </c>
      <c r="O2407">
        <v>0.39050790000000002</v>
      </c>
      <c r="P2407">
        <v>139.375</v>
      </c>
      <c r="Q2407">
        <v>23.713465920000001</v>
      </c>
      <c r="R2407" t="s">
        <v>114</v>
      </c>
      <c r="S2407" t="s">
        <v>114</v>
      </c>
      <c r="T2407" t="s">
        <v>1017</v>
      </c>
      <c r="U2407">
        <v>0.60245221000000004</v>
      </c>
    </row>
    <row r="2408" spans="1:21" x14ac:dyDescent="0.25">
      <c r="A2408" t="s">
        <v>18</v>
      </c>
      <c r="B2408" t="s">
        <v>914</v>
      </c>
      <c r="C2408">
        <v>16</v>
      </c>
      <c r="D2408" t="s">
        <v>19</v>
      </c>
      <c r="E2408" t="s">
        <v>95</v>
      </c>
      <c r="F2408" t="s">
        <v>111</v>
      </c>
      <c r="G2408" t="s">
        <v>121</v>
      </c>
      <c r="H2408" t="s">
        <v>242</v>
      </c>
      <c r="J2408">
        <v>0</v>
      </c>
      <c r="K2408">
        <v>2</v>
      </c>
      <c r="L2408">
        <v>94.97142857</v>
      </c>
      <c r="M2408">
        <v>24.31591813</v>
      </c>
      <c r="N2408">
        <v>0.122951111</v>
      </c>
      <c r="O2408">
        <v>0.39050790000000002</v>
      </c>
      <c r="P2408">
        <v>139.375</v>
      </c>
      <c r="Q2408">
        <v>23.713465920000001</v>
      </c>
      <c r="R2408" t="s">
        <v>114</v>
      </c>
      <c r="S2408" t="s">
        <v>114</v>
      </c>
      <c r="T2408" t="s">
        <v>1017</v>
      </c>
      <c r="U2408">
        <v>0.60245221000000004</v>
      </c>
    </row>
    <row r="2409" spans="1:21" x14ac:dyDescent="0.25">
      <c r="A2409" t="s">
        <v>18</v>
      </c>
      <c r="B2409" t="s">
        <v>915</v>
      </c>
      <c r="C2409">
        <v>15</v>
      </c>
      <c r="D2409" t="s">
        <v>19</v>
      </c>
      <c r="E2409" t="s">
        <v>95</v>
      </c>
      <c r="F2409" t="s">
        <v>104</v>
      </c>
      <c r="G2409" t="s">
        <v>121</v>
      </c>
      <c r="H2409" t="s">
        <v>247</v>
      </c>
      <c r="J2409">
        <v>0</v>
      </c>
      <c r="K2409">
        <v>1</v>
      </c>
      <c r="L2409">
        <v>113.9375</v>
      </c>
      <c r="M2409">
        <v>33.375507550000002</v>
      </c>
      <c r="N2409">
        <v>2.4262999999999999</v>
      </c>
      <c r="O2409">
        <v>0.40692159999999999</v>
      </c>
      <c r="P2409">
        <v>65.791044779999993</v>
      </c>
      <c r="Q2409">
        <v>22.94519201</v>
      </c>
      <c r="R2409">
        <v>8.1320334999999994E-2</v>
      </c>
      <c r="S2409">
        <v>0.17285655</v>
      </c>
      <c r="T2409" t="s">
        <v>1017</v>
      </c>
      <c r="U2409">
        <v>10.43031554</v>
      </c>
    </row>
    <row r="2410" spans="1:21" x14ac:dyDescent="0.25">
      <c r="A2410" t="s">
        <v>18</v>
      </c>
      <c r="B2410" t="s">
        <v>915</v>
      </c>
      <c r="C2410">
        <v>16</v>
      </c>
      <c r="D2410" t="s">
        <v>19</v>
      </c>
      <c r="E2410" t="s">
        <v>95</v>
      </c>
      <c r="F2410" t="s">
        <v>104</v>
      </c>
      <c r="G2410" t="s">
        <v>121</v>
      </c>
      <c r="H2410" t="s">
        <v>113</v>
      </c>
      <c r="J2410">
        <v>0</v>
      </c>
      <c r="K2410">
        <v>3</v>
      </c>
      <c r="L2410">
        <v>113.9375</v>
      </c>
      <c r="M2410">
        <v>33.375507550000002</v>
      </c>
      <c r="N2410">
        <v>2.4262999999999999</v>
      </c>
      <c r="O2410">
        <v>0.40692159999999999</v>
      </c>
      <c r="P2410">
        <v>83.757575759999995</v>
      </c>
      <c r="Q2410">
        <v>22.60997987</v>
      </c>
      <c r="R2410">
        <v>0.72884000000000004</v>
      </c>
      <c r="S2410">
        <v>0.21301339999999999</v>
      </c>
      <c r="T2410" t="s">
        <v>1017</v>
      </c>
      <c r="U2410">
        <v>10.76552768</v>
      </c>
    </row>
    <row r="2411" spans="1:21" x14ac:dyDescent="0.25">
      <c r="A2411" t="s">
        <v>18</v>
      </c>
      <c r="B2411" t="s">
        <v>915</v>
      </c>
      <c r="C2411">
        <v>16</v>
      </c>
      <c r="D2411" t="s">
        <v>19</v>
      </c>
      <c r="E2411" t="s">
        <v>95</v>
      </c>
      <c r="F2411" t="s">
        <v>104</v>
      </c>
      <c r="G2411" t="s">
        <v>121</v>
      </c>
      <c r="H2411" t="s">
        <v>113</v>
      </c>
      <c r="J2411">
        <v>0</v>
      </c>
      <c r="K2411">
        <v>3</v>
      </c>
      <c r="L2411">
        <v>113.9375</v>
      </c>
      <c r="M2411">
        <v>33.375507550000002</v>
      </c>
      <c r="N2411">
        <v>2.4262999999999999</v>
      </c>
      <c r="O2411">
        <v>0.40692159999999999</v>
      </c>
      <c r="P2411">
        <v>83.757575759999995</v>
      </c>
      <c r="Q2411">
        <v>22.60997987</v>
      </c>
      <c r="R2411">
        <v>0.72884000000000004</v>
      </c>
      <c r="S2411">
        <v>0.21301339999999999</v>
      </c>
      <c r="T2411" t="s">
        <v>1017</v>
      </c>
      <c r="U2411">
        <v>10.76552768</v>
      </c>
    </row>
    <row r="2412" spans="1:21" x14ac:dyDescent="0.25">
      <c r="A2412" t="s">
        <v>18</v>
      </c>
      <c r="B2412" t="s">
        <v>915</v>
      </c>
      <c r="C2412">
        <v>16</v>
      </c>
      <c r="D2412" t="s">
        <v>19</v>
      </c>
      <c r="E2412" t="s">
        <v>95</v>
      </c>
      <c r="F2412" t="s">
        <v>104</v>
      </c>
      <c r="G2412" t="s">
        <v>121</v>
      </c>
      <c r="H2412" t="s">
        <v>113</v>
      </c>
      <c r="J2412">
        <v>0</v>
      </c>
      <c r="K2412">
        <v>3</v>
      </c>
      <c r="L2412">
        <v>113.9375</v>
      </c>
      <c r="M2412">
        <v>33.375507550000002</v>
      </c>
      <c r="N2412">
        <v>2.4262999999999999</v>
      </c>
      <c r="O2412">
        <v>0.40692159999999999</v>
      </c>
      <c r="P2412">
        <v>83.757575759999995</v>
      </c>
      <c r="Q2412">
        <v>22.60997987</v>
      </c>
      <c r="R2412">
        <v>0.72884000000000004</v>
      </c>
      <c r="S2412">
        <v>0.21301339999999999</v>
      </c>
      <c r="T2412" t="s">
        <v>1017</v>
      </c>
      <c r="U2412">
        <v>10.76552768</v>
      </c>
    </row>
    <row r="2413" spans="1:21" x14ac:dyDescent="0.25">
      <c r="A2413" t="s">
        <v>18</v>
      </c>
      <c r="B2413" t="s">
        <v>916</v>
      </c>
      <c r="C2413">
        <v>15</v>
      </c>
      <c r="D2413" t="s">
        <v>19</v>
      </c>
      <c r="E2413" t="s">
        <v>95</v>
      </c>
      <c r="F2413" t="s">
        <v>112</v>
      </c>
      <c r="G2413" t="s">
        <v>113</v>
      </c>
      <c r="H2413" t="s">
        <v>113</v>
      </c>
      <c r="J2413">
        <v>0</v>
      </c>
      <c r="K2413">
        <v>1</v>
      </c>
      <c r="L2413">
        <v>65.09375</v>
      </c>
      <c r="M2413">
        <v>37.895352600000002</v>
      </c>
      <c r="N2413">
        <v>2.2882677779999998</v>
      </c>
      <c r="O2413">
        <v>2.2111774</v>
      </c>
      <c r="P2413">
        <v>83.757575759999995</v>
      </c>
      <c r="Q2413">
        <v>22.60997987</v>
      </c>
      <c r="R2413">
        <v>0.72884000000000004</v>
      </c>
      <c r="S2413">
        <v>0.21301339999999999</v>
      </c>
      <c r="T2413" t="s">
        <v>1017</v>
      </c>
      <c r="U2413">
        <v>15.285372730000001</v>
      </c>
    </row>
    <row r="2414" spans="1:21" x14ac:dyDescent="0.25">
      <c r="A2414" t="s">
        <v>20</v>
      </c>
      <c r="B2414" t="s">
        <v>917</v>
      </c>
      <c r="C2414">
        <v>15</v>
      </c>
      <c r="D2414" t="s">
        <v>21</v>
      </c>
      <c r="E2414" t="s">
        <v>94</v>
      </c>
      <c r="F2414" t="s">
        <v>102</v>
      </c>
      <c r="G2414" t="s">
        <v>121</v>
      </c>
      <c r="H2414" t="s">
        <v>246</v>
      </c>
      <c r="J2414">
        <v>0</v>
      </c>
      <c r="K2414">
        <v>1</v>
      </c>
      <c r="L2414">
        <v>84.740740740000007</v>
      </c>
      <c r="M2414">
        <v>29.167014049999999</v>
      </c>
      <c r="N2414">
        <v>1.1169849999999999</v>
      </c>
      <c r="O2414">
        <v>1.1571499000000001</v>
      </c>
      <c r="P2414">
        <v>120.25</v>
      </c>
      <c r="Q2414">
        <v>30.670450110000001</v>
      </c>
      <c r="R2414">
        <v>0.91037498500000003</v>
      </c>
      <c r="S2414" t="s">
        <v>114</v>
      </c>
      <c r="T2414" t="s">
        <v>1017</v>
      </c>
      <c r="U2414">
        <v>1.5034360600000001</v>
      </c>
    </row>
    <row r="2415" spans="1:21" x14ac:dyDescent="0.25">
      <c r="A2415" t="s">
        <v>20</v>
      </c>
      <c r="B2415" t="s">
        <v>918</v>
      </c>
      <c r="C2415">
        <v>15</v>
      </c>
      <c r="D2415" t="s">
        <v>21</v>
      </c>
      <c r="E2415" t="s">
        <v>94</v>
      </c>
      <c r="F2415" t="s">
        <v>113</v>
      </c>
      <c r="G2415" t="s">
        <v>113</v>
      </c>
      <c r="H2415" t="s">
        <v>113</v>
      </c>
      <c r="J2415">
        <v>0</v>
      </c>
      <c r="K2415">
        <v>1</v>
      </c>
      <c r="L2415">
        <v>83.757575759999995</v>
      </c>
      <c r="M2415">
        <v>22.60997987</v>
      </c>
      <c r="N2415">
        <v>0.72884000000000004</v>
      </c>
      <c r="O2415">
        <v>0.21301339999999999</v>
      </c>
      <c r="P2415">
        <v>83.757575759999995</v>
      </c>
      <c r="Q2415">
        <v>22.60997987</v>
      </c>
      <c r="R2415">
        <v>0.72884000000000004</v>
      </c>
      <c r="S2415">
        <v>0.21301339999999999</v>
      </c>
      <c r="T2415" t="s">
        <v>1017</v>
      </c>
      <c r="U2415">
        <v>0</v>
      </c>
    </row>
    <row r="2416" spans="1:21" x14ac:dyDescent="0.25">
      <c r="A2416" t="s">
        <v>20</v>
      </c>
      <c r="B2416" t="s">
        <v>919</v>
      </c>
      <c r="C2416">
        <v>15</v>
      </c>
      <c r="D2416" t="s">
        <v>21</v>
      </c>
      <c r="E2416" t="s">
        <v>94</v>
      </c>
      <c r="F2416" t="s">
        <v>110</v>
      </c>
      <c r="G2416" t="s">
        <v>121</v>
      </c>
      <c r="H2416" t="s">
        <v>113</v>
      </c>
      <c r="J2416">
        <v>0</v>
      </c>
      <c r="K2416">
        <v>2</v>
      </c>
      <c r="L2416">
        <v>73.260869569999997</v>
      </c>
      <c r="M2416">
        <v>34.453830549999999</v>
      </c>
      <c r="N2416">
        <v>1.058333333</v>
      </c>
      <c r="O2416">
        <v>0.90897070000000002</v>
      </c>
      <c r="P2416">
        <v>83.757575759999995</v>
      </c>
      <c r="Q2416">
        <v>22.60997987</v>
      </c>
      <c r="R2416">
        <v>0.72884000000000004</v>
      </c>
      <c r="S2416">
        <v>0.21301339999999999</v>
      </c>
      <c r="T2416" t="s">
        <v>1017</v>
      </c>
      <c r="U2416">
        <v>11.843850679999999</v>
      </c>
    </row>
    <row r="2417" spans="1:21" x14ac:dyDescent="0.25">
      <c r="A2417" t="s">
        <v>20</v>
      </c>
      <c r="B2417" t="s">
        <v>919</v>
      </c>
      <c r="C2417">
        <v>15</v>
      </c>
      <c r="D2417" t="s">
        <v>21</v>
      </c>
      <c r="E2417" t="s">
        <v>94</v>
      </c>
      <c r="F2417" t="s">
        <v>110</v>
      </c>
      <c r="G2417" t="s">
        <v>121</v>
      </c>
      <c r="H2417" t="s">
        <v>113</v>
      </c>
      <c r="J2417">
        <v>0</v>
      </c>
      <c r="K2417">
        <v>2</v>
      </c>
      <c r="L2417">
        <v>73.260869569999997</v>
      </c>
      <c r="M2417">
        <v>34.453830549999999</v>
      </c>
      <c r="N2417">
        <v>1.058333333</v>
      </c>
      <c r="O2417">
        <v>0.90897070000000002</v>
      </c>
      <c r="P2417">
        <v>83.757575759999995</v>
      </c>
      <c r="Q2417">
        <v>22.60997987</v>
      </c>
      <c r="R2417">
        <v>0.72884000000000004</v>
      </c>
      <c r="S2417">
        <v>0.21301339999999999</v>
      </c>
      <c r="T2417" t="s">
        <v>1017</v>
      </c>
      <c r="U2417">
        <v>11.843850679999999</v>
      </c>
    </row>
    <row r="2418" spans="1:21" x14ac:dyDescent="0.25">
      <c r="A2418" t="s">
        <v>20</v>
      </c>
      <c r="B2418" t="s">
        <v>919</v>
      </c>
      <c r="C2418">
        <v>16</v>
      </c>
      <c r="D2418" t="s">
        <v>21</v>
      </c>
      <c r="E2418" t="s">
        <v>94</v>
      </c>
      <c r="F2418" t="s">
        <v>110</v>
      </c>
      <c r="G2418" t="s">
        <v>121</v>
      </c>
      <c r="H2418" t="s">
        <v>102</v>
      </c>
      <c r="J2418">
        <v>0</v>
      </c>
      <c r="K2418">
        <v>1</v>
      </c>
      <c r="L2418">
        <v>73.260869569999997</v>
      </c>
      <c r="M2418">
        <v>34.453830549999999</v>
      </c>
      <c r="N2418">
        <v>1.058333333</v>
      </c>
      <c r="O2418">
        <v>0.90897070000000002</v>
      </c>
      <c r="P2418">
        <v>84.740740740000007</v>
      </c>
      <c r="Q2418">
        <v>29.167014049999999</v>
      </c>
      <c r="R2418">
        <v>1.1169849999999999</v>
      </c>
      <c r="S2418">
        <v>1.1571499000000001</v>
      </c>
      <c r="T2418" t="s">
        <v>1017</v>
      </c>
      <c r="U2418">
        <v>5.2868164999999996</v>
      </c>
    </row>
    <row r="2419" spans="1:21" x14ac:dyDescent="0.25">
      <c r="A2419" t="s">
        <v>20</v>
      </c>
      <c r="B2419" t="s">
        <v>920</v>
      </c>
      <c r="C2419">
        <v>15</v>
      </c>
      <c r="D2419" t="s">
        <v>21</v>
      </c>
      <c r="E2419" t="s">
        <v>94</v>
      </c>
      <c r="F2419" t="s">
        <v>111</v>
      </c>
      <c r="G2419" t="s">
        <v>121</v>
      </c>
      <c r="H2419" t="s">
        <v>110</v>
      </c>
      <c r="J2419">
        <v>0</v>
      </c>
      <c r="K2419">
        <v>1</v>
      </c>
      <c r="L2419">
        <v>94.97142857</v>
      </c>
      <c r="M2419">
        <v>24.31591813</v>
      </c>
      <c r="N2419">
        <v>0.122951111</v>
      </c>
      <c r="O2419">
        <v>0.39050790000000002</v>
      </c>
      <c r="P2419">
        <v>73.260869569999997</v>
      </c>
      <c r="Q2419">
        <v>34.453830549999999</v>
      </c>
      <c r="R2419">
        <v>1.058333333</v>
      </c>
      <c r="S2419">
        <v>0.90897070000000002</v>
      </c>
      <c r="T2419" t="s">
        <v>1017</v>
      </c>
      <c r="U2419">
        <v>10.137912419999999</v>
      </c>
    </row>
    <row r="2420" spans="1:21" x14ac:dyDescent="0.25">
      <c r="A2420" t="s">
        <v>22</v>
      </c>
      <c r="B2420" t="s">
        <v>921</v>
      </c>
      <c r="C2420">
        <v>15</v>
      </c>
      <c r="D2420" t="s">
        <v>23</v>
      </c>
      <c r="E2420" t="s">
        <v>95</v>
      </c>
      <c r="F2420" t="s">
        <v>102</v>
      </c>
      <c r="G2420" t="s">
        <v>121</v>
      </c>
      <c r="H2420" t="s">
        <v>236</v>
      </c>
      <c r="J2420">
        <v>0</v>
      </c>
      <c r="K2420">
        <v>1</v>
      </c>
      <c r="L2420">
        <v>84.740740740000007</v>
      </c>
      <c r="M2420">
        <v>29.167014049999999</v>
      </c>
      <c r="N2420">
        <v>1.1169849999999999</v>
      </c>
      <c r="O2420">
        <v>1.1571499000000001</v>
      </c>
      <c r="P2420">
        <v>113.33333330000001</v>
      </c>
      <c r="Q2420">
        <v>26.41632581</v>
      </c>
      <c r="R2420">
        <v>1.6844570160000001</v>
      </c>
      <c r="S2420">
        <v>8.9285710000000004E-2</v>
      </c>
      <c r="T2420" t="s">
        <v>1017</v>
      </c>
      <c r="U2420">
        <v>2.7506882400000001</v>
      </c>
    </row>
    <row r="2421" spans="1:21" x14ac:dyDescent="0.25">
      <c r="A2421" t="s">
        <v>22</v>
      </c>
      <c r="B2421" t="s">
        <v>922</v>
      </c>
      <c r="C2421">
        <v>15</v>
      </c>
      <c r="D2421" t="s">
        <v>23</v>
      </c>
      <c r="E2421" t="s">
        <v>95</v>
      </c>
      <c r="F2421" t="s">
        <v>105</v>
      </c>
      <c r="G2421" t="s">
        <v>121</v>
      </c>
      <c r="H2421" t="s">
        <v>113</v>
      </c>
      <c r="J2421">
        <v>0</v>
      </c>
      <c r="K2421">
        <v>4</v>
      </c>
      <c r="L2421">
        <v>67.5</v>
      </c>
      <c r="M2421">
        <v>47.937235809999997</v>
      </c>
      <c r="N2421">
        <v>0.41599678000000001</v>
      </c>
      <c r="O2421">
        <v>2.0950346999999998</v>
      </c>
      <c r="P2421">
        <v>83.757575759999995</v>
      </c>
      <c r="Q2421">
        <v>22.60997987</v>
      </c>
      <c r="R2421">
        <v>0.72884000000000004</v>
      </c>
      <c r="S2421">
        <v>0.21301339999999999</v>
      </c>
      <c r="T2421" t="s">
        <v>1017</v>
      </c>
      <c r="U2421">
        <v>25.327255940000001</v>
      </c>
    </row>
    <row r="2422" spans="1:21" x14ac:dyDescent="0.25">
      <c r="A2422" t="s">
        <v>22</v>
      </c>
      <c r="B2422" t="s">
        <v>922</v>
      </c>
      <c r="C2422">
        <v>15</v>
      </c>
      <c r="D2422" t="s">
        <v>23</v>
      </c>
      <c r="E2422" t="s">
        <v>95</v>
      </c>
      <c r="F2422" t="s">
        <v>105</v>
      </c>
      <c r="G2422" t="s">
        <v>121</v>
      </c>
      <c r="H2422" t="s">
        <v>113</v>
      </c>
      <c r="J2422">
        <v>0</v>
      </c>
      <c r="K2422">
        <v>4</v>
      </c>
      <c r="L2422">
        <v>67.5</v>
      </c>
      <c r="M2422">
        <v>47.937235809999997</v>
      </c>
      <c r="N2422">
        <v>0.41599678000000001</v>
      </c>
      <c r="O2422">
        <v>2.0950346999999998</v>
      </c>
      <c r="P2422">
        <v>83.757575759999995</v>
      </c>
      <c r="Q2422">
        <v>22.60997987</v>
      </c>
      <c r="R2422">
        <v>0.72884000000000004</v>
      </c>
      <c r="S2422">
        <v>0.21301339999999999</v>
      </c>
      <c r="T2422" t="s">
        <v>1017</v>
      </c>
      <c r="U2422">
        <v>25.327255940000001</v>
      </c>
    </row>
    <row r="2423" spans="1:21" x14ac:dyDescent="0.25">
      <c r="A2423" t="s">
        <v>22</v>
      </c>
      <c r="B2423" t="s">
        <v>922</v>
      </c>
      <c r="C2423">
        <v>15</v>
      </c>
      <c r="D2423" t="s">
        <v>23</v>
      </c>
      <c r="E2423" t="s">
        <v>95</v>
      </c>
      <c r="F2423" t="s">
        <v>105</v>
      </c>
      <c r="G2423" t="s">
        <v>121</v>
      </c>
      <c r="H2423" t="s">
        <v>113</v>
      </c>
      <c r="J2423">
        <v>0</v>
      </c>
      <c r="K2423">
        <v>4</v>
      </c>
      <c r="L2423">
        <v>67.5</v>
      </c>
      <c r="M2423">
        <v>47.937235809999997</v>
      </c>
      <c r="N2423">
        <v>0.41599678000000001</v>
      </c>
      <c r="O2423">
        <v>2.0950346999999998</v>
      </c>
      <c r="P2423">
        <v>83.757575759999995</v>
      </c>
      <c r="Q2423">
        <v>22.60997987</v>
      </c>
      <c r="R2423">
        <v>0.72884000000000004</v>
      </c>
      <c r="S2423">
        <v>0.21301339999999999</v>
      </c>
      <c r="T2423" t="s">
        <v>1017</v>
      </c>
      <c r="U2423">
        <v>25.327255940000001</v>
      </c>
    </row>
    <row r="2424" spans="1:21" x14ac:dyDescent="0.25">
      <c r="A2424" t="s">
        <v>22</v>
      </c>
      <c r="B2424" t="s">
        <v>922</v>
      </c>
      <c r="C2424">
        <v>15</v>
      </c>
      <c r="D2424" t="s">
        <v>23</v>
      </c>
      <c r="E2424" t="s">
        <v>95</v>
      </c>
      <c r="F2424" t="s">
        <v>105</v>
      </c>
      <c r="G2424" t="s">
        <v>121</v>
      </c>
      <c r="H2424" t="s">
        <v>113</v>
      </c>
      <c r="J2424">
        <v>0</v>
      </c>
      <c r="K2424">
        <v>4</v>
      </c>
      <c r="L2424">
        <v>67.5</v>
      </c>
      <c r="M2424">
        <v>47.937235809999997</v>
      </c>
      <c r="N2424">
        <v>0.41599678000000001</v>
      </c>
      <c r="O2424">
        <v>2.0950346999999998</v>
      </c>
      <c r="P2424">
        <v>83.757575759999995</v>
      </c>
      <c r="Q2424">
        <v>22.60997987</v>
      </c>
      <c r="R2424">
        <v>0.72884000000000004</v>
      </c>
      <c r="S2424">
        <v>0.21301339999999999</v>
      </c>
      <c r="T2424" t="s">
        <v>1017</v>
      </c>
      <c r="U2424">
        <v>25.327255940000001</v>
      </c>
    </row>
    <row r="2425" spans="1:21" x14ac:dyDescent="0.25">
      <c r="A2425" t="s">
        <v>22</v>
      </c>
      <c r="B2425" t="s">
        <v>922</v>
      </c>
      <c r="C2425">
        <v>16</v>
      </c>
      <c r="D2425" t="s">
        <v>23</v>
      </c>
      <c r="E2425" t="s">
        <v>95</v>
      </c>
      <c r="F2425" t="s">
        <v>105</v>
      </c>
      <c r="G2425" t="s">
        <v>121</v>
      </c>
      <c r="H2425" t="s">
        <v>103</v>
      </c>
      <c r="J2425">
        <v>0</v>
      </c>
      <c r="K2425">
        <v>1</v>
      </c>
      <c r="L2425">
        <v>67.5</v>
      </c>
      <c r="M2425">
        <v>47.937235809999997</v>
      </c>
      <c r="N2425">
        <v>0.41599678000000001</v>
      </c>
      <c r="O2425">
        <v>2.0950346999999998</v>
      </c>
      <c r="P2425">
        <v>98.291666669999998</v>
      </c>
      <c r="Q2425">
        <v>30.315130790000001</v>
      </c>
      <c r="R2425">
        <v>5.0803484000000003E-2</v>
      </c>
      <c r="S2425">
        <v>0.42866070000000001</v>
      </c>
      <c r="T2425" t="s">
        <v>1017</v>
      </c>
      <c r="U2425">
        <v>17.622105019999999</v>
      </c>
    </row>
    <row r="2426" spans="1:21" x14ac:dyDescent="0.25">
      <c r="A2426" t="s">
        <v>22</v>
      </c>
      <c r="B2426" t="s">
        <v>922</v>
      </c>
      <c r="C2426">
        <v>17</v>
      </c>
      <c r="D2426" t="s">
        <v>23</v>
      </c>
      <c r="E2426" t="s">
        <v>95</v>
      </c>
      <c r="F2426" t="s">
        <v>105</v>
      </c>
      <c r="G2426" t="s">
        <v>121</v>
      </c>
      <c r="H2426" t="s">
        <v>234</v>
      </c>
      <c r="J2426">
        <v>0</v>
      </c>
      <c r="K2426">
        <v>1</v>
      </c>
      <c r="L2426">
        <v>67.5</v>
      </c>
      <c r="M2426">
        <v>47.937235809999997</v>
      </c>
      <c r="N2426">
        <v>0.41599678000000001</v>
      </c>
      <c r="O2426">
        <v>2.0950346999999998</v>
      </c>
      <c r="P2426">
        <v>89.8125</v>
      </c>
      <c r="Q2426">
        <v>34.754706650000003</v>
      </c>
      <c r="R2426">
        <v>2.3065078999999999E-2</v>
      </c>
      <c r="S2426">
        <v>2.4791666700000001</v>
      </c>
      <c r="T2426" t="s">
        <v>1017</v>
      </c>
      <c r="U2426">
        <v>13.18252916</v>
      </c>
    </row>
    <row r="2427" spans="1:21" x14ac:dyDescent="0.25">
      <c r="A2427" t="s">
        <v>22</v>
      </c>
      <c r="B2427" t="s">
        <v>923</v>
      </c>
      <c r="C2427">
        <v>15</v>
      </c>
      <c r="D2427" t="s">
        <v>23</v>
      </c>
      <c r="E2427" t="s">
        <v>95</v>
      </c>
      <c r="F2427" t="s">
        <v>103</v>
      </c>
      <c r="G2427" t="s">
        <v>103</v>
      </c>
      <c r="H2427" t="s">
        <v>103</v>
      </c>
      <c r="J2427">
        <v>0</v>
      </c>
      <c r="K2427">
        <v>6</v>
      </c>
      <c r="L2427">
        <v>98.291666669999998</v>
      </c>
      <c r="M2427">
        <v>30.315130790000001</v>
      </c>
      <c r="N2427">
        <v>5.0803484000000003E-2</v>
      </c>
      <c r="O2427">
        <v>0.42866070000000001</v>
      </c>
      <c r="P2427">
        <v>98.291666669999998</v>
      </c>
      <c r="Q2427">
        <v>30.315130790000001</v>
      </c>
      <c r="R2427">
        <v>5.0803484000000003E-2</v>
      </c>
      <c r="S2427">
        <v>0.42866070000000001</v>
      </c>
      <c r="T2427" t="s">
        <v>1017</v>
      </c>
      <c r="U2427">
        <v>0</v>
      </c>
    </row>
    <row r="2428" spans="1:21" x14ac:dyDescent="0.25">
      <c r="A2428" t="s">
        <v>22</v>
      </c>
      <c r="B2428" t="s">
        <v>923</v>
      </c>
      <c r="C2428">
        <v>15</v>
      </c>
      <c r="D2428" t="s">
        <v>23</v>
      </c>
      <c r="E2428" t="s">
        <v>95</v>
      </c>
      <c r="F2428" t="s">
        <v>103</v>
      </c>
      <c r="G2428" t="s">
        <v>103</v>
      </c>
      <c r="H2428" t="s">
        <v>103</v>
      </c>
      <c r="J2428">
        <v>0</v>
      </c>
      <c r="K2428">
        <v>6</v>
      </c>
      <c r="L2428">
        <v>98.291666669999998</v>
      </c>
      <c r="M2428">
        <v>30.315130790000001</v>
      </c>
      <c r="N2428">
        <v>5.0803484000000003E-2</v>
      </c>
      <c r="O2428">
        <v>0.42866070000000001</v>
      </c>
      <c r="P2428">
        <v>98.291666669999998</v>
      </c>
      <c r="Q2428">
        <v>30.315130790000001</v>
      </c>
      <c r="R2428">
        <v>5.0803484000000003E-2</v>
      </c>
      <c r="S2428">
        <v>0.42866070000000001</v>
      </c>
      <c r="T2428" t="s">
        <v>1017</v>
      </c>
      <c r="U2428">
        <v>0</v>
      </c>
    </row>
    <row r="2429" spans="1:21" x14ac:dyDescent="0.25">
      <c r="A2429" t="s">
        <v>22</v>
      </c>
      <c r="B2429" t="s">
        <v>923</v>
      </c>
      <c r="C2429">
        <v>15</v>
      </c>
      <c r="D2429" t="s">
        <v>23</v>
      </c>
      <c r="E2429" t="s">
        <v>95</v>
      </c>
      <c r="F2429" t="s">
        <v>103</v>
      </c>
      <c r="G2429" t="s">
        <v>103</v>
      </c>
      <c r="H2429" t="s">
        <v>103</v>
      </c>
      <c r="J2429">
        <v>0</v>
      </c>
      <c r="K2429">
        <v>6</v>
      </c>
      <c r="L2429">
        <v>98.291666669999998</v>
      </c>
      <c r="M2429">
        <v>30.315130790000001</v>
      </c>
      <c r="N2429">
        <v>5.0803484000000003E-2</v>
      </c>
      <c r="O2429">
        <v>0.42866070000000001</v>
      </c>
      <c r="P2429">
        <v>98.291666669999998</v>
      </c>
      <c r="Q2429">
        <v>30.315130790000001</v>
      </c>
      <c r="R2429">
        <v>5.0803484000000003E-2</v>
      </c>
      <c r="S2429">
        <v>0.42866070000000001</v>
      </c>
      <c r="T2429" t="s">
        <v>1017</v>
      </c>
      <c r="U2429">
        <v>0</v>
      </c>
    </row>
    <row r="2430" spans="1:21" x14ac:dyDescent="0.25">
      <c r="A2430" t="s">
        <v>22</v>
      </c>
      <c r="B2430" t="s">
        <v>923</v>
      </c>
      <c r="C2430">
        <v>15</v>
      </c>
      <c r="D2430" t="s">
        <v>23</v>
      </c>
      <c r="E2430" t="s">
        <v>95</v>
      </c>
      <c r="F2430" t="s">
        <v>103</v>
      </c>
      <c r="G2430" t="s">
        <v>103</v>
      </c>
      <c r="H2430" t="s">
        <v>103</v>
      </c>
      <c r="J2430">
        <v>0</v>
      </c>
      <c r="K2430">
        <v>6</v>
      </c>
      <c r="L2430">
        <v>98.291666669999998</v>
      </c>
      <c r="M2430">
        <v>30.315130790000001</v>
      </c>
      <c r="N2430">
        <v>5.0803484000000003E-2</v>
      </c>
      <c r="O2430">
        <v>0.42866070000000001</v>
      </c>
      <c r="P2430">
        <v>98.291666669999998</v>
      </c>
      <c r="Q2430">
        <v>30.315130790000001</v>
      </c>
      <c r="R2430">
        <v>5.0803484000000003E-2</v>
      </c>
      <c r="S2430">
        <v>0.42866070000000001</v>
      </c>
      <c r="T2430" t="s">
        <v>1017</v>
      </c>
      <c r="U2430">
        <v>0</v>
      </c>
    </row>
    <row r="2431" spans="1:21" x14ac:dyDescent="0.25">
      <c r="A2431" t="s">
        <v>22</v>
      </c>
      <c r="B2431" t="s">
        <v>923</v>
      </c>
      <c r="C2431">
        <v>15</v>
      </c>
      <c r="D2431" t="s">
        <v>23</v>
      </c>
      <c r="E2431" t="s">
        <v>95</v>
      </c>
      <c r="F2431" t="s">
        <v>103</v>
      </c>
      <c r="G2431" t="s">
        <v>103</v>
      </c>
      <c r="H2431" t="s">
        <v>103</v>
      </c>
      <c r="J2431">
        <v>0</v>
      </c>
      <c r="K2431">
        <v>6</v>
      </c>
      <c r="L2431">
        <v>98.291666669999998</v>
      </c>
      <c r="M2431">
        <v>30.315130790000001</v>
      </c>
      <c r="N2431">
        <v>5.0803484000000003E-2</v>
      </c>
      <c r="O2431">
        <v>0.42866070000000001</v>
      </c>
      <c r="P2431">
        <v>98.291666669999998</v>
      </c>
      <c r="Q2431">
        <v>30.315130790000001</v>
      </c>
      <c r="R2431">
        <v>5.0803484000000003E-2</v>
      </c>
      <c r="S2431">
        <v>0.42866070000000001</v>
      </c>
      <c r="T2431" t="s">
        <v>1017</v>
      </c>
      <c r="U2431">
        <v>0</v>
      </c>
    </row>
    <row r="2432" spans="1:21" x14ac:dyDescent="0.25">
      <c r="A2432" t="s">
        <v>22</v>
      </c>
      <c r="B2432" t="s">
        <v>923</v>
      </c>
      <c r="C2432">
        <v>15</v>
      </c>
      <c r="D2432" t="s">
        <v>23</v>
      </c>
      <c r="E2432" t="s">
        <v>95</v>
      </c>
      <c r="F2432" t="s">
        <v>103</v>
      </c>
      <c r="G2432" t="s">
        <v>103</v>
      </c>
      <c r="H2432" t="s">
        <v>103</v>
      </c>
      <c r="J2432">
        <v>0</v>
      </c>
      <c r="K2432">
        <v>6</v>
      </c>
      <c r="L2432">
        <v>98.291666669999998</v>
      </c>
      <c r="M2432">
        <v>30.315130790000001</v>
      </c>
      <c r="N2432">
        <v>5.0803484000000003E-2</v>
      </c>
      <c r="O2432">
        <v>0.42866070000000001</v>
      </c>
      <c r="P2432">
        <v>98.291666669999998</v>
      </c>
      <c r="Q2432">
        <v>30.315130790000001</v>
      </c>
      <c r="R2432">
        <v>5.0803484000000003E-2</v>
      </c>
      <c r="S2432">
        <v>0.42866070000000001</v>
      </c>
      <c r="T2432" t="s">
        <v>1017</v>
      </c>
      <c r="U2432">
        <v>0</v>
      </c>
    </row>
    <row r="2433" spans="1:21" x14ac:dyDescent="0.25">
      <c r="A2433" t="s">
        <v>22</v>
      </c>
      <c r="B2433" t="s">
        <v>923</v>
      </c>
      <c r="C2433">
        <v>16</v>
      </c>
      <c r="D2433" t="s">
        <v>23</v>
      </c>
      <c r="E2433" t="s">
        <v>95</v>
      </c>
      <c r="F2433" t="s">
        <v>103</v>
      </c>
      <c r="G2433" t="s">
        <v>103</v>
      </c>
      <c r="H2433" t="s">
        <v>248</v>
      </c>
      <c r="J2433">
        <v>0</v>
      </c>
      <c r="K2433">
        <v>4</v>
      </c>
      <c r="L2433">
        <v>98.291666669999998</v>
      </c>
      <c r="M2433">
        <v>30.315130790000001</v>
      </c>
      <c r="N2433">
        <v>5.0803484000000003E-2</v>
      </c>
      <c r="O2433">
        <v>0.42866070000000001</v>
      </c>
      <c r="P2433">
        <v>83.92307692</v>
      </c>
      <c r="Q2433">
        <v>44.319135699999997</v>
      </c>
      <c r="R2433">
        <v>5.9548609999999997E-3</v>
      </c>
      <c r="S2433">
        <v>0.18017928</v>
      </c>
      <c r="T2433" t="s">
        <v>1017</v>
      </c>
      <c r="U2433">
        <v>14.004004910000001</v>
      </c>
    </row>
    <row r="2434" spans="1:21" x14ac:dyDescent="0.25">
      <c r="A2434" t="s">
        <v>22</v>
      </c>
      <c r="B2434" t="s">
        <v>923</v>
      </c>
      <c r="C2434">
        <v>16</v>
      </c>
      <c r="D2434" t="s">
        <v>23</v>
      </c>
      <c r="E2434" t="s">
        <v>95</v>
      </c>
      <c r="F2434" t="s">
        <v>103</v>
      </c>
      <c r="G2434" t="s">
        <v>103</v>
      </c>
      <c r="H2434" t="s">
        <v>248</v>
      </c>
      <c r="J2434">
        <v>0</v>
      </c>
      <c r="K2434">
        <v>4</v>
      </c>
      <c r="L2434">
        <v>98.291666669999998</v>
      </c>
      <c r="M2434">
        <v>30.315130790000001</v>
      </c>
      <c r="N2434">
        <v>5.0803484000000003E-2</v>
      </c>
      <c r="O2434">
        <v>0.42866070000000001</v>
      </c>
      <c r="P2434">
        <v>83.92307692</v>
      </c>
      <c r="Q2434">
        <v>44.319135699999997</v>
      </c>
      <c r="R2434">
        <v>5.9548609999999997E-3</v>
      </c>
      <c r="S2434">
        <v>0.18017928</v>
      </c>
      <c r="T2434" t="s">
        <v>1017</v>
      </c>
      <c r="U2434">
        <v>14.004004910000001</v>
      </c>
    </row>
    <row r="2435" spans="1:21" x14ac:dyDescent="0.25">
      <c r="A2435" t="s">
        <v>22</v>
      </c>
      <c r="B2435" t="s">
        <v>923</v>
      </c>
      <c r="C2435">
        <v>16</v>
      </c>
      <c r="D2435" t="s">
        <v>23</v>
      </c>
      <c r="E2435" t="s">
        <v>95</v>
      </c>
      <c r="F2435" t="s">
        <v>103</v>
      </c>
      <c r="G2435" t="s">
        <v>103</v>
      </c>
      <c r="H2435" t="s">
        <v>248</v>
      </c>
      <c r="J2435">
        <v>0</v>
      </c>
      <c r="K2435">
        <v>4</v>
      </c>
      <c r="L2435">
        <v>98.291666669999998</v>
      </c>
      <c r="M2435">
        <v>30.315130790000001</v>
      </c>
      <c r="N2435">
        <v>5.0803484000000003E-2</v>
      </c>
      <c r="O2435">
        <v>0.42866070000000001</v>
      </c>
      <c r="P2435">
        <v>83.92307692</v>
      </c>
      <c r="Q2435">
        <v>44.319135699999997</v>
      </c>
      <c r="R2435">
        <v>5.9548609999999997E-3</v>
      </c>
      <c r="S2435">
        <v>0.18017928</v>
      </c>
      <c r="T2435" t="s">
        <v>1017</v>
      </c>
      <c r="U2435">
        <v>14.004004910000001</v>
      </c>
    </row>
    <row r="2436" spans="1:21" x14ac:dyDescent="0.25">
      <c r="A2436" t="s">
        <v>22</v>
      </c>
      <c r="B2436" t="s">
        <v>923</v>
      </c>
      <c r="C2436">
        <v>16</v>
      </c>
      <c r="D2436" t="s">
        <v>23</v>
      </c>
      <c r="E2436" t="s">
        <v>95</v>
      </c>
      <c r="F2436" t="s">
        <v>103</v>
      </c>
      <c r="G2436" t="s">
        <v>103</v>
      </c>
      <c r="H2436" t="s">
        <v>248</v>
      </c>
      <c r="J2436">
        <v>0</v>
      </c>
      <c r="K2436">
        <v>4</v>
      </c>
      <c r="L2436">
        <v>98.291666669999998</v>
      </c>
      <c r="M2436">
        <v>30.315130790000001</v>
      </c>
      <c r="N2436">
        <v>5.0803484000000003E-2</v>
      </c>
      <c r="O2436">
        <v>0.42866070000000001</v>
      </c>
      <c r="P2436">
        <v>83.92307692</v>
      </c>
      <c r="Q2436">
        <v>44.319135699999997</v>
      </c>
      <c r="R2436">
        <v>5.9548609999999997E-3</v>
      </c>
      <c r="S2436">
        <v>0.18017928</v>
      </c>
      <c r="T2436" t="s">
        <v>1017</v>
      </c>
      <c r="U2436">
        <v>14.004004910000001</v>
      </c>
    </row>
    <row r="2437" spans="1:21" x14ac:dyDescent="0.25">
      <c r="A2437" t="s">
        <v>22</v>
      </c>
      <c r="B2437" t="s">
        <v>924</v>
      </c>
      <c r="C2437">
        <v>15</v>
      </c>
      <c r="D2437" t="s">
        <v>23</v>
      </c>
      <c r="E2437" t="s">
        <v>95</v>
      </c>
      <c r="F2437" t="s">
        <v>111</v>
      </c>
      <c r="G2437" t="s">
        <v>121</v>
      </c>
      <c r="H2437" t="s">
        <v>112</v>
      </c>
      <c r="J2437">
        <v>1</v>
      </c>
      <c r="K2437">
        <v>1</v>
      </c>
      <c r="L2437">
        <v>94.97142857</v>
      </c>
      <c r="M2437">
        <v>24.31591813</v>
      </c>
      <c r="N2437">
        <v>0.122951111</v>
      </c>
      <c r="O2437">
        <v>0.39050790000000002</v>
      </c>
      <c r="P2437">
        <v>65.09375</v>
      </c>
      <c r="Q2437">
        <v>37.895352600000002</v>
      </c>
      <c r="R2437">
        <v>2.2882677779999998</v>
      </c>
      <c r="S2437">
        <v>2.2111774</v>
      </c>
      <c r="T2437" t="s">
        <v>1017</v>
      </c>
      <c r="U2437">
        <v>13.579434470000001</v>
      </c>
    </row>
    <row r="2438" spans="1:21" x14ac:dyDescent="0.25">
      <c r="A2438" t="s">
        <v>22</v>
      </c>
      <c r="B2438" t="s">
        <v>924</v>
      </c>
      <c r="C2438">
        <v>16</v>
      </c>
      <c r="D2438" t="s">
        <v>23</v>
      </c>
      <c r="E2438" t="s">
        <v>95</v>
      </c>
      <c r="F2438" t="s">
        <v>111</v>
      </c>
      <c r="G2438" t="s">
        <v>121</v>
      </c>
      <c r="H2438" t="s">
        <v>239</v>
      </c>
      <c r="J2438">
        <v>1</v>
      </c>
      <c r="K2438">
        <v>1</v>
      </c>
      <c r="L2438">
        <v>94.97142857</v>
      </c>
      <c r="M2438">
        <v>24.31591813</v>
      </c>
      <c r="N2438">
        <v>0.122951111</v>
      </c>
      <c r="O2438">
        <v>0.39050790000000002</v>
      </c>
      <c r="P2438">
        <v>100.45454549999999</v>
      </c>
      <c r="Q2438">
        <v>26.754810689999999</v>
      </c>
      <c r="R2438">
        <v>0.75829999999999997</v>
      </c>
      <c r="S2438">
        <v>0.40907861000000001</v>
      </c>
      <c r="T2438" t="s">
        <v>1017</v>
      </c>
      <c r="U2438">
        <v>2.4388925600000002</v>
      </c>
    </row>
    <row r="2439" spans="1:21" x14ac:dyDescent="0.25">
      <c r="A2439" t="s">
        <v>22</v>
      </c>
      <c r="B2439" t="s">
        <v>924</v>
      </c>
      <c r="C2439">
        <v>17</v>
      </c>
      <c r="D2439" t="s">
        <v>23</v>
      </c>
      <c r="E2439" t="s">
        <v>95</v>
      </c>
      <c r="F2439" t="s">
        <v>111</v>
      </c>
      <c r="G2439" t="s">
        <v>121</v>
      </c>
      <c r="H2439" t="s">
        <v>248</v>
      </c>
      <c r="J2439">
        <v>1</v>
      </c>
      <c r="K2439">
        <v>5</v>
      </c>
      <c r="L2439">
        <v>94.97142857</v>
      </c>
      <c r="M2439">
        <v>24.31591813</v>
      </c>
      <c r="N2439">
        <v>0.122951111</v>
      </c>
      <c r="O2439">
        <v>0.39050790000000002</v>
      </c>
      <c r="P2439">
        <v>83.92307692</v>
      </c>
      <c r="Q2439">
        <v>44.319135699999997</v>
      </c>
      <c r="R2439">
        <v>5.9548609999999997E-3</v>
      </c>
      <c r="S2439">
        <v>0.18017928</v>
      </c>
      <c r="T2439" t="s">
        <v>1017</v>
      </c>
      <c r="U2439">
        <v>20.00321757</v>
      </c>
    </row>
    <row r="2440" spans="1:21" x14ac:dyDescent="0.25">
      <c r="A2440" t="s">
        <v>22</v>
      </c>
      <c r="B2440" t="s">
        <v>924</v>
      </c>
      <c r="C2440">
        <v>17</v>
      </c>
      <c r="D2440" t="s">
        <v>23</v>
      </c>
      <c r="E2440" t="s">
        <v>95</v>
      </c>
      <c r="F2440" t="s">
        <v>111</v>
      </c>
      <c r="G2440" t="s">
        <v>121</v>
      </c>
      <c r="H2440" t="s">
        <v>248</v>
      </c>
      <c r="J2440">
        <v>1</v>
      </c>
      <c r="K2440">
        <v>5</v>
      </c>
      <c r="L2440">
        <v>94.97142857</v>
      </c>
      <c r="M2440">
        <v>24.31591813</v>
      </c>
      <c r="N2440">
        <v>0.122951111</v>
      </c>
      <c r="O2440">
        <v>0.39050790000000002</v>
      </c>
      <c r="P2440">
        <v>83.92307692</v>
      </c>
      <c r="Q2440">
        <v>44.319135699999997</v>
      </c>
      <c r="R2440">
        <v>5.9548609999999997E-3</v>
      </c>
      <c r="S2440">
        <v>0.18017928</v>
      </c>
      <c r="T2440" t="s">
        <v>1017</v>
      </c>
      <c r="U2440">
        <v>20.00321757</v>
      </c>
    </row>
    <row r="2441" spans="1:21" x14ac:dyDescent="0.25">
      <c r="A2441" t="s">
        <v>22</v>
      </c>
      <c r="B2441" t="s">
        <v>924</v>
      </c>
      <c r="C2441">
        <v>17</v>
      </c>
      <c r="D2441" t="s">
        <v>23</v>
      </c>
      <c r="E2441" t="s">
        <v>95</v>
      </c>
      <c r="F2441" t="s">
        <v>111</v>
      </c>
      <c r="G2441" t="s">
        <v>121</v>
      </c>
      <c r="H2441" t="s">
        <v>248</v>
      </c>
      <c r="J2441">
        <v>1</v>
      </c>
      <c r="K2441">
        <v>5</v>
      </c>
      <c r="L2441">
        <v>94.97142857</v>
      </c>
      <c r="M2441">
        <v>24.31591813</v>
      </c>
      <c r="N2441">
        <v>0.122951111</v>
      </c>
      <c r="O2441">
        <v>0.39050790000000002</v>
      </c>
      <c r="P2441">
        <v>83.92307692</v>
      </c>
      <c r="Q2441">
        <v>44.319135699999997</v>
      </c>
      <c r="R2441">
        <v>5.9548609999999997E-3</v>
      </c>
      <c r="S2441">
        <v>0.18017928</v>
      </c>
      <c r="T2441" t="s">
        <v>1017</v>
      </c>
      <c r="U2441">
        <v>20.00321757</v>
      </c>
    </row>
    <row r="2442" spans="1:21" x14ac:dyDescent="0.25">
      <c r="A2442" t="s">
        <v>22</v>
      </c>
      <c r="B2442" t="s">
        <v>924</v>
      </c>
      <c r="C2442">
        <v>17</v>
      </c>
      <c r="D2442" t="s">
        <v>23</v>
      </c>
      <c r="E2442" t="s">
        <v>95</v>
      </c>
      <c r="F2442" t="s">
        <v>111</v>
      </c>
      <c r="G2442" t="s">
        <v>121</v>
      </c>
      <c r="H2442" t="s">
        <v>248</v>
      </c>
      <c r="J2442">
        <v>1</v>
      </c>
      <c r="K2442">
        <v>5</v>
      </c>
      <c r="L2442">
        <v>94.97142857</v>
      </c>
      <c r="M2442">
        <v>24.31591813</v>
      </c>
      <c r="N2442">
        <v>0.122951111</v>
      </c>
      <c r="O2442">
        <v>0.39050790000000002</v>
      </c>
      <c r="P2442">
        <v>83.92307692</v>
      </c>
      <c r="Q2442">
        <v>44.319135699999997</v>
      </c>
      <c r="R2442">
        <v>5.9548609999999997E-3</v>
      </c>
      <c r="S2442">
        <v>0.18017928</v>
      </c>
      <c r="T2442" t="s">
        <v>1017</v>
      </c>
      <c r="U2442">
        <v>20.00321757</v>
      </c>
    </row>
    <row r="2443" spans="1:21" x14ac:dyDescent="0.25">
      <c r="A2443" t="s">
        <v>22</v>
      </c>
      <c r="B2443" t="s">
        <v>924</v>
      </c>
      <c r="C2443">
        <v>17</v>
      </c>
      <c r="D2443" t="s">
        <v>23</v>
      </c>
      <c r="E2443" t="s">
        <v>95</v>
      </c>
      <c r="F2443" t="s">
        <v>111</v>
      </c>
      <c r="G2443" t="s">
        <v>121</v>
      </c>
      <c r="H2443" t="s">
        <v>248</v>
      </c>
      <c r="J2443">
        <v>1</v>
      </c>
      <c r="K2443">
        <v>5</v>
      </c>
      <c r="L2443">
        <v>94.97142857</v>
      </c>
      <c r="M2443">
        <v>24.31591813</v>
      </c>
      <c r="N2443">
        <v>0.122951111</v>
      </c>
      <c r="O2443">
        <v>0.39050790000000002</v>
      </c>
      <c r="P2443">
        <v>83.92307692</v>
      </c>
      <c r="Q2443">
        <v>44.319135699999997</v>
      </c>
      <c r="R2443">
        <v>5.9548609999999997E-3</v>
      </c>
      <c r="S2443">
        <v>0.18017928</v>
      </c>
      <c r="T2443" t="s">
        <v>1017</v>
      </c>
      <c r="U2443">
        <v>20.00321757</v>
      </c>
    </row>
    <row r="2444" spans="1:21" x14ac:dyDescent="0.25">
      <c r="A2444" t="s">
        <v>22</v>
      </c>
      <c r="B2444" t="s">
        <v>925</v>
      </c>
      <c r="C2444">
        <v>15</v>
      </c>
      <c r="D2444" t="s">
        <v>23</v>
      </c>
      <c r="E2444" t="s">
        <v>95</v>
      </c>
      <c r="F2444" t="s">
        <v>112</v>
      </c>
      <c r="G2444" t="s">
        <v>103</v>
      </c>
      <c r="H2444" t="s">
        <v>103</v>
      </c>
      <c r="J2444">
        <v>0</v>
      </c>
      <c r="K2444">
        <v>3</v>
      </c>
      <c r="L2444">
        <v>65.09375</v>
      </c>
      <c r="M2444">
        <v>37.895352600000002</v>
      </c>
      <c r="N2444">
        <v>2.2882677779999998</v>
      </c>
      <c r="O2444">
        <v>2.2111774</v>
      </c>
      <c r="P2444">
        <v>98.291666669999998</v>
      </c>
      <c r="Q2444">
        <v>30.315130790000001</v>
      </c>
      <c r="R2444">
        <v>5.0803484000000003E-2</v>
      </c>
      <c r="S2444">
        <v>0.42866070000000001</v>
      </c>
      <c r="T2444" t="s">
        <v>1017</v>
      </c>
      <c r="U2444">
        <v>7.5802218100000003</v>
      </c>
    </row>
    <row r="2445" spans="1:21" x14ac:dyDescent="0.25">
      <c r="A2445" t="s">
        <v>22</v>
      </c>
      <c r="B2445" t="s">
        <v>925</v>
      </c>
      <c r="C2445">
        <v>15</v>
      </c>
      <c r="D2445" t="s">
        <v>23</v>
      </c>
      <c r="E2445" t="s">
        <v>95</v>
      </c>
      <c r="F2445" t="s">
        <v>112</v>
      </c>
      <c r="G2445" t="s">
        <v>103</v>
      </c>
      <c r="H2445" t="s">
        <v>103</v>
      </c>
      <c r="J2445">
        <v>0</v>
      </c>
      <c r="K2445">
        <v>3</v>
      </c>
      <c r="L2445">
        <v>65.09375</v>
      </c>
      <c r="M2445">
        <v>37.895352600000002</v>
      </c>
      <c r="N2445">
        <v>2.2882677779999998</v>
      </c>
      <c r="O2445">
        <v>2.2111774</v>
      </c>
      <c r="P2445">
        <v>98.291666669999998</v>
      </c>
      <c r="Q2445">
        <v>30.315130790000001</v>
      </c>
      <c r="R2445">
        <v>5.0803484000000003E-2</v>
      </c>
      <c r="S2445">
        <v>0.42866070000000001</v>
      </c>
      <c r="T2445" t="s">
        <v>1017</v>
      </c>
      <c r="U2445">
        <v>7.5802218100000003</v>
      </c>
    </row>
    <row r="2446" spans="1:21" x14ac:dyDescent="0.25">
      <c r="A2446" t="s">
        <v>22</v>
      </c>
      <c r="B2446" t="s">
        <v>925</v>
      </c>
      <c r="C2446">
        <v>15</v>
      </c>
      <c r="D2446" t="s">
        <v>23</v>
      </c>
      <c r="E2446" t="s">
        <v>95</v>
      </c>
      <c r="F2446" t="s">
        <v>112</v>
      </c>
      <c r="G2446" t="s">
        <v>103</v>
      </c>
      <c r="H2446" t="s">
        <v>103</v>
      </c>
      <c r="J2446">
        <v>0</v>
      </c>
      <c r="K2446">
        <v>3</v>
      </c>
      <c r="L2446">
        <v>65.09375</v>
      </c>
      <c r="M2446">
        <v>37.895352600000002</v>
      </c>
      <c r="N2446">
        <v>2.2882677779999998</v>
      </c>
      <c r="O2446">
        <v>2.2111774</v>
      </c>
      <c r="P2446">
        <v>98.291666669999998</v>
      </c>
      <c r="Q2446">
        <v>30.315130790000001</v>
      </c>
      <c r="R2446">
        <v>5.0803484000000003E-2</v>
      </c>
      <c r="S2446">
        <v>0.42866070000000001</v>
      </c>
      <c r="T2446" t="s">
        <v>1017</v>
      </c>
      <c r="U2446">
        <v>7.5802218100000003</v>
      </c>
    </row>
    <row r="2447" spans="1:21" x14ac:dyDescent="0.25">
      <c r="A2447" t="s">
        <v>22</v>
      </c>
      <c r="B2447" t="s">
        <v>925</v>
      </c>
      <c r="C2447">
        <v>16</v>
      </c>
      <c r="D2447" t="s">
        <v>23</v>
      </c>
      <c r="E2447" t="s">
        <v>95</v>
      </c>
      <c r="F2447" t="s">
        <v>112</v>
      </c>
      <c r="G2447" t="s">
        <v>103</v>
      </c>
      <c r="H2447" t="s">
        <v>113</v>
      </c>
      <c r="J2447">
        <v>0</v>
      </c>
      <c r="K2447">
        <v>2</v>
      </c>
      <c r="L2447">
        <v>65.09375</v>
      </c>
      <c r="M2447">
        <v>37.895352600000002</v>
      </c>
      <c r="N2447">
        <v>2.2882677779999998</v>
      </c>
      <c r="O2447">
        <v>2.2111774</v>
      </c>
      <c r="P2447">
        <v>83.757575759999995</v>
      </c>
      <c r="Q2447">
        <v>22.60997987</v>
      </c>
      <c r="R2447">
        <v>0.72884000000000004</v>
      </c>
      <c r="S2447">
        <v>0.21301339999999999</v>
      </c>
      <c r="T2447" t="s">
        <v>1017</v>
      </c>
      <c r="U2447">
        <v>15.285372730000001</v>
      </c>
    </row>
    <row r="2448" spans="1:21" x14ac:dyDescent="0.25">
      <c r="A2448" t="s">
        <v>22</v>
      </c>
      <c r="B2448" t="s">
        <v>925</v>
      </c>
      <c r="C2448">
        <v>16</v>
      </c>
      <c r="D2448" t="s">
        <v>23</v>
      </c>
      <c r="E2448" t="s">
        <v>95</v>
      </c>
      <c r="F2448" t="s">
        <v>112</v>
      </c>
      <c r="G2448" t="s">
        <v>103</v>
      </c>
      <c r="H2448" t="s">
        <v>113</v>
      </c>
      <c r="J2448">
        <v>0</v>
      </c>
      <c r="K2448">
        <v>2</v>
      </c>
      <c r="L2448">
        <v>65.09375</v>
      </c>
      <c r="M2448">
        <v>37.895352600000002</v>
      </c>
      <c r="N2448">
        <v>2.2882677779999998</v>
      </c>
      <c r="O2448">
        <v>2.2111774</v>
      </c>
      <c r="P2448">
        <v>83.757575759999995</v>
      </c>
      <c r="Q2448">
        <v>22.60997987</v>
      </c>
      <c r="R2448">
        <v>0.72884000000000004</v>
      </c>
      <c r="S2448">
        <v>0.21301339999999999</v>
      </c>
      <c r="T2448" t="s">
        <v>1017</v>
      </c>
      <c r="U2448">
        <v>15.285372730000001</v>
      </c>
    </row>
    <row r="2449" spans="1:21" x14ac:dyDescent="0.25">
      <c r="A2449" t="s">
        <v>22</v>
      </c>
      <c r="B2449" t="s">
        <v>925</v>
      </c>
      <c r="C2449">
        <v>17</v>
      </c>
      <c r="D2449" t="s">
        <v>23</v>
      </c>
      <c r="E2449" t="s">
        <v>95</v>
      </c>
      <c r="F2449" t="s">
        <v>112</v>
      </c>
      <c r="G2449" t="s">
        <v>103</v>
      </c>
      <c r="H2449" t="s">
        <v>247</v>
      </c>
      <c r="J2449">
        <v>0</v>
      </c>
      <c r="K2449">
        <v>1</v>
      </c>
      <c r="L2449">
        <v>65.09375</v>
      </c>
      <c r="M2449">
        <v>37.895352600000002</v>
      </c>
      <c r="N2449">
        <v>2.2882677779999998</v>
      </c>
      <c r="O2449">
        <v>2.2111774</v>
      </c>
      <c r="P2449">
        <v>65.791044779999993</v>
      </c>
      <c r="Q2449">
        <v>22.94519201</v>
      </c>
      <c r="R2449">
        <v>8.1320334999999994E-2</v>
      </c>
      <c r="S2449">
        <v>0.17285655</v>
      </c>
      <c r="T2449" t="s">
        <v>1017</v>
      </c>
      <c r="U2449">
        <v>14.950160589999999</v>
      </c>
    </row>
    <row r="2450" spans="1:21" x14ac:dyDescent="0.25">
      <c r="A2450" t="s">
        <v>22</v>
      </c>
      <c r="B2450" t="s">
        <v>925</v>
      </c>
      <c r="C2450">
        <v>18</v>
      </c>
      <c r="D2450" t="s">
        <v>23</v>
      </c>
      <c r="E2450" t="s">
        <v>95</v>
      </c>
      <c r="F2450" t="s">
        <v>112</v>
      </c>
      <c r="G2450" t="s">
        <v>103</v>
      </c>
      <c r="H2450" t="s">
        <v>248</v>
      </c>
      <c r="J2450">
        <v>0</v>
      </c>
      <c r="K2450">
        <v>3</v>
      </c>
      <c r="L2450">
        <v>65.09375</v>
      </c>
      <c r="M2450">
        <v>37.895352600000002</v>
      </c>
      <c r="N2450">
        <v>2.2882677779999998</v>
      </c>
      <c r="O2450">
        <v>2.2111774</v>
      </c>
      <c r="P2450">
        <v>83.92307692</v>
      </c>
      <c r="Q2450">
        <v>44.319135699999997</v>
      </c>
      <c r="R2450">
        <v>5.9548609999999997E-3</v>
      </c>
      <c r="S2450">
        <v>0.18017928</v>
      </c>
      <c r="T2450" t="s">
        <v>1017</v>
      </c>
      <c r="U2450">
        <v>6.4237830999999996</v>
      </c>
    </row>
    <row r="2451" spans="1:21" x14ac:dyDescent="0.25">
      <c r="A2451" t="s">
        <v>22</v>
      </c>
      <c r="B2451" t="s">
        <v>925</v>
      </c>
      <c r="C2451">
        <v>18</v>
      </c>
      <c r="D2451" t="s">
        <v>23</v>
      </c>
      <c r="E2451" t="s">
        <v>95</v>
      </c>
      <c r="F2451" t="s">
        <v>112</v>
      </c>
      <c r="G2451" t="s">
        <v>103</v>
      </c>
      <c r="H2451" t="s">
        <v>248</v>
      </c>
      <c r="J2451">
        <v>0</v>
      </c>
      <c r="K2451">
        <v>3</v>
      </c>
      <c r="L2451">
        <v>65.09375</v>
      </c>
      <c r="M2451">
        <v>37.895352600000002</v>
      </c>
      <c r="N2451">
        <v>2.2882677779999998</v>
      </c>
      <c r="O2451">
        <v>2.2111774</v>
      </c>
      <c r="P2451">
        <v>83.92307692</v>
      </c>
      <c r="Q2451">
        <v>44.319135699999997</v>
      </c>
      <c r="R2451">
        <v>5.9548609999999997E-3</v>
      </c>
      <c r="S2451">
        <v>0.18017928</v>
      </c>
      <c r="T2451" t="s">
        <v>1017</v>
      </c>
      <c r="U2451">
        <v>6.4237830999999996</v>
      </c>
    </row>
    <row r="2452" spans="1:21" x14ac:dyDescent="0.25">
      <c r="A2452" t="s">
        <v>22</v>
      </c>
      <c r="B2452" t="s">
        <v>925</v>
      </c>
      <c r="C2452">
        <v>18</v>
      </c>
      <c r="D2452" t="s">
        <v>23</v>
      </c>
      <c r="E2452" t="s">
        <v>95</v>
      </c>
      <c r="F2452" t="s">
        <v>112</v>
      </c>
      <c r="G2452" t="s">
        <v>103</v>
      </c>
      <c r="H2452" t="s">
        <v>248</v>
      </c>
      <c r="J2452">
        <v>0</v>
      </c>
      <c r="K2452">
        <v>3</v>
      </c>
      <c r="L2452">
        <v>65.09375</v>
      </c>
      <c r="M2452">
        <v>37.895352600000002</v>
      </c>
      <c r="N2452">
        <v>2.2882677779999998</v>
      </c>
      <c r="O2452">
        <v>2.2111774</v>
      </c>
      <c r="P2452">
        <v>83.92307692</v>
      </c>
      <c r="Q2452">
        <v>44.319135699999997</v>
      </c>
      <c r="R2452">
        <v>5.9548609999999997E-3</v>
      </c>
      <c r="S2452">
        <v>0.18017928</v>
      </c>
      <c r="T2452" t="s">
        <v>1017</v>
      </c>
      <c r="U2452">
        <v>6.4237830999999996</v>
      </c>
    </row>
    <row r="2453" spans="1:21" x14ac:dyDescent="0.25">
      <c r="A2453" t="s">
        <v>24</v>
      </c>
      <c r="B2453" t="s">
        <v>926</v>
      </c>
      <c r="C2453">
        <v>15</v>
      </c>
      <c r="D2453" t="s">
        <v>25</v>
      </c>
      <c r="E2453" t="s">
        <v>95</v>
      </c>
      <c r="F2453" t="s">
        <v>105</v>
      </c>
      <c r="G2453" t="s">
        <v>121</v>
      </c>
      <c r="H2453" t="s">
        <v>111</v>
      </c>
      <c r="J2453">
        <v>0</v>
      </c>
      <c r="K2453">
        <v>1</v>
      </c>
      <c r="L2453">
        <v>67.5</v>
      </c>
      <c r="M2453">
        <v>47.937235809999997</v>
      </c>
      <c r="N2453">
        <v>0.41599678000000001</v>
      </c>
      <c r="O2453">
        <v>2.0950346999999998</v>
      </c>
      <c r="P2453">
        <v>94.97142857</v>
      </c>
      <c r="Q2453">
        <v>24.31591813</v>
      </c>
      <c r="R2453">
        <v>0.122951111</v>
      </c>
      <c r="S2453">
        <v>0.39050790000000002</v>
      </c>
      <c r="T2453" t="s">
        <v>1017</v>
      </c>
      <c r="U2453">
        <v>23.621317680000001</v>
      </c>
    </row>
    <row r="2454" spans="1:21" x14ac:dyDescent="0.25">
      <c r="A2454" t="s">
        <v>24</v>
      </c>
      <c r="B2454" t="s">
        <v>926</v>
      </c>
      <c r="C2454">
        <v>16</v>
      </c>
      <c r="D2454" t="s">
        <v>25</v>
      </c>
      <c r="E2454" t="s">
        <v>95</v>
      </c>
      <c r="F2454" t="s">
        <v>105</v>
      </c>
      <c r="G2454" t="s">
        <v>121</v>
      </c>
      <c r="H2454" t="s">
        <v>104</v>
      </c>
      <c r="J2454">
        <v>0</v>
      </c>
      <c r="K2454">
        <v>1</v>
      </c>
      <c r="L2454">
        <v>67.5</v>
      </c>
      <c r="M2454">
        <v>47.937235809999997</v>
      </c>
      <c r="N2454">
        <v>0.41599678000000001</v>
      </c>
      <c r="O2454">
        <v>2.0950346999999998</v>
      </c>
      <c r="P2454">
        <v>113.9375</v>
      </c>
      <c r="Q2454">
        <v>33.375507550000002</v>
      </c>
      <c r="R2454">
        <v>2.4262999999999999</v>
      </c>
      <c r="S2454">
        <v>0.40692159999999999</v>
      </c>
      <c r="T2454" t="s">
        <v>1017</v>
      </c>
      <c r="U2454">
        <v>14.561728260000001</v>
      </c>
    </row>
    <row r="2455" spans="1:21" x14ac:dyDescent="0.25">
      <c r="A2455" t="s">
        <v>24</v>
      </c>
      <c r="B2455" t="s">
        <v>927</v>
      </c>
      <c r="C2455">
        <v>15</v>
      </c>
      <c r="D2455" t="s">
        <v>25</v>
      </c>
      <c r="E2455" t="s">
        <v>95</v>
      </c>
      <c r="F2455" t="s">
        <v>112</v>
      </c>
      <c r="G2455" t="s">
        <v>112</v>
      </c>
      <c r="H2455" t="s">
        <v>112</v>
      </c>
      <c r="J2455">
        <v>0</v>
      </c>
      <c r="K2455">
        <v>1</v>
      </c>
      <c r="L2455">
        <v>65.09375</v>
      </c>
      <c r="M2455">
        <v>37.895352600000002</v>
      </c>
      <c r="N2455">
        <v>2.2882677779999998</v>
      </c>
      <c r="O2455">
        <v>2.2111774</v>
      </c>
      <c r="P2455">
        <v>65.09375</v>
      </c>
      <c r="Q2455">
        <v>37.895352600000002</v>
      </c>
      <c r="R2455">
        <v>2.2882677779999998</v>
      </c>
      <c r="S2455">
        <v>2.2111774</v>
      </c>
      <c r="T2455" t="s">
        <v>1017</v>
      </c>
      <c r="U2455">
        <v>0</v>
      </c>
    </row>
    <row r="2456" spans="1:21" x14ac:dyDescent="0.25">
      <c r="A2456" t="s">
        <v>26</v>
      </c>
      <c r="B2456" t="s">
        <v>928</v>
      </c>
      <c r="C2456">
        <v>15</v>
      </c>
      <c r="D2456" t="s">
        <v>27</v>
      </c>
      <c r="E2456" t="s">
        <v>95</v>
      </c>
      <c r="F2456" t="s">
        <v>105</v>
      </c>
      <c r="G2456" t="s">
        <v>102</v>
      </c>
      <c r="H2456" t="s">
        <v>102</v>
      </c>
      <c r="J2456">
        <v>0</v>
      </c>
      <c r="K2456">
        <v>1</v>
      </c>
      <c r="L2456">
        <v>67.5</v>
      </c>
      <c r="M2456">
        <v>47.937235809999997</v>
      </c>
      <c r="N2456">
        <v>0.41599678000000001</v>
      </c>
      <c r="O2456">
        <v>2.0950346999999998</v>
      </c>
      <c r="P2456">
        <v>84.740740740000007</v>
      </c>
      <c r="Q2456">
        <v>29.167014049999999</v>
      </c>
      <c r="R2456">
        <v>1.1169849999999999</v>
      </c>
      <c r="S2456">
        <v>1.1571499000000001</v>
      </c>
      <c r="T2456" t="s">
        <v>1017</v>
      </c>
      <c r="U2456">
        <v>18.770221759999998</v>
      </c>
    </row>
    <row r="2457" spans="1:21" x14ac:dyDescent="0.25">
      <c r="A2457" t="s">
        <v>26</v>
      </c>
      <c r="B2457" t="s">
        <v>928</v>
      </c>
      <c r="C2457">
        <v>16</v>
      </c>
      <c r="D2457" t="s">
        <v>27</v>
      </c>
      <c r="E2457" t="s">
        <v>95</v>
      </c>
      <c r="F2457" t="s">
        <v>105</v>
      </c>
      <c r="G2457" t="s">
        <v>102</v>
      </c>
      <c r="H2457" t="s">
        <v>111</v>
      </c>
      <c r="J2457">
        <v>0</v>
      </c>
      <c r="K2457">
        <v>1</v>
      </c>
      <c r="L2457">
        <v>67.5</v>
      </c>
      <c r="M2457">
        <v>47.937235809999997</v>
      </c>
      <c r="N2457">
        <v>0.41599678000000001</v>
      </c>
      <c r="O2457">
        <v>2.0950346999999998</v>
      </c>
      <c r="P2457">
        <v>94.97142857</v>
      </c>
      <c r="Q2457">
        <v>24.31591813</v>
      </c>
      <c r="R2457">
        <v>0.122951111</v>
      </c>
      <c r="S2457">
        <v>0.39050790000000002</v>
      </c>
      <c r="T2457" t="s">
        <v>1017</v>
      </c>
      <c r="U2457">
        <v>23.621317680000001</v>
      </c>
    </row>
    <row r="2458" spans="1:21" x14ac:dyDescent="0.25">
      <c r="A2458" t="s">
        <v>26</v>
      </c>
      <c r="B2458" t="s">
        <v>928</v>
      </c>
      <c r="C2458">
        <v>17</v>
      </c>
      <c r="D2458" t="s">
        <v>27</v>
      </c>
      <c r="E2458" t="s">
        <v>95</v>
      </c>
      <c r="F2458" t="s">
        <v>105</v>
      </c>
      <c r="G2458" t="s">
        <v>102</v>
      </c>
      <c r="H2458" t="s">
        <v>242</v>
      </c>
      <c r="J2458">
        <v>0</v>
      </c>
      <c r="K2458">
        <v>1</v>
      </c>
      <c r="L2458">
        <v>67.5</v>
      </c>
      <c r="M2458">
        <v>47.937235809999997</v>
      </c>
      <c r="N2458">
        <v>0.41599678000000001</v>
      </c>
      <c r="O2458">
        <v>2.0950346999999998</v>
      </c>
      <c r="P2458">
        <v>139.375</v>
      </c>
      <c r="Q2458">
        <v>23.713465920000001</v>
      </c>
      <c r="R2458" t="s">
        <v>114</v>
      </c>
      <c r="S2458" t="s">
        <v>114</v>
      </c>
      <c r="T2458" t="s">
        <v>1017</v>
      </c>
      <c r="U2458">
        <v>24.22376989</v>
      </c>
    </row>
    <row r="2459" spans="1:21" x14ac:dyDescent="0.25">
      <c r="A2459" t="s">
        <v>26</v>
      </c>
      <c r="B2459" t="s">
        <v>929</v>
      </c>
      <c r="C2459">
        <v>15</v>
      </c>
      <c r="D2459" t="s">
        <v>27</v>
      </c>
      <c r="E2459" t="s">
        <v>95</v>
      </c>
      <c r="F2459" t="s">
        <v>110</v>
      </c>
      <c r="G2459" t="s">
        <v>111</v>
      </c>
      <c r="H2459" t="s">
        <v>111</v>
      </c>
      <c r="J2459">
        <v>0</v>
      </c>
      <c r="K2459">
        <v>1</v>
      </c>
      <c r="L2459">
        <v>73.260869569999997</v>
      </c>
      <c r="M2459">
        <v>34.453830549999999</v>
      </c>
      <c r="N2459">
        <v>1.058333333</v>
      </c>
      <c r="O2459">
        <v>0.90897070000000002</v>
      </c>
      <c r="P2459">
        <v>94.97142857</v>
      </c>
      <c r="Q2459">
        <v>24.31591813</v>
      </c>
      <c r="R2459">
        <v>0.122951111</v>
      </c>
      <c r="S2459">
        <v>0.39050790000000002</v>
      </c>
      <c r="T2459" t="s">
        <v>1017</v>
      </c>
      <c r="U2459">
        <v>10.137912419999999</v>
      </c>
    </row>
    <row r="2460" spans="1:21" x14ac:dyDescent="0.25">
      <c r="A2460" t="s">
        <v>26</v>
      </c>
      <c r="B2460" t="s">
        <v>929</v>
      </c>
      <c r="C2460">
        <v>16</v>
      </c>
      <c r="D2460" t="s">
        <v>27</v>
      </c>
      <c r="E2460" t="s">
        <v>95</v>
      </c>
      <c r="F2460" t="s">
        <v>110</v>
      </c>
      <c r="G2460" t="s">
        <v>111</v>
      </c>
      <c r="H2460" t="s">
        <v>242</v>
      </c>
      <c r="J2460">
        <v>0</v>
      </c>
      <c r="K2460">
        <v>8</v>
      </c>
      <c r="L2460">
        <v>73.260869569999997</v>
      </c>
      <c r="M2460">
        <v>34.453830549999999</v>
      </c>
      <c r="N2460">
        <v>1.058333333</v>
      </c>
      <c r="O2460">
        <v>0.90897070000000002</v>
      </c>
      <c r="P2460">
        <v>139.375</v>
      </c>
      <c r="Q2460">
        <v>23.713465920000001</v>
      </c>
      <c r="R2460" t="s">
        <v>114</v>
      </c>
      <c r="S2460" t="s">
        <v>114</v>
      </c>
      <c r="T2460" t="s">
        <v>1017</v>
      </c>
      <c r="U2460">
        <v>10.74036463</v>
      </c>
    </row>
    <row r="2461" spans="1:21" x14ac:dyDescent="0.25">
      <c r="A2461" t="s">
        <v>26</v>
      </c>
      <c r="B2461" t="s">
        <v>929</v>
      </c>
      <c r="C2461">
        <v>16</v>
      </c>
      <c r="D2461" t="s">
        <v>27</v>
      </c>
      <c r="E2461" t="s">
        <v>95</v>
      </c>
      <c r="F2461" t="s">
        <v>110</v>
      </c>
      <c r="G2461" t="s">
        <v>111</v>
      </c>
      <c r="H2461" t="s">
        <v>242</v>
      </c>
      <c r="J2461">
        <v>0</v>
      </c>
      <c r="K2461">
        <v>8</v>
      </c>
      <c r="L2461">
        <v>73.260869569999997</v>
      </c>
      <c r="M2461">
        <v>34.453830549999999</v>
      </c>
      <c r="N2461">
        <v>1.058333333</v>
      </c>
      <c r="O2461">
        <v>0.90897070000000002</v>
      </c>
      <c r="P2461">
        <v>139.375</v>
      </c>
      <c r="Q2461">
        <v>23.713465920000001</v>
      </c>
      <c r="R2461" t="s">
        <v>114</v>
      </c>
      <c r="S2461" t="s">
        <v>114</v>
      </c>
      <c r="T2461" t="s">
        <v>1017</v>
      </c>
      <c r="U2461">
        <v>10.74036463</v>
      </c>
    </row>
    <row r="2462" spans="1:21" x14ac:dyDescent="0.25">
      <c r="A2462" t="s">
        <v>26</v>
      </c>
      <c r="B2462" t="s">
        <v>929</v>
      </c>
      <c r="C2462">
        <v>16</v>
      </c>
      <c r="D2462" t="s">
        <v>27</v>
      </c>
      <c r="E2462" t="s">
        <v>95</v>
      </c>
      <c r="F2462" t="s">
        <v>110</v>
      </c>
      <c r="G2462" t="s">
        <v>111</v>
      </c>
      <c r="H2462" t="s">
        <v>242</v>
      </c>
      <c r="J2462">
        <v>0</v>
      </c>
      <c r="K2462">
        <v>8</v>
      </c>
      <c r="L2462">
        <v>73.260869569999997</v>
      </c>
      <c r="M2462">
        <v>34.453830549999999</v>
      </c>
      <c r="N2462">
        <v>1.058333333</v>
      </c>
      <c r="O2462">
        <v>0.90897070000000002</v>
      </c>
      <c r="P2462">
        <v>139.375</v>
      </c>
      <c r="Q2462">
        <v>23.713465920000001</v>
      </c>
      <c r="R2462" t="s">
        <v>114</v>
      </c>
      <c r="S2462" t="s">
        <v>114</v>
      </c>
      <c r="T2462" t="s">
        <v>1017</v>
      </c>
      <c r="U2462">
        <v>10.74036463</v>
      </c>
    </row>
    <row r="2463" spans="1:21" x14ac:dyDescent="0.25">
      <c r="A2463" t="s">
        <v>26</v>
      </c>
      <c r="B2463" t="s">
        <v>929</v>
      </c>
      <c r="C2463">
        <v>16</v>
      </c>
      <c r="D2463" t="s">
        <v>27</v>
      </c>
      <c r="E2463" t="s">
        <v>95</v>
      </c>
      <c r="F2463" t="s">
        <v>110</v>
      </c>
      <c r="G2463" t="s">
        <v>111</v>
      </c>
      <c r="H2463" t="s">
        <v>242</v>
      </c>
      <c r="J2463">
        <v>0</v>
      </c>
      <c r="K2463">
        <v>8</v>
      </c>
      <c r="L2463">
        <v>73.260869569999997</v>
      </c>
      <c r="M2463">
        <v>34.453830549999999</v>
      </c>
      <c r="N2463">
        <v>1.058333333</v>
      </c>
      <c r="O2463">
        <v>0.90897070000000002</v>
      </c>
      <c r="P2463">
        <v>139.375</v>
      </c>
      <c r="Q2463">
        <v>23.713465920000001</v>
      </c>
      <c r="R2463" t="s">
        <v>114</v>
      </c>
      <c r="S2463" t="s">
        <v>114</v>
      </c>
      <c r="T2463" t="s">
        <v>1017</v>
      </c>
      <c r="U2463">
        <v>10.74036463</v>
      </c>
    </row>
    <row r="2464" spans="1:21" x14ac:dyDescent="0.25">
      <c r="A2464" t="s">
        <v>26</v>
      </c>
      <c r="B2464" t="s">
        <v>929</v>
      </c>
      <c r="C2464">
        <v>16</v>
      </c>
      <c r="D2464" t="s">
        <v>27</v>
      </c>
      <c r="E2464" t="s">
        <v>95</v>
      </c>
      <c r="F2464" t="s">
        <v>110</v>
      </c>
      <c r="G2464" t="s">
        <v>111</v>
      </c>
      <c r="H2464" t="s">
        <v>242</v>
      </c>
      <c r="J2464">
        <v>0</v>
      </c>
      <c r="K2464">
        <v>8</v>
      </c>
      <c r="L2464">
        <v>73.260869569999997</v>
      </c>
      <c r="M2464">
        <v>34.453830549999999</v>
      </c>
      <c r="N2464">
        <v>1.058333333</v>
      </c>
      <c r="O2464">
        <v>0.90897070000000002</v>
      </c>
      <c r="P2464">
        <v>139.375</v>
      </c>
      <c r="Q2464">
        <v>23.713465920000001</v>
      </c>
      <c r="R2464" t="s">
        <v>114</v>
      </c>
      <c r="S2464" t="s">
        <v>114</v>
      </c>
      <c r="T2464" t="s">
        <v>1017</v>
      </c>
      <c r="U2464">
        <v>10.74036463</v>
      </c>
    </row>
    <row r="2465" spans="1:21" x14ac:dyDescent="0.25">
      <c r="A2465" t="s">
        <v>26</v>
      </c>
      <c r="B2465" t="s">
        <v>929</v>
      </c>
      <c r="C2465">
        <v>16</v>
      </c>
      <c r="D2465" t="s">
        <v>27</v>
      </c>
      <c r="E2465" t="s">
        <v>95</v>
      </c>
      <c r="F2465" t="s">
        <v>110</v>
      </c>
      <c r="G2465" t="s">
        <v>111</v>
      </c>
      <c r="H2465" t="s">
        <v>242</v>
      </c>
      <c r="J2465">
        <v>0</v>
      </c>
      <c r="K2465">
        <v>8</v>
      </c>
      <c r="L2465">
        <v>73.260869569999997</v>
      </c>
      <c r="M2465">
        <v>34.453830549999999</v>
      </c>
      <c r="N2465">
        <v>1.058333333</v>
      </c>
      <c r="O2465">
        <v>0.90897070000000002</v>
      </c>
      <c r="P2465">
        <v>139.375</v>
      </c>
      <c r="Q2465">
        <v>23.713465920000001</v>
      </c>
      <c r="R2465" t="s">
        <v>114</v>
      </c>
      <c r="S2465" t="s">
        <v>114</v>
      </c>
      <c r="T2465" t="s">
        <v>1017</v>
      </c>
      <c r="U2465">
        <v>10.74036463</v>
      </c>
    </row>
    <row r="2466" spans="1:21" x14ac:dyDescent="0.25">
      <c r="A2466" t="s">
        <v>26</v>
      </c>
      <c r="B2466" t="s">
        <v>929</v>
      </c>
      <c r="C2466">
        <v>16</v>
      </c>
      <c r="D2466" t="s">
        <v>27</v>
      </c>
      <c r="E2466" t="s">
        <v>95</v>
      </c>
      <c r="F2466" t="s">
        <v>110</v>
      </c>
      <c r="G2466" t="s">
        <v>111</v>
      </c>
      <c r="H2466" t="s">
        <v>242</v>
      </c>
      <c r="J2466">
        <v>0</v>
      </c>
      <c r="K2466">
        <v>8</v>
      </c>
      <c r="L2466">
        <v>73.260869569999997</v>
      </c>
      <c r="M2466">
        <v>34.453830549999999</v>
      </c>
      <c r="N2466">
        <v>1.058333333</v>
      </c>
      <c r="O2466">
        <v>0.90897070000000002</v>
      </c>
      <c r="P2466">
        <v>139.375</v>
      </c>
      <c r="Q2466">
        <v>23.713465920000001</v>
      </c>
      <c r="R2466" t="s">
        <v>114</v>
      </c>
      <c r="S2466" t="s">
        <v>114</v>
      </c>
      <c r="T2466" t="s">
        <v>1017</v>
      </c>
      <c r="U2466">
        <v>10.74036463</v>
      </c>
    </row>
    <row r="2467" spans="1:21" x14ac:dyDescent="0.25">
      <c r="A2467" t="s">
        <v>26</v>
      </c>
      <c r="B2467" t="s">
        <v>929</v>
      </c>
      <c r="C2467">
        <v>16</v>
      </c>
      <c r="D2467" t="s">
        <v>27</v>
      </c>
      <c r="E2467" t="s">
        <v>95</v>
      </c>
      <c r="F2467" t="s">
        <v>110</v>
      </c>
      <c r="G2467" t="s">
        <v>111</v>
      </c>
      <c r="H2467" t="s">
        <v>242</v>
      </c>
      <c r="J2467">
        <v>0</v>
      </c>
      <c r="K2467">
        <v>8</v>
      </c>
      <c r="L2467">
        <v>73.260869569999997</v>
      </c>
      <c r="M2467">
        <v>34.453830549999999</v>
      </c>
      <c r="N2467">
        <v>1.058333333</v>
      </c>
      <c r="O2467">
        <v>0.90897070000000002</v>
      </c>
      <c r="P2467">
        <v>139.375</v>
      </c>
      <c r="Q2467">
        <v>23.713465920000001</v>
      </c>
      <c r="R2467" t="s">
        <v>114</v>
      </c>
      <c r="S2467" t="s">
        <v>114</v>
      </c>
      <c r="T2467" t="s">
        <v>1017</v>
      </c>
      <c r="U2467">
        <v>10.74036463</v>
      </c>
    </row>
    <row r="2468" spans="1:21" x14ac:dyDescent="0.25">
      <c r="A2468" t="s">
        <v>26</v>
      </c>
      <c r="B2468" t="s">
        <v>930</v>
      </c>
      <c r="C2468">
        <v>15</v>
      </c>
      <c r="D2468" t="s">
        <v>27</v>
      </c>
      <c r="E2468" t="s">
        <v>95</v>
      </c>
      <c r="F2468" t="s">
        <v>111</v>
      </c>
      <c r="G2468" t="s">
        <v>102</v>
      </c>
      <c r="H2468" t="s">
        <v>244</v>
      </c>
      <c r="J2468">
        <v>0</v>
      </c>
      <c r="K2468">
        <v>1</v>
      </c>
      <c r="L2468">
        <v>94.97142857</v>
      </c>
      <c r="M2468">
        <v>24.31591813</v>
      </c>
      <c r="N2468">
        <v>0.122951111</v>
      </c>
      <c r="O2468">
        <v>0.39050790000000002</v>
      </c>
      <c r="P2468">
        <v>75</v>
      </c>
      <c r="Q2468">
        <v>28.80614499</v>
      </c>
      <c r="R2468">
        <v>2.3860428570000001</v>
      </c>
      <c r="S2468">
        <v>0.26400832000000002</v>
      </c>
      <c r="T2468" t="s">
        <v>1017</v>
      </c>
      <c r="U2468">
        <v>4.4902268599999999</v>
      </c>
    </row>
    <row r="2469" spans="1:21" x14ac:dyDescent="0.25">
      <c r="A2469" t="s">
        <v>26</v>
      </c>
      <c r="B2469" t="s">
        <v>930</v>
      </c>
      <c r="C2469">
        <v>16</v>
      </c>
      <c r="D2469" t="s">
        <v>27</v>
      </c>
      <c r="E2469" t="s">
        <v>95</v>
      </c>
      <c r="F2469" t="s">
        <v>111</v>
      </c>
      <c r="G2469" t="s">
        <v>102</v>
      </c>
      <c r="H2469" t="s">
        <v>236</v>
      </c>
      <c r="J2469">
        <v>0</v>
      </c>
      <c r="K2469">
        <v>1</v>
      </c>
      <c r="L2469">
        <v>94.97142857</v>
      </c>
      <c r="M2469">
        <v>24.31591813</v>
      </c>
      <c r="N2469">
        <v>0.122951111</v>
      </c>
      <c r="O2469">
        <v>0.39050790000000002</v>
      </c>
      <c r="P2469">
        <v>113.33333330000001</v>
      </c>
      <c r="Q2469">
        <v>26.41632581</v>
      </c>
      <c r="R2469">
        <v>1.6844570160000001</v>
      </c>
      <c r="S2469">
        <v>8.9285710000000004E-2</v>
      </c>
      <c r="T2469" t="s">
        <v>1017</v>
      </c>
      <c r="U2469">
        <v>2.10040768</v>
      </c>
    </row>
    <row r="2470" spans="1:21" x14ac:dyDescent="0.25">
      <c r="A2470" t="s">
        <v>26</v>
      </c>
      <c r="B2470" t="s">
        <v>930</v>
      </c>
      <c r="C2470">
        <v>17</v>
      </c>
      <c r="D2470" t="s">
        <v>27</v>
      </c>
      <c r="E2470" t="s">
        <v>95</v>
      </c>
      <c r="F2470" t="s">
        <v>111</v>
      </c>
      <c r="G2470" t="s">
        <v>102</v>
      </c>
      <c r="H2470" t="s">
        <v>102</v>
      </c>
      <c r="J2470">
        <v>0</v>
      </c>
      <c r="K2470">
        <v>1</v>
      </c>
      <c r="L2470">
        <v>94.97142857</v>
      </c>
      <c r="M2470">
        <v>24.31591813</v>
      </c>
      <c r="N2470">
        <v>0.122951111</v>
      </c>
      <c r="O2470">
        <v>0.39050790000000002</v>
      </c>
      <c r="P2470">
        <v>84.740740740000007</v>
      </c>
      <c r="Q2470">
        <v>29.167014049999999</v>
      </c>
      <c r="R2470">
        <v>1.1169849999999999</v>
      </c>
      <c r="S2470">
        <v>1.1571499000000001</v>
      </c>
      <c r="T2470" t="s">
        <v>1017</v>
      </c>
      <c r="U2470">
        <v>4.8510959199999997</v>
      </c>
    </row>
    <row r="2471" spans="1:21" x14ac:dyDescent="0.25">
      <c r="A2471" t="s">
        <v>26</v>
      </c>
      <c r="B2471" t="s">
        <v>930</v>
      </c>
      <c r="C2471">
        <v>18</v>
      </c>
      <c r="D2471" t="s">
        <v>27</v>
      </c>
      <c r="E2471" t="s">
        <v>95</v>
      </c>
      <c r="F2471" t="s">
        <v>111</v>
      </c>
      <c r="G2471" t="s">
        <v>102</v>
      </c>
      <c r="H2471" t="s">
        <v>242</v>
      </c>
      <c r="J2471">
        <v>0</v>
      </c>
      <c r="K2471">
        <v>3</v>
      </c>
      <c r="L2471">
        <v>94.97142857</v>
      </c>
      <c r="M2471">
        <v>24.31591813</v>
      </c>
      <c r="N2471">
        <v>0.122951111</v>
      </c>
      <c r="O2471">
        <v>0.39050790000000002</v>
      </c>
      <c r="P2471">
        <v>139.375</v>
      </c>
      <c r="Q2471">
        <v>23.713465920000001</v>
      </c>
      <c r="R2471" t="s">
        <v>114</v>
      </c>
      <c r="S2471" t="s">
        <v>114</v>
      </c>
      <c r="T2471" t="s">
        <v>1017</v>
      </c>
      <c r="U2471">
        <v>0.60245221000000004</v>
      </c>
    </row>
    <row r="2472" spans="1:21" x14ac:dyDescent="0.25">
      <c r="A2472" t="s">
        <v>26</v>
      </c>
      <c r="B2472" t="s">
        <v>930</v>
      </c>
      <c r="C2472">
        <v>18</v>
      </c>
      <c r="D2472" t="s">
        <v>27</v>
      </c>
      <c r="E2472" t="s">
        <v>95</v>
      </c>
      <c r="F2472" t="s">
        <v>111</v>
      </c>
      <c r="G2472" t="s">
        <v>102</v>
      </c>
      <c r="H2472" t="s">
        <v>242</v>
      </c>
      <c r="J2472">
        <v>0</v>
      </c>
      <c r="K2472">
        <v>3</v>
      </c>
      <c r="L2472">
        <v>94.97142857</v>
      </c>
      <c r="M2472">
        <v>24.31591813</v>
      </c>
      <c r="N2472">
        <v>0.122951111</v>
      </c>
      <c r="O2472">
        <v>0.39050790000000002</v>
      </c>
      <c r="P2472">
        <v>139.375</v>
      </c>
      <c r="Q2472">
        <v>23.713465920000001</v>
      </c>
      <c r="R2472" t="s">
        <v>114</v>
      </c>
      <c r="S2472" t="s">
        <v>114</v>
      </c>
      <c r="T2472" t="s">
        <v>1017</v>
      </c>
      <c r="U2472">
        <v>0.60245221000000004</v>
      </c>
    </row>
    <row r="2473" spans="1:21" x14ac:dyDescent="0.25">
      <c r="A2473" t="s">
        <v>26</v>
      </c>
      <c r="B2473" t="s">
        <v>930</v>
      </c>
      <c r="C2473">
        <v>18</v>
      </c>
      <c r="D2473" t="s">
        <v>27</v>
      </c>
      <c r="E2473" t="s">
        <v>95</v>
      </c>
      <c r="F2473" t="s">
        <v>111</v>
      </c>
      <c r="G2473" t="s">
        <v>102</v>
      </c>
      <c r="H2473" t="s">
        <v>242</v>
      </c>
      <c r="J2473">
        <v>0</v>
      </c>
      <c r="K2473">
        <v>3</v>
      </c>
      <c r="L2473">
        <v>94.97142857</v>
      </c>
      <c r="M2473">
        <v>24.31591813</v>
      </c>
      <c r="N2473">
        <v>0.122951111</v>
      </c>
      <c r="O2473">
        <v>0.39050790000000002</v>
      </c>
      <c r="P2473">
        <v>139.375</v>
      </c>
      <c r="Q2473">
        <v>23.713465920000001</v>
      </c>
      <c r="R2473" t="s">
        <v>114</v>
      </c>
      <c r="S2473" t="s">
        <v>114</v>
      </c>
      <c r="T2473" t="s">
        <v>1017</v>
      </c>
      <c r="U2473">
        <v>0.60245221000000004</v>
      </c>
    </row>
    <row r="2474" spans="1:21" x14ac:dyDescent="0.25">
      <c r="A2474" t="s">
        <v>28</v>
      </c>
      <c r="B2474" t="s">
        <v>931</v>
      </c>
      <c r="C2474">
        <v>15</v>
      </c>
      <c r="D2474" t="s">
        <v>29</v>
      </c>
      <c r="E2474" t="s">
        <v>94</v>
      </c>
      <c r="F2474" t="s">
        <v>113</v>
      </c>
      <c r="G2474" t="s">
        <v>113</v>
      </c>
      <c r="H2474" t="s">
        <v>113</v>
      </c>
      <c r="J2474">
        <v>0</v>
      </c>
      <c r="K2474">
        <v>2</v>
      </c>
      <c r="L2474">
        <v>83.757575759999995</v>
      </c>
      <c r="M2474">
        <v>22.60997987</v>
      </c>
      <c r="N2474">
        <v>0.72884000000000004</v>
      </c>
      <c r="O2474">
        <v>0.21301339999999999</v>
      </c>
      <c r="P2474">
        <v>83.757575759999995</v>
      </c>
      <c r="Q2474">
        <v>22.60997987</v>
      </c>
      <c r="R2474">
        <v>0.72884000000000004</v>
      </c>
      <c r="S2474">
        <v>0.21301339999999999</v>
      </c>
      <c r="T2474" t="s">
        <v>1017</v>
      </c>
      <c r="U2474">
        <v>0</v>
      </c>
    </row>
    <row r="2475" spans="1:21" x14ac:dyDescent="0.25">
      <c r="A2475" t="s">
        <v>28</v>
      </c>
      <c r="B2475" t="s">
        <v>931</v>
      </c>
      <c r="C2475">
        <v>15</v>
      </c>
      <c r="D2475" t="s">
        <v>29</v>
      </c>
      <c r="E2475" t="s">
        <v>94</v>
      </c>
      <c r="F2475" t="s">
        <v>113</v>
      </c>
      <c r="G2475" t="s">
        <v>113</v>
      </c>
      <c r="H2475" t="s">
        <v>113</v>
      </c>
      <c r="J2475">
        <v>0</v>
      </c>
      <c r="K2475">
        <v>2</v>
      </c>
      <c r="L2475">
        <v>83.757575759999995</v>
      </c>
      <c r="M2475">
        <v>22.60997987</v>
      </c>
      <c r="N2475">
        <v>0.72884000000000004</v>
      </c>
      <c r="O2475">
        <v>0.21301339999999999</v>
      </c>
      <c r="P2475">
        <v>83.757575759999995</v>
      </c>
      <c r="Q2475">
        <v>22.60997987</v>
      </c>
      <c r="R2475">
        <v>0.72884000000000004</v>
      </c>
      <c r="S2475">
        <v>0.21301339999999999</v>
      </c>
      <c r="T2475" t="s">
        <v>1017</v>
      </c>
      <c r="U2475">
        <v>0</v>
      </c>
    </row>
    <row r="2476" spans="1:21" x14ac:dyDescent="0.25">
      <c r="A2476" t="s">
        <v>28</v>
      </c>
      <c r="B2476" t="s">
        <v>931</v>
      </c>
      <c r="C2476">
        <v>16</v>
      </c>
      <c r="D2476" t="s">
        <v>29</v>
      </c>
      <c r="E2476" t="s">
        <v>94</v>
      </c>
      <c r="F2476" t="s">
        <v>113</v>
      </c>
      <c r="G2476" t="s">
        <v>113</v>
      </c>
      <c r="H2476" t="s">
        <v>248</v>
      </c>
      <c r="J2476">
        <v>0</v>
      </c>
      <c r="K2476">
        <v>12</v>
      </c>
      <c r="L2476">
        <v>83.757575759999995</v>
      </c>
      <c r="M2476">
        <v>22.60997987</v>
      </c>
      <c r="N2476">
        <v>0.72884000000000004</v>
      </c>
      <c r="O2476">
        <v>0.21301339999999999</v>
      </c>
      <c r="P2476">
        <v>83.92307692</v>
      </c>
      <c r="Q2476">
        <v>44.319135699999997</v>
      </c>
      <c r="R2476">
        <v>5.9548609999999997E-3</v>
      </c>
      <c r="S2476">
        <v>0.18017928</v>
      </c>
      <c r="T2476" t="s">
        <v>1017</v>
      </c>
      <c r="U2476">
        <v>21.70915583</v>
      </c>
    </row>
    <row r="2477" spans="1:21" x14ac:dyDescent="0.25">
      <c r="A2477" t="s">
        <v>28</v>
      </c>
      <c r="B2477" t="s">
        <v>931</v>
      </c>
      <c r="C2477">
        <v>16</v>
      </c>
      <c r="D2477" t="s">
        <v>29</v>
      </c>
      <c r="E2477" t="s">
        <v>94</v>
      </c>
      <c r="F2477" t="s">
        <v>113</v>
      </c>
      <c r="G2477" t="s">
        <v>113</v>
      </c>
      <c r="H2477" t="s">
        <v>248</v>
      </c>
      <c r="J2477">
        <v>0</v>
      </c>
      <c r="K2477">
        <v>12</v>
      </c>
      <c r="L2477">
        <v>83.757575759999995</v>
      </c>
      <c r="M2477">
        <v>22.60997987</v>
      </c>
      <c r="N2477">
        <v>0.72884000000000004</v>
      </c>
      <c r="O2477">
        <v>0.21301339999999999</v>
      </c>
      <c r="P2477">
        <v>83.92307692</v>
      </c>
      <c r="Q2477">
        <v>44.319135699999997</v>
      </c>
      <c r="R2477">
        <v>5.9548609999999997E-3</v>
      </c>
      <c r="S2477">
        <v>0.18017928</v>
      </c>
      <c r="T2477" t="s">
        <v>1017</v>
      </c>
      <c r="U2477">
        <v>21.70915583</v>
      </c>
    </row>
    <row r="2478" spans="1:21" x14ac:dyDescent="0.25">
      <c r="A2478" t="s">
        <v>28</v>
      </c>
      <c r="B2478" t="s">
        <v>931</v>
      </c>
      <c r="C2478">
        <v>16</v>
      </c>
      <c r="D2478" t="s">
        <v>29</v>
      </c>
      <c r="E2478" t="s">
        <v>94</v>
      </c>
      <c r="F2478" t="s">
        <v>113</v>
      </c>
      <c r="G2478" t="s">
        <v>113</v>
      </c>
      <c r="H2478" t="s">
        <v>248</v>
      </c>
      <c r="J2478">
        <v>0</v>
      </c>
      <c r="K2478">
        <v>12</v>
      </c>
      <c r="L2478">
        <v>83.757575759999995</v>
      </c>
      <c r="M2478">
        <v>22.60997987</v>
      </c>
      <c r="N2478">
        <v>0.72884000000000004</v>
      </c>
      <c r="O2478">
        <v>0.21301339999999999</v>
      </c>
      <c r="P2478">
        <v>83.92307692</v>
      </c>
      <c r="Q2478">
        <v>44.319135699999997</v>
      </c>
      <c r="R2478">
        <v>5.9548609999999997E-3</v>
      </c>
      <c r="S2478">
        <v>0.18017928</v>
      </c>
      <c r="T2478" t="s">
        <v>1017</v>
      </c>
      <c r="U2478">
        <v>21.70915583</v>
      </c>
    </row>
    <row r="2479" spans="1:21" x14ac:dyDescent="0.25">
      <c r="A2479" t="s">
        <v>28</v>
      </c>
      <c r="B2479" t="s">
        <v>931</v>
      </c>
      <c r="C2479">
        <v>16</v>
      </c>
      <c r="D2479" t="s">
        <v>29</v>
      </c>
      <c r="E2479" t="s">
        <v>94</v>
      </c>
      <c r="F2479" t="s">
        <v>113</v>
      </c>
      <c r="G2479" t="s">
        <v>113</v>
      </c>
      <c r="H2479" t="s">
        <v>248</v>
      </c>
      <c r="J2479">
        <v>0</v>
      </c>
      <c r="K2479">
        <v>12</v>
      </c>
      <c r="L2479">
        <v>83.757575759999995</v>
      </c>
      <c r="M2479">
        <v>22.60997987</v>
      </c>
      <c r="N2479">
        <v>0.72884000000000004</v>
      </c>
      <c r="O2479">
        <v>0.21301339999999999</v>
      </c>
      <c r="P2479">
        <v>83.92307692</v>
      </c>
      <c r="Q2479">
        <v>44.319135699999997</v>
      </c>
      <c r="R2479">
        <v>5.9548609999999997E-3</v>
      </c>
      <c r="S2479">
        <v>0.18017928</v>
      </c>
      <c r="T2479" t="s">
        <v>1017</v>
      </c>
      <c r="U2479">
        <v>21.70915583</v>
      </c>
    </row>
    <row r="2480" spans="1:21" x14ac:dyDescent="0.25">
      <c r="A2480" t="s">
        <v>28</v>
      </c>
      <c r="B2480" t="s">
        <v>931</v>
      </c>
      <c r="C2480">
        <v>16</v>
      </c>
      <c r="D2480" t="s">
        <v>29</v>
      </c>
      <c r="E2480" t="s">
        <v>94</v>
      </c>
      <c r="F2480" t="s">
        <v>113</v>
      </c>
      <c r="G2480" t="s">
        <v>113</v>
      </c>
      <c r="H2480" t="s">
        <v>248</v>
      </c>
      <c r="J2480">
        <v>0</v>
      </c>
      <c r="K2480">
        <v>12</v>
      </c>
      <c r="L2480">
        <v>83.757575759999995</v>
      </c>
      <c r="M2480">
        <v>22.60997987</v>
      </c>
      <c r="N2480">
        <v>0.72884000000000004</v>
      </c>
      <c r="O2480">
        <v>0.21301339999999999</v>
      </c>
      <c r="P2480">
        <v>83.92307692</v>
      </c>
      <c r="Q2480">
        <v>44.319135699999997</v>
      </c>
      <c r="R2480">
        <v>5.9548609999999997E-3</v>
      </c>
      <c r="S2480">
        <v>0.18017928</v>
      </c>
      <c r="T2480" t="s">
        <v>1017</v>
      </c>
      <c r="U2480">
        <v>21.70915583</v>
      </c>
    </row>
    <row r="2481" spans="1:21" x14ac:dyDescent="0.25">
      <c r="A2481" t="s">
        <v>28</v>
      </c>
      <c r="B2481" t="s">
        <v>931</v>
      </c>
      <c r="C2481">
        <v>16</v>
      </c>
      <c r="D2481" t="s">
        <v>29</v>
      </c>
      <c r="E2481" t="s">
        <v>94</v>
      </c>
      <c r="F2481" t="s">
        <v>113</v>
      </c>
      <c r="G2481" t="s">
        <v>113</v>
      </c>
      <c r="H2481" t="s">
        <v>248</v>
      </c>
      <c r="J2481">
        <v>0</v>
      </c>
      <c r="K2481">
        <v>12</v>
      </c>
      <c r="L2481">
        <v>83.757575759999995</v>
      </c>
      <c r="M2481">
        <v>22.60997987</v>
      </c>
      <c r="N2481">
        <v>0.72884000000000004</v>
      </c>
      <c r="O2481">
        <v>0.21301339999999999</v>
      </c>
      <c r="P2481">
        <v>83.92307692</v>
      </c>
      <c r="Q2481">
        <v>44.319135699999997</v>
      </c>
      <c r="R2481">
        <v>5.9548609999999997E-3</v>
      </c>
      <c r="S2481">
        <v>0.18017928</v>
      </c>
      <c r="T2481" t="s">
        <v>1017</v>
      </c>
      <c r="U2481">
        <v>21.70915583</v>
      </c>
    </row>
    <row r="2482" spans="1:21" x14ac:dyDescent="0.25">
      <c r="A2482" t="s">
        <v>28</v>
      </c>
      <c r="B2482" t="s">
        <v>931</v>
      </c>
      <c r="C2482">
        <v>16</v>
      </c>
      <c r="D2482" t="s">
        <v>29</v>
      </c>
      <c r="E2482" t="s">
        <v>94</v>
      </c>
      <c r="F2482" t="s">
        <v>113</v>
      </c>
      <c r="G2482" t="s">
        <v>113</v>
      </c>
      <c r="H2482" t="s">
        <v>248</v>
      </c>
      <c r="J2482">
        <v>0</v>
      </c>
      <c r="K2482">
        <v>12</v>
      </c>
      <c r="L2482">
        <v>83.757575759999995</v>
      </c>
      <c r="M2482">
        <v>22.60997987</v>
      </c>
      <c r="N2482">
        <v>0.72884000000000004</v>
      </c>
      <c r="O2482">
        <v>0.21301339999999999</v>
      </c>
      <c r="P2482">
        <v>83.92307692</v>
      </c>
      <c r="Q2482">
        <v>44.319135699999997</v>
      </c>
      <c r="R2482">
        <v>5.9548609999999997E-3</v>
      </c>
      <c r="S2482">
        <v>0.18017928</v>
      </c>
      <c r="T2482" t="s">
        <v>1017</v>
      </c>
      <c r="U2482">
        <v>21.70915583</v>
      </c>
    </row>
    <row r="2483" spans="1:21" x14ac:dyDescent="0.25">
      <c r="A2483" t="s">
        <v>28</v>
      </c>
      <c r="B2483" t="s">
        <v>931</v>
      </c>
      <c r="C2483">
        <v>16</v>
      </c>
      <c r="D2483" t="s">
        <v>29</v>
      </c>
      <c r="E2483" t="s">
        <v>94</v>
      </c>
      <c r="F2483" t="s">
        <v>113</v>
      </c>
      <c r="G2483" t="s">
        <v>113</v>
      </c>
      <c r="H2483" t="s">
        <v>248</v>
      </c>
      <c r="J2483">
        <v>0</v>
      </c>
      <c r="K2483">
        <v>12</v>
      </c>
      <c r="L2483">
        <v>83.757575759999995</v>
      </c>
      <c r="M2483">
        <v>22.60997987</v>
      </c>
      <c r="N2483">
        <v>0.72884000000000004</v>
      </c>
      <c r="O2483">
        <v>0.21301339999999999</v>
      </c>
      <c r="P2483">
        <v>83.92307692</v>
      </c>
      <c r="Q2483">
        <v>44.319135699999997</v>
      </c>
      <c r="R2483">
        <v>5.9548609999999997E-3</v>
      </c>
      <c r="S2483">
        <v>0.18017928</v>
      </c>
      <c r="T2483" t="s">
        <v>1017</v>
      </c>
      <c r="U2483">
        <v>21.70915583</v>
      </c>
    </row>
    <row r="2484" spans="1:21" x14ac:dyDescent="0.25">
      <c r="A2484" t="s">
        <v>28</v>
      </c>
      <c r="B2484" t="s">
        <v>931</v>
      </c>
      <c r="C2484">
        <v>16</v>
      </c>
      <c r="D2484" t="s">
        <v>29</v>
      </c>
      <c r="E2484" t="s">
        <v>94</v>
      </c>
      <c r="F2484" t="s">
        <v>113</v>
      </c>
      <c r="G2484" t="s">
        <v>113</v>
      </c>
      <c r="H2484" t="s">
        <v>248</v>
      </c>
      <c r="J2484">
        <v>0</v>
      </c>
      <c r="K2484">
        <v>12</v>
      </c>
      <c r="L2484">
        <v>83.757575759999995</v>
      </c>
      <c r="M2484">
        <v>22.60997987</v>
      </c>
      <c r="N2484">
        <v>0.72884000000000004</v>
      </c>
      <c r="O2484">
        <v>0.21301339999999999</v>
      </c>
      <c r="P2484">
        <v>83.92307692</v>
      </c>
      <c r="Q2484">
        <v>44.319135699999997</v>
      </c>
      <c r="R2484">
        <v>5.9548609999999997E-3</v>
      </c>
      <c r="S2484">
        <v>0.18017928</v>
      </c>
      <c r="T2484" t="s">
        <v>1017</v>
      </c>
      <c r="U2484">
        <v>21.70915583</v>
      </c>
    </row>
    <row r="2485" spans="1:21" x14ac:dyDescent="0.25">
      <c r="A2485" t="s">
        <v>28</v>
      </c>
      <c r="B2485" t="s">
        <v>931</v>
      </c>
      <c r="C2485">
        <v>16</v>
      </c>
      <c r="D2485" t="s">
        <v>29</v>
      </c>
      <c r="E2485" t="s">
        <v>94</v>
      </c>
      <c r="F2485" t="s">
        <v>113</v>
      </c>
      <c r="G2485" t="s">
        <v>113</v>
      </c>
      <c r="H2485" t="s">
        <v>248</v>
      </c>
      <c r="J2485">
        <v>0</v>
      </c>
      <c r="K2485">
        <v>12</v>
      </c>
      <c r="L2485">
        <v>83.757575759999995</v>
      </c>
      <c r="M2485">
        <v>22.60997987</v>
      </c>
      <c r="N2485">
        <v>0.72884000000000004</v>
      </c>
      <c r="O2485">
        <v>0.21301339999999999</v>
      </c>
      <c r="P2485">
        <v>83.92307692</v>
      </c>
      <c r="Q2485">
        <v>44.319135699999997</v>
      </c>
      <c r="R2485">
        <v>5.9548609999999997E-3</v>
      </c>
      <c r="S2485">
        <v>0.18017928</v>
      </c>
      <c r="T2485" t="s">
        <v>1017</v>
      </c>
      <c r="U2485">
        <v>21.70915583</v>
      </c>
    </row>
    <row r="2486" spans="1:21" x14ac:dyDescent="0.25">
      <c r="A2486" t="s">
        <v>28</v>
      </c>
      <c r="B2486" t="s">
        <v>931</v>
      </c>
      <c r="C2486">
        <v>16</v>
      </c>
      <c r="D2486" t="s">
        <v>29</v>
      </c>
      <c r="E2486" t="s">
        <v>94</v>
      </c>
      <c r="F2486" t="s">
        <v>113</v>
      </c>
      <c r="G2486" t="s">
        <v>113</v>
      </c>
      <c r="H2486" t="s">
        <v>248</v>
      </c>
      <c r="J2486">
        <v>0</v>
      </c>
      <c r="K2486">
        <v>12</v>
      </c>
      <c r="L2486">
        <v>83.757575759999995</v>
      </c>
      <c r="M2486">
        <v>22.60997987</v>
      </c>
      <c r="N2486">
        <v>0.72884000000000004</v>
      </c>
      <c r="O2486">
        <v>0.21301339999999999</v>
      </c>
      <c r="P2486">
        <v>83.92307692</v>
      </c>
      <c r="Q2486">
        <v>44.319135699999997</v>
      </c>
      <c r="R2486">
        <v>5.9548609999999997E-3</v>
      </c>
      <c r="S2486">
        <v>0.18017928</v>
      </c>
      <c r="T2486" t="s">
        <v>1017</v>
      </c>
      <c r="U2486">
        <v>21.70915583</v>
      </c>
    </row>
    <row r="2487" spans="1:21" x14ac:dyDescent="0.25">
      <c r="A2487" t="s">
        <v>28</v>
      </c>
      <c r="B2487" t="s">
        <v>931</v>
      </c>
      <c r="C2487">
        <v>16</v>
      </c>
      <c r="D2487" t="s">
        <v>29</v>
      </c>
      <c r="E2487" t="s">
        <v>94</v>
      </c>
      <c r="F2487" t="s">
        <v>113</v>
      </c>
      <c r="G2487" t="s">
        <v>113</v>
      </c>
      <c r="H2487" t="s">
        <v>248</v>
      </c>
      <c r="J2487">
        <v>0</v>
      </c>
      <c r="K2487">
        <v>12</v>
      </c>
      <c r="L2487">
        <v>83.757575759999995</v>
      </c>
      <c r="M2487">
        <v>22.60997987</v>
      </c>
      <c r="N2487">
        <v>0.72884000000000004</v>
      </c>
      <c r="O2487">
        <v>0.21301339999999999</v>
      </c>
      <c r="P2487">
        <v>83.92307692</v>
      </c>
      <c r="Q2487">
        <v>44.319135699999997</v>
      </c>
      <c r="R2487">
        <v>5.9548609999999997E-3</v>
      </c>
      <c r="S2487">
        <v>0.18017928</v>
      </c>
      <c r="T2487" t="s">
        <v>1017</v>
      </c>
      <c r="U2487">
        <v>21.70915583</v>
      </c>
    </row>
    <row r="2488" spans="1:21" x14ac:dyDescent="0.25">
      <c r="A2488" t="s">
        <v>28</v>
      </c>
      <c r="B2488" t="s">
        <v>931</v>
      </c>
      <c r="C2488">
        <v>17</v>
      </c>
      <c r="D2488" t="s">
        <v>29</v>
      </c>
      <c r="E2488" t="s">
        <v>94</v>
      </c>
      <c r="F2488" t="s">
        <v>113</v>
      </c>
      <c r="G2488" t="s">
        <v>113</v>
      </c>
      <c r="H2488" t="s">
        <v>247</v>
      </c>
      <c r="J2488">
        <v>0</v>
      </c>
      <c r="K2488">
        <v>1</v>
      </c>
      <c r="L2488">
        <v>83.757575759999995</v>
      </c>
      <c r="M2488">
        <v>22.60997987</v>
      </c>
      <c r="N2488">
        <v>0.72884000000000004</v>
      </c>
      <c r="O2488">
        <v>0.21301339999999999</v>
      </c>
      <c r="P2488">
        <v>65.791044779999993</v>
      </c>
      <c r="Q2488">
        <v>22.94519201</v>
      </c>
      <c r="R2488">
        <v>8.1320334999999994E-2</v>
      </c>
      <c r="S2488">
        <v>0.17285655</v>
      </c>
      <c r="T2488" t="s">
        <v>1017</v>
      </c>
      <c r="U2488">
        <v>0.33521213999999999</v>
      </c>
    </row>
    <row r="2489" spans="1:21" x14ac:dyDescent="0.25">
      <c r="A2489" t="s">
        <v>28</v>
      </c>
      <c r="B2489" t="s">
        <v>931</v>
      </c>
      <c r="C2489">
        <v>18</v>
      </c>
      <c r="D2489" t="s">
        <v>29</v>
      </c>
      <c r="E2489" t="s">
        <v>94</v>
      </c>
      <c r="F2489" t="s">
        <v>113</v>
      </c>
      <c r="G2489" t="s">
        <v>113</v>
      </c>
      <c r="H2489" t="s">
        <v>239</v>
      </c>
      <c r="J2489">
        <v>0</v>
      </c>
      <c r="K2489">
        <v>1</v>
      </c>
      <c r="L2489">
        <v>83.757575759999995</v>
      </c>
      <c r="M2489">
        <v>22.60997987</v>
      </c>
      <c r="N2489">
        <v>0.72884000000000004</v>
      </c>
      <c r="O2489">
        <v>0.21301339999999999</v>
      </c>
      <c r="P2489">
        <v>100.45454549999999</v>
      </c>
      <c r="Q2489">
        <v>26.754810689999999</v>
      </c>
      <c r="R2489">
        <v>0.75829999999999997</v>
      </c>
      <c r="S2489">
        <v>0.40907861000000001</v>
      </c>
      <c r="T2489" t="s">
        <v>1017</v>
      </c>
      <c r="U2489">
        <v>4.1448308200000001</v>
      </c>
    </row>
    <row r="2490" spans="1:21" x14ac:dyDescent="0.25">
      <c r="A2490" t="s">
        <v>28</v>
      </c>
      <c r="B2490" t="s">
        <v>932</v>
      </c>
      <c r="C2490">
        <v>15</v>
      </c>
      <c r="D2490" t="s">
        <v>29</v>
      </c>
      <c r="E2490" t="s">
        <v>94</v>
      </c>
      <c r="F2490" t="s">
        <v>103</v>
      </c>
      <c r="G2490" t="s">
        <v>102</v>
      </c>
      <c r="H2490" t="s">
        <v>102</v>
      </c>
      <c r="J2490">
        <v>0</v>
      </c>
      <c r="K2490">
        <v>1</v>
      </c>
      <c r="L2490">
        <v>98.291666669999998</v>
      </c>
      <c r="M2490">
        <v>30.315130790000001</v>
      </c>
      <c r="N2490">
        <v>5.0803484000000003E-2</v>
      </c>
      <c r="O2490">
        <v>0.42866070000000001</v>
      </c>
      <c r="P2490">
        <v>84.740740740000007</v>
      </c>
      <c r="Q2490">
        <v>29.167014049999999</v>
      </c>
      <c r="R2490">
        <v>1.1169849999999999</v>
      </c>
      <c r="S2490">
        <v>1.1571499000000001</v>
      </c>
      <c r="T2490" t="s">
        <v>1017</v>
      </c>
      <c r="U2490">
        <v>1.1481167400000001</v>
      </c>
    </row>
    <row r="2491" spans="1:21" x14ac:dyDescent="0.25">
      <c r="A2491" t="s">
        <v>28</v>
      </c>
      <c r="B2491" t="s">
        <v>932</v>
      </c>
      <c r="C2491">
        <v>16</v>
      </c>
      <c r="D2491" t="s">
        <v>29</v>
      </c>
      <c r="E2491" t="s">
        <v>94</v>
      </c>
      <c r="F2491" t="s">
        <v>103</v>
      </c>
      <c r="G2491" t="s">
        <v>102</v>
      </c>
      <c r="H2491" t="s">
        <v>103</v>
      </c>
      <c r="J2491">
        <v>0</v>
      </c>
      <c r="K2491">
        <v>2</v>
      </c>
      <c r="L2491">
        <v>98.291666669999998</v>
      </c>
      <c r="M2491">
        <v>30.315130790000001</v>
      </c>
      <c r="N2491">
        <v>5.0803484000000003E-2</v>
      </c>
      <c r="O2491">
        <v>0.42866070000000001</v>
      </c>
      <c r="P2491">
        <v>98.291666669999998</v>
      </c>
      <c r="Q2491">
        <v>30.315130790000001</v>
      </c>
      <c r="R2491">
        <v>5.0803484000000003E-2</v>
      </c>
      <c r="S2491">
        <v>0.42866070000000001</v>
      </c>
      <c r="T2491" t="s">
        <v>1017</v>
      </c>
      <c r="U2491">
        <v>0</v>
      </c>
    </row>
    <row r="2492" spans="1:21" x14ac:dyDescent="0.25">
      <c r="A2492" t="s">
        <v>28</v>
      </c>
      <c r="B2492" t="s">
        <v>932</v>
      </c>
      <c r="C2492">
        <v>16</v>
      </c>
      <c r="D2492" t="s">
        <v>29</v>
      </c>
      <c r="E2492" t="s">
        <v>94</v>
      </c>
      <c r="F2492" t="s">
        <v>103</v>
      </c>
      <c r="G2492" t="s">
        <v>102</v>
      </c>
      <c r="H2492" t="s">
        <v>103</v>
      </c>
      <c r="J2492">
        <v>0</v>
      </c>
      <c r="K2492">
        <v>2</v>
      </c>
      <c r="L2492">
        <v>98.291666669999998</v>
      </c>
      <c r="M2492">
        <v>30.315130790000001</v>
      </c>
      <c r="N2492">
        <v>5.0803484000000003E-2</v>
      </c>
      <c r="O2492">
        <v>0.42866070000000001</v>
      </c>
      <c r="P2492">
        <v>98.291666669999998</v>
      </c>
      <c r="Q2492">
        <v>30.315130790000001</v>
      </c>
      <c r="R2492">
        <v>5.0803484000000003E-2</v>
      </c>
      <c r="S2492">
        <v>0.42866070000000001</v>
      </c>
      <c r="T2492" t="s">
        <v>1017</v>
      </c>
      <c r="U2492">
        <v>0</v>
      </c>
    </row>
    <row r="2493" spans="1:21" x14ac:dyDescent="0.25">
      <c r="A2493" t="s">
        <v>28</v>
      </c>
      <c r="B2493" t="s">
        <v>933</v>
      </c>
      <c r="C2493">
        <v>15</v>
      </c>
      <c r="D2493" t="s">
        <v>29</v>
      </c>
      <c r="E2493" t="s">
        <v>94</v>
      </c>
      <c r="F2493" t="s">
        <v>111</v>
      </c>
      <c r="G2493" t="s">
        <v>121</v>
      </c>
      <c r="H2493" t="s">
        <v>247</v>
      </c>
      <c r="J2493">
        <v>0</v>
      </c>
      <c r="K2493">
        <v>1</v>
      </c>
      <c r="L2493">
        <v>94.97142857</v>
      </c>
      <c r="M2493">
        <v>24.31591813</v>
      </c>
      <c r="N2493">
        <v>0.122951111</v>
      </c>
      <c r="O2493">
        <v>0.39050790000000002</v>
      </c>
      <c r="P2493">
        <v>65.791044779999993</v>
      </c>
      <c r="Q2493">
        <v>22.94519201</v>
      </c>
      <c r="R2493">
        <v>8.1320334999999994E-2</v>
      </c>
      <c r="S2493">
        <v>0.17285655</v>
      </c>
      <c r="T2493" t="s">
        <v>1017</v>
      </c>
      <c r="U2493">
        <v>1.37072612</v>
      </c>
    </row>
    <row r="2494" spans="1:21" x14ac:dyDescent="0.25">
      <c r="A2494" t="s">
        <v>28</v>
      </c>
      <c r="B2494" t="s">
        <v>933</v>
      </c>
      <c r="C2494">
        <v>16</v>
      </c>
      <c r="D2494" t="s">
        <v>29</v>
      </c>
      <c r="E2494" t="s">
        <v>94</v>
      </c>
      <c r="F2494" t="s">
        <v>111</v>
      </c>
      <c r="G2494" t="s">
        <v>121</v>
      </c>
      <c r="H2494" t="s">
        <v>113</v>
      </c>
      <c r="J2494">
        <v>0</v>
      </c>
      <c r="K2494">
        <v>3</v>
      </c>
      <c r="L2494">
        <v>94.97142857</v>
      </c>
      <c r="M2494">
        <v>24.31591813</v>
      </c>
      <c r="N2494">
        <v>0.122951111</v>
      </c>
      <c r="O2494">
        <v>0.39050790000000002</v>
      </c>
      <c r="P2494">
        <v>83.757575759999995</v>
      </c>
      <c r="Q2494">
        <v>22.60997987</v>
      </c>
      <c r="R2494">
        <v>0.72884000000000004</v>
      </c>
      <c r="S2494">
        <v>0.21301339999999999</v>
      </c>
      <c r="T2494" t="s">
        <v>1017</v>
      </c>
      <c r="U2494">
        <v>1.7059382599999999</v>
      </c>
    </row>
    <row r="2495" spans="1:21" x14ac:dyDescent="0.25">
      <c r="A2495" t="s">
        <v>28</v>
      </c>
      <c r="B2495" t="s">
        <v>933</v>
      </c>
      <c r="C2495">
        <v>16</v>
      </c>
      <c r="D2495" t="s">
        <v>29</v>
      </c>
      <c r="E2495" t="s">
        <v>94</v>
      </c>
      <c r="F2495" t="s">
        <v>111</v>
      </c>
      <c r="G2495" t="s">
        <v>121</v>
      </c>
      <c r="H2495" t="s">
        <v>113</v>
      </c>
      <c r="J2495">
        <v>0</v>
      </c>
      <c r="K2495">
        <v>3</v>
      </c>
      <c r="L2495">
        <v>94.97142857</v>
      </c>
      <c r="M2495">
        <v>24.31591813</v>
      </c>
      <c r="N2495">
        <v>0.122951111</v>
      </c>
      <c r="O2495">
        <v>0.39050790000000002</v>
      </c>
      <c r="P2495">
        <v>83.757575759999995</v>
      </c>
      <c r="Q2495">
        <v>22.60997987</v>
      </c>
      <c r="R2495">
        <v>0.72884000000000004</v>
      </c>
      <c r="S2495">
        <v>0.21301339999999999</v>
      </c>
      <c r="T2495" t="s">
        <v>1017</v>
      </c>
      <c r="U2495">
        <v>1.7059382599999999</v>
      </c>
    </row>
    <row r="2496" spans="1:21" x14ac:dyDescent="0.25">
      <c r="A2496" t="s">
        <v>28</v>
      </c>
      <c r="B2496" t="s">
        <v>933</v>
      </c>
      <c r="C2496">
        <v>16</v>
      </c>
      <c r="D2496" t="s">
        <v>29</v>
      </c>
      <c r="E2496" t="s">
        <v>94</v>
      </c>
      <c r="F2496" t="s">
        <v>111</v>
      </c>
      <c r="G2496" t="s">
        <v>121</v>
      </c>
      <c r="H2496" t="s">
        <v>113</v>
      </c>
      <c r="J2496">
        <v>0</v>
      </c>
      <c r="K2496">
        <v>3</v>
      </c>
      <c r="L2496">
        <v>94.97142857</v>
      </c>
      <c r="M2496">
        <v>24.31591813</v>
      </c>
      <c r="N2496">
        <v>0.122951111</v>
      </c>
      <c r="O2496">
        <v>0.39050790000000002</v>
      </c>
      <c r="P2496">
        <v>83.757575759999995</v>
      </c>
      <c r="Q2496">
        <v>22.60997987</v>
      </c>
      <c r="R2496">
        <v>0.72884000000000004</v>
      </c>
      <c r="S2496">
        <v>0.21301339999999999</v>
      </c>
      <c r="T2496" t="s">
        <v>1017</v>
      </c>
      <c r="U2496">
        <v>1.7059382599999999</v>
      </c>
    </row>
    <row r="2497" spans="1:21" x14ac:dyDescent="0.25">
      <c r="A2497" t="s">
        <v>28</v>
      </c>
      <c r="B2497" t="s">
        <v>933</v>
      </c>
      <c r="C2497">
        <v>17</v>
      </c>
      <c r="D2497" t="s">
        <v>29</v>
      </c>
      <c r="E2497" t="s">
        <v>94</v>
      </c>
      <c r="F2497" t="s">
        <v>111</v>
      </c>
      <c r="G2497" t="s">
        <v>121</v>
      </c>
      <c r="H2497" t="s">
        <v>248</v>
      </c>
      <c r="J2497">
        <v>0</v>
      </c>
      <c r="K2497">
        <v>1</v>
      </c>
      <c r="L2497">
        <v>94.97142857</v>
      </c>
      <c r="M2497">
        <v>24.31591813</v>
      </c>
      <c r="N2497">
        <v>0.122951111</v>
      </c>
      <c r="O2497">
        <v>0.39050790000000002</v>
      </c>
      <c r="P2497">
        <v>83.92307692</v>
      </c>
      <c r="Q2497">
        <v>44.319135699999997</v>
      </c>
      <c r="R2497">
        <v>5.9548609999999997E-3</v>
      </c>
      <c r="S2497">
        <v>0.18017928</v>
      </c>
      <c r="T2497" t="s">
        <v>1017</v>
      </c>
      <c r="U2497">
        <v>20.00321757</v>
      </c>
    </row>
    <row r="2498" spans="1:21" x14ac:dyDescent="0.25">
      <c r="A2498" t="s">
        <v>28</v>
      </c>
      <c r="B2498" t="s">
        <v>934</v>
      </c>
      <c r="C2498">
        <v>15</v>
      </c>
      <c r="D2498" t="s">
        <v>29</v>
      </c>
      <c r="E2498" t="s">
        <v>94</v>
      </c>
      <c r="F2498" t="s">
        <v>112</v>
      </c>
      <c r="G2498" t="s">
        <v>121</v>
      </c>
      <c r="H2498" t="s">
        <v>103</v>
      </c>
      <c r="J2498">
        <v>0</v>
      </c>
      <c r="K2498">
        <v>4</v>
      </c>
      <c r="L2498">
        <v>65.09375</v>
      </c>
      <c r="M2498">
        <v>37.895352600000002</v>
      </c>
      <c r="N2498">
        <v>2.2882677779999998</v>
      </c>
      <c r="O2498">
        <v>2.2111774</v>
      </c>
      <c r="P2498">
        <v>98.291666669999998</v>
      </c>
      <c r="Q2498">
        <v>30.315130790000001</v>
      </c>
      <c r="R2498">
        <v>5.0803484000000003E-2</v>
      </c>
      <c r="S2498">
        <v>0.42866070000000001</v>
      </c>
      <c r="T2498" t="s">
        <v>1017</v>
      </c>
      <c r="U2498">
        <v>7.5802218100000003</v>
      </c>
    </row>
    <row r="2499" spans="1:21" x14ac:dyDescent="0.25">
      <c r="A2499" t="s">
        <v>28</v>
      </c>
      <c r="B2499" t="s">
        <v>934</v>
      </c>
      <c r="C2499">
        <v>15</v>
      </c>
      <c r="D2499" t="s">
        <v>29</v>
      </c>
      <c r="E2499" t="s">
        <v>94</v>
      </c>
      <c r="F2499" t="s">
        <v>112</v>
      </c>
      <c r="G2499" t="s">
        <v>121</v>
      </c>
      <c r="H2499" t="s">
        <v>103</v>
      </c>
      <c r="J2499">
        <v>0</v>
      </c>
      <c r="K2499">
        <v>4</v>
      </c>
      <c r="L2499">
        <v>65.09375</v>
      </c>
      <c r="M2499">
        <v>37.895352600000002</v>
      </c>
      <c r="N2499">
        <v>2.2882677779999998</v>
      </c>
      <c r="O2499">
        <v>2.2111774</v>
      </c>
      <c r="P2499">
        <v>98.291666669999998</v>
      </c>
      <c r="Q2499">
        <v>30.315130790000001</v>
      </c>
      <c r="R2499">
        <v>5.0803484000000003E-2</v>
      </c>
      <c r="S2499">
        <v>0.42866070000000001</v>
      </c>
      <c r="T2499" t="s">
        <v>1017</v>
      </c>
      <c r="U2499">
        <v>7.5802218100000003</v>
      </c>
    </row>
    <row r="2500" spans="1:21" x14ac:dyDescent="0.25">
      <c r="A2500" t="s">
        <v>28</v>
      </c>
      <c r="B2500" t="s">
        <v>934</v>
      </c>
      <c r="C2500">
        <v>15</v>
      </c>
      <c r="D2500" t="s">
        <v>29</v>
      </c>
      <c r="E2500" t="s">
        <v>94</v>
      </c>
      <c r="F2500" t="s">
        <v>112</v>
      </c>
      <c r="G2500" t="s">
        <v>121</v>
      </c>
      <c r="H2500" t="s">
        <v>103</v>
      </c>
      <c r="J2500">
        <v>0</v>
      </c>
      <c r="K2500">
        <v>4</v>
      </c>
      <c r="L2500">
        <v>65.09375</v>
      </c>
      <c r="M2500">
        <v>37.895352600000002</v>
      </c>
      <c r="N2500">
        <v>2.2882677779999998</v>
      </c>
      <c r="O2500">
        <v>2.2111774</v>
      </c>
      <c r="P2500">
        <v>98.291666669999998</v>
      </c>
      <c r="Q2500">
        <v>30.315130790000001</v>
      </c>
      <c r="R2500">
        <v>5.0803484000000003E-2</v>
      </c>
      <c r="S2500">
        <v>0.42866070000000001</v>
      </c>
      <c r="T2500" t="s">
        <v>1017</v>
      </c>
      <c r="U2500">
        <v>7.5802218100000003</v>
      </c>
    </row>
    <row r="2501" spans="1:21" x14ac:dyDescent="0.25">
      <c r="A2501" t="s">
        <v>28</v>
      </c>
      <c r="B2501" t="s">
        <v>934</v>
      </c>
      <c r="C2501">
        <v>15</v>
      </c>
      <c r="D2501" t="s">
        <v>29</v>
      </c>
      <c r="E2501" t="s">
        <v>94</v>
      </c>
      <c r="F2501" t="s">
        <v>112</v>
      </c>
      <c r="G2501" t="s">
        <v>121</v>
      </c>
      <c r="H2501" t="s">
        <v>103</v>
      </c>
      <c r="J2501">
        <v>0</v>
      </c>
      <c r="K2501">
        <v>4</v>
      </c>
      <c r="L2501">
        <v>65.09375</v>
      </c>
      <c r="M2501">
        <v>37.895352600000002</v>
      </c>
      <c r="N2501">
        <v>2.2882677779999998</v>
      </c>
      <c r="O2501">
        <v>2.2111774</v>
      </c>
      <c r="P2501">
        <v>98.291666669999998</v>
      </c>
      <c r="Q2501">
        <v>30.315130790000001</v>
      </c>
      <c r="R2501">
        <v>5.0803484000000003E-2</v>
      </c>
      <c r="S2501">
        <v>0.42866070000000001</v>
      </c>
      <c r="T2501" t="s">
        <v>1017</v>
      </c>
      <c r="U2501">
        <v>7.5802218100000003</v>
      </c>
    </row>
    <row r="2502" spans="1:21" x14ac:dyDescent="0.25">
      <c r="A2502" t="s">
        <v>28</v>
      </c>
      <c r="B2502" t="s">
        <v>934</v>
      </c>
      <c r="C2502">
        <v>16</v>
      </c>
      <c r="D2502" t="s">
        <v>29</v>
      </c>
      <c r="E2502" t="s">
        <v>94</v>
      </c>
      <c r="F2502" t="s">
        <v>112</v>
      </c>
      <c r="G2502" t="s">
        <v>121</v>
      </c>
      <c r="H2502" t="s">
        <v>113</v>
      </c>
      <c r="J2502">
        <v>0</v>
      </c>
      <c r="K2502">
        <v>6</v>
      </c>
      <c r="L2502">
        <v>65.09375</v>
      </c>
      <c r="M2502">
        <v>37.895352600000002</v>
      </c>
      <c r="N2502">
        <v>2.2882677779999998</v>
      </c>
      <c r="O2502">
        <v>2.2111774</v>
      </c>
      <c r="P2502">
        <v>83.757575759999995</v>
      </c>
      <c r="Q2502">
        <v>22.60997987</v>
      </c>
      <c r="R2502">
        <v>0.72884000000000004</v>
      </c>
      <c r="S2502">
        <v>0.21301339999999999</v>
      </c>
      <c r="T2502" t="s">
        <v>1017</v>
      </c>
      <c r="U2502">
        <v>15.285372730000001</v>
      </c>
    </row>
    <row r="2503" spans="1:21" x14ac:dyDescent="0.25">
      <c r="A2503" t="s">
        <v>28</v>
      </c>
      <c r="B2503" t="s">
        <v>934</v>
      </c>
      <c r="C2503">
        <v>16</v>
      </c>
      <c r="D2503" t="s">
        <v>29</v>
      </c>
      <c r="E2503" t="s">
        <v>94</v>
      </c>
      <c r="F2503" t="s">
        <v>112</v>
      </c>
      <c r="G2503" t="s">
        <v>121</v>
      </c>
      <c r="H2503" t="s">
        <v>113</v>
      </c>
      <c r="J2503">
        <v>0</v>
      </c>
      <c r="K2503">
        <v>6</v>
      </c>
      <c r="L2503">
        <v>65.09375</v>
      </c>
      <c r="M2503">
        <v>37.895352600000002</v>
      </c>
      <c r="N2503">
        <v>2.2882677779999998</v>
      </c>
      <c r="O2503">
        <v>2.2111774</v>
      </c>
      <c r="P2503">
        <v>83.757575759999995</v>
      </c>
      <c r="Q2503">
        <v>22.60997987</v>
      </c>
      <c r="R2503">
        <v>0.72884000000000004</v>
      </c>
      <c r="S2503">
        <v>0.21301339999999999</v>
      </c>
      <c r="T2503" t="s">
        <v>1017</v>
      </c>
      <c r="U2503">
        <v>15.285372730000001</v>
      </c>
    </row>
    <row r="2504" spans="1:21" x14ac:dyDescent="0.25">
      <c r="A2504" t="s">
        <v>28</v>
      </c>
      <c r="B2504" t="s">
        <v>934</v>
      </c>
      <c r="C2504">
        <v>16</v>
      </c>
      <c r="D2504" t="s">
        <v>29</v>
      </c>
      <c r="E2504" t="s">
        <v>94</v>
      </c>
      <c r="F2504" t="s">
        <v>112</v>
      </c>
      <c r="G2504" t="s">
        <v>121</v>
      </c>
      <c r="H2504" t="s">
        <v>113</v>
      </c>
      <c r="J2504">
        <v>0</v>
      </c>
      <c r="K2504">
        <v>6</v>
      </c>
      <c r="L2504">
        <v>65.09375</v>
      </c>
      <c r="M2504">
        <v>37.895352600000002</v>
      </c>
      <c r="N2504">
        <v>2.2882677779999998</v>
      </c>
      <c r="O2504">
        <v>2.2111774</v>
      </c>
      <c r="P2504">
        <v>83.757575759999995</v>
      </c>
      <c r="Q2504">
        <v>22.60997987</v>
      </c>
      <c r="R2504">
        <v>0.72884000000000004</v>
      </c>
      <c r="S2504">
        <v>0.21301339999999999</v>
      </c>
      <c r="T2504" t="s">
        <v>1017</v>
      </c>
      <c r="U2504">
        <v>15.285372730000001</v>
      </c>
    </row>
    <row r="2505" spans="1:21" x14ac:dyDescent="0.25">
      <c r="A2505" t="s">
        <v>28</v>
      </c>
      <c r="B2505" t="s">
        <v>934</v>
      </c>
      <c r="C2505">
        <v>16</v>
      </c>
      <c r="D2505" t="s">
        <v>29</v>
      </c>
      <c r="E2505" t="s">
        <v>94</v>
      </c>
      <c r="F2505" t="s">
        <v>112</v>
      </c>
      <c r="G2505" t="s">
        <v>121</v>
      </c>
      <c r="H2505" t="s">
        <v>113</v>
      </c>
      <c r="J2505">
        <v>0</v>
      </c>
      <c r="K2505">
        <v>6</v>
      </c>
      <c r="L2505">
        <v>65.09375</v>
      </c>
      <c r="M2505">
        <v>37.895352600000002</v>
      </c>
      <c r="N2505">
        <v>2.2882677779999998</v>
      </c>
      <c r="O2505">
        <v>2.2111774</v>
      </c>
      <c r="P2505">
        <v>83.757575759999995</v>
      </c>
      <c r="Q2505">
        <v>22.60997987</v>
      </c>
      <c r="R2505">
        <v>0.72884000000000004</v>
      </c>
      <c r="S2505">
        <v>0.21301339999999999</v>
      </c>
      <c r="T2505" t="s">
        <v>1017</v>
      </c>
      <c r="U2505">
        <v>15.285372730000001</v>
      </c>
    </row>
    <row r="2506" spans="1:21" x14ac:dyDescent="0.25">
      <c r="A2506" t="s">
        <v>28</v>
      </c>
      <c r="B2506" t="s">
        <v>934</v>
      </c>
      <c r="C2506">
        <v>16</v>
      </c>
      <c r="D2506" t="s">
        <v>29</v>
      </c>
      <c r="E2506" t="s">
        <v>94</v>
      </c>
      <c r="F2506" t="s">
        <v>112</v>
      </c>
      <c r="G2506" t="s">
        <v>121</v>
      </c>
      <c r="H2506" t="s">
        <v>113</v>
      </c>
      <c r="J2506">
        <v>0</v>
      </c>
      <c r="K2506">
        <v>6</v>
      </c>
      <c r="L2506">
        <v>65.09375</v>
      </c>
      <c r="M2506">
        <v>37.895352600000002</v>
      </c>
      <c r="N2506">
        <v>2.2882677779999998</v>
      </c>
      <c r="O2506">
        <v>2.2111774</v>
      </c>
      <c r="P2506">
        <v>83.757575759999995</v>
      </c>
      <c r="Q2506">
        <v>22.60997987</v>
      </c>
      <c r="R2506">
        <v>0.72884000000000004</v>
      </c>
      <c r="S2506">
        <v>0.21301339999999999</v>
      </c>
      <c r="T2506" t="s">
        <v>1017</v>
      </c>
      <c r="U2506">
        <v>15.285372730000001</v>
      </c>
    </row>
    <row r="2507" spans="1:21" x14ac:dyDescent="0.25">
      <c r="A2507" t="s">
        <v>28</v>
      </c>
      <c r="B2507" t="s">
        <v>934</v>
      </c>
      <c r="C2507">
        <v>16</v>
      </c>
      <c r="D2507" t="s">
        <v>29</v>
      </c>
      <c r="E2507" t="s">
        <v>94</v>
      </c>
      <c r="F2507" t="s">
        <v>112</v>
      </c>
      <c r="G2507" t="s">
        <v>121</v>
      </c>
      <c r="H2507" t="s">
        <v>113</v>
      </c>
      <c r="J2507">
        <v>0</v>
      </c>
      <c r="K2507">
        <v>6</v>
      </c>
      <c r="L2507">
        <v>65.09375</v>
      </c>
      <c r="M2507">
        <v>37.895352600000002</v>
      </c>
      <c r="N2507">
        <v>2.2882677779999998</v>
      </c>
      <c r="O2507">
        <v>2.2111774</v>
      </c>
      <c r="P2507">
        <v>83.757575759999995</v>
      </c>
      <c r="Q2507">
        <v>22.60997987</v>
      </c>
      <c r="R2507">
        <v>0.72884000000000004</v>
      </c>
      <c r="S2507">
        <v>0.21301339999999999</v>
      </c>
      <c r="T2507" t="s">
        <v>1017</v>
      </c>
      <c r="U2507">
        <v>15.285372730000001</v>
      </c>
    </row>
    <row r="2508" spans="1:21" x14ac:dyDescent="0.25">
      <c r="A2508" t="s">
        <v>28</v>
      </c>
      <c r="B2508" t="s">
        <v>934</v>
      </c>
      <c r="C2508">
        <v>17</v>
      </c>
      <c r="D2508" t="s">
        <v>29</v>
      </c>
      <c r="E2508" t="s">
        <v>94</v>
      </c>
      <c r="F2508" t="s">
        <v>112</v>
      </c>
      <c r="G2508" t="s">
        <v>121</v>
      </c>
      <c r="H2508" t="s">
        <v>248</v>
      </c>
      <c r="J2508">
        <v>0</v>
      </c>
      <c r="K2508">
        <v>3</v>
      </c>
      <c r="L2508">
        <v>65.09375</v>
      </c>
      <c r="M2508">
        <v>37.895352600000002</v>
      </c>
      <c r="N2508">
        <v>2.2882677779999998</v>
      </c>
      <c r="O2508">
        <v>2.2111774</v>
      </c>
      <c r="P2508">
        <v>83.92307692</v>
      </c>
      <c r="Q2508">
        <v>44.319135699999997</v>
      </c>
      <c r="R2508">
        <v>5.9548609999999997E-3</v>
      </c>
      <c r="S2508">
        <v>0.18017928</v>
      </c>
      <c r="T2508" t="s">
        <v>1017</v>
      </c>
      <c r="U2508">
        <v>6.4237830999999996</v>
      </c>
    </row>
    <row r="2509" spans="1:21" x14ac:dyDescent="0.25">
      <c r="A2509" t="s">
        <v>28</v>
      </c>
      <c r="B2509" t="s">
        <v>934</v>
      </c>
      <c r="C2509">
        <v>17</v>
      </c>
      <c r="D2509" t="s">
        <v>29</v>
      </c>
      <c r="E2509" t="s">
        <v>94</v>
      </c>
      <c r="F2509" t="s">
        <v>112</v>
      </c>
      <c r="G2509" t="s">
        <v>121</v>
      </c>
      <c r="H2509" t="s">
        <v>248</v>
      </c>
      <c r="J2509">
        <v>0</v>
      </c>
      <c r="K2509">
        <v>3</v>
      </c>
      <c r="L2509">
        <v>65.09375</v>
      </c>
      <c r="M2509">
        <v>37.895352600000002</v>
      </c>
      <c r="N2509">
        <v>2.2882677779999998</v>
      </c>
      <c r="O2509">
        <v>2.2111774</v>
      </c>
      <c r="P2509">
        <v>83.92307692</v>
      </c>
      <c r="Q2509">
        <v>44.319135699999997</v>
      </c>
      <c r="R2509">
        <v>5.9548609999999997E-3</v>
      </c>
      <c r="S2509">
        <v>0.18017928</v>
      </c>
      <c r="T2509" t="s">
        <v>1017</v>
      </c>
      <c r="U2509">
        <v>6.4237830999999996</v>
      </c>
    </row>
    <row r="2510" spans="1:21" x14ac:dyDescent="0.25">
      <c r="A2510" t="s">
        <v>28</v>
      </c>
      <c r="B2510" t="s">
        <v>934</v>
      </c>
      <c r="C2510">
        <v>17</v>
      </c>
      <c r="D2510" t="s">
        <v>29</v>
      </c>
      <c r="E2510" t="s">
        <v>94</v>
      </c>
      <c r="F2510" t="s">
        <v>112</v>
      </c>
      <c r="G2510" t="s">
        <v>121</v>
      </c>
      <c r="H2510" t="s">
        <v>248</v>
      </c>
      <c r="J2510">
        <v>0</v>
      </c>
      <c r="K2510">
        <v>3</v>
      </c>
      <c r="L2510">
        <v>65.09375</v>
      </c>
      <c r="M2510">
        <v>37.895352600000002</v>
      </c>
      <c r="N2510">
        <v>2.2882677779999998</v>
      </c>
      <c r="O2510">
        <v>2.2111774</v>
      </c>
      <c r="P2510">
        <v>83.92307692</v>
      </c>
      <c r="Q2510">
        <v>44.319135699999997</v>
      </c>
      <c r="R2510">
        <v>5.9548609999999997E-3</v>
      </c>
      <c r="S2510">
        <v>0.18017928</v>
      </c>
      <c r="T2510" t="s">
        <v>1017</v>
      </c>
      <c r="U2510">
        <v>6.4237830999999996</v>
      </c>
    </row>
    <row r="2511" spans="1:21" x14ac:dyDescent="0.25">
      <c r="A2511" t="s">
        <v>30</v>
      </c>
      <c r="B2511" t="s">
        <v>935</v>
      </c>
      <c r="C2511">
        <v>15</v>
      </c>
      <c r="D2511" t="s">
        <v>31</v>
      </c>
      <c r="E2511" t="s">
        <v>95</v>
      </c>
      <c r="F2511" t="s">
        <v>113</v>
      </c>
      <c r="G2511" t="s">
        <v>121</v>
      </c>
      <c r="H2511" t="s">
        <v>113</v>
      </c>
      <c r="J2511">
        <v>0</v>
      </c>
      <c r="K2511">
        <v>1</v>
      </c>
      <c r="L2511">
        <v>83.757575759999995</v>
      </c>
      <c r="M2511">
        <v>22.60997987</v>
      </c>
      <c r="N2511">
        <v>0.72884000000000004</v>
      </c>
      <c r="O2511">
        <v>0.21301339999999999</v>
      </c>
      <c r="P2511">
        <v>83.757575759999995</v>
      </c>
      <c r="Q2511">
        <v>22.60997987</v>
      </c>
      <c r="R2511">
        <v>0.72884000000000004</v>
      </c>
      <c r="S2511">
        <v>0.21301339999999999</v>
      </c>
      <c r="T2511" t="s">
        <v>1017</v>
      </c>
      <c r="U2511">
        <v>0</v>
      </c>
    </row>
    <row r="2512" spans="1:21" x14ac:dyDescent="0.25">
      <c r="A2512" t="s">
        <v>30</v>
      </c>
      <c r="B2512" t="s">
        <v>935</v>
      </c>
      <c r="C2512">
        <v>16</v>
      </c>
      <c r="D2512" t="s">
        <v>31</v>
      </c>
      <c r="E2512" t="s">
        <v>95</v>
      </c>
      <c r="F2512" t="s">
        <v>113</v>
      </c>
      <c r="G2512" t="s">
        <v>121</v>
      </c>
      <c r="H2512" t="s">
        <v>103</v>
      </c>
      <c r="J2512">
        <v>0</v>
      </c>
      <c r="K2512">
        <v>2</v>
      </c>
      <c r="L2512">
        <v>83.757575759999995</v>
      </c>
      <c r="M2512">
        <v>22.60997987</v>
      </c>
      <c r="N2512">
        <v>0.72884000000000004</v>
      </c>
      <c r="O2512">
        <v>0.21301339999999999</v>
      </c>
      <c r="P2512">
        <v>98.291666669999998</v>
      </c>
      <c r="Q2512">
        <v>30.315130790000001</v>
      </c>
      <c r="R2512">
        <v>5.0803484000000003E-2</v>
      </c>
      <c r="S2512">
        <v>0.42866070000000001</v>
      </c>
      <c r="T2512" t="s">
        <v>1017</v>
      </c>
      <c r="U2512">
        <v>7.7051509200000003</v>
      </c>
    </row>
    <row r="2513" spans="1:21" x14ac:dyDescent="0.25">
      <c r="A2513" t="s">
        <v>30</v>
      </c>
      <c r="B2513" t="s">
        <v>935</v>
      </c>
      <c r="C2513">
        <v>16</v>
      </c>
      <c r="D2513" t="s">
        <v>31</v>
      </c>
      <c r="E2513" t="s">
        <v>95</v>
      </c>
      <c r="F2513" t="s">
        <v>113</v>
      </c>
      <c r="G2513" t="s">
        <v>121</v>
      </c>
      <c r="H2513" t="s">
        <v>103</v>
      </c>
      <c r="J2513">
        <v>0</v>
      </c>
      <c r="K2513">
        <v>2</v>
      </c>
      <c r="L2513">
        <v>83.757575759999995</v>
      </c>
      <c r="M2513">
        <v>22.60997987</v>
      </c>
      <c r="N2513">
        <v>0.72884000000000004</v>
      </c>
      <c r="O2513">
        <v>0.21301339999999999</v>
      </c>
      <c r="P2513">
        <v>98.291666669999998</v>
      </c>
      <c r="Q2513">
        <v>30.315130790000001</v>
      </c>
      <c r="R2513">
        <v>5.0803484000000003E-2</v>
      </c>
      <c r="S2513">
        <v>0.42866070000000001</v>
      </c>
      <c r="T2513" t="s">
        <v>1017</v>
      </c>
      <c r="U2513">
        <v>7.7051509200000003</v>
      </c>
    </row>
    <row r="2514" spans="1:21" x14ac:dyDescent="0.25">
      <c r="A2514" t="s">
        <v>30</v>
      </c>
      <c r="B2514" t="s">
        <v>935</v>
      </c>
      <c r="C2514">
        <v>17</v>
      </c>
      <c r="D2514" t="s">
        <v>31</v>
      </c>
      <c r="E2514" t="s">
        <v>95</v>
      </c>
      <c r="F2514" t="s">
        <v>113</v>
      </c>
      <c r="G2514" t="s">
        <v>121</v>
      </c>
      <c r="H2514" t="s">
        <v>248</v>
      </c>
      <c r="J2514">
        <v>0</v>
      </c>
      <c r="K2514">
        <v>9</v>
      </c>
      <c r="L2514">
        <v>83.757575759999995</v>
      </c>
      <c r="M2514">
        <v>22.60997987</v>
      </c>
      <c r="N2514">
        <v>0.72884000000000004</v>
      </c>
      <c r="O2514">
        <v>0.21301339999999999</v>
      </c>
      <c r="P2514">
        <v>83.92307692</v>
      </c>
      <c r="Q2514">
        <v>44.319135699999997</v>
      </c>
      <c r="R2514">
        <v>5.9548609999999997E-3</v>
      </c>
      <c r="S2514">
        <v>0.18017928</v>
      </c>
      <c r="T2514" t="s">
        <v>1017</v>
      </c>
      <c r="U2514">
        <v>21.70915583</v>
      </c>
    </row>
    <row r="2515" spans="1:21" x14ac:dyDescent="0.25">
      <c r="A2515" t="s">
        <v>30</v>
      </c>
      <c r="B2515" t="s">
        <v>935</v>
      </c>
      <c r="C2515">
        <v>17</v>
      </c>
      <c r="D2515" t="s">
        <v>31</v>
      </c>
      <c r="E2515" t="s">
        <v>95</v>
      </c>
      <c r="F2515" t="s">
        <v>113</v>
      </c>
      <c r="G2515" t="s">
        <v>121</v>
      </c>
      <c r="H2515" t="s">
        <v>248</v>
      </c>
      <c r="J2515">
        <v>0</v>
      </c>
      <c r="K2515">
        <v>9</v>
      </c>
      <c r="L2515">
        <v>83.757575759999995</v>
      </c>
      <c r="M2515">
        <v>22.60997987</v>
      </c>
      <c r="N2515">
        <v>0.72884000000000004</v>
      </c>
      <c r="O2515">
        <v>0.21301339999999999</v>
      </c>
      <c r="P2515">
        <v>83.92307692</v>
      </c>
      <c r="Q2515">
        <v>44.319135699999997</v>
      </c>
      <c r="R2515">
        <v>5.9548609999999997E-3</v>
      </c>
      <c r="S2515">
        <v>0.18017928</v>
      </c>
      <c r="T2515" t="s">
        <v>1017</v>
      </c>
      <c r="U2515">
        <v>21.70915583</v>
      </c>
    </row>
    <row r="2516" spans="1:21" x14ac:dyDescent="0.25">
      <c r="A2516" t="s">
        <v>30</v>
      </c>
      <c r="B2516" t="s">
        <v>935</v>
      </c>
      <c r="C2516">
        <v>17</v>
      </c>
      <c r="D2516" t="s">
        <v>31</v>
      </c>
      <c r="E2516" t="s">
        <v>95</v>
      </c>
      <c r="F2516" t="s">
        <v>113</v>
      </c>
      <c r="G2516" t="s">
        <v>121</v>
      </c>
      <c r="H2516" t="s">
        <v>248</v>
      </c>
      <c r="J2516">
        <v>0</v>
      </c>
      <c r="K2516">
        <v>9</v>
      </c>
      <c r="L2516">
        <v>83.757575759999995</v>
      </c>
      <c r="M2516">
        <v>22.60997987</v>
      </c>
      <c r="N2516">
        <v>0.72884000000000004</v>
      </c>
      <c r="O2516">
        <v>0.21301339999999999</v>
      </c>
      <c r="P2516">
        <v>83.92307692</v>
      </c>
      <c r="Q2516">
        <v>44.319135699999997</v>
      </c>
      <c r="R2516">
        <v>5.9548609999999997E-3</v>
      </c>
      <c r="S2516">
        <v>0.18017928</v>
      </c>
      <c r="T2516" t="s">
        <v>1017</v>
      </c>
      <c r="U2516">
        <v>21.70915583</v>
      </c>
    </row>
    <row r="2517" spans="1:21" x14ac:dyDescent="0.25">
      <c r="A2517" t="s">
        <v>30</v>
      </c>
      <c r="B2517" t="s">
        <v>935</v>
      </c>
      <c r="C2517">
        <v>17</v>
      </c>
      <c r="D2517" t="s">
        <v>31</v>
      </c>
      <c r="E2517" t="s">
        <v>95</v>
      </c>
      <c r="F2517" t="s">
        <v>113</v>
      </c>
      <c r="G2517" t="s">
        <v>121</v>
      </c>
      <c r="H2517" t="s">
        <v>248</v>
      </c>
      <c r="J2517">
        <v>0</v>
      </c>
      <c r="K2517">
        <v>9</v>
      </c>
      <c r="L2517">
        <v>83.757575759999995</v>
      </c>
      <c r="M2517">
        <v>22.60997987</v>
      </c>
      <c r="N2517">
        <v>0.72884000000000004</v>
      </c>
      <c r="O2517">
        <v>0.21301339999999999</v>
      </c>
      <c r="P2517">
        <v>83.92307692</v>
      </c>
      <c r="Q2517">
        <v>44.319135699999997</v>
      </c>
      <c r="R2517">
        <v>5.9548609999999997E-3</v>
      </c>
      <c r="S2517">
        <v>0.18017928</v>
      </c>
      <c r="T2517" t="s">
        <v>1017</v>
      </c>
      <c r="U2517">
        <v>21.70915583</v>
      </c>
    </row>
    <row r="2518" spans="1:21" x14ac:dyDescent="0.25">
      <c r="A2518" t="s">
        <v>30</v>
      </c>
      <c r="B2518" t="s">
        <v>935</v>
      </c>
      <c r="C2518">
        <v>17</v>
      </c>
      <c r="D2518" t="s">
        <v>31</v>
      </c>
      <c r="E2518" t="s">
        <v>95</v>
      </c>
      <c r="F2518" t="s">
        <v>113</v>
      </c>
      <c r="G2518" t="s">
        <v>121</v>
      </c>
      <c r="H2518" t="s">
        <v>248</v>
      </c>
      <c r="J2518">
        <v>0</v>
      </c>
      <c r="K2518">
        <v>9</v>
      </c>
      <c r="L2518">
        <v>83.757575759999995</v>
      </c>
      <c r="M2518">
        <v>22.60997987</v>
      </c>
      <c r="N2518">
        <v>0.72884000000000004</v>
      </c>
      <c r="O2518">
        <v>0.21301339999999999</v>
      </c>
      <c r="P2518">
        <v>83.92307692</v>
      </c>
      <c r="Q2518">
        <v>44.319135699999997</v>
      </c>
      <c r="R2518">
        <v>5.9548609999999997E-3</v>
      </c>
      <c r="S2518">
        <v>0.18017928</v>
      </c>
      <c r="T2518" t="s">
        <v>1017</v>
      </c>
      <c r="U2518">
        <v>21.70915583</v>
      </c>
    </row>
    <row r="2519" spans="1:21" x14ac:dyDescent="0.25">
      <c r="A2519" t="s">
        <v>30</v>
      </c>
      <c r="B2519" t="s">
        <v>935</v>
      </c>
      <c r="C2519">
        <v>17</v>
      </c>
      <c r="D2519" t="s">
        <v>31</v>
      </c>
      <c r="E2519" t="s">
        <v>95</v>
      </c>
      <c r="F2519" t="s">
        <v>113</v>
      </c>
      <c r="G2519" t="s">
        <v>121</v>
      </c>
      <c r="H2519" t="s">
        <v>248</v>
      </c>
      <c r="J2519">
        <v>0</v>
      </c>
      <c r="K2519">
        <v>9</v>
      </c>
      <c r="L2519">
        <v>83.757575759999995</v>
      </c>
      <c r="M2519">
        <v>22.60997987</v>
      </c>
      <c r="N2519">
        <v>0.72884000000000004</v>
      </c>
      <c r="O2519">
        <v>0.21301339999999999</v>
      </c>
      <c r="P2519">
        <v>83.92307692</v>
      </c>
      <c r="Q2519">
        <v>44.319135699999997</v>
      </c>
      <c r="R2519">
        <v>5.9548609999999997E-3</v>
      </c>
      <c r="S2519">
        <v>0.18017928</v>
      </c>
      <c r="T2519" t="s">
        <v>1017</v>
      </c>
      <c r="U2519">
        <v>21.70915583</v>
      </c>
    </row>
    <row r="2520" spans="1:21" x14ac:dyDescent="0.25">
      <c r="A2520" t="s">
        <v>30</v>
      </c>
      <c r="B2520" t="s">
        <v>935</v>
      </c>
      <c r="C2520">
        <v>17</v>
      </c>
      <c r="D2520" t="s">
        <v>31</v>
      </c>
      <c r="E2520" t="s">
        <v>95</v>
      </c>
      <c r="F2520" t="s">
        <v>113</v>
      </c>
      <c r="G2520" t="s">
        <v>121</v>
      </c>
      <c r="H2520" t="s">
        <v>248</v>
      </c>
      <c r="J2520">
        <v>0</v>
      </c>
      <c r="K2520">
        <v>9</v>
      </c>
      <c r="L2520">
        <v>83.757575759999995</v>
      </c>
      <c r="M2520">
        <v>22.60997987</v>
      </c>
      <c r="N2520">
        <v>0.72884000000000004</v>
      </c>
      <c r="O2520">
        <v>0.21301339999999999</v>
      </c>
      <c r="P2520">
        <v>83.92307692</v>
      </c>
      <c r="Q2520">
        <v>44.319135699999997</v>
      </c>
      <c r="R2520">
        <v>5.9548609999999997E-3</v>
      </c>
      <c r="S2520">
        <v>0.18017928</v>
      </c>
      <c r="T2520" t="s">
        <v>1017</v>
      </c>
      <c r="U2520">
        <v>21.70915583</v>
      </c>
    </row>
    <row r="2521" spans="1:21" x14ac:dyDescent="0.25">
      <c r="A2521" t="s">
        <v>30</v>
      </c>
      <c r="B2521" t="s">
        <v>935</v>
      </c>
      <c r="C2521">
        <v>17</v>
      </c>
      <c r="D2521" t="s">
        <v>31</v>
      </c>
      <c r="E2521" t="s">
        <v>95</v>
      </c>
      <c r="F2521" t="s">
        <v>113</v>
      </c>
      <c r="G2521" t="s">
        <v>121</v>
      </c>
      <c r="H2521" t="s">
        <v>248</v>
      </c>
      <c r="J2521">
        <v>0</v>
      </c>
      <c r="K2521">
        <v>9</v>
      </c>
      <c r="L2521">
        <v>83.757575759999995</v>
      </c>
      <c r="M2521">
        <v>22.60997987</v>
      </c>
      <c r="N2521">
        <v>0.72884000000000004</v>
      </c>
      <c r="O2521">
        <v>0.21301339999999999</v>
      </c>
      <c r="P2521">
        <v>83.92307692</v>
      </c>
      <c r="Q2521">
        <v>44.319135699999997</v>
      </c>
      <c r="R2521">
        <v>5.9548609999999997E-3</v>
      </c>
      <c r="S2521">
        <v>0.18017928</v>
      </c>
      <c r="T2521" t="s">
        <v>1017</v>
      </c>
      <c r="U2521">
        <v>21.70915583</v>
      </c>
    </row>
    <row r="2522" spans="1:21" x14ac:dyDescent="0.25">
      <c r="A2522" t="s">
        <v>30</v>
      </c>
      <c r="B2522" t="s">
        <v>935</v>
      </c>
      <c r="C2522">
        <v>17</v>
      </c>
      <c r="D2522" t="s">
        <v>31</v>
      </c>
      <c r="E2522" t="s">
        <v>95</v>
      </c>
      <c r="F2522" t="s">
        <v>113</v>
      </c>
      <c r="G2522" t="s">
        <v>121</v>
      </c>
      <c r="H2522" t="s">
        <v>248</v>
      </c>
      <c r="J2522">
        <v>0</v>
      </c>
      <c r="K2522">
        <v>9</v>
      </c>
      <c r="L2522">
        <v>83.757575759999995</v>
      </c>
      <c r="M2522">
        <v>22.60997987</v>
      </c>
      <c r="N2522">
        <v>0.72884000000000004</v>
      </c>
      <c r="O2522">
        <v>0.21301339999999999</v>
      </c>
      <c r="P2522">
        <v>83.92307692</v>
      </c>
      <c r="Q2522">
        <v>44.319135699999997</v>
      </c>
      <c r="R2522">
        <v>5.9548609999999997E-3</v>
      </c>
      <c r="S2522">
        <v>0.18017928</v>
      </c>
      <c r="T2522" t="s">
        <v>1017</v>
      </c>
      <c r="U2522">
        <v>21.70915583</v>
      </c>
    </row>
    <row r="2523" spans="1:21" x14ac:dyDescent="0.25">
      <c r="A2523" t="s">
        <v>30</v>
      </c>
      <c r="B2523" t="s">
        <v>935</v>
      </c>
      <c r="C2523">
        <v>18</v>
      </c>
      <c r="D2523" t="s">
        <v>31</v>
      </c>
      <c r="E2523" t="s">
        <v>95</v>
      </c>
      <c r="F2523" t="s">
        <v>113</v>
      </c>
      <c r="G2523" t="s">
        <v>121</v>
      </c>
      <c r="H2523" t="s">
        <v>111</v>
      </c>
      <c r="J2523">
        <v>0</v>
      </c>
      <c r="K2523">
        <v>1</v>
      </c>
      <c r="L2523">
        <v>83.757575759999995</v>
      </c>
      <c r="M2523">
        <v>22.60997987</v>
      </c>
      <c r="N2523">
        <v>0.72884000000000004</v>
      </c>
      <c r="O2523">
        <v>0.21301339999999999</v>
      </c>
      <c r="P2523">
        <v>94.97142857</v>
      </c>
      <c r="Q2523">
        <v>24.31591813</v>
      </c>
      <c r="R2523">
        <v>0.122951111</v>
      </c>
      <c r="S2523">
        <v>0.39050790000000002</v>
      </c>
      <c r="T2523" t="s">
        <v>1017</v>
      </c>
      <c r="U2523">
        <v>1.7059382599999999</v>
      </c>
    </row>
    <row r="2524" spans="1:21" x14ac:dyDescent="0.25">
      <c r="A2524" t="s">
        <v>30</v>
      </c>
      <c r="B2524" t="s">
        <v>936</v>
      </c>
      <c r="C2524">
        <v>15</v>
      </c>
      <c r="D2524" t="s">
        <v>31</v>
      </c>
      <c r="E2524" t="s">
        <v>95</v>
      </c>
      <c r="F2524" t="s">
        <v>103</v>
      </c>
      <c r="G2524" t="s">
        <v>113</v>
      </c>
      <c r="H2524" t="s">
        <v>113</v>
      </c>
      <c r="J2524">
        <v>0</v>
      </c>
      <c r="K2524">
        <v>3</v>
      </c>
      <c r="L2524">
        <v>98.291666669999998</v>
      </c>
      <c r="M2524">
        <v>30.315130790000001</v>
      </c>
      <c r="N2524">
        <v>5.0803484000000003E-2</v>
      </c>
      <c r="O2524">
        <v>0.42866070000000001</v>
      </c>
      <c r="P2524">
        <v>83.757575759999995</v>
      </c>
      <c r="Q2524">
        <v>22.60997987</v>
      </c>
      <c r="R2524">
        <v>0.72884000000000004</v>
      </c>
      <c r="S2524">
        <v>0.21301339999999999</v>
      </c>
      <c r="T2524" t="s">
        <v>1017</v>
      </c>
      <c r="U2524">
        <v>7.7051509200000003</v>
      </c>
    </row>
    <row r="2525" spans="1:21" x14ac:dyDescent="0.25">
      <c r="A2525" t="s">
        <v>30</v>
      </c>
      <c r="B2525" t="s">
        <v>936</v>
      </c>
      <c r="C2525">
        <v>15</v>
      </c>
      <c r="D2525" t="s">
        <v>31</v>
      </c>
      <c r="E2525" t="s">
        <v>95</v>
      </c>
      <c r="F2525" t="s">
        <v>103</v>
      </c>
      <c r="G2525" t="s">
        <v>113</v>
      </c>
      <c r="H2525" t="s">
        <v>113</v>
      </c>
      <c r="J2525">
        <v>0</v>
      </c>
      <c r="K2525">
        <v>3</v>
      </c>
      <c r="L2525">
        <v>98.291666669999998</v>
      </c>
      <c r="M2525">
        <v>30.315130790000001</v>
      </c>
      <c r="N2525">
        <v>5.0803484000000003E-2</v>
      </c>
      <c r="O2525">
        <v>0.42866070000000001</v>
      </c>
      <c r="P2525">
        <v>83.757575759999995</v>
      </c>
      <c r="Q2525">
        <v>22.60997987</v>
      </c>
      <c r="R2525">
        <v>0.72884000000000004</v>
      </c>
      <c r="S2525">
        <v>0.21301339999999999</v>
      </c>
      <c r="T2525" t="s">
        <v>1017</v>
      </c>
      <c r="U2525">
        <v>7.7051509200000003</v>
      </c>
    </row>
    <row r="2526" spans="1:21" x14ac:dyDescent="0.25">
      <c r="A2526" t="s">
        <v>30</v>
      </c>
      <c r="B2526" t="s">
        <v>936</v>
      </c>
      <c r="C2526">
        <v>15</v>
      </c>
      <c r="D2526" t="s">
        <v>31</v>
      </c>
      <c r="E2526" t="s">
        <v>95</v>
      </c>
      <c r="F2526" t="s">
        <v>103</v>
      </c>
      <c r="G2526" t="s">
        <v>113</v>
      </c>
      <c r="H2526" t="s">
        <v>113</v>
      </c>
      <c r="J2526">
        <v>0</v>
      </c>
      <c r="K2526">
        <v>3</v>
      </c>
      <c r="L2526">
        <v>98.291666669999998</v>
      </c>
      <c r="M2526">
        <v>30.315130790000001</v>
      </c>
      <c r="N2526">
        <v>5.0803484000000003E-2</v>
      </c>
      <c r="O2526">
        <v>0.42866070000000001</v>
      </c>
      <c r="P2526">
        <v>83.757575759999995</v>
      </c>
      <c r="Q2526">
        <v>22.60997987</v>
      </c>
      <c r="R2526">
        <v>0.72884000000000004</v>
      </c>
      <c r="S2526">
        <v>0.21301339999999999</v>
      </c>
      <c r="T2526" t="s">
        <v>1017</v>
      </c>
      <c r="U2526">
        <v>7.7051509200000003</v>
      </c>
    </row>
    <row r="2527" spans="1:21" x14ac:dyDescent="0.25">
      <c r="A2527" t="s">
        <v>30</v>
      </c>
      <c r="B2527" t="s">
        <v>936</v>
      </c>
      <c r="C2527">
        <v>16</v>
      </c>
      <c r="D2527" t="s">
        <v>31</v>
      </c>
      <c r="E2527" t="s">
        <v>95</v>
      </c>
      <c r="F2527" t="s">
        <v>103</v>
      </c>
      <c r="G2527" t="s">
        <v>113</v>
      </c>
      <c r="H2527" t="s">
        <v>247</v>
      </c>
      <c r="J2527">
        <v>0</v>
      </c>
      <c r="K2527">
        <v>1</v>
      </c>
      <c r="L2527">
        <v>98.291666669999998</v>
      </c>
      <c r="M2527">
        <v>30.315130790000001</v>
      </c>
      <c r="N2527">
        <v>5.0803484000000003E-2</v>
      </c>
      <c r="O2527">
        <v>0.42866070000000001</v>
      </c>
      <c r="P2527">
        <v>65.791044779999993</v>
      </c>
      <c r="Q2527">
        <v>22.94519201</v>
      </c>
      <c r="R2527">
        <v>8.1320334999999994E-2</v>
      </c>
      <c r="S2527">
        <v>0.17285655</v>
      </c>
      <c r="T2527" t="s">
        <v>1017</v>
      </c>
      <c r="U2527">
        <v>7.36993878</v>
      </c>
    </row>
    <row r="2528" spans="1:21" x14ac:dyDescent="0.25">
      <c r="A2528" t="s">
        <v>30</v>
      </c>
      <c r="B2528" t="s">
        <v>936</v>
      </c>
      <c r="C2528">
        <v>17</v>
      </c>
      <c r="D2528" t="s">
        <v>31</v>
      </c>
      <c r="E2528" t="s">
        <v>95</v>
      </c>
      <c r="F2528" t="s">
        <v>103</v>
      </c>
      <c r="G2528" t="s">
        <v>113</v>
      </c>
      <c r="H2528" t="s">
        <v>111</v>
      </c>
      <c r="J2528">
        <v>0</v>
      </c>
      <c r="K2528">
        <v>1</v>
      </c>
      <c r="L2528">
        <v>98.291666669999998</v>
      </c>
      <c r="M2528">
        <v>30.315130790000001</v>
      </c>
      <c r="N2528">
        <v>5.0803484000000003E-2</v>
      </c>
      <c r="O2528">
        <v>0.42866070000000001</v>
      </c>
      <c r="P2528">
        <v>94.97142857</v>
      </c>
      <c r="Q2528">
        <v>24.31591813</v>
      </c>
      <c r="R2528">
        <v>0.122951111</v>
      </c>
      <c r="S2528">
        <v>0.39050790000000002</v>
      </c>
      <c r="T2528" t="s">
        <v>1017</v>
      </c>
      <c r="U2528">
        <v>5.9992126600000004</v>
      </c>
    </row>
    <row r="2529" spans="1:21" x14ac:dyDescent="0.25">
      <c r="A2529" t="s">
        <v>30</v>
      </c>
      <c r="B2529" t="s">
        <v>936</v>
      </c>
      <c r="C2529">
        <v>18</v>
      </c>
      <c r="D2529" t="s">
        <v>31</v>
      </c>
      <c r="E2529" t="s">
        <v>95</v>
      </c>
      <c r="F2529" t="s">
        <v>103</v>
      </c>
      <c r="G2529" t="s">
        <v>113</v>
      </c>
      <c r="H2529" t="s">
        <v>234</v>
      </c>
      <c r="J2529">
        <v>0</v>
      </c>
      <c r="K2529">
        <v>1</v>
      </c>
      <c r="L2529">
        <v>98.291666669999998</v>
      </c>
      <c r="M2529">
        <v>30.315130790000001</v>
      </c>
      <c r="N2529">
        <v>5.0803484000000003E-2</v>
      </c>
      <c r="O2529">
        <v>0.42866070000000001</v>
      </c>
      <c r="P2529">
        <v>89.8125</v>
      </c>
      <c r="Q2529">
        <v>34.754706650000003</v>
      </c>
      <c r="R2529">
        <v>2.3065078999999999E-2</v>
      </c>
      <c r="S2529">
        <v>2.4791666700000001</v>
      </c>
      <c r="T2529" t="s">
        <v>1017</v>
      </c>
      <c r="U2529">
        <v>4.4395758599999997</v>
      </c>
    </row>
    <row r="2530" spans="1:21" x14ac:dyDescent="0.25">
      <c r="A2530" t="s">
        <v>30</v>
      </c>
      <c r="B2530" t="s">
        <v>936</v>
      </c>
      <c r="C2530">
        <v>19</v>
      </c>
      <c r="D2530" t="s">
        <v>31</v>
      </c>
      <c r="E2530" t="s">
        <v>95</v>
      </c>
      <c r="F2530" t="s">
        <v>103</v>
      </c>
      <c r="G2530" t="s">
        <v>113</v>
      </c>
      <c r="H2530" t="s">
        <v>241</v>
      </c>
      <c r="J2530">
        <v>0</v>
      </c>
      <c r="K2530">
        <v>1</v>
      </c>
      <c r="L2530">
        <v>98.291666669999998</v>
      </c>
      <c r="M2530">
        <v>30.315130790000001</v>
      </c>
      <c r="N2530">
        <v>5.0803484000000003E-2</v>
      </c>
      <c r="O2530">
        <v>0.42866070000000001</v>
      </c>
      <c r="P2530">
        <v>114</v>
      </c>
      <c r="Q2530">
        <v>30.43077242</v>
      </c>
      <c r="R2530">
        <v>0.53383111100000002</v>
      </c>
      <c r="S2530">
        <v>0.28333332999999999</v>
      </c>
      <c r="T2530" t="s">
        <v>1017</v>
      </c>
      <c r="U2530">
        <v>0.11564163</v>
      </c>
    </row>
    <row r="2531" spans="1:21" x14ac:dyDescent="0.25">
      <c r="A2531" t="s">
        <v>30</v>
      </c>
      <c r="B2531" t="s">
        <v>937</v>
      </c>
      <c r="C2531">
        <v>15</v>
      </c>
      <c r="D2531" t="s">
        <v>31</v>
      </c>
      <c r="E2531" t="s">
        <v>95</v>
      </c>
      <c r="F2531" t="s">
        <v>112</v>
      </c>
      <c r="G2531" t="s">
        <v>103</v>
      </c>
      <c r="H2531" t="s">
        <v>114</v>
      </c>
      <c r="J2531">
        <v>0</v>
      </c>
      <c r="K2531" t="s">
        <v>114</v>
      </c>
      <c r="L2531">
        <v>65.09375</v>
      </c>
      <c r="M2531">
        <v>37.895352600000002</v>
      </c>
      <c r="N2531">
        <v>2.2882677779999998</v>
      </c>
      <c r="O2531">
        <v>2.2111774</v>
      </c>
      <c r="P2531" t="s">
        <v>114</v>
      </c>
      <c r="Q2531" t="s">
        <v>114</v>
      </c>
      <c r="R2531" t="s">
        <v>114</v>
      </c>
      <c r="S2531" t="s">
        <v>114</v>
      </c>
      <c r="T2531" t="s">
        <v>1017</v>
      </c>
      <c r="U2531" t="s">
        <v>114</v>
      </c>
    </row>
    <row r="2532" spans="1:21" x14ac:dyDescent="0.25">
      <c r="A2532" t="s">
        <v>32</v>
      </c>
      <c r="B2532" t="s">
        <v>938</v>
      </c>
      <c r="C2532">
        <v>15</v>
      </c>
      <c r="D2532" t="s">
        <v>33</v>
      </c>
      <c r="E2532" t="s">
        <v>94</v>
      </c>
      <c r="F2532" t="s">
        <v>105</v>
      </c>
      <c r="G2532" t="s">
        <v>121</v>
      </c>
      <c r="H2532" t="s">
        <v>247</v>
      </c>
      <c r="J2532">
        <v>0</v>
      </c>
      <c r="K2532">
        <v>2</v>
      </c>
      <c r="L2532">
        <v>67.5</v>
      </c>
      <c r="M2532">
        <v>47.937235809999997</v>
      </c>
      <c r="N2532">
        <v>0.41599678000000001</v>
      </c>
      <c r="O2532">
        <v>2.0950346999999998</v>
      </c>
      <c r="P2532">
        <v>65.791044779999993</v>
      </c>
      <c r="Q2532">
        <v>22.94519201</v>
      </c>
      <c r="R2532">
        <v>8.1320334999999994E-2</v>
      </c>
      <c r="S2532">
        <v>0.17285655</v>
      </c>
      <c r="T2532" t="s">
        <v>1017</v>
      </c>
      <c r="U2532">
        <v>24.992043800000001</v>
      </c>
    </row>
    <row r="2533" spans="1:21" x14ac:dyDescent="0.25">
      <c r="A2533" t="s">
        <v>32</v>
      </c>
      <c r="B2533" t="s">
        <v>938</v>
      </c>
      <c r="C2533">
        <v>15</v>
      </c>
      <c r="D2533" t="s">
        <v>33</v>
      </c>
      <c r="E2533" t="s">
        <v>94</v>
      </c>
      <c r="F2533" t="s">
        <v>105</v>
      </c>
      <c r="G2533" t="s">
        <v>121</v>
      </c>
      <c r="H2533" t="s">
        <v>247</v>
      </c>
      <c r="J2533">
        <v>0</v>
      </c>
      <c r="K2533">
        <v>2</v>
      </c>
      <c r="L2533">
        <v>67.5</v>
      </c>
      <c r="M2533">
        <v>47.937235809999997</v>
      </c>
      <c r="N2533">
        <v>0.41599678000000001</v>
      </c>
      <c r="O2533">
        <v>2.0950346999999998</v>
      </c>
      <c r="P2533">
        <v>65.791044779999993</v>
      </c>
      <c r="Q2533">
        <v>22.94519201</v>
      </c>
      <c r="R2533">
        <v>8.1320334999999994E-2</v>
      </c>
      <c r="S2533">
        <v>0.17285655</v>
      </c>
      <c r="T2533" t="s">
        <v>1017</v>
      </c>
      <c r="U2533">
        <v>24.992043800000001</v>
      </c>
    </row>
    <row r="2534" spans="1:21" x14ac:dyDescent="0.25">
      <c r="A2534" t="s">
        <v>32</v>
      </c>
      <c r="B2534" t="s">
        <v>938</v>
      </c>
      <c r="C2534">
        <v>16</v>
      </c>
      <c r="D2534" t="s">
        <v>33</v>
      </c>
      <c r="E2534" t="s">
        <v>94</v>
      </c>
      <c r="F2534" t="s">
        <v>105</v>
      </c>
      <c r="G2534" t="s">
        <v>121</v>
      </c>
      <c r="H2534" t="s">
        <v>249</v>
      </c>
      <c r="J2534">
        <v>0</v>
      </c>
      <c r="K2534">
        <v>1</v>
      </c>
      <c r="L2534">
        <v>67.5</v>
      </c>
      <c r="M2534">
        <v>47.937235809999997</v>
      </c>
      <c r="N2534">
        <v>0.41599678000000001</v>
      </c>
      <c r="O2534">
        <v>2.0950346999999998</v>
      </c>
      <c r="P2534">
        <v>81.666666669999998</v>
      </c>
      <c r="Q2534">
        <v>48.056268459999998</v>
      </c>
      <c r="R2534">
        <v>0.120291364</v>
      </c>
      <c r="S2534" t="s">
        <v>114</v>
      </c>
      <c r="T2534" t="s">
        <v>1017</v>
      </c>
      <c r="U2534">
        <v>0.11903265</v>
      </c>
    </row>
    <row r="2535" spans="1:21" x14ac:dyDescent="0.25">
      <c r="A2535" t="s">
        <v>34</v>
      </c>
      <c r="B2535" t="s">
        <v>939</v>
      </c>
      <c r="C2535">
        <v>15</v>
      </c>
      <c r="D2535" t="s">
        <v>35</v>
      </c>
      <c r="E2535" t="s">
        <v>94</v>
      </c>
      <c r="F2535" t="s">
        <v>112</v>
      </c>
      <c r="G2535" t="s">
        <v>112</v>
      </c>
      <c r="H2535" t="s">
        <v>112</v>
      </c>
      <c r="J2535">
        <v>0</v>
      </c>
      <c r="K2535">
        <v>1</v>
      </c>
      <c r="L2535">
        <v>65.09375</v>
      </c>
      <c r="M2535">
        <v>37.895352600000002</v>
      </c>
      <c r="N2535">
        <v>2.2882677779999998</v>
      </c>
      <c r="O2535">
        <v>2.2111774</v>
      </c>
      <c r="P2535">
        <v>65.09375</v>
      </c>
      <c r="Q2535">
        <v>37.895352600000002</v>
      </c>
      <c r="R2535">
        <v>2.2882677779999998</v>
      </c>
      <c r="S2535">
        <v>2.2111774</v>
      </c>
      <c r="T2535" t="s">
        <v>1017</v>
      </c>
      <c r="U2535">
        <v>0</v>
      </c>
    </row>
    <row r="2536" spans="1:21" x14ac:dyDescent="0.25">
      <c r="A2536" t="s">
        <v>36</v>
      </c>
      <c r="B2536" t="s">
        <v>940</v>
      </c>
      <c r="C2536">
        <v>15</v>
      </c>
      <c r="D2536" t="s">
        <v>37</v>
      </c>
      <c r="E2536" t="s">
        <v>95</v>
      </c>
      <c r="F2536" t="s">
        <v>110</v>
      </c>
      <c r="G2536" t="s">
        <v>121</v>
      </c>
      <c r="H2536" t="s">
        <v>110</v>
      </c>
      <c r="J2536">
        <v>0</v>
      </c>
      <c r="K2536">
        <v>1</v>
      </c>
      <c r="L2536">
        <v>73.260869569999997</v>
      </c>
      <c r="M2536">
        <v>34.453830549999999</v>
      </c>
      <c r="N2536">
        <v>1.058333333</v>
      </c>
      <c r="O2536">
        <v>0.90897070000000002</v>
      </c>
      <c r="P2536">
        <v>73.260869569999997</v>
      </c>
      <c r="Q2536">
        <v>34.453830549999999</v>
      </c>
      <c r="R2536">
        <v>1.058333333</v>
      </c>
      <c r="S2536">
        <v>0.90897070000000002</v>
      </c>
      <c r="T2536" t="s">
        <v>1017</v>
      </c>
      <c r="U2536">
        <v>0</v>
      </c>
    </row>
    <row r="2537" spans="1:21" x14ac:dyDescent="0.25">
      <c r="A2537" t="s">
        <v>36</v>
      </c>
      <c r="B2537" t="s">
        <v>941</v>
      </c>
      <c r="C2537">
        <v>15</v>
      </c>
      <c r="D2537" t="s">
        <v>37</v>
      </c>
      <c r="E2537" t="s">
        <v>95</v>
      </c>
      <c r="F2537" t="s">
        <v>104</v>
      </c>
      <c r="G2537" t="s">
        <v>121</v>
      </c>
      <c r="H2537" t="s">
        <v>104</v>
      </c>
      <c r="J2537">
        <v>0</v>
      </c>
      <c r="K2537">
        <v>1</v>
      </c>
      <c r="L2537">
        <v>113.9375</v>
      </c>
      <c r="M2537">
        <v>33.375507550000002</v>
      </c>
      <c r="N2537">
        <v>2.4262999999999999</v>
      </c>
      <c r="O2537">
        <v>0.40692159999999999</v>
      </c>
      <c r="P2537">
        <v>113.9375</v>
      </c>
      <c r="Q2537">
        <v>33.375507550000002</v>
      </c>
      <c r="R2537">
        <v>2.4262999999999999</v>
      </c>
      <c r="S2537">
        <v>0.40692159999999999</v>
      </c>
      <c r="T2537" t="s">
        <v>1017</v>
      </c>
      <c r="U2537">
        <v>0</v>
      </c>
    </row>
    <row r="2538" spans="1:21" x14ac:dyDescent="0.25">
      <c r="A2538" t="s">
        <v>36</v>
      </c>
      <c r="B2538" t="s">
        <v>941</v>
      </c>
      <c r="C2538">
        <v>16</v>
      </c>
      <c r="D2538" t="s">
        <v>37</v>
      </c>
      <c r="E2538" t="s">
        <v>95</v>
      </c>
      <c r="F2538" t="s">
        <v>104</v>
      </c>
      <c r="G2538" t="s">
        <v>121</v>
      </c>
      <c r="H2538" t="s">
        <v>111</v>
      </c>
      <c r="J2538">
        <v>0</v>
      </c>
      <c r="K2538">
        <v>1</v>
      </c>
      <c r="L2538">
        <v>113.9375</v>
      </c>
      <c r="M2538">
        <v>33.375507550000002</v>
      </c>
      <c r="N2538">
        <v>2.4262999999999999</v>
      </c>
      <c r="O2538">
        <v>0.40692159999999999</v>
      </c>
      <c r="P2538">
        <v>94.97142857</v>
      </c>
      <c r="Q2538">
        <v>24.31591813</v>
      </c>
      <c r="R2538">
        <v>0.122951111</v>
      </c>
      <c r="S2538">
        <v>0.39050790000000002</v>
      </c>
      <c r="T2538" t="s">
        <v>1017</v>
      </c>
      <c r="U2538">
        <v>9.05958942</v>
      </c>
    </row>
    <row r="2539" spans="1:21" x14ac:dyDescent="0.25">
      <c r="A2539" t="s">
        <v>36</v>
      </c>
      <c r="B2539" t="s">
        <v>941</v>
      </c>
      <c r="C2539">
        <v>17</v>
      </c>
      <c r="D2539" t="s">
        <v>37</v>
      </c>
      <c r="E2539" t="s">
        <v>95</v>
      </c>
      <c r="F2539" t="s">
        <v>104</v>
      </c>
      <c r="G2539" t="s">
        <v>121</v>
      </c>
      <c r="H2539" t="s">
        <v>162</v>
      </c>
      <c r="J2539">
        <v>0</v>
      </c>
      <c r="K2539">
        <v>1</v>
      </c>
      <c r="L2539">
        <v>113.9375</v>
      </c>
      <c r="M2539">
        <v>33.375507550000002</v>
      </c>
      <c r="N2539">
        <v>2.4262999999999999</v>
      </c>
      <c r="O2539">
        <v>0.40692159999999999</v>
      </c>
      <c r="P2539">
        <v>82.53846154</v>
      </c>
      <c r="Q2539">
        <v>35.660530039999998</v>
      </c>
      <c r="R2539">
        <v>3.3754499999999998</v>
      </c>
      <c r="S2539" t="s">
        <v>114</v>
      </c>
      <c r="T2539" t="s">
        <v>1017</v>
      </c>
      <c r="U2539">
        <v>2.2850224899999998</v>
      </c>
    </row>
    <row r="2540" spans="1:21" x14ac:dyDescent="0.25">
      <c r="A2540" t="s">
        <v>38</v>
      </c>
      <c r="B2540" t="s">
        <v>942</v>
      </c>
      <c r="C2540">
        <v>2</v>
      </c>
      <c r="D2540" t="s">
        <v>11</v>
      </c>
      <c r="E2540" t="s">
        <v>95</v>
      </c>
      <c r="F2540" t="s">
        <v>113</v>
      </c>
      <c r="G2540" t="s">
        <v>103</v>
      </c>
      <c r="H2540" t="s">
        <v>103</v>
      </c>
      <c r="J2540">
        <v>0</v>
      </c>
      <c r="K2540">
        <v>3</v>
      </c>
      <c r="L2540">
        <v>83.757575759999995</v>
      </c>
      <c r="M2540">
        <v>22.60997987</v>
      </c>
      <c r="N2540">
        <v>0.72884000000000004</v>
      </c>
      <c r="O2540">
        <v>0.21301339999999999</v>
      </c>
      <c r="P2540">
        <v>98.291666669999998</v>
      </c>
      <c r="Q2540">
        <v>30.315130790000001</v>
      </c>
      <c r="R2540">
        <v>5.0803484000000003E-2</v>
      </c>
      <c r="S2540">
        <v>0.42866070000000001</v>
      </c>
      <c r="T2540" t="s">
        <v>1017</v>
      </c>
      <c r="U2540">
        <v>7.7051509200000003</v>
      </c>
    </row>
    <row r="2541" spans="1:21" x14ac:dyDescent="0.25">
      <c r="A2541" t="s">
        <v>38</v>
      </c>
      <c r="B2541" t="s">
        <v>942</v>
      </c>
      <c r="C2541">
        <v>2</v>
      </c>
      <c r="D2541" t="s">
        <v>11</v>
      </c>
      <c r="E2541" t="s">
        <v>95</v>
      </c>
      <c r="F2541" t="s">
        <v>113</v>
      </c>
      <c r="G2541" t="s">
        <v>103</v>
      </c>
      <c r="H2541" t="s">
        <v>103</v>
      </c>
      <c r="J2541">
        <v>0</v>
      </c>
      <c r="K2541">
        <v>3</v>
      </c>
      <c r="L2541">
        <v>83.757575759999995</v>
      </c>
      <c r="M2541">
        <v>22.60997987</v>
      </c>
      <c r="N2541">
        <v>0.72884000000000004</v>
      </c>
      <c r="O2541">
        <v>0.21301339999999999</v>
      </c>
      <c r="P2541">
        <v>98.291666669999998</v>
      </c>
      <c r="Q2541">
        <v>30.315130790000001</v>
      </c>
      <c r="R2541">
        <v>5.0803484000000003E-2</v>
      </c>
      <c r="S2541">
        <v>0.42866070000000001</v>
      </c>
      <c r="T2541" t="s">
        <v>1017</v>
      </c>
      <c r="U2541">
        <v>7.7051509200000003</v>
      </c>
    </row>
    <row r="2542" spans="1:21" x14ac:dyDescent="0.25">
      <c r="A2542" t="s">
        <v>38</v>
      </c>
      <c r="B2542" t="s">
        <v>942</v>
      </c>
      <c r="C2542">
        <v>2</v>
      </c>
      <c r="D2542" t="s">
        <v>11</v>
      </c>
      <c r="E2542" t="s">
        <v>95</v>
      </c>
      <c r="F2542" t="s">
        <v>113</v>
      </c>
      <c r="G2542" t="s">
        <v>103</v>
      </c>
      <c r="H2542" t="s">
        <v>103</v>
      </c>
      <c r="J2542">
        <v>0</v>
      </c>
      <c r="K2542">
        <v>3</v>
      </c>
      <c r="L2542">
        <v>83.757575759999995</v>
      </c>
      <c r="M2542">
        <v>22.60997987</v>
      </c>
      <c r="N2542">
        <v>0.72884000000000004</v>
      </c>
      <c r="O2542">
        <v>0.21301339999999999</v>
      </c>
      <c r="P2542">
        <v>98.291666669999998</v>
      </c>
      <c r="Q2542">
        <v>30.315130790000001</v>
      </c>
      <c r="R2542">
        <v>5.0803484000000003E-2</v>
      </c>
      <c r="S2542">
        <v>0.42866070000000001</v>
      </c>
      <c r="T2542" t="s">
        <v>1017</v>
      </c>
      <c r="U2542">
        <v>7.7051509200000003</v>
      </c>
    </row>
    <row r="2543" spans="1:21" x14ac:dyDescent="0.25">
      <c r="A2543" t="s">
        <v>38</v>
      </c>
      <c r="B2543" t="s">
        <v>943</v>
      </c>
      <c r="C2543">
        <v>2</v>
      </c>
      <c r="D2543" t="s">
        <v>11</v>
      </c>
      <c r="E2543" t="s">
        <v>95</v>
      </c>
      <c r="F2543" t="s">
        <v>103</v>
      </c>
      <c r="G2543" t="s">
        <v>103</v>
      </c>
      <c r="H2543" t="s">
        <v>103</v>
      </c>
      <c r="J2543">
        <v>0</v>
      </c>
      <c r="K2543">
        <v>7</v>
      </c>
      <c r="L2543">
        <v>98.291666669999998</v>
      </c>
      <c r="M2543">
        <v>30.315130790000001</v>
      </c>
      <c r="N2543">
        <v>5.0803484000000003E-2</v>
      </c>
      <c r="O2543">
        <v>0.42866070000000001</v>
      </c>
      <c r="P2543">
        <v>98.291666669999998</v>
      </c>
      <c r="Q2543">
        <v>30.315130790000001</v>
      </c>
      <c r="R2543">
        <v>5.0803484000000003E-2</v>
      </c>
      <c r="S2543">
        <v>0.42866070000000001</v>
      </c>
      <c r="T2543" t="s">
        <v>1017</v>
      </c>
      <c r="U2543">
        <v>0</v>
      </c>
    </row>
    <row r="2544" spans="1:21" x14ac:dyDescent="0.25">
      <c r="A2544" t="s">
        <v>38</v>
      </c>
      <c r="B2544" t="s">
        <v>943</v>
      </c>
      <c r="C2544">
        <v>2</v>
      </c>
      <c r="D2544" t="s">
        <v>11</v>
      </c>
      <c r="E2544" t="s">
        <v>95</v>
      </c>
      <c r="F2544" t="s">
        <v>103</v>
      </c>
      <c r="G2544" t="s">
        <v>103</v>
      </c>
      <c r="H2544" t="s">
        <v>103</v>
      </c>
      <c r="J2544">
        <v>0</v>
      </c>
      <c r="K2544">
        <v>7</v>
      </c>
      <c r="L2544">
        <v>98.291666669999998</v>
      </c>
      <c r="M2544">
        <v>30.315130790000001</v>
      </c>
      <c r="N2544">
        <v>5.0803484000000003E-2</v>
      </c>
      <c r="O2544">
        <v>0.42866070000000001</v>
      </c>
      <c r="P2544">
        <v>98.291666669999998</v>
      </c>
      <c r="Q2544">
        <v>30.315130790000001</v>
      </c>
      <c r="R2544">
        <v>5.0803484000000003E-2</v>
      </c>
      <c r="S2544">
        <v>0.42866070000000001</v>
      </c>
      <c r="T2544" t="s">
        <v>1017</v>
      </c>
      <c r="U2544">
        <v>0</v>
      </c>
    </row>
    <row r="2545" spans="1:21" x14ac:dyDescent="0.25">
      <c r="A2545" t="s">
        <v>38</v>
      </c>
      <c r="B2545" t="s">
        <v>943</v>
      </c>
      <c r="C2545">
        <v>2</v>
      </c>
      <c r="D2545" t="s">
        <v>11</v>
      </c>
      <c r="E2545" t="s">
        <v>95</v>
      </c>
      <c r="F2545" t="s">
        <v>103</v>
      </c>
      <c r="G2545" t="s">
        <v>103</v>
      </c>
      <c r="H2545" t="s">
        <v>103</v>
      </c>
      <c r="J2545">
        <v>0</v>
      </c>
      <c r="K2545">
        <v>7</v>
      </c>
      <c r="L2545">
        <v>98.291666669999998</v>
      </c>
      <c r="M2545">
        <v>30.315130790000001</v>
      </c>
      <c r="N2545">
        <v>5.0803484000000003E-2</v>
      </c>
      <c r="O2545">
        <v>0.42866070000000001</v>
      </c>
      <c r="P2545">
        <v>98.291666669999998</v>
      </c>
      <c r="Q2545">
        <v>30.315130790000001</v>
      </c>
      <c r="R2545">
        <v>5.0803484000000003E-2</v>
      </c>
      <c r="S2545">
        <v>0.42866070000000001</v>
      </c>
      <c r="T2545" t="s">
        <v>1017</v>
      </c>
      <c r="U2545">
        <v>0</v>
      </c>
    </row>
    <row r="2546" spans="1:21" x14ac:dyDescent="0.25">
      <c r="A2546" t="s">
        <v>38</v>
      </c>
      <c r="B2546" t="s">
        <v>943</v>
      </c>
      <c r="C2546">
        <v>2</v>
      </c>
      <c r="D2546" t="s">
        <v>11</v>
      </c>
      <c r="E2546" t="s">
        <v>95</v>
      </c>
      <c r="F2546" t="s">
        <v>103</v>
      </c>
      <c r="G2546" t="s">
        <v>103</v>
      </c>
      <c r="H2546" t="s">
        <v>103</v>
      </c>
      <c r="J2546">
        <v>0</v>
      </c>
      <c r="K2546">
        <v>7</v>
      </c>
      <c r="L2546">
        <v>98.291666669999998</v>
      </c>
      <c r="M2546">
        <v>30.315130790000001</v>
      </c>
      <c r="N2546">
        <v>5.0803484000000003E-2</v>
      </c>
      <c r="O2546">
        <v>0.42866070000000001</v>
      </c>
      <c r="P2546">
        <v>98.291666669999998</v>
      </c>
      <c r="Q2546">
        <v>30.315130790000001</v>
      </c>
      <c r="R2546">
        <v>5.0803484000000003E-2</v>
      </c>
      <c r="S2546">
        <v>0.42866070000000001</v>
      </c>
      <c r="T2546" t="s">
        <v>1017</v>
      </c>
      <c r="U2546">
        <v>0</v>
      </c>
    </row>
    <row r="2547" spans="1:21" x14ac:dyDescent="0.25">
      <c r="A2547" t="s">
        <v>38</v>
      </c>
      <c r="B2547" t="s">
        <v>943</v>
      </c>
      <c r="C2547">
        <v>2</v>
      </c>
      <c r="D2547" t="s">
        <v>11</v>
      </c>
      <c r="E2547" t="s">
        <v>95</v>
      </c>
      <c r="F2547" t="s">
        <v>103</v>
      </c>
      <c r="G2547" t="s">
        <v>103</v>
      </c>
      <c r="H2547" t="s">
        <v>103</v>
      </c>
      <c r="J2547">
        <v>0</v>
      </c>
      <c r="K2547">
        <v>7</v>
      </c>
      <c r="L2547">
        <v>98.291666669999998</v>
      </c>
      <c r="M2547">
        <v>30.315130790000001</v>
      </c>
      <c r="N2547">
        <v>5.0803484000000003E-2</v>
      </c>
      <c r="O2547">
        <v>0.42866070000000001</v>
      </c>
      <c r="P2547">
        <v>98.291666669999998</v>
      </c>
      <c r="Q2547">
        <v>30.315130790000001</v>
      </c>
      <c r="R2547">
        <v>5.0803484000000003E-2</v>
      </c>
      <c r="S2547">
        <v>0.42866070000000001</v>
      </c>
      <c r="T2547" t="s">
        <v>1017</v>
      </c>
      <c r="U2547">
        <v>0</v>
      </c>
    </row>
    <row r="2548" spans="1:21" x14ac:dyDescent="0.25">
      <c r="A2548" t="s">
        <v>38</v>
      </c>
      <c r="B2548" t="s">
        <v>943</v>
      </c>
      <c r="C2548">
        <v>2</v>
      </c>
      <c r="D2548" t="s">
        <v>11</v>
      </c>
      <c r="E2548" t="s">
        <v>95</v>
      </c>
      <c r="F2548" t="s">
        <v>103</v>
      </c>
      <c r="G2548" t="s">
        <v>103</v>
      </c>
      <c r="H2548" t="s">
        <v>103</v>
      </c>
      <c r="J2548">
        <v>0</v>
      </c>
      <c r="K2548">
        <v>7</v>
      </c>
      <c r="L2548">
        <v>98.291666669999998</v>
      </c>
      <c r="M2548">
        <v>30.315130790000001</v>
      </c>
      <c r="N2548">
        <v>5.0803484000000003E-2</v>
      </c>
      <c r="O2548">
        <v>0.42866070000000001</v>
      </c>
      <c r="P2548">
        <v>98.291666669999998</v>
      </c>
      <c r="Q2548">
        <v>30.315130790000001</v>
      </c>
      <c r="R2548">
        <v>5.0803484000000003E-2</v>
      </c>
      <c r="S2548">
        <v>0.42866070000000001</v>
      </c>
      <c r="T2548" t="s">
        <v>1017</v>
      </c>
      <c r="U2548">
        <v>0</v>
      </c>
    </row>
    <row r="2549" spans="1:21" x14ac:dyDescent="0.25">
      <c r="A2549" t="s">
        <v>38</v>
      </c>
      <c r="B2549" t="s">
        <v>943</v>
      </c>
      <c r="C2549">
        <v>2</v>
      </c>
      <c r="D2549" t="s">
        <v>11</v>
      </c>
      <c r="E2549" t="s">
        <v>95</v>
      </c>
      <c r="F2549" t="s">
        <v>103</v>
      </c>
      <c r="G2549" t="s">
        <v>103</v>
      </c>
      <c r="H2549" t="s">
        <v>103</v>
      </c>
      <c r="J2549">
        <v>0</v>
      </c>
      <c r="K2549">
        <v>7</v>
      </c>
      <c r="L2549">
        <v>98.291666669999998</v>
      </c>
      <c r="M2549">
        <v>30.315130790000001</v>
      </c>
      <c r="N2549">
        <v>5.0803484000000003E-2</v>
      </c>
      <c r="O2549">
        <v>0.42866070000000001</v>
      </c>
      <c r="P2549">
        <v>98.291666669999998</v>
      </c>
      <c r="Q2549">
        <v>30.315130790000001</v>
      </c>
      <c r="R2549">
        <v>5.0803484000000003E-2</v>
      </c>
      <c r="S2549">
        <v>0.42866070000000001</v>
      </c>
      <c r="T2549" t="s">
        <v>1017</v>
      </c>
      <c r="U2549">
        <v>0</v>
      </c>
    </row>
    <row r="2550" spans="1:21" x14ac:dyDescent="0.25">
      <c r="A2550" t="s">
        <v>38</v>
      </c>
      <c r="B2550" t="s">
        <v>943</v>
      </c>
      <c r="C2550">
        <v>2</v>
      </c>
      <c r="D2550" t="s">
        <v>11</v>
      </c>
      <c r="E2550" t="s">
        <v>95</v>
      </c>
      <c r="F2550" t="s">
        <v>103</v>
      </c>
      <c r="G2550" t="s">
        <v>103</v>
      </c>
      <c r="H2550" t="s">
        <v>113</v>
      </c>
      <c r="J2550">
        <v>0</v>
      </c>
      <c r="K2550">
        <v>2</v>
      </c>
      <c r="L2550">
        <v>98.291666669999998</v>
      </c>
      <c r="M2550">
        <v>30.315130790000001</v>
      </c>
      <c r="N2550">
        <v>5.0803484000000003E-2</v>
      </c>
      <c r="O2550">
        <v>0.42866070000000001</v>
      </c>
      <c r="P2550">
        <v>83.757575759999995</v>
      </c>
      <c r="Q2550">
        <v>22.60997987</v>
      </c>
      <c r="R2550">
        <v>0.72884000000000004</v>
      </c>
      <c r="S2550">
        <v>0.21301339999999999</v>
      </c>
      <c r="T2550" t="s">
        <v>1017</v>
      </c>
      <c r="U2550">
        <v>7.7051509200000003</v>
      </c>
    </row>
    <row r="2551" spans="1:21" x14ac:dyDescent="0.25">
      <c r="A2551" t="s">
        <v>38</v>
      </c>
      <c r="B2551" t="s">
        <v>943</v>
      </c>
      <c r="C2551">
        <v>2</v>
      </c>
      <c r="D2551" t="s">
        <v>11</v>
      </c>
      <c r="E2551" t="s">
        <v>95</v>
      </c>
      <c r="F2551" t="s">
        <v>103</v>
      </c>
      <c r="G2551" t="s">
        <v>103</v>
      </c>
      <c r="H2551" t="s">
        <v>113</v>
      </c>
      <c r="J2551">
        <v>0</v>
      </c>
      <c r="K2551">
        <v>2</v>
      </c>
      <c r="L2551">
        <v>98.291666669999998</v>
      </c>
      <c r="M2551">
        <v>30.315130790000001</v>
      </c>
      <c r="N2551">
        <v>5.0803484000000003E-2</v>
      </c>
      <c r="O2551">
        <v>0.42866070000000001</v>
      </c>
      <c r="P2551">
        <v>83.757575759999995</v>
      </c>
      <c r="Q2551">
        <v>22.60997987</v>
      </c>
      <c r="R2551">
        <v>0.72884000000000004</v>
      </c>
      <c r="S2551">
        <v>0.21301339999999999</v>
      </c>
      <c r="T2551" t="s">
        <v>1017</v>
      </c>
      <c r="U2551">
        <v>7.7051509200000003</v>
      </c>
    </row>
    <row r="2552" spans="1:21" x14ac:dyDescent="0.25">
      <c r="A2552" t="s">
        <v>38</v>
      </c>
      <c r="B2552" t="s">
        <v>944</v>
      </c>
      <c r="C2552">
        <v>2</v>
      </c>
      <c r="D2552" t="s">
        <v>11</v>
      </c>
      <c r="E2552" t="s">
        <v>95</v>
      </c>
      <c r="F2552" t="s">
        <v>111</v>
      </c>
      <c r="G2552" t="s">
        <v>103</v>
      </c>
      <c r="H2552" t="s">
        <v>103</v>
      </c>
      <c r="J2552">
        <v>0</v>
      </c>
      <c r="K2552">
        <v>2</v>
      </c>
      <c r="L2552">
        <v>94.97142857</v>
      </c>
      <c r="M2552">
        <v>24.31591813</v>
      </c>
      <c r="N2552">
        <v>0.122951111</v>
      </c>
      <c r="O2552">
        <v>0.39050790000000002</v>
      </c>
      <c r="P2552">
        <v>98.291666669999998</v>
      </c>
      <c r="Q2552">
        <v>30.315130790000001</v>
      </c>
      <c r="R2552">
        <v>5.0803484000000003E-2</v>
      </c>
      <c r="S2552">
        <v>0.42866070000000001</v>
      </c>
      <c r="T2552" t="s">
        <v>1017</v>
      </c>
      <c r="U2552">
        <v>5.9992126600000004</v>
      </c>
    </row>
    <row r="2553" spans="1:21" x14ac:dyDescent="0.25">
      <c r="A2553" t="s">
        <v>38</v>
      </c>
      <c r="B2553" t="s">
        <v>944</v>
      </c>
      <c r="C2553">
        <v>2</v>
      </c>
      <c r="D2553" t="s">
        <v>11</v>
      </c>
      <c r="E2553" t="s">
        <v>95</v>
      </c>
      <c r="F2553" t="s">
        <v>111</v>
      </c>
      <c r="G2553" t="s">
        <v>103</v>
      </c>
      <c r="H2553" t="s">
        <v>103</v>
      </c>
      <c r="J2553">
        <v>0</v>
      </c>
      <c r="K2553">
        <v>2</v>
      </c>
      <c r="L2553">
        <v>94.97142857</v>
      </c>
      <c r="M2553">
        <v>24.31591813</v>
      </c>
      <c r="N2553">
        <v>0.122951111</v>
      </c>
      <c r="O2553">
        <v>0.39050790000000002</v>
      </c>
      <c r="P2553">
        <v>98.291666669999998</v>
      </c>
      <c r="Q2553">
        <v>30.315130790000001</v>
      </c>
      <c r="R2553">
        <v>5.0803484000000003E-2</v>
      </c>
      <c r="S2553">
        <v>0.42866070000000001</v>
      </c>
      <c r="T2553" t="s">
        <v>1017</v>
      </c>
      <c r="U2553">
        <v>5.9992126600000004</v>
      </c>
    </row>
    <row r="2554" spans="1:21" x14ac:dyDescent="0.25">
      <c r="A2554" t="s">
        <v>39</v>
      </c>
      <c r="B2554" t="s">
        <v>945</v>
      </c>
      <c r="C2554">
        <v>2</v>
      </c>
      <c r="D2554" t="s">
        <v>15</v>
      </c>
      <c r="E2554" t="s">
        <v>94</v>
      </c>
      <c r="F2554" t="s">
        <v>102</v>
      </c>
      <c r="G2554" t="s">
        <v>102</v>
      </c>
      <c r="H2554" t="s">
        <v>235</v>
      </c>
      <c r="J2554">
        <v>0</v>
      </c>
      <c r="K2554">
        <v>1</v>
      </c>
      <c r="L2554">
        <v>84.740740740000007</v>
      </c>
      <c r="M2554">
        <v>29.167014049999999</v>
      </c>
      <c r="N2554">
        <v>1.1169849999999999</v>
      </c>
      <c r="O2554">
        <v>1.1571499000000001</v>
      </c>
      <c r="P2554">
        <v>132.27272730000001</v>
      </c>
      <c r="Q2554">
        <v>20.180448590000001</v>
      </c>
      <c r="R2554">
        <v>3.7813451999999997E-2</v>
      </c>
      <c r="S2554">
        <v>0.41404401000000002</v>
      </c>
      <c r="T2554" t="s">
        <v>1017</v>
      </c>
      <c r="U2554">
        <v>8.9865654599999996</v>
      </c>
    </row>
    <row r="2555" spans="1:21" x14ac:dyDescent="0.25">
      <c r="A2555" t="s">
        <v>39</v>
      </c>
      <c r="B2555" t="s">
        <v>945</v>
      </c>
      <c r="C2555">
        <v>2</v>
      </c>
      <c r="D2555" t="s">
        <v>15</v>
      </c>
      <c r="E2555" t="s">
        <v>94</v>
      </c>
      <c r="F2555" t="s">
        <v>102</v>
      </c>
      <c r="G2555" t="s">
        <v>102</v>
      </c>
      <c r="H2555" t="s">
        <v>113</v>
      </c>
      <c r="J2555">
        <v>0</v>
      </c>
      <c r="K2555">
        <v>2</v>
      </c>
      <c r="L2555">
        <v>84.740740740000007</v>
      </c>
      <c r="M2555">
        <v>29.167014049999999</v>
      </c>
      <c r="N2555">
        <v>1.1169849999999999</v>
      </c>
      <c r="O2555">
        <v>1.1571499000000001</v>
      </c>
      <c r="P2555">
        <v>83.757575759999995</v>
      </c>
      <c r="Q2555">
        <v>22.60997987</v>
      </c>
      <c r="R2555">
        <v>0.72884000000000004</v>
      </c>
      <c r="S2555">
        <v>0.21301339999999999</v>
      </c>
      <c r="T2555" t="s">
        <v>1017</v>
      </c>
      <c r="U2555">
        <v>6.5570341799999996</v>
      </c>
    </row>
    <row r="2556" spans="1:21" x14ac:dyDescent="0.25">
      <c r="A2556" t="s">
        <v>39</v>
      </c>
      <c r="B2556" t="s">
        <v>945</v>
      </c>
      <c r="C2556">
        <v>2</v>
      </c>
      <c r="D2556" t="s">
        <v>15</v>
      </c>
      <c r="E2556" t="s">
        <v>94</v>
      </c>
      <c r="F2556" t="s">
        <v>102</v>
      </c>
      <c r="G2556" t="s">
        <v>102</v>
      </c>
      <c r="H2556" t="s">
        <v>113</v>
      </c>
      <c r="J2556">
        <v>0</v>
      </c>
      <c r="K2556">
        <v>2</v>
      </c>
      <c r="L2556">
        <v>84.740740740000007</v>
      </c>
      <c r="M2556">
        <v>29.167014049999999</v>
      </c>
      <c r="N2556">
        <v>1.1169849999999999</v>
      </c>
      <c r="O2556">
        <v>1.1571499000000001</v>
      </c>
      <c r="P2556">
        <v>83.757575759999995</v>
      </c>
      <c r="Q2556">
        <v>22.60997987</v>
      </c>
      <c r="R2556">
        <v>0.72884000000000004</v>
      </c>
      <c r="S2556">
        <v>0.21301339999999999</v>
      </c>
      <c r="T2556" t="s">
        <v>1017</v>
      </c>
      <c r="U2556">
        <v>6.5570341799999996</v>
      </c>
    </row>
    <row r="2557" spans="1:21" x14ac:dyDescent="0.25">
      <c r="A2557" t="s">
        <v>39</v>
      </c>
      <c r="B2557" t="s">
        <v>945</v>
      </c>
      <c r="C2557">
        <v>2</v>
      </c>
      <c r="D2557" t="s">
        <v>15</v>
      </c>
      <c r="E2557" t="s">
        <v>94</v>
      </c>
      <c r="F2557" t="s">
        <v>102</v>
      </c>
      <c r="G2557" t="s">
        <v>102</v>
      </c>
      <c r="H2557" t="s">
        <v>103</v>
      </c>
      <c r="J2557">
        <v>0</v>
      </c>
      <c r="K2557">
        <v>3</v>
      </c>
      <c r="L2557">
        <v>84.740740740000007</v>
      </c>
      <c r="M2557">
        <v>29.167014049999999</v>
      </c>
      <c r="N2557">
        <v>1.1169849999999999</v>
      </c>
      <c r="O2557">
        <v>1.1571499000000001</v>
      </c>
      <c r="P2557">
        <v>98.291666669999998</v>
      </c>
      <c r="Q2557">
        <v>30.315130790000001</v>
      </c>
      <c r="R2557">
        <v>5.0803484000000003E-2</v>
      </c>
      <c r="S2557">
        <v>0.42866070000000001</v>
      </c>
      <c r="T2557" t="s">
        <v>1017</v>
      </c>
      <c r="U2557">
        <v>1.1481167400000001</v>
      </c>
    </row>
    <row r="2558" spans="1:21" x14ac:dyDescent="0.25">
      <c r="A2558" t="s">
        <v>39</v>
      </c>
      <c r="B2558" t="s">
        <v>945</v>
      </c>
      <c r="C2558">
        <v>2</v>
      </c>
      <c r="D2558" t="s">
        <v>15</v>
      </c>
      <c r="E2558" t="s">
        <v>94</v>
      </c>
      <c r="F2558" t="s">
        <v>102</v>
      </c>
      <c r="G2558" t="s">
        <v>102</v>
      </c>
      <c r="H2558" t="s">
        <v>103</v>
      </c>
      <c r="J2558">
        <v>0</v>
      </c>
      <c r="K2558">
        <v>3</v>
      </c>
      <c r="L2558">
        <v>84.740740740000007</v>
      </c>
      <c r="M2558">
        <v>29.167014049999999</v>
      </c>
      <c r="N2558">
        <v>1.1169849999999999</v>
      </c>
      <c r="O2558">
        <v>1.1571499000000001</v>
      </c>
      <c r="P2558">
        <v>98.291666669999998</v>
      </c>
      <c r="Q2558">
        <v>30.315130790000001</v>
      </c>
      <c r="R2558">
        <v>5.0803484000000003E-2</v>
      </c>
      <c r="S2558">
        <v>0.42866070000000001</v>
      </c>
      <c r="T2558" t="s">
        <v>1017</v>
      </c>
      <c r="U2558">
        <v>1.1481167400000001</v>
      </c>
    </row>
    <row r="2559" spans="1:21" x14ac:dyDescent="0.25">
      <c r="A2559" t="s">
        <v>39</v>
      </c>
      <c r="B2559" t="s">
        <v>945</v>
      </c>
      <c r="C2559">
        <v>2</v>
      </c>
      <c r="D2559" t="s">
        <v>15</v>
      </c>
      <c r="E2559" t="s">
        <v>94</v>
      </c>
      <c r="F2559" t="s">
        <v>102</v>
      </c>
      <c r="G2559" t="s">
        <v>102</v>
      </c>
      <c r="H2559" t="s">
        <v>103</v>
      </c>
      <c r="J2559">
        <v>0</v>
      </c>
      <c r="K2559">
        <v>3</v>
      </c>
      <c r="L2559">
        <v>84.740740740000007</v>
      </c>
      <c r="M2559">
        <v>29.167014049999999</v>
      </c>
      <c r="N2559">
        <v>1.1169849999999999</v>
      </c>
      <c r="O2559">
        <v>1.1571499000000001</v>
      </c>
      <c r="P2559">
        <v>98.291666669999998</v>
      </c>
      <c r="Q2559">
        <v>30.315130790000001</v>
      </c>
      <c r="R2559">
        <v>5.0803484000000003E-2</v>
      </c>
      <c r="S2559">
        <v>0.42866070000000001</v>
      </c>
      <c r="T2559" t="s">
        <v>1017</v>
      </c>
      <c r="U2559">
        <v>1.1481167400000001</v>
      </c>
    </row>
    <row r="2560" spans="1:21" x14ac:dyDescent="0.25">
      <c r="A2560" t="s">
        <v>39</v>
      </c>
      <c r="B2560" t="s">
        <v>945</v>
      </c>
      <c r="C2560">
        <v>2</v>
      </c>
      <c r="D2560" t="s">
        <v>15</v>
      </c>
      <c r="E2560" t="s">
        <v>94</v>
      </c>
      <c r="F2560" t="s">
        <v>102</v>
      </c>
      <c r="G2560" t="s">
        <v>102</v>
      </c>
      <c r="H2560" t="s">
        <v>233</v>
      </c>
      <c r="J2560">
        <v>0</v>
      </c>
      <c r="K2560">
        <v>1</v>
      </c>
      <c r="L2560">
        <v>84.740740740000007</v>
      </c>
      <c r="M2560">
        <v>29.167014049999999</v>
      </c>
      <c r="N2560">
        <v>1.1169849999999999</v>
      </c>
      <c r="O2560">
        <v>1.1571499000000001</v>
      </c>
      <c r="P2560">
        <v>106.0540541</v>
      </c>
      <c r="Q2560">
        <v>52.690533369999997</v>
      </c>
      <c r="R2560">
        <v>7.6058968000000005E-2</v>
      </c>
      <c r="S2560">
        <v>0.44888888999999998</v>
      </c>
      <c r="T2560" t="s">
        <v>1017</v>
      </c>
      <c r="U2560">
        <v>23.523519319999998</v>
      </c>
    </row>
    <row r="2561" spans="1:21" x14ac:dyDescent="0.25">
      <c r="A2561" t="s">
        <v>39</v>
      </c>
      <c r="B2561" t="s">
        <v>945</v>
      </c>
      <c r="C2561">
        <v>2</v>
      </c>
      <c r="D2561" t="s">
        <v>15</v>
      </c>
      <c r="E2561" t="s">
        <v>94</v>
      </c>
      <c r="F2561" t="s">
        <v>102</v>
      </c>
      <c r="G2561" t="s">
        <v>102</v>
      </c>
      <c r="H2561" t="s">
        <v>104</v>
      </c>
      <c r="J2561">
        <v>0</v>
      </c>
      <c r="K2561">
        <v>1</v>
      </c>
      <c r="L2561">
        <v>84.740740740000007</v>
      </c>
      <c r="M2561">
        <v>29.167014049999999</v>
      </c>
      <c r="N2561">
        <v>1.1169849999999999</v>
      </c>
      <c r="O2561">
        <v>1.1571499000000001</v>
      </c>
      <c r="P2561">
        <v>113.9375</v>
      </c>
      <c r="Q2561">
        <v>33.375507550000002</v>
      </c>
      <c r="R2561">
        <v>2.4262999999999999</v>
      </c>
      <c r="S2561">
        <v>0.40692159999999999</v>
      </c>
      <c r="T2561" t="s">
        <v>1017</v>
      </c>
      <c r="U2561">
        <v>4.2084935000000003</v>
      </c>
    </row>
    <row r="2562" spans="1:21" x14ac:dyDescent="0.25">
      <c r="A2562" t="s">
        <v>39</v>
      </c>
      <c r="B2562" t="s">
        <v>946</v>
      </c>
      <c r="C2562">
        <v>2</v>
      </c>
      <c r="D2562" t="s">
        <v>15</v>
      </c>
      <c r="E2562" t="s">
        <v>94</v>
      </c>
      <c r="F2562" t="s">
        <v>113</v>
      </c>
      <c r="G2562" t="s">
        <v>113</v>
      </c>
      <c r="H2562" t="s">
        <v>113</v>
      </c>
      <c r="J2562">
        <v>0</v>
      </c>
      <c r="K2562">
        <v>5</v>
      </c>
      <c r="L2562">
        <v>83.757575759999995</v>
      </c>
      <c r="M2562">
        <v>22.60997987</v>
      </c>
      <c r="N2562">
        <v>0.72884000000000004</v>
      </c>
      <c r="O2562">
        <v>0.21301339999999999</v>
      </c>
      <c r="P2562">
        <v>83.757575759999995</v>
      </c>
      <c r="Q2562">
        <v>22.60997987</v>
      </c>
      <c r="R2562">
        <v>0.72884000000000004</v>
      </c>
      <c r="S2562">
        <v>0.21301339999999999</v>
      </c>
      <c r="T2562" t="s">
        <v>1017</v>
      </c>
      <c r="U2562">
        <v>0</v>
      </c>
    </row>
    <row r="2563" spans="1:21" x14ac:dyDescent="0.25">
      <c r="A2563" t="s">
        <v>39</v>
      </c>
      <c r="B2563" t="s">
        <v>946</v>
      </c>
      <c r="C2563">
        <v>2</v>
      </c>
      <c r="D2563" t="s">
        <v>15</v>
      </c>
      <c r="E2563" t="s">
        <v>94</v>
      </c>
      <c r="F2563" t="s">
        <v>113</v>
      </c>
      <c r="G2563" t="s">
        <v>113</v>
      </c>
      <c r="H2563" t="s">
        <v>113</v>
      </c>
      <c r="J2563">
        <v>0</v>
      </c>
      <c r="K2563">
        <v>5</v>
      </c>
      <c r="L2563">
        <v>83.757575759999995</v>
      </c>
      <c r="M2563">
        <v>22.60997987</v>
      </c>
      <c r="N2563">
        <v>0.72884000000000004</v>
      </c>
      <c r="O2563">
        <v>0.21301339999999999</v>
      </c>
      <c r="P2563">
        <v>83.757575759999995</v>
      </c>
      <c r="Q2563">
        <v>22.60997987</v>
      </c>
      <c r="R2563">
        <v>0.72884000000000004</v>
      </c>
      <c r="S2563">
        <v>0.21301339999999999</v>
      </c>
      <c r="T2563" t="s">
        <v>1017</v>
      </c>
      <c r="U2563">
        <v>0</v>
      </c>
    </row>
    <row r="2564" spans="1:21" x14ac:dyDescent="0.25">
      <c r="A2564" t="s">
        <v>39</v>
      </c>
      <c r="B2564" t="s">
        <v>946</v>
      </c>
      <c r="C2564">
        <v>2</v>
      </c>
      <c r="D2564" t="s">
        <v>15</v>
      </c>
      <c r="E2564" t="s">
        <v>94</v>
      </c>
      <c r="F2564" t="s">
        <v>113</v>
      </c>
      <c r="G2564" t="s">
        <v>113</v>
      </c>
      <c r="H2564" t="s">
        <v>113</v>
      </c>
      <c r="J2564">
        <v>0</v>
      </c>
      <c r="K2564">
        <v>5</v>
      </c>
      <c r="L2564">
        <v>83.757575759999995</v>
      </c>
      <c r="M2564">
        <v>22.60997987</v>
      </c>
      <c r="N2564">
        <v>0.72884000000000004</v>
      </c>
      <c r="O2564">
        <v>0.21301339999999999</v>
      </c>
      <c r="P2564">
        <v>83.757575759999995</v>
      </c>
      <c r="Q2564">
        <v>22.60997987</v>
      </c>
      <c r="R2564">
        <v>0.72884000000000004</v>
      </c>
      <c r="S2564">
        <v>0.21301339999999999</v>
      </c>
      <c r="T2564" t="s">
        <v>1017</v>
      </c>
      <c r="U2564">
        <v>0</v>
      </c>
    </row>
    <row r="2565" spans="1:21" x14ac:dyDescent="0.25">
      <c r="A2565" t="s">
        <v>39</v>
      </c>
      <c r="B2565" t="s">
        <v>946</v>
      </c>
      <c r="C2565">
        <v>2</v>
      </c>
      <c r="D2565" t="s">
        <v>15</v>
      </c>
      <c r="E2565" t="s">
        <v>94</v>
      </c>
      <c r="F2565" t="s">
        <v>113</v>
      </c>
      <c r="G2565" t="s">
        <v>113</v>
      </c>
      <c r="H2565" t="s">
        <v>113</v>
      </c>
      <c r="J2565">
        <v>0</v>
      </c>
      <c r="K2565">
        <v>5</v>
      </c>
      <c r="L2565">
        <v>83.757575759999995</v>
      </c>
      <c r="M2565">
        <v>22.60997987</v>
      </c>
      <c r="N2565">
        <v>0.72884000000000004</v>
      </c>
      <c r="O2565">
        <v>0.21301339999999999</v>
      </c>
      <c r="P2565">
        <v>83.757575759999995</v>
      </c>
      <c r="Q2565">
        <v>22.60997987</v>
      </c>
      <c r="R2565">
        <v>0.72884000000000004</v>
      </c>
      <c r="S2565">
        <v>0.21301339999999999</v>
      </c>
      <c r="T2565" t="s">
        <v>1017</v>
      </c>
      <c r="U2565">
        <v>0</v>
      </c>
    </row>
    <row r="2566" spans="1:21" x14ac:dyDescent="0.25">
      <c r="A2566" t="s">
        <v>39</v>
      </c>
      <c r="B2566" t="s">
        <v>946</v>
      </c>
      <c r="C2566">
        <v>2</v>
      </c>
      <c r="D2566" t="s">
        <v>15</v>
      </c>
      <c r="E2566" t="s">
        <v>94</v>
      </c>
      <c r="F2566" t="s">
        <v>113</v>
      </c>
      <c r="G2566" t="s">
        <v>113</v>
      </c>
      <c r="H2566" t="s">
        <v>113</v>
      </c>
      <c r="J2566">
        <v>0</v>
      </c>
      <c r="K2566">
        <v>5</v>
      </c>
      <c r="L2566">
        <v>83.757575759999995</v>
      </c>
      <c r="M2566">
        <v>22.60997987</v>
      </c>
      <c r="N2566">
        <v>0.72884000000000004</v>
      </c>
      <c r="O2566">
        <v>0.21301339999999999</v>
      </c>
      <c r="P2566">
        <v>83.757575759999995</v>
      </c>
      <c r="Q2566">
        <v>22.60997987</v>
      </c>
      <c r="R2566">
        <v>0.72884000000000004</v>
      </c>
      <c r="S2566">
        <v>0.21301339999999999</v>
      </c>
      <c r="T2566" t="s">
        <v>1017</v>
      </c>
      <c r="U2566">
        <v>0</v>
      </c>
    </row>
    <row r="2567" spans="1:21" x14ac:dyDescent="0.25">
      <c r="A2567" t="s">
        <v>39</v>
      </c>
      <c r="B2567" t="s">
        <v>946</v>
      </c>
      <c r="C2567">
        <v>2</v>
      </c>
      <c r="D2567" t="s">
        <v>15</v>
      </c>
      <c r="E2567" t="s">
        <v>94</v>
      </c>
      <c r="F2567" t="s">
        <v>113</v>
      </c>
      <c r="G2567" t="s">
        <v>113</v>
      </c>
      <c r="H2567" t="s">
        <v>233</v>
      </c>
      <c r="J2567">
        <v>0</v>
      </c>
      <c r="K2567">
        <v>4</v>
      </c>
      <c r="L2567">
        <v>83.757575759999995</v>
      </c>
      <c r="M2567">
        <v>22.60997987</v>
      </c>
      <c r="N2567">
        <v>0.72884000000000004</v>
      </c>
      <c r="O2567">
        <v>0.21301339999999999</v>
      </c>
      <c r="P2567">
        <v>106.0540541</v>
      </c>
      <c r="Q2567">
        <v>52.690533369999997</v>
      </c>
      <c r="R2567">
        <v>7.6058968000000005E-2</v>
      </c>
      <c r="S2567">
        <v>0.44888888999999998</v>
      </c>
      <c r="T2567" t="s">
        <v>1017</v>
      </c>
      <c r="U2567">
        <v>30.080553500000001</v>
      </c>
    </row>
    <row r="2568" spans="1:21" x14ac:dyDescent="0.25">
      <c r="A2568" t="s">
        <v>39</v>
      </c>
      <c r="B2568" t="s">
        <v>946</v>
      </c>
      <c r="C2568">
        <v>2</v>
      </c>
      <c r="D2568" t="s">
        <v>15</v>
      </c>
      <c r="E2568" t="s">
        <v>94</v>
      </c>
      <c r="F2568" t="s">
        <v>113</v>
      </c>
      <c r="G2568" t="s">
        <v>113</v>
      </c>
      <c r="H2568" t="s">
        <v>233</v>
      </c>
      <c r="J2568">
        <v>0</v>
      </c>
      <c r="K2568">
        <v>4</v>
      </c>
      <c r="L2568">
        <v>83.757575759999995</v>
      </c>
      <c r="M2568">
        <v>22.60997987</v>
      </c>
      <c r="N2568">
        <v>0.72884000000000004</v>
      </c>
      <c r="O2568">
        <v>0.21301339999999999</v>
      </c>
      <c r="P2568">
        <v>106.0540541</v>
      </c>
      <c r="Q2568">
        <v>52.690533369999997</v>
      </c>
      <c r="R2568">
        <v>7.6058968000000005E-2</v>
      </c>
      <c r="S2568">
        <v>0.44888888999999998</v>
      </c>
      <c r="T2568" t="s">
        <v>1017</v>
      </c>
      <c r="U2568">
        <v>30.080553500000001</v>
      </c>
    </row>
    <row r="2569" spans="1:21" x14ac:dyDescent="0.25">
      <c r="A2569" t="s">
        <v>39</v>
      </c>
      <c r="B2569" t="s">
        <v>946</v>
      </c>
      <c r="C2569">
        <v>2</v>
      </c>
      <c r="D2569" t="s">
        <v>15</v>
      </c>
      <c r="E2569" t="s">
        <v>94</v>
      </c>
      <c r="F2569" t="s">
        <v>113</v>
      </c>
      <c r="G2569" t="s">
        <v>113</v>
      </c>
      <c r="H2569" t="s">
        <v>233</v>
      </c>
      <c r="J2569">
        <v>0</v>
      </c>
      <c r="K2569">
        <v>4</v>
      </c>
      <c r="L2569">
        <v>83.757575759999995</v>
      </c>
      <c r="M2569">
        <v>22.60997987</v>
      </c>
      <c r="N2569">
        <v>0.72884000000000004</v>
      </c>
      <c r="O2569">
        <v>0.21301339999999999</v>
      </c>
      <c r="P2569">
        <v>106.0540541</v>
      </c>
      <c r="Q2569">
        <v>52.690533369999997</v>
      </c>
      <c r="R2569">
        <v>7.6058968000000005E-2</v>
      </c>
      <c r="S2569">
        <v>0.44888888999999998</v>
      </c>
      <c r="T2569" t="s">
        <v>1017</v>
      </c>
      <c r="U2569">
        <v>30.080553500000001</v>
      </c>
    </row>
    <row r="2570" spans="1:21" x14ac:dyDescent="0.25">
      <c r="A2570" t="s">
        <v>39</v>
      </c>
      <c r="B2570" t="s">
        <v>946</v>
      </c>
      <c r="C2570">
        <v>2</v>
      </c>
      <c r="D2570" t="s">
        <v>15</v>
      </c>
      <c r="E2570" t="s">
        <v>94</v>
      </c>
      <c r="F2570" t="s">
        <v>113</v>
      </c>
      <c r="G2570" t="s">
        <v>113</v>
      </c>
      <c r="H2570" t="s">
        <v>233</v>
      </c>
      <c r="J2570">
        <v>0</v>
      </c>
      <c r="K2570">
        <v>4</v>
      </c>
      <c r="L2570">
        <v>83.757575759999995</v>
      </c>
      <c r="M2570">
        <v>22.60997987</v>
      </c>
      <c r="N2570">
        <v>0.72884000000000004</v>
      </c>
      <c r="O2570">
        <v>0.21301339999999999</v>
      </c>
      <c r="P2570">
        <v>106.0540541</v>
      </c>
      <c r="Q2570">
        <v>52.690533369999997</v>
      </c>
      <c r="R2570">
        <v>7.6058968000000005E-2</v>
      </c>
      <c r="S2570">
        <v>0.44888888999999998</v>
      </c>
      <c r="T2570" t="s">
        <v>1017</v>
      </c>
      <c r="U2570">
        <v>30.080553500000001</v>
      </c>
    </row>
    <row r="2571" spans="1:21" x14ac:dyDescent="0.25">
      <c r="A2571" t="s">
        <v>39</v>
      </c>
      <c r="B2571" t="s">
        <v>946</v>
      </c>
      <c r="C2571">
        <v>2</v>
      </c>
      <c r="D2571" t="s">
        <v>15</v>
      </c>
      <c r="E2571" t="s">
        <v>94</v>
      </c>
      <c r="F2571" t="s">
        <v>113</v>
      </c>
      <c r="G2571" t="s">
        <v>113</v>
      </c>
      <c r="H2571" t="s">
        <v>234</v>
      </c>
      <c r="J2571">
        <v>0</v>
      </c>
      <c r="K2571">
        <v>1</v>
      </c>
      <c r="L2571">
        <v>83.757575759999995</v>
      </c>
      <c r="M2571">
        <v>22.60997987</v>
      </c>
      <c r="N2571">
        <v>0.72884000000000004</v>
      </c>
      <c r="O2571">
        <v>0.21301339999999999</v>
      </c>
      <c r="P2571">
        <v>89.8125</v>
      </c>
      <c r="Q2571">
        <v>34.754706650000003</v>
      </c>
      <c r="R2571">
        <v>2.3065078999999999E-2</v>
      </c>
      <c r="S2571">
        <v>2.4791666700000001</v>
      </c>
      <c r="T2571" t="s">
        <v>1017</v>
      </c>
      <c r="U2571">
        <v>12.144726779999999</v>
      </c>
    </row>
    <row r="2572" spans="1:21" x14ac:dyDescent="0.25">
      <c r="A2572" t="s">
        <v>39</v>
      </c>
      <c r="B2572" t="s">
        <v>947</v>
      </c>
      <c r="C2572">
        <v>2</v>
      </c>
      <c r="D2572" t="s">
        <v>15</v>
      </c>
      <c r="E2572" t="s">
        <v>94</v>
      </c>
      <c r="F2572" t="s">
        <v>103</v>
      </c>
      <c r="G2572" t="s">
        <v>103</v>
      </c>
      <c r="H2572" t="s">
        <v>103</v>
      </c>
      <c r="J2572">
        <v>0</v>
      </c>
      <c r="K2572">
        <v>3</v>
      </c>
      <c r="L2572">
        <v>98.291666669999998</v>
      </c>
      <c r="M2572">
        <v>30.315130790000001</v>
      </c>
      <c r="N2572">
        <v>5.0803484000000003E-2</v>
      </c>
      <c r="O2572">
        <v>0.42866070000000001</v>
      </c>
      <c r="P2572">
        <v>98.291666669999998</v>
      </c>
      <c r="Q2572">
        <v>30.315130790000001</v>
      </c>
      <c r="R2572">
        <v>5.0803484000000003E-2</v>
      </c>
      <c r="S2572">
        <v>0.42866070000000001</v>
      </c>
      <c r="T2572" t="s">
        <v>1017</v>
      </c>
      <c r="U2572">
        <v>0</v>
      </c>
    </row>
    <row r="2573" spans="1:21" x14ac:dyDescent="0.25">
      <c r="A2573" t="s">
        <v>39</v>
      </c>
      <c r="B2573" t="s">
        <v>947</v>
      </c>
      <c r="C2573">
        <v>2</v>
      </c>
      <c r="D2573" t="s">
        <v>15</v>
      </c>
      <c r="E2573" t="s">
        <v>94</v>
      </c>
      <c r="F2573" t="s">
        <v>103</v>
      </c>
      <c r="G2573" t="s">
        <v>103</v>
      </c>
      <c r="H2573" t="s">
        <v>103</v>
      </c>
      <c r="J2573">
        <v>0</v>
      </c>
      <c r="K2573">
        <v>3</v>
      </c>
      <c r="L2573">
        <v>98.291666669999998</v>
      </c>
      <c r="M2573">
        <v>30.315130790000001</v>
      </c>
      <c r="N2573">
        <v>5.0803484000000003E-2</v>
      </c>
      <c r="O2573">
        <v>0.42866070000000001</v>
      </c>
      <c r="P2573">
        <v>98.291666669999998</v>
      </c>
      <c r="Q2573">
        <v>30.315130790000001</v>
      </c>
      <c r="R2573">
        <v>5.0803484000000003E-2</v>
      </c>
      <c r="S2573">
        <v>0.42866070000000001</v>
      </c>
      <c r="T2573" t="s">
        <v>1017</v>
      </c>
      <c r="U2573">
        <v>0</v>
      </c>
    </row>
    <row r="2574" spans="1:21" x14ac:dyDescent="0.25">
      <c r="A2574" t="s">
        <v>39</v>
      </c>
      <c r="B2574" t="s">
        <v>947</v>
      </c>
      <c r="C2574">
        <v>2</v>
      </c>
      <c r="D2574" t="s">
        <v>15</v>
      </c>
      <c r="E2574" t="s">
        <v>94</v>
      </c>
      <c r="F2574" t="s">
        <v>103</v>
      </c>
      <c r="G2574" t="s">
        <v>103</v>
      </c>
      <c r="H2574" t="s">
        <v>103</v>
      </c>
      <c r="J2574">
        <v>0</v>
      </c>
      <c r="K2574">
        <v>3</v>
      </c>
      <c r="L2574">
        <v>98.291666669999998</v>
      </c>
      <c r="M2574">
        <v>30.315130790000001</v>
      </c>
      <c r="N2574">
        <v>5.0803484000000003E-2</v>
      </c>
      <c r="O2574">
        <v>0.42866070000000001</v>
      </c>
      <c r="P2574">
        <v>98.291666669999998</v>
      </c>
      <c r="Q2574">
        <v>30.315130790000001</v>
      </c>
      <c r="R2574">
        <v>5.0803484000000003E-2</v>
      </c>
      <c r="S2574">
        <v>0.42866070000000001</v>
      </c>
      <c r="T2574" t="s">
        <v>1017</v>
      </c>
      <c r="U2574">
        <v>0</v>
      </c>
    </row>
    <row r="2575" spans="1:21" x14ac:dyDescent="0.25">
      <c r="A2575" t="s">
        <v>39</v>
      </c>
      <c r="B2575" t="s">
        <v>947</v>
      </c>
      <c r="C2575">
        <v>2</v>
      </c>
      <c r="D2575" t="s">
        <v>15</v>
      </c>
      <c r="E2575" t="s">
        <v>94</v>
      </c>
      <c r="F2575" t="s">
        <v>103</v>
      </c>
      <c r="G2575" t="s">
        <v>103</v>
      </c>
      <c r="H2575" t="s">
        <v>104</v>
      </c>
      <c r="J2575">
        <v>0</v>
      </c>
      <c r="K2575">
        <v>1</v>
      </c>
      <c r="L2575">
        <v>98.291666669999998</v>
      </c>
      <c r="M2575">
        <v>30.315130790000001</v>
      </c>
      <c r="N2575">
        <v>5.0803484000000003E-2</v>
      </c>
      <c r="O2575">
        <v>0.42866070000000001</v>
      </c>
      <c r="P2575">
        <v>113.9375</v>
      </c>
      <c r="Q2575">
        <v>33.375507550000002</v>
      </c>
      <c r="R2575">
        <v>2.4262999999999999</v>
      </c>
      <c r="S2575">
        <v>0.40692159999999999</v>
      </c>
      <c r="T2575" t="s">
        <v>1017</v>
      </c>
      <c r="U2575">
        <v>3.06037676</v>
      </c>
    </row>
    <row r="2576" spans="1:21" x14ac:dyDescent="0.25">
      <c r="A2576" t="s">
        <v>39</v>
      </c>
      <c r="B2576" t="s">
        <v>947</v>
      </c>
      <c r="C2576">
        <v>2</v>
      </c>
      <c r="D2576" t="s">
        <v>15</v>
      </c>
      <c r="E2576" t="s">
        <v>94</v>
      </c>
      <c r="F2576" t="s">
        <v>103</v>
      </c>
      <c r="G2576" t="s">
        <v>103</v>
      </c>
      <c r="H2576" t="s">
        <v>113</v>
      </c>
      <c r="J2576">
        <v>0</v>
      </c>
      <c r="K2576">
        <v>4</v>
      </c>
      <c r="L2576">
        <v>98.291666669999998</v>
      </c>
      <c r="M2576">
        <v>30.315130790000001</v>
      </c>
      <c r="N2576">
        <v>5.0803484000000003E-2</v>
      </c>
      <c r="O2576">
        <v>0.42866070000000001</v>
      </c>
      <c r="P2576">
        <v>83.757575759999995</v>
      </c>
      <c r="Q2576">
        <v>22.60997987</v>
      </c>
      <c r="R2576">
        <v>0.72884000000000004</v>
      </c>
      <c r="S2576">
        <v>0.21301339999999999</v>
      </c>
      <c r="T2576" t="s">
        <v>1017</v>
      </c>
      <c r="U2576">
        <v>7.7051509200000003</v>
      </c>
    </row>
    <row r="2577" spans="1:21" x14ac:dyDescent="0.25">
      <c r="A2577" t="s">
        <v>39</v>
      </c>
      <c r="B2577" t="s">
        <v>947</v>
      </c>
      <c r="C2577">
        <v>2</v>
      </c>
      <c r="D2577" t="s">
        <v>15</v>
      </c>
      <c r="E2577" t="s">
        <v>94</v>
      </c>
      <c r="F2577" t="s">
        <v>103</v>
      </c>
      <c r="G2577" t="s">
        <v>103</v>
      </c>
      <c r="H2577" t="s">
        <v>113</v>
      </c>
      <c r="J2577">
        <v>0</v>
      </c>
      <c r="K2577">
        <v>4</v>
      </c>
      <c r="L2577">
        <v>98.291666669999998</v>
      </c>
      <c r="M2577">
        <v>30.315130790000001</v>
      </c>
      <c r="N2577">
        <v>5.0803484000000003E-2</v>
      </c>
      <c r="O2577">
        <v>0.42866070000000001</v>
      </c>
      <c r="P2577">
        <v>83.757575759999995</v>
      </c>
      <c r="Q2577">
        <v>22.60997987</v>
      </c>
      <c r="R2577">
        <v>0.72884000000000004</v>
      </c>
      <c r="S2577">
        <v>0.21301339999999999</v>
      </c>
      <c r="T2577" t="s">
        <v>1017</v>
      </c>
      <c r="U2577">
        <v>7.7051509200000003</v>
      </c>
    </row>
    <row r="2578" spans="1:21" x14ac:dyDescent="0.25">
      <c r="A2578" t="s">
        <v>39</v>
      </c>
      <c r="B2578" t="s">
        <v>947</v>
      </c>
      <c r="C2578">
        <v>2</v>
      </c>
      <c r="D2578" t="s">
        <v>15</v>
      </c>
      <c r="E2578" t="s">
        <v>94</v>
      </c>
      <c r="F2578" t="s">
        <v>103</v>
      </c>
      <c r="G2578" t="s">
        <v>103</v>
      </c>
      <c r="H2578" t="s">
        <v>113</v>
      </c>
      <c r="J2578">
        <v>0</v>
      </c>
      <c r="K2578">
        <v>4</v>
      </c>
      <c r="L2578">
        <v>98.291666669999998</v>
      </c>
      <c r="M2578">
        <v>30.315130790000001</v>
      </c>
      <c r="N2578">
        <v>5.0803484000000003E-2</v>
      </c>
      <c r="O2578">
        <v>0.42866070000000001</v>
      </c>
      <c r="P2578">
        <v>83.757575759999995</v>
      </c>
      <c r="Q2578">
        <v>22.60997987</v>
      </c>
      <c r="R2578">
        <v>0.72884000000000004</v>
      </c>
      <c r="S2578">
        <v>0.21301339999999999</v>
      </c>
      <c r="T2578" t="s">
        <v>1017</v>
      </c>
      <c r="U2578">
        <v>7.7051509200000003</v>
      </c>
    </row>
    <row r="2579" spans="1:21" x14ac:dyDescent="0.25">
      <c r="A2579" t="s">
        <v>39</v>
      </c>
      <c r="B2579" t="s">
        <v>947</v>
      </c>
      <c r="C2579">
        <v>2</v>
      </c>
      <c r="D2579" t="s">
        <v>15</v>
      </c>
      <c r="E2579" t="s">
        <v>94</v>
      </c>
      <c r="F2579" t="s">
        <v>103</v>
      </c>
      <c r="G2579" t="s">
        <v>103</v>
      </c>
      <c r="H2579" t="s">
        <v>113</v>
      </c>
      <c r="J2579">
        <v>0</v>
      </c>
      <c r="K2579">
        <v>4</v>
      </c>
      <c r="L2579">
        <v>98.291666669999998</v>
      </c>
      <c r="M2579">
        <v>30.315130790000001</v>
      </c>
      <c r="N2579">
        <v>5.0803484000000003E-2</v>
      </c>
      <c r="O2579">
        <v>0.42866070000000001</v>
      </c>
      <c r="P2579">
        <v>83.757575759999995</v>
      </c>
      <c r="Q2579">
        <v>22.60997987</v>
      </c>
      <c r="R2579">
        <v>0.72884000000000004</v>
      </c>
      <c r="S2579">
        <v>0.21301339999999999</v>
      </c>
      <c r="T2579" t="s">
        <v>1017</v>
      </c>
      <c r="U2579">
        <v>7.7051509200000003</v>
      </c>
    </row>
    <row r="2580" spans="1:21" x14ac:dyDescent="0.25">
      <c r="A2580" t="s">
        <v>39</v>
      </c>
      <c r="B2580" t="s">
        <v>948</v>
      </c>
      <c r="C2580">
        <v>2</v>
      </c>
      <c r="D2580" t="s">
        <v>15</v>
      </c>
      <c r="E2580" t="s">
        <v>94</v>
      </c>
      <c r="F2580" t="s">
        <v>111</v>
      </c>
      <c r="G2580" t="s">
        <v>104</v>
      </c>
      <c r="H2580" t="s">
        <v>236</v>
      </c>
      <c r="J2580">
        <v>0</v>
      </c>
      <c r="K2580">
        <v>1</v>
      </c>
      <c r="L2580">
        <v>94.97142857</v>
      </c>
      <c r="M2580">
        <v>24.31591813</v>
      </c>
      <c r="N2580">
        <v>0.122951111</v>
      </c>
      <c r="O2580">
        <v>0.39050790000000002</v>
      </c>
      <c r="P2580">
        <v>113.33333330000001</v>
      </c>
      <c r="Q2580">
        <v>26.41632581</v>
      </c>
      <c r="R2580">
        <v>1.6844570160000001</v>
      </c>
      <c r="S2580">
        <v>8.9285710000000004E-2</v>
      </c>
      <c r="T2580" t="s">
        <v>1017</v>
      </c>
      <c r="U2580">
        <v>2.10040768</v>
      </c>
    </row>
    <row r="2581" spans="1:21" x14ac:dyDescent="0.25">
      <c r="A2581" t="s">
        <v>39</v>
      </c>
      <c r="B2581" t="s">
        <v>948</v>
      </c>
      <c r="C2581">
        <v>2</v>
      </c>
      <c r="D2581" t="s">
        <v>15</v>
      </c>
      <c r="E2581" t="s">
        <v>94</v>
      </c>
      <c r="F2581" t="s">
        <v>111</v>
      </c>
      <c r="G2581" t="s">
        <v>104</v>
      </c>
      <c r="H2581" t="s">
        <v>103</v>
      </c>
      <c r="J2581">
        <v>0</v>
      </c>
      <c r="K2581">
        <v>1</v>
      </c>
      <c r="L2581">
        <v>94.97142857</v>
      </c>
      <c r="M2581">
        <v>24.31591813</v>
      </c>
      <c r="N2581">
        <v>0.122951111</v>
      </c>
      <c r="O2581">
        <v>0.39050790000000002</v>
      </c>
      <c r="P2581">
        <v>98.291666669999998</v>
      </c>
      <c r="Q2581">
        <v>30.315130790000001</v>
      </c>
      <c r="R2581">
        <v>5.0803484000000003E-2</v>
      </c>
      <c r="S2581">
        <v>0.42866070000000001</v>
      </c>
      <c r="T2581" t="s">
        <v>1017</v>
      </c>
      <c r="U2581">
        <v>5.9992126600000004</v>
      </c>
    </row>
    <row r="2582" spans="1:21" x14ac:dyDescent="0.25">
      <c r="A2582" t="s">
        <v>39</v>
      </c>
      <c r="B2582" t="s">
        <v>948</v>
      </c>
      <c r="C2582">
        <v>2</v>
      </c>
      <c r="D2582" t="s">
        <v>15</v>
      </c>
      <c r="E2582" t="s">
        <v>94</v>
      </c>
      <c r="F2582" t="s">
        <v>111</v>
      </c>
      <c r="G2582" t="s">
        <v>104</v>
      </c>
      <c r="H2582" t="s">
        <v>104</v>
      </c>
      <c r="J2582">
        <v>0</v>
      </c>
      <c r="K2582">
        <v>1</v>
      </c>
      <c r="L2582">
        <v>94.97142857</v>
      </c>
      <c r="M2582">
        <v>24.31591813</v>
      </c>
      <c r="N2582">
        <v>0.122951111</v>
      </c>
      <c r="O2582">
        <v>0.39050790000000002</v>
      </c>
      <c r="P2582">
        <v>113.9375</v>
      </c>
      <c r="Q2582">
        <v>33.375507550000002</v>
      </c>
      <c r="R2582">
        <v>2.4262999999999999</v>
      </c>
      <c r="S2582">
        <v>0.40692159999999999</v>
      </c>
      <c r="T2582" t="s">
        <v>1017</v>
      </c>
      <c r="U2582">
        <v>9.05958942</v>
      </c>
    </row>
    <row r="2583" spans="1:21" x14ac:dyDescent="0.25">
      <c r="A2583" t="s">
        <v>39</v>
      </c>
      <c r="B2583" t="s">
        <v>949</v>
      </c>
      <c r="C2583">
        <v>2</v>
      </c>
      <c r="D2583" t="s">
        <v>15</v>
      </c>
      <c r="E2583" t="s">
        <v>94</v>
      </c>
      <c r="F2583" t="s">
        <v>104</v>
      </c>
      <c r="G2583" t="s">
        <v>104</v>
      </c>
      <c r="H2583" t="s">
        <v>104</v>
      </c>
      <c r="J2583">
        <v>0</v>
      </c>
      <c r="K2583">
        <v>3</v>
      </c>
      <c r="L2583">
        <v>113.9375</v>
      </c>
      <c r="M2583">
        <v>33.375507550000002</v>
      </c>
      <c r="N2583">
        <v>2.4262999999999999</v>
      </c>
      <c r="O2583">
        <v>0.40692159999999999</v>
      </c>
      <c r="P2583">
        <v>113.9375</v>
      </c>
      <c r="Q2583">
        <v>33.375507550000002</v>
      </c>
      <c r="R2583">
        <v>2.4262999999999999</v>
      </c>
      <c r="S2583">
        <v>0.40692159999999999</v>
      </c>
      <c r="T2583" t="s">
        <v>1017</v>
      </c>
      <c r="U2583">
        <v>0</v>
      </c>
    </row>
    <row r="2584" spans="1:21" x14ac:dyDescent="0.25">
      <c r="A2584" t="s">
        <v>39</v>
      </c>
      <c r="B2584" t="s">
        <v>949</v>
      </c>
      <c r="C2584">
        <v>2</v>
      </c>
      <c r="D2584" t="s">
        <v>15</v>
      </c>
      <c r="E2584" t="s">
        <v>94</v>
      </c>
      <c r="F2584" t="s">
        <v>104</v>
      </c>
      <c r="G2584" t="s">
        <v>104</v>
      </c>
      <c r="H2584" t="s">
        <v>104</v>
      </c>
      <c r="J2584">
        <v>0</v>
      </c>
      <c r="K2584">
        <v>3</v>
      </c>
      <c r="L2584">
        <v>113.9375</v>
      </c>
      <c r="M2584">
        <v>33.375507550000002</v>
      </c>
      <c r="N2584">
        <v>2.4262999999999999</v>
      </c>
      <c r="O2584">
        <v>0.40692159999999999</v>
      </c>
      <c r="P2584">
        <v>113.9375</v>
      </c>
      <c r="Q2584">
        <v>33.375507550000002</v>
      </c>
      <c r="R2584">
        <v>2.4262999999999999</v>
      </c>
      <c r="S2584">
        <v>0.40692159999999999</v>
      </c>
      <c r="T2584" t="s">
        <v>1017</v>
      </c>
      <c r="U2584">
        <v>0</v>
      </c>
    </row>
    <row r="2585" spans="1:21" x14ac:dyDescent="0.25">
      <c r="A2585" t="s">
        <v>39</v>
      </c>
      <c r="B2585" t="s">
        <v>949</v>
      </c>
      <c r="C2585">
        <v>2</v>
      </c>
      <c r="D2585" t="s">
        <v>15</v>
      </c>
      <c r="E2585" t="s">
        <v>94</v>
      </c>
      <c r="F2585" t="s">
        <v>104</v>
      </c>
      <c r="G2585" t="s">
        <v>104</v>
      </c>
      <c r="H2585" t="s">
        <v>104</v>
      </c>
      <c r="J2585">
        <v>0</v>
      </c>
      <c r="K2585">
        <v>3</v>
      </c>
      <c r="L2585">
        <v>113.9375</v>
      </c>
      <c r="M2585">
        <v>33.375507550000002</v>
      </c>
      <c r="N2585">
        <v>2.4262999999999999</v>
      </c>
      <c r="O2585">
        <v>0.40692159999999999</v>
      </c>
      <c r="P2585">
        <v>113.9375</v>
      </c>
      <c r="Q2585">
        <v>33.375507550000002</v>
      </c>
      <c r="R2585">
        <v>2.4262999999999999</v>
      </c>
      <c r="S2585">
        <v>0.40692159999999999</v>
      </c>
      <c r="T2585" t="s">
        <v>1017</v>
      </c>
      <c r="U2585">
        <v>0</v>
      </c>
    </row>
    <row r="2586" spans="1:21" x14ac:dyDescent="0.25">
      <c r="A2586" t="s">
        <v>39</v>
      </c>
      <c r="B2586" t="s">
        <v>949</v>
      </c>
      <c r="C2586">
        <v>2</v>
      </c>
      <c r="D2586" t="s">
        <v>15</v>
      </c>
      <c r="E2586" t="s">
        <v>94</v>
      </c>
      <c r="F2586" t="s">
        <v>104</v>
      </c>
      <c r="G2586" t="s">
        <v>104</v>
      </c>
      <c r="H2586" t="s">
        <v>113</v>
      </c>
      <c r="J2586">
        <v>0</v>
      </c>
      <c r="K2586">
        <v>1</v>
      </c>
      <c r="L2586">
        <v>113.9375</v>
      </c>
      <c r="M2586">
        <v>33.375507550000002</v>
      </c>
      <c r="N2586">
        <v>2.4262999999999999</v>
      </c>
      <c r="O2586">
        <v>0.40692159999999999</v>
      </c>
      <c r="P2586">
        <v>83.757575759999995</v>
      </c>
      <c r="Q2586">
        <v>22.60997987</v>
      </c>
      <c r="R2586">
        <v>0.72884000000000004</v>
      </c>
      <c r="S2586">
        <v>0.21301339999999999</v>
      </c>
      <c r="T2586" t="s">
        <v>1017</v>
      </c>
      <c r="U2586">
        <v>10.76552768</v>
      </c>
    </row>
    <row r="2587" spans="1:21" x14ac:dyDescent="0.25">
      <c r="A2587" t="s">
        <v>40</v>
      </c>
      <c r="B2587" t="s">
        <v>950</v>
      </c>
      <c r="C2587">
        <v>2</v>
      </c>
      <c r="D2587" t="s">
        <v>17</v>
      </c>
      <c r="E2587" t="s">
        <v>95</v>
      </c>
      <c r="F2587" t="s">
        <v>113</v>
      </c>
      <c r="G2587" t="s">
        <v>113</v>
      </c>
      <c r="H2587" t="s">
        <v>113</v>
      </c>
      <c r="J2587">
        <v>0</v>
      </c>
      <c r="K2587">
        <v>1</v>
      </c>
      <c r="L2587">
        <v>83.757575759999995</v>
      </c>
      <c r="M2587">
        <v>22.60997987</v>
      </c>
      <c r="N2587">
        <v>0.72884000000000004</v>
      </c>
      <c r="O2587">
        <v>0.21301339999999999</v>
      </c>
      <c r="P2587">
        <v>83.757575759999995</v>
      </c>
      <c r="Q2587">
        <v>22.60997987</v>
      </c>
      <c r="R2587">
        <v>0.72884000000000004</v>
      </c>
      <c r="S2587">
        <v>0.21301339999999999</v>
      </c>
      <c r="T2587" t="s">
        <v>1017</v>
      </c>
      <c r="U2587">
        <v>0</v>
      </c>
    </row>
    <row r="2588" spans="1:21" x14ac:dyDescent="0.25">
      <c r="A2588" t="s">
        <v>40</v>
      </c>
      <c r="B2588" t="s">
        <v>950</v>
      </c>
      <c r="C2588">
        <v>2</v>
      </c>
      <c r="D2588" t="s">
        <v>17</v>
      </c>
      <c r="E2588" t="s">
        <v>95</v>
      </c>
      <c r="F2588" t="s">
        <v>113</v>
      </c>
      <c r="G2588" t="s">
        <v>113</v>
      </c>
      <c r="H2588" t="s">
        <v>103</v>
      </c>
      <c r="J2588">
        <v>0</v>
      </c>
      <c r="K2588">
        <v>2</v>
      </c>
      <c r="L2588">
        <v>83.757575759999995</v>
      </c>
      <c r="M2588">
        <v>22.60997987</v>
      </c>
      <c r="N2588">
        <v>0.72884000000000004</v>
      </c>
      <c r="O2588">
        <v>0.21301339999999999</v>
      </c>
      <c r="P2588">
        <v>98.291666669999998</v>
      </c>
      <c r="Q2588">
        <v>30.315130790000001</v>
      </c>
      <c r="R2588">
        <v>5.0803484000000003E-2</v>
      </c>
      <c r="S2588">
        <v>0.42866070000000001</v>
      </c>
      <c r="T2588" t="s">
        <v>1017</v>
      </c>
      <c r="U2588">
        <v>7.7051509200000003</v>
      </c>
    </row>
    <row r="2589" spans="1:21" x14ac:dyDescent="0.25">
      <c r="A2589" t="s">
        <v>40</v>
      </c>
      <c r="B2589" t="s">
        <v>950</v>
      </c>
      <c r="C2589">
        <v>2</v>
      </c>
      <c r="D2589" t="s">
        <v>17</v>
      </c>
      <c r="E2589" t="s">
        <v>95</v>
      </c>
      <c r="F2589" t="s">
        <v>113</v>
      </c>
      <c r="G2589" t="s">
        <v>113</v>
      </c>
      <c r="H2589" t="s">
        <v>103</v>
      </c>
      <c r="J2589">
        <v>0</v>
      </c>
      <c r="K2589">
        <v>2</v>
      </c>
      <c r="L2589">
        <v>83.757575759999995</v>
      </c>
      <c r="M2589">
        <v>22.60997987</v>
      </c>
      <c r="N2589">
        <v>0.72884000000000004</v>
      </c>
      <c r="O2589">
        <v>0.21301339999999999</v>
      </c>
      <c r="P2589">
        <v>98.291666669999998</v>
      </c>
      <c r="Q2589">
        <v>30.315130790000001</v>
      </c>
      <c r="R2589">
        <v>5.0803484000000003E-2</v>
      </c>
      <c r="S2589">
        <v>0.42866070000000001</v>
      </c>
      <c r="T2589" t="s">
        <v>1017</v>
      </c>
      <c r="U2589">
        <v>7.7051509200000003</v>
      </c>
    </row>
    <row r="2590" spans="1:21" x14ac:dyDescent="0.25">
      <c r="A2590" t="s">
        <v>40</v>
      </c>
      <c r="B2590" t="s">
        <v>951</v>
      </c>
      <c r="C2590">
        <v>2</v>
      </c>
      <c r="D2590" t="s">
        <v>17</v>
      </c>
      <c r="E2590" t="s">
        <v>95</v>
      </c>
      <c r="F2590" t="s">
        <v>103</v>
      </c>
      <c r="G2590" t="s">
        <v>103</v>
      </c>
      <c r="H2590" t="s">
        <v>103</v>
      </c>
      <c r="J2590">
        <v>0</v>
      </c>
      <c r="K2590">
        <v>6</v>
      </c>
      <c r="L2590">
        <v>98.291666669999998</v>
      </c>
      <c r="M2590">
        <v>30.315130790000001</v>
      </c>
      <c r="N2590">
        <v>5.0803484000000003E-2</v>
      </c>
      <c r="O2590">
        <v>0.42866070000000001</v>
      </c>
      <c r="P2590">
        <v>98.291666669999998</v>
      </c>
      <c r="Q2590">
        <v>30.315130790000001</v>
      </c>
      <c r="R2590">
        <v>5.0803484000000003E-2</v>
      </c>
      <c r="S2590">
        <v>0.42866070000000001</v>
      </c>
      <c r="T2590" t="s">
        <v>1017</v>
      </c>
      <c r="U2590">
        <v>0</v>
      </c>
    </row>
    <row r="2591" spans="1:21" x14ac:dyDescent="0.25">
      <c r="A2591" t="s">
        <v>40</v>
      </c>
      <c r="B2591" t="s">
        <v>951</v>
      </c>
      <c r="C2591">
        <v>2</v>
      </c>
      <c r="D2591" t="s">
        <v>17</v>
      </c>
      <c r="E2591" t="s">
        <v>95</v>
      </c>
      <c r="F2591" t="s">
        <v>103</v>
      </c>
      <c r="G2591" t="s">
        <v>103</v>
      </c>
      <c r="H2591" t="s">
        <v>103</v>
      </c>
      <c r="J2591">
        <v>0</v>
      </c>
      <c r="K2591">
        <v>6</v>
      </c>
      <c r="L2591">
        <v>98.291666669999998</v>
      </c>
      <c r="M2591">
        <v>30.315130790000001</v>
      </c>
      <c r="N2591">
        <v>5.0803484000000003E-2</v>
      </c>
      <c r="O2591">
        <v>0.42866070000000001</v>
      </c>
      <c r="P2591">
        <v>98.291666669999998</v>
      </c>
      <c r="Q2591">
        <v>30.315130790000001</v>
      </c>
      <c r="R2591">
        <v>5.0803484000000003E-2</v>
      </c>
      <c r="S2591">
        <v>0.42866070000000001</v>
      </c>
      <c r="T2591" t="s">
        <v>1017</v>
      </c>
      <c r="U2591">
        <v>0</v>
      </c>
    </row>
    <row r="2592" spans="1:21" x14ac:dyDescent="0.25">
      <c r="A2592" t="s">
        <v>40</v>
      </c>
      <c r="B2592" t="s">
        <v>951</v>
      </c>
      <c r="C2592">
        <v>2</v>
      </c>
      <c r="D2592" t="s">
        <v>17</v>
      </c>
      <c r="E2592" t="s">
        <v>95</v>
      </c>
      <c r="F2592" t="s">
        <v>103</v>
      </c>
      <c r="G2592" t="s">
        <v>103</v>
      </c>
      <c r="H2592" t="s">
        <v>103</v>
      </c>
      <c r="J2592">
        <v>0</v>
      </c>
      <c r="K2592">
        <v>6</v>
      </c>
      <c r="L2592">
        <v>98.291666669999998</v>
      </c>
      <c r="M2592">
        <v>30.315130790000001</v>
      </c>
      <c r="N2592">
        <v>5.0803484000000003E-2</v>
      </c>
      <c r="O2592">
        <v>0.42866070000000001</v>
      </c>
      <c r="P2592">
        <v>98.291666669999998</v>
      </c>
      <c r="Q2592">
        <v>30.315130790000001</v>
      </c>
      <c r="R2592">
        <v>5.0803484000000003E-2</v>
      </c>
      <c r="S2592">
        <v>0.42866070000000001</v>
      </c>
      <c r="T2592" t="s">
        <v>1017</v>
      </c>
      <c r="U2592">
        <v>0</v>
      </c>
    </row>
    <row r="2593" spans="1:21" x14ac:dyDescent="0.25">
      <c r="A2593" t="s">
        <v>40</v>
      </c>
      <c r="B2593" t="s">
        <v>951</v>
      </c>
      <c r="C2593">
        <v>2</v>
      </c>
      <c r="D2593" t="s">
        <v>17</v>
      </c>
      <c r="E2593" t="s">
        <v>95</v>
      </c>
      <c r="F2593" t="s">
        <v>103</v>
      </c>
      <c r="G2593" t="s">
        <v>103</v>
      </c>
      <c r="H2593" t="s">
        <v>103</v>
      </c>
      <c r="J2593">
        <v>0</v>
      </c>
      <c r="K2593">
        <v>6</v>
      </c>
      <c r="L2593">
        <v>98.291666669999998</v>
      </c>
      <c r="M2593">
        <v>30.315130790000001</v>
      </c>
      <c r="N2593">
        <v>5.0803484000000003E-2</v>
      </c>
      <c r="O2593">
        <v>0.42866070000000001</v>
      </c>
      <c r="P2593">
        <v>98.291666669999998</v>
      </c>
      <c r="Q2593">
        <v>30.315130790000001</v>
      </c>
      <c r="R2593">
        <v>5.0803484000000003E-2</v>
      </c>
      <c r="S2593">
        <v>0.42866070000000001</v>
      </c>
      <c r="T2593" t="s">
        <v>1017</v>
      </c>
      <c r="U2593">
        <v>0</v>
      </c>
    </row>
    <row r="2594" spans="1:21" x14ac:dyDescent="0.25">
      <c r="A2594" t="s">
        <v>40</v>
      </c>
      <c r="B2594" t="s">
        <v>951</v>
      </c>
      <c r="C2594">
        <v>2</v>
      </c>
      <c r="D2594" t="s">
        <v>17</v>
      </c>
      <c r="E2594" t="s">
        <v>95</v>
      </c>
      <c r="F2594" t="s">
        <v>103</v>
      </c>
      <c r="G2594" t="s">
        <v>103</v>
      </c>
      <c r="H2594" t="s">
        <v>103</v>
      </c>
      <c r="J2594">
        <v>0</v>
      </c>
      <c r="K2594">
        <v>6</v>
      </c>
      <c r="L2594">
        <v>98.291666669999998</v>
      </c>
      <c r="M2594">
        <v>30.315130790000001</v>
      </c>
      <c r="N2594">
        <v>5.0803484000000003E-2</v>
      </c>
      <c r="O2594">
        <v>0.42866070000000001</v>
      </c>
      <c r="P2594">
        <v>98.291666669999998</v>
      </c>
      <c r="Q2594">
        <v>30.315130790000001</v>
      </c>
      <c r="R2594">
        <v>5.0803484000000003E-2</v>
      </c>
      <c r="S2594">
        <v>0.42866070000000001</v>
      </c>
      <c r="T2594" t="s">
        <v>1017</v>
      </c>
      <c r="U2594">
        <v>0</v>
      </c>
    </row>
    <row r="2595" spans="1:21" x14ac:dyDescent="0.25">
      <c r="A2595" t="s">
        <v>40</v>
      </c>
      <c r="B2595" t="s">
        <v>951</v>
      </c>
      <c r="C2595">
        <v>2</v>
      </c>
      <c r="D2595" t="s">
        <v>17</v>
      </c>
      <c r="E2595" t="s">
        <v>95</v>
      </c>
      <c r="F2595" t="s">
        <v>103</v>
      </c>
      <c r="G2595" t="s">
        <v>103</v>
      </c>
      <c r="H2595" t="s">
        <v>103</v>
      </c>
      <c r="J2595">
        <v>0</v>
      </c>
      <c r="K2595">
        <v>6</v>
      </c>
      <c r="L2595">
        <v>98.291666669999998</v>
      </c>
      <c r="M2595">
        <v>30.315130790000001</v>
      </c>
      <c r="N2595">
        <v>5.0803484000000003E-2</v>
      </c>
      <c r="O2595">
        <v>0.42866070000000001</v>
      </c>
      <c r="P2595">
        <v>98.291666669999998</v>
      </c>
      <c r="Q2595">
        <v>30.315130790000001</v>
      </c>
      <c r="R2595">
        <v>5.0803484000000003E-2</v>
      </c>
      <c r="S2595">
        <v>0.42866070000000001</v>
      </c>
      <c r="T2595" t="s">
        <v>1017</v>
      </c>
      <c r="U2595">
        <v>0</v>
      </c>
    </row>
    <row r="2596" spans="1:21" x14ac:dyDescent="0.25">
      <c r="A2596" t="s">
        <v>40</v>
      </c>
      <c r="B2596" t="s">
        <v>952</v>
      </c>
      <c r="C2596">
        <v>2</v>
      </c>
      <c r="D2596" t="s">
        <v>17</v>
      </c>
      <c r="E2596" t="s">
        <v>95</v>
      </c>
      <c r="F2596" t="s">
        <v>112</v>
      </c>
      <c r="G2596" t="s">
        <v>103</v>
      </c>
      <c r="H2596" t="s">
        <v>103</v>
      </c>
      <c r="I2596" t="s">
        <v>243</v>
      </c>
      <c r="J2596">
        <v>1</v>
      </c>
      <c r="K2596">
        <v>7</v>
      </c>
      <c r="L2596">
        <v>65.09375</v>
      </c>
      <c r="M2596">
        <v>37.895352600000002</v>
      </c>
      <c r="N2596">
        <v>2.2882677779999998</v>
      </c>
      <c r="O2596">
        <v>2.2111774</v>
      </c>
      <c r="P2596">
        <v>98.291666669999998</v>
      </c>
      <c r="Q2596">
        <v>30.315130790000001</v>
      </c>
      <c r="R2596">
        <v>5.0803484000000003E-2</v>
      </c>
      <c r="S2596">
        <v>0.42866070000000001</v>
      </c>
      <c r="T2596" t="s">
        <v>1017</v>
      </c>
      <c r="U2596">
        <v>7.5802218100000003</v>
      </c>
    </row>
    <row r="2597" spans="1:21" x14ac:dyDescent="0.25">
      <c r="A2597" t="s">
        <v>40</v>
      </c>
      <c r="B2597" t="s">
        <v>952</v>
      </c>
      <c r="C2597">
        <v>2</v>
      </c>
      <c r="D2597" t="s">
        <v>17</v>
      </c>
      <c r="E2597" t="s">
        <v>95</v>
      </c>
      <c r="F2597" t="s">
        <v>112</v>
      </c>
      <c r="G2597" t="s">
        <v>103</v>
      </c>
      <c r="H2597" t="s">
        <v>103</v>
      </c>
      <c r="I2597" t="s">
        <v>243</v>
      </c>
      <c r="J2597">
        <v>1</v>
      </c>
      <c r="K2597">
        <v>7</v>
      </c>
      <c r="L2597">
        <v>65.09375</v>
      </c>
      <c r="M2597">
        <v>37.895352600000002</v>
      </c>
      <c r="N2597">
        <v>2.2882677779999998</v>
      </c>
      <c r="O2597">
        <v>2.2111774</v>
      </c>
      <c r="P2597">
        <v>98.291666669999998</v>
      </c>
      <c r="Q2597">
        <v>30.315130790000001</v>
      </c>
      <c r="R2597">
        <v>5.0803484000000003E-2</v>
      </c>
      <c r="S2597">
        <v>0.42866070000000001</v>
      </c>
      <c r="T2597" t="s">
        <v>1017</v>
      </c>
      <c r="U2597">
        <v>7.5802218100000003</v>
      </c>
    </row>
    <row r="2598" spans="1:21" x14ac:dyDescent="0.25">
      <c r="A2598" t="s">
        <v>40</v>
      </c>
      <c r="B2598" t="s">
        <v>952</v>
      </c>
      <c r="C2598">
        <v>2</v>
      </c>
      <c r="D2598" t="s">
        <v>17</v>
      </c>
      <c r="E2598" t="s">
        <v>95</v>
      </c>
      <c r="F2598" t="s">
        <v>112</v>
      </c>
      <c r="G2598" t="s">
        <v>103</v>
      </c>
      <c r="H2598" t="s">
        <v>103</v>
      </c>
      <c r="I2598" t="s">
        <v>243</v>
      </c>
      <c r="J2598">
        <v>1</v>
      </c>
      <c r="K2598">
        <v>7</v>
      </c>
      <c r="L2598">
        <v>65.09375</v>
      </c>
      <c r="M2598">
        <v>37.895352600000002</v>
      </c>
      <c r="N2598">
        <v>2.2882677779999998</v>
      </c>
      <c r="O2598">
        <v>2.2111774</v>
      </c>
      <c r="P2598">
        <v>98.291666669999998</v>
      </c>
      <c r="Q2598">
        <v>30.315130790000001</v>
      </c>
      <c r="R2598">
        <v>5.0803484000000003E-2</v>
      </c>
      <c r="S2598">
        <v>0.42866070000000001</v>
      </c>
      <c r="T2598" t="s">
        <v>1017</v>
      </c>
      <c r="U2598">
        <v>7.5802218100000003</v>
      </c>
    </row>
    <row r="2599" spans="1:21" x14ac:dyDescent="0.25">
      <c r="A2599" t="s">
        <v>40</v>
      </c>
      <c r="B2599" t="s">
        <v>952</v>
      </c>
      <c r="C2599">
        <v>2</v>
      </c>
      <c r="D2599" t="s">
        <v>17</v>
      </c>
      <c r="E2599" t="s">
        <v>95</v>
      </c>
      <c r="F2599" t="s">
        <v>112</v>
      </c>
      <c r="G2599" t="s">
        <v>103</v>
      </c>
      <c r="H2599" t="s">
        <v>103</v>
      </c>
      <c r="I2599" t="s">
        <v>243</v>
      </c>
      <c r="J2599">
        <v>1</v>
      </c>
      <c r="K2599">
        <v>7</v>
      </c>
      <c r="L2599">
        <v>65.09375</v>
      </c>
      <c r="M2599">
        <v>37.895352600000002</v>
      </c>
      <c r="N2599">
        <v>2.2882677779999998</v>
      </c>
      <c r="O2599">
        <v>2.2111774</v>
      </c>
      <c r="P2599">
        <v>98.291666669999998</v>
      </c>
      <c r="Q2599">
        <v>30.315130790000001</v>
      </c>
      <c r="R2599">
        <v>5.0803484000000003E-2</v>
      </c>
      <c r="S2599">
        <v>0.42866070000000001</v>
      </c>
      <c r="T2599" t="s">
        <v>1017</v>
      </c>
      <c r="U2599">
        <v>7.5802218100000003</v>
      </c>
    </row>
    <row r="2600" spans="1:21" x14ac:dyDescent="0.25">
      <c r="A2600" t="s">
        <v>40</v>
      </c>
      <c r="B2600" t="s">
        <v>952</v>
      </c>
      <c r="C2600">
        <v>2</v>
      </c>
      <c r="D2600" t="s">
        <v>17</v>
      </c>
      <c r="E2600" t="s">
        <v>95</v>
      </c>
      <c r="F2600" t="s">
        <v>112</v>
      </c>
      <c r="G2600" t="s">
        <v>103</v>
      </c>
      <c r="H2600" t="s">
        <v>103</v>
      </c>
      <c r="I2600" t="s">
        <v>243</v>
      </c>
      <c r="J2600">
        <v>1</v>
      </c>
      <c r="K2600">
        <v>7</v>
      </c>
      <c r="L2600">
        <v>65.09375</v>
      </c>
      <c r="M2600">
        <v>37.895352600000002</v>
      </c>
      <c r="N2600">
        <v>2.2882677779999998</v>
      </c>
      <c r="O2600">
        <v>2.2111774</v>
      </c>
      <c r="P2600">
        <v>98.291666669999998</v>
      </c>
      <c r="Q2600">
        <v>30.315130790000001</v>
      </c>
      <c r="R2600">
        <v>5.0803484000000003E-2</v>
      </c>
      <c r="S2600">
        <v>0.42866070000000001</v>
      </c>
      <c r="T2600" t="s">
        <v>1017</v>
      </c>
      <c r="U2600">
        <v>7.5802218100000003</v>
      </c>
    </row>
    <row r="2601" spans="1:21" x14ac:dyDescent="0.25">
      <c r="A2601" t="s">
        <v>40</v>
      </c>
      <c r="B2601" t="s">
        <v>952</v>
      </c>
      <c r="C2601">
        <v>2</v>
      </c>
      <c r="D2601" t="s">
        <v>17</v>
      </c>
      <c r="E2601" t="s">
        <v>95</v>
      </c>
      <c r="F2601" t="s">
        <v>112</v>
      </c>
      <c r="G2601" t="s">
        <v>103</v>
      </c>
      <c r="H2601" t="s">
        <v>103</v>
      </c>
      <c r="I2601" t="s">
        <v>243</v>
      </c>
      <c r="J2601">
        <v>1</v>
      </c>
      <c r="K2601">
        <v>7</v>
      </c>
      <c r="L2601">
        <v>65.09375</v>
      </c>
      <c r="M2601">
        <v>37.895352600000002</v>
      </c>
      <c r="N2601">
        <v>2.2882677779999998</v>
      </c>
      <c r="O2601">
        <v>2.2111774</v>
      </c>
      <c r="P2601">
        <v>98.291666669999998</v>
      </c>
      <c r="Q2601">
        <v>30.315130790000001</v>
      </c>
      <c r="R2601">
        <v>5.0803484000000003E-2</v>
      </c>
      <c r="S2601">
        <v>0.42866070000000001</v>
      </c>
      <c r="T2601" t="s">
        <v>1017</v>
      </c>
      <c r="U2601">
        <v>7.5802218100000003</v>
      </c>
    </row>
    <row r="2602" spans="1:21" x14ac:dyDescent="0.25">
      <c r="A2602" t="s">
        <v>40</v>
      </c>
      <c r="B2602" t="s">
        <v>952</v>
      </c>
      <c r="C2602">
        <v>2</v>
      </c>
      <c r="D2602" t="s">
        <v>17</v>
      </c>
      <c r="E2602" t="s">
        <v>95</v>
      </c>
      <c r="F2602" t="s">
        <v>112</v>
      </c>
      <c r="G2602" t="s">
        <v>103</v>
      </c>
      <c r="H2602" t="s">
        <v>103</v>
      </c>
      <c r="I2602" t="s">
        <v>243</v>
      </c>
      <c r="J2602">
        <v>1</v>
      </c>
      <c r="K2602">
        <v>7</v>
      </c>
      <c r="L2602">
        <v>65.09375</v>
      </c>
      <c r="M2602">
        <v>37.895352600000002</v>
      </c>
      <c r="N2602">
        <v>2.2882677779999998</v>
      </c>
      <c r="O2602">
        <v>2.2111774</v>
      </c>
      <c r="P2602">
        <v>98.291666669999998</v>
      </c>
      <c r="Q2602">
        <v>30.315130790000001</v>
      </c>
      <c r="R2602">
        <v>5.0803484000000003E-2</v>
      </c>
      <c r="S2602">
        <v>0.42866070000000001</v>
      </c>
      <c r="T2602" t="s">
        <v>1017</v>
      </c>
      <c r="U2602">
        <v>7.5802218100000003</v>
      </c>
    </row>
    <row r="2603" spans="1:21" x14ac:dyDescent="0.25">
      <c r="A2603" t="s">
        <v>40</v>
      </c>
      <c r="B2603" t="s">
        <v>952</v>
      </c>
      <c r="C2603">
        <v>2</v>
      </c>
      <c r="D2603" t="s">
        <v>17</v>
      </c>
      <c r="E2603" t="s">
        <v>95</v>
      </c>
      <c r="F2603" t="s">
        <v>112</v>
      </c>
      <c r="G2603" t="s">
        <v>103</v>
      </c>
      <c r="H2603" t="s">
        <v>113</v>
      </c>
      <c r="J2603">
        <v>1</v>
      </c>
      <c r="K2603">
        <v>5</v>
      </c>
      <c r="L2603">
        <v>65.09375</v>
      </c>
      <c r="M2603">
        <v>37.895352600000002</v>
      </c>
      <c r="N2603">
        <v>2.2882677779999998</v>
      </c>
      <c r="O2603">
        <v>2.2111774</v>
      </c>
      <c r="P2603">
        <v>83.757575759999995</v>
      </c>
      <c r="Q2603">
        <v>22.60997987</v>
      </c>
      <c r="R2603">
        <v>0.72884000000000004</v>
      </c>
      <c r="S2603">
        <v>0.21301339999999999</v>
      </c>
      <c r="T2603" t="s">
        <v>1017</v>
      </c>
      <c r="U2603">
        <v>15.285372730000001</v>
      </c>
    </row>
    <row r="2604" spans="1:21" x14ac:dyDescent="0.25">
      <c r="A2604" t="s">
        <v>40</v>
      </c>
      <c r="B2604" t="s">
        <v>952</v>
      </c>
      <c r="C2604">
        <v>2</v>
      </c>
      <c r="D2604" t="s">
        <v>17</v>
      </c>
      <c r="E2604" t="s">
        <v>95</v>
      </c>
      <c r="F2604" t="s">
        <v>112</v>
      </c>
      <c r="G2604" t="s">
        <v>103</v>
      </c>
      <c r="H2604" t="s">
        <v>113</v>
      </c>
      <c r="J2604">
        <v>1</v>
      </c>
      <c r="K2604">
        <v>5</v>
      </c>
      <c r="L2604">
        <v>65.09375</v>
      </c>
      <c r="M2604">
        <v>37.895352600000002</v>
      </c>
      <c r="N2604">
        <v>2.2882677779999998</v>
      </c>
      <c r="O2604">
        <v>2.2111774</v>
      </c>
      <c r="P2604">
        <v>83.757575759999995</v>
      </c>
      <c r="Q2604">
        <v>22.60997987</v>
      </c>
      <c r="R2604">
        <v>0.72884000000000004</v>
      </c>
      <c r="S2604">
        <v>0.21301339999999999</v>
      </c>
      <c r="T2604" t="s">
        <v>1017</v>
      </c>
      <c r="U2604">
        <v>15.285372730000001</v>
      </c>
    </row>
    <row r="2605" spans="1:21" x14ac:dyDescent="0.25">
      <c r="A2605" t="s">
        <v>40</v>
      </c>
      <c r="B2605" t="s">
        <v>952</v>
      </c>
      <c r="C2605">
        <v>2</v>
      </c>
      <c r="D2605" t="s">
        <v>17</v>
      </c>
      <c r="E2605" t="s">
        <v>95</v>
      </c>
      <c r="F2605" t="s">
        <v>112</v>
      </c>
      <c r="G2605" t="s">
        <v>103</v>
      </c>
      <c r="H2605" t="s">
        <v>113</v>
      </c>
      <c r="J2605">
        <v>1</v>
      </c>
      <c r="K2605">
        <v>5</v>
      </c>
      <c r="L2605">
        <v>65.09375</v>
      </c>
      <c r="M2605">
        <v>37.895352600000002</v>
      </c>
      <c r="N2605">
        <v>2.2882677779999998</v>
      </c>
      <c r="O2605">
        <v>2.2111774</v>
      </c>
      <c r="P2605">
        <v>83.757575759999995</v>
      </c>
      <c r="Q2605">
        <v>22.60997987</v>
      </c>
      <c r="R2605">
        <v>0.72884000000000004</v>
      </c>
      <c r="S2605">
        <v>0.21301339999999999</v>
      </c>
      <c r="T2605" t="s">
        <v>1017</v>
      </c>
      <c r="U2605">
        <v>15.285372730000001</v>
      </c>
    </row>
    <row r="2606" spans="1:21" x14ac:dyDescent="0.25">
      <c r="A2606" t="s">
        <v>40</v>
      </c>
      <c r="B2606" t="s">
        <v>952</v>
      </c>
      <c r="C2606">
        <v>2</v>
      </c>
      <c r="D2606" t="s">
        <v>17</v>
      </c>
      <c r="E2606" t="s">
        <v>95</v>
      </c>
      <c r="F2606" t="s">
        <v>112</v>
      </c>
      <c r="G2606" t="s">
        <v>103</v>
      </c>
      <c r="H2606" t="s">
        <v>113</v>
      </c>
      <c r="J2606">
        <v>1</v>
      </c>
      <c r="K2606">
        <v>5</v>
      </c>
      <c r="L2606">
        <v>65.09375</v>
      </c>
      <c r="M2606">
        <v>37.895352600000002</v>
      </c>
      <c r="N2606">
        <v>2.2882677779999998</v>
      </c>
      <c r="O2606">
        <v>2.2111774</v>
      </c>
      <c r="P2606">
        <v>83.757575759999995</v>
      </c>
      <c r="Q2606">
        <v>22.60997987</v>
      </c>
      <c r="R2606">
        <v>0.72884000000000004</v>
      </c>
      <c r="S2606">
        <v>0.21301339999999999</v>
      </c>
      <c r="T2606" t="s">
        <v>1017</v>
      </c>
      <c r="U2606">
        <v>15.285372730000001</v>
      </c>
    </row>
    <row r="2607" spans="1:21" x14ac:dyDescent="0.25">
      <c r="A2607" t="s">
        <v>40</v>
      </c>
      <c r="B2607" t="s">
        <v>952</v>
      </c>
      <c r="C2607">
        <v>2</v>
      </c>
      <c r="D2607" t="s">
        <v>17</v>
      </c>
      <c r="E2607" t="s">
        <v>95</v>
      </c>
      <c r="F2607" t="s">
        <v>112</v>
      </c>
      <c r="G2607" t="s">
        <v>103</v>
      </c>
      <c r="H2607" t="s">
        <v>113</v>
      </c>
      <c r="J2607">
        <v>1</v>
      </c>
      <c r="K2607">
        <v>5</v>
      </c>
      <c r="L2607">
        <v>65.09375</v>
      </c>
      <c r="M2607">
        <v>37.895352600000002</v>
      </c>
      <c r="N2607">
        <v>2.2882677779999998</v>
      </c>
      <c r="O2607">
        <v>2.2111774</v>
      </c>
      <c r="P2607">
        <v>83.757575759999995</v>
      </c>
      <c r="Q2607">
        <v>22.60997987</v>
      </c>
      <c r="R2607">
        <v>0.72884000000000004</v>
      </c>
      <c r="S2607">
        <v>0.21301339999999999</v>
      </c>
      <c r="T2607" t="s">
        <v>1017</v>
      </c>
      <c r="U2607">
        <v>15.285372730000001</v>
      </c>
    </row>
    <row r="2608" spans="1:21" x14ac:dyDescent="0.25">
      <c r="A2608" t="s">
        <v>41</v>
      </c>
      <c r="B2608" t="s">
        <v>953</v>
      </c>
      <c r="C2608">
        <v>2</v>
      </c>
      <c r="D2608" t="s">
        <v>19</v>
      </c>
      <c r="E2608" t="s">
        <v>94</v>
      </c>
      <c r="F2608" t="s">
        <v>105</v>
      </c>
      <c r="G2608" t="s">
        <v>104</v>
      </c>
      <c r="H2608" t="s">
        <v>104</v>
      </c>
      <c r="J2608">
        <v>0</v>
      </c>
      <c r="K2608">
        <v>3</v>
      </c>
      <c r="L2608">
        <v>67.5</v>
      </c>
      <c r="M2608">
        <v>47.937235809999997</v>
      </c>
      <c r="N2608">
        <v>0.41599678000000001</v>
      </c>
      <c r="O2608">
        <v>2.0950346999999998</v>
      </c>
      <c r="P2608">
        <v>113.9375</v>
      </c>
      <c r="Q2608">
        <v>33.375507550000002</v>
      </c>
      <c r="R2608">
        <v>2.4262999999999999</v>
      </c>
      <c r="S2608">
        <v>0.40692159999999999</v>
      </c>
      <c r="T2608" t="s">
        <v>1017</v>
      </c>
      <c r="U2608">
        <v>14.561728260000001</v>
      </c>
    </row>
    <row r="2609" spans="1:21" x14ac:dyDescent="0.25">
      <c r="A2609" t="s">
        <v>41</v>
      </c>
      <c r="B2609" t="s">
        <v>953</v>
      </c>
      <c r="C2609">
        <v>2</v>
      </c>
      <c r="D2609" t="s">
        <v>19</v>
      </c>
      <c r="E2609" t="s">
        <v>94</v>
      </c>
      <c r="F2609" t="s">
        <v>105</v>
      </c>
      <c r="G2609" t="s">
        <v>104</v>
      </c>
      <c r="H2609" t="s">
        <v>104</v>
      </c>
      <c r="J2609">
        <v>0</v>
      </c>
      <c r="K2609">
        <v>3</v>
      </c>
      <c r="L2609">
        <v>67.5</v>
      </c>
      <c r="M2609">
        <v>47.937235809999997</v>
      </c>
      <c r="N2609">
        <v>0.41599678000000001</v>
      </c>
      <c r="O2609">
        <v>2.0950346999999998</v>
      </c>
      <c r="P2609">
        <v>113.9375</v>
      </c>
      <c r="Q2609">
        <v>33.375507550000002</v>
      </c>
      <c r="R2609">
        <v>2.4262999999999999</v>
      </c>
      <c r="S2609">
        <v>0.40692159999999999</v>
      </c>
      <c r="T2609" t="s">
        <v>1017</v>
      </c>
      <c r="U2609">
        <v>14.561728260000001</v>
      </c>
    </row>
    <row r="2610" spans="1:21" x14ac:dyDescent="0.25">
      <c r="A2610" t="s">
        <v>41</v>
      </c>
      <c r="B2610" t="s">
        <v>953</v>
      </c>
      <c r="C2610">
        <v>2</v>
      </c>
      <c r="D2610" t="s">
        <v>19</v>
      </c>
      <c r="E2610" t="s">
        <v>94</v>
      </c>
      <c r="F2610" t="s">
        <v>105</v>
      </c>
      <c r="G2610" t="s">
        <v>104</v>
      </c>
      <c r="H2610" t="s">
        <v>104</v>
      </c>
      <c r="J2610">
        <v>0</v>
      </c>
      <c r="K2610">
        <v>3</v>
      </c>
      <c r="L2610">
        <v>67.5</v>
      </c>
      <c r="M2610">
        <v>47.937235809999997</v>
      </c>
      <c r="N2610">
        <v>0.41599678000000001</v>
      </c>
      <c r="O2610">
        <v>2.0950346999999998</v>
      </c>
      <c r="P2610">
        <v>113.9375</v>
      </c>
      <c r="Q2610">
        <v>33.375507550000002</v>
      </c>
      <c r="R2610">
        <v>2.4262999999999999</v>
      </c>
      <c r="S2610">
        <v>0.40692159999999999</v>
      </c>
      <c r="T2610" t="s">
        <v>1017</v>
      </c>
      <c r="U2610">
        <v>14.561728260000001</v>
      </c>
    </row>
    <row r="2611" spans="1:21" x14ac:dyDescent="0.25">
      <c r="A2611" t="s">
        <v>41</v>
      </c>
      <c r="B2611" t="s">
        <v>953</v>
      </c>
      <c r="C2611">
        <v>2</v>
      </c>
      <c r="D2611" t="s">
        <v>19</v>
      </c>
      <c r="E2611" t="s">
        <v>94</v>
      </c>
      <c r="F2611" t="s">
        <v>105</v>
      </c>
      <c r="G2611" t="s">
        <v>104</v>
      </c>
      <c r="H2611" t="s">
        <v>113</v>
      </c>
      <c r="J2611">
        <v>0</v>
      </c>
      <c r="K2611">
        <v>1</v>
      </c>
      <c r="L2611">
        <v>67.5</v>
      </c>
      <c r="M2611">
        <v>47.937235809999997</v>
      </c>
      <c r="N2611">
        <v>0.41599678000000001</v>
      </c>
      <c r="O2611">
        <v>2.0950346999999998</v>
      </c>
      <c r="P2611">
        <v>83.757575759999995</v>
      </c>
      <c r="Q2611">
        <v>22.60997987</v>
      </c>
      <c r="R2611">
        <v>0.72884000000000004</v>
      </c>
      <c r="S2611">
        <v>0.21301339999999999</v>
      </c>
      <c r="T2611" t="s">
        <v>1017</v>
      </c>
      <c r="U2611">
        <v>25.327255940000001</v>
      </c>
    </row>
    <row r="2612" spans="1:21" x14ac:dyDescent="0.25">
      <c r="A2612" t="s">
        <v>41</v>
      </c>
      <c r="B2612" t="s">
        <v>953</v>
      </c>
      <c r="C2612">
        <v>2</v>
      </c>
      <c r="D2612" t="s">
        <v>19</v>
      </c>
      <c r="E2612" t="s">
        <v>94</v>
      </c>
      <c r="F2612" t="s">
        <v>105</v>
      </c>
      <c r="G2612" t="s">
        <v>104</v>
      </c>
      <c r="H2612" t="s">
        <v>237</v>
      </c>
      <c r="J2612">
        <v>0</v>
      </c>
      <c r="K2612">
        <v>1</v>
      </c>
      <c r="L2612">
        <v>67.5</v>
      </c>
      <c r="M2612">
        <v>47.937235809999997</v>
      </c>
      <c r="N2612">
        <v>0.41599678000000001</v>
      </c>
      <c r="O2612">
        <v>2.0950346999999998</v>
      </c>
      <c r="P2612">
        <v>83.888888890000004</v>
      </c>
      <c r="Q2612">
        <v>31.026943280000001</v>
      </c>
      <c r="R2612">
        <v>0.53083999999999998</v>
      </c>
      <c r="S2612">
        <v>0.24845418999999999</v>
      </c>
      <c r="T2612" t="s">
        <v>1017</v>
      </c>
      <c r="U2612">
        <v>16.91029253</v>
      </c>
    </row>
    <row r="2613" spans="1:21" x14ac:dyDescent="0.25">
      <c r="A2613" t="s">
        <v>41</v>
      </c>
      <c r="B2613" t="s">
        <v>953</v>
      </c>
      <c r="C2613">
        <v>2</v>
      </c>
      <c r="D2613" t="s">
        <v>19</v>
      </c>
      <c r="E2613" t="s">
        <v>94</v>
      </c>
      <c r="F2613" t="s">
        <v>105</v>
      </c>
      <c r="G2613" t="s">
        <v>104</v>
      </c>
      <c r="H2613" t="s">
        <v>239</v>
      </c>
      <c r="J2613">
        <v>0</v>
      </c>
      <c r="K2613">
        <v>1</v>
      </c>
      <c r="L2613">
        <v>67.5</v>
      </c>
      <c r="M2613">
        <v>47.937235809999997</v>
      </c>
      <c r="N2613">
        <v>0.41599678000000001</v>
      </c>
      <c r="O2613">
        <v>2.0950346999999998</v>
      </c>
      <c r="P2613">
        <v>100.45454549999999</v>
      </c>
      <c r="Q2613">
        <v>26.754810689999999</v>
      </c>
      <c r="R2613">
        <v>0.75829999999999997</v>
      </c>
      <c r="S2613">
        <v>0.40907861000000001</v>
      </c>
      <c r="T2613" t="s">
        <v>1017</v>
      </c>
      <c r="U2613">
        <v>21.182425120000001</v>
      </c>
    </row>
    <row r="2614" spans="1:21" x14ac:dyDescent="0.25">
      <c r="A2614" t="s">
        <v>41</v>
      </c>
      <c r="B2614" t="s">
        <v>954</v>
      </c>
      <c r="C2614">
        <v>2</v>
      </c>
      <c r="D2614" t="s">
        <v>19</v>
      </c>
      <c r="E2614" t="s">
        <v>94</v>
      </c>
      <c r="F2614" t="s">
        <v>113</v>
      </c>
      <c r="G2614" t="s">
        <v>104</v>
      </c>
      <c r="H2614" t="s">
        <v>237</v>
      </c>
      <c r="J2614">
        <v>0</v>
      </c>
      <c r="K2614">
        <v>1</v>
      </c>
      <c r="L2614">
        <v>83.757575759999995</v>
      </c>
      <c r="M2614">
        <v>22.60997987</v>
      </c>
      <c r="N2614">
        <v>0.72884000000000004</v>
      </c>
      <c r="O2614">
        <v>0.21301339999999999</v>
      </c>
      <c r="P2614">
        <v>83.888888890000004</v>
      </c>
      <c r="Q2614">
        <v>31.026943280000001</v>
      </c>
      <c r="R2614">
        <v>0.53083999999999998</v>
      </c>
      <c r="S2614">
        <v>0.24845418999999999</v>
      </c>
      <c r="T2614" t="s">
        <v>1017</v>
      </c>
      <c r="U2614">
        <v>8.4169634099999993</v>
      </c>
    </row>
    <row r="2615" spans="1:21" x14ac:dyDescent="0.25">
      <c r="A2615" t="s">
        <v>41</v>
      </c>
      <c r="B2615" t="s">
        <v>954</v>
      </c>
      <c r="C2615">
        <v>2</v>
      </c>
      <c r="D2615" t="s">
        <v>19</v>
      </c>
      <c r="E2615" t="s">
        <v>94</v>
      </c>
      <c r="F2615" t="s">
        <v>113</v>
      </c>
      <c r="G2615" t="s">
        <v>104</v>
      </c>
      <c r="H2615" t="s">
        <v>113</v>
      </c>
      <c r="J2615">
        <v>0</v>
      </c>
      <c r="K2615">
        <v>7</v>
      </c>
      <c r="L2615">
        <v>83.757575759999995</v>
      </c>
      <c r="M2615">
        <v>22.60997987</v>
      </c>
      <c r="N2615">
        <v>0.72884000000000004</v>
      </c>
      <c r="O2615">
        <v>0.21301339999999999</v>
      </c>
      <c r="P2615">
        <v>83.757575759999995</v>
      </c>
      <c r="Q2615">
        <v>22.60997987</v>
      </c>
      <c r="R2615">
        <v>0.72884000000000004</v>
      </c>
      <c r="S2615">
        <v>0.21301339999999999</v>
      </c>
      <c r="T2615" t="s">
        <v>1017</v>
      </c>
      <c r="U2615">
        <v>0</v>
      </c>
    </row>
    <row r="2616" spans="1:21" x14ac:dyDescent="0.25">
      <c r="A2616" t="s">
        <v>41</v>
      </c>
      <c r="B2616" t="s">
        <v>954</v>
      </c>
      <c r="C2616">
        <v>2</v>
      </c>
      <c r="D2616" t="s">
        <v>19</v>
      </c>
      <c r="E2616" t="s">
        <v>94</v>
      </c>
      <c r="F2616" t="s">
        <v>113</v>
      </c>
      <c r="G2616" t="s">
        <v>104</v>
      </c>
      <c r="H2616" t="s">
        <v>113</v>
      </c>
      <c r="J2616">
        <v>0</v>
      </c>
      <c r="K2616">
        <v>7</v>
      </c>
      <c r="L2616">
        <v>83.757575759999995</v>
      </c>
      <c r="M2616">
        <v>22.60997987</v>
      </c>
      <c r="N2616">
        <v>0.72884000000000004</v>
      </c>
      <c r="O2616">
        <v>0.21301339999999999</v>
      </c>
      <c r="P2616">
        <v>83.757575759999995</v>
      </c>
      <c r="Q2616">
        <v>22.60997987</v>
      </c>
      <c r="R2616">
        <v>0.72884000000000004</v>
      </c>
      <c r="S2616">
        <v>0.21301339999999999</v>
      </c>
      <c r="T2616" t="s">
        <v>1017</v>
      </c>
      <c r="U2616">
        <v>0</v>
      </c>
    </row>
    <row r="2617" spans="1:21" x14ac:dyDescent="0.25">
      <c r="A2617" t="s">
        <v>41</v>
      </c>
      <c r="B2617" t="s">
        <v>954</v>
      </c>
      <c r="C2617">
        <v>2</v>
      </c>
      <c r="D2617" t="s">
        <v>19</v>
      </c>
      <c r="E2617" t="s">
        <v>94</v>
      </c>
      <c r="F2617" t="s">
        <v>113</v>
      </c>
      <c r="G2617" t="s">
        <v>104</v>
      </c>
      <c r="H2617" t="s">
        <v>113</v>
      </c>
      <c r="J2617">
        <v>0</v>
      </c>
      <c r="K2617">
        <v>7</v>
      </c>
      <c r="L2617">
        <v>83.757575759999995</v>
      </c>
      <c r="M2617">
        <v>22.60997987</v>
      </c>
      <c r="N2617">
        <v>0.72884000000000004</v>
      </c>
      <c r="O2617">
        <v>0.21301339999999999</v>
      </c>
      <c r="P2617">
        <v>83.757575759999995</v>
      </c>
      <c r="Q2617">
        <v>22.60997987</v>
      </c>
      <c r="R2617">
        <v>0.72884000000000004</v>
      </c>
      <c r="S2617">
        <v>0.21301339999999999</v>
      </c>
      <c r="T2617" t="s">
        <v>1017</v>
      </c>
      <c r="U2617">
        <v>0</v>
      </c>
    </row>
    <row r="2618" spans="1:21" x14ac:dyDescent="0.25">
      <c r="A2618" t="s">
        <v>41</v>
      </c>
      <c r="B2618" t="s">
        <v>954</v>
      </c>
      <c r="C2618">
        <v>2</v>
      </c>
      <c r="D2618" t="s">
        <v>19</v>
      </c>
      <c r="E2618" t="s">
        <v>94</v>
      </c>
      <c r="F2618" t="s">
        <v>113</v>
      </c>
      <c r="G2618" t="s">
        <v>104</v>
      </c>
      <c r="H2618" t="s">
        <v>113</v>
      </c>
      <c r="J2618">
        <v>0</v>
      </c>
      <c r="K2618">
        <v>7</v>
      </c>
      <c r="L2618">
        <v>83.757575759999995</v>
      </c>
      <c r="M2618">
        <v>22.60997987</v>
      </c>
      <c r="N2618">
        <v>0.72884000000000004</v>
      </c>
      <c r="O2618">
        <v>0.21301339999999999</v>
      </c>
      <c r="P2618">
        <v>83.757575759999995</v>
      </c>
      <c r="Q2618">
        <v>22.60997987</v>
      </c>
      <c r="R2618">
        <v>0.72884000000000004</v>
      </c>
      <c r="S2618">
        <v>0.21301339999999999</v>
      </c>
      <c r="T2618" t="s">
        <v>1017</v>
      </c>
      <c r="U2618">
        <v>0</v>
      </c>
    </row>
    <row r="2619" spans="1:21" x14ac:dyDescent="0.25">
      <c r="A2619" t="s">
        <v>41</v>
      </c>
      <c r="B2619" t="s">
        <v>954</v>
      </c>
      <c r="C2619">
        <v>2</v>
      </c>
      <c r="D2619" t="s">
        <v>19</v>
      </c>
      <c r="E2619" t="s">
        <v>94</v>
      </c>
      <c r="F2619" t="s">
        <v>113</v>
      </c>
      <c r="G2619" t="s">
        <v>104</v>
      </c>
      <c r="H2619" t="s">
        <v>113</v>
      </c>
      <c r="J2619">
        <v>0</v>
      </c>
      <c r="K2619">
        <v>7</v>
      </c>
      <c r="L2619">
        <v>83.757575759999995</v>
      </c>
      <c r="M2619">
        <v>22.60997987</v>
      </c>
      <c r="N2619">
        <v>0.72884000000000004</v>
      </c>
      <c r="O2619">
        <v>0.21301339999999999</v>
      </c>
      <c r="P2619">
        <v>83.757575759999995</v>
      </c>
      <c r="Q2619">
        <v>22.60997987</v>
      </c>
      <c r="R2619">
        <v>0.72884000000000004</v>
      </c>
      <c r="S2619">
        <v>0.21301339999999999</v>
      </c>
      <c r="T2619" t="s">
        <v>1017</v>
      </c>
      <c r="U2619">
        <v>0</v>
      </c>
    </row>
    <row r="2620" spans="1:21" x14ac:dyDescent="0.25">
      <c r="A2620" t="s">
        <v>41</v>
      </c>
      <c r="B2620" t="s">
        <v>954</v>
      </c>
      <c r="C2620">
        <v>2</v>
      </c>
      <c r="D2620" t="s">
        <v>19</v>
      </c>
      <c r="E2620" t="s">
        <v>94</v>
      </c>
      <c r="F2620" t="s">
        <v>113</v>
      </c>
      <c r="G2620" t="s">
        <v>104</v>
      </c>
      <c r="H2620" t="s">
        <v>113</v>
      </c>
      <c r="J2620">
        <v>0</v>
      </c>
      <c r="K2620">
        <v>7</v>
      </c>
      <c r="L2620">
        <v>83.757575759999995</v>
      </c>
      <c r="M2620">
        <v>22.60997987</v>
      </c>
      <c r="N2620">
        <v>0.72884000000000004</v>
      </c>
      <c r="O2620">
        <v>0.21301339999999999</v>
      </c>
      <c r="P2620">
        <v>83.757575759999995</v>
      </c>
      <c r="Q2620">
        <v>22.60997987</v>
      </c>
      <c r="R2620">
        <v>0.72884000000000004</v>
      </c>
      <c r="S2620">
        <v>0.21301339999999999</v>
      </c>
      <c r="T2620" t="s">
        <v>1017</v>
      </c>
      <c r="U2620">
        <v>0</v>
      </c>
    </row>
    <row r="2621" spans="1:21" x14ac:dyDescent="0.25">
      <c r="A2621" t="s">
        <v>41</v>
      </c>
      <c r="B2621" t="s">
        <v>954</v>
      </c>
      <c r="C2621">
        <v>2</v>
      </c>
      <c r="D2621" t="s">
        <v>19</v>
      </c>
      <c r="E2621" t="s">
        <v>94</v>
      </c>
      <c r="F2621" t="s">
        <v>113</v>
      </c>
      <c r="G2621" t="s">
        <v>104</v>
      </c>
      <c r="H2621" t="s">
        <v>113</v>
      </c>
      <c r="J2621">
        <v>0</v>
      </c>
      <c r="K2621">
        <v>7</v>
      </c>
      <c r="L2621">
        <v>83.757575759999995</v>
      </c>
      <c r="M2621">
        <v>22.60997987</v>
      </c>
      <c r="N2621">
        <v>0.72884000000000004</v>
      </c>
      <c r="O2621">
        <v>0.21301339999999999</v>
      </c>
      <c r="P2621">
        <v>83.757575759999995</v>
      </c>
      <c r="Q2621">
        <v>22.60997987</v>
      </c>
      <c r="R2621">
        <v>0.72884000000000004</v>
      </c>
      <c r="S2621">
        <v>0.21301339999999999</v>
      </c>
      <c r="T2621" t="s">
        <v>1017</v>
      </c>
      <c r="U2621">
        <v>0</v>
      </c>
    </row>
    <row r="2622" spans="1:21" x14ac:dyDescent="0.25">
      <c r="A2622" t="s">
        <v>41</v>
      </c>
      <c r="B2622" t="s">
        <v>954</v>
      </c>
      <c r="C2622">
        <v>2</v>
      </c>
      <c r="D2622" t="s">
        <v>19</v>
      </c>
      <c r="E2622" t="s">
        <v>94</v>
      </c>
      <c r="F2622" t="s">
        <v>113</v>
      </c>
      <c r="G2622" t="s">
        <v>104</v>
      </c>
      <c r="H2622" t="s">
        <v>104</v>
      </c>
      <c r="J2622">
        <v>0</v>
      </c>
      <c r="K2622">
        <v>1</v>
      </c>
      <c r="L2622">
        <v>83.757575759999995</v>
      </c>
      <c r="M2622">
        <v>22.60997987</v>
      </c>
      <c r="N2622">
        <v>0.72884000000000004</v>
      </c>
      <c r="O2622">
        <v>0.21301339999999999</v>
      </c>
      <c r="P2622">
        <v>113.9375</v>
      </c>
      <c r="Q2622">
        <v>33.375507550000002</v>
      </c>
      <c r="R2622">
        <v>2.4262999999999999</v>
      </c>
      <c r="S2622">
        <v>0.40692159999999999</v>
      </c>
      <c r="T2622" t="s">
        <v>1017</v>
      </c>
      <c r="U2622">
        <v>10.76552768</v>
      </c>
    </row>
    <row r="2623" spans="1:21" x14ac:dyDescent="0.25">
      <c r="A2623" t="s">
        <v>41</v>
      </c>
      <c r="B2623" t="s">
        <v>954</v>
      </c>
      <c r="C2623">
        <v>2</v>
      </c>
      <c r="D2623" t="s">
        <v>19</v>
      </c>
      <c r="E2623" t="s">
        <v>94</v>
      </c>
      <c r="F2623" t="s">
        <v>113</v>
      </c>
      <c r="G2623" t="s">
        <v>104</v>
      </c>
      <c r="H2623" t="s">
        <v>238</v>
      </c>
      <c r="J2623">
        <v>0</v>
      </c>
      <c r="K2623">
        <v>1</v>
      </c>
      <c r="L2623">
        <v>83.757575759999995</v>
      </c>
      <c r="M2623">
        <v>22.60997987</v>
      </c>
      <c r="N2623">
        <v>0.72884000000000004</v>
      </c>
      <c r="O2623">
        <v>0.21301339999999999</v>
      </c>
      <c r="P2623">
        <v>87.5</v>
      </c>
      <c r="Q2623">
        <v>29.478311600000001</v>
      </c>
      <c r="R2623">
        <v>3.0797751000000002E-2</v>
      </c>
      <c r="S2623">
        <v>0.12931835</v>
      </c>
      <c r="T2623" t="s">
        <v>1017</v>
      </c>
      <c r="U2623">
        <v>6.8683317300000004</v>
      </c>
    </row>
    <row r="2624" spans="1:21" x14ac:dyDescent="0.25">
      <c r="A2624" t="s">
        <v>41</v>
      </c>
      <c r="B2624" t="s">
        <v>955</v>
      </c>
      <c r="C2624">
        <v>2</v>
      </c>
      <c r="D2624" t="s">
        <v>19</v>
      </c>
      <c r="E2624" t="s">
        <v>94</v>
      </c>
      <c r="F2624" t="s">
        <v>103</v>
      </c>
      <c r="G2624" t="s">
        <v>113</v>
      </c>
      <c r="H2624" t="s">
        <v>103</v>
      </c>
      <c r="J2624">
        <v>0</v>
      </c>
      <c r="K2624">
        <v>2</v>
      </c>
      <c r="L2624">
        <v>98.291666669999998</v>
      </c>
      <c r="M2624">
        <v>30.315130790000001</v>
      </c>
      <c r="N2624">
        <v>5.0803484000000003E-2</v>
      </c>
      <c r="O2624">
        <v>0.42866070000000001</v>
      </c>
      <c r="P2624">
        <v>98.291666669999998</v>
      </c>
      <c r="Q2624">
        <v>30.315130790000001</v>
      </c>
      <c r="R2624">
        <v>5.0803484000000003E-2</v>
      </c>
      <c r="S2624">
        <v>0.42866070000000001</v>
      </c>
      <c r="T2624" t="s">
        <v>1017</v>
      </c>
      <c r="U2624">
        <v>0</v>
      </c>
    </row>
    <row r="2625" spans="1:21" x14ac:dyDescent="0.25">
      <c r="A2625" t="s">
        <v>41</v>
      </c>
      <c r="B2625" t="s">
        <v>955</v>
      </c>
      <c r="C2625">
        <v>2</v>
      </c>
      <c r="D2625" t="s">
        <v>19</v>
      </c>
      <c r="E2625" t="s">
        <v>94</v>
      </c>
      <c r="F2625" t="s">
        <v>103</v>
      </c>
      <c r="G2625" t="s">
        <v>113</v>
      </c>
      <c r="H2625" t="s">
        <v>103</v>
      </c>
      <c r="J2625">
        <v>0</v>
      </c>
      <c r="K2625">
        <v>2</v>
      </c>
      <c r="L2625">
        <v>98.291666669999998</v>
      </c>
      <c r="M2625">
        <v>30.315130790000001</v>
      </c>
      <c r="N2625">
        <v>5.0803484000000003E-2</v>
      </c>
      <c r="O2625">
        <v>0.42866070000000001</v>
      </c>
      <c r="P2625">
        <v>98.291666669999998</v>
      </c>
      <c r="Q2625">
        <v>30.315130790000001</v>
      </c>
      <c r="R2625">
        <v>5.0803484000000003E-2</v>
      </c>
      <c r="S2625">
        <v>0.42866070000000001</v>
      </c>
      <c r="T2625" t="s">
        <v>1017</v>
      </c>
      <c r="U2625">
        <v>0</v>
      </c>
    </row>
    <row r="2626" spans="1:21" x14ac:dyDescent="0.25">
      <c r="A2626" t="s">
        <v>41</v>
      </c>
      <c r="B2626" t="s">
        <v>955</v>
      </c>
      <c r="C2626">
        <v>2</v>
      </c>
      <c r="D2626" t="s">
        <v>19</v>
      </c>
      <c r="E2626" t="s">
        <v>94</v>
      </c>
      <c r="F2626" t="s">
        <v>103</v>
      </c>
      <c r="G2626" t="s">
        <v>113</v>
      </c>
      <c r="H2626" t="s">
        <v>113</v>
      </c>
      <c r="J2626">
        <v>0</v>
      </c>
      <c r="K2626">
        <v>3</v>
      </c>
      <c r="L2626">
        <v>98.291666669999998</v>
      </c>
      <c r="M2626">
        <v>30.315130790000001</v>
      </c>
      <c r="N2626">
        <v>5.0803484000000003E-2</v>
      </c>
      <c r="O2626">
        <v>0.42866070000000001</v>
      </c>
      <c r="P2626">
        <v>83.757575759999995</v>
      </c>
      <c r="Q2626">
        <v>22.60997987</v>
      </c>
      <c r="R2626">
        <v>0.72884000000000004</v>
      </c>
      <c r="S2626">
        <v>0.21301339999999999</v>
      </c>
      <c r="T2626" t="s">
        <v>1017</v>
      </c>
      <c r="U2626">
        <v>7.7051509200000003</v>
      </c>
    </row>
    <row r="2627" spans="1:21" x14ac:dyDescent="0.25">
      <c r="A2627" t="s">
        <v>41</v>
      </c>
      <c r="B2627" t="s">
        <v>955</v>
      </c>
      <c r="C2627">
        <v>2</v>
      </c>
      <c r="D2627" t="s">
        <v>19</v>
      </c>
      <c r="E2627" t="s">
        <v>94</v>
      </c>
      <c r="F2627" t="s">
        <v>103</v>
      </c>
      <c r="G2627" t="s">
        <v>113</v>
      </c>
      <c r="H2627" t="s">
        <v>113</v>
      </c>
      <c r="J2627">
        <v>0</v>
      </c>
      <c r="K2627">
        <v>3</v>
      </c>
      <c r="L2627">
        <v>98.291666669999998</v>
      </c>
      <c r="M2627">
        <v>30.315130790000001</v>
      </c>
      <c r="N2627">
        <v>5.0803484000000003E-2</v>
      </c>
      <c r="O2627">
        <v>0.42866070000000001</v>
      </c>
      <c r="P2627">
        <v>83.757575759999995</v>
      </c>
      <c r="Q2627">
        <v>22.60997987</v>
      </c>
      <c r="R2627">
        <v>0.72884000000000004</v>
      </c>
      <c r="S2627">
        <v>0.21301339999999999</v>
      </c>
      <c r="T2627" t="s">
        <v>1017</v>
      </c>
      <c r="U2627">
        <v>7.7051509200000003</v>
      </c>
    </row>
    <row r="2628" spans="1:21" x14ac:dyDescent="0.25">
      <c r="A2628" t="s">
        <v>41</v>
      </c>
      <c r="B2628" t="s">
        <v>955</v>
      </c>
      <c r="C2628">
        <v>2</v>
      </c>
      <c r="D2628" t="s">
        <v>19</v>
      </c>
      <c r="E2628" t="s">
        <v>94</v>
      </c>
      <c r="F2628" t="s">
        <v>103</v>
      </c>
      <c r="G2628" t="s">
        <v>113</v>
      </c>
      <c r="H2628" t="s">
        <v>113</v>
      </c>
      <c r="J2628">
        <v>0</v>
      </c>
      <c r="K2628">
        <v>3</v>
      </c>
      <c r="L2628">
        <v>98.291666669999998</v>
      </c>
      <c r="M2628">
        <v>30.315130790000001</v>
      </c>
      <c r="N2628">
        <v>5.0803484000000003E-2</v>
      </c>
      <c r="O2628">
        <v>0.42866070000000001</v>
      </c>
      <c r="P2628">
        <v>83.757575759999995</v>
      </c>
      <c r="Q2628">
        <v>22.60997987</v>
      </c>
      <c r="R2628">
        <v>0.72884000000000004</v>
      </c>
      <c r="S2628">
        <v>0.21301339999999999</v>
      </c>
      <c r="T2628" t="s">
        <v>1017</v>
      </c>
      <c r="U2628">
        <v>7.7051509200000003</v>
      </c>
    </row>
    <row r="2629" spans="1:21" x14ac:dyDescent="0.25">
      <c r="A2629" t="s">
        <v>42</v>
      </c>
      <c r="B2629" t="s">
        <v>956</v>
      </c>
      <c r="C2629">
        <v>2</v>
      </c>
      <c r="D2629" t="s">
        <v>21</v>
      </c>
      <c r="E2629" t="s">
        <v>94</v>
      </c>
      <c r="F2629" t="s">
        <v>105</v>
      </c>
      <c r="G2629" t="s">
        <v>121</v>
      </c>
      <c r="H2629" t="s">
        <v>242</v>
      </c>
      <c r="J2629">
        <v>0</v>
      </c>
      <c r="K2629">
        <v>6</v>
      </c>
      <c r="L2629">
        <v>67.5</v>
      </c>
      <c r="M2629">
        <v>47.937235809999997</v>
      </c>
      <c r="N2629">
        <v>0.41599678000000001</v>
      </c>
      <c r="O2629">
        <v>2.0950346999999998</v>
      </c>
      <c r="P2629">
        <v>139.375</v>
      </c>
      <c r="Q2629">
        <v>23.713465920000001</v>
      </c>
      <c r="R2629" t="s">
        <v>114</v>
      </c>
      <c r="S2629" t="s">
        <v>114</v>
      </c>
      <c r="T2629" t="s">
        <v>1017</v>
      </c>
      <c r="U2629">
        <v>24.22376989</v>
      </c>
    </row>
    <row r="2630" spans="1:21" x14ac:dyDescent="0.25">
      <c r="A2630" t="s">
        <v>42</v>
      </c>
      <c r="B2630" t="s">
        <v>956</v>
      </c>
      <c r="C2630">
        <v>2</v>
      </c>
      <c r="D2630" t="s">
        <v>21</v>
      </c>
      <c r="E2630" t="s">
        <v>94</v>
      </c>
      <c r="F2630" t="s">
        <v>105</v>
      </c>
      <c r="G2630" t="s">
        <v>121</v>
      </c>
      <c r="H2630" t="s">
        <v>242</v>
      </c>
      <c r="J2630">
        <v>0</v>
      </c>
      <c r="K2630">
        <v>6</v>
      </c>
      <c r="L2630">
        <v>67.5</v>
      </c>
      <c r="M2630">
        <v>47.937235809999997</v>
      </c>
      <c r="N2630">
        <v>0.41599678000000001</v>
      </c>
      <c r="O2630">
        <v>2.0950346999999998</v>
      </c>
      <c r="P2630">
        <v>139.375</v>
      </c>
      <c r="Q2630">
        <v>23.713465920000001</v>
      </c>
      <c r="R2630" t="s">
        <v>114</v>
      </c>
      <c r="S2630" t="s">
        <v>114</v>
      </c>
      <c r="T2630" t="s">
        <v>1017</v>
      </c>
      <c r="U2630">
        <v>24.22376989</v>
      </c>
    </row>
    <row r="2631" spans="1:21" x14ac:dyDescent="0.25">
      <c r="A2631" t="s">
        <v>42</v>
      </c>
      <c r="B2631" t="s">
        <v>956</v>
      </c>
      <c r="C2631">
        <v>2</v>
      </c>
      <c r="D2631" t="s">
        <v>21</v>
      </c>
      <c r="E2631" t="s">
        <v>94</v>
      </c>
      <c r="F2631" t="s">
        <v>105</v>
      </c>
      <c r="G2631" t="s">
        <v>121</v>
      </c>
      <c r="H2631" t="s">
        <v>242</v>
      </c>
      <c r="J2631">
        <v>0</v>
      </c>
      <c r="K2631">
        <v>6</v>
      </c>
      <c r="L2631">
        <v>67.5</v>
      </c>
      <c r="M2631">
        <v>47.937235809999997</v>
      </c>
      <c r="N2631">
        <v>0.41599678000000001</v>
      </c>
      <c r="O2631">
        <v>2.0950346999999998</v>
      </c>
      <c r="P2631">
        <v>139.375</v>
      </c>
      <c r="Q2631">
        <v>23.713465920000001</v>
      </c>
      <c r="R2631" t="s">
        <v>114</v>
      </c>
      <c r="S2631" t="s">
        <v>114</v>
      </c>
      <c r="T2631" t="s">
        <v>1017</v>
      </c>
      <c r="U2631">
        <v>24.22376989</v>
      </c>
    </row>
    <row r="2632" spans="1:21" x14ac:dyDescent="0.25">
      <c r="A2632" t="s">
        <v>42</v>
      </c>
      <c r="B2632" t="s">
        <v>956</v>
      </c>
      <c r="C2632">
        <v>2</v>
      </c>
      <c r="D2632" t="s">
        <v>21</v>
      </c>
      <c r="E2632" t="s">
        <v>94</v>
      </c>
      <c r="F2632" t="s">
        <v>105</v>
      </c>
      <c r="G2632" t="s">
        <v>121</v>
      </c>
      <c r="H2632" t="s">
        <v>242</v>
      </c>
      <c r="J2632">
        <v>0</v>
      </c>
      <c r="K2632">
        <v>6</v>
      </c>
      <c r="L2632">
        <v>67.5</v>
      </c>
      <c r="M2632">
        <v>47.937235809999997</v>
      </c>
      <c r="N2632">
        <v>0.41599678000000001</v>
      </c>
      <c r="O2632">
        <v>2.0950346999999998</v>
      </c>
      <c r="P2632">
        <v>139.375</v>
      </c>
      <c r="Q2632">
        <v>23.713465920000001</v>
      </c>
      <c r="R2632" t="s">
        <v>114</v>
      </c>
      <c r="S2632" t="s">
        <v>114</v>
      </c>
      <c r="T2632" t="s">
        <v>1017</v>
      </c>
      <c r="U2632">
        <v>24.22376989</v>
      </c>
    </row>
    <row r="2633" spans="1:21" x14ac:dyDescent="0.25">
      <c r="A2633" t="s">
        <v>42</v>
      </c>
      <c r="B2633" t="s">
        <v>956</v>
      </c>
      <c r="C2633">
        <v>2</v>
      </c>
      <c r="D2633" t="s">
        <v>21</v>
      </c>
      <c r="E2633" t="s">
        <v>94</v>
      </c>
      <c r="F2633" t="s">
        <v>105</v>
      </c>
      <c r="G2633" t="s">
        <v>121</v>
      </c>
      <c r="H2633" t="s">
        <v>242</v>
      </c>
      <c r="J2633">
        <v>0</v>
      </c>
      <c r="K2633">
        <v>6</v>
      </c>
      <c r="L2633">
        <v>67.5</v>
      </c>
      <c r="M2633">
        <v>47.937235809999997</v>
      </c>
      <c r="N2633">
        <v>0.41599678000000001</v>
      </c>
      <c r="O2633">
        <v>2.0950346999999998</v>
      </c>
      <c r="P2633">
        <v>139.375</v>
      </c>
      <c r="Q2633">
        <v>23.713465920000001</v>
      </c>
      <c r="R2633" t="s">
        <v>114</v>
      </c>
      <c r="S2633" t="s">
        <v>114</v>
      </c>
      <c r="T2633" t="s">
        <v>1017</v>
      </c>
      <c r="U2633">
        <v>24.22376989</v>
      </c>
    </row>
    <row r="2634" spans="1:21" x14ac:dyDescent="0.25">
      <c r="A2634" t="s">
        <v>42</v>
      </c>
      <c r="B2634" t="s">
        <v>956</v>
      </c>
      <c r="C2634">
        <v>2</v>
      </c>
      <c r="D2634" t="s">
        <v>21</v>
      </c>
      <c r="E2634" t="s">
        <v>94</v>
      </c>
      <c r="F2634" t="s">
        <v>105</v>
      </c>
      <c r="G2634" t="s">
        <v>121</v>
      </c>
      <c r="H2634" t="s">
        <v>242</v>
      </c>
      <c r="J2634">
        <v>0</v>
      </c>
      <c r="K2634">
        <v>6</v>
      </c>
      <c r="L2634">
        <v>67.5</v>
      </c>
      <c r="M2634">
        <v>47.937235809999997</v>
      </c>
      <c r="N2634">
        <v>0.41599678000000001</v>
      </c>
      <c r="O2634">
        <v>2.0950346999999998</v>
      </c>
      <c r="P2634">
        <v>139.375</v>
      </c>
      <c r="Q2634">
        <v>23.713465920000001</v>
      </c>
      <c r="R2634" t="s">
        <v>114</v>
      </c>
      <c r="S2634" t="s">
        <v>114</v>
      </c>
      <c r="T2634" t="s">
        <v>1017</v>
      </c>
      <c r="U2634">
        <v>24.22376989</v>
      </c>
    </row>
    <row r="2635" spans="1:21" x14ac:dyDescent="0.25">
      <c r="A2635" t="s">
        <v>42</v>
      </c>
      <c r="B2635" t="s">
        <v>957</v>
      </c>
      <c r="C2635">
        <v>2</v>
      </c>
      <c r="D2635" t="s">
        <v>21</v>
      </c>
      <c r="E2635" t="s">
        <v>94</v>
      </c>
      <c r="F2635" t="s">
        <v>110</v>
      </c>
      <c r="G2635" t="s">
        <v>113</v>
      </c>
      <c r="H2635" t="s">
        <v>104</v>
      </c>
      <c r="J2635">
        <v>0</v>
      </c>
      <c r="K2635">
        <v>2</v>
      </c>
      <c r="L2635">
        <v>73.260869569999997</v>
      </c>
      <c r="M2635">
        <v>34.453830549999999</v>
      </c>
      <c r="N2635">
        <v>1.058333333</v>
      </c>
      <c r="O2635">
        <v>0.90897070000000002</v>
      </c>
      <c r="P2635">
        <v>113.9375</v>
      </c>
      <c r="Q2635">
        <v>33.375507550000002</v>
      </c>
      <c r="R2635">
        <v>2.4262999999999999</v>
      </c>
      <c r="S2635">
        <v>0.40692159999999999</v>
      </c>
      <c r="T2635" t="s">
        <v>1017</v>
      </c>
      <c r="U2635">
        <v>1.0783229999999999</v>
      </c>
    </row>
    <row r="2636" spans="1:21" x14ac:dyDescent="0.25">
      <c r="A2636" t="s">
        <v>42</v>
      </c>
      <c r="B2636" t="s">
        <v>957</v>
      </c>
      <c r="C2636">
        <v>2</v>
      </c>
      <c r="D2636" t="s">
        <v>21</v>
      </c>
      <c r="E2636" t="s">
        <v>94</v>
      </c>
      <c r="F2636" t="s">
        <v>110</v>
      </c>
      <c r="G2636" t="s">
        <v>113</v>
      </c>
      <c r="H2636" t="s">
        <v>104</v>
      </c>
      <c r="J2636">
        <v>0</v>
      </c>
      <c r="K2636">
        <v>2</v>
      </c>
      <c r="L2636">
        <v>73.260869569999997</v>
      </c>
      <c r="M2636">
        <v>34.453830549999999</v>
      </c>
      <c r="N2636">
        <v>1.058333333</v>
      </c>
      <c r="O2636">
        <v>0.90897070000000002</v>
      </c>
      <c r="P2636">
        <v>113.9375</v>
      </c>
      <c r="Q2636">
        <v>33.375507550000002</v>
      </c>
      <c r="R2636">
        <v>2.4262999999999999</v>
      </c>
      <c r="S2636">
        <v>0.40692159999999999</v>
      </c>
      <c r="T2636" t="s">
        <v>1017</v>
      </c>
      <c r="U2636">
        <v>1.0783229999999999</v>
      </c>
    </row>
    <row r="2637" spans="1:21" x14ac:dyDescent="0.25">
      <c r="A2637" t="s">
        <v>42</v>
      </c>
      <c r="B2637" t="s">
        <v>957</v>
      </c>
      <c r="C2637">
        <v>2</v>
      </c>
      <c r="D2637" t="s">
        <v>21</v>
      </c>
      <c r="E2637" t="s">
        <v>94</v>
      </c>
      <c r="F2637" t="s">
        <v>110</v>
      </c>
      <c r="G2637" t="s">
        <v>113</v>
      </c>
      <c r="H2637" t="s">
        <v>242</v>
      </c>
      <c r="J2637">
        <v>0</v>
      </c>
      <c r="K2637">
        <v>5</v>
      </c>
      <c r="L2637">
        <v>73.260869569999997</v>
      </c>
      <c r="M2637">
        <v>34.453830549999999</v>
      </c>
      <c r="N2637">
        <v>1.058333333</v>
      </c>
      <c r="O2637">
        <v>0.90897070000000002</v>
      </c>
      <c r="P2637">
        <v>139.375</v>
      </c>
      <c r="Q2637">
        <v>23.713465920000001</v>
      </c>
      <c r="R2637" t="s">
        <v>114</v>
      </c>
      <c r="S2637" t="s">
        <v>114</v>
      </c>
      <c r="T2637" t="s">
        <v>1017</v>
      </c>
      <c r="U2637">
        <v>10.74036463</v>
      </c>
    </row>
    <row r="2638" spans="1:21" x14ac:dyDescent="0.25">
      <c r="A2638" t="s">
        <v>42</v>
      </c>
      <c r="B2638" t="s">
        <v>957</v>
      </c>
      <c r="C2638">
        <v>2</v>
      </c>
      <c r="D2638" t="s">
        <v>21</v>
      </c>
      <c r="E2638" t="s">
        <v>94</v>
      </c>
      <c r="F2638" t="s">
        <v>110</v>
      </c>
      <c r="G2638" t="s">
        <v>113</v>
      </c>
      <c r="H2638" t="s">
        <v>242</v>
      </c>
      <c r="J2638">
        <v>0</v>
      </c>
      <c r="K2638">
        <v>5</v>
      </c>
      <c r="L2638">
        <v>73.260869569999997</v>
      </c>
      <c r="M2638">
        <v>34.453830549999999</v>
      </c>
      <c r="N2638">
        <v>1.058333333</v>
      </c>
      <c r="O2638">
        <v>0.90897070000000002</v>
      </c>
      <c r="P2638">
        <v>139.375</v>
      </c>
      <c r="Q2638">
        <v>23.713465920000001</v>
      </c>
      <c r="R2638" t="s">
        <v>114</v>
      </c>
      <c r="S2638" t="s">
        <v>114</v>
      </c>
      <c r="T2638" t="s">
        <v>1017</v>
      </c>
      <c r="U2638">
        <v>10.74036463</v>
      </c>
    </row>
    <row r="2639" spans="1:21" x14ac:dyDescent="0.25">
      <c r="A2639" t="s">
        <v>42</v>
      </c>
      <c r="B2639" t="s">
        <v>957</v>
      </c>
      <c r="C2639">
        <v>2</v>
      </c>
      <c r="D2639" t="s">
        <v>21</v>
      </c>
      <c r="E2639" t="s">
        <v>94</v>
      </c>
      <c r="F2639" t="s">
        <v>110</v>
      </c>
      <c r="G2639" t="s">
        <v>113</v>
      </c>
      <c r="H2639" t="s">
        <v>242</v>
      </c>
      <c r="J2639">
        <v>0</v>
      </c>
      <c r="K2639">
        <v>5</v>
      </c>
      <c r="L2639">
        <v>73.260869569999997</v>
      </c>
      <c r="M2639">
        <v>34.453830549999999</v>
      </c>
      <c r="N2639">
        <v>1.058333333</v>
      </c>
      <c r="O2639">
        <v>0.90897070000000002</v>
      </c>
      <c r="P2639">
        <v>139.375</v>
      </c>
      <c r="Q2639">
        <v>23.713465920000001</v>
      </c>
      <c r="R2639" t="s">
        <v>114</v>
      </c>
      <c r="S2639" t="s">
        <v>114</v>
      </c>
      <c r="T2639" t="s">
        <v>1017</v>
      </c>
      <c r="U2639">
        <v>10.74036463</v>
      </c>
    </row>
    <row r="2640" spans="1:21" x14ac:dyDescent="0.25">
      <c r="A2640" t="s">
        <v>42</v>
      </c>
      <c r="B2640" t="s">
        <v>957</v>
      </c>
      <c r="C2640">
        <v>2</v>
      </c>
      <c r="D2640" t="s">
        <v>21</v>
      </c>
      <c r="E2640" t="s">
        <v>94</v>
      </c>
      <c r="F2640" t="s">
        <v>110</v>
      </c>
      <c r="G2640" t="s">
        <v>113</v>
      </c>
      <c r="H2640" t="s">
        <v>242</v>
      </c>
      <c r="J2640">
        <v>0</v>
      </c>
      <c r="K2640">
        <v>5</v>
      </c>
      <c r="L2640">
        <v>73.260869569999997</v>
      </c>
      <c r="M2640">
        <v>34.453830549999999</v>
      </c>
      <c r="N2640">
        <v>1.058333333</v>
      </c>
      <c r="O2640">
        <v>0.90897070000000002</v>
      </c>
      <c r="P2640">
        <v>139.375</v>
      </c>
      <c r="Q2640">
        <v>23.713465920000001</v>
      </c>
      <c r="R2640" t="s">
        <v>114</v>
      </c>
      <c r="S2640" t="s">
        <v>114</v>
      </c>
      <c r="T2640" t="s">
        <v>1017</v>
      </c>
      <c r="U2640">
        <v>10.74036463</v>
      </c>
    </row>
    <row r="2641" spans="1:21" x14ac:dyDescent="0.25">
      <c r="A2641" t="s">
        <v>42</v>
      </c>
      <c r="B2641" t="s">
        <v>957</v>
      </c>
      <c r="C2641">
        <v>2</v>
      </c>
      <c r="D2641" t="s">
        <v>21</v>
      </c>
      <c r="E2641" t="s">
        <v>94</v>
      </c>
      <c r="F2641" t="s">
        <v>110</v>
      </c>
      <c r="G2641" t="s">
        <v>113</v>
      </c>
      <c r="H2641" t="s">
        <v>242</v>
      </c>
      <c r="J2641">
        <v>0</v>
      </c>
      <c r="K2641">
        <v>5</v>
      </c>
      <c r="L2641">
        <v>73.260869569999997</v>
      </c>
      <c r="M2641">
        <v>34.453830549999999</v>
      </c>
      <c r="N2641">
        <v>1.058333333</v>
      </c>
      <c r="O2641">
        <v>0.90897070000000002</v>
      </c>
      <c r="P2641">
        <v>139.375</v>
      </c>
      <c r="Q2641">
        <v>23.713465920000001</v>
      </c>
      <c r="R2641" t="s">
        <v>114</v>
      </c>
      <c r="S2641" t="s">
        <v>114</v>
      </c>
      <c r="T2641" t="s">
        <v>1017</v>
      </c>
      <c r="U2641">
        <v>10.74036463</v>
      </c>
    </row>
    <row r="2642" spans="1:21" x14ac:dyDescent="0.25">
      <c r="A2642" t="s">
        <v>42</v>
      </c>
      <c r="B2642" t="s">
        <v>957</v>
      </c>
      <c r="C2642">
        <v>2</v>
      </c>
      <c r="D2642" t="s">
        <v>21</v>
      </c>
      <c r="E2642" t="s">
        <v>94</v>
      </c>
      <c r="F2642" t="s">
        <v>110</v>
      </c>
      <c r="G2642" t="s">
        <v>113</v>
      </c>
      <c r="H2642" t="s">
        <v>113</v>
      </c>
      <c r="J2642">
        <v>0</v>
      </c>
      <c r="K2642">
        <v>2</v>
      </c>
      <c r="L2642">
        <v>73.260869569999997</v>
      </c>
      <c r="M2642">
        <v>34.453830549999999</v>
      </c>
      <c r="N2642">
        <v>1.058333333</v>
      </c>
      <c r="O2642">
        <v>0.90897070000000002</v>
      </c>
      <c r="P2642">
        <v>83.757575759999995</v>
      </c>
      <c r="Q2642">
        <v>22.60997987</v>
      </c>
      <c r="R2642">
        <v>0.72884000000000004</v>
      </c>
      <c r="S2642">
        <v>0.21301339999999999</v>
      </c>
      <c r="T2642" t="s">
        <v>1017</v>
      </c>
      <c r="U2642">
        <v>11.843850679999999</v>
      </c>
    </row>
    <row r="2643" spans="1:21" x14ac:dyDescent="0.25">
      <c r="A2643" t="s">
        <v>42</v>
      </c>
      <c r="B2643" t="s">
        <v>957</v>
      </c>
      <c r="C2643">
        <v>2</v>
      </c>
      <c r="D2643" t="s">
        <v>21</v>
      </c>
      <c r="E2643" t="s">
        <v>94</v>
      </c>
      <c r="F2643" t="s">
        <v>110</v>
      </c>
      <c r="G2643" t="s">
        <v>113</v>
      </c>
      <c r="H2643" t="s">
        <v>113</v>
      </c>
      <c r="J2643">
        <v>0</v>
      </c>
      <c r="K2643">
        <v>2</v>
      </c>
      <c r="L2643">
        <v>73.260869569999997</v>
      </c>
      <c r="M2643">
        <v>34.453830549999999</v>
      </c>
      <c r="N2643">
        <v>1.058333333</v>
      </c>
      <c r="O2643">
        <v>0.90897070000000002</v>
      </c>
      <c r="P2643">
        <v>83.757575759999995</v>
      </c>
      <c r="Q2643">
        <v>22.60997987</v>
      </c>
      <c r="R2643">
        <v>0.72884000000000004</v>
      </c>
      <c r="S2643">
        <v>0.21301339999999999</v>
      </c>
      <c r="T2643" t="s">
        <v>1017</v>
      </c>
      <c r="U2643">
        <v>11.843850679999999</v>
      </c>
    </row>
    <row r="2644" spans="1:21" x14ac:dyDescent="0.25">
      <c r="A2644" t="s">
        <v>42</v>
      </c>
      <c r="B2644" t="s">
        <v>958</v>
      </c>
      <c r="C2644">
        <v>2</v>
      </c>
      <c r="D2644" t="s">
        <v>21</v>
      </c>
      <c r="E2644" t="s">
        <v>94</v>
      </c>
      <c r="F2644" t="s">
        <v>111</v>
      </c>
      <c r="G2644" t="s">
        <v>110</v>
      </c>
      <c r="H2644" t="s">
        <v>113</v>
      </c>
      <c r="J2644">
        <v>0</v>
      </c>
      <c r="K2644">
        <v>1</v>
      </c>
      <c r="L2644">
        <v>94.97142857</v>
      </c>
      <c r="M2644">
        <v>24.31591813</v>
      </c>
      <c r="N2644">
        <v>0.122951111</v>
      </c>
      <c r="O2644">
        <v>0.39050790000000002</v>
      </c>
      <c r="P2644">
        <v>83.757575759999995</v>
      </c>
      <c r="Q2644">
        <v>22.60997987</v>
      </c>
      <c r="R2644">
        <v>0.72884000000000004</v>
      </c>
      <c r="S2644">
        <v>0.21301339999999999</v>
      </c>
      <c r="T2644" t="s">
        <v>1017</v>
      </c>
      <c r="U2644">
        <v>1.7059382599999999</v>
      </c>
    </row>
    <row r="2645" spans="1:21" x14ac:dyDescent="0.25">
      <c r="A2645" t="s">
        <v>42</v>
      </c>
      <c r="B2645" t="s">
        <v>958</v>
      </c>
      <c r="C2645">
        <v>2</v>
      </c>
      <c r="D2645" t="s">
        <v>21</v>
      </c>
      <c r="E2645" t="s">
        <v>94</v>
      </c>
      <c r="F2645" t="s">
        <v>111</v>
      </c>
      <c r="G2645" t="s">
        <v>110</v>
      </c>
      <c r="H2645" t="s">
        <v>110</v>
      </c>
      <c r="J2645">
        <v>0</v>
      </c>
      <c r="K2645">
        <v>1</v>
      </c>
      <c r="L2645">
        <v>94.97142857</v>
      </c>
      <c r="M2645">
        <v>24.31591813</v>
      </c>
      <c r="N2645">
        <v>0.122951111</v>
      </c>
      <c r="O2645">
        <v>0.39050790000000002</v>
      </c>
      <c r="P2645">
        <v>73.260869569999997</v>
      </c>
      <c r="Q2645">
        <v>34.453830549999999</v>
      </c>
      <c r="R2645">
        <v>1.058333333</v>
      </c>
      <c r="S2645">
        <v>0.90897070000000002</v>
      </c>
      <c r="T2645" t="s">
        <v>1017</v>
      </c>
      <c r="U2645">
        <v>10.137912419999999</v>
      </c>
    </row>
    <row r="2646" spans="1:21" x14ac:dyDescent="0.25">
      <c r="A2646" t="s">
        <v>42</v>
      </c>
      <c r="B2646" t="s">
        <v>959</v>
      </c>
      <c r="C2646">
        <v>2</v>
      </c>
      <c r="D2646" t="s">
        <v>21</v>
      </c>
      <c r="E2646" t="s">
        <v>94</v>
      </c>
      <c r="F2646" t="s">
        <v>104</v>
      </c>
      <c r="G2646" t="s">
        <v>121</v>
      </c>
      <c r="H2646" t="s">
        <v>110</v>
      </c>
      <c r="J2646">
        <v>1</v>
      </c>
      <c r="K2646">
        <v>2</v>
      </c>
      <c r="L2646">
        <v>113.9375</v>
      </c>
      <c r="M2646">
        <v>33.375507550000002</v>
      </c>
      <c r="N2646">
        <v>2.4262999999999999</v>
      </c>
      <c r="O2646">
        <v>0.40692159999999999</v>
      </c>
      <c r="P2646">
        <v>73.260869569999997</v>
      </c>
      <c r="Q2646">
        <v>34.453830549999999</v>
      </c>
      <c r="R2646">
        <v>1.058333333</v>
      </c>
      <c r="S2646">
        <v>0.90897070000000002</v>
      </c>
      <c r="T2646" t="s">
        <v>1017</v>
      </c>
      <c r="U2646">
        <v>1.0783229999999999</v>
      </c>
    </row>
    <row r="2647" spans="1:21" x14ac:dyDescent="0.25">
      <c r="A2647" t="s">
        <v>42</v>
      </c>
      <c r="B2647" t="s">
        <v>959</v>
      </c>
      <c r="C2647">
        <v>2</v>
      </c>
      <c r="D2647" t="s">
        <v>21</v>
      </c>
      <c r="E2647" t="s">
        <v>94</v>
      </c>
      <c r="F2647" t="s">
        <v>104</v>
      </c>
      <c r="G2647" t="s">
        <v>121</v>
      </c>
      <c r="H2647" t="s">
        <v>110</v>
      </c>
      <c r="J2647">
        <v>1</v>
      </c>
      <c r="K2647">
        <v>2</v>
      </c>
      <c r="L2647">
        <v>113.9375</v>
      </c>
      <c r="M2647">
        <v>33.375507550000002</v>
      </c>
      <c r="N2647">
        <v>2.4262999999999999</v>
      </c>
      <c r="O2647">
        <v>0.40692159999999999</v>
      </c>
      <c r="P2647">
        <v>73.260869569999997</v>
      </c>
      <c r="Q2647">
        <v>34.453830549999999</v>
      </c>
      <c r="R2647">
        <v>1.058333333</v>
      </c>
      <c r="S2647">
        <v>0.90897070000000002</v>
      </c>
      <c r="T2647" t="s">
        <v>1017</v>
      </c>
      <c r="U2647">
        <v>1.0783229999999999</v>
      </c>
    </row>
    <row r="2648" spans="1:21" x14ac:dyDescent="0.25">
      <c r="A2648" t="s">
        <v>42</v>
      </c>
      <c r="B2648" t="s">
        <v>959</v>
      </c>
      <c r="C2648">
        <v>2</v>
      </c>
      <c r="D2648" t="s">
        <v>21</v>
      </c>
      <c r="E2648" t="s">
        <v>94</v>
      </c>
      <c r="F2648" t="s">
        <v>104</v>
      </c>
      <c r="G2648" t="s">
        <v>121</v>
      </c>
      <c r="H2648" t="s">
        <v>240</v>
      </c>
      <c r="J2648">
        <v>1</v>
      </c>
      <c r="K2648">
        <v>2</v>
      </c>
      <c r="L2648">
        <v>113.9375</v>
      </c>
      <c r="M2648">
        <v>33.375507550000002</v>
      </c>
      <c r="N2648">
        <v>2.4262999999999999</v>
      </c>
      <c r="O2648">
        <v>0.40692159999999999</v>
      </c>
      <c r="P2648">
        <v>104.83333330000001</v>
      </c>
      <c r="Q2648">
        <v>43.798647680000002</v>
      </c>
      <c r="R2648">
        <v>7.7741939999999999E-3</v>
      </c>
      <c r="S2648" t="s">
        <v>114</v>
      </c>
      <c r="T2648" t="s">
        <v>1017</v>
      </c>
      <c r="U2648">
        <v>10.42314013</v>
      </c>
    </row>
    <row r="2649" spans="1:21" x14ac:dyDescent="0.25">
      <c r="A2649" t="s">
        <v>42</v>
      </c>
      <c r="B2649" t="s">
        <v>959</v>
      </c>
      <c r="C2649">
        <v>2</v>
      </c>
      <c r="D2649" t="s">
        <v>21</v>
      </c>
      <c r="E2649" t="s">
        <v>94</v>
      </c>
      <c r="F2649" t="s">
        <v>104</v>
      </c>
      <c r="G2649" t="s">
        <v>121</v>
      </c>
      <c r="H2649" t="s">
        <v>240</v>
      </c>
      <c r="J2649">
        <v>1</v>
      </c>
      <c r="K2649">
        <v>2</v>
      </c>
      <c r="L2649">
        <v>113.9375</v>
      </c>
      <c r="M2649">
        <v>33.375507550000002</v>
      </c>
      <c r="N2649">
        <v>2.4262999999999999</v>
      </c>
      <c r="O2649">
        <v>0.40692159999999999</v>
      </c>
      <c r="P2649">
        <v>104.83333330000001</v>
      </c>
      <c r="Q2649">
        <v>43.798647680000002</v>
      </c>
      <c r="R2649">
        <v>7.7741939999999999E-3</v>
      </c>
      <c r="S2649" t="s">
        <v>114</v>
      </c>
      <c r="T2649" t="s">
        <v>1017</v>
      </c>
      <c r="U2649">
        <v>10.42314013</v>
      </c>
    </row>
    <row r="2650" spans="1:21" x14ac:dyDescent="0.25">
      <c r="A2650" t="s">
        <v>42</v>
      </c>
      <c r="B2650" t="s">
        <v>959</v>
      </c>
      <c r="C2650">
        <v>2</v>
      </c>
      <c r="D2650" t="s">
        <v>21</v>
      </c>
      <c r="E2650" t="s">
        <v>94</v>
      </c>
      <c r="F2650" t="s">
        <v>104</v>
      </c>
      <c r="G2650" t="s">
        <v>121</v>
      </c>
      <c r="H2650" t="s">
        <v>241</v>
      </c>
      <c r="J2650">
        <v>1</v>
      </c>
      <c r="K2650">
        <v>1</v>
      </c>
      <c r="L2650">
        <v>113.9375</v>
      </c>
      <c r="M2650">
        <v>33.375507550000002</v>
      </c>
      <c r="N2650">
        <v>2.4262999999999999</v>
      </c>
      <c r="O2650">
        <v>0.40692159999999999</v>
      </c>
      <c r="P2650">
        <v>114</v>
      </c>
      <c r="Q2650">
        <v>30.43077242</v>
      </c>
      <c r="R2650">
        <v>0.53383111100000002</v>
      </c>
      <c r="S2650">
        <v>0.28333332999999999</v>
      </c>
      <c r="T2650" t="s">
        <v>1017</v>
      </c>
      <c r="U2650">
        <v>2.9447351300000002</v>
      </c>
    </row>
    <row r="2651" spans="1:21" x14ac:dyDescent="0.25">
      <c r="A2651" t="s">
        <v>43</v>
      </c>
      <c r="B2651" t="s">
        <v>960</v>
      </c>
      <c r="C2651">
        <v>2</v>
      </c>
      <c r="D2651" t="s">
        <v>23</v>
      </c>
      <c r="E2651" t="s">
        <v>94</v>
      </c>
      <c r="F2651" t="s">
        <v>105</v>
      </c>
      <c r="G2651" t="s">
        <v>104</v>
      </c>
      <c r="H2651" t="s">
        <v>104</v>
      </c>
      <c r="J2651">
        <v>0</v>
      </c>
      <c r="K2651">
        <v>1</v>
      </c>
      <c r="L2651">
        <v>67.5</v>
      </c>
      <c r="M2651">
        <v>47.937235809999997</v>
      </c>
      <c r="N2651">
        <v>0.41599678000000001</v>
      </c>
      <c r="O2651">
        <v>2.0950346999999998</v>
      </c>
      <c r="P2651">
        <v>113.9375</v>
      </c>
      <c r="Q2651">
        <v>33.375507550000002</v>
      </c>
      <c r="R2651">
        <v>2.4262999999999999</v>
      </c>
      <c r="S2651">
        <v>0.40692159999999999</v>
      </c>
      <c r="T2651" t="s">
        <v>1017</v>
      </c>
      <c r="U2651">
        <v>14.561728260000001</v>
      </c>
    </row>
    <row r="2652" spans="1:21" x14ac:dyDescent="0.25">
      <c r="A2652" t="s">
        <v>43</v>
      </c>
      <c r="B2652" t="s">
        <v>961</v>
      </c>
      <c r="C2652">
        <v>2</v>
      </c>
      <c r="D2652" t="s">
        <v>23</v>
      </c>
      <c r="E2652" t="s">
        <v>94</v>
      </c>
      <c r="F2652" t="s">
        <v>110</v>
      </c>
      <c r="G2652" t="s">
        <v>110</v>
      </c>
      <c r="H2652" t="s">
        <v>110</v>
      </c>
      <c r="J2652">
        <v>0</v>
      </c>
      <c r="K2652">
        <v>1</v>
      </c>
      <c r="L2652">
        <v>73.260869569999997</v>
      </c>
      <c r="M2652">
        <v>34.453830549999999</v>
      </c>
      <c r="N2652">
        <v>1.058333333</v>
      </c>
      <c r="O2652">
        <v>0.90897070000000002</v>
      </c>
      <c r="P2652">
        <v>73.260869569999997</v>
      </c>
      <c r="Q2652">
        <v>34.453830549999999</v>
      </c>
      <c r="R2652">
        <v>1.058333333</v>
      </c>
      <c r="S2652">
        <v>0.90897070000000002</v>
      </c>
      <c r="T2652" t="s">
        <v>1017</v>
      </c>
      <c r="U2652">
        <v>0</v>
      </c>
    </row>
    <row r="2653" spans="1:21" x14ac:dyDescent="0.25">
      <c r="A2653" t="s">
        <v>43</v>
      </c>
      <c r="B2653" t="s">
        <v>962</v>
      </c>
      <c r="C2653">
        <v>2</v>
      </c>
      <c r="D2653" t="s">
        <v>23</v>
      </c>
      <c r="E2653" t="s">
        <v>94</v>
      </c>
      <c r="F2653" t="s">
        <v>111</v>
      </c>
      <c r="G2653" t="s">
        <v>121</v>
      </c>
      <c r="H2653" t="s">
        <v>114</v>
      </c>
      <c r="J2653">
        <v>0</v>
      </c>
      <c r="K2653" t="s">
        <v>114</v>
      </c>
      <c r="L2653">
        <v>94.97142857</v>
      </c>
      <c r="M2653">
        <v>24.31591813</v>
      </c>
      <c r="N2653">
        <v>0.122951111</v>
      </c>
      <c r="O2653">
        <v>0.39050790000000002</v>
      </c>
      <c r="P2653" t="s">
        <v>114</v>
      </c>
      <c r="Q2653" t="s">
        <v>114</v>
      </c>
      <c r="R2653" t="s">
        <v>114</v>
      </c>
      <c r="S2653" t="s">
        <v>114</v>
      </c>
      <c r="T2653" t="s">
        <v>1017</v>
      </c>
      <c r="U2653" t="s">
        <v>114</v>
      </c>
    </row>
    <row r="2654" spans="1:21" x14ac:dyDescent="0.25">
      <c r="A2654" t="s">
        <v>43</v>
      </c>
      <c r="B2654" t="s">
        <v>963</v>
      </c>
      <c r="C2654">
        <v>2</v>
      </c>
      <c r="D2654" t="s">
        <v>23</v>
      </c>
      <c r="E2654" t="s">
        <v>94</v>
      </c>
      <c r="F2654" t="s">
        <v>104</v>
      </c>
      <c r="G2654" t="s">
        <v>104</v>
      </c>
      <c r="H2654" t="s">
        <v>104</v>
      </c>
      <c r="J2654">
        <v>0</v>
      </c>
      <c r="K2654">
        <v>1</v>
      </c>
      <c r="L2654">
        <v>113.9375</v>
      </c>
      <c r="M2654">
        <v>33.375507550000002</v>
      </c>
      <c r="N2654">
        <v>2.4262999999999999</v>
      </c>
      <c r="O2654">
        <v>0.40692159999999999</v>
      </c>
      <c r="P2654">
        <v>113.9375</v>
      </c>
      <c r="Q2654">
        <v>33.375507550000002</v>
      </c>
      <c r="R2654">
        <v>2.4262999999999999</v>
      </c>
      <c r="S2654">
        <v>0.40692159999999999</v>
      </c>
      <c r="T2654" t="s">
        <v>1017</v>
      </c>
      <c r="U2654">
        <v>0</v>
      </c>
    </row>
    <row r="2655" spans="1:21" x14ac:dyDescent="0.25">
      <c r="A2655" t="s">
        <v>43</v>
      </c>
      <c r="B2655" t="s">
        <v>963</v>
      </c>
      <c r="C2655">
        <v>2</v>
      </c>
      <c r="D2655" t="s">
        <v>23</v>
      </c>
      <c r="E2655" t="s">
        <v>94</v>
      </c>
      <c r="F2655" t="s">
        <v>104</v>
      </c>
      <c r="G2655" t="s">
        <v>104</v>
      </c>
      <c r="H2655" t="s">
        <v>808</v>
      </c>
      <c r="J2655">
        <v>0</v>
      </c>
      <c r="K2655">
        <v>1</v>
      </c>
      <c r="L2655">
        <v>113.9375</v>
      </c>
      <c r="M2655">
        <v>33.375507550000002</v>
      </c>
      <c r="N2655">
        <v>2.4262999999999999</v>
      </c>
      <c r="O2655">
        <v>0.40692159999999999</v>
      </c>
      <c r="P2655">
        <v>102.79166669999999</v>
      </c>
      <c r="Q2655">
        <v>27.057373470000002</v>
      </c>
      <c r="R2655">
        <v>6.3567849939999999</v>
      </c>
      <c r="S2655" t="s">
        <v>114</v>
      </c>
      <c r="T2655" t="s">
        <v>1017</v>
      </c>
      <c r="U2655">
        <v>6.3181340800000001</v>
      </c>
    </row>
    <row r="2656" spans="1:21" x14ac:dyDescent="0.25">
      <c r="A2656" t="s">
        <v>44</v>
      </c>
      <c r="B2656" t="s">
        <v>964</v>
      </c>
      <c r="C2656">
        <v>2</v>
      </c>
      <c r="D2656" t="s">
        <v>25</v>
      </c>
      <c r="E2656" t="s">
        <v>95</v>
      </c>
      <c r="F2656" t="s">
        <v>102</v>
      </c>
      <c r="G2656" t="s">
        <v>102</v>
      </c>
      <c r="H2656" t="s">
        <v>102</v>
      </c>
      <c r="J2656">
        <v>0</v>
      </c>
      <c r="K2656">
        <v>1</v>
      </c>
      <c r="L2656">
        <v>84.740740740000007</v>
      </c>
      <c r="M2656">
        <v>29.167014049999999</v>
      </c>
      <c r="N2656">
        <v>1.1169849999999999</v>
      </c>
      <c r="O2656">
        <v>1.1571499000000001</v>
      </c>
      <c r="P2656">
        <v>84.740740740000007</v>
      </c>
      <c r="Q2656">
        <v>29.167014049999999</v>
      </c>
      <c r="R2656">
        <v>1.1169849999999999</v>
      </c>
      <c r="S2656">
        <v>1.1571499000000001</v>
      </c>
      <c r="T2656" t="s">
        <v>1017</v>
      </c>
      <c r="U2656">
        <v>0</v>
      </c>
    </row>
    <row r="2657" spans="1:21" x14ac:dyDescent="0.25">
      <c r="A2657" t="s">
        <v>44</v>
      </c>
      <c r="B2657" t="s">
        <v>965</v>
      </c>
      <c r="C2657">
        <v>2</v>
      </c>
      <c r="D2657" t="s">
        <v>25</v>
      </c>
      <c r="E2657" t="s">
        <v>95</v>
      </c>
      <c r="F2657" t="s">
        <v>110</v>
      </c>
      <c r="G2657" t="s">
        <v>121</v>
      </c>
      <c r="H2657" t="s">
        <v>114</v>
      </c>
      <c r="I2657" t="s">
        <v>162</v>
      </c>
      <c r="J2657">
        <v>1</v>
      </c>
      <c r="K2657">
        <v>0</v>
      </c>
      <c r="L2657">
        <v>73.260869569999997</v>
      </c>
      <c r="M2657">
        <v>34.453830549999999</v>
      </c>
      <c r="N2657">
        <v>1.058333333</v>
      </c>
      <c r="O2657">
        <v>0.90897070000000002</v>
      </c>
      <c r="P2657" t="s">
        <v>114</v>
      </c>
      <c r="Q2657" t="s">
        <v>114</v>
      </c>
      <c r="R2657" t="s">
        <v>114</v>
      </c>
      <c r="S2657" t="s">
        <v>114</v>
      </c>
      <c r="T2657" t="s">
        <v>1017</v>
      </c>
      <c r="U2657" t="s">
        <v>114</v>
      </c>
    </row>
    <row r="2658" spans="1:21" x14ac:dyDescent="0.25">
      <c r="A2658" t="s">
        <v>44</v>
      </c>
      <c r="B2658" t="s">
        <v>966</v>
      </c>
      <c r="C2658">
        <v>2</v>
      </c>
      <c r="D2658" t="s">
        <v>25</v>
      </c>
      <c r="E2658" t="s">
        <v>95</v>
      </c>
      <c r="F2658" t="s">
        <v>104</v>
      </c>
      <c r="G2658" t="s">
        <v>112</v>
      </c>
      <c r="H2658" t="s">
        <v>112</v>
      </c>
      <c r="J2658">
        <v>0</v>
      </c>
      <c r="K2658">
        <v>1</v>
      </c>
      <c r="L2658">
        <v>113.9375</v>
      </c>
      <c r="M2658">
        <v>33.375507550000002</v>
      </c>
      <c r="N2658">
        <v>2.4262999999999999</v>
      </c>
      <c r="O2658">
        <v>0.40692159999999999</v>
      </c>
      <c r="P2658">
        <v>65.09375</v>
      </c>
      <c r="Q2658">
        <v>37.895352600000002</v>
      </c>
      <c r="R2658">
        <v>2.2882677779999998</v>
      </c>
      <c r="S2658">
        <v>2.2111774</v>
      </c>
      <c r="T2658" t="s">
        <v>1017</v>
      </c>
      <c r="U2658">
        <v>4.5198450499999998</v>
      </c>
    </row>
    <row r="2659" spans="1:21" x14ac:dyDescent="0.25">
      <c r="A2659" t="s">
        <v>44</v>
      </c>
      <c r="B2659" t="s">
        <v>966</v>
      </c>
      <c r="C2659">
        <v>2</v>
      </c>
      <c r="D2659" t="s">
        <v>25</v>
      </c>
      <c r="E2659" t="s">
        <v>95</v>
      </c>
      <c r="F2659" t="s">
        <v>104</v>
      </c>
      <c r="G2659" t="s">
        <v>112</v>
      </c>
      <c r="H2659" t="s">
        <v>162</v>
      </c>
      <c r="J2659">
        <v>0</v>
      </c>
      <c r="K2659">
        <v>1</v>
      </c>
      <c r="L2659">
        <v>113.9375</v>
      </c>
      <c r="M2659">
        <v>33.375507550000002</v>
      </c>
      <c r="N2659">
        <v>2.4262999999999999</v>
      </c>
      <c r="O2659">
        <v>0.40692159999999999</v>
      </c>
      <c r="P2659">
        <v>82.53846154</v>
      </c>
      <c r="Q2659">
        <v>35.660530039999998</v>
      </c>
      <c r="R2659">
        <v>3.3754499999999998</v>
      </c>
      <c r="S2659" t="s">
        <v>114</v>
      </c>
      <c r="T2659" t="s">
        <v>1017</v>
      </c>
      <c r="U2659">
        <v>2.2850224899999998</v>
      </c>
    </row>
    <row r="2660" spans="1:21" x14ac:dyDescent="0.25">
      <c r="A2660" t="s">
        <v>44</v>
      </c>
      <c r="B2660" t="s">
        <v>966</v>
      </c>
      <c r="C2660">
        <v>2</v>
      </c>
      <c r="D2660" t="s">
        <v>25</v>
      </c>
      <c r="E2660" t="s">
        <v>95</v>
      </c>
      <c r="F2660" t="s">
        <v>104</v>
      </c>
      <c r="G2660" t="s">
        <v>112</v>
      </c>
      <c r="H2660" t="s">
        <v>113</v>
      </c>
      <c r="J2660">
        <v>0</v>
      </c>
      <c r="K2660">
        <v>1</v>
      </c>
      <c r="L2660">
        <v>113.9375</v>
      </c>
      <c r="M2660">
        <v>33.375507550000002</v>
      </c>
      <c r="N2660">
        <v>2.4262999999999999</v>
      </c>
      <c r="O2660">
        <v>0.40692159999999999</v>
      </c>
      <c r="P2660">
        <v>83.757575759999995</v>
      </c>
      <c r="Q2660">
        <v>22.60997987</v>
      </c>
      <c r="R2660">
        <v>0.72884000000000004</v>
      </c>
      <c r="S2660">
        <v>0.21301339999999999</v>
      </c>
      <c r="T2660" t="s">
        <v>1017</v>
      </c>
      <c r="U2660">
        <v>10.76552768</v>
      </c>
    </row>
    <row r="2661" spans="1:21" x14ac:dyDescent="0.25">
      <c r="A2661" t="s">
        <v>44</v>
      </c>
      <c r="B2661" t="s">
        <v>967</v>
      </c>
      <c r="C2661">
        <v>2</v>
      </c>
      <c r="D2661" t="s">
        <v>25</v>
      </c>
      <c r="E2661" t="s">
        <v>95</v>
      </c>
      <c r="F2661" t="s">
        <v>112</v>
      </c>
      <c r="G2661" t="s">
        <v>121</v>
      </c>
      <c r="H2661" t="s">
        <v>114</v>
      </c>
      <c r="J2661">
        <v>0</v>
      </c>
      <c r="K2661" t="s">
        <v>114</v>
      </c>
      <c r="L2661">
        <v>65.09375</v>
      </c>
      <c r="M2661">
        <v>37.895352600000002</v>
      </c>
      <c r="N2661">
        <v>2.2882677779999998</v>
      </c>
      <c r="O2661">
        <v>2.2111774</v>
      </c>
      <c r="P2661" t="s">
        <v>114</v>
      </c>
      <c r="Q2661" t="s">
        <v>114</v>
      </c>
      <c r="R2661" t="s">
        <v>114</v>
      </c>
      <c r="S2661" t="s">
        <v>114</v>
      </c>
      <c r="T2661" t="s">
        <v>1017</v>
      </c>
      <c r="U2661" t="s">
        <v>114</v>
      </c>
    </row>
    <row r="2662" spans="1:21" x14ac:dyDescent="0.25">
      <c r="A2662" t="s">
        <v>45</v>
      </c>
      <c r="B2662" t="s">
        <v>968</v>
      </c>
      <c r="C2662">
        <v>2</v>
      </c>
      <c r="D2662" t="s">
        <v>27</v>
      </c>
      <c r="E2662" t="s">
        <v>95</v>
      </c>
      <c r="F2662" t="s">
        <v>102</v>
      </c>
      <c r="G2662" t="s">
        <v>113</v>
      </c>
      <c r="H2662" t="s">
        <v>113</v>
      </c>
      <c r="J2662">
        <v>0</v>
      </c>
      <c r="K2662">
        <v>2</v>
      </c>
      <c r="L2662">
        <v>84.740740740000007</v>
      </c>
      <c r="M2662">
        <v>29.167014049999999</v>
      </c>
      <c r="N2662">
        <v>1.1169849999999999</v>
      </c>
      <c r="O2662">
        <v>1.1571499000000001</v>
      </c>
      <c r="P2662">
        <v>83.757575759999995</v>
      </c>
      <c r="Q2662">
        <v>22.60997987</v>
      </c>
      <c r="R2662">
        <v>0.72884000000000004</v>
      </c>
      <c r="S2662">
        <v>0.21301339999999999</v>
      </c>
      <c r="T2662" t="s">
        <v>1017</v>
      </c>
      <c r="U2662">
        <v>6.5570341799999996</v>
      </c>
    </row>
    <row r="2663" spans="1:21" x14ac:dyDescent="0.25">
      <c r="A2663" t="s">
        <v>45</v>
      </c>
      <c r="B2663" t="s">
        <v>968</v>
      </c>
      <c r="C2663">
        <v>2</v>
      </c>
      <c r="D2663" t="s">
        <v>27</v>
      </c>
      <c r="E2663" t="s">
        <v>95</v>
      </c>
      <c r="F2663" t="s">
        <v>102</v>
      </c>
      <c r="G2663" t="s">
        <v>113</v>
      </c>
      <c r="H2663" t="s">
        <v>113</v>
      </c>
      <c r="J2663">
        <v>0</v>
      </c>
      <c r="K2663">
        <v>2</v>
      </c>
      <c r="L2663">
        <v>84.740740740000007</v>
      </c>
      <c r="M2663">
        <v>29.167014049999999</v>
      </c>
      <c r="N2663">
        <v>1.1169849999999999</v>
      </c>
      <c r="O2663">
        <v>1.1571499000000001</v>
      </c>
      <c r="P2663">
        <v>83.757575759999995</v>
      </c>
      <c r="Q2663">
        <v>22.60997987</v>
      </c>
      <c r="R2663">
        <v>0.72884000000000004</v>
      </c>
      <c r="S2663">
        <v>0.21301339999999999</v>
      </c>
      <c r="T2663" t="s">
        <v>1017</v>
      </c>
      <c r="U2663">
        <v>6.5570341799999996</v>
      </c>
    </row>
    <row r="2664" spans="1:21" x14ac:dyDescent="0.25">
      <c r="A2664" t="s">
        <v>45</v>
      </c>
      <c r="B2664" t="s">
        <v>969</v>
      </c>
      <c r="C2664">
        <v>2</v>
      </c>
      <c r="D2664" t="s">
        <v>27</v>
      </c>
      <c r="E2664" t="s">
        <v>95</v>
      </c>
      <c r="F2664" t="s">
        <v>105</v>
      </c>
      <c r="G2664" t="s">
        <v>113</v>
      </c>
      <c r="H2664" t="s">
        <v>113</v>
      </c>
      <c r="J2664">
        <v>0</v>
      </c>
      <c r="K2664">
        <v>6</v>
      </c>
      <c r="L2664">
        <v>67.5</v>
      </c>
      <c r="M2664">
        <v>47.937235809999997</v>
      </c>
      <c r="N2664">
        <v>0.41599678000000001</v>
      </c>
      <c r="O2664">
        <v>2.0950346999999998</v>
      </c>
      <c r="P2664">
        <v>83.757575759999995</v>
      </c>
      <c r="Q2664">
        <v>22.60997987</v>
      </c>
      <c r="R2664">
        <v>0.72884000000000004</v>
      </c>
      <c r="S2664">
        <v>0.21301339999999999</v>
      </c>
      <c r="T2664" t="s">
        <v>1017</v>
      </c>
      <c r="U2664">
        <v>25.327255940000001</v>
      </c>
    </row>
    <row r="2665" spans="1:21" x14ac:dyDescent="0.25">
      <c r="A2665" t="s">
        <v>45</v>
      </c>
      <c r="B2665" t="s">
        <v>969</v>
      </c>
      <c r="C2665">
        <v>2</v>
      </c>
      <c r="D2665" t="s">
        <v>27</v>
      </c>
      <c r="E2665" t="s">
        <v>95</v>
      </c>
      <c r="F2665" t="s">
        <v>105</v>
      </c>
      <c r="G2665" t="s">
        <v>113</v>
      </c>
      <c r="H2665" t="s">
        <v>113</v>
      </c>
      <c r="J2665">
        <v>0</v>
      </c>
      <c r="K2665">
        <v>6</v>
      </c>
      <c r="L2665">
        <v>67.5</v>
      </c>
      <c r="M2665">
        <v>47.937235809999997</v>
      </c>
      <c r="N2665">
        <v>0.41599678000000001</v>
      </c>
      <c r="O2665">
        <v>2.0950346999999998</v>
      </c>
      <c r="P2665">
        <v>83.757575759999995</v>
      </c>
      <c r="Q2665">
        <v>22.60997987</v>
      </c>
      <c r="R2665">
        <v>0.72884000000000004</v>
      </c>
      <c r="S2665">
        <v>0.21301339999999999</v>
      </c>
      <c r="T2665" t="s">
        <v>1017</v>
      </c>
      <c r="U2665">
        <v>25.327255940000001</v>
      </c>
    </row>
    <row r="2666" spans="1:21" x14ac:dyDescent="0.25">
      <c r="A2666" t="s">
        <v>45</v>
      </c>
      <c r="B2666" t="s">
        <v>969</v>
      </c>
      <c r="C2666">
        <v>2</v>
      </c>
      <c r="D2666" t="s">
        <v>27</v>
      </c>
      <c r="E2666" t="s">
        <v>95</v>
      </c>
      <c r="F2666" t="s">
        <v>105</v>
      </c>
      <c r="G2666" t="s">
        <v>113</v>
      </c>
      <c r="H2666" t="s">
        <v>113</v>
      </c>
      <c r="J2666">
        <v>0</v>
      </c>
      <c r="K2666">
        <v>6</v>
      </c>
      <c r="L2666">
        <v>67.5</v>
      </c>
      <c r="M2666">
        <v>47.937235809999997</v>
      </c>
      <c r="N2666">
        <v>0.41599678000000001</v>
      </c>
      <c r="O2666">
        <v>2.0950346999999998</v>
      </c>
      <c r="P2666">
        <v>83.757575759999995</v>
      </c>
      <c r="Q2666">
        <v>22.60997987</v>
      </c>
      <c r="R2666">
        <v>0.72884000000000004</v>
      </c>
      <c r="S2666">
        <v>0.21301339999999999</v>
      </c>
      <c r="T2666" t="s">
        <v>1017</v>
      </c>
      <c r="U2666">
        <v>25.327255940000001</v>
      </c>
    </row>
    <row r="2667" spans="1:21" x14ac:dyDescent="0.25">
      <c r="A2667" t="s">
        <v>45</v>
      </c>
      <c r="B2667" t="s">
        <v>969</v>
      </c>
      <c r="C2667">
        <v>2</v>
      </c>
      <c r="D2667" t="s">
        <v>27</v>
      </c>
      <c r="E2667" t="s">
        <v>95</v>
      </c>
      <c r="F2667" t="s">
        <v>105</v>
      </c>
      <c r="G2667" t="s">
        <v>113</v>
      </c>
      <c r="H2667" t="s">
        <v>113</v>
      </c>
      <c r="J2667">
        <v>0</v>
      </c>
      <c r="K2667">
        <v>6</v>
      </c>
      <c r="L2667">
        <v>67.5</v>
      </c>
      <c r="M2667">
        <v>47.937235809999997</v>
      </c>
      <c r="N2667">
        <v>0.41599678000000001</v>
      </c>
      <c r="O2667">
        <v>2.0950346999999998</v>
      </c>
      <c r="P2667">
        <v>83.757575759999995</v>
      </c>
      <c r="Q2667">
        <v>22.60997987</v>
      </c>
      <c r="R2667">
        <v>0.72884000000000004</v>
      </c>
      <c r="S2667">
        <v>0.21301339999999999</v>
      </c>
      <c r="T2667" t="s">
        <v>1017</v>
      </c>
      <c r="U2667">
        <v>25.327255940000001</v>
      </c>
    </row>
    <row r="2668" spans="1:21" x14ac:dyDescent="0.25">
      <c r="A2668" t="s">
        <v>45</v>
      </c>
      <c r="B2668" t="s">
        <v>969</v>
      </c>
      <c r="C2668">
        <v>2</v>
      </c>
      <c r="D2668" t="s">
        <v>27</v>
      </c>
      <c r="E2668" t="s">
        <v>95</v>
      </c>
      <c r="F2668" t="s">
        <v>105</v>
      </c>
      <c r="G2668" t="s">
        <v>113</v>
      </c>
      <c r="H2668" t="s">
        <v>113</v>
      </c>
      <c r="J2668">
        <v>0</v>
      </c>
      <c r="K2668">
        <v>6</v>
      </c>
      <c r="L2668">
        <v>67.5</v>
      </c>
      <c r="M2668">
        <v>47.937235809999997</v>
      </c>
      <c r="N2668">
        <v>0.41599678000000001</v>
      </c>
      <c r="O2668">
        <v>2.0950346999999998</v>
      </c>
      <c r="P2668">
        <v>83.757575759999995</v>
      </c>
      <c r="Q2668">
        <v>22.60997987</v>
      </c>
      <c r="R2668">
        <v>0.72884000000000004</v>
      </c>
      <c r="S2668">
        <v>0.21301339999999999</v>
      </c>
      <c r="T2668" t="s">
        <v>1017</v>
      </c>
      <c r="U2668">
        <v>25.327255940000001</v>
      </c>
    </row>
    <row r="2669" spans="1:21" x14ac:dyDescent="0.25">
      <c r="A2669" t="s">
        <v>45</v>
      </c>
      <c r="B2669" t="s">
        <v>969</v>
      </c>
      <c r="C2669">
        <v>2</v>
      </c>
      <c r="D2669" t="s">
        <v>27</v>
      </c>
      <c r="E2669" t="s">
        <v>95</v>
      </c>
      <c r="F2669" t="s">
        <v>105</v>
      </c>
      <c r="G2669" t="s">
        <v>113</v>
      </c>
      <c r="H2669" t="s">
        <v>113</v>
      </c>
      <c r="J2669">
        <v>0</v>
      </c>
      <c r="K2669">
        <v>6</v>
      </c>
      <c r="L2669">
        <v>67.5</v>
      </c>
      <c r="M2669">
        <v>47.937235809999997</v>
      </c>
      <c r="N2669">
        <v>0.41599678000000001</v>
      </c>
      <c r="O2669">
        <v>2.0950346999999998</v>
      </c>
      <c r="P2669">
        <v>83.757575759999995</v>
      </c>
      <c r="Q2669">
        <v>22.60997987</v>
      </c>
      <c r="R2669">
        <v>0.72884000000000004</v>
      </c>
      <c r="S2669">
        <v>0.21301339999999999</v>
      </c>
      <c r="T2669" t="s">
        <v>1017</v>
      </c>
      <c r="U2669">
        <v>25.327255940000001</v>
      </c>
    </row>
    <row r="2670" spans="1:21" x14ac:dyDescent="0.25">
      <c r="A2670" t="s">
        <v>45</v>
      </c>
      <c r="B2670" t="s">
        <v>970</v>
      </c>
      <c r="C2670">
        <v>2</v>
      </c>
      <c r="D2670" t="s">
        <v>27</v>
      </c>
      <c r="E2670" t="s">
        <v>95</v>
      </c>
      <c r="F2670" t="s">
        <v>112</v>
      </c>
      <c r="G2670" t="s">
        <v>121</v>
      </c>
      <c r="H2670" t="s">
        <v>113</v>
      </c>
      <c r="J2670">
        <v>0</v>
      </c>
      <c r="K2670">
        <v>8</v>
      </c>
      <c r="L2670">
        <v>65.09375</v>
      </c>
      <c r="M2670">
        <v>37.895352600000002</v>
      </c>
      <c r="N2670">
        <v>2.2882677779999998</v>
      </c>
      <c r="O2670">
        <v>2.2111774</v>
      </c>
      <c r="P2670">
        <v>83.757575759999995</v>
      </c>
      <c r="Q2670">
        <v>22.60997987</v>
      </c>
      <c r="R2670">
        <v>0.72884000000000004</v>
      </c>
      <c r="S2670">
        <v>0.21301339999999999</v>
      </c>
      <c r="T2670" t="s">
        <v>1017</v>
      </c>
      <c r="U2670">
        <v>15.285372730000001</v>
      </c>
    </row>
    <row r="2671" spans="1:21" x14ac:dyDescent="0.25">
      <c r="A2671" t="s">
        <v>45</v>
      </c>
      <c r="B2671" t="s">
        <v>970</v>
      </c>
      <c r="C2671">
        <v>2</v>
      </c>
      <c r="D2671" t="s">
        <v>27</v>
      </c>
      <c r="E2671" t="s">
        <v>95</v>
      </c>
      <c r="F2671" t="s">
        <v>112</v>
      </c>
      <c r="G2671" t="s">
        <v>121</v>
      </c>
      <c r="H2671" t="s">
        <v>113</v>
      </c>
      <c r="J2671">
        <v>0</v>
      </c>
      <c r="K2671">
        <v>8</v>
      </c>
      <c r="L2671">
        <v>65.09375</v>
      </c>
      <c r="M2671">
        <v>37.895352600000002</v>
      </c>
      <c r="N2671">
        <v>2.2882677779999998</v>
      </c>
      <c r="O2671">
        <v>2.2111774</v>
      </c>
      <c r="P2671">
        <v>83.757575759999995</v>
      </c>
      <c r="Q2671">
        <v>22.60997987</v>
      </c>
      <c r="R2671">
        <v>0.72884000000000004</v>
      </c>
      <c r="S2671">
        <v>0.21301339999999999</v>
      </c>
      <c r="T2671" t="s">
        <v>1017</v>
      </c>
      <c r="U2671">
        <v>15.285372730000001</v>
      </c>
    </row>
    <row r="2672" spans="1:21" x14ac:dyDescent="0.25">
      <c r="A2672" t="s">
        <v>45</v>
      </c>
      <c r="B2672" t="s">
        <v>970</v>
      </c>
      <c r="C2672">
        <v>2</v>
      </c>
      <c r="D2672" t="s">
        <v>27</v>
      </c>
      <c r="E2672" t="s">
        <v>95</v>
      </c>
      <c r="F2672" t="s">
        <v>112</v>
      </c>
      <c r="G2672" t="s">
        <v>121</v>
      </c>
      <c r="H2672" t="s">
        <v>113</v>
      </c>
      <c r="J2672">
        <v>0</v>
      </c>
      <c r="K2672">
        <v>8</v>
      </c>
      <c r="L2672">
        <v>65.09375</v>
      </c>
      <c r="M2672">
        <v>37.895352600000002</v>
      </c>
      <c r="N2672">
        <v>2.2882677779999998</v>
      </c>
      <c r="O2672">
        <v>2.2111774</v>
      </c>
      <c r="P2672">
        <v>83.757575759999995</v>
      </c>
      <c r="Q2672">
        <v>22.60997987</v>
      </c>
      <c r="R2672">
        <v>0.72884000000000004</v>
      </c>
      <c r="S2672">
        <v>0.21301339999999999</v>
      </c>
      <c r="T2672" t="s">
        <v>1017</v>
      </c>
      <c r="U2672">
        <v>15.285372730000001</v>
      </c>
    </row>
    <row r="2673" spans="1:21" x14ac:dyDescent="0.25">
      <c r="A2673" t="s">
        <v>45</v>
      </c>
      <c r="B2673" t="s">
        <v>970</v>
      </c>
      <c r="C2673">
        <v>2</v>
      </c>
      <c r="D2673" t="s">
        <v>27</v>
      </c>
      <c r="E2673" t="s">
        <v>95</v>
      </c>
      <c r="F2673" t="s">
        <v>112</v>
      </c>
      <c r="G2673" t="s">
        <v>121</v>
      </c>
      <c r="H2673" t="s">
        <v>113</v>
      </c>
      <c r="J2673">
        <v>0</v>
      </c>
      <c r="K2673">
        <v>8</v>
      </c>
      <c r="L2673">
        <v>65.09375</v>
      </c>
      <c r="M2673">
        <v>37.895352600000002</v>
      </c>
      <c r="N2673">
        <v>2.2882677779999998</v>
      </c>
      <c r="O2673">
        <v>2.2111774</v>
      </c>
      <c r="P2673">
        <v>83.757575759999995</v>
      </c>
      <c r="Q2673">
        <v>22.60997987</v>
      </c>
      <c r="R2673">
        <v>0.72884000000000004</v>
      </c>
      <c r="S2673">
        <v>0.21301339999999999</v>
      </c>
      <c r="T2673" t="s">
        <v>1017</v>
      </c>
      <c r="U2673">
        <v>15.285372730000001</v>
      </c>
    </row>
    <row r="2674" spans="1:21" x14ac:dyDescent="0.25">
      <c r="A2674" t="s">
        <v>45</v>
      </c>
      <c r="B2674" t="s">
        <v>970</v>
      </c>
      <c r="C2674">
        <v>2</v>
      </c>
      <c r="D2674" t="s">
        <v>27</v>
      </c>
      <c r="E2674" t="s">
        <v>95</v>
      </c>
      <c r="F2674" t="s">
        <v>112</v>
      </c>
      <c r="G2674" t="s">
        <v>121</v>
      </c>
      <c r="H2674" t="s">
        <v>113</v>
      </c>
      <c r="J2674">
        <v>0</v>
      </c>
      <c r="K2674">
        <v>8</v>
      </c>
      <c r="L2674">
        <v>65.09375</v>
      </c>
      <c r="M2674">
        <v>37.895352600000002</v>
      </c>
      <c r="N2674">
        <v>2.2882677779999998</v>
      </c>
      <c r="O2674">
        <v>2.2111774</v>
      </c>
      <c r="P2674">
        <v>83.757575759999995</v>
      </c>
      <c r="Q2674">
        <v>22.60997987</v>
      </c>
      <c r="R2674">
        <v>0.72884000000000004</v>
      </c>
      <c r="S2674">
        <v>0.21301339999999999</v>
      </c>
      <c r="T2674" t="s">
        <v>1017</v>
      </c>
      <c r="U2674">
        <v>15.285372730000001</v>
      </c>
    </row>
    <row r="2675" spans="1:21" x14ac:dyDescent="0.25">
      <c r="A2675" t="s">
        <v>45</v>
      </c>
      <c r="B2675" t="s">
        <v>970</v>
      </c>
      <c r="C2675">
        <v>2</v>
      </c>
      <c r="D2675" t="s">
        <v>27</v>
      </c>
      <c r="E2675" t="s">
        <v>95</v>
      </c>
      <c r="F2675" t="s">
        <v>112</v>
      </c>
      <c r="G2675" t="s">
        <v>121</v>
      </c>
      <c r="H2675" t="s">
        <v>113</v>
      </c>
      <c r="J2675">
        <v>0</v>
      </c>
      <c r="K2675">
        <v>8</v>
      </c>
      <c r="L2675">
        <v>65.09375</v>
      </c>
      <c r="M2675">
        <v>37.895352600000002</v>
      </c>
      <c r="N2675">
        <v>2.2882677779999998</v>
      </c>
      <c r="O2675">
        <v>2.2111774</v>
      </c>
      <c r="P2675">
        <v>83.757575759999995</v>
      </c>
      <c r="Q2675">
        <v>22.60997987</v>
      </c>
      <c r="R2675">
        <v>0.72884000000000004</v>
      </c>
      <c r="S2675">
        <v>0.21301339999999999</v>
      </c>
      <c r="T2675" t="s">
        <v>1017</v>
      </c>
      <c r="U2675">
        <v>15.285372730000001</v>
      </c>
    </row>
    <row r="2676" spans="1:21" x14ac:dyDescent="0.25">
      <c r="A2676" t="s">
        <v>45</v>
      </c>
      <c r="B2676" t="s">
        <v>970</v>
      </c>
      <c r="C2676">
        <v>2</v>
      </c>
      <c r="D2676" t="s">
        <v>27</v>
      </c>
      <c r="E2676" t="s">
        <v>95</v>
      </c>
      <c r="F2676" t="s">
        <v>112</v>
      </c>
      <c r="G2676" t="s">
        <v>121</v>
      </c>
      <c r="H2676" t="s">
        <v>113</v>
      </c>
      <c r="J2676">
        <v>0</v>
      </c>
      <c r="K2676">
        <v>8</v>
      </c>
      <c r="L2676">
        <v>65.09375</v>
      </c>
      <c r="M2676">
        <v>37.895352600000002</v>
      </c>
      <c r="N2676">
        <v>2.2882677779999998</v>
      </c>
      <c r="O2676">
        <v>2.2111774</v>
      </c>
      <c r="P2676">
        <v>83.757575759999995</v>
      </c>
      <c r="Q2676">
        <v>22.60997987</v>
      </c>
      <c r="R2676">
        <v>0.72884000000000004</v>
      </c>
      <c r="S2676">
        <v>0.21301339999999999</v>
      </c>
      <c r="T2676" t="s">
        <v>1017</v>
      </c>
      <c r="U2676">
        <v>15.285372730000001</v>
      </c>
    </row>
    <row r="2677" spans="1:21" x14ac:dyDescent="0.25">
      <c r="A2677" t="s">
        <v>45</v>
      </c>
      <c r="B2677" t="s">
        <v>970</v>
      </c>
      <c r="C2677">
        <v>2</v>
      </c>
      <c r="D2677" t="s">
        <v>27</v>
      </c>
      <c r="E2677" t="s">
        <v>95</v>
      </c>
      <c r="F2677" t="s">
        <v>112</v>
      </c>
      <c r="G2677" t="s">
        <v>121</v>
      </c>
      <c r="H2677" t="s">
        <v>113</v>
      </c>
      <c r="J2677">
        <v>0</v>
      </c>
      <c r="K2677">
        <v>8</v>
      </c>
      <c r="L2677">
        <v>65.09375</v>
      </c>
      <c r="M2677">
        <v>37.895352600000002</v>
      </c>
      <c r="N2677">
        <v>2.2882677779999998</v>
      </c>
      <c r="O2677">
        <v>2.2111774</v>
      </c>
      <c r="P2677">
        <v>83.757575759999995</v>
      </c>
      <c r="Q2677">
        <v>22.60997987</v>
      </c>
      <c r="R2677">
        <v>0.72884000000000004</v>
      </c>
      <c r="S2677">
        <v>0.21301339999999999</v>
      </c>
      <c r="T2677" t="s">
        <v>1017</v>
      </c>
      <c r="U2677">
        <v>15.285372730000001</v>
      </c>
    </row>
    <row r="2678" spans="1:21" x14ac:dyDescent="0.25">
      <c r="A2678" t="s">
        <v>45</v>
      </c>
      <c r="B2678" t="s">
        <v>970</v>
      </c>
      <c r="C2678">
        <v>2</v>
      </c>
      <c r="D2678" t="s">
        <v>27</v>
      </c>
      <c r="E2678" t="s">
        <v>95</v>
      </c>
      <c r="F2678" t="s">
        <v>112</v>
      </c>
      <c r="G2678" t="s">
        <v>121</v>
      </c>
      <c r="H2678" t="s">
        <v>103</v>
      </c>
      <c r="J2678">
        <v>0</v>
      </c>
      <c r="K2678">
        <v>1</v>
      </c>
      <c r="L2678">
        <v>65.09375</v>
      </c>
      <c r="M2678">
        <v>37.895352600000002</v>
      </c>
      <c r="N2678">
        <v>2.2882677779999998</v>
      </c>
      <c r="O2678">
        <v>2.2111774</v>
      </c>
      <c r="P2678">
        <v>98.291666669999998</v>
      </c>
      <c r="Q2678">
        <v>30.315130790000001</v>
      </c>
      <c r="R2678">
        <v>5.0803484000000003E-2</v>
      </c>
      <c r="S2678">
        <v>0.42866070000000001</v>
      </c>
      <c r="T2678" t="s">
        <v>1017</v>
      </c>
      <c r="U2678">
        <v>7.5802218100000003</v>
      </c>
    </row>
    <row r="2679" spans="1:21" x14ac:dyDescent="0.25">
      <c r="A2679" t="s">
        <v>46</v>
      </c>
      <c r="B2679" t="s">
        <v>971</v>
      </c>
      <c r="C2679">
        <v>2</v>
      </c>
      <c r="D2679" t="s">
        <v>29</v>
      </c>
      <c r="E2679" t="s">
        <v>95</v>
      </c>
      <c r="F2679" t="s">
        <v>102</v>
      </c>
      <c r="G2679" t="s">
        <v>121</v>
      </c>
      <c r="H2679" t="s">
        <v>114</v>
      </c>
      <c r="J2679">
        <v>0</v>
      </c>
      <c r="K2679" t="s">
        <v>114</v>
      </c>
      <c r="L2679">
        <v>84.740740740000007</v>
      </c>
      <c r="M2679">
        <v>29.167014049999999</v>
      </c>
      <c r="N2679">
        <v>1.1169849999999999</v>
      </c>
      <c r="O2679">
        <v>1.1571499000000001</v>
      </c>
      <c r="P2679" t="s">
        <v>114</v>
      </c>
      <c r="Q2679" t="s">
        <v>114</v>
      </c>
      <c r="R2679" t="s">
        <v>114</v>
      </c>
      <c r="S2679" t="s">
        <v>114</v>
      </c>
      <c r="T2679" t="s">
        <v>1017</v>
      </c>
      <c r="U2679" t="s">
        <v>114</v>
      </c>
    </row>
    <row r="2680" spans="1:21" x14ac:dyDescent="0.25">
      <c r="A2680" t="s">
        <v>46</v>
      </c>
      <c r="B2680" t="s">
        <v>972</v>
      </c>
      <c r="C2680">
        <v>2</v>
      </c>
      <c r="D2680" t="s">
        <v>29</v>
      </c>
      <c r="E2680" t="s">
        <v>95</v>
      </c>
      <c r="F2680" t="s">
        <v>110</v>
      </c>
      <c r="G2680" t="s">
        <v>113</v>
      </c>
      <c r="H2680" t="s">
        <v>113</v>
      </c>
      <c r="J2680">
        <v>0</v>
      </c>
      <c r="K2680">
        <v>3</v>
      </c>
      <c r="L2680">
        <v>73.260869569999997</v>
      </c>
      <c r="M2680">
        <v>34.453830549999999</v>
      </c>
      <c r="N2680">
        <v>1.058333333</v>
      </c>
      <c r="O2680">
        <v>0.90897070000000002</v>
      </c>
      <c r="P2680">
        <v>83.757575759999995</v>
      </c>
      <c r="Q2680">
        <v>22.60997987</v>
      </c>
      <c r="R2680">
        <v>0.72884000000000004</v>
      </c>
      <c r="S2680">
        <v>0.21301339999999999</v>
      </c>
      <c r="T2680" t="s">
        <v>1017</v>
      </c>
      <c r="U2680">
        <v>11.843850679999999</v>
      </c>
    </row>
    <row r="2681" spans="1:21" x14ac:dyDescent="0.25">
      <c r="A2681" t="s">
        <v>46</v>
      </c>
      <c r="B2681" t="s">
        <v>972</v>
      </c>
      <c r="C2681">
        <v>2</v>
      </c>
      <c r="D2681" t="s">
        <v>29</v>
      </c>
      <c r="E2681" t="s">
        <v>95</v>
      </c>
      <c r="F2681" t="s">
        <v>110</v>
      </c>
      <c r="G2681" t="s">
        <v>113</v>
      </c>
      <c r="H2681" t="s">
        <v>113</v>
      </c>
      <c r="J2681">
        <v>0</v>
      </c>
      <c r="K2681">
        <v>3</v>
      </c>
      <c r="L2681">
        <v>73.260869569999997</v>
      </c>
      <c r="M2681">
        <v>34.453830549999999</v>
      </c>
      <c r="N2681">
        <v>1.058333333</v>
      </c>
      <c r="O2681">
        <v>0.90897070000000002</v>
      </c>
      <c r="P2681">
        <v>83.757575759999995</v>
      </c>
      <c r="Q2681">
        <v>22.60997987</v>
      </c>
      <c r="R2681">
        <v>0.72884000000000004</v>
      </c>
      <c r="S2681">
        <v>0.21301339999999999</v>
      </c>
      <c r="T2681" t="s">
        <v>1017</v>
      </c>
      <c r="U2681">
        <v>11.843850679999999</v>
      </c>
    </row>
    <row r="2682" spans="1:21" x14ac:dyDescent="0.25">
      <c r="A2682" t="s">
        <v>46</v>
      </c>
      <c r="B2682" t="s">
        <v>972</v>
      </c>
      <c r="C2682">
        <v>2</v>
      </c>
      <c r="D2682" t="s">
        <v>29</v>
      </c>
      <c r="E2682" t="s">
        <v>95</v>
      </c>
      <c r="F2682" t="s">
        <v>110</v>
      </c>
      <c r="G2682" t="s">
        <v>113</v>
      </c>
      <c r="H2682" t="s">
        <v>113</v>
      </c>
      <c r="J2682">
        <v>0</v>
      </c>
      <c r="K2682">
        <v>3</v>
      </c>
      <c r="L2682">
        <v>73.260869569999997</v>
      </c>
      <c r="M2682">
        <v>34.453830549999999</v>
      </c>
      <c r="N2682">
        <v>1.058333333</v>
      </c>
      <c r="O2682">
        <v>0.90897070000000002</v>
      </c>
      <c r="P2682">
        <v>83.757575759999995</v>
      </c>
      <c r="Q2682">
        <v>22.60997987</v>
      </c>
      <c r="R2682">
        <v>0.72884000000000004</v>
      </c>
      <c r="S2682">
        <v>0.21301339999999999</v>
      </c>
      <c r="T2682" t="s">
        <v>1017</v>
      </c>
      <c r="U2682">
        <v>11.843850679999999</v>
      </c>
    </row>
    <row r="2683" spans="1:21" x14ac:dyDescent="0.25">
      <c r="A2683" t="s">
        <v>46</v>
      </c>
      <c r="B2683" t="s">
        <v>973</v>
      </c>
      <c r="C2683">
        <v>2</v>
      </c>
      <c r="D2683" t="s">
        <v>29</v>
      </c>
      <c r="E2683" t="s">
        <v>95</v>
      </c>
      <c r="F2683" t="s">
        <v>112</v>
      </c>
      <c r="G2683" t="s">
        <v>121</v>
      </c>
      <c r="H2683" t="s">
        <v>114</v>
      </c>
      <c r="J2683">
        <v>0</v>
      </c>
      <c r="K2683" t="s">
        <v>114</v>
      </c>
      <c r="L2683">
        <v>65.09375</v>
      </c>
      <c r="M2683">
        <v>37.895352600000002</v>
      </c>
      <c r="N2683">
        <v>2.2882677779999998</v>
      </c>
      <c r="O2683">
        <v>2.2111774</v>
      </c>
      <c r="P2683" t="s">
        <v>114</v>
      </c>
      <c r="Q2683" t="s">
        <v>114</v>
      </c>
      <c r="R2683" t="s">
        <v>114</v>
      </c>
      <c r="S2683" t="s">
        <v>114</v>
      </c>
      <c r="T2683" t="s">
        <v>1017</v>
      </c>
      <c r="U2683" t="s">
        <v>114</v>
      </c>
    </row>
    <row r="2684" spans="1:21" x14ac:dyDescent="0.25">
      <c r="A2684" t="s">
        <v>47</v>
      </c>
      <c r="B2684" t="s">
        <v>974</v>
      </c>
      <c r="C2684">
        <v>2</v>
      </c>
      <c r="D2684" t="s">
        <v>31</v>
      </c>
      <c r="E2684" t="s">
        <v>94</v>
      </c>
      <c r="F2684" t="s">
        <v>112</v>
      </c>
      <c r="G2684" t="s">
        <v>112</v>
      </c>
      <c r="H2684" t="s">
        <v>112</v>
      </c>
      <c r="J2684">
        <v>0</v>
      </c>
      <c r="K2684">
        <v>1</v>
      </c>
      <c r="L2684">
        <v>65.09375</v>
      </c>
      <c r="M2684">
        <v>37.895352600000002</v>
      </c>
      <c r="N2684">
        <v>2.2882677779999998</v>
      </c>
      <c r="O2684">
        <v>2.2111774</v>
      </c>
      <c r="P2684">
        <v>65.09375</v>
      </c>
      <c r="Q2684">
        <v>37.895352600000002</v>
      </c>
      <c r="R2684">
        <v>2.2882677779999998</v>
      </c>
      <c r="S2684">
        <v>2.2111774</v>
      </c>
      <c r="T2684" t="s">
        <v>1017</v>
      </c>
      <c r="U2684">
        <v>0</v>
      </c>
    </row>
    <row r="2685" spans="1:21" x14ac:dyDescent="0.25">
      <c r="A2685" t="s">
        <v>47</v>
      </c>
      <c r="B2685" t="s">
        <v>974</v>
      </c>
      <c r="C2685">
        <v>2</v>
      </c>
      <c r="D2685" t="s">
        <v>31</v>
      </c>
      <c r="E2685" t="s">
        <v>94</v>
      </c>
      <c r="F2685" t="s">
        <v>112</v>
      </c>
      <c r="G2685" t="s">
        <v>112</v>
      </c>
      <c r="H2685" t="s">
        <v>113</v>
      </c>
      <c r="J2685">
        <v>0</v>
      </c>
      <c r="K2685">
        <v>1</v>
      </c>
      <c r="L2685">
        <v>65.09375</v>
      </c>
      <c r="M2685">
        <v>37.895352600000002</v>
      </c>
      <c r="N2685">
        <v>2.2882677779999998</v>
      </c>
      <c r="O2685">
        <v>2.2111774</v>
      </c>
      <c r="P2685">
        <v>83.757575759999995</v>
      </c>
      <c r="Q2685">
        <v>22.60997987</v>
      </c>
      <c r="R2685">
        <v>0.72884000000000004</v>
      </c>
      <c r="S2685">
        <v>0.21301339999999999</v>
      </c>
      <c r="T2685" t="s">
        <v>1017</v>
      </c>
      <c r="U2685">
        <v>15.285372730000001</v>
      </c>
    </row>
    <row r="2686" spans="1:21" x14ac:dyDescent="0.25">
      <c r="A2686" t="s">
        <v>48</v>
      </c>
      <c r="B2686" t="s">
        <v>975</v>
      </c>
      <c r="C2686">
        <v>2</v>
      </c>
      <c r="D2686" t="s">
        <v>33</v>
      </c>
      <c r="E2686" t="s">
        <v>95</v>
      </c>
      <c r="F2686" t="s">
        <v>105</v>
      </c>
      <c r="G2686" t="s">
        <v>104</v>
      </c>
      <c r="H2686" t="s">
        <v>103</v>
      </c>
      <c r="J2686">
        <v>0</v>
      </c>
      <c r="K2686">
        <v>1</v>
      </c>
      <c r="L2686">
        <v>67.5</v>
      </c>
      <c r="M2686">
        <v>47.937235809999997</v>
      </c>
      <c r="N2686">
        <v>0.41599678000000001</v>
      </c>
      <c r="O2686">
        <v>2.0950346999999998</v>
      </c>
      <c r="P2686">
        <v>98.291666669999998</v>
      </c>
      <c r="Q2686">
        <v>30.315130790000001</v>
      </c>
      <c r="R2686">
        <v>5.0803484000000003E-2</v>
      </c>
      <c r="S2686">
        <v>0.42866070000000001</v>
      </c>
      <c r="T2686" t="s">
        <v>1017</v>
      </c>
      <c r="U2686">
        <v>17.622105019999999</v>
      </c>
    </row>
    <row r="2687" spans="1:21" x14ac:dyDescent="0.25">
      <c r="A2687" t="s">
        <v>48</v>
      </c>
      <c r="B2687" t="s">
        <v>975</v>
      </c>
      <c r="C2687">
        <v>2</v>
      </c>
      <c r="D2687" t="s">
        <v>33</v>
      </c>
      <c r="E2687" t="s">
        <v>95</v>
      </c>
      <c r="F2687" t="s">
        <v>105</v>
      </c>
      <c r="G2687" t="s">
        <v>104</v>
      </c>
      <c r="H2687" t="s">
        <v>104</v>
      </c>
      <c r="J2687">
        <v>0</v>
      </c>
      <c r="K2687">
        <v>2</v>
      </c>
      <c r="L2687">
        <v>67.5</v>
      </c>
      <c r="M2687">
        <v>47.937235809999997</v>
      </c>
      <c r="N2687">
        <v>0.41599678000000001</v>
      </c>
      <c r="O2687">
        <v>2.0950346999999998</v>
      </c>
      <c r="P2687">
        <v>113.9375</v>
      </c>
      <c r="Q2687">
        <v>33.375507550000002</v>
      </c>
      <c r="R2687">
        <v>2.4262999999999999</v>
      </c>
      <c r="S2687">
        <v>0.40692159999999999</v>
      </c>
      <c r="T2687" t="s">
        <v>1017</v>
      </c>
      <c r="U2687">
        <v>14.561728260000001</v>
      </c>
    </row>
    <row r="2688" spans="1:21" x14ac:dyDescent="0.25">
      <c r="A2688" t="s">
        <v>48</v>
      </c>
      <c r="B2688" t="s">
        <v>975</v>
      </c>
      <c r="C2688">
        <v>2</v>
      </c>
      <c r="D2688" t="s">
        <v>33</v>
      </c>
      <c r="E2688" t="s">
        <v>95</v>
      </c>
      <c r="F2688" t="s">
        <v>105</v>
      </c>
      <c r="G2688" t="s">
        <v>104</v>
      </c>
      <c r="H2688" t="s">
        <v>104</v>
      </c>
      <c r="J2688">
        <v>0</v>
      </c>
      <c r="K2688">
        <v>2</v>
      </c>
      <c r="L2688">
        <v>67.5</v>
      </c>
      <c r="M2688">
        <v>47.937235809999997</v>
      </c>
      <c r="N2688">
        <v>0.41599678000000001</v>
      </c>
      <c r="O2688">
        <v>2.0950346999999998</v>
      </c>
      <c r="P2688">
        <v>113.9375</v>
      </c>
      <c r="Q2688">
        <v>33.375507550000002</v>
      </c>
      <c r="R2688">
        <v>2.4262999999999999</v>
      </c>
      <c r="S2688">
        <v>0.40692159999999999</v>
      </c>
      <c r="T2688" t="s">
        <v>1017</v>
      </c>
      <c r="U2688">
        <v>14.561728260000001</v>
      </c>
    </row>
    <row r="2689" spans="1:21" x14ac:dyDescent="0.25">
      <c r="A2689" t="s">
        <v>48</v>
      </c>
      <c r="B2689" t="s">
        <v>976</v>
      </c>
      <c r="C2689">
        <v>2</v>
      </c>
      <c r="D2689" t="s">
        <v>33</v>
      </c>
      <c r="E2689" t="s">
        <v>95</v>
      </c>
      <c r="F2689" t="s">
        <v>111</v>
      </c>
      <c r="G2689" t="s">
        <v>113</v>
      </c>
      <c r="H2689" t="s">
        <v>113</v>
      </c>
      <c r="J2689">
        <v>0</v>
      </c>
      <c r="K2689">
        <v>1</v>
      </c>
      <c r="L2689">
        <v>94.97142857</v>
      </c>
      <c r="M2689">
        <v>24.31591813</v>
      </c>
      <c r="N2689">
        <v>0.122951111</v>
      </c>
      <c r="O2689">
        <v>0.39050790000000002</v>
      </c>
      <c r="P2689">
        <v>83.757575759999995</v>
      </c>
      <c r="Q2689">
        <v>22.60997987</v>
      </c>
      <c r="R2689">
        <v>0.72884000000000004</v>
      </c>
      <c r="S2689">
        <v>0.21301339999999999</v>
      </c>
      <c r="T2689" t="s">
        <v>1017</v>
      </c>
      <c r="U2689">
        <v>1.7059382599999999</v>
      </c>
    </row>
    <row r="2690" spans="1:21" x14ac:dyDescent="0.25">
      <c r="A2690" t="s">
        <v>48</v>
      </c>
      <c r="B2690" t="s">
        <v>976</v>
      </c>
      <c r="C2690">
        <v>2</v>
      </c>
      <c r="D2690" t="s">
        <v>33</v>
      </c>
      <c r="E2690" t="s">
        <v>95</v>
      </c>
      <c r="F2690" t="s">
        <v>111</v>
      </c>
      <c r="G2690" t="s">
        <v>113</v>
      </c>
      <c r="H2690" t="s">
        <v>241</v>
      </c>
      <c r="J2690">
        <v>0</v>
      </c>
      <c r="K2690">
        <v>1</v>
      </c>
      <c r="L2690">
        <v>94.97142857</v>
      </c>
      <c r="M2690">
        <v>24.31591813</v>
      </c>
      <c r="N2690">
        <v>0.122951111</v>
      </c>
      <c r="O2690">
        <v>0.39050790000000002</v>
      </c>
      <c r="P2690">
        <v>114</v>
      </c>
      <c r="Q2690">
        <v>30.43077242</v>
      </c>
      <c r="R2690">
        <v>0.53383111100000002</v>
      </c>
      <c r="S2690">
        <v>0.28333332999999999</v>
      </c>
      <c r="T2690" t="s">
        <v>1017</v>
      </c>
      <c r="U2690">
        <v>6.1148542900000002</v>
      </c>
    </row>
    <row r="2691" spans="1:21" x14ac:dyDescent="0.25">
      <c r="A2691" t="s">
        <v>48</v>
      </c>
      <c r="B2691" t="s">
        <v>977</v>
      </c>
      <c r="C2691">
        <v>2</v>
      </c>
      <c r="D2691" t="s">
        <v>33</v>
      </c>
      <c r="E2691" t="s">
        <v>95</v>
      </c>
      <c r="F2691" t="s">
        <v>104</v>
      </c>
      <c r="G2691" t="s">
        <v>121</v>
      </c>
      <c r="H2691" t="s">
        <v>113</v>
      </c>
      <c r="J2691">
        <v>0</v>
      </c>
      <c r="K2691">
        <v>5</v>
      </c>
      <c r="L2691">
        <v>113.9375</v>
      </c>
      <c r="M2691">
        <v>33.375507550000002</v>
      </c>
      <c r="N2691">
        <v>2.4262999999999999</v>
      </c>
      <c r="O2691">
        <v>0.40692159999999999</v>
      </c>
      <c r="P2691">
        <v>83.757575759999995</v>
      </c>
      <c r="Q2691">
        <v>22.60997987</v>
      </c>
      <c r="R2691">
        <v>0.72884000000000004</v>
      </c>
      <c r="S2691">
        <v>0.21301339999999999</v>
      </c>
      <c r="T2691" t="s">
        <v>1017</v>
      </c>
      <c r="U2691">
        <v>10.76552768</v>
      </c>
    </row>
    <row r="2692" spans="1:21" x14ac:dyDescent="0.25">
      <c r="A2692" t="s">
        <v>48</v>
      </c>
      <c r="B2692" t="s">
        <v>977</v>
      </c>
      <c r="C2692">
        <v>2</v>
      </c>
      <c r="D2692" t="s">
        <v>33</v>
      </c>
      <c r="E2692" t="s">
        <v>95</v>
      </c>
      <c r="F2692" t="s">
        <v>104</v>
      </c>
      <c r="G2692" t="s">
        <v>121</v>
      </c>
      <c r="H2692" t="s">
        <v>113</v>
      </c>
      <c r="J2692">
        <v>0</v>
      </c>
      <c r="K2692">
        <v>5</v>
      </c>
      <c r="L2692">
        <v>113.9375</v>
      </c>
      <c r="M2692">
        <v>33.375507550000002</v>
      </c>
      <c r="N2692">
        <v>2.4262999999999999</v>
      </c>
      <c r="O2692">
        <v>0.40692159999999999</v>
      </c>
      <c r="P2692">
        <v>83.757575759999995</v>
      </c>
      <c r="Q2692">
        <v>22.60997987</v>
      </c>
      <c r="R2692">
        <v>0.72884000000000004</v>
      </c>
      <c r="S2692">
        <v>0.21301339999999999</v>
      </c>
      <c r="T2692" t="s">
        <v>1017</v>
      </c>
      <c r="U2692">
        <v>10.76552768</v>
      </c>
    </row>
    <row r="2693" spans="1:21" x14ac:dyDescent="0.25">
      <c r="A2693" t="s">
        <v>48</v>
      </c>
      <c r="B2693" t="s">
        <v>977</v>
      </c>
      <c r="C2693">
        <v>2</v>
      </c>
      <c r="D2693" t="s">
        <v>33</v>
      </c>
      <c r="E2693" t="s">
        <v>95</v>
      </c>
      <c r="F2693" t="s">
        <v>104</v>
      </c>
      <c r="G2693" t="s">
        <v>121</v>
      </c>
      <c r="H2693" t="s">
        <v>113</v>
      </c>
      <c r="J2693">
        <v>0</v>
      </c>
      <c r="K2693">
        <v>5</v>
      </c>
      <c r="L2693">
        <v>113.9375</v>
      </c>
      <c r="M2693">
        <v>33.375507550000002</v>
      </c>
      <c r="N2693">
        <v>2.4262999999999999</v>
      </c>
      <c r="O2693">
        <v>0.40692159999999999</v>
      </c>
      <c r="P2693">
        <v>83.757575759999995</v>
      </c>
      <c r="Q2693">
        <v>22.60997987</v>
      </c>
      <c r="R2693">
        <v>0.72884000000000004</v>
      </c>
      <c r="S2693">
        <v>0.21301339999999999</v>
      </c>
      <c r="T2693" t="s">
        <v>1017</v>
      </c>
      <c r="U2693">
        <v>10.76552768</v>
      </c>
    </row>
    <row r="2694" spans="1:21" x14ac:dyDescent="0.25">
      <c r="A2694" t="s">
        <v>48</v>
      </c>
      <c r="B2694" t="s">
        <v>977</v>
      </c>
      <c r="C2694">
        <v>2</v>
      </c>
      <c r="D2694" t="s">
        <v>33</v>
      </c>
      <c r="E2694" t="s">
        <v>95</v>
      </c>
      <c r="F2694" t="s">
        <v>104</v>
      </c>
      <c r="G2694" t="s">
        <v>121</v>
      </c>
      <c r="H2694" t="s">
        <v>113</v>
      </c>
      <c r="J2694">
        <v>0</v>
      </c>
      <c r="K2694">
        <v>5</v>
      </c>
      <c r="L2694">
        <v>113.9375</v>
      </c>
      <c r="M2694">
        <v>33.375507550000002</v>
      </c>
      <c r="N2694">
        <v>2.4262999999999999</v>
      </c>
      <c r="O2694">
        <v>0.40692159999999999</v>
      </c>
      <c r="P2694">
        <v>83.757575759999995</v>
      </c>
      <c r="Q2694">
        <v>22.60997987</v>
      </c>
      <c r="R2694">
        <v>0.72884000000000004</v>
      </c>
      <c r="S2694">
        <v>0.21301339999999999</v>
      </c>
      <c r="T2694" t="s">
        <v>1017</v>
      </c>
      <c r="U2694">
        <v>10.76552768</v>
      </c>
    </row>
    <row r="2695" spans="1:21" x14ac:dyDescent="0.25">
      <c r="A2695" t="s">
        <v>48</v>
      </c>
      <c r="B2695" t="s">
        <v>977</v>
      </c>
      <c r="C2695">
        <v>2</v>
      </c>
      <c r="D2695" t="s">
        <v>33</v>
      </c>
      <c r="E2695" t="s">
        <v>95</v>
      </c>
      <c r="F2695" t="s">
        <v>104</v>
      </c>
      <c r="G2695" t="s">
        <v>121</v>
      </c>
      <c r="H2695" t="s">
        <v>113</v>
      </c>
      <c r="J2695">
        <v>0</v>
      </c>
      <c r="K2695">
        <v>5</v>
      </c>
      <c r="L2695">
        <v>113.9375</v>
      </c>
      <c r="M2695">
        <v>33.375507550000002</v>
      </c>
      <c r="N2695">
        <v>2.4262999999999999</v>
      </c>
      <c r="O2695">
        <v>0.40692159999999999</v>
      </c>
      <c r="P2695">
        <v>83.757575759999995</v>
      </c>
      <c r="Q2695">
        <v>22.60997987</v>
      </c>
      <c r="R2695">
        <v>0.72884000000000004</v>
      </c>
      <c r="S2695">
        <v>0.21301339999999999</v>
      </c>
      <c r="T2695" t="s">
        <v>1017</v>
      </c>
      <c r="U2695">
        <v>10.76552768</v>
      </c>
    </row>
    <row r="2696" spans="1:21" x14ac:dyDescent="0.25">
      <c r="A2696" t="s">
        <v>48</v>
      </c>
      <c r="B2696" t="s">
        <v>977</v>
      </c>
      <c r="C2696">
        <v>2</v>
      </c>
      <c r="D2696" t="s">
        <v>33</v>
      </c>
      <c r="E2696" t="s">
        <v>95</v>
      </c>
      <c r="F2696" t="s">
        <v>104</v>
      </c>
      <c r="G2696" t="s">
        <v>121</v>
      </c>
      <c r="H2696" t="s">
        <v>104</v>
      </c>
      <c r="J2696">
        <v>0</v>
      </c>
      <c r="K2696">
        <v>2</v>
      </c>
      <c r="L2696">
        <v>113.9375</v>
      </c>
      <c r="M2696">
        <v>33.375507550000002</v>
      </c>
      <c r="N2696">
        <v>2.4262999999999999</v>
      </c>
      <c r="O2696">
        <v>0.40692159999999999</v>
      </c>
      <c r="P2696">
        <v>113.9375</v>
      </c>
      <c r="Q2696">
        <v>33.375507550000002</v>
      </c>
      <c r="R2696">
        <v>2.4262999999999999</v>
      </c>
      <c r="S2696">
        <v>0.40692159999999999</v>
      </c>
      <c r="T2696" t="s">
        <v>1017</v>
      </c>
      <c r="U2696">
        <v>0</v>
      </c>
    </row>
    <row r="2697" spans="1:21" x14ac:dyDescent="0.25">
      <c r="A2697" t="s">
        <v>48</v>
      </c>
      <c r="B2697" t="s">
        <v>977</v>
      </c>
      <c r="C2697">
        <v>2</v>
      </c>
      <c r="D2697" t="s">
        <v>33</v>
      </c>
      <c r="E2697" t="s">
        <v>95</v>
      </c>
      <c r="F2697" t="s">
        <v>104</v>
      </c>
      <c r="G2697" t="s">
        <v>121</v>
      </c>
      <c r="H2697" t="s">
        <v>104</v>
      </c>
      <c r="J2697">
        <v>0</v>
      </c>
      <c r="K2697">
        <v>2</v>
      </c>
      <c r="L2697">
        <v>113.9375</v>
      </c>
      <c r="M2697">
        <v>33.375507550000002</v>
      </c>
      <c r="N2697">
        <v>2.4262999999999999</v>
      </c>
      <c r="O2697">
        <v>0.40692159999999999</v>
      </c>
      <c r="P2697">
        <v>113.9375</v>
      </c>
      <c r="Q2697">
        <v>33.375507550000002</v>
      </c>
      <c r="R2697">
        <v>2.4262999999999999</v>
      </c>
      <c r="S2697">
        <v>0.40692159999999999</v>
      </c>
      <c r="T2697" t="s">
        <v>1017</v>
      </c>
      <c r="U2697">
        <v>0</v>
      </c>
    </row>
    <row r="2698" spans="1:21" x14ac:dyDescent="0.25">
      <c r="A2698" t="s">
        <v>48</v>
      </c>
      <c r="B2698" t="s">
        <v>977</v>
      </c>
      <c r="C2698">
        <v>2</v>
      </c>
      <c r="D2698" t="s">
        <v>33</v>
      </c>
      <c r="E2698" t="s">
        <v>95</v>
      </c>
      <c r="F2698" t="s">
        <v>104</v>
      </c>
      <c r="G2698" t="s">
        <v>121</v>
      </c>
      <c r="H2698" t="s">
        <v>103</v>
      </c>
      <c r="J2698">
        <v>0</v>
      </c>
      <c r="K2698">
        <v>1</v>
      </c>
      <c r="L2698">
        <v>113.9375</v>
      </c>
      <c r="M2698">
        <v>33.375507550000002</v>
      </c>
      <c r="N2698">
        <v>2.4262999999999999</v>
      </c>
      <c r="O2698">
        <v>0.40692159999999999</v>
      </c>
      <c r="P2698">
        <v>98.291666669999998</v>
      </c>
      <c r="Q2698">
        <v>30.315130790000001</v>
      </c>
      <c r="R2698">
        <v>5.0803484000000003E-2</v>
      </c>
      <c r="S2698">
        <v>0.42866070000000001</v>
      </c>
      <c r="T2698" t="s">
        <v>1017</v>
      </c>
      <c r="U2698">
        <v>3.06037676</v>
      </c>
    </row>
    <row r="2699" spans="1:21" x14ac:dyDescent="0.25">
      <c r="A2699" t="s">
        <v>49</v>
      </c>
      <c r="B2699" t="s">
        <v>978</v>
      </c>
      <c r="C2699">
        <v>2</v>
      </c>
      <c r="D2699" t="s">
        <v>35</v>
      </c>
      <c r="E2699" t="s">
        <v>94</v>
      </c>
      <c r="F2699" t="s">
        <v>102</v>
      </c>
      <c r="G2699" t="s">
        <v>112</v>
      </c>
      <c r="H2699" t="s">
        <v>112</v>
      </c>
      <c r="J2699">
        <v>0</v>
      </c>
      <c r="K2699">
        <v>1</v>
      </c>
      <c r="L2699">
        <v>84.740740740000007</v>
      </c>
      <c r="M2699">
        <v>29.167014049999999</v>
      </c>
      <c r="N2699">
        <v>1.1169849999999999</v>
      </c>
      <c r="O2699">
        <v>1.1571499000000001</v>
      </c>
      <c r="P2699">
        <v>65.09375</v>
      </c>
      <c r="Q2699">
        <v>37.895352600000002</v>
      </c>
      <c r="R2699">
        <v>2.2882677779999998</v>
      </c>
      <c r="S2699">
        <v>2.2111774</v>
      </c>
      <c r="T2699" t="s">
        <v>1017</v>
      </c>
      <c r="U2699">
        <v>8.7283385500000001</v>
      </c>
    </row>
    <row r="2700" spans="1:21" x14ac:dyDescent="0.25">
      <c r="A2700" t="s">
        <v>49</v>
      </c>
      <c r="B2700" t="s">
        <v>978</v>
      </c>
      <c r="C2700">
        <v>2</v>
      </c>
      <c r="D2700" t="s">
        <v>35</v>
      </c>
      <c r="E2700" t="s">
        <v>94</v>
      </c>
      <c r="F2700" t="s">
        <v>102</v>
      </c>
      <c r="G2700" t="s">
        <v>112</v>
      </c>
      <c r="H2700" t="s">
        <v>104</v>
      </c>
      <c r="J2700">
        <v>0</v>
      </c>
      <c r="K2700">
        <v>5</v>
      </c>
      <c r="L2700">
        <v>84.740740740000007</v>
      </c>
      <c r="M2700">
        <v>29.167014049999999</v>
      </c>
      <c r="N2700">
        <v>1.1169849999999999</v>
      </c>
      <c r="O2700">
        <v>1.1571499000000001</v>
      </c>
      <c r="P2700">
        <v>113.9375</v>
      </c>
      <c r="Q2700">
        <v>33.375507550000002</v>
      </c>
      <c r="R2700">
        <v>2.4262999999999999</v>
      </c>
      <c r="S2700">
        <v>0.40692159999999999</v>
      </c>
      <c r="T2700" t="s">
        <v>1017</v>
      </c>
      <c r="U2700">
        <v>4.2084935000000003</v>
      </c>
    </row>
    <row r="2701" spans="1:21" x14ac:dyDescent="0.25">
      <c r="A2701" t="s">
        <v>49</v>
      </c>
      <c r="B2701" t="s">
        <v>978</v>
      </c>
      <c r="C2701">
        <v>2</v>
      </c>
      <c r="D2701" t="s">
        <v>35</v>
      </c>
      <c r="E2701" t="s">
        <v>94</v>
      </c>
      <c r="F2701" t="s">
        <v>102</v>
      </c>
      <c r="G2701" t="s">
        <v>112</v>
      </c>
      <c r="H2701" t="s">
        <v>104</v>
      </c>
      <c r="J2701">
        <v>0</v>
      </c>
      <c r="K2701">
        <v>5</v>
      </c>
      <c r="L2701">
        <v>84.740740740000007</v>
      </c>
      <c r="M2701">
        <v>29.167014049999999</v>
      </c>
      <c r="N2701">
        <v>1.1169849999999999</v>
      </c>
      <c r="O2701">
        <v>1.1571499000000001</v>
      </c>
      <c r="P2701">
        <v>113.9375</v>
      </c>
      <c r="Q2701">
        <v>33.375507550000002</v>
      </c>
      <c r="R2701">
        <v>2.4262999999999999</v>
      </c>
      <c r="S2701">
        <v>0.40692159999999999</v>
      </c>
      <c r="T2701" t="s">
        <v>1017</v>
      </c>
      <c r="U2701">
        <v>4.2084935000000003</v>
      </c>
    </row>
    <row r="2702" spans="1:21" x14ac:dyDescent="0.25">
      <c r="A2702" t="s">
        <v>49</v>
      </c>
      <c r="B2702" t="s">
        <v>978</v>
      </c>
      <c r="C2702">
        <v>2</v>
      </c>
      <c r="D2702" t="s">
        <v>35</v>
      </c>
      <c r="E2702" t="s">
        <v>94</v>
      </c>
      <c r="F2702" t="s">
        <v>102</v>
      </c>
      <c r="G2702" t="s">
        <v>112</v>
      </c>
      <c r="H2702" t="s">
        <v>104</v>
      </c>
      <c r="J2702">
        <v>0</v>
      </c>
      <c r="K2702">
        <v>5</v>
      </c>
      <c r="L2702">
        <v>84.740740740000007</v>
      </c>
      <c r="M2702">
        <v>29.167014049999999</v>
      </c>
      <c r="N2702">
        <v>1.1169849999999999</v>
      </c>
      <c r="O2702">
        <v>1.1571499000000001</v>
      </c>
      <c r="P2702">
        <v>113.9375</v>
      </c>
      <c r="Q2702">
        <v>33.375507550000002</v>
      </c>
      <c r="R2702">
        <v>2.4262999999999999</v>
      </c>
      <c r="S2702">
        <v>0.40692159999999999</v>
      </c>
      <c r="T2702" t="s">
        <v>1017</v>
      </c>
      <c r="U2702">
        <v>4.2084935000000003</v>
      </c>
    </row>
    <row r="2703" spans="1:21" x14ac:dyDescent="0.25">
      <c r="A2703" t="s">
        <v>49</v>
      </c>
      <c r="B2703" t="s">
        <v>978</v>
      </c>
      <c r="C2703">
        <v>2</v>
      </c>
      <c r="D2703" t="s">
        <v>35</v>
      </c>
      <c r="E2703" t="s">
        <v>94</v>
      </c>
      <c r="F2703" t="s">
        <v>102</v>
      </c>
      <c r="G2703" t="s">
        <v>112</v>
      </c>
      <c r="H2703" t="s">
        <v>104</v>
      </c>
      <c r="J2703">
        <v>0</v>
      </c>
      <c r="K2703">
        <v>5</v>
      </c>
      <c r="L2703">
        <v>84.740740740000007</v>
      </c>
      <c r="M2703">
        <v>29.167014049999999</v>
      </c>
      <c r="N2703">
        <v>1.1169849999999999</v>
      </c>
      <c r="O2703">
        <v>1.1571499000000001</v>
      </c>
      <c r="P2703">
        <v>113.9375</v>
      </c>
      <c r="Q2703">
        <v>33.375507550000002</v>
      </c>
      <c r="R2703">
        <v>2.4262999999999999</v>
      </c>
      <c r="S2703">
        <v>0.40692159999999999</v>
      </c>
      <c r="T2703" t="s">
        <v>1017</v>
      </c>
      <c r="U2703">
        <v>4.2084935000000003</v>
      </c>
    </row>
    <row r="2704" spans="1:21" x14ac:dyDescent="0.25">
      <c r="A2704" t="s">
        <v>49</v>
      </c>
      <c r="B2704" t="s">
        <v>978</v>
      </c>
      <c r="C2704">
        <v>2</v>
      </c>
      <c r="D2704" t="s">
        <v>35</v>
      </c>
      <c r="E2704" t="s">
        <v>94</v>
      </c>
      <c r="F2704" t="s">
        <v>102</v>
      </c>
      <c r="G2704" t="s">
        <v>112</v>
      </c>
      <c r="H2704" t="s">
        <v>104</v>
      </c>
      <c r="J2704">
        <v>0</v>
      </c>
      <c r="K2704">
        <v>5</v>
      </c>
      <c r="L2704">
        <v>84.740740740000007</v>
      </c>
      <c r="M2704">
        <v>29.167014049999999</v>
      </c>
      <c r="N2704">
        <v>1.1169849999999999</v>
      </c>
      <c r="O2704">
        <v>1.1571499000000001</v>
      </c>
      <c r="P2704">
        <v>113.9375</v>
      </c>
      <c r="Q2704">
        <v>33.375507550000002</v>
      </c>
      <c r="R2704">
        <v>2.4262999999999999</v>
      </c>
      <c r="S2704">
        <v>0.40692159999999999</v>
      </c>
      <c r="T2704" t="s">
        <v>1017</v>
      </c>
      <c r="U2704">
        <v>4.2084935000000003</v>
      </c>
    </row>
    <row r="2705" spans="1:21" x14ac:dyDescent="0.25">
      <c r="A2705" t="s">
        <v>49</v>
      </c>
      <c r="B2705" t="s">
        <v>979</v>
      </c>
      <c r="C2705">
        <v>2</v>
      </c>
      <c r="D2705" t="s">
        <v>35</v>
      </c>
      <c r="E2705" t="s">
        <v>94</v>
      </c>
      <c r="F2705" t="s">
        <v>112</v>
      </c>
      <c r="G2705" t="s">
        <v>112</v>
      </c>
      <c r="H2705" t="s">
        <v>112</v>
      </c>
      <c r="J2705">
        <v>0</v>
      </c>
      <c r="K2705">
        <v>1</v>
      </c>
      <c r="L2705">
        <v>65.09375</v>
      </c>
      <c r="M2705">
        <v>37.895352600000002</v>
      </c>
      <c r="N2705">
        <v>2.2882677779999998</v>
      </c>
      <c r="O2705">
        <v>2.2111774</v>
      </c>
      <c r="P2705">
        <v>65.09375</v>
      </c>
      <c r="Q2705">
        <v>37.895352600000002</v>
      </c>
      <c r="R2705">
        <v>2.2882677779999998</v>
      </c>
      <c r="S2705">
        <v>2.2111774</v>
      </c>
      <c r="T2705" t="s">
        <v>1017</v>
      </c>
      <c r="U2705">
        <v>0</v>
      </c>
    </row>
    <row r="2706" spans="1:21" x14ac:dyDescent="0.25">
      <c r="A2706" t="s">
        <v>49</v>
      </c>
      <c r="B2706" t="s">
        <v>979</v>
      </c>
      <c r="C2706">
        <v>2</v>
      </c>
      <c r="D2706" t="s">
        <v>35</v>
      </c>
      <c r="E2706" t="s">
        <v>94</v>
      </c>
      <c r="F2706" t="s">
        <v>112</v>
      </c>
      <c r="G2706" t="s">
        <v>112</v>
      </c>
      <c r="H2706" t="s">
        <v>103</v>
      </c>
      <c r="J2706">
        <v>0</v>
      </c>
      <c r="K2706">
        <v>1</v>
      </c>
      <c r="L2706">
        <v>65.09375</v>
      </c>
      <c r="M2706">
        <v>37.895352600000002</v>
      </c>
      <c r="N2706">
        <v>2.2882677779999998</v>
      </c>
      <c r="O2706">
        <v>2.2111774</v>
      </c>
      <c r="P2706">
        <v>98.291666669999998</v>
      </c>
      <c r="Q2706">
        <v>30.315130790000001</v>
      </c>
      <c r="R2706">
        <v>5.0803484000000003E-2</v>
      </c>
      <c r="S2706">
        <v>0.42866070000000001</v>
      </c>
      <c r="T2706" t="s">
        <v>1017</v>
      </c>
      <c r="U2706">
        <v>7.5802218100000003</v>
      </c>
    </row>
    <row r="2707" spans="1:21" x14ac:dyDescent="0.25">
      <c r="A2707" t="s">
        <v>79</v>
      </c>
      <c r="B2707" t="s">
        <v>980</v>
      </c>
      <c r="C2707">
        <v>6</v>
      </c>
      <c r="D2707" t="s">
        <v>11</v>
      </c>
      <c r="E2707" t="s">
        <v>95</v>
      </c>
      <c r="F2707" t="s">
        <v>113</v>
      </c>
      <c r="G2707" t="s">
        <v>113</v>
      </c>
      <c r="H2707" t="s">
        <v>113</v>
      </c>
      <c r="J2707">
        <v>0</v>
      </c>
      <c r="K2707">
        <v>4</v>
      </c>
      <c r="L2707">
        <v>83.757575759999995</v>
      </c>
      <c r="M2707">
        <v>22.60997987</v>
      </c>
      <c r="N2707">
        <v>0.72884000000000004</v>
      </c>
      <c r="O2707">
        <v>0.21301339999999999</v>
      </c>
      <c r="P2707">
        <v>83.757575759999995</v>
      </c>
      <c r="Q2707">
        <v>22.60997987</v>
      </c>
      <c r="R2707">
        <v>0.72884000000000004</v>
      </c>
      <c r="S2707">
        <v>0.21301339999999999</v>
      </c>
      <c r="T2707" t="s">
        <v>1017</v>
      </c>
      <c r="U2707">
        <v>0</v>
      </c>
    </row>
    <row r="2708" spans="1:21" x14ac:dyDescent="0.25">
      <c r="A2708" t="s">
        <v>79</v>
      </c>
      <c r="B2708" t="s">
        <v>980</v>
      </c>
      <c r="C2708">
        <v>6</v>
      </c>
      <c r="D2708" t="s">
        <v>11</v>
      </c>
      <c r="E2708" t="s">
        <v>95</v>
      </c>
      <c r="F2708" t="s">
        <v>113</v>
      </c>
      <c r="G2708" t="s">
        <v>113</v>
      </c>
      <c r="H2708" t="s">
        <v>113</v>
      </c>
      <c r="J2708">
        <v>0</v>
      </c>
      <c r="K2708">
        <v>4</v>
      </c>
      <c r="L2708">
        <v>83.757575759999995</v>
      </c>
      <c r="M2708">
        <v>22.60997987</v>
      </c>
      <c r="N2708">
        <v>0.72884000000000004</v>
      </c>
      <c r="O2708">
        <v>0.21301339999999999</v>
      </c>
      <c r="P2708">
        <v>83.757575759999995</v>
      </c>
      <c r="Q2708">
        <v>22.60997987</v>
      </c>
      <c r="R2708">
        <v>0.72884000000000004</v>
      </c>
      <c r="S2708">
        <v>0.21301339999999999</v>
      </c>
      <c r="T2708" t="s">
        <v>1017</v>
      </c>
      <c r="U2708">
        <v>0</v>
      </c>
    </row>
    <row r="2709" spans="1:21" x14ac:dyDescent="0.25">
      <c r="A2709" t="s">
        <v>79</v>
      </c>
      <c r="B2709" t="s">
        <v>980</v>
      </c>
      <c r="C2709">
        <v>6</v>
      </c>
      <c r="D2709" t="s">
        <v>11</v>
      </c>
      <c r="E2709" t="s">
        <v>95</v>
      </c>
      <c r="F2709" t="s">
        <v>113</v>
      </c>
      <c r="G2709" t="s">
        <v>113</v>
      </c>
      <c r="H2709" t="s">
        <v>113</v>
      </c>
      <c r="J2709">
        <v>0</v>
      </c>
      <c r="K2709">
        <v>4</v>
      </c>
      <c r="L2709">
        <v>83.757575759999995</v>
      </c>
      <c r="M2709">
        <v>22.60997987</v>
      </c>
      <c r="N2709">
        <v>0.72884000000000004</v>
      </c>
      <c r="O2709">
        <v>0.21301339999999999</v>
      </c>
      <c r="P2709">
        <v>83.757575759999995</v>
      </c>
      <c r="Q2709">
        <v>22.60997987</v>
      </c>
      <c r="R2709">
        <v>0.72884000000000004</v>
      </c>
      <c r="S2709">
        <v>0.21301339999999999</v>
      </c>
      <c r="T2709" t="s">
        <v>1017</v>
      </c>
      <c r="U2709">
        <v>0</v>
      </c>
    </row>
    <row r="2710" spans="1:21" x14ac:dyDescent="0.25">
      <c r="A2710" t="s">
        <v>79</v>
      </c>
      <c r="B2710" t="s">
        <v>980</v>
      </c>
      <c r="C2710">
        <v>6</v>
      </c>
      <c r="D2710" t="s">
        <v>11</v>
      </c>
      <c r="E2710" t="s">
        <v>95</v>
      </c>
      <c r="F2710" t="s">
        <v>113</v>
      </c>
      <c r="G2710" t="s">
        <v>113</v>
      </c>
      <c r="H2710" t="s">
        <v>113</v>
      </c>
      <c r="J2710">
        <v>0</v>
      </c>
      <c r="K2710">
        <v>4</v>
      </c>
      <c r="L2710">
        <v>83.757575759999995</v>
      </c>
      <c r="M2710">
        <v>22.60997987</v>
      </c>
      <c r="N2710">
        <v>0.72884000000000004</v>
      </c>
      <c r="O2710">
        <v>0.21301339999999999</v>
      </c>
      <c r="P2710">
        <v>83.757575759999995</v>
      </c>
      <c r="Q2710">
        <v>22.60997987</v>
      </c>
      <c r="R2710">
        <v>0.72884000000000004</v>
      </c>
      <c r="S2710">
        <v>0.21301339999999999</v>
      </c>
      <c r="T2710" t="s">
        <v>1017</v>
      </c>
      <c r="U2710">
        <v>0</v>
      </c>
    </row>
    <row r="2711" spans="1:21" x14ac:dyDescent="0.25">
      <c r="A2711" t="s">
        <v>79</v>
      </c>
      <c r="B2711" t="s">
        <v>981</v>
      </c>
      <c r="C2711">
        <v>6</v>
      </c>
      <c r="D2711" t="s">
        <v>11</v>
      </c>
      <c r="E2711" t="s">
        <v>95</v>
      </c>
      <c r="F2711" t="s">
        <v>103</v>
      </c>
      <c r="G2711" t="s">
        <v>113</v>
      </c>
      <c r="H2711" t="s">
        <v>113</v>
      </c>
      <c r="J2711">
        <v>0</v>
      </c>
      <c r="K2711">
        <v>7</v>
      </c>
      <c r="L2711">
        <v>98.291666669999998</v>
      </c>
      <c r="M2711">
        <v>30.315130790000001</v>
      </c>
      <c r="N2711">
        <v>5.0803484000000003E-2</v>
      </c>
      <c r="O2711">
        <v>0.42866070000000001</v>
      </c>
      <c r="P2711">
        <v>83.757575759999995</v>
      </c>
      <c r="Q2711">
        <v>22.60997987</v>
      </c>
      <c r="R2711">
        <v>0.72884000000000004</v>
      </c>
      <c r="S2711">
        <v>0.21301339999999999</v>
      </c>
      <c r="T2711" t="s">
        <v>1017</v>
      </c>
      <c r="U2711">
        <v>7.7051509200000003</v>
      </c>
    </row>
    <row r="2712" spans="1:21" x14ac:dyDescent="0.25">
      <c r="A2712" t="s">
        <v>79</v>
      </c>
      <c r="B2712" t="s">
        <v>981</v>
      </c>
      <c r="C2712">
        <v>6</v>
      </c>
      <c r="D2712" t="s">
        <v>11</v>
      </c>
      <c r="E2712" t="s">
        <v>95</v>
      </c>
      <c r="F2712" t="s">
        <v>103</v>
      </c>
      <c r="G2712" t="s">
        <v>113</v>
      </c>
      <c r="H2712" t="s">
        <v>113</v>
      </c>
      <c r="J2712">
        <v>0</v>
      </c>
      <c r="K2712">
        <v>7</v>
      </c>
      <c r="L2712">
        <v>98.291666669999998</v>
      </c>
      <c r="M2712">
        <v>30.315130790000001</v>
      </c>
      <c r="N2712">
        <v>5.0803484000000003E-2</v>
      </c>
      <c r="O2712">
        <v>0.42866070000000001</v>
      </c>
      <c r="P2712">
        <v>83.757575759999995</v>
      </c>
      <c r="Q2712">
        <v>22.60997987</v>
      </c>
      <c r="R2712">
        <v>0.72884000000000004</v>
      </c>
      <c r="S2712">
        <v>0.21301339999999999</v>
      </c>
      <c r="T2712" t="s">
        <v>1017</v>
      </c>
      <c r="U2712">
        <v>7.7051509200000003</v>
      </c>
    </row>
    <row r="2713" spans="1:21" x14ac:dyDescent="0.25">
      <c r="A2713" t="s">
        <v>79</v>
      </c>
      <c r="B2713" t="s">
        <v>981</v>
      </c>
      <c r="C2713">
        <v>6</v>
      </c>
      <c r="D2713" t="s">
        <v>11</v>
      </c>
      <c r="E2713" t="s">
        <v>95</v>
      </c>
      <c r="F2713" t="s">
        <v>103</v>
      </c>
      <c r="G2713" t="s">
        <v>113</v>
      </c>
      <c r="H2713" t="s">
        <v>113</v>
      </c>
      <c r="J2713">
        <v>0</v>
      </c>
      <c r="K2713">
        <v>7</v>
      </c>
      <c r="L2713">
        <v>98.291666669999998</v>
      </c>
      <c r="M2713">
        <v>30.315130790000001</v>
      </c>
      <c r="N2713">
        <v>5.0803484000000003E-2</v>
      </c>
      <c r="O2713">
        <v>0.42866070000000001</v>
      </c>
      <c r="P2713">
        <v>83.757575759999995</v>
      </c>
      <c r="Q2713">
        <v>22.60997987</v>
      </c>
      <c r="R2713">
        <v>0.72884000000000004</v>
      </c>
      <c r="S2713">
        <v>0.21301339999999999</v>
      </c>
      <c r="T2713" t="s">
        <v>1017</v>
      </c>
      <c r="U2713">
        <v>7.7051509200000003</v>
      </c>
    </row>
    <row r="2714" spans="1:21" x14ac:dyDescent="0.25">
      <c r="A2714" t="s">
        <v>79</v>
      </c>
      <c r="B2714" t="s">
        <v>981</v>
      </c>
      <c r="C2714">
        <v>6</v>
      </c>
      <c r="D2714" t="s">
        <v>11</v>
      </c>
      <c r="E2714" t="s">
        <v>95</v>
      </c>
      <c r="F2714" t="s">
        <v>103</v>
      </c>
      <c r="G2714" t="s">
        <v>113</v>
      </c>
      <c r="H2714" t="s">
        <v>113</v>
      </c>
      <c r="J2714">
        <v>0</v>
      </c>
      <c r="K2714">
        <v>7</v>
      </c>
      <c r="L2714">
        <v>98.291666669999998</v>
      </c>
      <c r="M2714">
        <v>30.315130790000001</v>
      </c>
      <c r="N2714">
        <v>5.0803484000000003E-2</v>
      </c>
      <c r="O2714">
        <v>0.42866070000000001</v>
      </c>
      <c r="P2714">
        <v>83.757575759999995</v>
      </c>
      <c r="Q2714">
        <v>22.60997987</v>
      </c>
      <c r="R2714">
        <v>0.72884000000000004</v>
      </c>
      <c r="S2714">
        <v>0.21301339999999999</v>
      </c>
      <c r="T2714" t="s">
        <v>1017</v>
      </c>
      <c r="U2714">
        <v>7.7051509200000003</v>
      </c>
    </row>
    <row r="2715" spans="1:21" x14ac:dyDescent="0.25">
      <c r="A2715" t="s">
        <v>79</v>
      </c>
      <c r="B2715" t="s">
        <v>981</v>
      </c>
      <c r="C2715">
        <v>6</v>
      </c>
      <c r="D2715" t="s">
        <v>11</v>
      </c>
      <c r="E2715" t="s">
        <v>95</v>
      </c>
      <c r="F2715" t="s">
        <v>103</v>
      </c>
      <c r="G2715" t="s">
        <v>113</v>
      </c>
      <c r="H2715" t="s">
        <v>113</v>
      </c>
      <c r="J2715">
        <v>0</v>
      </c>
      <c r="K2715">
        <v>7</v>
      </c>
      <c r="L2715">
        <v>98.291666669999998</v>
      </c>
      <c r="M2715">
        <v>30.315130790000001</v>
      </c>
      <c r="N2715">
        <v>5.0803484000000003E-2</v>
      </c>
      <c r="O2715">
        <v>0.42866070000000001</v>
      </c>
      <c r="P2715">
        <v>83.757575759999995</v>
      </c>
      <c r="Q2715">
        <v>22.60997987</v>
      </c>
      <c r="R2715">
        <v>0.72884000000000004</v>
      </c>
      <c r="S2715">
        <v>0.21301339999999999</v>
      </c>
      <c r="T2715" t="s">
        <v>1017</v>
      </c>
      <c r="U2715">
        <v>7.7051509200000003</v>
      </c>
    </row>
    <row r="2716" spans="1:21" x14ac:dyDescent="0.25">
      <c r="A2716" t="s">
        <v>79</v>
      </c>
      <c r="B2716" t="s">
        <v>981</v>
      </c>
      <c r="C2716">
        <v>6</v>
      </c>
      <c r="D2716" t="s">
        <v>11</v>
      </c>
      <c r="E2716" t="s">
        <v>95</v>
      </c>
      <c r="F2716" t="s">
        <v>103</v>
      </c>
      <c r="G2716" t="s">
        <v>113</v>
      </c>
      <c r="H2716" t="s">
        <v>113</v>
      </c>
      <c r="J2716">
        <v>0</v>
      </c>
      <c r="K2716">
        <v>7</v>
      </c>
      <c r="L2716">
        <v>98.291666669999998</v>
      </c>
      <c r="M2716">
        <v>30.315130790000001</v>
      </c>
      <c r="N2716">
        <v>5.0803484000000003E-2</v>
      </c>
      <c r="O2716">
        <v>0.42866070000000001</v>
      </c>
      <c r="P2716">
        <v>83.757575759999995</v>
      </c>
      <c r="Q2716">
        <v>22.60997987</v>
      </c>
      <c r="R2716">
        <v>0.72884000000000004</v>
      </c>
      <c r="S2716">
        <v>0.21301339999999999</v>
      </c>
      <c r="T2716" t="s">
        <v>1017</v>
      </c>
      <c r="U2716">
        <v>7.7051509200000003</v>
      </c>
    </row>
    <row r="2717" spans="1:21" x14ac:dyDescent="0.25">
      <c r="A2717" t="s">
        <v>79</v>
      </c>
      <c r="B2717" t="s">
        <v>981</v>
      </c>
      <c r="C2717">
        <v>6</v>
      </c>
      <c r="D2717" t="s">
        <v>11</v>
      </c>
      <c r="E2717" t="s">
        <v>95</v>
      </c>
      <c r="F2717" t="s">
        <v>103</v>
      </c>
      <c r="G2717" t="s">
        <v>113</v>
      </c>
      <c r="H2717" t="s">
        <v>113</v>
      </c>
      <c r="J2717">
        <v>0</v>
      </c>
      <c r="K2717">
        <v>7</v>
      </c>
      <c r="L2717">
        <v>98.291666669999998</v>
      </c>
      <c r="M2717">
        <v>30.315130790000001</v>
      </c>
      <c r="N2717">
        <v>5.0803484000000003E-2</v>
      </c>
      <c r="O2717">
        <v>0.42866070000000001</v>
      </c>
      <c r="P2717">
        <v>83.757575759999995</v>
      </c>
      <c r="Q2717">
        <v>22.60997987</v>
      </c>
      <c r="R2717">
        <v>0.72884000000000004</v>
      </c>
      <c r="S2717">
        <v>0.21301339999999999</v>
      </c>
      <c r="T2717" t="s">
        <v>1017</v>
      </c>
      <c r="U2717">
        <v>7.7051509200000003</v>
      </c>
    </row>
    <row r="2718" spans="1:21" x14ac:dyDescent="0.25">
      <c r="A2718" t="s">
        <v>79</v>
      </c>
      <c r="B2718" t="s">
        <v>981</v>
      </c>
      <c r="C2718">
        <v>6</v>
      </c>
      <c r="D2718" t="s">
        <v>11</v>
      </c>
      <c r="E2718" t="s">
        <v>95</v>
      </c>
      <c r="F2718" t="s">
        <v>103</v>
      </c>
      <c r="G2718" t="s">
        <v>113</v>
      </c>
      <c r="H2718" t="s">
        <v>103</v>
      </c>
      <c r="J2718">
        <v>0</v>
      </c>
      <c r="K2718">
        <v>4</v>
      </c>
      <c r="L2718">
        <v>98.291666669999998</v>
      </c>
      <c r="M2718">
        <v>30.315130790000001</v>
      </c>
      <c r="N2718">
        <v>5.0803484000000003E-2</v>
      </c>
      <c r="O2718">
        <v>0.42866070000000001</v>
      </c>
      <c r="P2718">
        <v>98.291666669999998</v>
      </c>
      <c r="Q2718">
        <v>30.315130790000001</v>
      </c>
      <c r="R2718">
        <v>5.0803484000000003E-2</v>
      </c>
      <c r="S2718">
        <v>0.42866070000000001</v>
      </c>
      <c r="T2718" t="s">
        <v>1017</v>
      </c>
      <c r="U2718">
        <v>0</v>
      </c>
    </row>
    <row r="2719" spans="1:21" x14ac:dyDescent="0.25">
      <c r="A2719" t="s">
        <v>79</v>
      </c>
      <c r="B2719" t="s">
        <v>981</v>
      </c>
      <c r="C2719">
        <v>6</v>
      </c>
      <c r="D2719" t="s">
        <v>11</v>
      </c>
      <c r="E2719" t="s">
        <v>95</v>
      </c>
      <c r="F2719" t="s">
        <v>103</v>
      </c>
      <c r="G2719" t="s">
        <v>113</v>
      </c>
      <c r="H2719" t="s">
        <v>103</v>
      </c>
      <c r="J2719">
        <v>0</v>
      </c>
      <c r="K2719">
        <v>4</v>
      </c>
      <c r="L2719">
        <v>98.291666669999998</v>
      </c>
      <c r="M2719">
        <v>30.315130790000001</v>
      </c>
      <c r="N2719">
        <v>5.0803484000000003E-2</v>
      </c>
      <c r="O2719">
        <v>0.42866070000000001</v>
      </c>
      <c r="P2719">
        <v>98.291666669999998</v>
      </c>
      <c r="Q2719">
        <v>30.315130790000001</v>
      </c>
      <c r="R2719">
        <v>5.0803484000000003E-2</v>
      </c>
      <c r="S2719">
        <v>0.42866070000000001</v>
      </c>
      <c r="T2719" t="s">
        <v>1017</v>
      </c>
      <c r="U2719">
        <v>0</v>
      </c>
    </row>
    <row r="2720" spans="1:21" x14ac:dyDescent="0.25">
      <c r="A2720" t="s">
        <v>79</v>
      </c>
      <c r="B2720" t="s">
        <v>981</v>
      </c>
      <c r="C2720">
        <v>6</v>
      </c>
      <c r="D2720" t="s">
        <v>11</v>
      </c>
      <c r="E2720" t="s">
        <v>95</v>
      </c>
      <c r="F2720" t="s">
        <v>103</v>
      </c>
      <c r="G2720" t="s">
        <v>113</v>
      </c>
      <c r="H2720" t="s">
        <v>103</v>
      </c>
      <c r="J2720">
        <v>0</v>
      </c>
      <c r="K2720">
        <v>4</v>
      </c>
      <c r="L2720">
        <v>98.291666669999998</v>
      </c>
      <c r="M2720">
        <v>30.315130790000001</v>
      </c>
      <c r="N2720">
        <v>5.0803484000000003E-2</v>
      </c>
      <c r="O2720">
        <v>0.42866070000000001</v>
      </c>
      <c r="P2720">
        <v>98.291666669999998</v>
      </c>
      <c r="Q2720">
        <v>30.315130790000001</v>
      </c>
      <c r="R2720">
        <v>5.0803484000000003E-2</v>
      </c>
      <c r="S2720">
        <v>0.42866070000000001</v>
      </c>
      <c r="T2720" t="s">
        <v>1017</v>
      </c>
      <c r="U2720">
        <v>0</v>
      </c>
    </row>
    <row r="2721" spans="1:21" x14ac:dyDescent="0.25">
      <c r="A2721" t="s">
        <v>79</v>
      </c>
      <c r="B2721" t="s">
        <v>981</v>
      </c>
      <c r="C2721">
        <v>6</v>
      </c>
      <c r="D2721" t="s">
        <v>11</v>
      </c>
      <c r="E2721" t="s">
        <v>95</v>
      </c>
      <c r="F2721" t="s">
        <v>103</v>
      </c>
      <c r="G2721" t="s">
        <v>113</v>
      </c>
      <c r="H2721" t="s">
        <v>103</v>
      </c>
      <c r="J2721">
        <v>0</v>
      </c>
      <c r="K2721">
        <v>4</v>
      </c>
      <c r="L2721">
        <v>98.291666669999998</v>
      </c>
      <c r="M2721">
        <v>30.315130790000001</v>
      </c>
      <c r="N2721">
        <v>5.0803484000000003E-2</v>
      </c>
      <c r="O2721">
        <v>0.42866070000000001</v>
      </c>
      <c r="P2721">
        <v>98.291666669999998</v>
      </c>
      <c r="Q2721">
        <v>30.315130790000001</v>
      </c>
      <c r="R2721">
        <v>5.0803484000000003E-2</v>
      </c>
      <c r="S2721">
        <v>0.42866070000000001</v>
      </c>
      <c r="T2721" t="s">
        <v>1017</v>
      </c>
      <c r="U2721">
        <v>0</v>
      </c>
    </row>
    <row r="2722" spans="1:21" x14ac:dyDescent="0.25">
      <c r="A2722" t="s">
        <v>79</v>
      </c>
      <c r="B2722" t="s">
        <v>982</v>
      </c>
      <c r="C2722">
        <v>6</v>
      </c>
      <c r="D2722" t="s">
        <v>11</v>
      </c>
      <c r="E2722" t="s">
        <v>95</v>
      </c>
      <c r="F2722" t="s">
        <v>111</v>
      </c>
      <c r="G2722" t="s">
        <v>113</v>
      </c>
      <c r="H2722" t="s">
        <v>234</v>
      </c>
      <c r="J2722">
        <v>0</v>
      </c>
      <c r="K2722">
        <v>1</v>
      </c>
      <c r="L2722">
        <v>94.97142857</v>
      </c>
      <c r="M2722">
        <v>24.31591813</v>
      </c>
      <c r="N2722">
        <v>0.122951111</v>
      </c>
      <c r="O2722">
        <v>0.39050790000000002</v>
      </c>
      <c r="P2722">
        <v>89.8125</v>
      </c>
      <c r="Q2722">
        <v>34.754706650000003</v>
      </c>
      <c r="R2722">
        <v>2.3065078999999999E-2</v>
      </c>
      <c r="S2722">
        <v>2.4791666700000001</v>
      </c>
      <c r="T2722" t="s">
        <v>1017</v>
      </c>
      <c r="U2722">
        <v>10.438788519999999</v>
      </c>
    </row>
    <row r="2723" spans="1:21" x14ac:dyDescent="0.25">
      <c r="A2723" t="s">
        <v>79</v>
      </c>
      <c r="B2723" t="s">
        <v>982</v>
      </c>
      <c r="C2723">
        <v>6</v>
      </c>
      <c r="D2723" t="s">
        <v>11</v>
      </c>
      <c r="E2723" t="s">
        <v>95</v>
      </c>
      <c r="F2723" t="s">
        <v>111</v>
      </c>
      <c r="G2723" t="s">
        <v>113</v>
      </c>
      <c r="H2723" t="s">
        <v>113</v>
      </c>
      <c r="J2723">
        <v>0</v>
      </c>
      <c r="K2723">
        <v>5</v>
      </c>
      <c r="L2723">
        <v>94.97142857</v>
      </c>
      <c r="M2723">
        <v>24.31591813</v>
      </c>
      <c r="N2723">
        <v>0.122951111</v>
      </c>
      <c r="O2723">
        <v>0.39050790000000002</v>
      </c>
      <c r="P2723">
        <v>83.757575759999995</v>
      </c>
      <c r="Q2723">
        <v>22.60997987</v>
      </c>
      <c r="R2723">
        <v>0.72884000000000004</v>
      </c>
      <c r="S2723">
        <v>0.21301339999999999</v>
      </c>
      <c r="T2723" t="s">
        <v>1017</v>
      </c>
      <c r="U2723">
        <v>1.7059382599999999</v>
      </c>
    </row>
    <row r="2724" spans="1:21" x14ac:dyDescent="0.25">
      <c r="A2724" t="s">
        <v>79</v>
      </c>
      <c r="B2724" t="s">
        <v>982</v>
      </c>
      <c r="C2724">
        <v>6</v>
      </c>
      <c r="D2724" t="s">
        <v>11</v>
      </c>
      <c r="E2724" t="s">
        <v>95</v>
      </c>
      <c r="F2724" t="s">
        <v>111</v>
      </c>
      <c r="G2724" t="s">
        <v>113</v>
      </c>
      <c r="H2724" t="s">
        <v>113</v>
      </c>
      <c r="J2724">
        <v>0</v>
      </c>
      <c r="K2724">
        <v>5</v>
      </c>
      <c r="L2724">
        <v>94.97142857</v>
      </c>
      <c r="M2724">
        <v>24.31591813</v>
      </c>
      <c r="N2724">
        <v>0.122951111</v>
      </c>
      <c r="O2724">
        <v>0.39050790000000002</v>
      </c>
      <c r="P2724">
        <v>83.757575759999995</v>
      </c>
      <c r="Q2724">
        <v>22.60997987</v>
      </c>
      <c r="R2724">
        <v>0.72884000000000004</v>
      </c>
      <c r="S2724">
        <v>0.21301339999999999</v>
      </c>
      <c r="T2724" t="s">
        <v>1017</v>
      </c>
      <c r="U2724">
        <v>1.7059382599999999</v>
      </c>
    </row>
    <row r="2725" spans="1:21" x14ac:dyDescent="0.25">
      <c r="A2725" t="s">
        <v>79</v>
      </c>
      <c r="B2725" t="s">
        <v>982</v>
      </c>
      <c r="C2725">
        <v>6</v>
      </c>
      <c r="D2725" t="s">
        <v>11</v>
      </c>
      <c r="E2725" t="s">
        <v>95</v>
      </c>
      <c r="F2725" t="s">
        <v>111</v>
      </c>
      <c r="G2725" t="s">
        <v>113</v>
      </c>
      <c r="H2725" t="s">
        <v>113</v>
      </c>
      <c r="J2725">
        <v>0</v>
      </c>
      <c r="K2725">
        <v>5</v>
      </c>
      <c r="L2725">
        <v>94.97142857</v>
      </c>
      <c r="M2725">
        <v>24.31591813</v>
      </c>
      <c r="N2725">
        <v>0.122951111</v>
      </c>
      <c r="O2725">
        <v>0.39050790000000002</v>
      </c>
      <c r="P2725">
        <v>83.757575759999995</v>
      </c>
      <c r="Q2725">
        <v>22.60997987</v>
      </c>
      <c r="R2725">
        <v>0.72884000000000004</v>
      </c>
      <c r="S2725">
        <v>0.21301339999999999</v>
      </c>
      <c r="T2725" t="s">
        <v>1017</v>
      </c>
      <c r="U2725">
        <v>1.7059382599999999</v>
      </c>
    </row>
    <row r="2726" spans="1:21" x14ac:dyDescent="0.25">
      <c r="A2726" t="s">
        <v>79</v>
      </c>
      <c r="B2726" t="s">
        <v>982</v>
      </c>
      <c r="C2726">
        <v>6</v>
      </c>
      <c r="D2726" t="s">
        <v>11</v>
      </c>
      <c r="E2726" t="s">
        <v>95</v>
      </c>
      <c r="F2726" t="s">
        <v>111</v>
      </c>
      <c r="G2726" t="s">
        <v>113</v>
      </c>
      <c r="H2726" t="s">
        <v>113</v>
      </c>
      <c r="J2726">
        <v>0</v>
      </c>
      <c r="K2726">
        <v>5</v>
      </c>
      <c r="L2726">
        <v>94.97142857</v>
      </c>
      <c r="M2726">
        <v>24.31591813</v>
      </c>
      <c r="N2726">
        <v>0.122951111</v>
      </c>
      <c r="O2726">
        <v>0.39050790000000002</v>
      </c>
      <c r="P2726">
        <v>83.757575759999995</v>
      </c>
      <c r="Q2726">
        <v>22.60997987</v>
      </c>
      <c r="R2726">
        <v>0.72884000000000004</v>
      </c>
      <c r="S2726">
        <v>0.21301339999999999</v>
      </c>
      <c r="T2726" t="s">
        <v>1017</v>
      </c>
      <c r="U2726">
        <v>1.7059382599999999</v>
      </c>
    </row>
    <row r="2727" spans="1:21" x14ac:dyDescent="0.25">
      <c r="A2727" t="s">
        <v>79</v>
      </c>
      <c r="B2727" t="s">
        <v>982</v>
      </c>
      <c r="C2727">
        <v>6</v>
      </c>
      <c r="D2727" t="s">
        <v>11</v>
      </c>
      <c r="E2727" t="s">
        <v>95</v>
      </c>
      <c r="F2727" t="s">
        <v>111</v>
      </c>
      <c r="G2727" t="s">
        <v>113</v>
      </c>
      <c r="H2727" t="s">
        <v>113</v>
      </c>
      <c r="J2727">
        <v>0</v>
      </c>
      <c r="K2727">
        <v>5</v>
      </c>
      <c r="L2727">
        <v>94.97142857</v>
      </c>
      <c r="M2727">
        <v>24.31591813</v>
      </c>
      <c r="N2727">
        <v>0.122951111</v>
      </c>
      <c r="O2727">
        <v>0.39050790000000002</v>
      </c>
      <c r="P2727">
        <v>83.757575759999995</v>
      </c>
      <c r="Q2727">
        <v>22.60997987</v>
      </c>
      <c r="R2727">
        <v>0.72884000000000004</v>
      </c>
      <c r="S2727">
        <v>0.21301339999999999</v>
      </c>
      <c r="T2727" t="s">
        <v>1017</v>
      </c>
      <c r="U2727">
        <v>1.7059382599999999</v>
      </c>
    </row>
    <row r="2728" spans="1:21" x14ac:dyDescent="0.25">
      <c r="A2728" t="s">
        <v>79</v>
      </c>
      <c r="B2728" t="s">
        <v>982</v>
      </c>
      <c r="C2728">
        <v>6</v>
      </c>
      <c r="D2728" t="s">
        <v>11</v>
      </c>
      <c r="E2728" t="s">
        <v>95</v>
      </c>
      <c r="F2728" t="s">
        <v>111</v>
      </c>
      <c r="G2728" t="s">
        <v>113</v>
      </c>
      <c r="H2728" t="s">
        <v>103</v>
      </c>
      <c r="J2728">
        <v>0</v>
      </c>
      <c r="K2728">
        <v>1</v>
      </c>
      <c r="L2728">
        <v>94.97142857</v>
      </c>
      <c r="M2728">
        <v>24.31591813</v>
      </c>
      <c r="N2728">
        <v>0.122951111</v>
      </c>
      <c r="O2728">
        <v>0.39050790000000002</v>
      </c>
      <c r="P2728">
        <v>98.291666669999998</v>
      </c>
      <c r="Q2728">
        <v>30.315130790000001</v>
      </c>
      <c r="R2728">
        <v>5.0803484000000003E-2</v>
      </c>
      <c r="S2728">
        <v>0.42866070000000001</v>
      </c>
      <c r="T2728" t="s">
        <v>1017</v>
      </c>
      <c r="U2728">
        <v>5.9992126600000004</v>
      </c>
    </row>
    <row r="2729" spans="1:21" x14ac:dyDescent="0.25">
      <c r="A2729" t="s">
        <v>80</v>
      </c>
      <c r="B2729" t="s">
        <v>983</v>
      </c>
      <c r="C2729">
        <v>6</v>
      </c>
      <c r="D2729" t="s">
        <v>15</v>
      </c>
      <c r="E2729" t="s">
        <v>95</v>
      </c>
      <c r="F2729" t="s">
        <v>105</v>
      </c>
      <c r="G2729" t="s">
        <v>121</v>
      </c>
      <c r="H2729" t="s">
        <v>113</v>
      </c>
      <c r="J2729">
        <v>0</v>
      </c>
      <c r="K2729">
        <v>1</v>
      </c>
      <c r="L2729">
        <v>67.5</v>
      </c>
      <c r="M2729">
        <v>47.937235809999997</v>
      </c>
      <c r="N2729">
        <v>0.41599678000000001</v>
      </c>
      <c r="O2729">
        <v>2.0950346999999998</v>
      </c>
      <c r="P2729">
        <v>83.757575759999995</v>
      </c>
      <c r="Q2729">
        <v>22.60997987</v>
      </c>
      <c r="R2729">
        <v>0.72884000000000004</v>
      </c>
      <c r="S2729">
        <v>0.21301339999999999</v>
      </c>
      <c r="T2729" t="s">
        <v>1017</v>
      </c>
      <c r="U2729">
        <v>25.327255940000001</v>
      </c>
    </row>
    <row r="2730" spans="1:21" x14ac:dyDescent="0.25">
      <c r="A2730" t="s">
        <v>80</v>
      </c>
      <c r="B2730" t="s">
        <v>983</v>
      </c>
      <c r="C2730">
        <v>6</v>
      </c>
      <c r="D2730" t="s">
        <v>15</v>
      </c>
      <c r="E2730" t="s">
        <v>95</v>
      </c>
      <c r="F2730" t="s">
        <v>105</v>
      </c>
      <c r="G2730" t="s">
        <v>121</v>
      </c>
      <c r="H2730" t="s">
        <v>103</v>
      </c>
      <c r="J2730">
        <v>0</v>
      </c>
      <c r="K2730">
        <v>9</v>
      </c>
      <c r="L2730">
        <v>67.5</v>
      </c>
      <c r="M2730">
        <v>47.937235809999997</v>
      </c>
      <c r="N2730">
        <v>0.41599678000000001</v>
      </c>
      <c r="O2730">
        <v>2.0950346999999998</v>
      </c>
      <c r="P2730">
        <v>98.291666669999998</v>
      </c>
      <c r="Q2730">
        <v>30.315130790000001</v>
      </c>
      <c r="R2730">
        <v>5.0803484000000003E-2</v>
      </c>
      <c r="S2730">
        <v>0.42866070000000001</v>
      </c>
      <c r="T2730" t="s">
        <v>1017</v>
      </c>
      <c r="U2730">
        <v>17.622105019999999</v>
      </c>
    </row>
    <row r="2731" spans="1:21" x14ac:dyDescent="0.25">
      <c r="A2731" t="s">
        <v>80</v>
      </c>
      <c r="B2731" t="s">
        <v>983</v>
      </c>
      <c r="C2731">
        <v>6</v>
      </c>
      <c r="D2731" t="s">
        <v>15</v>
      </c>
      <c r="E2731" t="s">
        <v>95</v>
      </c>
      <c r="F2731" t="s">
        <v>105</v>
      </c>
      <c r="G2731" t="s">
        <v>121</v>
      </c>
      <c r="H2731" t="s">
        <v>103</v>
      </c>
      <c r="J2731">
        <v>0</v>
      </c>
      <c r="K2731">
        <v>9</v>
      </c>
      <c r="L2731">
        <v>67.5</v>
      </c>
      <c r="M2731">
        <v>47.937235809999997</v>
      </c>
      <c r="N2731">
        <v>0.41599678000000001</v>
      </c>
      <c r="O2731">
        <v>2.0950346999999998</v>
      </c>
      <c r="P2731">
        <v>98.291666669999998</v>
      </c>
      <c r="Q2731">
        <v>30.315130790000001</v>
      </c>
      <c r="R2731">
        <v>5.0803484000000003E-2</v>
      </c>
      <c r="S2731">
        <v>0.42866070000000001</v>
      </c>
      <c r="T2731" t="s">
        <v>1017</v>
      </c>
      <c r="U2731">
        <v>17.622105019999999</v>
      </c>
    </row>
    <row r="2732" spans="1:21" x14ac:dyDescent="0.25">
      <c r="A2732" t="s">
        <v>80</v>
      </c>
      <c r="B2732" t="s">
        <v>983</v>
      </c>
      <c r="C2732">
        <v>6</v>
      </c>
      <c r="D2732" t="s">
        <v>15</v>
      </c>
      <c r="E2732" t="s">
        <v>95</v>
      </c>
      <c r="F2732" t="s">
        <v>105</v>
      </c>
      <c r="G2732" t="s">
        <v>121</v>
      </c>
      <c r="H2732" t="s">
        <v>103</v>
      </c>
      <c r="J2732">
        <v>0</v>
      </c>
      <c r="K2732">
        <v>9</v>
      </c>
      <c r="L2732">
        <v>67.5</v>
      </c>
      <c r="M2732">
        <v>47.937235809999997</v>
      </c>
      <c r="N2732">
        <v>0.41599678000000001</v>
      </c>
      <c r="O2732">
        <v>2.0950346999999998</v>
      </c>
      <c r="P2732">
        <v>98.291666669999998</v>
      </c>
      <c r="Q2732">
        <v>30.315130790000001</v>
      </c>
      <c r="R2732">
        <v>5.0803484000000003E-2</v>
      </c>
      <c r="S2732">
        <v>0.42866070000000001</v>
      </c>
      <c r="T2732" t="s">
        <v>1017</v>
      </c>
      <c r="U2732">
        <v>17.622105019999999</v>
      </c>
    </row>
    <row r="2733" spans="1:21" x14ac:dyDescent="0.25">
      <c r="A2733" t="s">
        <v>80</v>
      </c>
      <c r="B2733" t="s">
        <v>983</v>
      </c>
      <c r="C2733">
        <v>6</v>
      </c>
      <c r="D2733" t="s">
        <v>15</v>
      </c>
      <c r="E2733" t="s">
        <v>95</v>
      </c>
      <c r="F2733" t="s">
        <v>105</v>
      </c>
      <c r="G2733" t="s">
        <v>121</v>
      </c>
      <c r="H2733" t="s">
        <v>103</v>
      </c>
      <c r="J2733">
        <v>0</v>
      </c>
      <c r="K2733">
        <v>9</v>
      </c>
      <c r="L2733">
        <v>67.5</v>
      </c>
      <c r="M2733">
        <v>47.937235809999997</v>
      </c>
      <c r="N2733">
        <v>0.41599678000000001</v>
      </c>
      <c r="O2733">
        <v>2.0950346999999998</v>
      </c>
      <c r="P2733">
        <v>98.291666669999998</v>
      </c>
      <c r="Q2733">
        <v>30.315130790000001</v>
      </c>
      <c r="R2733">
        <v>5.0803484000000003E-2</v>
      </c>
      <c r="S2733">
        <v>0.42866070000000001</v>
      </c>
      <c r="T2733" t="s">
        <v>1017</v>
      </c>
      <c r="U2733">
        <v>17.622105019999999</v>
      </c>
    </row>
    <row r="2734" spans="1:21" x14ac:dyDescent="0.25">
      <c r="A2734" t="s">
        <v>80</v>
      </c>
      <c r="B2734" t="s">
        <v>983</v>
      </c>
      <c r="C2734">
        <v>6</v>
      </c>
      <c r="D2734" t="s">
        <v>15</v>
      </c>
      <c r="E2734" t="s">
        <v>95</v>
      </c>
      <c r="F2734" t="s">
        <v>105</v>
      </c>
      <c r="G2734" t="s">
        <v>121</v>
      </c>
      <c r="H2734" t="s">
        <v>103</v>
      </c>
      <c r="J2734">
        <v>0</v>
      </c>
      <c r="K2734">
        <v>9</v>
      </c>
      <c r="L2734">
        <v>67.5</v>
      </c>
      <c r="M2734">
        <v>47.937235809999997</v>
      </c>
      <c r="N2734">
        <v>0.41599678000000001</v>
      </c>
      <c r="O2734">
        <v>2.0950346999999998</v>
      </c>
      <c r="P2734">
        <v>98.291666669999998</v>
      </c>
      <c r="Q2734">
        <v>30.315130790000001</v>
      </c>
      <c r="R2734">
        <v>5.0803484000000003E-2</v>
      </c>
      <c r="S2734">
        <v>0.42866070000000001</v>
      </c>
      <c r="T2734" t="s">
        <v>1017</v>
      </c>
      <c r="U2734">
        <v>17.622105019999999</v>
      </c>
    </row>
    <row r="2735" spans="1:21" x14ac:dyDescent="0.25">
      <c r="A2735" t="s">
        <v>80</v>
      </c>
      <c r="B2735" t="s">
        <v>983</v>
      </c>
      <c r="C2735">
        <v>6</v>
      </c>
      <c r="D2735" t="s">
        <v>15</v>
      </c>
      <c r="E2735" t="s">
        <v>95</v>
      </c>
      <c r="F2735" t="s">
        <v>105</v>
      </c>
      <c r="G2735" t="s">
        <v>121</v>
      </c>
      <c r="H2735" t="s">
        <v>103</v>
      </c>
      <c r="J2735">
        <v>0</v>
      </c>
      <c r="K2735">
        <v>9</v>
      </c>
      <c r="L2735">
        <v>67.5</v>
      </c>
      <c r="M2735">
        <v>47.937235809999997</v>
      </c>
      <c r="N2735">
        <v>0.41599678000000001</v>
      </c>
      <c r="O2735">
        <v>2.0950346999999998</v>
      </c>
      <c r="P2735">
        <v>98.291666669999998</v>
      </c>
      <c r="Q2735">
        <v>30.315130790000001</v>
      </c>
      <c r="R2735">
        <v>5.0803484000000003E-2</v>
      </c>
      <c r="S2735">
        <v>0.42866070000000001</v>
      </c>
      <c r="T2735" t="s">
        <v>1017</v>
      </c>
      <c r="U2735">
        <v>17.622105019999999</v>
      </c>
    </row>
    <row r="2736" spans="1:21" x14ac:dyDescent="0.25">
      <c r="A2736" t="s">
        <v>80</v>
      </c>
      <c r="B2736" t="s">
        <v>983</v>
      </c>
      <c r="C2736">
        <v>6</v>
      </c>
      <c r="D2736" t="s">
        <v>15</v>
      </c>
      <c r="E2736" t="s">
        <v>95</v>
      </c>
      <c r="F2736" t="s">
        <v>105</v>
      </c>
      <c r="G2736" t="s">
        <v>121</v>
      </c>
      <c r="H2736" t="s">
        <v>103</v>
      </c>
      <c r="J2736">
        <v>0</v>
      </c>
      <c r="K2736">
        <v>9</v>
      </c>
      <c r="L2736">
        <v>67.5</v>
      </c>
      <c r="M2736">
        <v>47.937235809999997</v>
      </c>
      <c r="N2736">
        <v>0.41599678000000001</v>
      </c>
      <c r="O2736">
        <v>2.0950346999999998</v>
      </c>
      <c r="P2736">
        <v>98.291666669999998</v>
      </c>
      <c r="Q2736">
        <v>30.315130790000001</v>
      </c>
      <c r="R2736">
        <v>5.0803484000000003E-2</v>
      </c>
      <c r="S2736">
        <v>0.42866070000000001</v>
      </c>
      <c r="T2736" t="s">
        <v>1017</v>
      </c>
      <c r="U2736">
        <v>17.622105019999999</v>
      </c>
    </row>
    <row r="2737" spans="1:21" x14ac:dyDescent="0.25">
      <c r="A2737" t="s">
        <v>80</v>
      </c>
      <c r="B2737" t="s">
        <v>983</v>
      </c>
      <c r="C2737">
        <v>6</v>
      </c>
      <c r="D2737" t="s">
        <v>15</v>
      </c>
      <c r="E2737" t="s">
        <v>95</v>
      </c>
      <c r="F2737" t="s">
        <v>105</v>
      </c>
      <c r="G2737" t="s">
        <v>121</v>
      </c>
      <c r="H2737" t="s">
        <v>103</v>
      </c>
      <c r="J2737">
        <v>0</v>
      </c>
      <c r="K2737">
        <v>9</v>
      </c>
      <c r="L2737">
        <v>67.5</v>
      </c>
      <c r="M2737">
        <v>47.937235809999997</v>
      </c>
      <c r="N2737">
        <v>0.41599678000000001</v>
      </c>
      <c r="O2737">
        <v>2.0950346999999998</v>
      </c>
      <c r="P2737">
        <v>98.291666669999998</v>
      </c>
      <c r="Q2737">
        <v>30.315130790000001</v>
      </c>
      <c r="R2737">
        <v>5.0803484000000003E-2</v>
      </c>
      <c r="S2737">
        <v>0.42866070000000001</v>
      </c>
      <c r="T2737" t="s">
        <v>1017</v>
      </c>
      <c r="U2737">
        <v>17.622105019999999</v>
      </c>
    </row>
    <row r="2738" spans="1:21" x14ac:dyDescent="0.25">
      <c r="A2738" t="s">
        <v>80</v>
      </c>
      <c r="B2738" t="s">
        <v>983</v>
      </c>
      <c r="C2738">
        <v>6</v>
      </c>
      <c r="D2738" t="s">
        <v>15</v>
      </c>
      <c r="E2738" t="s">
        <v>95</v>
      </c>
      <c r="F2738" t="s">
        <v>105</v>
      </c>
      <c r="G2738" t="s">
        <v>121</v>
      </c>
      <c r="H2738" t="s">
        <v>103</v>
      </c>
      <c r="J2738">
        <v>0</v>
      </c>
      <c r="K2738">
        <v>9</v>
      </c>
      <c r="L2738">
        <v>67.5</v>
      </c>
      <c r="M2738">
        <v>47.937235809999997</v>
      </c>
      <c r="N2738">
        <v>0.41599678000000001</v>
      </c>
      <c r="O2738">
        <v>2.0950346999999998</v>
      </c>
      <c r="P2738">
        <v>98.291666669999998</v>
      </c>
      <c r="Q2738">
        <v>30.315130790000001</v>
      </c>
      <c r="R2738">
        <v>5.0803484000000003E-2</v>
      </c>
      <c r="S2738">
        <v>0.42866070000000001</v>
      </c>
      <c r="T2738" t="s">
        <v>1017</v>
      </c>
      <c r="U2738">
        <v>17.622105019999999</v>
      </c>
    </row>
    <row r="2739" spans="1:21" x14ac:dyDescent="0.25">
      <c r="A2739" t="s">
        <v>80</v>
      </c>
      <c r="B2739" t="s">
        <v>984</v>
      </c>
      <c r="C2739">
        <v>6</v>
      </c>
      <c r="D2739" t="s">
        <v>15</v>
      </c>
      <c r="E2739" t="s">
        <v>95</v>
      </c>
      <c r="F2739" t="s">
        <v>113</v>
      </c>
      <c r="G2739" t="s">
        <v>113</v>
      </c>
      <c r="H2739" t="s">
        <v>113</v>
      </c>
      <c r="J2739">
        <v>0</v>
      </c>
      <c r="K2739">
        <v>6</v>
      </c>
      <c r="L2739">
        <v>83.757575759999995</v>
      </c>
      <c r="M2739">
        <v>22.60997987</v>
      </c>
      <c r="N2739">
        <v>0.72884000000000004</v>
      </c>
      <c r="O2739">
        <v>0.21301339999999999</v>
      </c>
      <c r="P2739">
        <v>83.757575759999995</v>
      </c>
      <c r="Q2739">
        <v>22.60997987</v>
      </c>
      <c r="R2739">
        <v>0.72884000000000004</v>
      </c>
      <c r="S2739">
        <v>0.21301339999999999</v>
      </c>
      <c r="T2739" t="s">
        <v>1017</v>
      </c>
      <c r="U2739">
        <v>0</v>
      </c>
    </row>
    <row r="2740" spans="1:21" x14ac:dyDescent="0.25">
      <c r="A2740" t="s">
        <v>80</v>
      </c>
      <c r="B2740" t="s">
        <v>984</v>
      </c>
      <c r="C2740">
        <v>6</v>
      </c>
      <c r="D2740" t="s">
        <v>15</v>
      </c>
      <c r="E2740" t="s">
        <v>95</v>
      </c>
      <c r="F2740" t="s">
        <v>113</v>
      </c>
      <c r="G2740" t="s">
        <v>113</v>
      </c>
      <c r="H2740" t="s">
        <v>113</v>
      </c>
      <c r="J2740">
        <v>0</v>
      </c>
      <c r="K2740">
        <v>6</v>
      </c>
      <c r="L2740">
        <v>83.757575759999995</v>
      </c>
      <c r="M2740">
        <v>22.60997987</v>
      </c>
      <c r="N2740">
        <v>0.72884000000000004</v>
      </c>
      <c r="O2740">
        <v>0.21301339999999999</v>
      </c>
      <c r="P2740">
        <v>83.757575759999995</v>
      </c>
      <c r="Q2740">
        <v>22.60997987</v>
      </c>
      <c r="R2740">
        <v>0.72884000000000004</v>
      </c>
      <c r="S2740">
        <v>0.21301339999999999</v>
      </c>
      <c r="T2740" t="s">
        <v>1017</v>
      </c>
      <c r="U2740">
        <v>0</v>
      </c>
    </row>
    <row r="2741" spans="1:21" x14ac:dyDescent="0.25">
      <c r="A2741" t="s">
        <v>80</v>
      </c>
      <c r="B2741" t="s">
        <v>984</v>
      </c>
      <c r="C2741">
        <v>6</v>
      </c>
      <c r="D2741" t="s">
        <v>15</v>
      </c>
      <c r="E2741" t="s">
        <v>95</v>
      </c>
      <c r="F2741" t="s">
        <v>113</v>
      </c>
      <c r="G2741" t="s">
        <v>113</v>
      </c>
      <c r="H2741" t="s">
        <v>113</v>
      </c>
      <c r="J2741">
        <v>0</v>
      </c>
      <c r="K2741">
        <v>6</v>
      </c>
      <c r="L2741">
        <v>83.757575759999995</v>
      </c>
      <c r="M2741">
        <v>22.60997987</v>
      </c>
      <c r="N2741">
        <v>0.72884000000000004</v>
      </c>
      <c r="O2741">
        <v>0.21301339999999999</v>
      </c>
      <c r="P2741">
        <v>83.757575759999995</v>
      </c>
      <c r="Q2741">
        <v>22.60997987</v>
      </c>
      <c r="R2741">
        <v>0.72884000000000004</v>
      </c>
      <c r="S2741">
        <v>0.21301339999999999</v>
      </c>
      <c r="T2741" t="s">
        <v>1017</v>
      </c>
      <c r="U2741">
        <v>0</v>
      </c>
    </row>
    <row r="2742" spans="1:21" x14ac:dyDescent="0.25">
      <c r="A2742" t="s">
        <v>80</v>
      </c>
      <c r="B2742" t="s">
        <v>984</v>
      </c>
      <c r="C2742">
        <v>6</v>
      </c>
      <c r="D2742" t="s">
        <v>15</v>
      </c>
      <c r="E2742" t="s">
        <v>95</v>
      </c>
      <c r="F2742" t="s">
        <v>113</v>
      </c>
      <c r="G2742" t="s">
        <v>113</v>
      </c>
      <c r="H2742" t="s">
        <v>113</v>
      </c>
      <c r="J2742">
        <v>0</v>
      </c>
      <c r="K2742">
        <v>6</v>
      </c>
      <c r="L2742">
        <v>83.757575759999995</v>
      </c>
      <c r="M2742">
        <v>22.60997987</v>
      </c>
      <c r="N2742">
        <v>0.72884000000000004</v>
      </c>
      <c r="O2742">
        <v>0.21301339999999999</v>
      </c>
      <c r="P2742">
        <v>83.757575759999995</v>
      </c>
      <c r="Q2742">
        <v>22.60997987</v>
      </c>
      <c r="R2742">
        <v>0.72884000000000004</v>
      </c>
      <c r="S2742">
        <v>0.21301339999999999</v>
      </c>
      <c r="T2742" t="s">
        <v>1017</v>
      </c>
      <c r="U2742">
        <v>0</v>
      </c>
    </row>
    <row r="2743" spans="1:21" x14ac:dyDescent="0.25">
      <c r="A2743" t="s">
        <v>80</v>
      </c>
      <c r="B2743" t="s">
        <v>984</v>
      </c>
      <c r="C2743">
        <v>6</v>
      </c>
      <c r="D2743" t="s">
        <v>15</v>
      </c>
      <c r="E2743" t="s">
        <v>95</v>
      </c>
      <c r="F2743" t="s">
        <v>113</v>
      </c>
      <c r="G2743" t="s">
        <v>113</v>
      </c>
      <c r="H2743" t="s">
        <v>113</v>
      </c>
      <c r="J2743">
        <v>0</v>
      </c>
      <c r="K2743">
        <v>6</v>
      </c>
      <c r="L2743">
        <v>83.757575759999995</v>
      </c>
      <c r="M2743">
        <v>22.60997987</v>
      </c>
      <c r="N2743">
        <v>0.72884000000000004</v>
      </c>
      <c r="O2743">
        <v>0.21301339999999999</v>
      </c>
      <c r="P2743">
        <v>83.757575759999995</v>
      </c>
      <c r="Q2743">
        <v>22.60997987</v>
      </c>
      <c r="R2743">
        <v>0.72884000000000004</v>
      </c>
      <c r="S2743">
        <v>0.21301339999999999</v>
      </c>
      <c r="T2743" t="s">
        <v>1017</v>
      </c>
      <c r="U2743">
        <v>0</v>
      </c>
    </row>
    <row r="2744" spans="1:21" x14ac:dyDescent="0.25">
      <c r="A2744" t="s">
        <v>80</v>
      </c>
      <c r="B2744" t="s">
        <v>984</v>
      </c>
      <c r="C2744">
        <v>6</v>
      </c>
      <c r="D2744" t="s">
        <v>15</v>
      </c>
      <c r="E2744" t="s">
        <v>95</v>
      </c>
      <c r="F2744" t="s">
        <v>113</v>
      </c>
      <c r="G2744" t="s">
        <v>113</v>
      </c>
      <c r="H2744" t="s">
        <v>113</v>
      </c>
      <c r="J2744">
        <v>0</v>
      </c>
      <c r="K2744">
        <v>6</v>
      </c>
      <c r="L2744">
        <v>83.757575759999995</v>
      </c>
      <c r="M2744">
        <v>22.60997987</v>
      </c>
      <c r="N2744">
        <v>0.72884000000000004</v>
      </c>
      <c r="O2744">
        <v>0.21301339999999999</v>
      </c>
      <c r="P2744">
        <v>83.757575759999995</v>
      </c>
      <c r="Q2744">
        <v>22.60997987</v>
      </c>
      <c r="R2744">
        <v>0.72884000000000004</v>
      </c>
      <c r="S2744">
        <v>0.21301339999999999</v>
      </c>
      <c r="T2744" t="s">
        <v>1017</v>
      </c>
      <c r="U2744">
        <v>0</v>
      </c>
    </row>
    <row r="2745" spans="1:21" x14ac:dyDescent="0.25">
      <c r="A2745" t="s">
        <v>80</v>
      </c>
      <c r="B2745" t="s">
        <v>985</v>
      </c>
      <c r="C2745">
        <v>6</v>
      </c>
      <c r="D2745" t="s">
        <v>15</v>
      </c>
      <c r="E2745" t="s">
        <v>95</v>
      </c>
      <c r="F2745" t="s">
        <v>103</v>
      </c>
      <c r="G2745" t="s">
        <v>113</v>
      </c>
      <c r="H2745" t="s">
        <v>113</v>
      </c>
      <c r="J2745">
        <v>0</v>
      </c>
      <c r="K2745">
        <v>1</v>
      </c>
      <c r="L2745">
        <v>98.291666669999998</v>
      </c>
      <c r="M2745">
        <v>30.315130790000001</v>
      </c>
      <c r="N2745">
        <v>5.0803484000000003E-2</v>
      </c>
      <c r="O2745">
        <v>0.42866070000000001</v>
      </c>
      <c r="P2745">
        <v>83.757575759999995</v>
      </c>
      <c r="Q2745">
        <v>22.60997987</v>
      </c>
      <c r="R2745">
        <v>0.72884000000000004</v>
      </c>
      <c r="S2745">
        <v>0.21301339999999999</v>
      </c>
      <c r="T2745" t="s">
        <v>1017</v>
      </c>
      <c r="U2745">
        <v>7.7051509200000003</v>
      </c>
    </row>
    <row r="2746" spans="1:21" x14ac:dyDescent="0.25">
      <c r="A2746" t="s">
        <v>80</v>
      </c>
      <c r="B2746" t="s">
        <v>985</v>
      </c>
      <c r="C2746">
        <v>6</v>
      </c>
      <c r="D2746" t="s">
        <v>15</v>
      </c>
      <c r="E2746" t="s">
        <v>95</v>
      </c>
      <c r="F2746" t="s">
        <v>103</v>
      </c>
      <c r="G2746" t="s">
        <v>113</v>
      </c>
      <c r="H2746" t="s">
        <v>103</v>
      </c>
      <c r="J2746">
        <v>0</v>
      </c>
      <c r="K2746">
        <v>2</v>
      </c>
      <c r="L2746">
        <v>98.291666669999998</v>
      </c>
      <c r="M2746">
        <v>30.315130790000001</v>
      </c>
      <c r="N2746">
        <v>5.0803484000000003E-2</v>
      </c>
      <c r="O2746">
        <v>0.42866070000000001</v>
      </c>
      <c r="P2746">
        <v>98.291666669999998</v>
      </c>
      <c r="Q2746">
        <v>30.315130790000001</v>
      </c>
      <c r="R2746">
        <v>5.0803484000000003E-2</v>
      </c>
      <c r="S2746">
        <v>0.42866070000000001</v>
      </c>
      <c r="T2746" t="s">
        <v>1017</v>
      </c>
      <c r="U2746">
        <v>0</v>
      </c>
    </row>
    <row r="2747" spans="1:21" x14ac:dyDescent="0.25">
      <c r="A2747" t="s">
        <v>80</v>
      </c>
      <c r="B2747" t="s">
        <v>985</v>
      </c>
      <c r="C2747">
        <v>6</v>
      </c>
      <c r="D2747" t="s">
        <v>15</v>
      </c>
      <c r="E2747" t="s">
        <v>95</v>
      </c>
      <c r="F2747" t="s">
        <v>103</v>
      </c>
      <c r="G2747" t="s">
        <v>113</v>
      </c>
      <c r="H2747" t="s">
        <v>103</v>
      </c>
      <c r="J2747">
        <v>0</v>
      </c>
      <c r="K2747">
        <v>2</v>
      </c>
      <c r="L2747">
        <v>98.291666669999998</v>
      </c>
      <c r="M2747">
        <v>30.315130790000001</v>
      </c>
      <c r="N2747">
        <v>5.0803484000000003E-2</v>
      </c>
      <c r="O2747">
        <v>0.42866070000000001</v>
      </c>
      <c r="P2747">
        <v>98.291666669999998</v>
      </c>
      <c r="Q2747">
        <v>30.315130790000001</v>
      </c>
      <c r="R2747">
        <v>5.0803484000000003E-2</v>
      </c>
      <c r="S2747">
        <v>0.42866070000000001</v>
      </c>
      <c r="T2747" t="s">
        <v>1017</v>
      </c>
      <c r="U2747">
        <v>0</v>
      </c>
    </row>
    <row r="2748" spans="1:21" x14ac:dyDescent="0.25">
      <c r="A2748" t="s">
        <v>81</v>
      </c>
      <c r="B2748" t="s">
        <v>986</v>
      </c>
      <c r="C2748">
        <v>6</v>
      </c>
      <c r="D2748" t="s">
        <v>17</v>
      </c>
      <c r="E2748" t="s">
        <v>94</v>
      </c>
      <c r="F2748" t="s">
        <v>105</v>
      </c>
      <c r="G2748" t="s">
        <v>113</v>
      </c>
      <c r="H2748" t="s">
        <v>113</v>
      </c>
      <c r="J2748">
        <v>0</v>
      </c>
      <c r="K2748">
        <v>6</v>
      </c>
      <c r="L2748">
        <v>67.5</v>
      </c>
      <c r="M2748">
        <v>47.937235809999997</v>
      </c>
      <c r="N2748">
        <v>0.41599678000000001</v>
      </c>
      <c r="O2748">
        <v>2.0950346999999998</v>
      </c>
      <c r="P2748">
        <v>83.757575759999995</v>
      </c>
      <c r="Q2748">
        <v>22.60997987</v>
      </c>
      <c r="R2748">
        <v>0.72884000000000004</v>
      </c>
      <c r="S2748">
        <v>0.21301339999999999</v>
      </c>
      <c r="T2748" t="s">
        <v>1017</v>
      </c>
      <c r="U2748">
        <v>25.327255940000001</v>
      </c>
    </row>
    <row r="2749" spans="1:21" x14ac:dyDescent="0.25">
      <c r="A2749" t="s">
        <v>81</v>
      </c>
      <c r="B2749" t="s">
        <v>986</v>
      </c>
      <c r="C2749">
        <v>6</v>
      </c>
      <c r="D2749" t="s">
        <v>17</v>
      </c>
      <c r="E2749" t="s">
        <v>94</v>
      </c>
      <c r="F2749" t="s">
        <v>105</v>
      </c>
      <c r="G2749" t="s">
        <v>113</v>
      </c>
      <c r="H2749" t="s">
        <v>113</v>
      </c>
      <c r="J2749">
        <v>0</v>
      </c>
      <c r="K2749">
        <v>6</v>
      </c>
      <c r="L2749">
        <v>67.5</v>
      </c>
      <c r="M2749">
        <v>47.937235809999997</v>
      </c>
      <c r="N2749">
        <v>0.41599678000000001</v>
      </c>
      <c r="O2749">
        <v>2.0950346999999998</v>
      </c>
      <c r="P2749">
        <v>83.757575759999995</v>
      </c>
      <c r="Q2749">
        <v>22.60997987</v>
      </c>
      <c r="R2749">
        <v>0.72884000000000004</v>
      </c>
      <c r="S2749">
        <v>0.21301339999999999</v>
      </c>
      <c r="T2749" t="s">
        <v>1017</v>
      </c>
      <c r="U2749">
        <v>25.327255940000001</v>
      </c>
    </row>
    <row r="2750" spans="1:21" x14ac:dyDescent="0.25">
      <c r="A2750" t="s">
        <v>81</v>
      </c>
      <c r="B2750" t="s">
        <v>986</v>
      </c>
      <c r="C2750">
        <v>6</v>
      </c>
      <c r="D2750" t="s">
        <v>17</v>
      </c>
      <c r="E2750" t="s">
        <v>94</v>
      </c>
      <c r="F2750" t="s">
        <v>105</v>
      </c>
      <c r="G2750" t="s">
        <v>113</v>
      </c>
      <c r="H2750" t="s">
        <v>113</v>
      </c>
      <c r="J2750">
        <v>0</v>
      </c>
      <c r="K2750">
        <v>6</v>
      </c>
      <c r="L2750">
        <v>67.5</v>
      </c>
      <c r="M2750">
        <v>47.937235809999997</v>
      </c>
      <c r="N2750">
        <v>0.41599678000000001</v>
      </c>
      <c r="O2750">
        <v>2.0950346999999998</v>
      </c>
      <c r="P2750">
        <v>83.757575759999995</v>
      </c>
      <c r="Q2750">
        <v>22.60997987</v>
      </c>
      <c r="R2750">
        <v>0.72884000000000004</v>
      </c>
      <c r="S2750">
        <v>0.21301339999999999</v>
      </c>
      <c r="T2750" t="s">
        <v>1017</v>
      </c>
      <c r="U2750">
        <v>25.327255940000001</v>
      </c>
    </row>
    <row r="2751" spans="1:21" x14ac:dyDescent="0.25">
      <c r="A2751" t="s">
        <v>81</v>
      </c>
      <c r="B2751" t="s">
        <v>986</v>
      </c>
      <c r="C2751">
        <v>6</v>
      </c>
      <c r="D2751" t="s">
        <v>17</v>
      </c>
      <c r="E2751" t="s">
        <v>94</v>
      </c>
      <c r="F2751" t="s">
        <v>105</v>
      </c>
      <c r="G2751" t="s">
        <v>113</v>
      </c>
      <c r="H2751" t="s">
        <v>113</v>
      </c>
      <c r="J2751">
        <v>0</v>
      </c>
      <c r="K2751">
        <v>6</v>
      </c>
      <c r="L2751">
        <v>67.5</v>
      </c>
      <c r="M2751">
        <v>47.937235809999997</v>
      </c>
      <c r="N2751">
        <v>0.41599678000000001</v>
      </c>
      <c r="O2751">
        <v>2.0950346999999998</v>
      </c>
      <c r="P2751">
        <v>83.757575759999995</v>
      </c>
      <c r="Q2751">
        <v>22.60997987</v>
      </c>
      <c r="R2751">
        <v>0.72884000000000004</v>
      </c>
      <c r="S2751">
        <v>0.21301339999999999</v>
      </c>
      <c r="T2751" t="s">
        <v>1017</v>
      </c>
      <c r="U2751">
        <v>25.327255940000001</v>
      </c>
    </row>
    <row r="2752" spans="1:21" x14ac:dyDescent="0.25">
      <c r="A2752" t="s">
        <v>81</v>
      </c>
      <c r="B2752" t="s">
        <v>986</v>
      </c>
      <c r="C2752">
        <v>6</v>
      </c>
      <c r="D2752" t="s">
        <v>17</v>
      </c>
      <c r="E2752" t="s">
        <v>94</v>
      </c>
      <c r="F2752" t="s">
        <v>105</v>
      </c>
      <c r="G2752" t="s">
        <v>113</v>
      </c>
      <c r="H2752" t="s">
        <v>113</v>
      </c>
      <c r="J2752">
        <v>0</v>
      </c>
      <c r="K2752">
        <v>6</v>
      </c>
      <c r="L2752">
        <v>67.5</v>
      </c>
      <c r="M2752">
        <v>47.937235809999997</v>
      </c>
      <c r="N2752">
        <v>0.41599678000000001</v>
      </c>
      <c r="O2752">
        <v>2.0950346999999998</v>
      </c>
      <c r="P2752">
        <v>83.757575759999995</v>
      </c>
      <c r="Q2752">
        <v>22.60997987</v>
      </c>
      <c r="R2752">
        <v>0.72884000000000004</v>
      </c>
      <c r="S2752">
        <v>0.21301339999999999</v>
      </c>
      <c r="T2752" t="s">
        <v>1017</v>
      </c>
      <c r="U2752">
        <v>25.327255940000001</v>
      </c>
    </row>
    <row r="2753" spans="1:21" x14ac:dyDescent="0.25">
      <c r="A2753" t="s">
        <v>81</v>
      </c>
      <c r="B2753" t="s">
        <v>986</v>
      </c>
      <c r="C2753">
        <v>6</v>
      </c>
      <c r="D2753" t="s">
        <v>17</v>
      </c>
      <c r="E2753" t="s">
        <v>94</v>
      </c>
      <c r="F2753" t="s">
        <v>105</v>
      </c>
      <c r="G2753" t="s">
        <v>113</v>
      </c>
      <c r="H2753" t="s">
        <v>113</v>
      </c>
      <c r="J2753">
        <v>0</v>
      </c>
      <c r="K2753">
        <v>6</v>
      </c>
      <c r="L2753">
        <v>67.5</v>
      </c>
      <c r="M2753">
        <v>47.937235809999997</v>
      </c>
      <c r="N2753">
        <v>0.41599678000000001</v>
      </c>
      <c r="O2753">
        <v>2.0950346999999998</v>
      </c>
      <c r="P2753">
        <v>83.757575759999995</v>
      </c>
      <c r="Q2753">
        <v>22.60997987</v>
      </c>
      <c r="R2753">
        <v>0.72884000000000004</v>
      </c>
      <c r="S2753">
        <v>0.21301339999999999</v>
      </c>
      <c r="T2753" t="s">
        <v>1017</v>
      </c>
      <c r="U2753">
        <v>25.327255940000001</v>
      </c>
    </row>
    <row r="2754" spans="1:21" x14ac:dyDescent="0.25">
      <c r="A2754" t="s">
        <v>81</v>
      </c>
      <c r="B2754" t="s">
        <v>987</v>
      </c>
      <c r="C2754">
        <v>6</v>
      </c>
      <c r="D2754" t="s">
        <v>17</v>
      </c>
      <c r="E2754" t="s">
        <v>94</v>
      </c>
      <c r="F2754" t="s">
        <v>113</v>
      </c>
      <c r="G2754" t="s">
        <v>113</v>
      </c>
      <c r="H2754" t="s">
        <v>113</v>
      </c>
      <c r="J2754">
        <v>0</v>
      </c>
      <c r="K2754">
        <v>6</v>
      </c>
      <c r="L2754">
        <v>83.757575759999995</v>
      </c>
      <c r="M2754">
        <v>22.60997987</v>
      </c>
      <c r="N2754">
        <v>0.72884000000000004</v>
      </c>
      <c r="O2754">
        <v>0.21301339999999999</v>
      </c>
      <c r="P2754">
        <v>83.757575759999995</v>
      </c>
      <c r="Q2754">
        <v>22.60997987</v>
      </c>
      <c r="R2754">
        <v>0.72884000000000004</v>
      </c>
      <c r="S2754">
        <v>0.21301339999999999</v>
      </c>
      <c r="T2754" t="s">
        <v>1017</v>
      </c>
      <c r="U2754">
        <v>0</v>
      </c>
    </row>
    <row r="2755" spans="1:21" x14ac:dyDescent="0.25">
      <c r="A2755" t="s">
        <v>81</v>
      </c>
      <c r="B2755" t="s">
        <v>987</v>
      </c>
      <c r="C2755">
        <v>6</v>
      </c>
      <c r="D2755" t="s">
        <v>17</v>
      </c>
      <c r="E2755" t="s">
        <v>94</v>
      </c>
      <c r="F2755" t="s">
        <v>113</v>
      </c>
      <c r="G2755" t="s">
        <v>113</v>
      </c>
      <c r="H2755" t="s">
        <v>113</v>
      </c>
      <c r="J2755">
        <v>0</v>
      </c>
      <c r="K2755">
        <v>6</v>
      </c>
      <c r="L2755">
        <v>83.757575759999995</v>
      </c>
      <c r="M2755">
        <v>22.60997987</v>
      </c>
      <c r="N2755">
        <v>0.72884000000000004</v>
      </c>
      <c r="O2755">
        <v>0.21301339999999999</v>
      </c>
      <c r="P2755">
        <v>83.757575759999995</v>
      </c>
      <c r="Q2755">
        <v>22.60997987</v>
      </c>
      <c r="R2755">
        <v>0.72884000000000004</v>
      </c>
      <c r="S2755">
        <v>0.21301339999999999</v>
      </c>
      <c r="T2755" t="s">
        <v>1017</v>
      </c>
      <c r="U2755">
        <v>0</v>
      </c>
    </row>
    <row r="2756" spans="1:21" x14ac:dyDescent="0.25">
      <c r="A2756" t="s">
        <v>81</v>
      </c>
      <c r="B2756" t="s">
        <v>987</v>
      </c>
      <c r="C2756">
        <v>6</v>
      </c>
      <c r="D2756" t="s">
        <v>17</v>
      </c>
      <c r="E2756" t="s">
        <v>94</v>
      </c>
      <c r="F2756" t="s">
        <v>113</v>
      </c>
      <c r="G2756" t="s">
        <v>113</v>
      </c>
      <c r="H2756" t="s">
        <v>113</v>
      </c>
      <c r="J2756">
        <v>0</v>
      </c>
      <c r="K2756">
        <v>6</v>
      </c>
      <c r="L2756">
        <v>83.757575759999995</v>
      </c>
      <c r="M2756">
        <v>22.60997987</v>
      </c>
      <c r="N2756">
        <v>0.72884000000000004</v>
      </c>
      <c r="O2756">
        <v>0.21301339999999999</v>
      </c>
      <c r="P2756">
        <v>83.757575759999995</v>
      </c>
      <c r="Q2756">
        <v>22.60997987</v>
      </c>
      <c r="R2756">
        <v>0.72884000000000004</v>
      </c>
      <c r="S2756">
        <v>0.21301339999999999</v>
      </c>
      <c r="T2756" t="s">
        <v>1017</v>
      </c>
      <c r="U2756">
        <v>0</v>
      </c>
    </row>
    <row r="2757" spans="1:21" x14ac:dyDescent="0.25">
      <c r="A2757" t="s">
        <v>81</v>
      </c>
      <c r="B2757" t="s">
        <v>987</v>
      </c>
      <c r="C2757">
        <v>6</v>
      </c>
      <c r="D2757" t="s">
        <v>17</v>
      </c>
      <c r="E2757" t="s">
        <v>94</v>
      </c>
      <c r="F2757" t="s">
        <v>113</v>
      </c>
      <c r="G2757" t="s">
        <v>113</v>
      </c>
      <c r="H2757" t="s">
        <v>113</v>
      </c>
      <c r="J2757">
        <v>0</v>
      </c>
      <c r="K2757">
        <v>6</v>
      </c>
      <c r="L2757">
        <v>83.757575759999995</v>
      </c>
      <c r="M2757">
        <v>22.60997987</v>
      </c>
      <c r="N2757">
        <v>0.72884000000000004</v>
      </c>
      <c r="O2757">
        <v>0.21301339999999999</v>
      </c>
      <c r="P2757">
        <v>83.757575759999995</v>
      </c>
      <c r="Q2757">
        <v>22.60997987</v>
      </c>
      <c r="R2757">
        <v>0.72884000000000004</v>
      </c>
      <c r="S2757">
        <v>0.21301339999999999</v>
      </c>
      <c r="T2757" t="s">
        <v>1017</v>
      </c>
      <c r="U2757">
        <v>0</v>
      </c>
    </row>
    <row r="2758" spans="1:21" x14ac:dyDescent="0.25">
      <c r="A2758" t="s">
        <v>81</v>
      </c>
      <c r="B2758" t="s">
        <v>987</v>
      </c>
      <c r="C2758">
        <v>6</v>
      </c>
      <c r="D2758" t="s">
        <v>17</v>
      </c>
      <c r="E2758" t="s">
        <v>94</v>
      </c>
      <c r="F2758" t="s">
        <v>113</v>
      </c>
      <c r="G2758" t="s">
        <v>113</v>
      </c>
      <c r="H2758" t="s">
        <v>113</v>
      </c>
      <c r="J2758">
        <v>0</v>
      </c>
      <c r="K2758">
        <v>6</v>
      </c>
      <c r="L2758">
        <v>83.757575759999995</v>
      </c>
      <c r="M2758">
        <v>22.60997987</v>
      </c>
      <c r="N2758">
        <v>0.72884000000000004</v>
      </c>
      <c r="O2758">
        <v>0.21301339999999999</v>
      </c>
      <c r="P2758">
        <v>83.757575759999995</v>
      </c>
      <c r="Q2758">
        <v>22.60997987</v>
      </c>
      <c r="R2758">
        <v>0.72884000000000004</v>
      </c>
      <c r="S2758">
        <v>0.21301339999999999</v>
      </c>
      <c r="T2758" t="s">
        <v>1017</v>
      </c>
      <c r="U2758">
        <v>0</v>
      </c>
    </row>
    <row r="2759" spans="1:21" x14ac:dyDescent="0.25">
      <c r="A2759" t="s">
        <v>81</v>
      </c>
      <c r="B2759" t="s">
        <v>987</v>
      </c>
      <c r="C2759">
        <v>6</v>
      </c>
      <c r="D2759" t="s">
        <v>17</v>
      </c>
      <c r="E2759" t="s">
        <v>94</v>
      </c>
      <c r="F2759" t="s">
        <v>113</v>
      </c>
      <c r="G2759" t="s">
        <v>113</v>
      </c>
      <c r="H2759" t="s">
        <v>113</v>
      </c>
      <c r="J2759">
        <v>0</v>
      </c>
      <c r="K2759">
        <v>6</v>
      </c>
      <c r="L2759">
        <v>83.757575759999995</v>
      </c>
      <c r="M2759">
        <v>22.60997987</v>
      </c>
      <c r="N2759">
        <v>0.72884000000000004</v>
      </c>
      <c r="O2759">
        <v>0.21301339999999999</v>
      </c>
      <c r="P2759">
        <v>83.757575759999995</v>
      </c>
      <c r="Q2759">
        <v>22.60997987</v>
      </c>
      <c r="R2759">
        <v>0.72884000000000004</v>
      </c>
      <c r="S2759">
        <v>0.21301339999999999</v>
      </c>
      <c r="T2759" t="s">
        <v>1017</v>
      </c>
      <c r="U2759">
        <v>0</v>
      </c>
    </row>
    <row r="2760" spans="1:21" x14ac:dyDescent="0.25">
      <c r="A2760" t="s">
        <v>81</v>
      </c>
      <c r="B2760" t="s">
        <v>988</v>
      </c>
      <c r="C2760">
        <v>6</v>
      </c>
      <c r="D2760" t="s">
        <v>17</v>
      </c>
      <c r="E2760" t="s">
        <v>94</v>
      </c>
      <c r="F2760" t="s">
        <v>103</v>
      </c>
      <c r="G2760" t="s">
        <v>113</v>
      </c>
      <c r="H2760" t="s">
        <v>113</v>
      </c>
      <c r="J2760">
        <v>0</v>
      </c>
      <c r="K2760">
        <v>5</v>
      </c>
      <c r="L2760">
        <v>98.291666669999998</v>
      </c>
      <c r="M2760">
        <v>30.315130790000001</v>
      </c>
      <c r="N2760">
        <v>5.0803484000000003E-2</v>
      </c>
      <c r="O2760">
        <v>0.42866070000000001</v>
      </c>
      <c r="P2760">
        <v>83.757575759999995</v>
      </c>
      <c r="Q2760">
        <v>22.60997987</v>
      </c>
      <c r="R2760">
        <v>0.72884000000000004</v>
      </c>
      <c r="S2760">
        <v>0.21301339999999999</v>
      </c>
      <c r="T2760" t="s">
        <v>1017</v>
      </c>
      <c r="U2760">
        <v>7.7051509200000003</v>
      </c>
    </row>
    <row r="2761" spans="1:21" x14ac:dyDescent="0.25">
      <c r="A2761" t="s">
        <v>81</v>
      </c>
      <c r="B2761" t="s">
        <v>988</v>
      </c>
      <c r="C2761">
        <v>6</v>
      </c>
      <c r="D2761" t="s">
        <v>17</v>
      </c>
      <c r="E2761" t="s">
        <v>94</v>
      </c>
      <c r="F2761" t="s">
        <v>103</v>
      </c>
      <c r="G2761" t="s">
        <v>113</v>
      </c>
      <c r="H2761" t="s">
        <v>113</v>
      </c>
      <c r="J2761">
        <v>0</v>
      </c>
      <c r="K2761">
        <v>5</v>
      </c>
      <c r="L2761">
        <v>98.291666669999998</v>
      </c>
      <c r="M2761">
        <v>30.315130790000001</v>
      </c>
      <c r="N2761">
        <v>5.0803484000000003E-2</v>
      </c>
      <c r="O2761">
        <v>0.42866070000000001</v>
      </c>
      <c r="P2761">
        <v>83.757575759999995</v>
      </c>
      <c r="Q2761">
        <v>22.60997987</v>
      </c>
      <c r="R2761">
        <v>0.72884000000000004</v>
      </c>
      <c r="S2761">
        <v>0.21301339999999999</v>
      </c>
      <c r="T2761" t="s">
        <v>1017</v>
      </c>
      <c r="U2761">
        <v>7.7051509200000003</v>
      </c>
    </row>
    <row r="2762" spans="1:21" x14ac:dyDescent="0.25">
      <c r="A2762" t="s">
        <v>81</v>
      </c>
      <c r="B2762" t="s">
        <v>988</v>
      </c>
      <c r="C2762">
        <v>6</v>
      </c>
      <c r="D2762" t="s">
        <v>17</v>
      </c>
      <c r="E2762" t="s">
        <v>94</v>
      </c>
      <c r="F2762" t="s">
        <v>103</v>
      </c>
      <c r="G2762" t="s">
        <v>113</v>
      </c>
      <c r="H2762" t="s">
        <v>113</v>
      </c>
      <c r="J2762">
        <v>0</v>
      </c>
      <c r="K2762">
        <v>5</v>
      </c>
      <c r="L2762">
        <v>98.291666669999998</v>
      </c>
      <c r="M2762">
        <v>30.315130790000001</v>
      </c>
      <c r="N2762">
        <v>5.0803484000000003E-2</v>
      </c>
      <c r="O2762">
        <v>0.42866070000000001</v>
      </c>
      <c r="P2762">
        <v>83.757575759999995</v>
      </c>
      <c r="Q2762">
        <v>22.60997987</v>
      </c>
      <c r="R2762">
        <v>0.72884000000000004</v>
      </c>
      <c r="S2762">
        <v>0.21301339999999999</v>
      </c>
      <c r="T2762" t="s">
        <v>1017</v>
      </c>
      <c r="U2762">
        <v>7.7051509200000003</v>
      </c>
    </row>
    <row r="2763" spans="1:21" x14ac:dyDescent="0.25">
      <c r="A2763" t="s">
        <v>81</v>
      </c>
      <c r="B2763" t="s">
        <v>988</v>
      </c>
      <c r="C2763">
        <v>6</v>
      </c>
      <c r="D2763" t="s">
        <v>17</v>
      </c>
      <c r="E2763" t="s">
        <v>94</v>
      </c>
      <c r="F2763" t="s">
        <v>103</v>
      </c>
      <c r="G2763" t="s">
        <v>113</v>
      </c>
      <c r="H2763" t="s">
        <v>113</v>
      </c>
      <c r="J2763">
        <v>0</v>
      </c>
      <c r="K2763">
        <v>5</v>
      </c>
      <c r="L2763">
        <v>98.291666669999998</v>
      </c>
      <c r="M2763">
        <v>30.315130790000001</v>
      </c>
      <c r="N2763">
        <v>5.0803484000000003E-2</v>
      </c>
      <c r="O2763">
        <v>0.42866070000000001</v>
      </c>
      <c r="P2763">
        <v>83.757575759999995</v>
      </c>
      <c r="Q2763">
        <v>22.60997987</v>
      </c>
      <c r="R2763">
        <v>0.72884000000000004</v>
      </c>
      <c r="S2763">
        <v>0.21301339999999999</v>
      </c>
      <c r="T2763" t="s">
        <v>1017</v>
      </c>
      <c r="U2763">
        <v>7.7051509200000003</v>
      </c>
    </row>
    <row r="2764" spans="1:21" x14ac:dyDescent="0.25">
      <c r="A2764" t="s">
        <v>81</v>
      </c>
      <c r="B2764" t="s">
        <v>988</v>
      </c>
      <c r="C2764">
        <v>6</v>
      </c>
      <c r="D2764" t="s">
        <v>17</v>
      </c>
      <c r="E2764" t="s">
        <v>94</v>
      </c>
      <c r="F2764" t="s">
        <v>103</v>
      </c>
      <c r="G2764" t="s">
        <v>113</v>
      </c>
      <c r="H2764" t="s">
        <v>113</v>
      </c>
      <c r="J2764">
        <v>0</v>
      </c>
      <c r="K2764">
        <v>5</v>
      </c>
      <c r="L2764">
        <v>98.291666669999998</v>
      </c>
      <c r="M2764">
        <v>30.315130790000001</v>
      </c>
      <c r="N2764">
        <v>5.0803484000000003E-2</v>
      </c>
      <c r="O2764">
        <v>0.42866070000000001</v>
      </c>
      <c r="P2764">
        <v>83.757575759999995</v>
      </c>
      <c r="Q2764">
        <v>22.60997987</v>
      </c>
      <c r="R2764">
        <v>0.72884000000000004</v>
      </c>
      <c r="S2764">
        <v>0.21301339999999999</v>
      </c>
      <c r="T2764" t="s">
        <v>1017</v>
      </c>
      <c r="U2764">
        <v>7.7051509200000003</v>
      </c>
    </row>
    <row r="2765" spans="1:21" x14ac:dyDescent="0.25">
      <c r="A2765" t="s">
        <v>81</v>
      </c>
      <c r="B2765" t="s">
        <v>988</v>
      </c>
      <c r="C2765">
        <v>6</v>
      </c>
      <c r="D2765" t="s">
        <v>17</v>
      </c>
      <c r="E2765" t="s">
        <v>94</v>
      </c>
      <c r="F2765" t="s">
        <v>103</v>
      </c>
      <c r="G2765" t="s">
        <v>113</v>
      </c>
      <c r="H2765" t="s">
        <v>103</v>
      </c>
      <c r="J2765">
        <v>0</v>
      </c>
      <c r="K2765">
        <v>1</v>
      </c>
      <c r="L2765">
        <v>98.291666669999998</v>
      </c>
      <c r="M2765">
        <v>30.315130790000001</v>
      </c>
      <c r="N2765">
        <v>5.0803484000000003E-2</v>
      </c>
      <c r="O2765">
        <v>0.42866070000000001</v>
      </c>
      <c r="P2765">
        <v>98.291666669999998</v>
      </c>
      <c r="Q2765">
        <v>30.315130790000001</v>
      </c>
      <c r="R2765">
        <v>5.0803484000000003E-2</v>
      </c>
      <c r="S2765">
        <v>0.42866070000000001</v>
      </c>
      <c r="T2765" t="s">
        <v>1017</v>
      </c>
      <c r="U2765">
        <v>0</v>
      </c>
    </row>
    <row r="2766" spans="1:21" x14ac:dyDescent="0.25">
      <c r="A2766" t="s">
        <v>82</v>
      </c>
      <c r="B2766" t="s">
        <v>989</v>
      </c>
      <c r="C2766">
        <v>6</v>
      </c>
      <c r="D2766" t="s">
        <v>19</v>
      </c>
      <c r="E2766" t="s">
        <v>94</v>
      </c>
      <c r="F2766" t="s">
        <v>102</v>
      </c>
      <c r="G2766" t="s">
        <v>102</v>
      </c>
      <c r="H2766" t="s">
        <v>102</v>
      </c>
      <c r="J2766">
        <v>0</v>
      </c>
      <c r="K2766">
        <v>1</v>
      </c>
      <c r="L2766">
        <v>84.740740740000007</v>
      </c>
      <c r="M2766">
        <v>29.167014049999999</v>
      </c>
      <c r="N2766">
        <v>1.1169849999999999</v>
      </c>
      <c r="O2766">
        <v>1.1571499000000001</v>
      </c>
      <c r="P2766">
        <v>84.740740740000007</v>
      </c>
      <c r="Q2766">
        <v>29.167014049999999</v>
      </c>
      <c r="R2766">
        <v>1.1169849999999999</v>
      </c>
      <c r="S2766">
        <v>1.1571499000000001</v>
      </c>
      <c r="T2766" t="s">
        <v>1017</v>
      </c>
      <c r="U2766">
        <v>0</v>
      </c>
    </row>
    <row r="2767" spans="1:21" x14ac:dyDescent="0.25">
      <c r="A2767" t="s">
        <v>82</v>
      </c>
      <c r="B2767" t="s">
        <v>990</v>
      </c>
      <c r="C2767">
        <v>6</v>
      </c>
      <c r="D2767" t="s">
        <v>19</v>
      </c>
      <c r="E2767" t="s">
        <v>94</v>
      </c>
      <c r="F2767" t="s">
        <v>113</v>
      </c>
      <c r="G2767" t="s">
        <v>113</v>
      </c>
      <c r="H2767" t="s">
        <v>113</v>
      </c>
      <c r="J2767">
        <v>0</v>
      </c>
      <c r="K2767">
        <v>4</v>
      </c>
      <c r="L2767">
        <v>83.757575759999995</v>
      </c>
      <c r="M2767">
        <v>22.60997987</v>
      </c>
      <c r="N2767">
        <v>0.72884000000000004</v>
      </c>
      <c r="O2767">
        <v>0.21301339999999999</v>
      </c>
      <c r="P2767">
        <v>83.757575759999995</v>
      </c>
      <c r="Q2767">
        <v>22.60997987</v>
      </c>
      <c r="R2767">
        <v>0.72884000000000004</v>
      </c>
      <c r="S2767">
        <v>0.21301339999999999</v>
      </c>
      <c r="T2767" t="s">
        <v>1017</v>
      </c>
      <c r="U2767">
        <v>0</v>
      </c>
    </row>
    <row r="2768" spans="1:21" x14ac:dyDescent="0.25">
      <c r="A2768" t="s">
        <v>82</v>
      </c>
      <c r="B2768" t="s">
        <v>990</v>
      </c>
      <c r="C2768">
        <v>6</v>
      </c>
      <c r="D2768" t="s">
        <v>19</v>
      </c>
      <c r="E2768" t="s">
        <v>94</v>
      </c>
      <c r="F2768" t="s">
        <v>113</v>
      </c>
      <c r="G2768" t="s">
        <v>113</v>
      </c>
      <c r="H2768" t="s">
        <v>113</v>
      </c>
      <c r="J2768">
        <v>0</v>
      </c>
      <c r="K2768">
        <v>4</v>
      </c>
      <c r="L2768">
        <v>83.757575759999995</v>
      </c>
      <c r="M2768">
        <v>22.60997987</v>
      </c>
      <c r="N2768">
        <v>0.72884000000000004</v>
      </c>
      <c r="O2768">
        <v>0.21301339999999999</v>
      </c>
      <c r="P2768">
        <v>83.757575759999995</v>
      </c>
      <c r="Q2768">
        <v>22.60997987</v>
      </c>
      <c r="R2768">
        <v>0.72884000000000004</v>
      </c>
      <c r="S2768">
        <v>0.21301339999999999</v>
      </c>
      <c r="T2768" t="s">
        <v>1017</v>
      </c>
      <c r="U2768">
        <v>0</v>
      </c>
    </row>
    <row r="2769" spans="1:21" x14ac:dyDescent="0.25">
      <c r="A2769" t="s">
        <v>82</v>
      </c>
      <c r="B2769" t="s">
        <v>990</v>
      </c>
      <c r="C2769">
        <v>6</v>
      </c>
      <c r="D2769" t="s">
        <v>19</v>
      </c>
      <c r="E2769" t="s">
        <v>94</v>
      </c>
      <c r="F2769" t="s">
        <v>113</v>
      </c>
      <c r="G2769" t="s">
        <v>113</v>
      </c>
      <c r="H2769" t="s">
        <v>113</v>
      </c>
      <c r="J2769">
        <v>0</v>
      </c>
      <c r="K2769">
        <v>4</v>
      </c>
      <c r="L2769">
        <v>83.757575759999995</v>
      </c>
      <c r="M2769">
        <v>22.60997987</v>
      </c>
      <c r="N2769">
        <v>0.72884000000000004</v>
      </c>
      <c r="O2769">
        <v>0.21301339999999999</v>
      </c>
      <c r="P2769">
        <v>83.757575759999995</v>
      </c>
      <c r="Q2769">
        <v>22.60997987</v>
      </c>
      <c r="R2769">
        <v>0.72884000000000004</v>
      </c>
      <c r="S2769">
        <v>0.21301339999999999</v>
      </c>
      <c r="T2769" t="s">
        <v>1017</v>
      </c>
      <c r="U2769">
        <v>0</v>
      </c>
    </row>
    <row r="2770" spans="1:21" x14ac:dyDescent="0.25">
      <c r="A2770" t="s">
        <v>82</v>
      </c>
      <c r="B2770" t="s">
        <v>990</v>
      </c>
      <c r="C2770">
        <v>6</v>
      </c>
      <c r="D2770" t="s">
        <v>19</v>
      </c>
      <c r="E2770" t="s">
        <v>94</v>
      </c>
      <c r="F2770" t="s">
        <v>113</v>
      </c>
      <c r="G2770" t="s">
        <v>113</v>
      </c>
      <c r="H2770" t="s">
        <v>113</v>
      </c>
      <c r="J2770">
        <v>0</v>
      </c>
      <c r="K2770">
        <v>4</v>
      </c>
      <c r="L2770">
        <v>83.757575759999995</v>
      </c>
      <c r="M2770">
        <v>22.60997987</v>
      </c>
      <c r="N2770">
        <v>0.72884000000000004</v>
      </c>
      <c r="O2770">
        <v>0.21301339999999999</v>
      </c>
      <c r="P2770">
        <v>83.757575759999995</v>
      </c>
      <c r="Q2770">
        <v>22.60997987</v>
      </c>
      <c r="R2770">
        <v>0.72884000000000004</v>
      </c>
      <c r="S2770">
        <v>0.21301339999999999</v>
      </c>
      <c r="T2770" t="s">
        <v>1017</v>
      </c>
      <c r="U2770">
        <v>0</v>
      </c>
    </row>
    <row r="2771" spans="1:21" x14ac:dyDescent="0.25">
      <c r="A2771" t="s">
        <v>82</v>
      </c>
      <c r="B2771" t="s">
        <v>990</v>
      </c>
      <c r="C2771">
        <v>6</v>
      </c>
      <c r="D2771" t="s">
        <v>19</v>
      </c>
      <c r="E2771" t="s">
        <v>94</v>
      </c>
      <c r="F2771" t="s">
        <v>113</v>
      </c>
      <c r="G2771" t="s">
        <v>113</v>
      </c>
      <c r="H2771" t="s">
        <v>241</v>
      </c>
      <c r="J2771">
        <v>0</v>
      </c>
      <c r="K2771">
        <v>1</v>
      </c>
      <c r="L2771">
        <v>83.757575759999995</v>
      </c>
      <c r="M2771">
        <v>22.60997987</v>
      </c>
      <c r="N2771">
        <v>0.72884000000000004</v>
      </c>
      <c r="O2771">
        <v>0.21301339999999999</v>
      </c>
      <c r="P2771">
        <v>114</v>
      </c>
      <c r="Q2771">
        <v>30.43077242</v>
      </c>
      <c r="R2771">
        <v>0.53383111100000002</v>
      </c>
      <c r="S2771">
        <v>0.28333332999999999</v>
      </c>
      <c r="T2771" t="s">
        <v>1017</v>
      </c>
      <c r="U2771">
        <v>7.8207925500000002</v>
      </c>
    </row>
    <row r="2772" spans="1:21" x14ac:dyDescent="0.25">
      <c r="A2772" t="s">
        <v>82</v>
      </c>
      <c r="B2772" t="s">
        <v>990</v>
      </c>
      <c r="C2772">
        <v>6</v>
      </c>
      <c r="D2772" t="s">
        <v>19</v>
      </c>
      <c r="E2772" t="s">
        <v>94</v>
      </c>
      <c r="F2772" t="s">
        <v>113</v>
      </c>
      <c r="G2772" t="s">
        <v>113</v>
      </c>
      <c r="H2772" t="s">
        <v>808</v>
      </c>
      <c r="J2772">
        <v>0</v>
      </c>
      <c r="K2772">
        <v>1</v>
      </c>
      <c r="L2772">
        <v>83.757575759999995</v>
      </c>
      <c r="M2772">
        <v>22.60997987</v>
      </c>
      <c r="N2772">
        <v>0.72884000000000004</v>
      </c>
      <c r="O2772">
        <v>0.21301339999999999</v>
      </c>
      <c r="P2772">
        <v>102.79166669999999</v>
      </c>
      <c r="Q2772">
        <v>27.057373470000002</v>
      </c>
      <c r="R2772">
        <v>6.3567849939999999</v>
      </c>
      <c r="S2772" t="s">
        <v>114</v>
      </c>
      <c r="T2772" t="s">
        <v>1017</v>
      </c>
      <c r="U2772">
        <v>4.4473935999999998</v>
      </c>
    </row>
    <row r="2773" spans="1:21" x14ac:dyDescent="0.25">
      <c r="A2773" t="s">
        <v>82</v>
      </c>
      <c r="B2773" t="s">
        <v>990</v>
      </c>
      <c r="C2773">
        <v>6</v>
      </c>
      <c r="D2773" t="s">
        <v>19</v>
      </c>
      <c r="E2773" t="s">
        <v>94</v>
      </c>
      <c r="F2773" t="s">
        <v>113</v>
      </c>
      <c r="G2773" t="s">
        <v>113</v>
      </c>
      <c r="H2773" t="s">
        <v>103</v>
      </c>
      <c r="J2773">
        <v>0</v>
      </c>
      <c r="K2773">
        <v>1</v>
      </c>
      <c r="L2773">
        <v>83.757575759999995</v>
      </c>
      <c r="M2773">
        <v>22.60997987</v>
      </c>
      <c r="N2773">
        <v>0.72884000000000004</v>
      </c>
      <c r="O2773">
        <v>0.21301339999999999</v>
      </c>
      <c r="P2773">
        <v>98.291666669999998</v>
      </c>
      <c r="Q2773">
        <v>30.315130790000001</v>
      </c>
      <c r="R2773">
        <v>5.0803484000000003E-2</v>
      </c>
      <c r="S2773">
        <v>0.42866070000000001</v>
      </c>
      <c r="T2773" t="s">
        <v>1017</v>
      </c>
      <c r="U2773">
        <v>7.7051509200000003</v>
      </c>
    </row>
    <row r="2774" spans="1:21" x14ac:dyDescent="0.25">
      <c r="A2774" t="s">
        <v>82</v>
      </c>
      <c r="B2774" t="s">
        <v>991</v>
      </c>
      <c r="C2774">
        <v>6</v>
      </c>
      <c r="D2774" t="s">
        <v>19</v>
      </c>
      <c r="E2774" t="s">
        <v>94</v>
      </c>
      <c r="F2774" t="s">
        <v>104</v>
      </c>
      <c r="G2774" t="s">
        <v>113</v>
      </c>
      <c r="H2774" t="s">
        <v>113</v>
      </c>
      <c r="J2774">
        <v>0</v>
      </c>
      <c r="K2774">
        <v>3</v>
      </c>
      <c r="L2774">
        <v>113.9375</v>
      </c>
      <c r="M2774">
        <v>33.375507550000002</v>
      </c>
      <c r="N2774">
        <v>2.4262999999999999</v>
      </c>
      <c r="O2774">
        <v>0.40692159999999999</v>
      </c>
      <c r="P2774">
        <v>83.757575759999995</v>
      </c>
      <c r="Q2774">
        <v>22.60997987</v>
      </c>
      <c r="R2774">
        <v>0.72884000000000004</v>
      </c>
      <c r="S2774">
        <v>0.21301339999999999</v>
      </c>
      <c r="T2774" t="s">
        <v>1017</v>
      </c>
      <c r="U2774">
        <v>10.76552768</v>
      </c>
    </row>
    <row r="2775" spans="1:21" x14ac:dyDescent="0.25">
      <c r="A2775" t="s">
        <v>82</v>
      </c>
      <c r="B2775" t="s">
        <v>991</v>
      </c>
      <c r="C2775">
        <v>6</v>
      </c>
      <c r="D2775" t="s">
        <v>19</v>
      </c>
      <c r="E2775" t="s">
        <v>94</v>
      </c>
      <c r="F2775" t="s">
        <v>104</v>
      </c>
      <c r="G2775" t="s">
        <v>113</v>
      </c>
      <c r="H2775" t="s">
        <v>113</v>
      </c>
      <c r="J2775">
        <v>0</v>
      </c>
      <c r="K2775">
        <v>3</v>
      </c>
      <c r="L2775">
        <v>113.9375</v>
      </c>
      <c r="M2775">
        <v>33.375507550000002</v>
      </c>
      <c r="N2775">
        <v>2.4262999999999999</v>
      </c>
      <c r="O2775">
        <v>0.40692159999999999</v>
      </c>
      <c r="P2775">
        <v>83.757575759999995</v>
      </c>
      <c r="Q2775">
        <v>22.60997987</v>
      </c>
      <c r="R2775">
        <v>0.72884000000000004</v>
      </c>
      <c r="S2775">
        <v>0.21301339999999999</v>
      </c>
      <c r="T2775" t="s">
        <v>1017</v>
      </c>
      <c r="U2775">
        <v>10.76552768</v>
      </c>
    </row>
    <row r="2776" spans="1:21" x14ac:dyDescent="0.25">
      <c r="A2776" t="s">
        <v>82</v>
      </c>
      <c r="B2776" t="s">
        <v>991</v>
      </c>
      <c r="C2776">
        <v>6</v>
      </c>
      <c r="D2776" t="s">
        <v>19</v>
      </c>
      <c r="E2776" t="s">
        <v>94</v>
      </c>
      <c r="F2776" t="s">
        <v>104</v>
      </c>
      <c r="G2776" t="s">
        <v>113</v>
      </c>
      <c r="H2776" t="s">
        <v>113</v>
      </c>
      <c r="J2776">
        <v>0</v>
      </c>
      <c r="K2776">
        <v>3</v>
      </c>
      <c r="L2776">
        <v>113.9375</v>
      </c>
      <c r="M2776">
        <v>33.375507550000002</v>
      </c>
      <c r="N2776">
        <v>2.4262999999999999</v>
      </c>
      <c r="O2776">
        <v>0.40692159999999999</v>
      </c>
      <c r="P2776">
        <v>83.757575759999995</v>
      </c>
      <c r="Q2776">
        <v>22.60997987</v>
      </c>
      <c r="R2776">
        <v>0.72884000000000004</v>
      </c>
      <c r="S2776">
        <v>0.21301339999999999</v>
      </c>
      <c r="T2776" t="s">
        <v>1017</v>
      </c>
      <c r="U2776">
        <v>10.76552768</v>
      </c>
    </row>
    <row r="2777" spans="1:21" x14ac:dyDescent="0.25">
      <c r="A2777" t="s">
        <v>83</v>
      </c>
      <c r="B2777" t="s">
        <v>992</v>
      </c>
      <c r="C2777">
        <v>6</v>
      </c>
      <c r="D2777" t="s">
        <v>21</v>
      </c>
      <c r="E2777" t="s">
        <v>94</v>
      </c>
      <c r="F2777" t="s">
        <v>102</v>
      </c>
      <c r="G2777" t="s">
        <v>121</v>
      </c>
      <c r="H2777" t="s">
        <v>114</v>
      </c>
      <c r="J2777">
        <v>0</v>
      </c>
      <c r="K2777">
        <v>0</v>
      </c>
      <c r="L2777">
        <v>84.740740740000007</v>
      </c>
      <c r="M2777">
        <v>29.167014049999999</v>
      </c>
      <c r="N2777">
        <v>1.1169849999999999</v>
      </c>
      <c r="O2777">
        <v>1.1571499000000001</v>
      </c>
      <c r="P2777" t="s">
        <v>114</v>
      </c>
      <c r="Q2777" t="s">
        <v>114</v>
      </c>
      <c r="R2777" t="s">
        <v>114</v>
      </c>
      <c r="S2777" t="s">
        <v>114</v>
      </c>
      <c r="T2777" t="s">
        <v>1017</v>
      </c>
      <c r="U2777" t="s">
        <v>114</v>
      </c>
    </row>
    <row r="2778" spans="1:21" x14ac:dyDescent="0.25">
      <c r="A2778" t="s">
        <v>83</v>
      </c>
      <c r="B2778" t="s">
        <v>993</v>
      </c>
      <c r="C2778">
        <v>6</v>
      </c>
      <c r="D2778" t="s">
        <v>21</v>
      </c>
      <c r="E2778" t="s">
        <v>94</v>
      </c>
      <c r="F2778" t="s">
        <v>103</v>
      </c>
      <c r="G2778" t="s">
        <v>103</v>
      </c>
      <c r="H2778" t="s">
        <v>103</v>
      </c>
      <c r="J2778">
        <v>0</v>
      </c>
      <c r="K2778">
        <v>2</v>
      </c>
      <c r="L2778">
        <v>98.291666669999998</v>
      </c>
      <c r="M2778">
        <v>30.315130790000001</v>
      </c>
      <c r="N2778">
        <v>5.0803484000000003E-2</v>
      </c>
      <c r="O2778">
        <v>0.42866070000000001</v>
      </c>
      <c r="P2778">
        <v>98.291666669999998</v>
      </c>
      <c r="Q2778">
        <v>30.315130790000001</v>
      </c>
      <c r="R2778">
        <v>5.0803484000000003E-2</v>
      </c>
      <c r="S2778">
        <v>0.42866070000000001</v>
      </c>
      <c r="T2778" t="s">
        <v>1017</v>
      </c>
      <c r="U2778">
        <v>0</v>
      </c>
    </row>
    <row r="2779" spans="1:21" x14ac:dyDescent="0.25">
      <c r="A2779" t="s">
        <v>83</v>
      </c>
      <c r="B2779" t="s">
        <v>993</v>
      </c>
      <c r="C2779">
        <v>6</v>
      </c>
      <c r="D2779" t="s">
        <v>21</v>
      </c>
      <c r="E2779" t="s">
        <v>94</v>
      </c>
      <c r="F2779" t="s">
        <v>103</v>
      </c>
      <c r="G2779" t="s">
        <v>103</v>
      </c>
      <c r="H2779" t="s">
        <v>103</v>
      </c>
      <c r="J2779">
        <v>0</v>
      </c>
      <c r="K2779">
        <v>2</v>
      </c>
      <c r="L2779">
        <v>98.291666669999998</v>
      </c>
      <c r="M2779">
        <v>30.315130790000001</v>
      </c>
      <c r="N2779">
        <v>5.0803484000000003E-2</v>
      </c>
      <c r="O2779">
        <v>0.42866070000000001</v>
      </c>
      <c r="P2779">
        <v>98.291666669999998</v>
      </c>
      <c r="Q2779">
        <v>30.315130790000001</v>
      </c>
      <c r="R2779">
        <v>5.0803484000000003E-2</v>
      </c>
      <c r="S2779">
        <v>0.42866070000000001</v>
      </c>
      <c r="T2779" t="s">
        <v>1017</v>
      </c>
      <c r="U2779">
        <v>0</v>
      </c>
    </row>
    <row r="2780" spans="1:21" x14ac:dyDescent="0.25">
      <c r="A2780" t="s">
        <v>83</v>
      </c>
      <c r="B2780" t="s">
        <v>993</v>
      </c>
      <c r="C2780">
        <v>6</v>
      </c>
      <c r="D2780" t="s">
        <v>21</v>
      </c>
      <c r="E2780" t="s">
        <v>94</v>
      </c>
      <c r="F2780" t="s">
        <v>103</v>
      </c>
      <c r="G2780" t="s">
        <v>103</v>
      </c>
      <c r="H2780" t="s">
        <v>246</v>
      </c>
      <c r="J2780">
        <v>0</v>
      </c>
      <c r="K2780">
        <v>1</v>
      </c>
      <c r="L2780">
        <v>98.291666669999998</v>
      </c>
      <c r="M2780">
        <v>30.315130790000001</v>
      </c>
      <c r="N2780">
        <v>5.0803484000000003E-2</v>
      </c>
      <c r="O2780">
        <v>0.42866070000000001</v>
      </c>
      <c r="P2780">
        <v>120.25</v>
      </c>
      <c r="Q2780">
        <v>30.670450110000001</v>
      </c>
      <c r="R2780">
        <v>0.91037498500000003</v>
      </c>
      <c r="S2780" t="s">
        <v>114</v>
      </c>
      <c r="T2780" t="s">
        <v>1017</v>
      </c>
      <c r="U2780">
        <v>0.35531931999999999</v>
      </c>
    </row>
    <row r="2781" spans="1:21" x14ac:dyDescent="0.25">
      <c r="A2781" t="s">
        <v>83</v>
      </c>
      <c r="B2781" t="s">
        <v>993</v>
      </c>
      <c r="C2781">
        <v>6</v>
      </c>
      <c r="D2781" t="s">
        <v>21</v>
      </c>
      <c r="E2781" t="s">
        <v>94</v>
      </c>
      <c r="F2781" t="s">
        <v>103</v>
      </c>
      <c r="G2781" t="s">
        <v>103</v>
      </c>
      <c r="H2781" t="s">
        <v>239</v>
      </c>
      <c r="J2781">
        <v>0</v>
      </c>
      <c r="K2781">
        <v>1</v>
      </c>
      <c r="L2781">
        <v>98.291666669999998</v>
      </c>
      <c r="M2781">
        <v>30.315130790000001</v>
      </c>
      <c r="N2781">
        <v>5.0803484000000003E-2</v>
      </c>
      <c r="O2781">
        <v>0.42866070000000001</v>
      </c>
      <c r="P2781">
        <v>100.45454549999999</v>
      </c>
      <c r="Q2781">
        <v>26.754810689999999</v>
      </c>
      <c r="R2781">
        <v>0.75829999999999997</v>
      </c>
      <c r="S2781">
        <v>0.40907861000000001</v>
      </c>
      <c r="T2781" t="s">
        <v>1017</v>
      </c>
      <c r="U2781">
        <v>3.5603201000000002</v>
      </c>
    </row>
    <row r="2782" spans="1:21" x14ac:dyDescent="0.25">
      <c r="A2782" t="s">
        <v>83</v>
      </c>
      <c r="B2782" t="s">
        <v>994</v>
      </c>
      <c r="C2782">
        <v>6</v>
      </c>
      <c r="D2782" t="s">
        <v>21</v>
      </c>
      <c r="E2782" t="s">
        <v>94</v>
      </c>
      <c r="F2782" t="s">
        <v>111</v>
      </c>
      <c r="G2782" t="s">
        <v>121</v>
      </c>
      <c r="H2782" t="s">
        <v>114</v>
      </c>
      <c r="J2782">
        <v>0</v>
      </c>
      <c r="K2782">
        <v>0</v>
      </c>
      <c r="L2782">
        <v>94.97142857</v>
      </c>
      <c r="M2782">
        <v>24.31591813</v>
      </c>
      <c r="N2782">
        <v>0.122951111</v>
      </c>
      <c r="O2782">
        <v>0.39050790000000002</v>
      </c>
      <c r="P2782" t="s">
        <v>114</v>
      </c>
      <c r="Q2782" t="s">
        <v>114</v>
      </c>
      <c r="R2782" t="s">
        <v>114</v>
      </c>
      <c r="S2782" t="s">
        <v>114</v>
      </c>
      <c r="T2782" t="s">
        <v>1017</v>
      </c>
      <c r="U2782" t="s">
        <v>114</v>
      </c>
    </row>
    <row r="2783" spans="1:21" x14ac:dyDescent="0.25">
      <c r="A2783" t="s">
        <v>84</v>
      </c>
      <c r="B2783" t="s">
        <v>995</v>
      </c>
      <c r="C2783">
        <v>6</v>
      </c>
      <c r="D2783" t="s">
        <v>23</v>
      </c>
      <c r="E2783" t="s">
        <v>95</v>
      </c>
      <c r="F2783" t="s">
        <v>102</v>
      </c>
      <c r="G2783" t="s">
        <v>121</v>
      </c>
      <c r="H2783" t="s">
        <v>254</v>
      </c>
      <c r="J2783">
        <v>0</v>
      </c>
      <c r="K2783">
        <v>3</v>
      </c>
      <c r="L2783">
        <v>84.740740740000007</v>
      </c>
      <c r="M2783">
        <v>29.167014049999999</v>
      </c>
      <c r="N2783">
        <v>1.1169849999999999</v>
      </c>
      <c r="O2783">
        <v>1.1571499000000001</v>
      </c>
      <c r="P2783" t="s">
        <v>114</v>
      </c>
      <c r="Q2783" t="s">
        <v>114</v>
      </c>
      <c r="R2783" t="s">
        <v>114</v>
      </c>
      <c r="S2783" t="s">
        <v>114</v>
      </c>
      <c r="T2783" t="s">
        <v>1017</v>
      </c>
      <c r="U2783" t="s">
        <v>114</v>
      </c>
    </row>
    <row r="2784" spans="1:21" x14ac:dyDescent="0.25">
      <c r="A2784" t="s">
        <v>84</v>
      </c>
      <c r="B2784" t="s">
        <v>995</v>
      </c>
      <c r="C2784">
        <v>6</v>
      </c>
      <c r="D2784" t="s">
        <v>23</v>
      </c>
      <c r="E2784" t="s">
        <v>95</v>
      </c>
      <c r="F2784" t="s">
        <v>102</v>
      </c>
      <c r="G2784" t="s">
        <v>121</v>
      </c>
      <c r="H2784" t="s">
        <v>254</v>
      </c>
      <c r="J2784">
        <v>0</v>
      </c>
      <c r="K2784">
        <v>3</v>
      </c>
      <c r="L2784">
        <v>84.740740740000007</v>
      </c>
      <c r="M2784">
        <v>29.167014049999999</v>
      </c>
      <c r="N2784">
        <v>1.1169849999999999</v>
      </c>
      <c r="O2784">
        <v>1.1571499000000001</v>
      </c>
      <c r="P2784" t="s">
        <v>114</v>
      </c>
      <c r="Q2784" t="s">
        <v>114</v>
      </c>
      <c r="R2784" t="s">
        <v>114</v>
      </c>
      <c r="S2784" t="s">
        <v>114</v>
      </c>
      <c r="T2784" t="s">
        <v>1017</v>
      </c>
      <c r="U2784" t="s">
        <v>114</v>
      </c>
    </row>
    <row r="2785" spans="1:21" x14ac:dyDescent="0.25">
      <c r="A2785" t="s">
        <v>84</v>
      </c>
      <c r="B2785" t="s">
        <v>995</v>
      </c>
      <c r="C2785">
        <v>6</v>
      </c>
      <c r="D2785" t="s">
        <v>23</v>
      </c>
      <c r="E2785" t="s">
        <v>95</v>
      </c>
      <c r="F2785" t="s">
        <v>102</v>
      </c>
      <c r="G2785" t="s">
        <v>121</v>
      </c>
      <c r="H2785" t="s">
        <v>254</v>
      </c>
      <c r="J2785">
        <v>0</v>
      </c>
      <c r="K2785">
        <v>3</v>
      </c>
      <c r="L2785">
        <v>84.740740740000007</v>
      </c>
      <c r="M2785">
        <v>29.167014049999999</v>
      </c>
      <c r="N2785">
        <v>1.1169849999999999</v>
      </c>
      <c r="O2785">
        <v>1.1571499000000001</v>
      </c>
      <c r="P2785" t="s">
        <v>114</v>
      </c>
      <c r="Q2785" t="s">
        <v>114</v>
      </c>
      <c r="R2785" t="s">
        <v>114</v>
      </c>
      <c r="S2785" t="s">
        <v>114</v>
      </c>
      <c r="T2785" t="s">
        <v>1017</v>
      </c>
      <c r="U2785" t="s">
        <v>114</v>
      </c>
    </row>
    <row r="2786" spans="1:21" x14ac:dyDescent="0.25">
      <c r="A2786" t="s">
        <v>84</v>
      </c>
      <c r="B2786" t="s">
        <v>995</v>
      </c>
      <c r="C2786">
        <v>6</v>
      </c>
      <c r="D2786" t="s">
        <v>23</v>
      </c>
      <c r="E2786" t="s">
        <v>95</v>
      </c>
      <c r="F2786" t="s">
        <v>102</v>
      </c>
      <c r="G2786" t="s">
        <v>121</v>
      </c>
      <c r="H2786" t="s">
        <v>248</v>
      </c>
      <c r="J2786">
        <v>0</v>
      </c>
      <c r="K2786">
        <v>1</v>
      </c>
      <c r="L2786">
        <v>84.740740740000007</v>
      </c>
      <c r="M2786">
        <v>29.167014049999999</v>
      </c>
      <c r="N2786">
        <v>1.1169849999999999</v>
      </c>
      <c r="O2786">
        <v>1.1571499000000001</v>
      </c>
      <c r="P2786">
        <v>83.92307692</v>
      </c>
      <c r="Q2786">
        <v>44.319135699999997</v>
      </c>
      <c r="R2786">
        <v>5.9548609999999997E-3</v>
      </c>
      <c r="S2786">
        <v>0.18017928</v>
      </c>
      <c r="T2786" t="s">
        <v>1017</v>
      </c>
      <c r="U2786">
        <v>15.15212165</v>
      </c>
    </row>
    <row r="2787" spans="1:21" x14ac:dyDescent="0.25">
      <c r="A2787" t="s">
        <v>84</v>
      </c>
      <c r="B2787" t="s">
        <v>995</v>
      </c>
      <c r="C2787">
        <v>6</v>
      </c>
      <c r="D2787" t="s">
        <v>23</v>
      </c>
      <c r="E2787" t="s">
        <v>95</v>
      </c>
      <c r="F2787" t="s">
        <v>102</v>
      </c>
      <c r="G2787" t="s">
        <v>121</v>
      </c>
      <c r="H2787" t="s">
        <v>233</v>
      </c>
      <c r="J2787">
        <v>0</v>
      </c>
      <c r="K2787">
        <v>1</v>
      </c>
      <c r="L2787">
        <v>84.740740740000007</v>
      </c>
      <c r="M2787">
        <v>29.167014049999999</v>
      </c>
      <c r="N2787">
        <v>1.1169849999999999</v>
      </c>
      <c r="O2787">
        <v>1.1571499000000001</v>
      </c>
      <c r="P2787">
        <v>106.0540541</v>
      </c>
      <c r="Q2787">
        <v>52.690533369999997</v>
      </c>
      <c r="R2787">
        <v>7.6058968000000005E-2</v>
      </c>
      <c r="S2787">
        <v>0.44888888999999998</v>
      </c>
      <c r="T2787" t="s">
        <v>1017</v>
      </c>
      <c r="U2787">
        <v>23.523519319999998</v>
      </c>
    </row>
    <row r="2788" spans="1:21" x14ac:dyDescent="0.25">
      <c r="A2788" t="s">
        <v>84</v>
      </c>
      <c r="B2788" t="s">
        <v>995</v>
      </c>
      <c r="C2788">
        <v>6</v>
      </c>
      <c r="D2788" t="s">
        <v>23</v>
      </c>
      <c r="E2788" t="s">
        <v>95</v>
      </c>
      <c r="F2788" t="s">
        <v>102</v>
      </c>
      <c r="G2788" t="s">
        <v>121</v>
      </c>
      <c r="H2788" t="s">
        <v>103</v>
      </c>
      <c r="J2788">
        <v>0</v>
      </c>
      <c r="K2788">
        <v>5</v>
      </c>
      <c r="L2788">
        <v>84.740740740000007</v>
      </c>
      <c r="M2788">
        <v>29.167014049999999</v>
      </c>
      <c r="N2788">
        <v>1.1169849999999999</v>
      </c>
      <c r="O2788">
        <v>1.1571499000000001</v>
      </c>
      <c r="P2788">
        <v>98.291666669999998</v>
      </c>
      <c r="Q2788">
        <v>30.315130790000001</v>
      </c>
      <c r="R2788">
        <v>5.0803484000000003E-2</v>
      </c>
      <c r="S2788">
        <v>0.42866070000000001</v>
      </c>
      <c r="T2788" t="s">
        <v>1017</v>
      </c>
      <c r="U2788">
        <v>1.1481167400000001</v>
      </c>
    </row>
    <row r="2789" spans="1:21" x14ac:dyDescent="0.25">
      <c r="A2789" t="s">
        <v>84</v>
      </c>
      <c r="B2789" t="s">
        <v>995</v>
      </c>
      <c r="C2789">
        <v>6</v>
      </c>
      <c r="D2789" t="s">
        <v>23</v>
      </c>
      <c r="E2789" t="s">
        <v>95</v>
      </c>
      <c r="F2789" t="s">
        <v>102</v>
      </c>
      <c r="G2789" t="s">
        <v>121</v>
      </c>
      <c r="H2789" t="s">
        <v>103</v>
      </c>
      <c r="J2789">
        <v>0</v>
      </c>
      <c r="K2789">
        <v>5</v>
      </c>
      <c r="L2789">
        <v>84.740740740000007</v>
      </c>
      <c r="M2789">
        <v>29.167014049999999</v>
      </c>
      <c r="N2789">
        <v>1.1169849999999999</v>
      </c>
      <c r="O2789">
        <v>1.1571499000000001</v>
      </c>
      <c r="P2789">
        <v>98.291666669999998</v>
      </c>
      <c r="Q2789">
        <v>30.315130790000001</v>
      </c>
      <c r="R2789">
        <v>5.0803484000000003E-2</v>
      </c>
      <c r="S2789">
        <v>0.42866070000000001</v>
      </c>
      <c r="T2789" t="s">
        <v>1017</v>
      </c>
      <c r="U2789">
        <v>1.1481167400000001</v>
      </c>
    </row>
    <row r="2790" spans="1:21" x14ac:dyDescent="0.25">
      <c r="A2790" t="s">
        <v>84</v>
      </c>
      <c r="B2790" t="s">
        <v>995</v>
      </c>
      <c r="C2790">
        <v>6</v>
      </c>
      <c r="D2790" t="s">
        <v>23</v>
      </c>
      <c r="E2790" t="s">
        <v>95</v>
      </c>
      <c r="F2790" t="s">
        <v>102</v>
      </c>
      <c r="G2790" t="s">
        <v>121</v>
      </c>
      <c r="H2790" t="s">
        <v>103</v>
      </c>
      <c r="J2790">
        <v>0</v>
      </c>
      <c r="K2790">
        <v>5</v>
      </c>
      <c r="L2790">
        <v>84.740740740000007</v>
      </c>
      <c r="M2790">
        <v>29.167014049999999</v>
      </c>
      <c r="N2790">
        <v>1.1169849999999999</v>
      </c>
      <c r="O2790">
        <v>1.1571499000000001</v>
      </c>
      <c r="P2790">
        <v>98.291666669999998</v>
      </c>
      <c r="Q2790">
        <v>30.315130790000001</v>
      </c>
      <c r="R2790">
        <v>5.0803484000000003E-2</v>
      </c>
      <c r="S2790">
        <v>0.42866070000000001</v>
      </c>
      <c r="T2790" t="s">
        <v>1017</v>
      </c>
      <c r="U2790">
        <v>1.1481167400000001</v>
      </c>
    </row>
    <row r="2791" spans="1:21" x14ac:dyDescent="0.25">
      <c r="A2791" t="s">
        <v>84</v>
      </c>
      <c r="B2791" t="s">
        <v>995</v>
      </c>
      <c r="C2791">
        <v>6</v>
      </c>
      <c r="D2791" t="s">
        <v>23</v>
      </c>
      <c r="E2791" t="s">
        <v>95</v>
      </c>
      <c r="F2791" t="s">
        <v>102</v>
      </c>
      <c r="G2791" t="s">
        <v>121</v>
      </c>
      <c r="H2791" t="s">
        <v>103</v>
      </c>
      <c r="J2791">
        <v>0</v>
      </c>
      <c r="K2791">
        <v>5</v>
      </c>
      <c r="L2791">
        <v>84.740740740000007</v>
      </c>
      <c r="M2791">
        <v>29.167014049999999</v>
      </c>
      <c r="N2791">
        <v>1.1169849999999999</v>
      </c>
      <c r="O2791">
        <v>1.1571499000000001</v>
      </c>
      <c r="P2791">
        <v>98.291666669999998</v>
      </c>
      <c r="Q2791">
        <v>30.315130790000001</v>
      </c>
      <c r="R2791">
        <v>5.0803484000000003E-2</v>
      </c>
      <c r="S2791">
        <v>0.42866070000000001</v>
      </c>
      <c r="T2791" t="s">
        <v>1017</v>
      </c>
      <c r="U2791">
        <v>1.1481167400000001</v>
      </c>
    </row>
    <row r="2792" spans="1:21" x14ac:dyDescent="0.25">
      <c r="A2792" t="s">
        <v>84</v>
      </c>
      <c r="B2792" t="s">
        <v>995</v>
      </c>
      <c r="C2792">
        <v>6</v>
      </c>
      <c r="D2792" t="s">
        <v>23</v>
      </c>
      <c r="E2792" t="s">
        <v>95</v>
      </c>
      <c r="F2792" t="s">
        <v>102</v>
      </c>
      <c r="G2792" t="s">
        <v>121</v>
      </c>
      <c r="H2792" t="s">
        <v>103</v>
      </c>
      <c r="J2792">
        <v>0</v>
      </c>
      <c r="K2792">
        <v>5</v>
      </c>
      <c r="L2792">
        <v>84.740740740000007</v>
      </c>
      <c r="M2792">
        <v>29.167014049999999</v>
      </c>
      <c r="N2792">
        <v>1.1169849999999999</v>
      </c>
      <c r="O2792">
        <v>1.1571499000000001</v>
      </c>
      <c r="P2792">
        <v>98.291666669999998</v>
      </c>
      <c r="Q2792">
        <v>30.315130790000001</v>
      </c>
      <c r="R2792">
        <v>5.0803484000000003E-2</v>
      </c>
      <c r="S2792">
        <v>0.42866070000000001</v>
      </c>
      <c r="T2792" t="s">
        <v>1017</v>
      </c>
      <c r="U2792">
        <v>1.1481167400000001</v>
      </c>
    </row>
    <row r="2793" spans="1:21" x14ac:dyDescent="0.25">
      <c r="A2793" t="s">
        <v>84</v>
      </c>
      <c r="B2793" t="s">
        <v>996</v>
      </c>
      <c r="C2793">
        <v>6</v>
      </c>
      <c r="D2793" t="s">
        <v>23</v>
      </c>
      <c r="E2793" t="s">
        <v>95</v>
      </c>
      <c r="F2793" t="s">
        <v>105</v>
      </c>
      <c r="G2793" t="s">
        <v>103</v>
      </c>
      <c r="H2793" t="s">
        <v>114</v>
      </c>
      <c r="J2793">
        <v>0</v>
      </c>
      <c r="K2793" t="s">
        <v>114</v>
      </c>
      <c r="L2793">
        <v>67.5</v>
      </c>
      <c r="M2793">
        <v>47.937235809999997</v>
      </c>
      <c r="N2793">
        <v>0.41599678000000001</v>
      </c>
      <c r="O2793">
        <v>2.0950346999999998</v>
      </c>
      <c r="P2793" t="s">
        <v>114</v>
      </c>
      <c r="Q2793" t="s">
        <v>114</v>
      </c>
      <c r="R2793" t="s">
        <v>114</v>
      </c>
      <c r="S2793" t="s">
        <v>114</v>
      </c>
      <c r="T2793" t="s">
        <v>1017</v>
      </c>
      <c r="U2793" t="s">
        <v>114</v>
      </c>
    </row>
    <row r="2794" spans="1:21" x14ac:dyDescent="0.25">
      <c r="A2794" t="s">
        <v>84</v>
      </c>
      <c r="B2794" t="s">
        <v>997</v>
      </c>
      <c r="C2794">
        <v>6</v>
      </c>
      <c r="D2794" t="s">
        <v>23</v>
      </c>
      <c r="E2794" t="s">
        <v>95</v>
      </c>
      <c r="F2794" t="s">
        <v>111</v>
      </c>
      <c r="G2794" t="s">
        <v>103</v>
      </c>
      <c r="H2794" t="s">
        <v>103</v>
      </c>
      <c r="J2794">
        <v>0</v>
      </c>
      <c r="K2794">
        <v>2</v>
      </c>
      <c r="L2794">
        <v>94.97142857</v>
      </c>
      <c r="M2794">
        <v>24.31591813</v>
      </c>
      <c r="N2794">
        <v>0.122951111</v>
      </c>
      <c r="O2794">
        <v>0.39050790000000002</v>
      </c>
      <c r="P2794">
        <v>98.291666669999998</v>
      </c>
      <c r="Q2794">
        <v>30.315130790000001</v>
      </c>
      <c r="R2794">
        <v>5.0803484000000003E-2</v>
      </c>
      <c r="S2794">
        <v>0.42866070000000001</v>
      </c>
      <c r="T2794" t="s">
        <v>1017</v>
      </c>
      <c r="U2794">
        <v>5.9992126600000004</v>
      </c>
    </row>
    <row r="2795" spans="1:21" x14ac:dyDescent="0.25">
      <c r="A2795" t="s">
        <v>84</v>
      </c>
      <c r="B2795" t="s">
        <v>997</v>
      </c>
      <c r="C2795">
        <v>6</v>
      </c>
      <c r="D2795" t="s">
        <v>23</v>
      </c>
      <c r="E2795" t="s">
        <v>95</v>
      </c>
      <c r="F2795" t="s">
        <v>111</v>
      </c>
      <c r="G2795" t="s">
        <v>103</v>
      </c>
      <c r="H2795" t="s">
        <v>103</v>
      </c>
      <c r="J2795">
        <v>0</v>
      </c>
      <c r="K2795">
        <v>2</v>
      </c>
      <c r="L2795">
        <v>94.97142857</v>
      </c>
      <c r="M2795">
        <v>24.31591813</v>
      </c>
      <c r="N2795">
        <v>0.122951111</v>
      </c>
      <c r="O2795">
        <v>0.39050790000000002</v>
      </c>
      <c r="P2795">
        <v>98.291666669999998</v>
      </c>
      <c r="Q2795">
        <v>30.315130790000001</v>
      </c>
      <c r="R2795">
        <v>5.0803484000000003E-2</v>
      </c>
      <c r="S2795">
        <v>0.42866070000000001</v>
      </c>
      <c r="T2795" t="s">
        <v>1017</v>
      </c>
      <c r="U2795">
        <v>5.9992126600000004</v>
      </c>
    </row>
    <row r="2796" spans="1:21" x14ac:dyDescent="0.25">
      <c r="A2796" t="s">
        <v>84</v>
      </c>
      <c r="B2796" t="s">
        <v>997</v>
      </c>
      <c r="C2796">
        <v>6</v>
      </c>
      <c r="D2796" t="s">
        <v>23</v>
      </c>
      <c r="E2796" t="s">
        <v>95</v>
      </c>
      <c r="F2796" t="s">
        <v>111</v>
      </c>
      <c r="G2796" t="s">
        <v>103</v>
      </c>
      <c r="H2796" t="s">
        <v>247</v>
      </c>
      <c r="J2796">
        <v>0</v>
      </c>
      <c r="K2796">
        <v>1</v>
      </c>
      <c r="L2796">
        <v>94.97142857</v>
      </c>
      <c r="M2796">
        <v>24.31591813</v>
      </c>
      <c r="N2796">
        <v>0.122951111</v>
      </c>
      <c r="O2796">
        <v>0.39050790000000002</v>
      </c>
      <c r="P2796">
        <v>65.791044779999993</v>
      </c>
      <c r="Q2796">
        <v>22.94519201</v>
      </c>
      <c r="R2796">
        <v>8.1320334999999994E-2</v>
      </c>
      <c r="S2796">
        <v>0.17285655</v>
      </c>
      <c r="T2796" t="s">
        <v>1017</v>
      </c>
      <c r="U2796">
        <v>1.37072612</v>
      </c>
    </row>
    <row r="2797" spans="1:21" x14ac:dyDescent="0.25">
      <c r="A2797" t="s">
        <v>84</v>
      </c>
      <c r="B2797" t="s">
        <v>997</v>
      </c>
      <c r="C2797">
        <v>6</v>
      </c>
      <c r="D2797" t="s">
        <v>23</v>
      </c>
      <c r="E2797" t="s">
        <v>95</v>
      </c>
      <c r="F2797" t="s">
        <v>111</v>
      </c>
      <c r="G2797" t="s">
        <v>103</v>
      </c>
      <c r="H2797" t="s">
        <v>233</v>
      </c>
      <c r="J2797">
        <v>0</v>
      </c>
      <c r="K2797">
        <v>1</v>
      </c>
      <c r="L2797">
        <v>94.97142857</v>
      </c>
      <c r="M2797">
        <v>24.31591813</v>
      </c>
      <c r="N2797">
        <v>0.122951111</v>
      </c>
      <c r="O2797">
        <v>0.39050790000000002</v>
      </c>
      <c r="P2797">
        <v>106.0540541</v>
      </c>
      <c r="Q2797">
        <v>52.690533369999997</v>
      </c>
      <c r="R2797">
        <v>7.6058968000000005E-2</v>
      </c>
      <c r="S2797">
        <v>0.44888888999999998</v>
      </c>
      <c r="T2797" t="s">
        <v>1017</v>
      </c>
      <c r="U2797">
        <v>28.374615240000001</v>
      </c>
    </row>
    <row r="2798" spans="1:21" x14ac:dyDescent="0.25">
      <c r="A2798" t="s">
        <v>84</v>
      </c>
      <c r="B2798" t="s">
        <v>997</v>
      </c>
      <c r="C2798">
        <v>6</v>
      </c>
      <c r="D2798" t="s">
        <v>23</v>
      </c>
      <c r="E2798" t="s">
        <v>95</v>
      </c>
      <c r="F2798" t="s">
        <v>111</v>
      </c>
      <c r="G2798" t="s">
        <v>103</v>
      </c>
      <c r="H2798" t="s">
        <v>808</v>
      </c>
      <c r="J2798">
        <v>0</v>
      </c>
      <c r="K2798">
        <v>1</v>
      </c>
      <c r="L2798">
        <v>94.97142857</v>
      </c>
      <c r="M2798">
        <v>24.31591813</v>
      </c>
      <c r="N2798">
        <v>0.122951111</v>
      </c>
      <c r="O2798">
        <v>0.39050790000000002</v>
      </c>
      <c r="P2798">
        <v>102.79166669999999</v>
      </c>
      <c r="Q2798">
        <v>27.057373470000002</v>
      </c>
      <c r="R2798">
        <v>6.3567849939999999</v>
      </c>
      <c r="S2798" t="s">
        <v>114</v>
      </c>
      <c r="T2798" t="s">
        <v>1017</v>
      </c>
      <c r="U2798">
        <v>2.7414553399999999</v>
      </c>
    </row>
    <row r="2799" spans="1:21" x14ac:dyDescent="0.25">
      <c r="A2799" t="s">
        <v>84</v>
      </c>
      <c r="B2799" t="s">
        <v>998</v>
      </c>
      <c r="C2799">
        <v>6</v>
      </c>
      <c r="D2799" t="s">
        <v>23</v>
      </c>
      <c r="E2799" t="s">
        <v>95</v>
      </c>
      <c r="F2799" t="s">
        <v>112</v>
      </c>
      <c r="G2799" t="s">
        <v>103</v>
      </c>
      <c r="H2799" t="s">
        <v>236</v>
      </c>
      <c r="J2799">
        <v>0</v>
      </c>
      <c r="K2799">
        <v>1</v>
      </c>
      <c r="L2799">
        <v>65.09375</v>
      </c>
      <c r="M2799">
        <v>37.895352600000002</v>
      </c>
      <c r="N2799">
        <v>2.2882677779999998</v>
      </c>
      <c r="O2799">
        <v>2.2111774</v>
      </c>
      <c r="P2799">
        <v>113.33333330000001</v>
      </c>
      <c r="Q2799">
        <v>26.41632581</v>
      </c>
      <c r="R2799">
        <v>1.6844570160000001</v>
      </c>
      <c r="S2799">
        <v>8.9285710000000004E-2</v>
      </c>
      <c r="T2799" t="s">
        <v>1017</v>
      </c>
      <c r="U2799">
        <v>11.479026790000001</v>
      </c>
    </row>
    <row r="2800" spans="1:21" x14ac:dyDescent="0.25">
      <c r="A2800" t="s">
        <v>84</v>
      </c>
      <c r="B2800" t="s">
        <v>998</v>
      </c>
      <c r="C2800">
        <v>6</v>
      </c>
      <c r="D2800" t="s">
        <v>23</v>
      </c>
      <c r="E2800" t="s">
        <v>95</v>
      </c>
      <c r="F2800" t="s">
        <v>112</v>
      </c>
      <c r="G2800" t="s">
        <v>103</v>
      </c>
      <c r="H2800" t="s">
        <v>103</v>
      </c>
      <c r="J2800">
        <v>0</v>
      </c>
      <c r="K2800">
        <v>2</v>
      </c>
      <c r="L2800">
        <v>65.09375</v>
      </c>
      <c r="M2800">
        <v>37.895352600000002</v>
      </c>
      <c r="N2800">
        <v>2.2882677779999998</v>
      </c>
      <c r="O2800">
        <v>2.2111774</v>
      </c>
      <c r="P2800">
        <v>98.291666669999998</v>
      </c>
      <c r="Q2800">
        <v>30.315130790000001</v>
      </c>
      <c r="R2800">
        <v>5.0803484000000003E-2</v>
      </c>
      <c r="S2800">
        <v>0.42866070000000001</v>
      </c>
      <c r="T2800" t="s">
        <v>1017</v>
      </c>
      <c r="U2800">
        <v>7.5802218100000003</v>
      </c>
    </row>
    <row r="2801" spans="1:21" x14ac:dyDescent="0.25">
      <c r="A2801" t="s">
        <v>84</v>
      </c>
      <c r="B2801" t="s">
        <v>998</v>
      </c>
      <c r="C2801">
        <v>6</v>
      </c>
      <c r="D2801" t="s">
        <v>23</v>
      </c>
      <c r="E2801" t="s">
        <v>95</v>
      </c>
      <c r="F2801" t="s">
        <v>112</v>
      </c>
      <c r="G2801" t="s">
        <v>103</v>
      </c>
      <c r="H2801" t="s">
        <v>103</v>
      </c>
      <c r="J2801">
        <v>0</v>
      </c>
      <c r="K2801">
        <v>2</v>
      </c>
      <c r="L2801">
        <v>65.09375</v>
      </c>
      <c r="M2801">
        <v>37.895352600000002</v>
      </c>
      <c r="N2801">
        <v>2.2882677779999998</v>
      </c>
      <c r="O2801">
        <v>2.2111774</v>
      </c>
      <c r="P2801">
        <v>98.291666669999998</v>
      </c>
      <c r="Q2801">
        <v>30.315130790000001</v>
      </c>
      <c r="R2801">
        <v>5.0803484000000003E-2</v>
      </c>
      <c r="S2801">
        <v>0.42866070000000001</v>
      </c>
      <c r="T2801" t="s">
        <v>1017</v>
      </c>
      <c r="U2801">
        <v>7.5802218100000003</v>
      </c>
    </row>
    <row r="2802" spans="1:21" x14ac:dyDescent="0.25">
      <c r="A2802" t="s">
        <v>84</v>
      </c>
      <c r="B2802" t="s">
        <v>998</v>
      </c>
      <c r="C2802">
        <v>6</v>
      </c>
      <c r="D2802" t="s">
        <v>23</v>
      </c>
      <c r="E2802" t="s">
        <v>95</v>
      </c>
      <c r="F2802" t="s">
        <v>112</v>
      </c>
      <c r="G2802" t="s">
        <v>103</v>
      </c>
      <c r="H2802" t="s">
        <v>808</v>
      </c>
      <c r="J2802">
        <v>0</v>
      </c>
      <c r="K2802">
        <v>1</v>
      </c>
      <c r="L2802">
        <v>65.09375</v>
      </c>
      <c r="M2802">
        <v>37.895352600000002</v>
      </c>
      <c r="N2802">
        <v>2.2882677779999998</v>
      </c>
      <c r="O2802">
        <v>2.2111774</v>
      </c>
      <c r="P2802">
        <v>102.79166669999999</v>
      </c>
      <c r="Q2802">
        <v>27.057373470000002</v>
      </c>
      <c r="R2802">
        <v>6.3567849939999999</v>
      </c>
      <c r="S2802" t="s">
        <v>114</v>
      </c>
      <c r="T2802" t="s">
        <v>1017</v>
      </c>
      <c r="U2802">
        <v>10.837979130000001</v>
      </c>
    </row>
    <row r="2803" spans="1:21" x14ac:dyDescent="0.25">
      <c r="A2803" t="s">
        <v>84</v>
      </c>
      <c r="B2803" t="s">
        <v>998</v>
      </c>
      <c r="C2803">
        <v>6</v>
      </c>
      <c r="D2803" t="s">
        <v>23</v>
      </c>
      <c r="E2803" t="s">
        <v>95</v>
      </c>
      <c r="F2803" t="s">
        <v>112</v>
      </c>
      <c r="G2803" t="s">
        <v>103</v>
      </c>
      <c r="H2803" t="s">
        <v>239</v>
      </c>
      <c r="J2803">
        <v>0</v>
      </c>
      <c r="K2803">
        <v>2</v>
      </c>
      <c r="L2803">
        <v>65.09375</v>
      </c>
      <c r="M2803">
        <v>37.895352600000002</v>
      </c>
      <c r="N2803">
        <v>2.2882677779999998</v>
      </c>
      <c r="O2803">
        <v>2.2111774</v>
      </c>
      <c r="P2803">
        <v>100.45454549999999</v>
      </c>
      <c r="Q2803">
        <v>26.754810689999999</v>
      </c>
      <c r="R2803">
        <v>0.75829999999999997</v>
      </c>
      <c r="S2803">
        <v>0.40907861000000001</v>
      </c>
      <c r="T2803" t="s">
        <v>1017</v>
      </c>
      <c r="U2803">
        <v>11.14054191</v>
      </c>
    </row>
    <row r="2804" spans="1:21" x14ac:dyDescent="0.25">
      <c r="A2804" t="s">
        <v>84</v>
      </c>
      <c r="B2804" t="s">
        <v>998</v>
      </c>
      <c r="C2804">
        <v>6</v>
      </c>
      <c r="D2804" t="s">
        <v>23</v>
      </c>
      <c r="E2804" t="s">
        <v>95</v>
      </c>
      <c r="F2804" t="s">
        <v>112</v>
      </c>
      <c r="G2804" t="s">
        <v>103</v>
      </c>
      <c r="H2804" t="s">
        <v>239</v>
      </c>
      <c r="J2804">
        <v>0</v>
      </c>
      <c r="K2804">
        <v>2</v>
      </c>
      <c r="L2804">
        <v>65.09375</v>
      </c>
      <c r="M2804">
        <v>37.895352600000002</v>
      </c>
      <c r="N2804">
        <v>2.2882677779999998</v>
      </c>
      <c r="O2804">
        <v>2.2111774</v>
      </c>
      <c r="P2804">
        <v>100.45454549999999</v>
      </c>
      <c r="Q2804">
        <v>26.754810689999999</v>
      </c>
      <c r="R2804">
        <v>0.75829999999999997</v>
      </c>
      <c r="S2804">
        <v>0.40907861000000001</v>
      </c>
      <c r="T2804" t="s">
        <v>1017</v>
      </c>
      <c r="U2804">
        <v>11.14054191</v>
      </c>
    </row>
    <row r="2805" spans="1:21" x14ac:dyDescent="0.25">
      <c r="A2805" t="s">
        <v>85</v>
      </c>
      <c r="B2805" t="s">
        <v>999</v>
      </c>
      <c r="C2805">
        <v>6</v>
      </c>
      <c r="D2805" t="s">
        <v>25</v>
      </c>
      <c r="E2805" t="s">
        <v>94</v>
      </c>
      <c r="F2805" t="s">
        <v>105</v>
      </c>
      <c r="G2805" t="s">
        <v>103</v>
      </c>
      <c r="H2805" t="s">
        <v>810</v>
      </c>
      <c r="J2805">
        <v>0</v>
      </c>
      <c r="K2805">
        <v>1</v>
      </c>
      <c r="L2805">
        <v>67.5</v>
      </c>
      <c r="M2805">
        <v>47.937235809999997</v>
      </c>
      <c r="N2805">
        <v>0.41599678000000001</v>
      </c>
      <c r="O2805">
        <v>2.0950346999999998</v>
      </c>
      <c r="P2805">
        <v>77.055555560000002</v>
      </c>
      <c r="Q2805">
        <v>18.389110710000001</v>
      </c>
      <c r="R2805">
        <v>1.5559800079999999</v>
      </c>
      <c r="S2805" t="s">
        <v>114</v>
      </c>
      <c r="T2805" t="s">
        <v>1017</v>
      </c>
      <c r="U2805">
        <v>29.5481251</v>
      </c>
    </row>
    <row r="2806" spans="1:21" x14ac:dyDescent="0.25">
      <c r="A2806" t="s">
        <v>85</v>
      </c>
      <c r="B2806" t="s">
        <v>999</v>
      </c>
      <c r="C2806">
        <v>6</v>
      </c>
      <c r="D2806" t="s">
        <v>25</v>
      </c>
      <c r="E2806" t="s">
        <v>94</v>
      </c>
      <c r="F2806" t="s">
        <v>105</v>
      </c>
      <c r="G2806" t="s">
        <v>103</v>
      </c>
      <c r="H2806" t="s">
        <v>104</v>
      </c>
      <c r="J2806">
        <v>0</v>
      </c>
      <c r="K2806">
        <v>1</v>
      </c>
      <c r="L2806">
        <v>67.5</v>
      </c>
      <c r="M2806">
        <v>47.937235809999997</v>
      </c>
      <c r="N2806">
        <v>0.41599678000000001</v>
      </c>
      <c r="O2806">
        <v>2.0950346999999998</v>
      </c>
      <c r="P2806">
        <v>113.9375</v>
      </c>
      <c r="Q2806">
        <v>33.375507550000002</v>
      </c>
      <c r="R2806">
        <v>2.4262999999999999</v>
      </c>
      <c r="S2806">
        <v>0.40692159999999999</v>
      </c>
      <c r="T2806" t="s">
        <v>1017</v>
      </c>
      <c r="U2806">
        <v>14.561728260000001</v>
      </c>
    </row>
    <row r="2807" spans="1:21" x14ac:dyDescent="0.25">
      <c r="A2807" t="s">
        <v>85</v>
      </c>
      <c r="B2807" t="s">
        <v>999</v>
      </c>
      <c r="C2807">
        <v>6</v>
      </c>
      <c r="D2807" t="s">
        <v>25</v>
      </c>
      <c r="E2807" t="s">
        <v>94</v>
      </c>
      <c r="F2807" t="s">
        <v>105</v>
      </c>
      <c r="G2807" t="s">
        <v>103</v>
      </c>
      <c r="H2807" t="s">
        <v>110</v>
      </c>
      <c r="J2807">
        <v>0</v>
      </c>
      <c r="K2807">
        <v>1</v>
      </c>
      <c r="L2807">
        <v>67.5</v>
      </c>
      <c r="M2807">
        <v>47.937235809999997</v>
      </c>
      <c r="N2807">
        <v>0.41599678000000001</v>
      </c>
      <c r="O2807">
        <v>2.0950346999999998</v>
      </c>
      <c r="P2807">
        <v>73.260869569999997</v>
      </c>
      <c r="Q2807">
        <v>34.453830549999999</v>
      </c>
      <c r="R2807">
        <v>1.058333333</v>
      </c>
      <c r="S2807">
        <v>0.90897070000000002</v>
      </c>
      <c r="T2807" t="s">
        <v>1017</v>
      </c>
      <c r="U2807">
        <v>13.48340526</v>
      </c>
    </row>
    <row r="2808" spans="1:21" x14ac:dyDescent="0.25">
      <c r="A2808" t="s">
        <v>85</v>
      </c>
      <c r="B2808" t="s">
        <v>999</v>
      </c>
      <c r="C2808">
        <v>6</v>
      </c>
      <c r="D2808" t="s">
        <v>25</v>
      </c>
      <c r="E2808" t="s">
        <v>94</v>
      </c>
      <c r="F2808" t="s">
        <v>105</v>
      </c>
      <c r="G2808" t="s">
        <v>103</v>
      </c>
      <c r="H2808" t="s">
        <v>103</v>
      </c>
      <c r="J2808">
        <v>0</v>
      </c>
      <c r="K2808">
        <v>4</v>
      </c>
      <c r="L2808">
        <v>67.5</v>
      </c>
      <c r="M2808">
        <v>47.937235809999997</v>
      </c>
      <c r="N2808">
        <v>0.41599678000000001</v>
      </c>
      <c r="O2808">
        <v>2.0950346999999998</v>
      </c>
      <c r="P2808">
        <v>98.291666669999998</v>
      </c>
      <c r="Q2808">
        <v>30.315130790000001</v>
      </c>
      <c r="R2808">
        <v>5.0803484000000003E-2</v>
      </c>
      <c r="S2808">
        <v>0.42866070000000001</v>
      </c>
      <c r="T2808" t="s">
        <v>1017</v>
      </c>
      <c r="U2808">
        <v>17.622105019999999</v>
      </c>
    </row>
    <row r="2809" spans="1:21" x14ac:dyDescent="0.25">
      <c r="A2809" t="s">
        <v>85</v>
      </c>
      <c r="B2809" t="s">
        <v>999</v>
      </c>
      <c r="C2809">
        <v>6</v>
      </c>
      <c r="D2809" t="s">
        <v>25</v>
      </c>
      <c r="E2809" t="s">
        <v>94</v>
      </c>
      <c r="F2809" t="s">
        <v>105</v>
      </c>
      <c r="G2809" t="s">
        <v>103</v>
      </c>
      <c r="H2809" t="s">
        <v>103</v>
      </c>
      <c r="J2809">
        <v>0</v>
      </c>
      <c r="K2809">
        <v>4</v>
      </c>
      <c r="L2809">
        <v>67.5</v>
      </c>
      <c r="M2809">
        <v>47.937235809999997</v>
      </c>
      <c r="N2809">
        <v>0.41599678000000001</v>
      </c>
      <c r="O2809">
        <v>2.0950346999999998</v>
      </c>
      <c r="P2809">
        <v>98.291666669999998</v>
      </c>
      <c r="Q2809">
        <v>30.315130790000001</v>
      </c>
      <c r="R2809">
        <v>5.0803484000000003E-2</v>
      </c>
      <c r="S2809">
        <v>0.42866070000000001</v>
      </c>
      <c r="T2809" t="s">
        <v>1017</v>
      </c>
      <c r="U2809">
        <v>17.622105019999999</v>
      </c>
    </row>
    <row r="2810" spans="1:21" x14ac:dyDescent="0.25">
      <c r="A2810" t="s">
        <v>85</v>
      </c>
      <c r="B2810" t="s">
        <v>999</v>
      </c>
      <c r="C2810">
        <v>6</v>
      </c>
      <c r="D2810" t="s">
        <v>25</v>
      </c>
      <c r="E2810" t="s">
        <v>94</v>
      </c>
      <c r="F2810" t="s">
        <v>105</v>
      </c>
      <c r="G2810" t="s">
        <v>103</v>
      </c>
      <c r="H2810" t="s">
        <v>103</v>
      </c>
      <c r="J2810">
        <v>0</v>
      </c>
      <c r="K2810">
        <v>4</v>
      </c>
      <c r="L2810">
        <v>67.5</v>
      </c>
      <c r="M2810">
        <v>47.937235809999997</v>
      </c>
      <c r="N2810">
        <v>0.41599678000000001</v>
      </c>
      <c r="O2810">
        <v>2.0950346999999998</v>
      </c>
      <c r="P2810">
        <v>98.291666669999998</v>
      </c>
      <c r="Q2810">
        <v>30.315130790000001</v>
      </c>
      <c r="R2810">
        <v>5.0803484000000003E-2</v>
      </c>
      <c r="S2810">
        <v>0.42866070000000001</v>
      </c>
      <c r="T2810" t="s">
        <v>1017</v>
      </c>
      <c r="U2810">
        <v>17.622105019999999</v>
      </c>
    </row>
    <row r="2811" spans="1:21" x14ac:dyDescent="0.25">
      <c r="A2811" t="s">
        <v>85</v>
      </c>
      <c r="B2811" t="s">
        <v>999</v>
      </c>
      <c r="C2811">
        <v>6</v>
      </c>
      <c r="D2811" t="s">
        <v>25</v>
      </c>
      <c r="E2811" t="s">
        <v>94</v>
      </c>
      <c r="F2811" t="s">
        <v>105</v>
      </c>
      <c r="G2811" t="s">
        <v>103</v>
      </c>
      <c r="H2811" t="s">
        <v>103</v>
      </c>
      <c r="J2811">
        <v>0</v>
      </c>
      <c r="K2811">
        <v>4</v>
      </c>
      <c r="L2811">
        <v>67.5</v>
      </c>
      <c r="M2811">
        <v>47.937235809999997</v>
      </c>
      <c r="N2811">
        <v>0.41599678000000001</v>
      </c>
      <c r="O2811">
        <v>2.0950346999999998</v>
      </c>
      <c r="P2811">
        <v>98.291666669999998</v>
      </c>
      <c r="Q2811">
        <v>30.315130790000001</v>
      </c>
      <c r="R2811">
        <v>5.0803484000000003E-2</v>
      </c>
      <c r="S2811">
        <v>0.42866070000000001</v>
      </c>
      <c r="T2811" t="s">
        <v>1017</v>
      </c>
      <c r="U2811">
        <v>17.622105019999999</v>
      </c>
    </row>
    <row r="2812" spans="1:21" x14ac:dyDescent="0.25">
      <c r="A2812" t="s">
        <v>85</v>
      </c>
      <c r="B2812" t="s">
        <v>1000</v>
      </c>
      <c r="C2812">
        <v>6</v>
      </c>
      <c r="D2812" t="s">
        <v>25</v>
      </c>
      <c r="E2812" t="s">
        <v>94</v>
      </c>
      <c r="F2812" t="s">
        <v>110</v>
      </c>
      <c r="G2812" t="s">
        <v>103</v>
      </c>
      <c r="H2812" t="s">
        <v>103</v>
      </c>
      <c r="J2812">
        <v>0</v>
      </c>
      <c r="K2812">
        <v>9</v>
      </c>
      <c r="L2812">
        <v>73.260869569999997</v>
      </c>
      <c r="M2812">
        <v>34.453830549999999</v>
      </c>
      <c r="N2812">
        <v>1.058333333</v>
      </c>
      <c r="O2812">
        <v>0.90897070000000002</v>
      </c>
      <c r="P2812">
        <v>98.291666669999998</v>
      </c>
      <c r="Q2812">
        <v>30.315130790000001</v>
      </c>
      <c r="R2812">
        <v>5.0803484000000003E-2</v>
      </c>
      <c r="S2812">
        <v>0.42866070000000001</v>
      </c>
      <c r="T2812" t="s">
        <v>1017</v>
      </c>
      <c r="U2812">
        <v>4.1386997599999997</v>
      </c>
    </row>
    <row r="2813" spans="1:21" x14ac:dyDescent="0.25">
      <c r="A2813" t="s">
        <v>85</v>
      </c>
      <c r="B2813" t="s">
        <v>1000</v>
      </c>
      <c r="C2813">
        <v>6</v>
      </c>
      <c r="D2813" t="s">
        <v>25</v>
      </c>
      <c r="E2813" t="s">
        <v>94</v>
      </c>
      <c r="F2813" t="s">
        <v>110</v>
      </c>
      <c r="G2813" t="s">
        <v>103</v>
      </c>
      <c r="H2813" t="s">
        <v>103</v>
      </c>
      <c r="J2813">
        <v>0</v>
      </c>
      <c r="K2813">
        <v>9</v>
      </c>
      <c r="L2813">
        <v>73.260869569999997</v>
      </c>
      <c r="M2813">
        <v>34.453830549999999</v>
      </c>
      <c r="N2813">
        <v>1.058333333</v>
      </c>
      <c r="O2813">
        <v>0.90897070000000002</v>
      </c>
      <c r="P2813">
        <v>98.291666669999998</v>
      </c>
      <c r="Q2813">
        <v>30.315130790000001</v>
      </c>
      <c r="R2813">
        <v>5.0803484000000003E-2</v>
      </c>
      <c r="S2813">
        <v>0.42866070000000001</v>
      </c>
      <c r="T2813" t="s">
        <v>1017</v>
      </c>
      <c r="U2813">
        <v>4.1386997599999997</v>
      </c>
    </row>
    <row r="2814" spans="1:21" x14ac:dyDescent="0.25">
      <c r="A2814" t="s">
        <v>85</v>
      </c>
      <c r="B2814" t="s">
        <v>1000</v>
      </c>
      <c r="C2814">
        <v>6</v>
      </c>
      <c r="D2814" t="s">
        <v>25</v>
      </c>
      <c r="E2814" t="s">
        <v>94</v>
      </c>
      <c r="F2814" t="s">
        <v>110</v>
      </c>
      <c r="G2814" t="s">
        <v>103</v>
      </c>
      <c r="H2814" t="s">
        <v>103</v>
      </c>
      <c r="J2814">
        <v>0</v>
      </c>
      <c r="K2814">
        <v>9</v>
      </c>
      <c r="L2814">
        <v>73.260869569999997</v>
      </c>
      <c r="M2814">
        <v>34.453830549999999</v>
      </c>
      <c r="N2814">
        <v>1.058333333</v>
      </c>
      <c r="O2814">
        <v>0.90897070000000002</v>
      </c>
      <c r="P2814">
        <v>98.291666669999998</v>
      </c>
      <c r="Q2814">
        <v>30.315130790000001</v>
      </c>
      <c r="R2814">
        <v>5.0803484000000003E-2</v>
      </c>
      <c r="S2814">
        <v>0.42866070000000001</v>
      </c>
      <c r="T2814" t="s">
        <v>1017</v>
      </c>
      <c r="U2814">
        <v>4.1386997599999997</v>
      </c>
    </row>
    <row r="2815" spans="1:21" x14ac:dyDescent="0.25">
      <c r="A2815" t="s">
        <v>85</v>
      </c>
      <c r="B2815" t="s">
        <v>1000</v>
      </c>
      <c r="C2815">
        <v>6</v>
      </c>
      <c r="D2815" t="s">
        <v>25</v>
      </c>
      <c r="E2815" t="s">
        <v>94</v>
      </c>
      <c r="F2815" t="s">
        <v>110</v>
      </c>
      <c r="G2815" t="s">
        <v>103</v>
      </c>
      <c r="H2815" t="s">
        <v>103</v>
      </c>
      <c r="J2815">
        <v>0</v>
      </c>
      <c r="K2815">
        <v>9</v>
      </c>
      <c r="L2815">
        <v>73.260869569999997</v>
      </c>
      <c r="M2815">
        <v>34.453830549999999</v>
      </c>
      <c r="N2815">
        <v>1.058333333</v>
      </c>
      <c r="O2815">
        <v>0.90897070000000002</v>
      </c>
      <c r="P2815">
        <v>98.291666669999998</v>
      </c>
      <c r="Q2815">
        <v>30.315130790000001</v>
      </c>
      <c r="R2815">
        <v>5.0803484000000003E-2</v>
      </c>
      <c r="S2815">
        <v>0.42866070000000001</v>
      </c>
      <c r="T2815" t="s">
        <v>1017</v>
      </c>
      <c r="U2815">
        <v>4.1386997599999997</v>
      </c>
    </row>
    <row r="2816" spans="1:21" x14ac:dyDescent="0.25">
      <c r="A2816" t="s">
        <v>85</v>
      </c>
      <c r="B2816" t="s">
        <v>1000</v>
      </c>
      <c r="C2816">
        <v>6</v>
      </c>
      <c r="D2816" t="s">
        <v>25</v>
      </c>
      <c r="E2816" t="s">
        <v>94</v>
      </c>
      <c r="F2816" t="s">
        <v>110</v>
      </c>
      <c r="G2816" t="s">
        <v>103</v>
      </c>
      <c r="H2816" t="s">
        <v>103</v>
      </c>
      <c r="J2816">
        <v>0</v>
      </c>
      <c r="K2816">
        <v>9</v>
      </c>
      <c r="L2816">
        <v>73.260869569999997</v>
      </c>
      <c r="M2816">
        <v>34.453830549999999</v>
      </c>
      <c r="N2816">
        <v>1.058333333</v>
      </c>
      <c r="O2816">
        <v>0.90897070000000002</v>
      </c>
      <c r="P2816">
        <v>98.291666669999998</v>
      </c>
      <c r="Q2816">
        <v>30.315130790000001</v>
      </c>
      <c r="R2816">
        <v>5.0803484000000003E-2</v>
      </c>
      <c r="S2816">
        <v>0.42866070000000001</v>
      </c>
      <c r="T2816" t="s">
        <v>1017</v>
      </c>
      <c r="U2816">
        <v>4.1386997599999997</v>
      </c>
    </row>
    <row r="2817" spans="1:21" x14ac:dyDescent="0.25">
      <c r="A2817" t="s">
        <v>85</v>
      </c>
      <c r="B2817" t="s">
        <v>1000</v>
      </c>
      <c r="C2817">
        <v>6</v>
      </c>
      <c r="D2817" t="s">
        <v>25</v>
      </c>
      <c r="E2817" t="s">
        <v>94</v>
      </c>
      <c r="F2817" t="s">
        <v>110</v>
      </c>
      <c r="G2817" t="s">
        <v>103</v>
      </c>
      <c r="H2817" t="s">
        <v>103</v>
      </c>
      <c r="J2817">
        <v>0</v>
      </c>
      <c r="K2817">
        <v>9</v>
      </c>
      <c r="L2817">
        <v>73.260869569999997</v>
      </c>
      <c r="M2817">
        <v>34.453830549999999</v>
      </c>
      <c r="N2817">
        <v>1.058333333</v>
      </c>
      <c r="O2817">
        <v>0.90897070000000002</v>
      </c>
      <c r="P2817">
        <v>98.291666669999998</v>
      </c>
      <c r="Q2817">
        <v>30.315130790000001</v>
      </c>
      <c r="R2817">
        <v>5.0803484000000003E-2</v>
      </c>
      <c r="S2817">
        <v>0.42866070000000001</v>
      </c>
      <c r="T2817" t="s">
        <v>1017</v>
      </c>
      <c r="U2817">
        <v>4.1386997599999997</v>
      </c>
    </row>
    <row r="2818" spans="1:21" x14ac:dyDescent="0.25">
      <c r="A2818" t="s">
        <v>85</v>
      </c>
      <c r="B2818" t="s">
        <v>1000</v>
      </c>
      <c r="C2818">
        <v>6</v>
      </c>
      <c r="D2818" t="s">
        <v>25</v>
      </c>
      <c r="E2818" t="s">
        <v>94</v>
      </c>
      <c r="F2818" t="s">
        <v>110</v>
      </c>
      <c r="G2818" t="s">
        <v>103</v>
      </c>
      <c r="H2818" t="s">
        <v>103</v>
      </c>
      <c r="J2818">
        <v>0</v>
      </c>
      <c r="K2818">
        <v>9</v>
      </c>
      <c r="L2818">
        <v>73.260869569999997</v>
      </c>
      <c r="M2818">
        <v>34.453830549999999</v>
      </c>
      <c r="N2818">
        <v>1.058333333</v>
      </c>
      <c r="O2818">
        <v>0.90897070000000002</v>
      </c>
      <c r="P2818">
        <v>98.291666669999998</v>
      </c>
      <c r="Q2818">
        <v>30.315130790000001</v>
      </c>
      <c r="R2818">
        <v>5.0803484000000003E-2</v>
      </c>
      <c r="S2818">
        <v>0.42866070000000001</v>
      </c>
      <c r="T2818" t="s">
        <v>1017</v>
      </c>
      <c r="U2818">
        <v>4.1386997599999997</v>
      </c>
    </row>
    <row r="2819" spans="1:21" x14ac:dyDescent="0.25">
      <c r="A2819" t="s">
        <v>85</v>
      </c>
      <c r="B2819" t="s">
        <v>1000</v>
      </c>
      <c r="C2819">
        <v>6</v>
      </c>
      <c r="D2819" t="s">
        <v>25</v>
      </c>
      <c r="E2819" t="s">
        <v>94</v>
      </c>
      <c r="F2819" t="s">
        <v>110</v>
      </c>
      <c r="G2819" t="s">
        <v>103</v>
      </c>
      <c r="H2819" t="s">
        <v>103</v>
      </c>
      <c r="J2819">
        <v>0</v>
      </c>
      <c r="K2819">
        <v>9</v>
      </c>
      <c r="L2819">
        <v>73.260869569999997</v>
      </c>
      <c r="M2819">
        <v>34.453830549999999</v>
      </c>
      <c r="N2819">
        <v>1.058333333</v>
      </c>
      <c r="O2819">
        <v>0.90897070000000002</v>
      </c>
      <c r="P2819">
        <v>98.291666669999998</v>
      </c>
      <c r="Q2819">
        <v>30.315130790000001</v>
      </c>
      <c r="R2819">
        <v>5.0803484000000003E-2</v>
      </c>
      <c r="S2819">
        <v>0.42866070000000001</v>
      </c>
      <c r="T2819" t="s">
        <v>1017</v>
      </c>
      <c r="U2819">
        <v>4.1386997599999997</v>
      </c>
    </row>
    <row r="2820" spans="1:21" x14ac:dyDescent="0.25">
      <c r="A2820" t="s">
        <v>85</v>
      </c>
      <c r="B2820" t="s">
        <v>1000</v>
      </c>
      <c r="C2820">
        <v>6</v>
      </c>
      <c r="D2820" t="s">
        <v>25</v>
      </c>
      <c r="E2820" t="s">
        <v>94</v>
      </c>
      <c r="F2820" t="s">
        <v>110</v>
      </c>
      <c r="G2820" t="s">
        <v>103</v>
      </c>
      <c r="H2820" t="s">
        <v>103</v>
      </c>
      <c r="J2820">
        <v>0</v>
      </c>
      <c r="K2820">
        <v>9</v>
      </c>
      <c r="L2820">
        <v>73.260869569999997</v>
      </c>
      <c r="M2820">
        <v>34.453830549999999</v>
      </c>
      <c r="N2820">
        <v>1.058333333</v>
      </c>
      <c r="O2820">
        <v>0.90897070000000002</v>
      </c>
      <c r="P2820">
        <v>98.291666669999998</v>
      </c>
      <c r="Q2820">
        <v>30.315130790000001</v>
      </c>
      <c r="R2820">
        <v>5.0803484000000003E-2</v>
      </c>
      <c r="S2820">
        <v>0.42866070000000001</v>
      </c>
      <c r="T2820" t="s">
        <v>1017</v>
      </c>
      <c r="U2820">
        <v>4.1386997599999997</v>
      </c>
    </row>
    <row r="2821" spans="1:21" x14ac:dyDescent="0.25">
      <c r="A2821" t="s">
        <v>85</v>
      </c>
      <c r="B2821" t="s">
        <v>1000</v>
      </c>
      <c r="C2821">
        <v>6</v>
      </c>
      <c r="D2821" t="s">
        <v>25</v>
      </c>
      <c r="E2821" t="s">
        <v>94</v>
      </c>
      <c r="F2821" t="s">
        <v>110</v>
      </c>
      <c r="G2821" t="s">
        <v>103</v>
      </c>
      <c r="H2821" t="s">
        <v>248</v>
      </c>
      <c r="J2821">
        <v>0</v>
      </c>
      <c r="K2821">
        <v>4</v>
      </c>
      <c r="L2821">
        <v>73.260869569999997</v>
      </c>
      <c r="M2821">
        <v>34.453830549999999</v>
      </c>
      <c r="N2821">
        <v>1.058333333</v>
      </c>
      <c r="O2821">
        <v>0.90897070000000002</v>
      </c>
      <c r="P2821">
        <v>83.92307692</v>
      </c>
      <c r="Q2821">
        <v>44.319135699999997</v>
      </c>
      <c r="R2821">
        <v>5.9548609999999997E-3</v>
      </c>
      <c r="S2821">
        <v>0.18017928</v>
      </c>
      <c r="T2821" t="s">
        <v>1017</v>
      </c>
      <c r="U2821">
        <v>9.8653051499999993</v>
      </c>
    </row>
    <row r="2822" spans="1:21" x14ac:dyDescent="0.25">
      <c r="A2822" t="s">
        <v>85</v>
      </c>
      <c r="B2822" t="s">
        <v>1000</v>
      </c>
      <c r="C2822">
        <v>6</v>
      </c>
      <c r="D2822" t="s">
        <v>25</v>
      </c>
      <c r="E2822" t="s">
        <v>94</v>
      </c>
      <c r="F2822" t="s">
        <v>110</v>
      </c>
      <c r="G2822" t="s">
        <v>103</v>
      </c>
      <c r="H2822" t="s">
        <v>248</v>
      </c>
      <c r="J2822">
        <v>0</v>
      </c>
      <c r="K2822">
        <v>4</v>
      </c>
      <c r="L2822">
        <v>73.260869569999997</v>
      </c>
      <c r="M2822">
        <v>34.453830549999999</v>
      </c>
      <c r="N2822">
        <v>1.058333333</v>
      </c>
      <c r="O2822">
        <v>0.90897070000000002</v>
      </c>
      <c r="P2822">
        <v>83.92307692</v>
      </c>
      <c r="Q2822">
        <v>44.319135699999997</v>
      </c>
      <c r="R2822">
        <v>5.9548609999999997E-3</v>
      </c>
      <c r="S2822">
        <v>0.18017928</v>
      </c>
      <c r="T2822" t="s">
        <v>1017</v>
      </c>
      <c r="U2822">
        <v>9.8653051499999993</v>
      </c>
    </row>
    <row r="2823" spans="1:21" x14ac:dyDescent="0.25">
      <c r="A2823" t="s">
        <v>85</v>
      </c>
      <c r="B2823" t="s">
        <v>1000</v>
      </c>
      <c r="C2823">
        <v>6</v>
      </c>
      <c r="D2823" t="s">
        <v>25</v>
      </c>
      <c r="E2823" t="s">
        <v>94</v>
      </c>
      <c r="F2823" t="s">
        <v>110</v>
      </c>
      <c r="G2823" t="s">
        <v>103</v>
      </c>
      <c r="H2823" t="s">
        <v>248</v>
      </c>
      <c r="J2823">
        <v>0</v>
      </c>
      <c r="K2823">
        <v>4</v>
      </c>
      <c r="L2823">
        <v>73.260869569999997</v>
      </c>
      <c r="M2823">
        <v>34.453830549999999</v>
      </c>
      <c r="N2823">
        <v>1.058333333</v>
      </c>
      <c r="O2823">
        <v>0.90897070000000002</v>
      </c>
      <c r="P2823">
        <v>83.92307692</v>
      </c>
      <c r="Q2823">
        <v>44.319135699999997</v>
      </c>
      <c r="R2823">
        <v>5.9548609999999997E-3</v>
      </c>
      <c r="S2823">
        <v>0.18017928</v>
      </c>
      <c r="T2823" t="s">
        <v>1017</v>
      </c>
      <c r="U2823">
        <v>9.8653051499999993</v>
      </c>
    </row>
    <row r="2824" spans="1:21" x14ac:dyDescent="0.25">
      <c r="A2824" t="s">
        <v>85</v>
      </c>
      <c r="B2824" t="s">
        <v>1000</v>
      </c>
      <c r="C2824">
        <v>6</v>
      </c>
      <c r="D2824" t="s">
        <v>25</v>
      </c>
      <c r="E2824" t="s">
        <v>94</v>
      </c>
      <c r="F2824" t="s">
        <v>110</v>
      </c>
      <c r="G2824" t="s">
        <v>103</v>
      </c>
      <c r="H2824" t="s">
        <v>248</v>
      </c>
      <c r="J2824">
        <v>0</v>
      </c>
      <c r="K2824">
        <v>4</v>
      </c>
      <c r="L2824">
        <v>73.260869569999997</v>
      </c>
      <c r="M2824">
        <v>34.453830549999999</v>
      </c>
      <c r="N2824">
        <v>1.058333333</v>
      </c>
      <c r="O2824">
        <v>0.90897070000000002</v>
      </c>
      <c r="P2824">
        <v>83.92307692</v>
      </c>
      <c r="Q2824">
        <v>44.319135699999997</v>
      </c>
      <c r="R2824">
        <v>5.9548609999999997E-3</v>
      </c>
      <c r="S2824">
        <v>0.18017928</v>
      </c>
      <c r="T2824" t="s">
        <v>1017</v>
      </c>
      <c r="U2824">
        <v>9.8653051499999993</v>
      </c>
    </row>
    <row r="2825" spans="1:21" x14ac:dyDescent="0.25">
      <c r="A2825" t="s">
        <v>85</v>
      </c>
      <c r="B2825" t="s">
        <v>1000</v>
      </c>
      <c r="C2825">
        <v>6</v>
      </c>
      <c r="D2825" t="s">
        <v>25</v>
      </c>
      <c r="E2825" t="s">
        <v>94</v>
      </c>
      <c r="F2825" t="s">
        <v>110</v>
      </c>
      <c r="G2825" t="s">
        <v>103</v>
      </c>
      <c r="H2825" t="s">
        <v>233</v>
      </c>
      <c r="J2825">
        <v>0</v>
      </c>
      <c r="K2825">
        <v>3</v>
      </c>
      <c r="L2825">
        <v>73.260869569999997</v>
      </c>
      <c r="M2825">
        <v>34.453830549999999</v>
      </c>
      <c r="N2825">
        <v>1.058333333</v>
      </c>
      <c r="O2825">
        <v>0.90897070000000002</v>
      </c>
      <c r="P2825">
        <v>106.0540541</v>
      </c>
      <c r="Q2825">
        <v>52.690533369999997</v>
      </c>
      <c r="R2825">
        <v>7.6058968000000005E-2</v>
      </c>
      <c r="S2825">
        <v>0.44888888999999998</v>
      </c>
      <c r="T2825" t="s">
        <v>1017</v>
      </c>
      <c r="U2825">
        <v>18.236702820000001</v>
      </c>
    </row>
    <row r="2826" spans="1:21" x14ac:dyDescent="0.25">
      <c r="A2826" t="s">
        <v>85</v>
      </c>
      <c r="B2826" t="s">
        <v>1000</v>
      </c>
      <c r="C2826">
        <v>6</v>
      </c>
      <c r="D2826" t="s">
        <v>25</v>
      </c>
      <c r="E2826" t="s">
        <v>94</v>
      </c>
      <c r="F2826" t="s">
        <v>110</v>
      </c>
      <c r="G2826" t="s">
        <v>103</v>
      </c>
      <c r="H2826" t="s">
        <v>233</v>
      </c>
      <c r="J2826">
        <v>0</v>
      </c>
      <c r="K2826">
        <v>3</v>
      </c>
      <c r="L2826">
        <v>73.260869569999997</v>
      </c>
      <c r="M2826">
        <v>34.453830549999999</v>
      </c>
      <c r="N2826">
        <v>1.058333333</v>
      </c>
      <c r="O2826">
        <v>0.90897070000000002</v>
      </c>
      <c r="P2826">
        <v>106.0540541</v>
      </c>
      <c r="Q2826">
        <v>52.690533369999997</v>
      </c>
      <c r="R2826">
        <v>7.6058968000000005E-2</v>
      </c>
      <c r="S2826">
        <v>0.44888888999999998</v>
      </c>
      <c r="T2826" t="s">
        <v>1017</v>
      </c>
      <c r="U2826">
        <v>18.236702820000001</v>
      </c>
    </row>
    <row r="2827" spans="1:21" x14ac:dyDescent="0.25">
      <c r="A2827" t="s">
        <v>85</v>
      </c>
      <c r="B2827" t="s">
        <v>1000</v>
      </c>
      <c r="C2827">
        <v>6</v>
      </c>
      <c r="D2827" t="s">
        <v>25</v>
      </c>
      <c r="E2827" t="s">
        <v>94</v>
      </c>
      <c r="F2827" t="s">
        <v>110</v>
      </c>
      <c r="G2827" t="s">
        <v>103</v>
      </c>
      <c r="H2827" t="s">
        <v>233</v>
      </c>
      <c r="J2827">
        <v>0</v>
      </c>
      <c r="K2827">
        <v>3</v>
      </c>
      <c r="L2827">
        <v>73.260869569999997</v>
      </c>
      <c r="M2827">
        <v>34.453830549999999</v>
      </c>
      <c r="N2827">
        <v>1.058333333</v>
      </c>
      <c r="O2827">
        <v>0.90897070000000002</v>
      </c>
      <c r="P2827">
        <v>106.0540541</v>
      </c>
      <c r="Q2827">
        <v>52.690533369999997</v>
      </c>
      <c r="R2827">
        <v>7.6058968000000005E-2</v>
      </c>
      <c r="S2827">
        <v>0.44888888999999998</v>
      </c>
      <c r="T2827" t="s">
        <v>1017</v>
      </c>
      <c r="U2827">
        <v>18.236702820000001</v>
      </c>
    </row>
    <row r="2828" spans="1:21" x14ac:dyDescent="0.25">
      <c r="A2828" t="s">
        <v>85</v>
      </c>
      <c r="B2828" t="s">
        <v>1000</v>
      </c>
      <c r="C2828">
        <v>6</v>
      </c>
      <c r="D2828" t="s">
        <v>25</v>
      </c>
      <c r="E2828" t="s">
        <v>94</v>
      </c>
      <c r="F2828" t="s">
        <v>110</v>
      </c>
      <c r="G2828" t="s">
        <v>103</v>
      </c>
      <c r="H2828" t="s">
        <v>110</v>
      </c>
      <c r="J2828">
        <v>0</v>
      </c>
      <c r="K2828">
        <v>1</v>
      </c>
      <c r="L2828">
        <v>73.260869569999997</v>
      </c>
      <c r="M2828">
        <v>34.453830549999999</v>
      </c>
      <c r="N2828">
        <v>1.058333333</v>
      </c>
      <c r="O2828">
        <v>0.90897070000000002</v>
      </c>
      <c r="P2828">
        <v>73.260869569999997</v>
      </c>
      <c r="Q2828">
        <v>34.453830549999999</v>
      </c>
      <c r="R2828">
        <v>1.058333333</v>
      </c>
      <c r="S2828">
        <v>0.90897070000000002</v>
      </c>
      <c r="T2828" t="s">
        <v>1017</v>
      </c>
      <c r="U2828">
        <v>0</v>
      </c>
    </row>
    <row r="2829" spans="1:21" x14ac:dyDescent="0.25">
      <c r="A2829" t="s">
        <v>86</v>
      </c>
      <c r="B2829" t="s">
        <v>1001</v>
      </c>
      <c r="C2829">
        <v>6</v>
      </c>
      <c r="D2829" t="s">
        <v>27</v>
      </c>
      <c r="E2829" t="s">
        <v>94</v>
      </c>
      <c r="F2829" t="s">
        <v>110</v>
      </c>
      <c r="G2829" t="s">
        <v>121</v>
      </c>
      <c r="H2829" t="s">
        <v>246</v>
      </c>
      <c r="J2829">
        <v>0</v>
      </c>
      <c r="K2829">
        <v>1</v>
      </c>
      <c r="L2829">
        <v>73.260869569999997</v>
      </c>
      <c r="M2829">
        <v>34.453830549999999</v>
      </c>
      <c r="N2829">
        <v>1.058333333</v>
      </c>
      <c r="O2829">
        <v>0.90897070000000002</v>
      </c>
      <c r="P2829">
        <v>120.25</v>
      </c>
      <c r="Q2829">
        <v>30.670450110000001</v>
      </c>
      <c r="R2829">
        <v>0.91037498500000003</v>
      </c>
      <c r="S2829" t="s">
        <v>114</v>
      </c>
      <c r="T2829" t="s">
        <v>1017</v>
      </c>
      <c r="U2829">
        <v>3.7833804400000002</v>
      </c>
    </row>
    <row r="2830" spans="1:21" x14ac:dyDescent="0.25">
      <c r="A2830" t="s">
        <v>86</v>
      </c>
      <c r="B2830" t="s">
        <v>1001</v>
      </c>
      <c r="C2830">
        <v>6</v>
      </c>
      <c r="D2830" t="s">
        <v>27</v>
      </c>
      <c r="E2830" t="s">
        <v>94</v>
      </c>
      <c r="F2830" t="s">
        <v>110</v>
      </c>
      <c r="G2830" t="s">
        <v>121</v>
      </c>
      <c r="H2830" t="s">
        <v>242</v>
      </c>
      <c r="J2830">
        <v>0</v>
      </c>
      <c r="K2830">
        <v>2</v>
      </c>
      <c r="L2830">
        <v>73.260869569999997</v>
      </c>
      <c r="M2830">
        <v>34.453830549999999</v>
      </c>
      <c r="N2830">
        <v>1.058333333</v>
      </c>
      <c r="O2830">
        <v>0.90897070000000002</v>
      </c>
      <c r="P2830">
        <v>139.375</v>
      </c>
      <c r="Q2830">
        <v>23.713465920000001</v>
      </c>
      <c r="R2830" t="s">
        <v>114</v>
      </c>
      <c r="S2830" t="s">
        <v>114</v>
      </c>
      <c r="T2830" t="s">
        <v>1017</v>
      </c>
      <c r="U2830">
        <v>10.74036463</v>
      </c>
    </row>
    <row r="2831" spans="1:21" x14ac:dyDescent="0.25">
      <c r="A2831" t="s">
        <v>86</v>
      </c>
      <c r="B2831" t="s">
        <v>1001</v>
      </c>
      <c r="C2831">
        <v>6</v>
      </c>
      <c r="D2831" t="s">
        <v>27</v>
      </c>
      <c r="E2831" t="s">
        <v>94</v>
      </c>
      <c r="F2831" t="s">
        <v>110</v>
      </c>
      <c r="G2831" t="s">
        <v>121</v>
      </c>
      <c r="H2831" t="s">
        <v>242</v>
      </c>
      <c r="J2831">
        <v>0</v>
      </c>
      <c r="K2831">
        <v>2</v>
      </c>
      <c r="L2831">
        <v>73.260869569999997</v>
      </c>
      <c r="M2831">
        <v>34.453830549999999</v>
      </c>
      <c r="N2831">
        <v>1.058333333</v>
      </c>
      <c r="O2831">
        <v>0.90897070000000002</v>
      </c>
      <c r="P2831">
        <v>139.375</v>
      </c>
      <c r="Q2831">
        <v>23.713465920000001</v>
      </c>
      <c r="R2831" t="s">
        <v>114</v>
      </c>
      <c r="S2831" t="s">
        <v>114</v>
      </c>
      <c r="T2831" t="s">
        <v>1017</v>
      </c>
      <c r="U2831">
        <v>10.74036463</v>
      </c>
    </row>
    <row r="2832" spans="1:21" x14ac:dyDescent="0.25">
      <c r="A2832" t="s">
        <v>86</v>
      </c>
      <c r="B2832" t="s">
        <v>1002</v>
      </c>
      <c r="C2832">
        <v>6</v>
      </c>
      <c r="D2832" t="s">
        <v>27</v>
      </c>
      <c r="E2832" t="s">
        <v>94</v>
      </c>
      <c r="F2832" t="s">
        <v>112</v>
      </c>
      <c r="G2832" t="s">
        <v>110</v>
      </c>
      <c r="H2832" t="s">
        <v>110</v>
      </c>
      <c r="J2832">
        <v>0</v>
      </c>
      <c r="K2832">
        <v>1</v>
      </c>
      <c r="L2832">
        <v>65.09375</v>
      </c>
      <c r="M2832">
        <v>37.895352600000002</v>
      </c>
      <c r="N2832">
        <v>2.2882677779999998</v>
      </c>
      <c r="O2832">
        <v>2.2111774</v>
      </c>
      <c r="P2832">
        <v>73.260869569999997</v>
      </c>
      <c r="Q2832">
        <v>34.453830549999999</v>
      </c>
      <c r="R2832">
        <v>1.058333333</v>
      </c>
      <c r="S2832">
        <v>0.90897070000000002</v>
      </c>
      <c r="T2832" t="s">
        <v>1017</v>
      </c>
      <c r="U2832">
        <v>3.4415220500000001</v>
      </c>
    </row>
    <row r="2833" spans="1:21" x14ac:dyDescent="0.25">
      <c r="A2833" t="s">
        <v>86</v>
      </c>
      <c r="B2833" t="s">
        <v>1002</v>
      </c>
      <c r="C2833">
        <v>6</v>
      </c>
      <c r="D2833" t="s">
        <v>27</v>
      </c>
      <c r="E2833" t="s">
        <v>94</v>
      </c>
      <c r="F2833" t="s">
        <v>112</v>
      </c>
      <c r="G2833" t="s">
        <v>110</v>
      </c>
      <c r="H2833" t="s">
        <v>246</v>
      </c>
      <c r="J2833">
        <v>0</v>
      </c>
      <c r="K2833">
        <v>1</v>
      </c>
      <c r="L2833">
        <v>65.09375</v>
      </c>
      <c r="M2833">
        <v>37.895352600000002</v>
      </c>
      <c r="N2833">
        <v>2.2882677779999998</v>
      </c>
      <c r="O2833">
        <v>2.2111774</v>
      </c>
      <c r="P2833">
        <v>120.25</v>
      </c>
      <c r="Q2833">
        <v>30.670450110000001</v>
      </c>
      <c r="R2833">
        <v>0.91037498500000003</v>
      </c>
      <c r="S2833" t="s">
        <v>114</v>
      </c>
      <c r="T2833" t="s">
        <v>1017</v>
      </c>
      <c r="U2833">
        <v>7.2249024899999998</v>
      </c>
    </row>
    <row r="2834" spans="1:21" x14ac:dyDescent="0.25">
      <c r="A2834" t="s">
        <v>87</v>
      </c>
      <c r="B2834" t="s">
        <v>1003</v>
      </c>
      <c r="C2834">
        <v>6</v>
      </c>
      <c r="D2834" t="s">
        <v>29</v>
      </c>
      <c r="E2834" t="s">
        <v>95</v>
      </c>
      <c r="F2834" t="s">
        <v>102</v>
      </c>
      <c r="G2834" t="s">
        <v>110</v>
      </c>
      <c r="H2834" t="s">
        <v>110</v>
      </c>
      <c r="J2834">
        <v>0</v>
      </c>
      <c r="K2834">
        <v>3</v>
      </c>
      <c r="L2834">
        <v>84.740740740000007</v>
      </c>
      <c r="M2834">
        <v>29.167014049999999</v>
      </c>
      <c r="N2834">
        <v>1.1169849999999999</v>
      </c>
      <c r="O2834">
        <v>1.1571499000000001</v>
      </c>
      <c r="P2834">
        <v>73.260869569999997</v>
      </c>
      <c r="Q2834">
        <v>34.453830549999999</v>
      </c>
      <c r="R2834">
        <v>1.058333333</v>
      </c>
      <c r="S2834">
        <v>0.90897070000000002</v>
      </c>
      <c r="T2834" t="s">
        <v>1017</v>
      </c>
      <c r="U2834">
        <v>5.2868164999999996</v>
      </c>
    </row>
    <row r="2835" spans="1:21" x14ac:dyDescent="0.25">
      <c r="A2835" t="s">
        <v>87</v>
      </c>
      <c r="B2835" t="s">
        <v>1003</v>
      </c>
      <c r="C2835">
        <v>6</v>
      </c>
      <c r="D2835" t="s">
        <v>29</v>
      </c>
      <c r="E2835" t="s">
        <v>95</v>
      </c>
      <c r="F2835" t="s">
        <v>102</v>
      </c>
      <c r="G2835" t="s">
        <v>110</v>
      </c>
      <c r="H2835" t="s">
        <v>110</v>
      </c>
      <c r="J2835">
        <v>0</v>
      </c>
      <c r="K2835">
        <v>3</v>
      </c>
      <c r="L2835">
        <v>84.740740740000007</v>
      </c>
      <c r="M2835">
        <v>29.167014049999999</v>
      </c>
      <c r="N2835">
        <v>1.1169849999999999</v>
      </c>
      <c r="O2835">
        <v>1.1571499000000001</v>
      </c>
      <c r="P2835">
        <v>73.260869569999997</v>
      </c>
      <c r="Q2835">
        <v>34.453830549999999</v>
      </c>
      <c r="R2835">
        <v>1.058333333</v>
      </c>
      <c r="S2835">
        <v>0.90897070000000002</v>
      </c>
      <c r="T2835" t="s">
        <v>1017</v>
      </c>
      <c r="U2835">
        <v>5.2868164999999996</v>
      </c>
    </row>
    <row r="2836" spans="1:21" x14ac:dyDescent="0.25">
      <c r="A2836" t="s">
        <v>87</v>
      </c>
      <c r="B2836" t="s">
        <v>1003</v>
      </c>
      <c r="C2836">
        <v>6</v>
      </c>
      <c r="D2836" t="s">
        <v>29</v>
      </c>
      <c r="E2836" t="s">
        <v>95</v>
      </c>
      <c r="F2836" t="s">
        <v>102</v>
      </c>
      <c r="G2836" t="s">
        <v>110</v>
      </c>
      <c r="H2836" t="s">
        <v>110</v>
      </c>
      <c r="J2836">
        <v>0</v>
      </c>
      <c r="K2836">
        <v>3</v>
      </c>
      <c r="L2836">
        <v>84.740740740000007</v>
      </c>
      <c r="M2836">
        <v>29.167014049999999</v>
      </c>
      <c r="N2836">
        <v>1.1169849999999999</v>
      </c>
      <c r="O2836">
        <v>1.1571499000000001</v>
      </c>
      <c r="P2836">
        <v>73.260869569999997</v>
      </c>
      <c r="Q2836">
        <v>34.453830549999999</v>
      </c>
      <c r="R2836">
        <v>1.058333333</v>
      </c>
      <c r="S2836">
        <v>0.90897070000000002</v>
      </c>
      <c r="T2836" t="s">
        <v>1017</v>
      </c>
      <c r="U2836">
        <v>5.2868164999999996</v>
      </c>
    </row>
    <row r="2837" spans="1:21" x14ac:dyDescent="0.25">
      <c r="A2837" t="s">
        <v>87</v>
      </c>
      <c r="B2837" t="s">
        <v>1003</v>
      </c>
      <c r="C2837">
        <v>6</v>
      </c>
      <c r="D2837" t="s">
        <v>29</v>
      </c>
      <c r="E2837" t="s">
        <v>95</v>
      </c>
      <c r="F2837" t="s">
        <v>102</v>
      </c>
      <c r="G2837" t="s">
        <v>110</v>
      </c>
      <c r="H2837" t="s">
        <v>246</v>
      </c>
      <c r="J2837">
        <v>0</v>
      </c>
      <c r="K2837">
        <v>1</v>
      </c>
      <c r="L2837">
        <v>84.740740740000007</v>
      </c>
      <c r="M2837">
        <v>29.167014049999999</v>
      </c>
      <c r="N2837">
        <v>1.1169849999999999</v>
      </c>
      <c r="O2837">
        <v>1.1571499000000001</v>
      </c>
      <c r="P2837">
        <v>120.25</v>
      </c>
      <c r="Q2837">
        <v>30.670450110000001</v>
      </c>
      <c r="R2837">
        <v>0.91037498500000003</v>
      </c>
      <c r="S2837" t="s">
        <v>114</v>
      </c>
      <c r="T2837" t="s">
        <v>1017</v>
      </c>
      <c r="U2837">
        <v>1.5034360600000001</v>
      </c>
    </row>
    <row r="2838" spans="1:21" x14ac:dyDescent="0.25">
      <c r="A2838" t="s">
        <v>87</v>
      </c>
      <c r="B2838" t="s">
        <v>1003</v>
      </c>
      <c r="C2838">
        <v>6</v>
      </c>
      <c r="D2838" t="s">
        <v>29</v>
      </c>
      <c r="E2838" t="s">
        <v>95</v>
      </c>
      <c r="F2838" t="s">
        <v>102</v>
      </c>
      <c r="G2838" t="s">
        <v>110</v>
      </c>
      <c r="H2838" t="s">
        <v>242</v>
      </c>
      <c r="J2838">
        <v>0</v>
      </c>
      <c r="K2838">
        <v>2</v>
      </c>
      <c r="L2838">
        <v>84.740740740000007</v>
      </c>
      <c r="M2838">
        <v>29.167014049999999</v>
      </c>
      <c r="N2838">
        <v>1.1169849999999999</v>
      </c>
      <c r="O2838">
        <v>1.1571499000000001</v>
      </c>
      <c r="P2838">
        <v>139.375</v>
      </c>
      <c r="Q2838">
        <v>23.713465920000001</v>
      </c>
      <c r="R2838" t="s">
        <v>114</v>
      </c>
      <c r="S2838" t="s">
        <v>114</v>
      </c>
      <c r="T2838" t="s">
        <v>1017</v>
      </c>
      <c r="U2838">
        <v>5.4535481299999997</v>
      </c>
    </row>
    <row r="2839" spans="1:21" x14ac:dyDescent="0.25">
      <c r="A2839" t="s">
        <v>87</v>
      </c>
      <c r="B2839" t="s">
        <v>1003</v>
      </c>
      <c r="C2839">
        <v>6</v>
      </c>
      <c r="D2839" t="s">
        <v>29</v>
      </c>
      <c r="E2839" t="s">
        <v>95</v>
      </c>
      <c r="F2839" t="s">
        <v>102</v>
      </c>
      <c r="G2839" t="s">
        <v>110</v>
      </c>
      <c r="H2839" t="s">
        <v>242</v>
      </c>
      <c r="J2839">
        <v>0</v>
      </c>
      <c r="K2839">
        <v>2</v>
      </c>
      <c r="L2839">
        <v>84.740740740000007</v>
      </c>
      <c r="M2839">
        <v>29.167014049999999</v>
      </c>
      <c r="N2839">
        <v>1.1169849999999999</v>
      </c>
      <c r="O2839">
        <v>1.1571499000000001</v>
      </c>
      <c r="P2839">
        <v>139.375</v>
      </c>
      <c r="Q2839">
        <v>23.713465920000001</v>
      </c>
      <c r="R2839" t="s">
        <v>114</v>
      </c>
      <c r="S2839" t="s">
        <v>114</v>
      </c>
      <c r="T2839" t="s">
        <v>1017</v>
      </c>
      <c r="U2839">
        <v>5.4535481299999997</v>
      </c>
    </row>
    <row r="2840" spans="1:21" x14ac:dyDescent="0.25">
      <c r="A2840" t="s">
        <v>87</v>
      </c>
      <c r="B2840" t="s">
        <v>1004</v>
      </c>
      <c r="C2840">
        <v>6</v>
      </c>
      <c r="D2840" t="s">
        <v>29</v>
      </c>
      <c r="E2840" t="s">
        <v>95</v>
      </c>
      <c r="F2840" t="s">
        <v>110</v>
      </c>
      <c r="G2840" t="s">
        <v>110</v>
      </c>
      <c r="H2840" t="s">
        <v>110</v>
      </c>
      <c r="J2840">
        <v>0</v>
      </c>
      <c r="K2840">
        <v>1</v>
      </c>
      <c r="L2840">
        <v>73.260869569999997</v>
      </c>
      <c r="M2840">
        <v>34.453830549999999</v>
      </c>
      <c r="N2840">
        <v>1.058333333</v>
      </c>
      <c r="O2840">
        <v>0.90897070000000002</v>
      </c>
      <c r="P2840">
        <v>73.260869569999997</v>
      </c>
      <c r="Q2840">
        <v>34.453830549999999</v>
      </c>
      <c r="R2840">
        <v>1.058333333</v>
      </c>
      <c r="S2840">
        <v>0.90897070000000002</v>
      </c>
      <c r="T2840" t="s">
        <v>1017</v>
      </c>
      <c r="U2840">
        <v>0</v>
      </c>
    </row>
    <row r="2841" spans="1:21" x14ac:dyDescent="0.25">
      <c r="A2841" t="s">
        <v>88</v>
      </c>
      <c r="B2841" t="s">
        <v>1005</v>
      </c>
      <c r="C2841">
        <v>6</v>
      </c>
      <c r="D2841" t="s">
        <v>31</v>
      </c>
      <c r="E2841" t="s">
        <v>95</v>
      </c>
      <c r="F2841" t="s">
        <v>110</v>
      </c>
      <c r="G2841" t="s">
        <v>113</v>
      </c>
      <c r="H2841" t="s">
        <v>113</v>
      </c>
      <c r="J2841">
        <v>0</v>
      </c>
      <c r="K2841">
        <v>3</v>
      </c>
      <c r="L2841">
        <v>73.260869569999997</v>
      </c>
      <c r="M2841">
        <v>34.453830549999999</v>
      </c>
      <c r="N2841">
        <v>1.058333333</v>
      </c>
      <c r="O2841">
        <v>0.90897070000000002</v>
      </c>
      <c r="P2841">
        <v>83.757575759999995</v>
      </c>
      <c r="Q2841">
        <v>22.60997987</v>
      </c>
      <c r="R2841">
        <v>0.72884000000000004</v>
      </c>
      <c r="S2841">
        <v>0.21301339999999999</v>
      </c>
      <c r="T2841" t="s">
        <v>1017</v>
      </c>
      <c r="U2841">
        <v>11.843850679999999</v>
      </c>
    </row>
    <row r="2842" spans="1:21" x14ac:dyDescent="0.25">
      <c r="A2842" t="s">
        <v>88</v>
      </c>
      <c r="B2842" t="s">
        <v>1005</v>
      </c>
      <c r="C2842">
        <v>6</v>
      </c>
      <c r="D2842" t="s">
        <v>31</v>
      </c>
      <c r="E2842" t="s">
        <v>95</v>
      </c>
      <c r="F2842" t="s">
        <v>110</v>
      </c>
      <c r="G2842" t="s">
        <v>113</v>
      </c>
      <c r="H2842" t="s">
        <v>113</v>
      </c>
      <c r="J2842">
        <v>0</v>
      </c>
      <c r="K2842">
        <v>3</v>
      </c>
      <c r="L2842">
        <v>73.260869569999997</v>
      </c>
      <c r="M2842">
        <v>34.453830549999999</v>
      </c>
      <c r="N2842">
        <v>1.058333333</v>
      </c>
      <c r="O2842">
        <v>0.90897070000000002</v>
      </c>
      <c r="P2842">
        <v>83.757575759999995</v>
      </c>
      <c r="Q2842">
        <v>22.60997987</v>
      </c>
      <c r="R2842">
        <v>0.72884000000000004</v>
      </c>
      <c r="S2842">
        <v>0.21301339999999999</v>
      </c>
      <c r="T2842" t="s">
        <v>1017</v>
      </c>
      <c r="U2842">
        <v>11.843850679999999</v>
      </c>
    </row>
    <row r="2843" spans="1:21" x14ac:dyDescent="0.25">
      <c r="A2843" t="s">
        <v>88</v>
      </c>
      <c r="B2843" t="s">
        <v>1005</v>
      </c>
      <c r="C2843">
        <v>6</v>
      </c>
      <c r="D2843" t="s">
        <v>31</v>
      </c>
      <c r="E2843" t="s">
        <v>95</v>
      </c>
      <c r="F2843" t="s">
        <v>110</v>
      </c>
      <c r="G2843" t="s">
        <v>113</v>
      </c>
      <c r="H2843" t="s">
        <v>113</v>
      </c>
      <c r="J2843">
        <v>0</v>
      </c>
      <c r="K2843">
        <v>3</v>
      </c>
      <c r="L2843">
        <v>73.260869569999997</v>
      </c>
      <c r="M2843">
        <v>34.453830549999999</v>
      </c>
      <c r="N2843">
        <v>1.058333333</v>
      </c>
      <c r="O2843">
        <v>0.90897070000000002</v>
      </c>
      <c r="P2843">
        <v>83.757575759999995</v>
      </c>
      <c r="Q2843">
        <v>22.60997987</v>
      </c>
      <c r="R2843">
        <v>0.72884000000000004</v>
      </c>
      <c r="S2843">
        <v>0.21301339999999999</v>
      </c>
      <c r="T2843" t="s">
        <v>1017</v>
      </c>
      <c r="U2843">
        <v>11.843850679999999</v>
      </c>
    </row>
    <row r="2844" spans="1:21" x14ac:dyDescent="0.25">
      <c r="A2844" t="s">
        <v>88</v>
      </c>
      <c r="B2844" t="s">
        <v>1005</v>
      </c>
      <c r="C2844">
        <v>6</v>
      </c>
      <c r="D2844" t="s">
        <v>31</v>
      </c>
      <c r="E2844" t="s">
        <v>95</v>
      </c>
      <c r="F2844" t="s">
        <v>110</v>
      </c>
      <c r="G2844" t="s">
        <v>113</v>
      </c>
      <c r="H2844" t="s">
        <v>103</v>
      </c>
      <c r="J2844">
        <v>0</v>
      </c>
      <c r="K2844">
        <v>1</v>
      </c>
      <c r="L2844">
        <v>73.260869569999997</v>
      </c>
      <c r="M2844">
        <v>34.453830549999999</v>
      </c>
      <c r="N2844">
        <v>1.058333333</v>
      </c>
      <c r="O2844">
        <v>0.90897070000000002</v>
      </c>
      <c r="P2844">
        <v>98.291666669999998</v>
      </c>
      <c r="Q2844">
        <v>30.315130790000001</v>
      </c>
      <c r="R2844">
        <v>5.0803484000000003E-2</v>
      </c>
      <c r="S2844">
        <v>0.42866070000000001</v>
      </c>
      <c r="T2844" t="s">
        <v>1017</v>
      </c>
      <c r="U2844">
        <v>4.1386997599999997</v>
      </c>
    </row>
    <row r="2845" spans="1:21" x14ac:dyDescent="0.25">
      <c r="A2845" t="s">
        <v>88</v>
      </c>
      <c r="B2845" t="s">
        <v>1006</v>
      </c>
      <c r="C2845">
        <v>6</v>
      </c>
      <c r="D2845" t="s">
        <v>31</v>
      </c>
      <c r="E2845" t="s">
        <v>95</v>
      </c>
      <c r="F2845" t="s">
        <v>112</v>
      </c>
      <c r="G2845" t="s">
        <v>113</v>
      </c>
      <c r="H2845" t="s">
        <v>113</v>
      </c>
      <c r="J2845">
        <v>0</v>
      </c>
      <c r="K2845">
        <v>2</v>
      </c>
      <c r="L2845">
        <v>65.09375</v>
      </c>
      <c r="M2845">
        <v>37.895352600000002</v>
      </c>
      <c r="N2845">
        <v>2.2882677779999998</v>
      </c>
      <c r="O2845">
        <v>2.2111774</v>
      </c>
      <c r="P2845">
        <v>83.757575759999995</v>
      </c>
      <c r="Q2845">
        <v>22.60997987</v>
      </c>
      <c r="R2845">
        <v>0.72884000000000004</v>
      </c>
      <c r="S2845">
        <v>0.21301339999999999</v>
      </c>
      <c r="T2845" t="s">
        <v>1017</v>
      </c>
      <c r="U2845">
        <v>15.285372730000001</v>
      </c>
    </row>
    <row r="2846" spans="1:21" x14ac:dyDescent="0.25">
      <c r="A2846" t="s">
        <v>88</v>
      </c>
      <c r="B2846" t="s">
        <v>1006</v>
      </c>
      <c r="C2846">
        <v>6</v>
      </c>
      <c r="D2846" t="s">
        <v>31</v>
      </c>
      <c r="E2846" t="s">
        <v>95</v>
      </c>
      <c r="F2846" t="s">
        <v>112</v>
      </c>
      <c r="G2846" t="s">
        <v>113</v>
      </c>
      <c r="H2846" t="s">
        <v>113</v>
      </c>
      <c r="J2846">
        <v>0</v>
      </c>
      <c r="K2846">
        <v>2</v>
      </c>
      <c r="L2846">
        <v>65.09375</v>
      </c>
      <c r="M2846">
        <v>37.895352600000002</v>
      </c>
      <c r="N2846">
        <v>2.2882677779999998</v>
      </c>
      <c r="O2846">
        <v>2.2111774</v>
      </c>
      <c r="P2846">
        <v>83.757575759999995</v>
      </c>
      <c r="Q2846">
        <v>22.60997987</v>
      </c>
      <c r="R2846">
        <v>0.72884000000000004</v>
      </c>
      <c r="S2846">
        <v>0.21301339999999999</v>
      </c>
      <c r="T2846" t="s">
        <v>1017</v>
      </c>
      <c r="U2846">
        <v>15.285372730000001</v>
      </c>
    </row>
    <row r="2847" spans="1:21" x14ac:dyDescent="0.25">
      <c r="A2847" t="s">
        <v>89</v>
      </c>
      <c r="B2847" t="s">
        <v>1007</v>
      </c>
      <c r="C2847">
        <v>6</v>
      </c>
      <c r="D2847" t="s">
        <v>33</v>
      </c>
      <c r="E2847" t="s">
        <v>95</v>
      </c>
      <c r="F2847" t="s">
        <v>104</v>
      </c>
      <c r="G2847" t="s">
        <v>104</v>
      </c>
      <c r="H2847" t="s">
        <v>104</v>
      </c>
      <c r="J2847">
        <v>1</v>
      </c>
      <c r="K2847">
        <v>1</v>
      </c>
      <c r="L2847">
        <v>113.9375</v>
      </c>
      <c r="M2847">
        <v>33.375507550000002</v>
      </c>
      <c r="N2847">
        <v>2.4262999999999999</v>
      </c>
      <c r="O2847">
        <v>0.40692159999999999</v>
      </c>
      <c r="P2847">
        <v>113.9375</v>
      </c>
      <c r="Q2847">
        <v>33.375507550000002</v>
      </c>
      <c r="R2847">
        <v>2.4262999999999999</v>
      </c>
      <c r="S2847">
        <v>0.40692159999999999</v>
      </c>
      <c r="T2847" t="s">
        <v>1017</v>
      </c>
      <c r="U2847">
        <v>0</v>
      </c>
    </row>
    <row r="2848" spans="1:21" x14ac:dyDescent="0.25">
      <c r="A2848" t="s">
        <v>89</v>
      </c>
      <c r="B2848" t="s">
        <v>1007</v>
      </c>
      <c r="C2848">
        <v>6</v>
      </c>
      <c r="D2848" t="s">
        <v>33</v>
      </c>
      <c r="E2848" t="s">
        <v>95</v>
      </c>
      <c r="F2848" t="s">
        <v>104</v>
      </c>
      <c r="G2848" t="s">
        <v>104</v>
      </c>
      <c r="H2848" t="s">
        <v>103</v>
      </c>
      <c r="J2848">
        <v>1</v>
      </c>
      <c r="K2848">
        <v>1</v>
      </c>
      <c r="L2848">
        <v>113.9375</v>
      </c>
      <c r="M2848">
        <v>33.375507550000002</v>
      </c>
      <c r="N2848">
        <v>2.4262999999999999</v>
      </c>
      <c r="O2848">
        <v>0.40692159999999999</v>
      </c>
      <c r="P2848">
        <v>98.291666669999998</v>
      </c>
      <c r="Q2848">
        <v>30.315130790000001</v>
      </c>
      <c r="R2848">
        <v>5.0803484000000003E-2</v>
      </c>
      <c r="S2848">
        <v>0.42866070000000001</v>
      </c>
      <c r="T2848" t="s">
        <v>1017</v>
      </c>
      <c r="U2848">
        <v>3.06037676</v>
      </c>
    </row>
    <row r="2849" spans="1:21" x14ac:dyDescent="0.25">
      <c r="A2849" t="s">
        <v>89</v>
      </c>
      <c r="B2849" t="s">
        <v>1007</v>
      </c>
      <c r="C2849">
        <v>6</v>
      </c>
      <c r="D2849" t="s">
        <v>33</v>
      </c>
      <c r="E2849" t="s">
        <v>95</v>
      </c>
      <c r="F2849" t="s">
        <v>104</v>
      </c>
      <c r="G2849" t="s">
        <v>104</v>
      </c>
      <c r="H2849" t="s">
        <v>246</v>
      </c>
      <c r="J2849">
        <v>1</v>
      </c>
      <c r="K2849">
        <v>1</v>
      </c>
      <c r="L2849">
        <v>113.9375</v>
      </c>
      <c r="M2849">
        <v>33.375507550000002</v>
      </c>
      <c r="N2849">
        <v>2.4262999999999999</v>
      </c>
      <c r="O2849">
        <v>0.40692159999999999</v>
      </c>
      <c r="P2849">
        <v>120.25</v>
      </c>
      <c r="Q2849">
        <v>30.670450110000001</v>
      </c>
      <c r="R2849">
        <v>0.91037498500000003</v>
      </c>
      <c r="S2849" t="s">
        <v>114</v>
      </c>
      <c r="T2849" t="s">
        <v>1017</v>
      </c>
      <c r="U2849">
        <v>2.70505744</v>
      </c>
    </row>
    <row r="2850" spans="1:21" x14ac:dyDescent="0.25">
      <c r="A2850" t="s">
        <v>89</v>
      </c>
      <c r="B2850" t="s">
        <v>1008</v>
      </c>
      <c r="C2850">
        <v>6</v>
      </c>
      <c r="D2850" t="s">
        <v>33</v>
      </c>
      <c r="E2850" t="s">
        <v>95</v>
      </c>
      <c r="F2850" t="s">
        <v>112</v>
      </c>
      <c r="G2850" t="s">
        <v>113</v>
      </c>
      <c r="H2850" t="s">
        <v>113</v>
      </c>
      <c r="I2850" t="s">
        <v>255</v>
      </c>
      <c r="J2850">
        <v>0</v>
      </c>
      <c r="K2850">
        <v>4</v>
      </c>
      <c r="L2850">
        <v>65.09375</v>
      </c>
      <c r="M2850">
        <v>37.895352600000002</v>
      </c>
      <c r="N2850">
        <v>2.2882677779999998</v>
      </c>
      <c r="O2850">
        <v>2.2111774</v>
      </c>
      <c r="P2850">
        <v>83.757575759999995</v>
      </c>
      <c r="Q2850">
        <v>22.60997987</v>
      </c>
      <c r="R2850">
        <v>0.72884000000000004</v>
      </c>
      <c r="S2850">
        <v>0.21301339999999999</v>
      </c>
      <c r="T2850" t="s">
        <v>1017</v>
      </c>
      <c r="U2850">
        <v>15.285372730000001</v>
      </c>
    </row>
    <row r="2851" spans="1:21" x14ac:dyDescent="0.25">
      <c r="A2851" t="s">
        <v>89</v>
      </c>
      <c r="B2851" t="s">
        <v>1008</v>
      </c>
      <c r="C2851">
        <v>6</v>
      </c>
      <c r="D2851" t="s">
        <v>33</v>
      </c>
      <c r="E2851" t="s">
        <v>95</v>
      </c>
      <c r="F2851" t="s">
        <v>112</v>
      </c>
      <c r="G2851" t="s">
        <v>113</v>
      </c>
      <c r="H2851" t="s">
        <v>113</v>
      </c>
      <c r="I2851" t="s">
        <v>255</v>
      </c>
      <c r="J2851">
        <v>0</v>
      </c>
      <c r="K2851">
        <v>4</v>
      </c>
      <c r="L2851">
        <v>65.09375</v>
      </c>
      <c r="M2851">
        <v>37.895352600000002</v>
      </c>
      <c r="N2851">
        <v>2.2882677779999998</v>
      </c>
      <c r="O2851">
        <v>2.2111774</v>
      </c>
      <c r="P2851">
        <v>83.757575759999995</v>
      </c>
      <c r="Q2851">
        <v>22.60997987</v>
      </c>
      <c r="R2851">
        <v>0.72884000000000004</v>
      </c>
      <c r="S2851">
        <v>0.21301339999999999</v>
      </c>
      <c r="T2851" t="s">
        <v>1017</v>
      </c>
      <c r="U2851">
        <v>15.285372730000001</v>
      </c>
    </row>
    <row r="2852" spans="1:21" x14ac:dyDescent="0.25">
      <c r="A2852" t="s">
        <v>89</v>
      </c>
      <c r="B2852" t="s">
        <v>1008</v>
      </c>
      <c r="C2852">
        <v>6</v>
      </c>
      <c r="D2852" t="s">
        <v>33</v>
      </c>
      <c r="E2852" t="s">
        <v>95</v>
      </c>
      <c r="F2852" t="s">
        <v>112</v>
      </c>
      <c r="G2852" t="s">
        <v>113</v>
      </c>
      <c r="H2852" t="s">
        <v>113</v>
      </c>
      <c r="I2852" t="s">
        <v>255</v>
      </c>
      <c r="J2852">
        <v>0</v>
      </c>
      <c r="K2852">
        <v>4</v>
      </c>
      <c r="L2852">
        <v>65.09375</v>
      </c>
      <c r="M2852">
        <v>37.895352600000002</v>
      </c>
      <c r="N2852">
        <v>2.2882677779999998</v>
      </c>
      <c r="O2852">
        <v>2.2111774</v>
      </c>
      <c r="P2852">
        <v>83.757575759999995</v>
      </c>
      <c r="Q2852">
        <v>22.60997987</v>
      </c>
      <c r="R2852">
        <v>0.72884000000000004</v>
      </c>
      <c r="S2852">
        <v>0.21301339999999999</v>
      </c>
      <c r="T2852" t="s">
        <v>1017</v>
      </c>
      <c r="U2852">
        <v>15.285372730000001</v>
      </c>
    </row>
    <row r="2853" spans="1:21" x14ac:dyDescent="0.25">
      <c r="A2853" t="s">
        <v>89</v>
      </c>
      <c r="B2853" t="s">
        <v>1008</v>
      </c>
      <c r="C2853">
        <v>6</v>
      </c>
      <c r="D2853" t="s">
        <v>33</v>
      </c>
      <c r="E2853" t="s">
        <v>95</v>
      </c>
      <c r="F2853" t="s">
        <v>112</v>
      </c>
      <c r="G2853" t="s">
        <v>113</v>
      </c>
      <c r="H2853" t="s">
        <v>113</v>
      </c>
      <c r="I2853" t="s">
        <v>255</v>
      </c>
      <c r="J2853">
        <v>0</v>
      </c>
      <c r="K2853">
        <v>4</v>
      </c>
      <c r="L2853">
        <v>65.09375</v>
      </c>
      <c r="M2853">
        <v>37.895352600000002</v>
      </c>
      <c r="N2853">
        <v>2.2882677779999998</v>
      </c>
      <c r="O2853">
        <v>2.2111774</v>
      </c>
      <c r="P2853">
        <v>83.757575759999995</v>
      </c>
      <c r="Q2853">
        <v>22.60997987</v>
      </c>
      <c r="R2853">
        <v>0.72884000000000004</v>
      </c>
      <c r="S2853">
        <v>0.21301339999999999</v>
      </c>
      <c r="T2853" t="s">
        <v>1017</v>
      </c>
      <c r="U2853">
        <v>15.285372730000001</v>
      </c>
    </row>
    <row r="2854" spans="1:21" x14ac:dyDescent="0.25">
      <c r="A2854" t="s">
        <v>90</v>
      </c>
      <c r="B2854" t="s">
        <v>1009</v>
      </c>
      <c r="C2854">
        <v>6</v>
      </c>
      <c r="D2854" t="s">
        <v>35</v>
      </c>
      <c r="E2854" t="s">
        <v>94</v>
      </c>
      <c r="F2854" t="s">
        <v>111</v>
      </c>
      <c r="G2854" t="s">
        <v>121</v>
      </c>
      <c r="H2854" t="s">
        <v>253</v>
      </c>
      <c r="J2854">
        <v>0</v>
      </c>
      <c r="K2854">
        <v>3</v>
      </c>
      <c r="L2854">
        <v>94.97142857</v>
      </c>
      <c r="M2854">
        <v>24.31591813</v>
      </c>
      <c r="N2854">
        <v>0.122951111</v>
      </c>
      <c r="O2854">
        <v>0.39050790000000002</v>
      </c>
      <c r="P2854">
        <v>172.08823530000001</v>
      </c>
      <c r="Q2854">
        <v>29.581605960000001</v>
      </c>
      <c r="R2854">
        <v>0.24280444400000001</v>
      </c>
      <c r="S2854" t="s">
        <v>114</v>
      </c>
      <c r="T2854" t="s">
        <v>1017</v>
      </c>
      <c r="U2854">
        <v>5.2656878300000001</v>
      </c>
    </row>
    <row r="2855" spans="1:21" x14ac:dyDescent="0.25">
      <c r="A2855" t="s">
        <v>90</v>
      </c>
      <c r="B2855" t="s">
        <v>1009</v>
      </c>
      <c r="C2855">
        <v>6</v>
      </c>
      <c r="D2855" t="s">
        <v>35</v>
      </c>
      <c r="E2855" t="s">
        <v>94</v>
      </c>
      <c r="F2855" t="s">
        <v>111</v>
      </c>
      <c r="G2855" t="s">
        <v>121</v>
      </c>
      <c r="H2855" t="s">
        <v>253</v>
      </c>
      <c r="J2855">
        <v>0</v>
      </c>
      <c r="K2855">
        <v>3</v>
      </c>
      <c r="L2855">
        <v>94.97142857</v>
      </c>
      <c r="M2855">
        <v>24.31591813</v>
      </c>
      <c r="N2855">
        <v>0.122951111</v>
      </c>
      <c r="O2855">
        <v>0.39050790000000002</v>
      </c>
      <c r="P2855">
        <v>172.08823530000001</v>
      </c>
      <c r="Q2855">
        <v>29.581605960000001</v>
      </c>
      <c r="R2855">
        <v>0.24280444400000001</v>
      </c>
      <c r="S2855" t="s">
        <v>114</v>
      </c>
      <c r="T2855" t="s">
        <v>1017</v>
      </c>
      <c r="U2855">
        <v>5.2656878300000001</v>
      </c>
    </row>
    <row r="2856" spans="1:21" x14ac:dyDescent="0.25">
      <c r="A2856" t="s">
        <v>90</v>
      </c>
      <c r="B2856" t="s">
        <v>1009</v>
      </c>
      <c r="C2856">
        <v>6</v>
      </c>
      <c r="D2856" t="s">
        <v>35</v>
      </c>
      <c r="E2856" t="s">
        <v>94</v>
      </c>
      <c r="F2856" t="s">
        <v>111</v>
      </c>
      <c r="G2856" t="s">
        <v>121</v>
      </c>
      <c r="H2856" t="s">
        <v>253</v>
      </c>
      <c r="J2856">
        <v>0</v>
      </c>
      <c r="K2856">
        <v>3</v>
      </c>
      <c r="L2856">
        <v>94.97142857</v>
      </c>
      <c r="M2856">
        <v>24.31591813</v>
      </c>
      <c r="N2856">
        <v>0.122951111</v>
      </c>
      <c r="O2856">
        <v>0.39050790000000002</v>
      </c>
      <c r="P2856">
        <v>172.08823530000001</v>
      </c>
      <c r="Q2856">
        <v>29.581605960000001</v>
      </c>
      <c r="R2856">
        <v>0.24280444400000001</v>
      </c>
      <c r="S2856" t="s">
        <v>114</v>
      </c>
      <c r="T2856" t="s">
        <v>1017</v>
      </c>
      <c r="U2856">
        <v>5.2656878300000001</v>
      </c>
    </row>
    <row r="2857" spans="1:21" x14ac:dyDescent="0.25">
      <c r="A2857" t="s">
        <v>90</v>
      </c>
      <c r="B2857" t="s">
        <v>1009</v>
      </c>
      <c r="C2857">
        <v>6</v>
      </c>
      <c r="D2857" t="s">
        <v>35</v>
      </c>
      <c r="E2857" t="s">
        <v>94</v>
      </c>
      <c r="F2857" t="s">
        <v>111</v>
      </c>
      <c r="G2857" t="s">
        <v>121</v>
      </c>
      <c r="H2857" t="s">
        <v>162</v>
      </c>
      <c r="J2857">
        <v>0</v>
      </c>
      <c r="K2857">
        <v>1</v>
      </c>
      <c r="L2857">
        <v>94.97142857</v>
      </c>
      <c r="M2857">
        <v>24.31591813</v>
      </c>
      <c r="N2857">
        <v>0.122951111</v>
      </c>
      <c r="O2857">
        <v>0.39050790000000002</v>
      </c>
      <c r="P2857">
        <v>82.53846154</v>
      </c>
      <c r="Q2857">
        <v>35.660530039999998</v>
      </c>
      <c r="R2857">
        <v>3.3754499999999998</v>
      </c>
      <c r="S2857" t="s">
        <v>114</v>
      </c>
      <c r="T2857" t="s">
        <v>1017</v>
      </c>
      <c r="U2857">
        <v>11.344611909999999</v>
      </c>
    </row>
    <row r="2858" spans="1:21" x14ac:dyDescent="0.25">
      <c r="A2858" t="s">
        <v>90</v>
      </c>
      <c r="B2858" t="s">
        <v>1010</v>
      </c>
      <c r="C2858">
        <v>6</v>
      </c>
      <c r="D2858" t="s">
        <v>35</v>
      </c>
      <c r="E2858" t="s">
        <v>94</v>
      </c>
      <c r="F2858" t="s">
        <v>104</v>
      </c>
      <c r="G2858" t="s">
        <v>111</v>
      </c>
      <c r="H2858" t="s">
        <v>111</v>
      </c>
      <c r="J2858">
        <v>1</v>
      </c>
      <c r="K2858">
        <v>1</v>
      </c>
      <c r="L2858">
        <v>113.9375</v>
      </c>
      <c r="M2858">
        <v>33.375507550000002</v>
      </c>
      <c r="N2858">
        <v>2.4262999999999999</v>
      </c>
      <c r="O2858">
        <v>0.40692159999999999</v>
      </c>
      <c r="P2858">
        <v>94.97142857</v>
      </c>
      <c r="Q2858">
        <v>24.31591813</v>
      </c>
      <c r="R2858">
        <v>0.122951111</v>
      </c>
      <c r="S2858">
        <v>0.39050790000000002</v>
      </c>
      <c r="T2858" t="s">
        <v>1017</v>
      </c>
      <c r="U2858">
        <v>9.05958942</v>
      </c>
    </row>
    <row r="2859" spans="1:21" x14ac:dyDescent="0.25">
      <c r="A2859" t="s">
        <v>90</v>
      </c>
      <c r="B2859" t="s">
        <v>1010</v>
      </c>
      <c r="C2859">
        <v>6</v>
      </c>
      <c r="D2859" t="s">
        <v>35</v>
      </c>
      <c r="E2859" t="s">
        <v>94</v>
      </c>
      <c r="F2859" t="s">
        <v>104</v>
      </c>
      <c r="G2859" t="s">
        <v>111</v>
      </c>
      <c r="H2859" t="s">
        <v>253</v>
      </c>
      <c r="J2859">
        <v>1</v>
      </c>
      <c r="K2859">
        <v>2</v>
      </c>
      <c r="L2859">
        <v>113.9375</v>
      </c>
      <c r="M2859">
        <v>33.375507550000002</v>
      </c>
      <c r="N2859">
        <v>2.4262999999999999</v>
      </c>
      <c r="O2859">
        <v>0.40692159999999999</v>
      </c>
      <c r="P2859">
        <v>172.08823530000001</v>
      </c>
      <c r="Q2859">
        <v>29.581605960000001</v>
      </c>
      <c r="R2859">
        <v>0.24280444400000001</v>
      </c>
      <c r="S2859" t="s">
        <v>114</v>
      </c>
      <c r="T2859" t="s">
        <v>1017</v>
      </c>
      <c r="U2859">
        <v>3.7939015899999999</v>
      </c>
    </row>
    <row r="2860" spans="1:21" x14ac:dyDescent="0.25">
      <c r="A2860" t="s">
        <v>90</v>
      </c>
      <c r="B2860" t="s">
        <v>1010</v>
      </c>
      <c r="C2860">
        <v>6</v>
      </c>
      <c r="D2860" t="s">
        <v>35</v>
      </c>
      <c r="E2860" t="s">
        <v>94</v>
      </c>
      <c r="F2860" t="s">
        <v>104</v>
      </c>
      <c r="G2860" t="s">
        <v>111</v>
      </c>
      <c r="H2860" t="s">
        <v>253</v>
      </c>
      <c r="J2860">
        <v>1</v>
      </c>
      <c r="K2860">
        <v>2</v>
      </c>
      <c r="L2860">
        <v>113.9375</v>
      </c>
      <c r="M2860">
        <v>33.375507550000002</v>
      </c>
      <c r="N2860">
        <v>2.4262999999999999</v>
      </c>
      <c r="O2860">
        <v>0.40692159999999999</v>
      </c>
      <c r="P2860">
        <v>172.08823530000001</v>
      </c>
      <c r="Q2860">
        <v>29.581605960000001</v>
      </c>
      <c r="R2860">
        <v>0.24280444400000001</v>
      </c>
      <c r="S2860" t="s">
        <v>114</v>
      </c>
      <c r="T2860" t="s">
        <v>1017</v>
      </c>
      <c r="U2860">
        <v>3.7939015899999999</v>
      </c>
    </row>
    <row r="2861" spans="1:21" x14ac:dyDescent="0.25">
      <c r="A2861" t="s">
        <v>91</v>
      </c>
      <c r="B2861" t="s">
        <v>1011</v>
      </c>
      <c r="C2861">
        <v>6</v>
      </c>
      <c r="D2861" t="s">
        <v>37</v>
      </c>
      <c r="E2861" t="s">
        <v>94</v>
      </c>
      <c r="F2861" t="s">
        <v>112</v>
      </c>
      <c r="G2861" t="s">
        <v>112</v>
      </c>
      <c r="H2861" t="s">
        <v>112</v>
      </c>
      <c r="J2861">
        <v>0</v>
      </c>
      <c r="K2861">
        <v>1</v>
      </c>
      <c r="L2861">
        <v>65.09375</v>
      </c>
      <c r="M2861">
        <v>37.895352600000002</v>
      </c>
      <c r="N2861">
        <v>2.2882677779999998</v>
      </c>
      <c r="O2861">
        <v>2.2111774</v>
      </c>
      <c r="P2861">
        <v>65.09375</v>
      </c>
      <c r="Q2861">
        <v>37.895352600000002</v>
      </c>
      <c r="R2861">
        <v>2.2882677779999998</v>
      </c>
      <c r="S2861">
        <v>2.2111774</v>
      </c>
      <c r="T2861" t="s">
        <v>1017</v>
      </c>
      <c r="U2861">
        <v>0</v>
      </c>
    </row>
    <row r="2862" spans="1:21" x14ac:dyDescent="0.25">
      <c r="A2862" t="s">
        <v>92</v>
      </c>
      <c r="B2862" t="s">
        <v>1012</v>
      </c>
      <c r="C2862">
        <v>6</v>
      </c>
      <c r="D2862" t="s">
        <v>64</v>
      </c>
      <c r="E2862" t="s">
        <v>94</v>
      </c>
      <c r="F2862" t="s">
        <v>112</v>
      </c>
      <c r="G2862" t="s">
        <v>102</v>
      </c>
      <c r="H2862" t="s">
        <v>102</v>
      </c>
      <c r="J2862">
        <v>0</v>
      </c>
      <c r="K2862">
        <v>2</v>
      </c>
      <c r="L2862">
        <v>65.09375</v>
      </c>
      <c r="M2862">
        <v>37.895352600000002</v>
      </c>
      <c r="N2862">
        <v>2.2882677779999998</v>
      </c>
      <c r="O2862">
        <v>2.2111774</v>
      </c>
      <c r="P2862">
        <v>84.740740740000007</v>
      </c>
      <c r="Q2862">
        <v>29.167014049999999</v>
      </c>
      <c r="R2862">
        <v>1.1169849999999999</v>
      </c>
      <c r="S2862">
        <v>1.1571499000000001</v>
      </c>
      <c r="T2862" t="s">
        <v>1017</v>
      </c>
      <c r="U2862">
        <v>8.7283385500000001</v>
      </c>
    </row>
    <row r="2863" spans="1:21" x14ac:dyDescent="0.25">
      <c r="A2863" t="s">
        <v>92</v>
      </c>
      <c r="B2863" t="s">
        <v>1012</v>
      </c>
      <c r="C2863">
        <v>6</v>
      </c>
      <c r="D2863" t="s">
        <v>64</v>
      </c>
      <c r="E2863" t="s">
        <v>94</v>
      </c>
      <c r="F2863" t="s">
        <v>112</v>
      </c>
      <c r="G2863" t="s">
        <v>102</v>
      </c>
      <c r="H2863" t="s">
        <v>102</v>
      </c>
      <c r="J2863">
        <v>0</v>
      </c>
      <c r="K2863">
        <v>2</v>
      </c>
      <c r="L2863">
        <v>65.09375</v>
      </c>
      <c r="M2863">
        <v>37.895352600000002</v>
      </c>
      <c r="N2863">
        <v>2.2882677779999998</v>
      </c>
      <c r="O2863">
        <v>2.2111774</v>
      </c>
      <c r="P2863">
        <v>84.740740740000007</v>
      </c>
      <c r="Q2863">
        <v>29.167014049999999</v>
      </c>
      <c r="R2863">
        <v>1.1169849999999999</v>
      </c>
      <c r="S2863">
        <v>1.1571499000000001</v>
      </c>
      <c r="T2863" t="s">
        <v>1017</v>
      </c>
      <c r="U2863">
        <v>8.7283385500000001</v>
      </c>
    </row>
    <row r="2864" spans="1:21" x14ac:dyDescent="0.25">
      <c r="A2864" t="s">
        <v>92</v>
      </c>
      <c r="B2864" t="s">
        <v>1012</v>
      </c>
      <c r="C2864">
        <v>6</v>
      </c>
      <c r="D2864" t="s">
        <v>64</v>
      </c>
      <c r="E2864" t="s">
        <v>94</v>
      </c>
      <c r="F2864" t="s">
        <v>112</v>
      </c>
      <c r="G2864" t="s">
        <v>102</v>
      </c>
      <c r="H2864" t="s">
        <v>241</v>
      </c>
      <c r="J2864">
        <v>0</v>
      </c>
      <c r="K2864">
        <v>1</v>
      </c>
      <c r="L2864">
        <v>65.09375</v>
      </c>
      <c r="M2864">
        <v>37.895352600000002</v>
      </c>
      <c r="N2864">
        <v>2.2882677779999998</v>
      </c>
      <c r="O2864">
        <v>2.2111774</v>
      </c>
      <c r="P2864">
        <v>114</v>
      </c>
      <c r="Q2864">
        <v>30.43077242</v>
      </c>
      <c r="R2864">
        <v>0.53383111100000002</v>
      </c>
      <c r="S2864">
        <v>0.28333332999999999</v>
      </c>
      <c r="T2864" t="s">
        <v>1017</v>
      </c>
      <c r="U2864">
        <v>7.4645801799999996</v>
      </c>
    </row>
    <row r="2865" spans="1:21" x14ac:dyDescent="0.25">
      <c r="A2865" t="s">
        <v>93</v>
      </c>
      <c r="B2865" t="s">
        <v>1013</v>
      </c>
      <c r="C2865">
        <v>6</v>
      </c>
      <c r="D2865" t="s">
        <v>66</v>
      </c>
      <c r="E2865" t="s">
        <v>95</v>
      </c>
      <c r="F2865" t="s">
        <v>104</v>
      </c>
      <c r="G2865" t="s">
        <v>103</v>
      </c>
      <c r="H2865" t="s">
        <v>104</v>
      </c>
      <c r="J2865">
        <v>0</v>
      </c>
      <c r="K2865">
        <v>1</v>
      </c>
      <c r="L2865">
        <v>113.9375</v>
      </c>
      <c r="M2865">
        <v>33.375507550000002</v>
      </c>
      <c r="N2865">
        <v>2.4262999999999999</v>
      </c>
      <c r="O2865">
        <v>0.40692159999999999</v>
      </c>
      <c r="P2865">
        <v>113.9375</v>
      </c>
      <c r="Q2865">
        <v>33.375507550000002</v>
      </c>
      <c r="R2865">
        <v>2.4262999999999999</v>
      </c>
      <c r="S2865">
        <v>0.40692159999999999</v>
      </c>
      <c r="T2865" t="s">
        <v>1017</v>
      </c>
      <c r="U2865">
        <v>0</v>
      </c>
    </row>
    <row r="2866" spans="1:21" x14ac:dyDescent="0.25">
      <c r="A2866" t="s">
        <v>93</v>
      </c>
      <c r="B2866" t="s">
        <v>1013</v>
      </c>
      <c r="C2866">
        <v>6</v>
      </c>
      <c r="D2866" t="s">
        <v>66</v>
      </c>
      <c r="E2866" t="s">
        <v>95</v>
      </c>
      <c r="F2866" t="s">
        <v>104</v>
      </c>
      <c r="G2866" t="s">
        <v>103</v>
      </c>
      <c r="H2866" t="s">
        <v>111</v>
      </c>
      <c r="J2866">
        <v>0</v>
      </c>
      <c r="K2866">
        <v>1</v>
      </c>
      <c r="L2866">
        <v>113.9375</v>
      </c>
      <c r="M2866">
        <v>33.375507550000002</v>
      </c>
      <c r="N2866">
        <v>2.4262999999999999</v>
      </c>
      <c r="O2866">
        <v>0.40692159999999999</v>
      </c>
      <c r="P2866">
        <v>94.97142857</v>
      </c>
      <c r="Q2866">
        <v>24.31591813</v>
      </c>
      <c r="R2866">
        <v>0.122951111</v>
      </c>
      <c r="S2866">
        <v>0.39050790000000002</v>
      </c>
      <c r="T2866" t="s">
        <v>1017</v>
      </c>
      <c r="U2866">
        <v>9.05958942</v>
      </c>
    </row>
    <row r="2867" spans="1:21" x14ac:dyDescent="0.25">
      <c r="A2867" t="s">
        <v>93</v>
      </c>
      <c r="B2867" t="s">
        <v>1013</v>
      </c>
      <c r="C2867">
        <v>6</v>
      </c>
      <c r="D2867" t="s">
        <v>66</v>
      </c>
      <c r="E2867" t="s">
        <v>95</v>
      </c>
      <c r="F2867" t="s">
        <v>104</v>
      </c>
      <c r="G2867" t="s">
        <v>103</v>
      </c>
      <c r="H2867" t="s">
        <v>103</v>
      </c>
      <c r="J2867">
        <v>0</v>
      </c>
      <c r="K2867">
        <v>4</v>
      </c>
      <c r="L2867">
        <v>113.9375</v>
      </c>
      <c r="M2867">
        <v>33.375507550000002</v>
      </c>
      <c r="N2867">
        <v>2.4262999999999999</v>
      </c>
      <c r="O2867">
        <v>0.40692159999999999</v>
      </c>
      <c r="P2867">
        <v>98.291666669999998</v>
      </c>
      <c r="Q2867">
        <v>30.315130790000001</v>
      </c>
      <c r="R2867">
        <v>5.0803484000000003E-2</v>
      </c>
      <c r="S2867">
        <v>0.42866070000000001</v>
      </c>
      <c r="T2867" t="s">
        <v>1017</v>
      </c>
      <c r="U2867">
        <v>3.06037676</v>
      </c>
    </row>
    <row r="2868" spans="1:21" x14ac:dyDescent="0.25">
      <c r="A2868" t="s">
        <v>93</v>
      </c>
      <c r="B2868" t="s">
        <v>1013</v>
      </c>
      <c r="C2868">
        <v>6</v>
      </c>
      <c r="D2868" t="s">
        <v>66</v>
      </c>
      <c r="E2868" t="s">
        <v>95</v>
      </c>
      <c r="F2868" t="s">
        <v>104</v>
      </c>
      <c r="G2868" t="s">
        <v>103</v>
      </c>
      <c r="H2868" t="s">
        <v>103</v>
      </c>
      <c r="J2868">
        <v>0</v>
      </c>
      <c r="K2868">
        <v>4</v>
      </c>
      <c r="L2868">
        <v>113.9375</v>
      </c>
      <c r="M2868">
        <v>33.375507550000002</v>
      </c>
      <c r="N2868">
        <v>2.4262999999999999</v>
      </c>
      <c r="O2868">
        <v>0.40692159999999999</v>
      </c>
      <c r="P2868">
        <v>98.291666669999998</v>
      </c>
      <c r="Q2868">
        <v>30.315130790000001</v>
      </c>
      <c r="R2868">
        <v>5.0803484000000003E-2</v>
      </c>
      <c r="S2868">
        <v>0.42866070000000001</v>
      </c>
      <c r="T2868" t="s">
        <v>1017</v>
      </c>
      <c r="U2868">
        <v>3.06037676</v>
      </c>
    </row>
    <row r="2869" spans="1:21" x14ac:dyDescent="0.25">
      <c r="A2869" t="s">
        <v>93</v>
      </c>
      <c r="B2869" t="s">
        <v>1013</v>
      </c>
      <c r="C2869">
        <v>6</v>
      </c>
      <c r="D2869" t="s">
        <v>66</v>
      </c>
      <c r="E2869" t="s">
        <v>95</v>
      </c>
      <c r="F2869" t="s">
        <v>104</v>
      </c>
      <c r="G2869" t="s">
        <v>103</v>
      </c>
      <c r="H2869" t="s">
        <v>103</v>
      </c>
      <c r="J2869">
        <v>0</v>
      </c>
      <c r="K2869">
        <v>4</v>
      </c>
      <c r="L2869">
        <v>113.9375</v>
      </c>
      <c r="M2869">
        <v>33.375507550000002</v>
      </c>
      <c r="N2869">
        <v>2.4262999999999999</v>
      </c>
      <c r="O2869">
        <v>0.40692159999999999</v>
      </c>
      <c r="P2869">
        <v>98.291666669999998</v>
      </c>
      <c r="Q2869">
        <v>30.315130790000001</v>
      </c>
      <c r="R2869">
        <v>5.0803484000000003E-2</v>
      </c>
      <c r="S2869">
        <v>0.42866070000000001</v>
      </c>
      <c r="T2869" t="s">
        <v>1017</v>
      </c>
      <c r="U2869">
        <v>3.06037676</v>
      </c>
    </row>
    <row r="2870" spans="1:21" x14ac:dyDescent="0.25">
      <c r="A2870" t="s">
        <v>93</v>
      </c>
      <c r="B2870" t="s">
        <v>1013</v>
      </c>
      <c r="C2870">
        <v>6</v>
      </c>
      <c r="D2870" t="s">
        <v>66</v>
      </c>
      <c r="E2870" t="s">
        <v>95</v>
      </c>
      <c r="F2870" t="s">
        <v>104</v>
      </c>
      <c r="G2870" t="s">
        <v>103</v>
      </c>
      <c r="H2870" t="s">
        <v>103</v>
      </c>
      <c r="J2870">
        <v>0</v>
      </c>
      <c r="K2870">
        <v>4</v>
      </c>
      <c r="L2870">
        <v>113.9375</v>
      </c>
      <c r="M2870">
        <v>33.375507550000002</v>
      </c>
      <c r="N2870">
        <v>2.4262999999999999</v>
      </c>
      <c r="O2870">
        <v>0.40692159999999999</v>
      </c>
      <c r="P2870">
        <v>98.291666669999998</v>
      </c>
      <c r="Q2870">
        <v>30.315130790000001</v>
      </c>
      <c r="R2870">
        <v>5.0803484000000003E-2</v>
      </c>
      <c r="S2870">
        <v>0.42866070000000001</v>
      </c>
      <c r="T2870" t="s">
        <v>1017</v>
      </c>
      <c r="U2870">
        <v>3.06037676</v>
      </c>
    </row>
    <row r="2871" spans="1:21" x14ac:dyDescent="0.25">
      <c r="A2871" t="s">
        <v>93</v>
      </c>
      <c r="B2871" t="s">
        <v>1013</v>
      </c>
      <c r="C2871">
        <v>6</v>
      </c>
      <c r="D2871" t="s">
        <v>66</v>
      </c>
      <c r="E2871" t="s">
        <v>95</v>
      </c>
      <c r="F2871" t="s">
        <v>104</v>
      </c>
      <c r="G2871" t="s">
        <v>103</v>
      </c>
      <c r="H2871" t="s">
        <v>238</v>
      </c>
      <c r="J2871">
        <v>0</v>
      </c>
      <c r="K2871">
        <v>2</v>
      </c>
      <c r="L2871">
        <v>113.9375</v>
      </c>
      <c r="M2871">
        <v>33.375507550000002</v>
      </c>
      <c r="N2871">
        <v>2.4262999999999999</v>
      </c>
      <c r="O2871">
        <v>0.40692159999999999</v>
      </c>
      <c r="P2871">
        <v>87.5</v>
      </c>
      <c r="Q2871">
        <v>29.478311600000001</v>
      </c>
      <c r="R2871">
        <v>3.0797751000000002E-2</v>
      </c>
      <c r="S2871">
        <v>0.12931835</v>
      </c>
      <c r="T2871" t="s">
        <v>1017</v>
      </c>
      <c r="U2871">
        <v>3.89719595</v>
      </c>
    </row>
    <row r="2872" spans="1:21" x14ac:dyDescent="0.25">
      <c r="A2872" t="s">
        <v>93</v>
      </c>
      <c r="B2872" t="s">
        <v>1013</v>
      </c>
      <c r="C2872">
        <v>6</v>
      </c>
      <c r="D2872" t="s">
        <v>66</v>
      </c>
      <c r="E2872" t="s">
        <v>95</v>
      </c>
      <c r="F2872" t="s">
        <v>104</v>
      </c>
      <c r="G2872" t="s">
        <v>103</v>
      </c>
      <c r="H2872" t="s">
        <v>238</v>
      </c>
      <c r="J2872">
        <v>0</v>
      </c>
      <c r="K2872">
        <v>2</v>
      </c>
      <c r="L2872">
        <v>113.9375</v>
      </c>
      <c r="M2872">
        <v>33.375507550000002</v>
      </c>
      <c r="N2872">
        <v>2.4262999999999999</v>
      </c>
      <c r="O2872">
        <v>0.40692159999999999</v>
      </c>
      <c r="P2872">
        <v>87.5</v>
      </c>
      <c r="Q2872">
        <v>29.478311600000001</v>
      </c>
      <c r="R2872">
        <v>3.0797751000000002E-2</v>
      </c>
      <c r="S2872">
        <v>0.12931835</v>
      </c>
      <c r="T2872" t="s">
        <v>1017</v>
      </c>
      <c r="U2872">
        <v>3.89719595</v>
      </c>
    </row>
    <row r="2873" spans="1:21" x14ac:dyDescent="0.25">
      <c r="A2873" t="s">
        <v>93</v>
      </c>
      <c r="B2873" t="s">
        <v>1013</v>
      </c>
      <c r="C2873">
        <v>6</v>
      </c>
      <c r="D2873" t="s">
        <v>66</v>
      </c>
      <c r="E2873" t="s">
        <v>95</v>
      </c>
      <c r="F2873" t="s">
        <v>104</v>
      </c>
      <c r="G2873" t="s">
        <v>103</v>
      </c>
      <c r="H2873" t="s">
        <v>246</v>
      </c>
      <c r="J2873">
        <v>0</v>
      </c>
      <c r="K2873">
        <v>1</v>
      </c>
      <c r="L2873">
        <v>113.9375</v>
      </c>
      <c r="M2873">
        <v>33.375507550000002</v>
      </c>
      <c r="N2873">
        <v>2.4262999999999999</v>
      </c>
      <c r="O2873">
        <v>0.40692159999999999</v>
      </c>
      <c r="P2873">
        <v>120.25</v>
      </c>
      <c r="Q2873">
        <v>30.670450110000001</v>
      </c>
      <c r="R2873">
        <v>0.91037498500000003</v>
      </c>
      <c r="S2873" t="s">
        <v>114</v>
      </c>
      <c r="T2873" t="s">
        <v>1017</v>
      </c>
      <c r="U2873">
        <v>2.70505744</v>
      </c>
    </row>
    <row r="2874" spans="1:21" x14ac:dyDescent="0.25">
      <c r="A2874" t="s">
        <v>67</v>
      </c>
      <c r="B2874" t="s">
        <v>820</v>
      </c>
      <c r="C2874">
        <v>10</v>
      </c>
      <c r="D2874" t="s">
        <v>11</v>
      </c>
      <c r="E2874" t="s">
        <v>94</v>
      </c>
      <c r="F2874" t="s">
        <v>113</v>
      </c>
      <c r="G2874" t="s">
        <v>121</v>
      </c>
      <c r="H2874" t="s">
        <v>113</v>
      </c>
      <c r="J2874">
        <v>0</v>
      </c>
      <c r="K2874">
        <v>2</v>
      </c>
      <c r="L2874">
        <v>83.757575759999995</v>
      </c>
      <c r="M2874">
        <v>22.60997987</v>
      </c>
      <c r="N2874">
        <v>0.72884000000000004</v>
      </c>
      <c r="O2874">
        <v>0.21301339999999999</v>
      </c>
      <c r="P2874">
        <v>83.757575759999995</v>
      </c>
      <c r="Q2874">
        <v>22.60997987</v>
      </c>
      <c r="R2874">
        <v>0.72884000000000004</v>
      </c>
      <c r="S2874">
        <v>0.21301339999999999</v>
      </c>
      <c r="T2874" t="s">
        <v>1018</v>
      </c>
      <c r="U2874">
        <v>0</v>
      </c>
    </row>
    <row r="2875" spans="1:21" x14ac:dyDescent="0.25">
      <c r="A2875" t="s">
        <v>67</v>
      </c>
      <c r="B2875" t="s">
        <v>820</v>
      </c>
      <c r="C2875">
        <v>10</v>
      </c>
      <c r="D2875" t="s">
        <v>11</v>
      </c>
      <c r="E2875" t="s">
        <v>94</v>
      </c>
      <c r="F2875" t="s">
        <v>113</v>
      </c>
      <c r="G2875" t="s">
        <v>121</v>
      </c>
      <c r="H2875" t="s">
        <v>113</v>
      </c>
      <c r="J2875">
        <v>0</v>
      </c>
      <c r="K2875">
        <v>2</v>
      </c>
      <c r="L2875">
        <v>83.757575759999995</v>
      </c>
      <c r="M2875">
        <v>22.60997987</v>
      </c>
      <c r="N2875">
        <v>0.72884000000000004</v>
      </c>
      <c r="O2875">
        <v>0.21301339999999999</v>
      </c>
      <c r="P2875">
        <v>83.757575759999995</v>
      </c>
      <c r="Q2875">
        <v>22.60997987</v>
      </c>
      <c r="R2875">
        <v>0.72884000000000004</v>
      </c>
      <c r="S2875">
        <v>0.21301339999999999</v>
      </c>
      <c r="T2875" t="s">
        <v>1018</v>
      </c>
      <c r="U2875">
        <v>0</v>
      </c>
    </row>
    <row r="2876" spans="1:21" x14ac:dyDescent="0.25">
      <c r="A2876" t="s">
        <v>67</v>
      </c>
      <c r="B2876" t="s">
        <v>820</v>
      </c>
      <c r="C2876">
        <v>10</v>
      </c>
      <c r="D2876" t="s">
        <v>11</v>
      </c>
      <c r="E2876" t="s">
        <v>94</v>
      </c>
      <c r="F2876" t="s">
        <v>113</v>
      </c>
      <c r="G2876" t="s">
        <v>121</v>
      </c>
      <c r="H2876" t="s">
        <v>248</v>
      </c>
      <c r="J2876">
        <v>0</v>
      </c>
      <c r="K2876">
        <v>1</v>
      </c>
      <c r="L2876">
        <v>83.757575759999995</v>
      </c>
      <c r="M2876">
        <v>22.60997987</v>
      </c>
      <c r="N2876">
        <v>0.72884000000000004</v>
      </c>
      <c r="O2876">
        <v>0.21301339999999999</v>
      </c>
      <c r="P2876">
        <v>83.92307692</v>
      </c>
      <c r="Q2876">
        <v>44.319135699999997</v>
      </c>
      <c r="R2876">
        <v>5.9548609999999997E-3</v>
      </c>
      <c r="S2876">
        <v>0.18017928</v>
      </c>
      <c r="T2876" t="s">
        <v>1018</v>
      </c>
      <c r="U2876">
        <v>0.72288513899999995</v>
      </c>
    </row>
    <row r="2877" spans="1:21" x14ac:dyDescent="0.25">
      <c r="A2877" t="s">
        <v>67</v>
      </c>
      <c r="B2877" t="s">
        <v>821</v>
      </c>
      <c r="C2877">
        <v>10</v>
      </c>
      <c r="D2877" t="s">
        <v>11</v>
      </c>
      <c r="E2877" t="s">
        <v>94</v>
      </c>
      <c r="F2877" t="s">
        <v>103</v>
      </c>
      <c r="G2877" t="s">
        <v>121</v>
      </c>
      <c r="H2877" t="s">
        <v>103</v>
      </c>
      <c r="J2877">
        <v>0</v>
      </c>
      <c r="K2877">
        <v>1</v>
      </c>
      <c r="L2877">
        <v>98.291666669999998</v>
      </c>
      <c r="M2877">
        <v>30.315130790000001</v>
      </c>
      <c r="N2877">
        <v>5.0803484000000003E-2</v>
      </c>
      <c r="O2877">
        <v>0.42866070000000001</v>
      </c>
      <c r="P2877">
        <v>98.291666669999998</v>
      </c>
      <c r="Q2877">
        <v>30.315130790000001</v>
      </c>
      <c r="R2877">
        <v>5.0803484000000003E-2</v>
      </c>
      <c r="S2877">
        <v>0.42866070000000001</v>
      </c>
      <c r="T2877" t="s">
        <v>1018</v>
      </c>
      <c r="U2877">
        <v>0</v>
      </c>
    </row>
    <row r="2878" spans="1:21" x14ac:dyDescent="0.25">
      <c r="A2878" t="s">
        <v>67</v>
      </c>
      <c r="B2878" t="s">
        <v>822</v>
      </c>
      <c r="C2878">
        <v>10</v>
      </c>
      <c r="D2878" t="s">
        <v>11</v>
      </c>
      <c r="E2878" t="s">
        <v>94</v>
      </c>
      <c r="F2878" t="s">
        <v>112</v>
      </c>
      <c r="G2878" t="s">
        <v>121</v>
      </c>
      <c r="H2878" t="s">
        <v>235</v>
      </c>
      <c r="J2878">
        <v>0</v>
      </c>
      <c r="K2878">
        <v>1</v>
      </c>
      <c r="L2878">
        <v>65.09375</v>
      </c>
      <c r="M2878">
        <v>37.895352600000002</v>
      </c>
      <c r="N2878">
        <v>2.2882677779999998</v>
      </c>
      <c r="O2878">
        <v>2.2111774</v>
      </c>
      <c r="P2878">
        <v>132.27272730000001</v>
      </c>
      <c r="Q2878">
        <v>20.180448590000001</v>
      </c>
      <c r="R2878">
        <v>3.7813451999999997E-2</v>
      </c>
      <c r="S2878">
        <v>0.41404401000000002</v>
      </c>
      <c r="T2878" t="s">
        <v>1018</v>
      </c>
      <c r="U2878">
        <v>2.2504543259999998</v>
      </c>
    </row>
    <row r="2879" spans="1:21" x14ac:dyDescent="0.25">
      <c r="A2879" t="s">
        <v>67</v>
      </c>
      <c r="B2879" t="s">
        <v>822</v>
      </c>
      <c r="C2879">
        <v>10</v>
      </c>
      <c r="D2879" t="s">
        <v>11</v>
      </c>
      <c r="E2879" t="s">
        <v>94</v>
      </c>
      <c r="F2879" t="s">
        <v>112</v>
      </c>
      <c r="G2879" t="s">
        <v>121</v>
      </c>
      <c r="H2879" t="s">
        <v>248</v>
      </c>
      <c r="J2879">
        <v>0</v>
      </c>
      <c r="K2879">
        <v>2</v>
      </c>
      <c r="L2879">
        <v>65.09375</v>
      </c>
      <c r="M2879">
        <v>37.895352600000002</v>
      </c>
      <c r="N2879">
        <v>2.2882677779999998</v>
      </c>
      <c r="O2879">
        <v>2.2111774</v>
      </c>
      <c r="P2879">
        <v>83.92307692</v>
      </c>
      <c r="Q2879">
        <v>44.319135699999997</v>
      </c>
      <c r="R2879">
        <v>5.9548609999999997E-3</v>
      </c>
      <c r="S2879">
        <v>0.18017928</v>
      </c>
      <c r="T2879" t="s">
        <v>1018</v>
      </c>
      <c r="U2879">
        <v>2.2823129170000001</v>
      </c>
    </row>
    <row r="2880" spans="1:21" x14ac:dyDescent="0.25">
      <c r="A2880" t="s">
        <v>67</v>
      </c>
      <c r="B2880" t="s">
        <v>822</v>
      </c>
      <c r="C2880">
        <v>10</v>
      </c>
      <c r="D2880" t="s">
        <v>11</v>
      </c>
      <c r="E2880" t="s">
        <v>94</v>
      </c>
      <c r="F2880" t="s">
        <v>112</v>
      </c>
      <c r="G2880" t="s">
        <v>121</v>
      </c>
      <c r="H2880" t="s">
        <v>248</v>
      </c>
      <c r="J2880">
        <v>0</v>
      </c>
      <c r="K2880">
        <v>2</v>
      </c>
      <c r="L2880">
        <v>65.09375</v>
      </c>
      <c r="M2880">
        <v>37.895352600000002</v>
      </c>
      <c r="N2880">
        <v>2.2882677779999998</v>
      </c>
      <c r="O2880">
        <v>2.2111774</v>
      </c>
      <c r="P2880">
        <v>83.92307692</v>
      </c>
      <c r="Q2880">
        <v>44.319135699999997</v>
      </c>
      <c r="R2880">
        <v>5.9548609999999997E-3</v>
      </c>
      <c r="S2880">
        <v>0.18017928</v>
      </c>
      <c r="T2880" t="s">
        <v>1018</v>
      </c>
      <c r="U2880">
        <v>2.2823129170000001</v>
      </c>
    </row>
    <row r="2881" spans="1:21" x14ac:dyDescent="0.25">
      <c r="A2881" t="s">
        <v>68</v>
      </c>
      <c r="B2881" t="s">
        <v>823</v>
      </c>
      <c r="C2881">
        <v>10</v>
      </c>
      <c r="D2881" t="s">
        <v>15</v>
      </c>
      <c r="E2881" t="s">
        <v>95</v>
      </c>
      <c r="F2881" t="s">
        <v>113</v>
      </c>
      <c r="G2881" t="s">
        <v>121</v>
      </c>
      <c r="H2881" t="s">
        <v>113</v>
      </c>
      <c r="J2881">
        <v>0</v>
      </c>
      <c r="K2881">
        <v>1</v>
      </c>
      <c r="L2881">
        <v>83.757575759999995</v>
      </c>
      <c r="M2881">
        <v>22.60997987</v>
      </c>
      <c r="N2881">
        <v>0.72884000000000004</v>
      </c>
      <c r="O2881">
        <v>0.21301339999999999</v>
      </c>
      <c r="P2881">
        <v>83.757575759999995</v>
      </c>
      <c r="Q2881">
        <v>22.60997987</v>
      </c>
      <c r="R2881">
        <v>0.72884000000000004</v>
      </c>
      <c r="S2881">
        <v>0.21301339999999999</v>
      </c>
      <c r="T2881" t="s">
        <v>1018</v>
      </c>
      <c r="U2881">
        <v>0</v>
      </c>
    </row>
    <row r="2882" spans="1:21" x14ac:dyDescent="0.25">
      <c r="A2882" t="s">
        <v>68</v>
      </c>
      <c r="B2882" t="s">
        <v>824</v>
      </c>
      <c r="C2882">
        <v>10</v>
      </c>
      <c r="D2882" t="s">
        <v>15</v>
      </c>
      <c r="E2882" t="s">
        <v>95</v>
      </c>
      <c r="F2882" t="s">
        <v>110</v>
      </c>
      <c r="G2882" t="s">
        <v>113</v>
      </c>
      <c r="H2882" t="s">
        <v>113</v>
      </c>
      <c r="J2882">
        <v>0</v>
      </c>
      <c r="K2882">
        <v>2</v>
      </c>
      <c r="L2882">
        <v>73.260869569999997</v>
      </c>
      <c r="M2882">
        <v>34.453830549999999</v>
      </c>
      <c r="N2882">
        <v>1.058333333</v>
      </c>
      <c r="O2882">
        <v>0.90897070000000002</v>
      </c>
      <c r="P2882">
        <v>83.757575759999995</v>
      </c>
      <c r="Q2882">
        <v>22.60997987</v>
      </c>
      <c r="R2882">
        <v>0.72884000000000004</v>
      </c>
      <c r="S2882">
        <v>0.21301339999999999</v>
      </c>
      <c r="T2882" t="s">
        <v>1018</v>
      </c>
      <c r="U2882">
        <v>0.329493333</v>
      </c>
    </row>
    <row r="2883" spans="1:21" x14ac:dyDescent="0.25">
      <c r="A2883" t="s">
        <v>68</v>
      </c>
      <c r="B2883" t="s">
        <v>824</v>
      </c>
      <c r="C2883">
        <v>10</v>
      </c>
      <c r="D2883" t="s">
        <v>15</v>
      </c>
      <c r="E2883" t="s">
        <v>95</v>
      </c>
      <c r="F2883" t="s">
        <v>110</v>
      </c>
      <c r="G2883" t="s">
        <v>113</v>
      </c>
      <c r="H2883" t="s">
        <v>113</v>
      </c>
      <c r="J2883">
        <v>0</v>
      </c>
      <c r="K2883">
        <v>2</v>
      </c>
      <c r="L2883">
        <v>73.260869569999997</v>
      </c>
      <c r="M2883">
        <v>34.453830549999999</v>
      </c>
      <c r="N2883">
        <v>1.058333333</v>
      </c>
      <c r="O2883">
        <v>0.90897070000000002</v>
      </c>
      <c r="P2883">
        <v>83.757575759999995</v>
      </c>
      <c r="Q2883">
        <v>22.60997987</v>
      </c>
      <c r="R2883">
        <v>0.72884000000000004</v>
      </c>
      <c r="S2883">
        <v>0.21301339999999999</v>
      </c>
      <c r="T2883" t="s">
        <v>1018</v>
      </c>
      <c r="U2883">
        <v>0.329493333</v>
      </c>
    </row>
    <row r="2884" spans="1:21" x14ac:dyDescent="0.25">
      <c r="A2884" t="s">
        <v>68</v>
      </c>
      <c r="B2884" t="s">
        <v>825</v>
      </c>
      <c r="C2884">
        <v>10</v>
      </c>
      <c r="D2884" t="s">
        <v>15</v>
      </c>
      <c r="E2884" t="s">
        <v>95</v>
      </c>
      <c r="F2884" t="s">
        <v>111</v>
      </c>
      <c r="G2884" t="s">
        <v>121</v>
      </c>
      <c r="H2884" t="s">
        <v>239</v>
      </c>
      <c r="J2884">
        <v>0</v>
      </c>
      <c r="K2884">
        <v>1</v>
      </c>
      <c r="L2884">
        <v>94.97142857</v>
      </c>
      <c r="M2884">
        <v>24.31591813</v>
      </c>
      <c r="N2884">
        <v>0.122951111</v>
      </c>
      <c r="O2884">
        <v>0.39050790000000002</v>
      </c>
      <c r="P2884">
        <v>100.45454549999999</v>
      </c>
      <c r="Q2884">
        <v>26.754810689999999</v>
      </c>
      <c r="R2884">
        <v>0.75829999999999997</v>
      </c>
      <c r="S2884">
        <v>0.40907861000000001</v>
      </c>
      <c r="T2884" t="s">
        <v>1018</v>
      </c>
      <c r="U2884">
        <v>-0.63534888899999997</v>
      </c>
    </row>
    <row r="2885" spans="1:21" x14ac:dyDescent="0.25">
      <c r="A2885" t="s">
        <v>68</v>
      </c>
      <c r="B2885" t="s">
        <v>826</v>
      </c>
      <c r="C2885">
        <v>10</v>
      </c>
      <c r="D2885" t="s">
        <v>15</v>
      </c>
      <c r="E2885" t="s">
        <v>95</v>
      </c>
      <c r="F2885" t="s">
        <v>104</v>
      </c>
      <c r="G2885" t="s">
        <v>121</v>
      </c>
      <c r="H2885" t="s">
        <v>114</v>
      </c>
      <c r="I2885" t="s">
        <v>161</v>
      </c>
      <c r="J2885">
        <v>1</v>
      </c>
      <c r="K2885">
        <v>0</v>
      </c>
      <c r="L2885">
        <v>113.9375</v>
      </c>
      <c r="M2885">
        <v>33.375507550000002</v>
      </c>
      <c r="N2885">
        <v>2.4262999999999999</v>
      </c>
      <c r="O2885">
        <v>0.40692159999999999</v>
      </c>
      <c r="P2885" t="s">
        <v>114</v>
      </c>
      <c r="Q2885" t="s">
        <v>114</v>
      </c>
      <c r="R2885" t="s">
        <v>114</v>
      </c>
      <c r="S2885" t="s">
        <v>114</v>
      </c>
      <c r="T2885" t="s">
        <v>1018</v>
      </c>
      <c r="U2885" t="s">
        <v>114</v>
      </c>
    </row>
    <row r="2886" spans="1:21" x14ac:dyDescent="0.25">
      <c r="A2886" t="s">
        <v>69</v>
      </c>
      <c r="B2886" t="s">
        <v>827</v>
      </c>
      <c r="C2886">
        <v>10</v>
      </c>
      <c r="D2886" t="s">
        <v>17</v>
      </c>
      <c r="E2886" t="s">
        <v>95</v>
      </c>
      <c r="F2886" t="s">
        <v>102</v>
      </c>
      <c r="G2886" t="s">
        <v>102</v>
      </c>
      <c r="H2886" t="s">
        <v>102</v>
      </c>
      <c r="J2886">
        <v>0</v>
      </c>
      <c r="K2886">
        <v>1</v>
      </c>
      <c r="L2886">
        <v>84.740740740000007</v>
      </c>
      <c r="M2886">
        <v>29.167014049999999</v>
      </c>
      <c r="N2886">
        <v>1.1169849999999999</v>
      </c>
      <c r="O2886">
        <v>1.1571499000000001</v>
      </c>
      <c r="P2886">
        <v>84.740740740000007</v>
      </c>
      <c r="Q2886">
        <v>29.167014049999999</v>
      </c>
      <c r="R2886">
        <v>1.1169849999999999</v>
      </c>
      <c r="S2886">
        <v>1.1571499000000001</v>
      </c>
      <c r="T2886" t="s">
        <v>1018</v>
      </c>
      <c r="U2886">
        <v>0</v>
      </c>
    </row>
    <row r="2887" spans="1:21" x14ac:dyDescent="0.25">
      <c r="A2887" t="s">
        <v>69</v>
      </c>
      <c r="B2887" t="s">
        <v>827</v>
      </c>
      <c r="C2887">
        <v>10</v>
      </c>
      <c r="D2887" t="s">
        <v>17</v>
      </c>
      <c r="E2887" t="s">
        <v>95</v>
      </c>
      <c r="F2887" t="s">
        <v>102</v>
      </c>
      <c r="G2887" t="s">
        <v>102</v>
      </c>
      <c r="H2887" t="s">
        <v>235</v>
      </c>
      <c r="J2887">
        <v>0</v>
      </c>
      <c r="K2887">
        <v>2</v>
      </c>
      <c r="L2887">
        <v>84.740740740000007</v>
      </c>
      <c r="M2887">
        <v>29.167014049999999</v>
      </c>
      <c r="N2887">
        <v>1.1169849999999999</v>
      </c>
      <c r="O2887">
        <v>1.1571499000000001</v>
      </c>
      <c r="P2887">
        <v>132.27272730000001</v>
      </c>
      <c r="Q2887">
        <v>20.180448590000001</v>
      </c>
      <c r="R2887">
        <v>3.7813451999999997E-2</v>
      </c>
      <c r="S2887">
        <v>0.41404401000000002</v>
      </c>
      <c r="T2887" t="s">
        <v>1018</v>
      </c>
      <c r="U2887">
        <v>1.0791715479999999</v>
      </c>
    </row>
    <row r="2888" spans="1:21" x14ac:dyDescent="0.25">
      <c r="A2888" t="s">
        <v>69</v>
      </c>
      <c r="B2888" t="s">
        <v>827</v>
      </c>
      <c r="C2888">
        <v>10</v>
      </c>
      <c r="D2888" t="s">
        <v>17</v>
      </c>
      <c r="E2888" t="s">
        <v>95</v>
      </c>
      <c r="F2888" t="s">
        <v>102</v>
      </c>
      <c r="G2888" t="s">
        <v>102</v>
      </c>
      <c r="H2888" t="s">
        <v>235</v>
      </c>
      <c r="J2888">
        <v>0</v>
      </c>
      <c r="K2888">
        <v>2</v>
      </c>
      <c r="L2888">
        <v>84.740740740000007</v>
      </c>
      <c r="M2888">
        <v>29.167014049999999</v>
      </c>
      <c r="N2888">
        <v>1.1169849999999999</v>
      </c>
      <c r="O2888">
        <v>1.1571499000000001</v>
      </c>
      <c r="P2888">
        <v>132.27272730000001</v>
      </c>
      <c r="Q2888">
        <v>20.180448590000001</v>
      </c>
      <c r="R2888">
        <v>3.7813451999999997E-2</v>
      </c>
      <c r="S2888">
        <v>0.41404401000000002</v>
      </c>
      <c r="T2888" t="s">
        <v>1018</v>
      </c>
      <c r="U2888">
        <v>1.0791715479999999</v>
      </c>
    </row>
    <row r="2889" spans="1:21" x14ac:dyDescent="0.25">
      <c r="A2889" t="s">
        <v>69</v>
      </c>
      <c r="B2889" t="s">
        <v>828</v>
      </c>
      <c r="C2889">
        <v>10</v>
      </c>
      <c r="D2889" t="s">
        <v>17</v>
      </c>
      <c r="E2889" t="s">
        <v>95</v>
      </c>
      <c r="F2889" t="s">
        <v>113</v>
      </c>
      <c r="G2889" t="s">
        <v>113</v>
      </c>
      <c r="H2889" t="s">
        <v>113</v>
      </c>
      <c r="J2889">
        <v>0</v>
      </c>
      <c r="K2889">
        <v>1</v>
      </c>
      <c r="L2889">
        <v>83.757575759999995</v>
      </c>
      <c r="M2889">
        <v>22.60997987</v>
      </c>
      <c r="N2889">
        <v>0.72884000000000004</v>
      </c>
      <c r="O2889">
        <v>0.21301339999999999</v>
      </c>
      <c r="P2889">
        <v>83.757575759999995</v>
      </c>
      <c r="Q2889">
        <v>22.60997987</v>
      </c>
      <c r="R2889">
        <v>0.72884000000000004</v>
      </c>
      <c r="S2889">
        <v>0.21301339999999999</v>
      </c>
      <c r="T2889" t="s">
        <v>1018</v>
      </c>
      <c r="U2889">
        <v>0</v>
      </c>
    </row>
    <row r="2890" spans="1:21" x14ac:dyDescent="0.25">
      <c r="A2890" t="s">
        <v>69</v>
      </c>
      <c r="B2890" t="s">
        <v>828</v>
      </c>
      <c r="C2890">
        <v>10</v>
      </c>
      <c r="D2890" t="s">
        <v>17</v>
      </c>
      <c r="E2890" t="s">
        <v>95</v>
      </c>
      <c r="F2890" t="s">
        <v>113</v>
      </c>
      <c r="G2890" t="s">
        <v>113</v>
      </c>
      <c r="H2890" t="s">
        <v>235</v>
      </c>
      <c r="J2890">
        <v>0</v>
      </c>
      <c r="K2890">
        <v>2</v>
      </c>
      <c r="L2890">
        <v>83.757575759999995</v>
      </c>
      <c r="M2890">
        <v>22.60997987</v>
      </c>
      <c r="N2890">
        <v>0.72884000000000004</v>
      </c>
      <c r="O2890">
        <v>0.21301339999999999</v>
      </c>
      <c r="P2890">
        <v>132.27272730000001</v>
      </c>
      <c r="Q2890">
        <v>20.180448590000001</v>
      </c>
      <c r="R2890">
        <v>3.7813451999999997E-2</v>
      </c>
      <c r="S2890">
        <v>0.41404401000000002</v>
      </c>
      <c r="T2890" t="s">
        <v>1018</v>
      </c>
      <c r="U2890">
        <v>0.69102654799999996</v>
      </c>
    </row>
    <row r="2891" spans="1:21" x14ac:dyDescent="0.25">
      <c r="A2891" t="s">
        <v>69</v>
      </c>
      <c r="B2891" t="s">
        <v>828</v>
      </c>
      <c r="C2891">
        <v>10</v>
      </c>
      <c r="D2891" t="s">
        <v>17</v>
      </c>
      <c r="E2891" t="s">
        <v>95</v>
      </c>
      <c r="F2891" t="s">
        <v>113</v>
      </c>
      <c r="G2891" t="s">
        <v>113</v>
      </c>
      <c r="H2891" t="s">
        <v>235</v>
      </c>
      <c r="J2891">
        <v>0</v>
      </c>
      <c r="K2891">
        <v>2</v>
      </c>
      <c r="L2891">
        <v>83.757575759999995</v>
      </c>
      <c r="M2891">
        <v>22.60997987</v>
      </c>
      <c r="N2891">
        <v>0.72884000000000004</v>
      </c>
      <c r="O2891">
        <v>0.21301339999999999</v>
      </c>
      <c r="P2891">
        <v>132.27272730000001</v>
      </c>
      <c r="Q2891">
        <v>20.180448590000001</v>
      </c>
      <c r="R2891">
        <v>3.7813451999999997E-2</v>
      </c>
      <c r="S2891">
        <v>0.41404401000000002</v>
      </c>
      <c r="T2891" t="s">
        <v>1018</v>
      </c>
      <c r="U2891">
        <v>0.69102654799999996</v>
      </c>
    </row>
    <row r="2892" spans="1:21" x14ac:dyDescent="0.25">
      <c r="A2892" t="s">
        <v>69</v>
      </c>
      <c r="B2892" t="s">
        <v>829</v>
      </c>
      <c r="C2892">
        <v>10</v>
      </c>
      <c r="D2892" t="s">
        <v>17</v>
      </c>
      <c r="E2892" t="s">
        <v>95</v>
      </c>
      <c r="F2892" t="s">
        <v>103</v>
      </c>
      <c r="G2892" t="s">
        <v>103</v>
      </c>
      <c r="H2892" t="s">
        <v>103</v>
      </c>
      <c r="J2892">
        <v>0</v>
      </c>
      <c r="K2892">
        <v>1</v>
      </c>
      <c r="L2892">
        <v>98.291666669999998</v>
      </c>
      <c r="M2892">
        <v>30.315130790000001</v>
      </c>
      <c r="N2892">
        <v>5.0803484000000003E-2</v>
      </c>
      <c r="O2892">
        <v>0.42866070000000001</v>
      </c>
      <c r="P2892">
        <v>98.291666669999998</v>
      </c>
      <c r="Q2892">
        <v>30.315130790000001</v>
      </c>
      <c r="R2892">
        <v>5.0803484000000003E-2</v>
      </c>
      <c r="S2892">
        <v>0.42866070000000001</v>
      </c>
      <c r="T2892" t="s">
        <v>1018</v>
      </c>
      <c r="U2892">
        <v>0</v>
      </c>
    </row>
    <row r="2893" spans="1:21" x14ac:dyDescent="0.25">
      <c r="A2893" t="s">
        <v>69</v>
      </c>
      <c r="B2893" t="s">
        <v>829</v>
      </c>
      <c r="C2893">
        <v>10</v>
      </c>
      <c r="D2893" t="s">
        <v>17</v>
      </c>
      <c r="E2893" t="s">
        <v>95</v>
      </c>
      <c r="F2893" t="s">
        <v>103</v>
      </c>
      <c r="G2893" t="s">
        <v>103</v>
      </c>
      <c r="H2893" t="s">
        <v>241</v>
      </c>
      <c r="J2893">
        <v>0</v>
      </c>
      <c r="K2893">
        <v>1</v>
      </c>
      <c r="L2893">
        <v>98.291666669999998</v>
      </c>
      <c r="M2893">
        <v>30.315130790000001</v>
      </c>
      <c r="N2893">
        <v>5.0803484000000003E-2</v>
      </c>
      <c r="O2893">
        <v>0.42866070000000001</v>
      </c>
      <c r="P2893">
        <v>114</v>
      </c>
      <c r="Q2893">
        <v>30.43077242</v>
      </c>
      <c r="R2893">
        <v>0.53383111100000002</v>
      </c>
      <c r="S2893">
        <v>0.28333332999999999</v>
      </c>
      <c r="T2893" t="s">
        <v>1018</v>
      </c>
      <c r="U2893">
        <v>-0.48302762700000001</v>
      </c>
    </row>
    <row r="2894" spans="1:21" x14ac:dyDescent="0.25">
      <c r="A2894" t="s">
        <v>69</v>
      </c>
      <c r="B2894" t="s">
        <v>829</v>
      </c>
      <c r="C2894">
        <v>10</v>
      </c>
      <c r="D2894" t="s">
        <v>17</v>
      </c>
      <c r="E2894" t="s">
        <v>95</v>
      </c>
      <c r="F2894" t="s">
        <v>103</v>
      </c>
      <c r="G2894" t="s">
        <v>103</v>
      </c>
      <c r="H2894" t="s">
        <v>235</v>
      </c>
      <c r="J2894">
        <v>0</v>
      </c>
      <c r="K2894">
        <v>1</v>
      </c>
      <c r="L2894">
        <v>98.291666669999998</v>
      </c>
      <c r="M2894">
        <v>30.315130790000001</v>
      </c>
      <c r="N2894">
        <v>5.0803484000000003E-2</v>
      </c>
      <c r="O2894">
        <v>0.42866070000000001</v>
      </c>
      <c r="P2894">
        <v>132.27272730000001</v>
      </c>
      <c r="Q2894">
        <v>20.180448590000001</v>
      </c>
      <c r="R2894">
        <v>3.7813451999999997E-2</v>
      </c>
      <c r="S2894">
        <v>0.41404401000000002</v>
      </c>
      <c r="T2894" t="s">
        <v>1018</v>
      </c>
      <c r="U2894">
        <v>1.2990032E-2</v>
      </c>
    </row>
    <row r="2895" spans="1:21" x14ac:dyDescent="0.25">
      <c r="A2895" t="s">
        <v>69</v>
      </c>
      <c r="B2895" t="s">
        <v>830</v>
      </c>
      <c r="C2895">
        <v>10</v>
      </c>
      <c r="D2895" t="s">
        <v>17</v>
      </c>
      <c r="E2895" t="s">
        <v>95</v>
      </c>
      <c r="F2895" t="s">
        <v>111</v>
      </c>
      <c r="G2895" t="s">
        <v>121</v>
      </c>
      <c r="H2895" t="s">
        <v>235</v>
      </c>
      <c r="J2895">
        <v>0</v>
      </c>
      <c r="K2895">
        <v>3</v>
      </c>
      <c r="L2895">
        <v>94.97142857</v>
      </c>
      <c r="M2895">
        <v>24.31591813</v>
      </c>
      <c r="N2895">
        <v>0.122951111</v>
      </c>
      <c r="O2895">
        <v>0.39050790000000002</v>
      </c>
      <c r="P2895">
        <v>132.27272730000001</v>
      </c>
      <c r="Q2895">
        <v>20.180448590000001</v>
      </c>
      <c r="R2895">
        <v>3.7813451999999997E-2</v>
      </c>
      <c r="S2895">
        <v>0.41404401000000002</v>
      </c>
      <c r="T2895" t="s">
        <v>1018</v>
      </c>
      <c r="U2895">
        <v>8.5137659000000004E-2</v>
      </c>
    </row>
    <row r="2896" spans="1:21" x14ac:dyDescent="0.25">
      <c r="A2896" t="s">
        <v>69</v>
      </c>
      <c r="B2896" t="s">
        <v>830</v>
      </c>
      <c r="C2896">
        <v>10</v>
      </c>
      <c r="D2896" t="s">
        <v>17</v>
      </c>
      <c r="E2896" t="s">
        <v>95</v>
      </c>
      <c r="F2896" t="s">
        <v>111</v>
      </c>
      <c r="G2896" t="s">
        <v>121</v>
      </c>
      <c r="H2896" t="s">
        <v>235</v>
      </c>
      <c r="J2896">
        <v>0</v>
      </c>
      <c r="K2896">
        <v>3</v>
      </c>
      <c r="L2896">
        <v>94.97142857</v>
      </c>
      <c r="M2896">
        <v>24.31591813</v>
      </c>
      <c r="N2896">
        <v>0.122951111</v>
      </c>
      <c r="O2896">
        <v>0.39050790000000002</v>
      </c>
      <c r="P2896">
        <v>132.27272730000001</v>
      </c>
      <c r="Q2896">
        <v>20.180448590000001</v>
      </c>
      <c r="R2896">
        <v>3.7813451999999997E-2</v>
      </c>
      <c r="S2896">
        <v>0.41404401000000002</v>
      </c>
      <c r="T2896" t="s">
        <v>1018</v>
      </c>
      <c r="U2896">
        <v>8.5137659000000004E-2</v>
      </c>
    </row>
    <row r="2897" spans="1:21" x14ac:dyDescent="0.25">
      <c r="A2897" t="s">
        <v>69</v>
      </c>
      <c r="B2897" t="s">
        <v>830</v>
      </c>
      <c r="C2897">
        <v>10</v>
      </c>
      <c r="D2897" t="s">
        <v>17</v>
      </c>
      <c r="E2897" t="s">
        <v>95</v>
      </c>
      <c r="F2897" t="s">
        <v>111</v>
      </c>
      <c r="G2897" t="s">
        <v>121</v>
      </c>
      <c r="H2897" t="s">
        <v>235</v>
      </c>
      <c r="J2897">
        <v>0</v>
      </c>
      <c r="K2897">
        <v>3</v>
      </c>
      <c r="L2897">
        <v>94.97142857</v>
      </c>
      <c r="M2897">
        <v>24.31591813</v>
      </c>
      <c r="N2897">
        <v>0.122951111</v>
      </c>
      <c r="O2897">
        <v>0.39050790000000002</v>
      </c>
      <c r="P2897">
        <v>132.27272730000001</v>
      </c>
      <c r="Q2897">
        <v>20.180448590000001</v>
      </c>
      <c r="R2897">
        <v>3.7813451999999997E-2</v>
      </c>
      <c r="S2897">
        <v>0.41404401000000002</v>
      </c>
      <c r="T2897" t="s">
        <v>1018</v>
      </c>
      <c r="U2897">
        <v>8.5137659000000004E-2</v>
      </c>
    </row>
    <row r="2898" spans="1:21" x14ac:dyDescent="0.25">
      <c r="A2898" t="s">
        <v>69</v>
      </c>
      <c r="B2898" t="s">
        <v>831</v>
      </c>
      <c r="C2898">
        <v>10</v>
      </c>
      <c r="D2898" t="s">
        <v>17</v>
      </c>
      <c r="E2898" t="s">
        <v>95</v>
      </c>
      <c r="F2898" t="s">
        <v>112</v>
      </c>
      <c r="G2898" t="s">
        <v>121</v>
      </c>
      <c r="H2898" t="s">
        <v>235</v>
      </c>
      <c r="I2898" t="s">
        <v>252</v>
      </c>
      <c r="J2898">
        <v>1</v>
      </c>
      <c r="K2898">
        <v>2</v>
      </c>
      <c r="L2898">
        <v>65.09375</v>
      </c>
      <c r="M2898">
        <v>37.895352600000002</v>
      </c>
      <c r="N2898">
        <v>2.2882677779999998</v>
      </c>
      <c r="O2898">
        <v>2.2111774</v>
      </c>
      <c r="P2898">
        <v>132.27272730000001</v>
      </c>
      <c r="Q2898">
        <v>20.180448590000001</v>
      </c>
      <c r="R2898">
        <v>3.7813451999999997E-2</v>
      </c>
      <c r="S2898">
        <v>0.41404401000000002</v>
      </c>
      <c r="T2898" t="s">
        <v>1018</v>
      </c>
      <c r="U2898">
        <v>2.2504543259999998</v>
      </c>
    </row>
    <row r="2899" spans="1:21" x14ac:dyDescent="0.25">
      <c r="A2899" t="s">
        <v>69</v>
      </c>
      <c r="B2899" t="s">
        <v>831</v>
      </c>
      <c r="C2899">
        <v>10</v>
      </c>
      <c r="D2899" t="s">
        <v>17</v>
      </c>
      <c r="E2899" t="s">
        <v>95</v>
      </c>
      <c r="F2899" t="s">
        <v>112</v>
      </c>
      <c r="G2899" t="s">
        <v>121</v>
      </c>
      <c r="H2899" t="s">
        <v>235</v>
      </c>
      <c r="I2899" t="s">
        <v>252</v>
      </c>
      <c r="J2899">
        <v>1</v>
      </c>
      <c r="K2899">
        <v>2</v>
      </c>
      <c r="L2899">
        <v>65.09375</v>
      </c>
      <c r="M2899">
        <v>37.895352600000002</v>
      </c>
      <c r="N2899">
        <v>2.2882677779999998</v>
      </c>
      <c r="O2899">
        <v>2.2111774</v>
      </c>
      <c r="P2899">
        <v>132.27272730000001</v>
      </c>
      <c r="Q2899">
        <v>20.180448590000001</v>
      </c>
      <c r="R2899">
        <v>3.7813451999999997E-2</v>
      </c>
      <c r="S2899">
        <v>0.41404401000000002</v>
      </c>
      <c r="T2899" t="s">
        <v>1018</v>
      </c>
      <c r="U2899">
        <v>2.2504543259999998</v>
      </c>
    </row>
    <row r="2900" spans="1:21" x14ac:dyDescent="0.25">
      <c r="A2900" t="s">
        <v>70</v>
      </c>
      <c r="B2900" t="s">
        <v>832</v>
      </c>
      <c r="C2900">
        <v>10</v>
      </c>
      <c r="D2900" t="s">
        <v>19</v>
      </c>
      <c r="E2900" t="s">
        <v>95</v>
      </c>
      <c r="F2900" t="s">
        <v>102</v>
      </c>
      <c r="G2900" t="s">
        <v>121</v>
      </c>
      <c r="H2900" t="s">
        <v>102</v>
      </c>
      <c r="J2900">
        <v>0</v>
      </c>
      <c r="K2900">
        <v>1</v>
      </c>
      <c r="L2900">
        <v>84.740740740000007</v>
      </c>
      <c r="M2900">
        <v>29.167014049999999</v>
      </c>
      <c r="N2900">
        <v>1.1169849999999999</v>
      </c>
      <c r="O2900">
        <v>1.1571499000000001</v>
      </c>
      <c r="P2900">
        <v>84.740740740000007</v>
      </c>
      <c r="Q2900">
        <v>29.167014049999999</v>
      </c>
      <c r="R2900">
        <v>1.1169849999999999</v>
      </c>
      <c r="S2900">
        <v>1.1571499000000001</v>
      </c>
      <c r="T2900" t="s">
        <v>1018</v>
      </c>
      <c r="U2900">
        <v>0</v>
      </c>
    </row>
    <row r="2901" spans="1:21" x14ac:dyDescent="0.25">
      <c r="A2901" t="s">
        <v>70</v>
      </c>
      <c r="B2901" t="s">
        <v>832</v>
      </c>
      <c r="C2901">
        <v>10</v>
      </c>
      <c r="D2901" t="s">
        <v>19</v>
      </c>
      <c r="E2901" t="s">
        <v>95</v>
      </c>
      <c r="F2901" t="s">
        <v>102</v>
      </c>
      <c r="G2901" t="s">
        <v>121</v>
      </c>
      <c r="H2901" t="s">
        <v>236</v>
      </c>
      <c r="J2901">
        <v>0</v>
      </c>
      <c r="K2901">
        <v>1</v>
      </c>
      <c r="L2901">
        <v>84.740740740000007</v>
      </c>
      <c r="M2901">
        <v>29.167014049999999</v>
      </c>
      <c r="N2901">
        <v>1.1169849999999999</v>
      </c>
      <c r="O2901">
        <v>1.1571499000000001</v>
      </c>
      <c r="P2901">
        <v>113.33333330000001</v>
      </c>
      <c r="Q2901">
        <v>26.41632581</v>
      </c>
      <c r="R2901">
        <v>1.6844570160000001</v>
      </c>
      <c r="S2901">
        <v>8.9285710000000004E-2</v>
      </c>
      <c r="T2901" t="s">
        <v>1018</v>
      </c>
      <c r="U2901">
        <v>-0.56747201599999997</v>
      </c>
    </row>
    <row r="2902" spans="1:21" x14ac:dyDescent="0.25">
      <c r="A2902" t="s">
        <v>70</v>
      </c>
      <c r="B2902" t="s">
        <v>833</v>
      </c>
      <c r="C2902">
        <v>10</v>
      </c>
      <c r="D2902" t="s">
        <v>19</v>
      </c>
      <c r="E2902" t="s">
        <v>95</v>
      </c>
      <c r="F2902" t="s">
        <v>105</v>
      </c>
      <c r="G2902" t="s">
        <v>121</v>
      </c>
      <c r="H2902" t="s">
        <v>235</v>
      </c>
      <c r="J2902">
        <v>0</v>
      </c>
      <c r="K2902">
        <v>1</v>
      </c>
      <c r="L2902">
        <v>67.5</v>
      </c>
      <c r="M2902">
        <v>47.937235809999997</v>
      </c>
      <c r="N2902">
        <v>0.41599678000000001</v>
      </c>
      <c r="O2902">
        <v>2.0950346999999998</v>
      </c>
      <c r="P2902">
        <v>132.27272730000001</v>
      </c>
      <c r="Q2902">
        <v>20.180448590000001</v>
      </c>
      <c r="R2902">
        <v>3.7813451999999997E-2</v>
      </c>
      <c r="S2902">
        <v>0.41404401000000002</v>
      </c>
      <c r="T2902" t="s">
        <v>1018</v>
      </c>
      <c r="U2902">
        <v>0.37818332799999999</v>
      </c>
    </row>
    <row r="2903" spans="1:21" x14ac:dyDescent="0.25">
      <c r="A2903" t="s">
        <v>70</v>
      </c>
      <c r="B2903" t="s">
        <v>833</v>
      </c>
      <c r="C2903">
        <v>10</v>
      </c>
      <c r="D2903" t="s">
        <v>19</v>
      </c>
      <c r="E2903" t="s">
        <v>95</v>
      </c>
      <c r="F2903" t="s">
        <v>105</v>
      </c>
      <c r="G2903" t="s">
        <v>121</v>
      </c>
      <c r="H2903" t="s">
        <v>236</v>
      </c>
      <c r="J2903">
        <v>0</v>
      </c>
      <c r="K2903">
        <v>2</v>
      </c>
      <c r="L2903">
        <v>67.5</v>
      </c>
      <c r="M2903">
        <v>47.937235809999997</v>
      </c>
      <c r="N2903">
        <v>0.41599678000000001</v>
      </c>
      <c r="O2903">
        <v>2.0950346999999998</v>
      </c>
      <c r="P2903">
        <v>113.33333330000001</v>
      </c>
      <c r="Q2903">
        <v>26.41632581</v>
      </c>
      <c r="R2903">
        <v>1.6844570160000001</v>
      </c>
      <c r="S2903">
        <v>8.9285710000000004E-2</v>
      </c>
      <c r="T2903" t="s">
        <v>1018</v>
      </c>
      <c r="U2903">
        <v>-1.2684602359999999</v>
      </c>
    </row>
    <row r="2904" spans="1:21" x14ac:dyDescent="0.25">
      <c r="A2904" t="s">
        <v>70</v>
      </c>
      <c r="B2904" t="s">
        <v>833</v>
      </c>
      <c r="C2904">
        <v>10</v>
      </c>
      <c r="D2904" t="s">
        <v>19</v>
      </c>
      <c r="E2904" t="s">
        <v>95</v>
      </c>
      <c r="F2904" t="s">
        <v>105</v>
      </c>
      <c r="G2904" t="s">
        <v>121</v>
      </c>
      <c r="H2904" t="s">
        <v>236</v>
      </c>
      <c r="J2904">
        <v>0</v>
      </c>
      <c r="K2904">
        <v>2</v>
      </c>
      <c r="L2904">
        <v>67.5</v>
      </c>
      <c r="M2904">
        <v>47.937235809999997</v>
      </c>
      <c r="N2904">
        <v>0.41599678000000001</v>
      </c>
      <c r="O2904">
        <v>2.0950346999999998</v>
      </c>
      <c r="P2904">
        <v>113.33333330000001</v>
      </c>
      <c r="Q2904">
        <v>26.41632581</v>
      </c>
      <c r="R2904">
        <v>1.6844570160000001</v>
      </c>
      <c r="S2904">
        <v>8.9285710000000004E-2</v>
      </c>
      <c r="T2904" t="s">
        <v>1018</v>
      </c>
      <c r="U2904">
        <v>-1.2684602359999999</v>
      </c>
    </row>
    <row r="2905" spans="1:21" x14ac:dyDescent="0.25">
      <c r="A2905" t="s">
        <v>70</v>
      </c>
      <c r="B2905" t="s">
        <v>833</v>
      </c>
      <c r="C2905">
        <v>10</v>
      </c>
      <c r="D2905" t="s">
        <v>19</v>
      </c>
      <c r="E2905" t="s">
        <v>95</v>
      </c>
      <c r="F2905" t="s">
        <v>105</v>
      </c>
      <c r="G2905" t="s">
        <v>121</v>
      </c>
      <c r="H2905" t="s">
        <v>162</v>
      </c>
      <c r="J2905">
        <v>0</v>
      </c>
      <c r="K2905">
        <v>1</v>
      </c>
      <c r="L2905">
        <v>67.5</v>
      </c>
      <c r="M2905">
        <v>47.937235809999997</v>
      </c>
      <c r="N2905">
        <v>0.41599678000000001</v>
      </c>
      <c r="O2905">
        <v>2.0950346999999998</v>
      </c>
      <c r="P2905">
        <v>82.53846154</v>
      </c>
      <c r="Q2905">
        <v>35.660530039999998</v>
      </c>
      <c r="R2905">
        <v>3.3754499999999998</v>
      </c>
      <c r="S2905" t="s">
        <v>114</v>
      </c>
      <c r="T2905" t="s">
        <v>1018</v>
      </c>
      <c r="U2905">
        <v>-2.9594532199999999</v>
      </c>
    </row>
    <row r="2906" spans="1:21" x14ac:dyDescent="0.25">
      <c r="A2906" t="s">
        <v>70</v>
      </c>
      <c r="B2906" t="s">
        <v>834</v>
      </c>
      <c r="C2906">
        <v>10</v>
      </c>
      <c r="D2906" t="s">
        <v>19</v>
      </c>
      <c r="E2906" t="s">
        <v>95</v>
      </c>
      <c r="F2906" t="s">
        <v>111</v>
      </c>
      <c r="G2906" t="s">
        <v>121</v>
      </c>
      <c r="H2906" t="s">
        <v>235</v>
      </c>
      <c r="J2906">
        <v>0</v>
      </c>
      <c r="K2906">
        <v>1</v>
      </c>
      <c r="L2906">
        <v>94.97142857</v>
      </c>
      <c r="M2906">
        <v>24.31591813</v>
      </c>
      <c r="N2906">
        <v>0.122951111</v>
      </c>
      <c r="O2906">
        <v>0.39050790000000002</v>
      </c>
      <c r="P2906">
        <v>132.27272730000001</v>
      </c>
      <c r="Q2906">
        <v>20.180448590000001</v>
      </c>
      <c r="R2906">
        <v>3.7813451999999997E-2</v>
      </c>
      <c r="S2906">
        <v>0.41404401000000002</v>
      </c>
      <c r="T2906" t="s">
        <v>1018</v>
      </c>
      <c r="U2906">
        <v>8.5137659000000004E-2</v>
      </c>
    </row>
    <row r="2907" spans="1:21" x14ac:dyDescent="0.25">
      <c r="A2907" t="s">
        <v>71</v>
      </c>
      <c r="B2907" t="s">
        <v>835</v>
      </c>
      <c r="C2907">
        <v>10</v>
      </c>
      <c r="D2907" t="s">
        <v>21</v>
      </c>
      <c r="E2907" t="s">
        <v>94</v>
      </c>
      <c r="F2907" t="s">
        <v>102</v>
      </c>
      <c r="G2907" t="s">
        <v>121</v>
      </c>
      <c r="H2907" t="s">
        <v>114</v>
      </c>
      <c r="J2907">
        <v>0</v>
      </c>
      <c r="K2907" t="s">
        <v>114</v>
      </c>
      <c r="L2907">
        <v>84.740740740000007</v>
      </c>
      <c r="M2907">
        <v>29.167014049999999</v>
      </c>
      <c r="N2907">
        <v>1.1169849999999999</v>
      </c>
      <c r="O2907">
        <v>1.1571499000000001</v>
      </c>
      <c r="P2907" t="s">
        <v>114</v>
      </c>
      <c r="Q2907" t="s">
        <v>114</v>
      </c>
      <c r="R2907" t="s">
        <v>114</v>
      </c>
      <c r="S2907" t="s">
        <v>114</v>
      </c>
      <c r="T2907" t="s">
        <v>1018</v>
      </c>
      <c r="U2907" t="s">
        <v>114</v>
      </c>
    </row>
    <row r="2908" spans="1:21" x14ac:dyDescent="0.25">
      <c r="A2908" t="s">
        <v>71</v>
      </c>
      <c r="B2908" t="s">
        <v>836</v>
      </c>
      <c r="C2908">
        <v>10</v>
      </c>
      <c r="D2908" t="s">
        <v>21</v>
      </c>
      <c r="E2908" t="s">
        <v>94</v>
      </c>
      <c r="F2908" t="s">
        <v>111</v>
      </c>
      <c r="G2908" t="s">
        <v>111</v>
      </c>
      <c r="H2908" t="s">
        <v>111</v>
      </c>
      <c r="J2908">
        <v>0</v>
      </c>
      <c r="K2908">
        <v>1</v>
      </c>
      <c r="L2908">
        <v>94.97142857</v>
      </c>
      <c r="M2908">
        <v>24.31591813</v>
      </c>
      <c r="N2908">
        <v>0.122951111</v>
      </c>
      <c r="O2908">
        <v>0.39050790000000002</v>
      </c>
      <c r="P2908">
        <v>94.97142857</v>
      </c>
      <c r="Q2908">
        <v>24.31591813</v>
      </c>
      <c r="R2908">
        <v>0.122951111</v>
      </c>
      <c r="S2908">
        <v>0.39050790000000002</v>
      </c>
      <c r="T2908" t="s">
        <v>1018</v>
      </c>
      <c r="U2908">
        <v>0</v>
      </c>
    </row>
    <row r="2909" spans="1:21" x14ac:dyDescent="0.25">
      <c r="A2909" t="s">
        <v>71</v>
      </c>
      <c r="B2909" t="s">
        <v>836</v>
      </c>
      <c r="C2909">
        <v>10</v>
      </c>
      <c r="D2909" t="s">
        <v>21</v>
      </c>
      <c r="E2909" t="s">
        <v>94</v>
      </c>
      <c r="F2909" t="s">
        <v>111</v>
      </c>
      <c r="G2909" t="s">
        <v>111</v>
      </c>
      <c r="H2909" t="s">
        <v>250</v>
      </c>
      <c r="J2909">
        <v>0</v>
      </c>
      <c r="K2909">
        <v>1</v>
      </c>
      <c r="L2909">
        <v>94.97142857</v>
      </c>
      <c r="M2909">
        <v>24.31591813</v>
      </c>
      <c r="N2909">
        <v>0.122951111</v>
      </c>
      <c r="O2909">
        <v>0.39050790000000002</v>
      </c>
      <c r="P2909">
        <v>157.14285709999999</v>
      </c>
      <c r="Q2909">
        <v>28.969081320000001</v>
      </c>
      <c r="R2909">
        <v>0.55164111100000002</v>
      </c>
      <c r="S2909" t="s">
        <v>114</v>
      </c>
      <c r="T2909" t="s">
        <v>1018</v>
      </c>
      <c r="U2909">
        <v>-0.42869000000000002</v>
      </c>
    </row>
    <row r="2910" spans="1:21" x14ac:dyDescent="0.25">
      <c r="A2910" t="s">
        <v>71</v>
      </c>
      <c r="B2910" t="s">
        <v>837</v>
      </c>
      <c r="C2910">
        <v>10</v>
      </c>
      <c r="D2910" t="s">
        <v>21</v>
      </c>
      <c r="E2910" t="s">
        <v>94</v>
      </c>
      <c r="F2910" t="s">
        <v>104</v>
      </c>
      <c r="G2910" t="s">
        <v>104</v>
      </c>
      <c r="H2910" t="s">
        <v>104</v>
      </c>
      <c r="J2910">
        <v>0</v>
      </c>
      <c r="K2910">
        <v>1</v>
      </c>
      <c r="L2910">
        <v>113.9375</v>
      </c>
      <c r="M2910">
        <v>33.375507550000002</v>
      </c>
      <c r="N2910">
        <v>2.4262999999999999</v>
      </c>
      <c r="O2910">
        <v>0.40692159999999999</v>
      </c>
      <c r="P2910">
        <v>113.9375</v>
      </c>
      <c r="Q2910">
        <v>33.375507550000002</v>
      </c>
      <c r="R2910">
        <v>2.4262999999999999</v>
      </c>
      <c r="S2910">
        <v>0.40692159999999999</v>
      </c>
      <c r="T2910" t="s">
        <v>1018</v>
      </c>
      <c r="U2910">
        <v>0</v>
      </c>
    </row>
    <row r="2911" spans="1:21" x14ac:dyDescent="0.25">
      <c r="A2911" t="s">
        <v>72</v>
      </c>
      <c r="B2911" t="s">
        <v>838</v>
      </c>
      <c r="C2911">
        <v>10</v>
      </c>
      <c r="D2911" t="s">
        <v>23</v>
      </c>
      <c r="E2911" t="s">
        <v>95</v>
      </c>
      <c r="F2911" t="s">
        <v>105</v>
      </c>
      <c r="G2911" t="s">
        <v>121</v>
      </c>
      <c r="H2911" t="s">
        <v>238</v>
      </c>
      <c r="J2911">
        <v>0</v>
      </c>
      <c r="K2911">
        <v>1</v>
      </c>
      <c r="L2911">
        <v>67.5</v>
      </c>
      <c r="M2911">
        <v>47.937235809999997</v>
      </c>
      <c r="N2911">
        <v>0.41599678000000001</v>
      </c>
      <c r="O2911">
        <v>2.0950346999999998</v>
      </c>
      <c r="P2911">
        <v>87.5</v>
      </c>
      <c r="Q2911">
        <v>29.478311600000001</v>
      </c>
      <c r="R2911">
        <v>3.0797751000000002E-2</v>
      </c>
      <c r="S2911">
        <v>0.12931835</v>
      </c>
      <c r="T2911" t="s">
        <v>1018</v>
      </c>
      <c r="U2911">
        <v>0.38519902900000003</v>
      </c>
    </row>
    <row r="2912" spans="1:21" x14ac:dyDescent="0.25">
      <c r="A2912" t="s">
        <v>72</v>
      </c>
      <c r="B2912" t="s">
        <v>839</v>
      </c>
      <c r="C2912">
        <v>10</v>
      </c>
      <c r="D2912" t="s">
        <v>23</v>
      </c>
      <c r="E2912" t="s">
        <v>95</v>
      </c>
      <c r="F2912" t="s">
        <v>111</v>
      </c>
      <c r="G2912" t="s">
        <v>121</v>
      </c>
      <c r="H2912" t="s">
        <v>114</v>
      </c>
      <c r="J2912">
        <v>0</v>
      </c>
      <c r="K2912">
        <v>0</v>
      </c>
      <c r="L2912">
        <v>94.97142857</v>
      </c>
      <c r="M2912">
        <v>24.31591813</v>
      </c>
      <c r="N2912">
        <v>0.122951111</v>
      </c>
      <c r="O2912">
        <v>0.39050790000000002</v>
      </c>
      <c r="P2912" t="s">
        <v>114</v>
      </c>
      <c r="Q2912" t="s">
        <v>114</v>
      </c>
      <c r="R2912" t="s">
        <v>114</v>
      </c>
      <c r="S2912" t="s">
        <v>114</v>
      </c>
      <c r="T2912" t="s">
        <v>1018</v>
      </c>
      <c r="U2912" t="s">
        <v>114</v>
      </c>
    </row>
    <row r="2913" spans="1:21" x14ac:dyDescent="0.25">
      <c r="A2913" t="s">
        <v>72</v>
      </c>
      <c r="B2913" t="s">
        <v>840</v>
      </c>
      <c r="C2913">
        <v>10</v>
      </c>
      <c r="D2913" t="s">
        <v>23</v>
      </c>
      <c r="E2913" t="s">
        <v>95</v>
      </c>
      <c r="F2913" t="s">
        <v>104</v>
      </c>
      <c r="G2913" t="s">
        <v>104</v>
      </c>
      <c r="H2913" t="s">
        <v>104</v>
      </c>
      <c r="J2913">
        <v>0</v>
      </c>
      <c r="K2913">
        <v>1</v>
      </c>
      <c r="L2913">
        <v>113.9375</v>
      </c>
      <c r="M2913">
        <v>33.375507550000002</v>
      </c>
      <c r="N2913">
        <v>2.4262999999999999</v>
      </c>
      <c r="O2913">
        <v>0.40692159999999999</v>
      </c>
      <c r="P2913">
        <v>113.9375</v>
      </c>
      <c r="Q2913">
        <v>33.375507550000002</v>
      </c>
      <c r="R2913">
        <v>2.4262999999999999</v>
      </c>
      <c r="S2913">
        <v>0.40692159999999999</v>
      </c>
      <c r="T2913" t="s">
        <v>1018</v>
      </c>
      <c r="U2913">
        <v>0</v>
      </c>
    </row>
    <row r="2914" spans="1:21" x14ac:dyDescent="0.25">
      <c r="A2914" t="s">
        <v>72</v>
      </c>
      <c r="B2914" t="s">
        <v>840</v>
      </c>
      <c r="C2914">
        <v>10</v>
      </c>
      <c r="D2914" t="s">
        <v>23</v>
      </c>
      <c r="E2914" t="s">
        <v>95</v>
      </c>
      <c r="F2914" t="s">
        <v>104</v>
      </c>
      <c r="G2914" t="s">
        <v>104</v>
      </c>
      <c r="H2914" t="s">
        <v>244</v>
      </c>
      <c r="J2914">
        <v>0</v>
      </c>
      <c r="K2914">
        <v>1</v>
      </c>
      <c r="L2914">
        <v>113.9375</v>
      </c>
      <c r="M2914">
        <v>33.375507550000002</v>
      </c>
      <c r="N2914">
        <v>2.4262999999999999</v>
      </c>
      <c r="O2914">
        <v>0.40692159999999999</v>
      </c>
      <c r="P2914">
        <v>75</v>
      </c>
      <c r="Q2914">
        <v>28.80614499</v>
      </c>
      <c r="R2914">
        <v>2.3860428570000001</v>
      </c>
      <c r="S2914">
        <v>0.26400832000000002</v>
      </c>
      <c r="T2914" t="s">
        <v>1018</v>
      </c>
      <c r="U2914">
        <v>4.0257143000000002E-2</v>
      </c>
    </row>
    <row r="2915" spans="1:21" x14ac:dyDescent="0.25">
      <c r="A2915" t="s">
        <v>72</v>
      </c>
      <c r="B2915" t="s">
        <v>841</v>
      </c>
      <c r="C2915">
        <v>10</v>
      </c>
      <c r="D2915" t="s">
        <v>23</v>
      </c>
      <c r="E2915" t="s">
        <v>95</v>
      </c>
      <c r="F2915" t="s">
        <v>112</v>
      </c>
      <c r="G2915" t="s">
        <v>121</v>
      </c>
      <c r="H2915" t="s">
        <v>238</v>
      </c>
      <c r="J2915">
        <v>0</v>
      </c>
      <c r="K2915">
        <v>1</v>
      </c>
      <c r="L2915">
        <v>65.09375</v>
      </c>
      <c r="M2915">
        <v>37.895352600000002</v>
      </c>
      <c r="N2915">
        <v>2.2882677779999998</v>
      </c>
      <c r="O2915">
        <v>2.2111774</v>
      </c>
      <c r="P2915">
        <v>87.5</v>
      </c>
      <c r="Q2915">
        <v>29.478311600000001</v>
      </c>
      <c r="R2915">
        <v>3.0797751000000002E-2</v>
      </c>
      <c r="S2915">
        <v>0.12931835</v>
      </c>
      <c r="T2915" t="s">
        <v>1018</v>
      </c>
      <c r="U2915">
        <v>2.2574700270000001</v>
      </c>
    </row>
    <row r="2916" spans="1:21" x14ac:dyDescent="0.25">
      <c r="A2916" t="s">
        <v>73</v>
      </c>
      <c r="B2916" t="s">
        <v>842</v>
      </c>
      <c r="C2916">
        <v>10</v>
      </c>
      <c r="D2916" t="s">
        <v>25</v>
      </c>
      <c r="E2916" t="s">
        <v>94</v>
      </c>
      <c r="F2916" t="s">
        <v>105</v>
      </c>
      <c r="G2916" t="s">
        <v>112</v>
      </c>
      <c r="H2916" t="s">
        <v>112</v>
      </c>
      <c r="J2916">
        <v>0</v>
      </c>
      <c r="K2916">
        <v>1</v>
      </c>
      <c r="L2916">
        <v>67.5</v>
      </c>
      <c r="M2916">
        <v>47.937235809999997</v>
      </c>
      <c r="N2916">
        <v>0.41599678000000001</v>
      </c>
      <c r="O2916">
        <v>2.0950346999999998</v>
      </c>
      <c r="P2916">
        <v>65.09375</v>
      </c>
      <c r="Q2916">
        <v>37.895352600000002</v>
      </c>
      <c r="R2916">
        <v>2.2882677779999998</v>
      </c>
      <c r="S2916">
        <v>2.2111774</v>
      </c>
      <c r="T2916" t="s">
        <v>1018</v>
      </c>
      <c r="U2916">
        <v>-1.8722709980000001</v>
      </c>
    </row>
    <row r="2917" spans="1:21" x14ac:dyDescent="0.25">
      <c r="A2917" t="s">
        <v>73</v>
      </c>
      <c r="B2917" t="s">
        <v>843</v>
      </c>
      <c r="C2917">
        <v>10</v>
      </c>
      <c r="D2917" t="s">
        <v>25</v>
      </c>
      <c r="E2917" t="s">
        <v>94</v>
      </c>
      <c r="F2917" t="s">
        <v>110</v>
      </c>
      <c r="G2917" t="s">
        <v>110</v>
      </c>
      <c r="H2917" t="s">
        <v>110</v>
      </c>
      <c r="J2917">
        <v>0</v>
      </c>
      <c r="K2917">
        <v>3</v>
      </c>
      <c r="L2917">
        <v>73.260869569999997</v>
      </c>
      <c r="M2917">
        <v>34.453830549999999</v>
      </c>
      <c r="N2917">
        <v>1.058333333</v>
      </c>
      <c r="O2917">
        <v>0.90897070000000002</v>
      </c>
      <c r="P2917">
        <v>73.260869569999997</v>
      </c>
      <c r="Q2917">
        <v>34.453830549999999</v>
      </c>
      <c r="R2917">
        <v>1.058333333</v>
      </c>
      <c r="S2917">
        <v>0.90897070000000002</v>
      </c>
      <c r="T2917" t="s">
        <v>1018</v>
      </c>
      <c r="U2917">
        <v>0</v>
      </c>
    </row>
    <row r="2918" spans="1:21" x14ac:dyDescent="0.25">
      <c r="A2918" t="s">
        <v>73</v>
      </c>
      <c r="B2918" t="s">
        <v>843</v>
      </c>
      <c r="C2918">
        <v>10</v>
      </c>
      <c r="D2918" t="s">
        <v>25</v>
      </c>
      <c r="E2918" t="s">
        <v>94</v>
      </c>
      <c r="F2918" t="s">
        <v>110</v>
      </c>
      <c r="G2918" t="s">
        <v>110</v>
      </c>
      <c r="H2918" t="s">
        <v>110</v>
      </c>
      <c r="J2918">
        <v>0</v>
      </c>
      <c r="K2918">
        <v>3</v>
      </c>
      <c r="L2918">
        <v>73.260869569999997</v>
      </c>
      <c r="M2918">
        <v>34.453830549999999</v>
      </c>
      <c r="N2918">
        <v>1.058333333</v>
      </c>
      <c r="O2918">
        <v>0.90897070000000002</v>
      </c>
      <c r="P2918">
        <v>73.260869569999997</v>
      </c>
      <c r="Q2918">
        <v>34.453830549999999</v>
      </c>
      <c r="R2918">
        <v>1.058333333</v>
      </c>
      <c r="S2918">
        <v>0.90897070000000002</v>
      </c>
      <c r="T2918" t="s">
        <v>1018</v>
      </c>
      <c r="U2918">
        <v>0</v>
      </c>
    </row>
    <row r="2919" spans="1:21" x14ac:dyDescent="0.25">
      <c r="A2919" t="s">
        <v>73</v>
      </c>
      <c r="B2919" t="s">
        <v>843</v>
      </c>
      <c r="C2919">
        <v>10</v>
      </c>
      <c r="D2919" t="s">
        <v>25</v>
      </c>
      <c r="E2919" t="s">
        <v>94</v>
      </c>
      <c r="F2919" t="s">
        <v>110</v>
      </c>
      <c r="G2919" t="s">
        <v>110</v>
      </c>
      <c r="H2919" t="s">
        <v>110</v>
      </c>
      <c r="J2919">
        <v>0</v>
      </c>
      <c r="K2919">
        <v>3</v>
      </c>
      <c r="L2919">
        <v>73.260869569999997</v>
      </c>
      <c r="M2919">
        <v>34.453830549999999</v>
      </c>
      <c r="N2919">
        <v>1.058333333</v>
      </c>
      <c r="O2919">
        <v>0.90897070000000002</v>
      </c>
      <c r="P2919">
        <v>73.260869569999997</v>
      </c>
      <c r="Q2919">
        <v>34.453830549999999</v>
      </c>
      <c r="R2919">
        <v>1.058333333</v>
      </c>
      <c r="S2919">
        <v>0.90897070000000002</v>
      </c>
      <c r="T2919" t="s">
        <v>1018</v>
      </c>
      <c r="U2919">
        <v>0</v>
      </c>
    </row>
    <row r="2920" spans="1:21" x14ac:dyDescent="0.25">
      <c r="A2920" t="s">
        <v>73</v>
      </c>
      <c r="B2920" t="s">
        <v>843</v>
      </c>
      <c r="C2920">
        <v>10</v>
      </c>
      <c r="D2920" t="s">
        <v>25</v>
      </c>
      <c r="E2920" t="s">
        <v>94</v>
      </c>
      <c r="F2920" t="s">
        <v>110</v>
      </c>
      <c r="G2920" t="s">
        <v>110</v>
      </c>
      <c r="H2920" t="s">
        <v>251</v>
      </c>
      <c r="J2920">
        <v>0</v>
      </c>
      <c r="K2920">
        <v>1</v>
      </c>
      <c r="L2920">
        <v>73.260869569999997</v>
      </c>
      <c r="M2920">
        <v>34.453830549999999</v>
      </c>
      <c r="N2920">
        <v>1.058333333</v>
      </c>
      <c r="O2920">
        <v>0.90897070000000002</v>
      </c>
      <c r="P2920">
        <v>85</v>
      </c>
      <c r="Q2920">
        <v>37.099157669999997</v>
      </c>
      <c r="R2920">
        <v>0.65291888899999995</v>
      </c>
      <c r="S2920" t="s">
        <v>114</v>
      </c>
      <c r="T2920" t="s">
        <v>1018</v>
      </c>
      <c r="U2920">
        <v>0.40541444399999998</v>
      </c>
    </row>
    <row r="2921" spans="1:21" x14ac:dyDescent="0.25">
      <c r="A2921" t="s">
        <v>73</v>
      </c>
      <c r="B2921" t="s">
        <v>843</v>
      </c>
      <c r="C2921">
        <v>10</v>
      </c>
      <c r="D2921" t="s">
        <v>25</v>
      </c>
      <c r="E2921" t="s">
        <v>94</v>
      </c>
      <c r="F2921" t="s">
        <v>110</v>
      </c>
      <c r="G2921" t="s">
        <v>110</v>
      </c>
      <c r="H2921" t="s">
        <v>246</v>
      </c>
      <c r="J2921">
        <v>0</v>
      </c>
      <c r="K2921">
        <v>1</v>
      </c>
      <c r="L2921">
        <v>73.260869569999997</v>
      </c>
      <c r="M2921">
        <v>34.453830549999999</v>
      </c>
      <c r="N2921">
        <v>1.058333333</v>
      </c>
      <c r="O2921">
        <v>0.90897070000000002</v>
      </c>
      <c r="P2921">
        <v>120.25</v>
      </c>
      <c r="Q2921">
        <v>30.670450110000001</v>
      </c>
      <c r="R2921">
        <v>0.91037498500000003</v>
      </c>
      <c r="S2921" t="s">
        <v>114</v>
      </c>
      <c r="T2921" t="s">
        <v>1018</v>
      </c>
      <c r="U2921">
        <v>0.14795834799999999</v>
      </c>
    </row>
    <row r="2922" spans="1:21" x14ac:dyDescent="0.25">
      <c r="A2922" t="s">
        <v>73</v>
      </c>
      <c r="B2922" t="s">
        <v>844</v>
      </c>
      <c r="C2922">
        <v>10</v>
      </c>
      <c r="D2922" t="s">
        <v>25</v>
      </c>
      <c r="E2922" t="s">
        <v>94</v>
      </c>
      <c r="F2922" t="s">
        <v>104</v>
      </c>
      <c r="G2922" t="s">
        <v>104</v>
      </c>
      <c r="H2922" t="s">
        <v>104</v>
      </c>
      <c r="J2922">
        <v>0</v>
      </c>
      <c r="K2922">
        <v>1</v>
      </c>
      <c r="L2922">
        <v>113.9375</v>
      </c>
      <c r="M2922">
        <v>33.375507550000002</v>
      </c>
      <c r="N2922">
        <v>2.4262999999999999</v>
      </c>
      <c r="O2922">
        <v>0.40692159999999999</v>
      </c>
      <c r="P2922">
        <v>113.9375</v>
      </c>
      <c r="Q2922">
        <v>33.375507550000002</v>
      </c>
      <c r="R2922">
        <v>2.4262999999999999</v>
      </c>
      <c r="S2922">
        <v>0.40692159999999999</v>
      </c>
      <c r="T2922" t="s">
        <v>1018</v>
      </c>
      <c r="U2922">
        <v>0</v>
      </c>
    </row>
    <row r="2923" spans="1:21" x14ac:dyDescent="0.25">
      <c r="A2923" t="s">
        <v>73</v>
      </c>
      <c r="B2923" t="s">
        <v>845</v>
      </c>
      <c r="C2923">
        <v>10</v>
      </c>
      <c r="D2923" t="s">
        <v>25</v>
      </c>
      <c r="E2923" t="s">
        <v>94</v>
      </c>
      <c r="F2923" t="s">
        <v>112</v>
      </c>
      <c r="G2923" t="s">
        <v>121</v>
      </c>
      <c r="H2923" t="s">
        <v>114</v>
      </c>
      <c r="J2923">
        <v>0</v>
      </c>
      <c r="K2923" t="s">
        <v>114</v>
      </c>
      <c r="L2923">
        <v>65.09375</v>
      </c>
      <c r="M2923">
        <v>37.895352600000002</v>
      </c>
      <c r="N2923">
        <v>2.2882677779999998</v>
      </c>
      <c r="O2923">
        <v>2.2111774</v>
      </c>
      <c r="P2923" t="s">
        <v>114</v>
      </c>
      <c r="Q2923" t="s">
        <v>114</v>
      </c>
      <c r="R2923" t="s">
        <v>114</v>
      </c>
      <c r="S2923" t="s">
        <v>114</v>
      </c>
      <c r="T2923" t="s">
        <v>1018</v>
      </c>
      <c r="U2923" t="s">
        <v>114</v>
      </c>
    </row>
    <row r="2924" spans="1:21" x14ac:dyDescent="0.25">
      <c r="A2924" t="s">
        <v>74</v>
      </c>
      <c r="B2924" t="s">
        <v>846</v>
      </c>
      <c r="C2924">
        <v>10</v>
      </c>
      <c r="D2924" t="s">
        <v>27</v>
      </c>
      <c r="E2924" t="s">
        <v>95</v>
      </c>
      <c r="F2924" t="s">
        <v>102</v>
      </c>
      <c r="G2924" t="s">
        <v>113</v>
      </c>
      <c r="H2924" t="s">
        <v>113</v>
      </c>
      <c r="J2924">
        <v>0</v>
      </c>
      <c r="K2924">
        <v>3</v>
      </c>
      <c r="L2924">
        <v>84.740740740000007</v>
      </c>
      <c r="M2924">
        <v>29.167014049999999</v>
      </c>
      <c r="N2924">
        <v>1.1169849999999999</v>
      </c>
      <c r="O2924">
        <v>1.1571499000000001</v>
      </c>
      <c r="P2924">
        <v>83.757575759999995</v>
      </c>
      <c r="Q2924">
        <v>22.60997987</v>
      </c>
      <c r="R2924">
        <v>0.72884000000000004</v>
      </c>
      <c r="S2924">
        <v>0.21301339999999999</v>
      </c>
      <c r="T2924" t="s">
        <v>1018</v>
      </c>
      <c r="U2924">
        <v>0.38814500000000002</v>
      </c>
    </row>
    <row r="2925" spans="1:21" x14ac:dyDescent="0.25">
      <c r="A2925" t="s">
        <v>74</v>
      </c>
      <c r="B2925" t="s">
        <v>846</v>
      </c>
      <c r="C2925">
        <v>10</v>
      </c>
      <c r="D2925" t="s">
        <v>27</v>
      </c>
      <c r="E2925" t="s">
        <v>95</v>
      </c>
      <c r="F2925" t="s">
        <v>102</v>
      </c>
      <c r="G2925" t="s">
        <v>113</v>
      </c>
      <c r="H2925" t="s">
        <v>113</v>
      </c>
      <c r="J2925">
        <v>0</v>
      </c>
      <c r="K2925">
        <v>3</v>
      </c>
      <c r="L2925">
        <v>84.740740740000007</v>
      </c>
      <c r="M2925">
        <v>29.167014049999999</v>
      </c>
      <c r="N2925">
        <v>1.1169849999999999</v>
      </c>
      <c r="O2925">
        <v>1.1571499000000001</v>
      </c>
      <c r="P2925">
        <v>83.757575759999995</v>
      </c>
      <c r="Q2925">
        <v>22.60997987</v>
      </c>
      <c r="R2925">
        <v>0.72884000000000004</v>
      </c>
      <c r="S2925">
        <v>0.21301339999999999</v>
      </c>
      <c r="T2925" t="s">
        <v>1018</v>
      </c>
      <c r="U2925">
        <v>0.38814500000000002</v>
      </c>
    </row>
    <row r="2926" spans="1:21" x14ac:dyDescent="0.25">
      <c r="A2926" t="s">
        <v>74</v>
      </c>
      <c r="B2926" t="s">
        <v>846</v>
      </c>
      <c r="C2926">
        <v>10</v>
      </c>
      <c r="D2926" t="s">
        <v>27</v>
      </c>
      <c r="E2926" t="s">
        <v>95</v>
      </c>
      <c r="F2926" t="s">
        <v>102</v>
      </c>
      <c r="G2926" t="s">
        <v>113</v>
      </c>
      <c r="H2926" t="s">
        <v>113</v>
      </c>
      <c r="J2926">
        <v>0</v>
      </c>
      <c r="K2926">
        <v>3</v>
      </c>
      <c r="L2926">
        <v>84.740740740000007</v>
      </c>
      <c r="M2926">
        <v>29.167014049999999</v>
      </c>
      <c r="N2926">
        <v>1.1169849999999999</v>
      </c>
      <c r="O2926">
        <v>1.1571499000000001</v>
      </c>
      <c r="P2926">
        <v>83.757575759999995</v>
      </c>
      <c r="Q2926">
        <v>22.60997987</v>
      </c>
      <c r="R2926">
        <v>0.72884000000000004</v>
      </c>
      <c r="S2926">
        <v>0.21301339999999999</v>
      </c>
      <c r="T2926" t="s">
        <v>1018</v>
      </c>
      <c r="U2926">
        <v>0.38814500000000002</v>
      </c>
    </row>
    <row r="2927" spans="1:21" x14ac:dyDescent="0.25">
      <c r="A2927" t="s">
        <v>74</v>
      </c>
      <c r="B2927" t="s">
        <v>846</v>
      </c>
      <c r="C2927">
        <v>10</v>
      </c>
      <c r="D2927" t="s">
        <v>27</v>
      </c>
      <c r="E2927" t="s">
        <v>95</v>
      </c>
      <c r="F2927" t="s">
        <v>102</v>
      </c>
      <c r="G2927" t="s">
        <v>113</v>
      </c>
      <c r="H2927" t="s">
        <v>103</v>
      </c>
      <c r="J2927">
        <v>0</v>
      </c>
      <c r="K2927">
        <v>1</v>
      </c>
      <c r="L2927">
        <v>84.740740740000007</v>
      </c>
      <c r="M2927">
        <v>29.167014049999999</v>
      </c>
      <c r="N2927">
        <v>1.1169849999999999</v>
      </c>
      <c r="O2927">
        <v>1.1571499000000001</v>
      </c>
      <c r="P2927">
        <v>98.291666669999998</v>
      </c>
      <c r="Q2927">
        <v>30.315130790000001</v>
      </c>
      <c r="R2927">
        <v>5.0803484000000003E-2</v>
      </c>
      <c r="S2927">
        <v>0.42866070000000001</v>
      </c>
      <c r="T2927" t="s">
        <v>1018</v>
      </c>
      <c r="U2927">
        <v>1.0661815160000001</v>
      </c>
    </row>
    <row r="2928" spans="1:21" x14ac:dyDescent="0.25">
      <c r="A2928" t="s">
        <v>74</v>
      </c>
      <c r="B2928" t="s">
        <v>847</v>
      </c>
      <c r="C2928">
        <v>10</v>
      </c>
      <c r="D2928" t="s">
        <v>27</v>
      </c>
      <c r="E2928" t="s">
        <v>95</v>
      </c>
      <c r="F2928" t="s">
        <v>113</v>
      </c>
      <c r="G2928" t="s">
        <v>113</v>
      </c>
      <c r="H2928" t="s">
        <v>113</v>
      </c>
      <c r="J2928">
        <v>0</v>
      </c>
      <c r="K2928">
        <v>1</v>
      </c>
      <c r="L2928">
        <v>83.757575759999995</v>
      </c>
      <c r="M2928">
        <v>22.60997987</v>
      </c>
      <c r="N2928">
        <v>0.72884000000000004</v>
      </c>
      <c r="O2928">
        <v>0.21301339999999999</v>
      </c>
      <c r="P2928">
        <v>83.757575759999995</v>
      </c>
      <c r="Q2928">
        <v>22.60997987</v>
      </c>
      <c r="R2928">
        <v>0.72884000000000004</v>
      </c>
      <c r="S2928">
        <v>0.21301339999999999</v>
      </c>
      <c r="T2928" t="s">
        <v>1018</v>
      </c>
      <c r="U2928">
        <v>0</v>
      </c>
    </row>
    <row r="2929" spans="1:21" x14ac:dyDescent="0.25">
      <c r="A2929" t="s">
        <v>74</v>
      </c>
      <c r="B2929" t="s">
        <v>847</v>
      </c>
      <c r="C2929">
        <v>10</v>
      </c>
      <c r="D2929" t="s">
        <v>27</v>
      </c>
      <c r="E2929" t="s">
        <v>95</v>
      </c>
      <c r="F2929" t="s">
        <v>113</v>
      </c>
      <c r="G2929" t="s">
        <v>113</v>
      </c>
      <c r="H2929" t="s">
        <v>248</v>
      </c>
      <c r="J2929">
        <v>0</v>
      </c>
      <c r="K2929">
        <v>2</v>
      </c>
      <c r="L2929">
        <v>83.757575759999995</v>
      </c>
      <c r="M2929">
        <v>22.60997987</v>
      </c>
      <c r="N2929">
        <v>0.72884000000000004</v>
      </c>
      <c r="O2929">
        <v>0.21301339999999999</v>
      </c>
      <c r="P2929">
        <v>83.92307692</v>
      </c>
      <c r="Q2929">
        <v>44.319135699999997</v>
      </c>
      <c r="R2929">
        <v>5.9548609999999997E-3</v>
      </c>
      <c r="S2929">
        <v>0.18017928</v>
      </c>
      <c r="T2929" t="s">
        <v>1018</v>
      </c>
      <c r="U2929">
        <v>0.72288513899999995</v>
      </c>
    </row>
    <row r="2930" spans="1:21" x14ac:dyDescent="0.25">
      <c r="A2930" t="s">
        <v>74</v>
      </c>
      <c r="B2930" t="s">
        <v>847</v>
      </c>
      <c r="C2930">
        <v>10</v>
      </c>
      <c r="D2930" t="s">
        <v>27</v>
      </c>
      <c r="E2930" t="s">
        <v>95</v>
      </c>
      <c r="F2930" t="s">
        <v>113</v>
      </c>
      <c r="G2930" t="s">
        <v>113</v>
      </c>
      <c r="H2930" t="s">
        <v>248</v>
      </c>
      <c r="J2930">
        <v>0</v>
      </c>
      <c r="K2930">
        <v>2</v>
      </c>
      <c r="L2930">
        <v>83.757575759999995</v>
      </c>
      <c r="M2930">
        <v>22.60997987</v>
      </c>
      <c r="N2930">
        <v>0.72884000000000004</v>
      </c>
      <c r="O2930">
        <v>0.21301339999999999</v>
      </c>
      <c r="P2930">
        <v>83.92307692</v>
      </c>
      <c r="Q2930">
        <v>44.319135699999997</v>
      </c>
      <c r="R2930">
        <v>5.9548609999999997E-3</v>
      </c>
      <c r="S2930">
        <v>0.18017928</v>
      </c>
      <c r="T2930" t="s">
        <v>1018</v>
      </c>
      <c r="U2930">
        <v>0.72288513899999995</v>
      </c>
    </row>
    <row r="2931" spans="1:21" x14ac:dyDescent="0.25">
      <c r="A2931" t="s">
        <v>74</v>
      </c>
      <c r="B2931" t="s">
        <v>848</v>
      </c>
      <c r="C2931">
        <v>10</v>
      </c>
      <c r="D2931" t="s">
        <v>27</v>
      </c>
      <c r="E2931" t="s">
        <v>95</v>
      </c>
      <c r="F2931" t="s">
        <v>103</v>
      </c>
      <c r="G2931" t="s">
        <v>113</v>
      </c>
      <c r="H2931" t="s">
        <v>113</v>
      </c>
      <c r="J2931">
        <v>0</v>
      </c>
      <c r="K2931">
        <v>1</v>
      </c>
      <c r="L2931">
        <v>98.291666669999998</v>
      </c>
      <c r="M2931">
        <v>30.315130790000001</v>
      </c>
      <c r="N2931">
        <v>5.0803484000000003E-2</v>
      </c>
      <c r="O2931">
        <v>0.42866070000000001</v>
      </c>
      <c r="P2931">
        <v>83.757575759999995</v>
      </c>
      <c r="Q2931">
        <v>22.60997987</v>
      </c>
      <c r="R2931">
        <v>0.72884000000000004</v>
      </c>
      <c r="S2931">
        <v>0.21301339999999999</v>
      </c>
      <c r="T2931" t="s">
        <v>1018</v>
      </c>
      <c r="U2931">
        <v>-0.67803651600000003</v>
      </c>
    </row>
    <row r="2932" spans="1:21" x14ac:dyDescent="0.25">
      <c r="A2932" t="s">
        <v>75</v>
      </c>
      <c r="B2932" t="s">
        <v>849</v>
      </c>
      <c r="C2932">
        <v>10</v>
      </c>
      <c r="D2932" t="s">
        <v>29</v>
      </c>
      <c r="E2932" t="s">
        <v>94</v>
      </c>
      <c r="F2932" t="s">
        <v>105</v>
      </c>
      <c r="G2932" t="s">
        <v>121</v>
      </c>
      <c r="H2932" t="s">
        <v>251</v>
      </c>
      <c r="J2932">
        <v>0</v>
      </c>
      <c r="K2932">
        <v>1</v>
      </c>
      <c r="L2932">
        <v>67.5</v>
      </c>
      <c r="M2932">
        <v>47.937235809999997</v>
      </c>
      <c r="N2932">
        <v>0.41599678000000001</v>
      </c>
      <c r="O2932">
        <v>2.0950346999999998</v>
      </c>
      <c r="P2932">
        <v>85</v>
      </c>
      <c r="Q2932">
        <v>37.099157669999997</v>
      </c>
      <c r="R2932">
        <v>0.65291888899999995</v>
      </c>
      <c r="S2932" t="s">
        <v>114</v>
      </c>
      <c r="T2932" t="s">
        <v>1018</v>
      </c>
      <c r="U2932">
        <v>-0.23692210899999999</v>
      </c>
    </row>
    <row r="2933" spans="1:21" x14ac:dyDescent="0.25">
      <c r="A2933" t="s">
        <v>75</v>
      </c>
      <c r="B2933" t="s">
        <v>849</v>
      </c>
      <c r="C2933">
        <v>10</v>
      </c>
      <c r="D2933" t="s">
        <v>29</v>
      </c>
      <c r="E2933" t="s">
        <v>94</v>
      </c>
      <c r="F2933" t="s">
        <v>105</v>
      </c>
      <c r="G2933" t="s">
        <v>121</v>
      </c>
      <c r="H2933" t="s">
        <v>244</v>
      </c>
      <c r="J2933">
        <v>0</v>
      </c>
      <c r="K2933">
        <v>1</v>
      </c>
      <c r="L2933">
        <v>67.5</v>
      </c>
      <c r="M2933">
        <v>47.937235809999997</v>
      </c>
      <c r="N2933">
        <v>0.41599678000000001</v>
      </c>
      <c r="O2933">
        <v>2.0950346999999998</v>
      </c>
      <c r="P2933">
        <v>75</v>
      </c>
      <c r="Q2933">
        <v>28.80614499</v>
      </c>
      <c r="R2933">
        <v>2.3860428570000001</v>
      </c>
      <c r="S2933">
        <v>0.26400832000000002</v>
      </c>
      <c r="T2933" t="s">
        <v>1018</v>
      </c>
      <c r="U2933">
        <v>-1.9700460769999999</v>
      </c>
    </row>
    <row r="2934" spans="1:21" x14ac:dyDescent="0.25">
      <c r="A2934" t="s">
        <v>75</v>
      </c>
      <c r="B2934" t="s">
        <v>850</v>
      </c>
      <c r="C2934">
        <v>10</v>
      </c>
      <c r="D2934" t="s">
        <v>29</v>
      </c>
      <c r="E2934" t="s">
        <v>94</v>
      </c>
      <c r="F2934" t="s">
        <v>110</v>
      </c>
      <c r="G2934" t="s">
        <v>104</v>
      </c>
      <c r="H2934" t="s">
        <v>104</v>
      </c>
      <c r="J2934">
        <v>0</v>
      </c>
      <c r="K2934">
        <v>2</v>
      </c>
      <c r="L2934">
        <v>73.260869569999997</v>
      </c>
      <c r="M2934">
        <v>34.453830549999999</v>
      </c>
      <c r="N2934">
        <v>1.058333333</v>
      </c>
      <c r="O2934">
        <v>0.90897070000000002</v>
      </c>
      <c r="P2934">
        <v>113.9375</v>
      </c>
      <c r="Q2934">
        <v>33.375507550000002</v>
      </c>
      <c r="R2934">
        <v>2.4262999999999999</v>
      </c>
      <c r="S2934">
        <v>0.40692159999999999</v>
      </c>
      <c r="T2934" t="s">
        <v>1018</v>
      </c>
      <c r="U2934">
        <v>-1.3679666669999999</v>
      </c>
    </row>
    <row r="2935" spans="1:21" x14ac:dyDescent="0.25">
      <c r="A2935" t="s">
        <v>75</v>
      </c>
      <c r="B2935" t="s">
        <v>850</v>
      </c>
      <c r="C2935">
        <v>10</v>
      </c>
      <c r="D2935" t="s">
        <v>29</v>
      </c>
      <c r="E2935" t="s">
        <v>94</v>
      </c>
      <c r="F2935" t="s">
        <v>110</v>
      </c>
      <c r="G2935" t="s">
        <v>104</v>
      </c>
      <c r="H2935" t="s">
        <v>104</v>
      </c>
      <c r="J2935">
        <v>0</v>
      </c>
      <c r="K2935">
        <v>2</v>
      </c>
      <c r="L2935">
        <v>73.260869569999997</v>
      </c>
      <c r="M2935">
        <v>34.453830549999999</v>
      </c>
      <c r="N2935">
        <v>1.058333333</v>
      </c>
      <c r="O2935">
        <v>0.90897070000000002</v>
      </c>
      <c r="P2935">
        <v>113.9375</v>
      </c>
      <c r="Q2935">
        <v>33.375507550000002</v>
      </c>
      <c r="R2935">
        <v>2.4262999999999999</v>
      </c>
      <c r="S2935">
        <v>0.40692159999999999</v>
      </c>
      <c r="T2935" t="s">
        <v>1018</v>
      </c>
      <c r="U2935">
        <v>-1.3679666669999999</v>
      </c>
    </row>
    <row r="2936" spans="1:21" x14ac:dyDescent="0.25">
      <c r="A2936" t="s">
        <v>75</v>
      </c>
      <c r="B2936" t="s">
        <v>851</v>
      </c>
      <c r="C2936">
        <v>10</v>
      </c>
      <c r="D2936" t="s">
        <v>29</v>
      </c>
      <c r="E2936" t="s">
        <v>94</v>
      </c>
      <c r="F2936" t="s">
        <v>103</v>
      </c>
      <c r="G2936" t="s">
        <v>121</v>
      </c>
      <c r="H2936" t="s">
        <v>251</v>
      </c>
      <c r="J2936">
        <v>0</v>
      </c>
      <c r="K2936">
        <v>1</v>
      </c>
      <c r="L2936">
        <v>98.291666669999998</v>
      </c>
      <c r="M2936">
        <v>30.315130790000001</v>
      </c>
      <c r="N2936">
        <v>5.0803484000000003E-2</v>
      </c>
      <c r="O2936">
        <v>0.42866070000000001</v>
      </c>
      <c r="P2936">
        <v>85</v>
      </c>
      <c r="Q2936">
        <v>37.099157669999997</v>
      </c>
      <c r="R2936">
        <v>0.65291888899999995</v>
      </c>
      <c r="S2936" t="s">
        <v>114</v>
      </c>
      <c r="T2936" t="s">
        <v>1018</v>
      </c>
      <c r="U2936">
        <v>-0.60211540500000005</v>
      </c>
    </row>
    <row r="2937" spans="1:21" x14ac:dyDescent="0.25">
      <c r="A2937" t="s">
        <v>75</v>
      </c>
      <c r="B2937" t="s">
        <v>851</v>
      </c>
      <c r="C2937">
        <v>10</v>
      </c>
      <c r="D2937" t="s">
        <v>29</v>
      </c>
      <c r="E2937" t="s">
        <v>94</v>
      </c>
      <c r="F2937" t="s">
        <v>103</v>
      </c>
      <c r="G2937" t="s">
        <v>121</v>
      </c>
      <c r="H2937" t="s">
        <v>233</v>
      </c>
      <c r="J2937">
        <v>0</v>
      </c>
      <c r="K2937">
        <v>1</v>
      </c>
      <c r="L2937">
        <v>98.291666669999998</v>
      </c>
      <c r="M2937">
        <v>30.315130790000001</v>
      </c>
      <c r="N2937">
        <v>5.0803484000000003E-2</v>
      </c>
      <c r="O2937">
        <v>0.42866070000000001</v>
      </c>
      <c r="P2937">
        <v>106.0540541</v>
      </c>
      <c r="Q2937">
        <v>52.690533369999997</v>
      </c>
      <c r="R2937">
        <v>7.6058968000000005E-2</v>
      </c>
      <c r="S2937">
        <v>0.44888888999999998</v>
      </c>
      <c r="T2937" t="s">
        <v>1018</v>
      </c>
      <c r="U2937">
        <v>-2.5255484000000002E-2</v>
      </c>
    </row>
    <row r="2938" spans="1:21" x14ac:dyDescent="0.25">
      <c r="A2938" t="s">
        <v>75</v>
      </c>
      <c r="B2938" t="s">
        <v>851</v>
      </c>
      <c r="C2938">
        <v>10</v>
      </c>
      <c r="D2938" t="s">
        <v>29</v>
      </c>
      <c r="E2938" t="s">
        <v>94</v>
      </c>
      <c r="F2938" t="s">
        <v>103</v>
      </c>
      <c r="G2938" t="s">
        <v>121</v>
      </c>
      <c r="H2938" t="s">
        <v>105</v>
      </c>
      <c r="J2938">
        <v>0</v>
      </c>
      <c r="K2938">
        <v>1</v>
      </c>
      <c r="L2938">
        <v>98.291666669999998</v>
      </c>
      <c r="M2938">
        <v>30.315130790000001</v>
      </c>
      <c r="N2938">
        <v>5.0803484000000003E-2</v>
      </c>
      <c r="O2938">
        <v>0.42866070000000001</v>
      </c>
      <c r="P2938">
        <v>67.5</v>
      </c>
      <c r="Q2938">
        <v>47.937235809999997</v>
      </c>
      <c r="R2938">
        <v>0.41599678000000001</v>
      </c>
      <c r="S2938">
        <v>2.0950346999999998</v>
      </c>
      <c r="T2938" t="s">
        <v>1018</v>
      </c>
      <c r="U2938">
        <v>-0.365193296</v>
      </c>
    </row>
    <row r="2939" spans="1:21" x14ac:dyDescent="0.25">
      <c r="A2939" t="s">
        <v>76</v>
      </c>
      <c r="B2939" t="s">
        <v>852</v>
      </c>
      <c r="C2939">
        <v>10</v>
      </c>
      <c r="D2939" t="s">
        <v>31</v>
      </c>
      <c r="E2939" t="s">
        <v>94</v>
      </c>
      <c r="F2939" t="s">
        <v>113</v>
      </c>
      <c r="G2939" t="s">
        <v>113</v>
      </c>
      <c r="H2939" t="s">
        <v>113</v>
      </c>
      <c r="J2939">
        <v>0</v>
      </c>
      <c r="K2939">
        <v>2</v>
      </c>
      <c r="L2939">
        <v>83.757575759999995</v>
      </c>
      <c r="M2939">
        <v>22.60997987</v>
      </c>
      <c r="N2939">
        <v>0.72884000000000004</v>
      </c>
      <c r="O2939">
        <v>0.21301339999999999</v>
      </c>
      <c r="P2939">
        <v>83.757575759999995</v>
      </c>
      <c r="Q2939">
        <v>22.60997987</v>
      </c>
      <c r="R2939">
        <v>0.72884000000000004</v>
      </c>
      <c r="S2939">
        <v>0.21301339999999999</v>
      </c>
      <c r="T2939" t="s">
        <v>1018</v>
      </c>
      <c r="U2939">
        <v>0</v>
      </c>
    </row>
    <row r="2940" spans="1:21" x14ac:dyDescent="0.25">
      <c r="A2940" t="s">
        <v>76</v>
      </c>
      <c r="B2940" t="s">
        <v>852</v>
      </c>
      <c r="C2940">
        <v>10</v>
      </c>
      <c r="D2940" t="s">
        <v>31</v>
      </c>
      <c r="E2940" t="s">
        <v>94</v>
      </c>
      <c r="F2940" t="s">
        <v>113</v>
      </c>
      <c r="G2940" t="s">
        <v>113</v>
      </c>
      <c r="H2940" t="s">
        <v>113</v>
      </c>
      <c r="J2940">
        <v>0</v>
      </c>
      <c r="K2940">
        <v>2</v>
      </c>
      <c r="L2940">
        <v>83.757575759999995</v>
      </c>
      <c r="M2940">
        <v>22.60997987</v>
      </c>
      <c r="N2940">
        <v>0.72884000000000004</v>
      </c>
      <c r="O2940">
        <v>0.21301339999999999</v>
      </c>
      <c r="P2940">
        <v>83.757575759999995</v>
      </c>
      <c r="Q2940">
        <v>22.60997987</v>
      </c>
      <c r="R2940">
        <v>0.72884000000000004</v>
      </c>
      <c r="S2940">
        <v>0.21301339999999999</v>
      </c>
      <c r="T2940" t="s">
        <v>1018</v>
      </c>
      <c r="U2940">
        <v>0</v>
      </c>
    </row>
    <row r="2941" spans="1:21" x14ac:dyDescent="0.25">
      <c r="A2941" t="s">
        <v>76</v>
      </c>
      <c r="B2941" t="s">
        <v>852</v>
      </c>
      <c r="C2941">
        <v>10</v>
      </c>
      <c r="D2941" t="s">
        <v>31</v>
      </c>
      <c r="E2941" t="s">
        <v>94</v>
      </c>
      <c r="F2941" t="s">
        <v>113</v>
      </c>
      <c r="G2941" t="s">
        <v>113</v>
      </c>
      <c r="H2941" t="s">
        <v>238</v>
      </c>
      <c r="J2941">
        <v>0</v>
      </c>
      <c r="K2941">
        <v>1</v>
      </c>
      <c r="L2941">
        <v>83.757575759999995</v>
      </c>
      <c r="M2941">
        <v>22.60997987</v>
      </c>
      <c r="N2941">
        <v>0.72884000000000004</v>
      </c>
      <c r="O2941">
        <v>0.21301339999999999</v>
      </c>
      <c r="P2941">
        <v>87.5</v>
      </c>
      <c r="Q2941">
        <v>29.478311600000001</v>
      </c>
      <c r="R2941">
        <v>3.0797751000000002E-2</v>
      </c>
      <c r="S2941">
        <v>0.12931835</v>
      </c>
      <c r="T2941" t="s">
        <v>1018</v>
      </c>
      <c r="U2941">
        <v>0.698042249</v>
      </c>
    </row>
    <row r="2942" spans="1:21" x14ac:dyDescent="0.25">
      <c r="A2942" t="s">
        <v>76</v>
      </c>
      <c r="B2942" t="s">
        <v>852</v>
      </c>
      <c r="C2942">
        <v>10</v>
      </c>
      <c r="D2942" t="s">
        <v>31</v>
      </c>
      <c r="E2942" t="s">
        <v>94</v>
      </c>
      <c r="F2942" t="s">
        <v>113</v>
      </c>
      <c r="G2942" t="s">
        <v>113</v>
      </c>
      <c r="H2942" t="s">
        <v>235</v>
      </c>
      <c r="J2942">
        <v>0</v>
      </c>
      <c r="K2942">
        <v>5</v>
      </c>
      <c r="L2942">
        <v>83.757575759999995</v>
      </c>
      <c r="M2942">
        <v>22.60997987</v>
      </c>
      <c r="N2942">
        <v>0.72884000000000004</v>
      </c>
      <c r="O2942">
        <v>0.21301339999999999</v>
      </c>
      <c r="P2942">
        <v>132.27272730000001</v>
      </c>
      <c r="Q2942">
        <v>20.180448590000001</v>
      </c>
      <c r="R2942">
        <v>3.7813451999999997E-2</v>
      </c>
      <c r="S2942">
        <v>0.41404401000000002</v>
      </c>
      <c r="T2942" t="s">
        <v>1018</v>
      </c>
      <c r="U2942">
        <v>0.69102654799999996</v>
      </c>
    </row>
    <row r="2943" spans="1:21" x14ac:dyDescent="0.25">
      <c r="A2943" t="s">
        <v>76</v>
      </c>
      <c r="B2943" t="s">
        <v>852</v>
      </c>
      <c r="C2943">
        <v>10</v>
      </c>
      <c r="D2943" t="s">
        <v>31</v>
      </c>
      <c r="E2943" t="s">
        <v>94</v>
      </c>
      <c r="F2943" t="s">
        <v>113</v>
      </c>
      <c r="G2943" t="s">
        <v>113</v>
      </c>
      <c r="H2943" t="s">
        <v>235</v>
      </c>
      <c r="J2943">
        <v>0</v>
      </c>
      <c r="K2943">
        <v>5</v>
      </c>
      <c r="L2943">
        <v>83.757575759999995</v>
      </c>
      <c r="M2943">
        <v>22.60997987</v>
      </c>
      <c r="N2943">
        <v>0.72884000000000004</v>
      </c>
      <c r="O2943">
        <v>0.21301339999999999</v>
      </c>
      <c r="P2943">
        <v>132.27272730000001</v>
      </c>
      <c r="Q2943">
        <v>20.180448590000001</v>
      </c>
      <c r="R2943">
        <v>3.7813451999999997E-2</v>
      </c>
      <c r="S2943">
        <v>0.41404401000000002</v>
      </c>
      <c r="T2943" t="s">
        <v>1018</v>
      </c>
      <c r="U2943">
        <v>0.69102654799999996</v>
      </c>
    </row>
    <row r="2944" spans="1:21" x14ac:dyDescent="0.25">
      <c r="A2944" t="s">
        <v>76</v>
      </c>
      <c r="B2944" t="s">
        <v>852</v>
      </c>
      <c r="C2944">
        <v>10</v>
      </c>
      <c r="D2944" t="s">
        <v>31</v>
      </c>
      <c r="E2944" t="s">
        <v>94</v>
      </c>
      <c r="F2944" t="s">
        <v>113</v>
      </c>
      <c r="G2944" t="s">
        <v>113</v>
      </c>
      <c r="H2944" t="s">
        <v>235</v>
      </c>
      <c r="J2944">
        <v>0</v>
      </c>
      <c r="K2944">
        <v>5</v>
      </c>
      <c r="L2944">
        <v>83.757575759999995</v>
      </c>
      <c r="M2944">
        <v>22.60997987</v>
      </c>
      <c r="N2944">
        <v>0.72884000000000004</v>
      </c>
      <c r="O2944">
        <v>0.21301339999999999</v>
      </c>
      <c r="P2944">
        <v>132.27272730000001</v>
      </c>
      <c r="Q2944">
        <v>20.180448590000001</v>
      </c>
      <c r="R2944">
        <v>3.7813451999999997E-2</v>
      </c>
      <c r="S2944">
        <v>0.41404401000000002</v>
      </c>
      <c r="T2944" t="s">
        <v>1018</v>
      </c>
      <c r="U2944">
        <v>0.69102654799999996</v>
      </c>
    </row>
    <row r="2945" spans="1:21" x14ac:dyDescent="0.25">
      <c r="A2945" t="s">
        <v>76</v>
      </c>
      <c r="B2945" t="s">
        <v>852</v>
      </c>
      <c r="C2945">
        <v>10</v>
      </c>
      <c r="D2945" t="s">
        <v>31</v>
      </c>
      <c r="E2945" t="s">
        <v>94</v>
      </c>
      <c r="F2945" t="s">
        <v>113</v>
      </c>
      <c r="G2945" t="s">
        <v>113</v>
      </c>
      <c r="H2945" t="s">
        <v>235</v>
      </c>
      <c r="J2945">
        <v>0</v>
      </c>
      <c r="K2945">
        <v>5</v>
      </c>
      <c r="L2945">
        <v>83.757575759999995</v>
      </c>
      <c r="M2945">
        <v>22.60997987</v>
      </c>
      <c r="N2945">
        <v>0.72884000000000004</v>
      </c>
      <c r="O2945">
        <v>0.21301339999999999</v>
      </c>
      <c r="P2945">
        <v>132.27272730000001</v>
      </c>
      <c r="Q2945">
        <v>20.180448590000001</v>
      </c>
      <c r="R2945">
        <v>3.7813451999999997E-2</v>
      </c>
      <c r="S2945">
        <v>0.41404401000000002</v>
      </c>
      <c r="T2945" t="s">
        <v>1018</v>
      </c>
      <c r="U2945">
        <v>0.69102654799999996</v>
      </c>
    </row>
    <row r="2946" spans="1:21" x14ac:dyDescent="0.25">
      <c r="A2946" t="s">
        <v>76</v>
      </c>
      <c r="B2946" t="s">
        <v>852</v>
      </c>
      <c r="C2946">
        <v>10</v>
      </c>
      <c r="D2946" t="s">
        <v>31</v>
      </c>
      <c r="E2946" t="s">
        <v>94</v>
      </c>
      <c r="F2946" t="s">
        <v>113</v>
      </c>
      <c r="G2946" t="s">
        <v>113</v>
      </c>
      <c r="H2946" t="s">
        <v>235</v>
      </c>
      <c r="J2946">
        <v>0</v>
      </c>
      <c r="K2946">
        <v>5</v>
      </c>
      <c r="L2946">
        <v>83.757575759999995</v>
      </c>
      <c r="M2946">
        <v>22.60997987</v>
      </c>
      <c r="N2946">
        <v>0.72884000000000004</v>
      </c>
      <c r="O2946">
        <v>0.21301339999999999</v>
      </c>
      <c r="P2946">
        <v>132.27272730000001</v>
      </c>
      <c r="Q2946">
        <v>20.180448590000001</v>
      </c>
      <c r="R2946">
        <v>3.7813451999999997E-2</v>
      </c>
      <c r="S2946">
        <v>0.41404401000000002</v>
      </c>
      <c r="T2946" t="s">
        <v>1018</v>
      </c>
      <c r="U2946">
        <v>0.69102654799999996</v>
      </c>
    </row>
    <row r="2947" spans="1:21" x14ac:dyDescent="0.25">
      <c r="A2947" t="s">
        <v>77</v>
      </c>
      <c r="B2947" t="s">
        <v>853</v>
      </c>
      <c r="C2947">
        <v>10</v>
      </c>
      <c r="D2947" t="s">
        <v>33</v>
      </c>
      <c r="E2947" t="s">
        <v>94</v>
      </c>
      <c r="F2947" t="s">
        <v>102</v>
      </c>
      <c r="G2947" t="s">
        <v>110</v>
      </c>
      <c r="H2947" t="s">
        <v>110</v>
      </c>
      <c r="J2947">
        <v>0</v>
      </c>
      <c r="K2947">
        <v>1</v>
      </c>
      <c r="L2947">
        <v>84.740740740000007</v>
      </c>
      <c r="M2947">
        <v>29.167014049999999</v>
      </c>
      <c r="N2947">
        <v>1.1169849999999999</v>
      </c>
      <c r="O2947">
        <v>1.1571499000000001</v>
      </c>
      <c r="P2947">
        <v>73.260869569999997</v>
      </c>
      <c r="Q2947">
        <v>34.453830549999999</v>
      </c>
      <c r="R2947">
        <v>1.058333333</v>
      </c>
      <c r="S2947">
        <v>0.90897070000000002</v>
      </c>
      <c r="T2947" t="s">
        <v>1018</v>
      </c>
      <c r="U2947">
        <v>5.8651666999999998E-2</v>
      </c>
    </row>
    <row r="2948" spans="1:21" x14ac:dyDescent="0.25">
      <c r="A2948" t="s">
        <v>77</v>
      </c>
      <c r="B2948" t="s">
        <v>853</v>
      </c>
      <c r="C2948">
        <v>10</v>
      </c>
      <c r="D2948" t="s">
        <v>33</v>
      </c>
      <c r="E2948" t="s">
        <v>94</v>
      </c>
      <c r="F2948" t="s">
        <v>102</v>
      </c>
      <c r="G2948" t="s">
        <v>110</v>
      </c>
      <c r="H2948" t="s">
        <v>162</v>
      </c>
      <c r="J2948">
        <v>0</v>
      </c>
      <c r="K2948">
        <v>1</v>
      </c>
      <c r="L2948">
        <v>84.740740740000007</v>
      </c>
      <c r="M2948">
        <v>29.167014049999999</v>
      </c>
      <c r="N2948">
        <v>1.1169849999999999</v>
      </c>
      <c r="O2948">
        <v>1.1571499000000001</v>
      </c>
      <c r="P2948">
        <v>82.53846154</v>
      </c>
      <c r="Q2948">
        <v>35.660530039999998</v>
      </c>
      <c r="R2948">
        <v>3.3754499999999998</v>
      </c>
      <c r="S2948" t="s">
        <v>114</v>
      </c>
      <c r="T2948" t="s">
        <v>1018</v>
      </c>
      <c r="U2948">
        <v>-2.2584650000000002</v>
      </c>
    </row>
    <row r="2949" spans="1:21" x14ac:dyDescent="0.25">
      <c r="A2949" t="s">
        <v>77</v>
      </c>
      <c r="B2949" t="s">
        <v>854</v>
      </c>
      <c r="C2949">
        <v>10</v>
      </c>
      <c r="D2949" t="s">
        <v>33</v>
      </c>
      <c r="E2949" t="s">
        <v>94</v>
      </c>
      <c r="F2949" t="s">
        <v>110</v>
      </c>
      <c r="G2949" t="s">
        <v>110</v>
      </c>
      <c r="H2949" t="s">
        <v>110</v>
      </c>
      <c r="J2949">
        <v>0</v>
      </c>
      <c r="K2949">
        <v>3</v>
      </c>
      <c r="L2949">
        <v>73.260869569999997</v>
      </c>
      <c r="M2949">
        <v>34.453830549999999</v>
      </c>
      <c r="N2949">
        <v>1.058333333</v>
      </c>
      <c r="O2949">
        <v>0.90897070000000002</v>
      </c>
      <c r="P2949">
        <v>73.260869569999997</v>
      </c>
      <c r="Q2949">
        <v>34.453830549999999</v>
      </c>
      <c r="R2949">
        <v>1.058333333</v>
      </c>
      <c r="S2949">
        <v>0.90897070000000002</v>
      </c>
      <c r="T2949" t="s">
        <v>1018</v>
      </c>
      <c r="U2949">
        <v>0</v>
      </c>
    </row>
    <row r="2950" spans="1:21" x14ac:dyDescent="0.25">
      <c r="A2950" t="s">
        <v>77</v>
      </c>
      <c r="B2950" t="s">
        <v>854</v>
      </c>
      <c r="C2950">
        <v>10</v>
      </c>
      <c r="D2950" t="s">
        <v>33</v>
      </c>
      <c r="E2950" t="s">
        <v>94</v>
      </c>
      <c r="F2950" t="s">
        <v>110</v>
      </c>
      <c r="G2950" t="s">
        <v>110</v>
      </c>
      <c r="H2950" t="s">
        <v>110</v>
      </c>
      <c r="J2950">
        <v>0</v>
      </c>
      <c r="K2950">
        <v>3</v>
      </c>
      <c r="L2950">
        <v>73.260869569999997</v>
      </c>
      <c r="M2950">
        <v>34.453830549999999</v>
      </c>
      <c r="N2950">
        <v>1.058333333</v>
      </c>
      <c r="O2950">
        <v>0.90897070000000002</v>
      </c>
      <c r="P2950">
        <v>73.260869569999997</v>
      </c>
      <c r="Q2950">
        <v>34.453830549999999</v>
      </c>
      <c r="R2950">
        <v>1.058333333</v>
      </c>
      <c r="S2950">
        <v>0.90897070000000002</v>
      </c>
      <c r="T2950" t="s">
        <v>1018</v>
      </c>
      <c r="U2950">
        <v>0</v>
      </c>
    </row>
    <row r="2951" spans="1:21" x14ac:dyDescent="0.25">
      <c r="A2951" t="s">
        <v>77</v>
      </c>
      <c r="B2951" t="s">
        <v>854</v>
      </c>
      <c r="C2951">
        <v>10</v>
      </c>
      <c r="D2951" t="s">
        <v>33</v>
      </c>
      <c r="E2951" t="s">
        <v>94</v>
      </c>
      <c r="F2951" t="s">
        <v>110</v>
      </c>
      <c r="G2951" t="s">
        <v>110</v>
      </c>
      <c r="H2951" t="s">
        <v>110</v>
      </c>
      <c r="J2951">
        <v>0</v>
      </c>
      <c r="K2951">
        <v>3</v>
      </c>
      <c r="L2951">
        <v>73.260869569999997</v>
      </c>
      <c r="M2951">
        <v>34.453830549999999</v>
      </c>
      <c r="N2951">
        <v>1.058333333</v>
      </c>
      <c r="O2951">
        <v>0.90897070000000002</v>
      </c>
      <c r="P2951">
        <v>73.260869569999997</v>
      </c>
      <c r="Q2951">
        <v>34.453830549999999</v>
      </c>
      <c r="R2951">
        <v>1.058333333</v>
      </c>
      <c r="S2951">
        <v>0.90897070000000002</v>
      </c>
      <c r="T2951" t="s">
        <v>1018</v>
      </c>
      <c r="U2951">
        <v>0</v>
      </c>
    </row>
    <row r="2952" spans="1:21" x14ac:dyDescent="0.25">
      <c r="A2952" t="s">
        <v>78</v>
      </c>
      <c r="B2952" t="s">
        <v>855</v>
      </c>
      <c r="C2952">
        <v>10</v>
      </c>
      <c r="D2952" t="s">
        <v>35</v>
      </c>
      <c r="E2952" t="s">
        <v>94</v>
      </c>
      <c r="F2952" t="s">
        <v>111</v>
      </c>
      <c r="G2952" t="s">
        <v>121</v>
      </c>
      <c r="H2952" t="s">
        <v>114</v>
      </c>
      <c r="J2952">
        <v>0</v>
      </c>
      <c r="K2952">
        <v>0</v>
      </c>
      <c r="L2952">
        <v>94.97142857</v>
      </c>
      <c r="M2952">
        <v>24.31591813</v>
      </c>
      <c r="N2952">
        <v>0.122951111</v>
      </c>
      <c r="O2952">
        <v>0.39050790000000002</v>
      </c>
      <c r="P2952" t="s">
        <v>114</v>
      </c>
      <c r="Q2952" t="s">
        <v>114</v>
      </c>
      <c r="R2952" t="s">
        <v>114</v>
      </c>
      <c r="S2952" t="s">
        <v>114</v>
      </c>
      <c r="T2952" t="s">
        <v>1018</v>
      </c>
      <c r="U2952" t="s">
        <v>114</v>
      </c>
    </row>
    <row r="2953" spans="1:21" x14ac:dyDescent="0.25">
      <c r="A2953" t="s">
        <v>50</v>
      </c>
      <c r="B2953" t="s">
        <v>856</v>
      </c>
      <c r="C2953">
        <v>12</v>
      </c>
      <c r="D2953" t="s">
        <v>11</v>
      </c>
      <c r="E2953" t="s">
        <v>95</v>
      </c>
      <c r="F2953" t="s">
        <v>113</v>
      </c>
      <c r="G2953" t="s">
        <v>113</v>
      </c>
      <c r="H2953" t="s">
        <v>113</v>
      </c>
      <c r="J2953">
        <v>0</v>
      </c>
      <c r="K2953">
        <v>6</v>
      </c>
      <c r="L2953">
        <v>83.757575759999995</v>
      </c>
      <c r="M2953">
        <v>22.60997987</v>
      </c>
      <c r="N2953">
        <v>0.72884000000000004</v>
      </c>
      <c r="O2953">
        <v>0.21301339999999999</v>
      </c>
      <c r="P2953">
        <v>83.757575759999995</v>
      </c>
      <c r="Q2953">
        <v>22.60997987</v>
      </c>
      <c r="R2953">
        <v>0.72884000000000004</v>
      </c>
      <c r="S2953">
        <v>0.21301339999999999</v>
      </c>
      <c r="T2953" t="s">
        <v>1018</v>
      </c>
      <c r="U2953">
        <v>0</v>
      </c>
    </row>
    <row r="2954" spans="1:21" x14ac:dyDescent="0.25">
      <c r="A2954" t="s">
        <v>50</v>
      </c>
      <c r="B2954" t="s">
        <v>856</v>
      </c>
      <c r="C2954">
        <v>12</v>
      </c>
      <c r="D2954" t="s">
        <v>11</v>
      </c>
      <c r="E2954" t="s">
        <v>95</v>
      </c>
      <c r="F2954" t="s">
        <v>113</v>
      </c>
      <c r="G2954" t="s">
        <v>113</v>
      </c>
      <c r="H2954" t="s">
        <v>113</v>
      </c>
      <c r="J2954">
        <v>0</v>
      </c>
      <c r="K2954">
        <v>6</v>
      </c>
      <c r="L2954">
        <v>83.757575759999995</v>
      </c>
      <c r="M2954">
        <v>22.60997987</v>
      </c>
      <c r="N2954">
        <v>0.72884000000000004</v>
      </c>
      <c r="O2954">
        <v>0.21301339999999999</v>
      </c>
      <c r="P2954">
        <v>83.757575759999995</v>
      </c>
      <c r="Q2954">
        <v>22.60997987</v>
      </c>
      <c r="R2954">
        <v>0.72884000000000004</v>
      </c>
      <c r="S2954">
        <v>0.21301339999999999</v>
      </c>
      <c r="T2954" t="s">
        <v>1018</v>
      </c>
      <c r="U2954">
        <v>0</v>
      </c>
    </row>
    <row r="2955" spans="1:21" x14ac:dyDescent="0.25">
      <c r="A2955" t="s">
        <v>50</v>
      </c>
      <c r="B2955" t="s">
        <v>856</v>
      </c>
      <c r="C2955">
        <v>12</v>
      </c>
      <c r="D2955" t="s">
        <v>11</v>
      </c>
      <c r="E2955" t="s">
        <v>95</v>
      </c>
      <c r="F2955" t="s">
        <v>113</v>
      </c>
      <c r="G2955" t="s">
        <v>113</v>
      </c>
      <c r="H2955" t="s">
        <v>113</v>
      </c>
      <c r="J2955">
        <v>0</v>
      </c>
      <c r="K2955">
        <v>6</v>
      </c>
      <c r="L2955">
        <v>83.757575759999995</v>
      </c>
      <c r="M2955">
        <v>22.60997987</v>
      </c>
      <c r="N2955">
        <v>0.72884000000000004</v>
      </c>
      <c r="O2955">
        <v>0.21301339999999999</v>
      </c>
      <c r="P2955">
        <v>83.757575759999995</v>
      </c>
      <c r="Q2955">
        <v>22.60997987</v>
      </c>
      <c r="R2955">
        <v>0.72884000000000004</v>
      </c>
      <c r="S2955">
        <v>0.21301339999999999</v>
      </c>
      <c r="T2955" t="s">
        <v>1018</v>
      </c>
      <c r="U2955">
        <v>0</v>
      </c>
    </row>
    <row r="2956" spans="1:21" x14ac:dyDescent="0.25">
      <c r="A2956" t="s">
        <v>50</v>
      </c>
      <c r="B2956" t="s">
        <v>856</v>
      </c>
      <c r="C2956">
        <v>12</v>
      </c>
      <c r="D2956" t="s">
        <v>11</v>
      </c>
      <c r="E2956" t="s">
        <v>95</v>
      </c>
      <c r="F2956" t="s">
        <v>113</v>
      </c>
      <c r="G2956" t="s">
        <v>113</v>
      </c>
      <c r="H2956" t="s">
        <v>113</v>
      </c>
      <c r="J2956">
        <v>0</v>
      </c>
      <c r="K2956">
        <v>6</v>
      </c>
      <c r="L2956">
        <v>83.757575759999995</v>
      </c>
      <c r="M2956">
        <v>22.60997987</v>
      </c>
      <c r="N2956">
        <v>0.72884000000000004</v>
      </c>
      <c r="O2956">
        <v>0.21301339999999999</v>
      </c>
      <c r="P2956">
        <v>83.757575759999995</v>
      </c>
      <c r="Q2956">
        <v>22.60997987</v>
      </c>
      <c r="R2956">
        <v>0.72884000000000004</v>
      </c>
      <c r="S2956">
        <v>0.21301339999999999</v>
      </c>
      <c r="T2956" t="s">
        <v>1018</v>
      </c>
      <c r="U2956">
        <v>0</v>
      </c>
    </row>
    <row r="2957" spans="1:21" x14ac:dyDescent="0.25">
      <c r="A2957" t="s">
        <v>50</v>
      </c>
      <c r="B2957" t="s">
        <v>856</v>
      </c>
      <c r="C2957">
        <v>12</v>
      </c>
      <c r="D2957" t="s">
        <v>11</v>
      </c>
      <c r="E2957" t="s">
        <v>95</v>
      </c>
      <c r="F2957" t="s">
        <v>113</v>
      </c>
      <c r="G2957" t="s">
        <v>113</v>
      </c>
      <c r="H2957" t="s">
        <v>113</v>
      </c>
      <c r="J2957">
        <v>0</v>
      </c>
      <c r="K2957">
        <v>6</v>
      </c>
      <c r="L2957">
        <v>83.757575759999995</v>
      </c>
      <c r="M2957">
        <v>22.60997987</v>
      </c>
      <c r="N2957">
        <v>0.72884000000000004</v>
      </c>
      <c r="O2957">
        <v>0.21301339999999999</v>
      </c>
      <c r="P2957">
        <v>83.757575759999995</v>
      </c>
      <c r="Q2957">
        <v>22.60997987</v>
      </c>
      <c r="R2957">
        <v>0.72884000000000004</v>
      </c>
      <c r="S2957">
        <v>0.21301339999999999</v>
      </c>
      <c r="T2957" t="s">
        <v>1018</v>
      </c>
      <c r="U2957">
        <v>0</v>
      </c>
    </row>
    <row r="2958" spans="1:21" x14ac:dyDescent="0.25">
      <c r="A2958" t="s">
        <v>50</v>
      </c>
      <c r="B2958" t="s">
        <v>856</v>
      </c>
      <c r="C2958">
        <v>12</v>
      </c>
      <c r="D2958" t="s">
        <v>11</v>
      </c>
      <c r="E2958" t="s">
        <v>95</v>
      </c>
      <c r="F2958" t="s">
        <v>113</v>
      </c>
      <c r="G2958" t="s">
        <v>113</v>
      </c>
      <c r="H2958" t="s">
        <v>113</v>
      </c>
      <c r="J2958">
        <v>0</v>
      </c>
      <c r="K2958">
        <v>6</v>
      </c>
      <c r="L2958">
        <v>83.757575759999995</v>
      </c>
      <c r="M2958">
        <v>22.60997987</v>
      </c>
      <c r="N2958">
        <v>0.72884000000000004</v>
      </c>
      <c r="O2958">
        <v>0.21301339999999999</v>
      </c>
      <c r="P2958">
        <v>83.757575759999995</v>
      </c>
      <c r="Q2958">
        <v>22.60997987</v>
      </c>
      <c r="R2958">
        <v>0.72884000000000004</v>
      </c>
      <c r="S2958">
        <v>0.21301339999999999</v>
      </c>
      <c r="T2958" t="s">
        <v>1018</v>
      </c>
      <c r="U2958">
        <v>0</v>
      </c>
    </row>
    <row r="2959" spans="1:21" x14ac:dyDescent="0.25">
      <c r="A2959" t="s">
        <v>50</v>
      </c>
      <c r="B2959" t="s">
        <v>856</v>
      </c>
      <c r="C2959">
        <v>12</v>
      </c>
      <c r="D2959" t="s">
        <v>11</v>
      </c>
      <c r="E2959" t="s">
        <v>95</v>
      </c>
      <c r="F2959" t="s">
        <v>113</v>
      </c>
      <c r="G2959" t="s">
        <v>113</v>
      </c>
      <c r="H2959" t="s">
        <v>238</v>
      </c>
      <c r="J2959">
        <v>0</v>
      </c>
      <c r="K2959">
        <v>1</v>
      </c>
      <c r="L2959">
        <v>83.757575759999995</v>
      </c>
      <c r="M2959">
        <v>22.60997987</v>
      </c>
      <c r="N2959">
        <v>0.72884000000000004</v>
      </c>
      <c r="O2959">
        <v>0.21301339999999999</v>
      </c>
      <c r="P2959">
        <v>87.5</v>
      </c>
      <c r="Q2959">
        <v>29.478311600000001</v>
      </c>
      <c r="R2959">
        <v>3.0797751000000002E-2</v>
      </c>
      <c r="S2959">
        <v>0.12931835</v>
      </c>
      <c r="T2959" t="s">
        <v>1018</v>
      </c>
      <c r="U2959">
        <v>0.698042249</v>
      </c>
    </row>
    <row r="2960" spans="1:21" x14ac:dyDescent="0.25">
      <c r="A2960" t="s">
        <v>50</v>
      </c>
      <c r="B2960" t="s">
        <v>857</v>
      </c>
      <c r="C2960">
        <v>12</v>
      </c>
      <c r="D2960" t="s">
        <v>11</v>
      </c>
      <c r="E2960" t="s">
        <v>95</v>
      </c>
      <c r="F2960" t="s">
        <v>103</v>
      </c>
      <c r="G2960" t="s">
        <v>113</v>
      </c>
      <c r="H2960" t="s">
        <v>113</v>
      </c>
      <c r="J2960">
        <v>0</v>
      </c>
      <c r="K2960">
        <v>4</v>
      </c>
      <c r="L2960">
        <v>98.291666669999998</v>
      </c>
      <c r="M2960">
        <v>30.315130790000001</v>
      </c>
      <c r="N2960">
        <v>5.0803484000000003E-2</v>
      </c>
      <c r="O2960">
        <v>0.42866070000000001</v>
      </c>
      <c r="P2960">
        <v>83.757575759999995</v>
      </c>
      <c r="Q2960">
        <v>22.60997987</v>
      </c>
      <c r="R2960">
        <v>0.72884000000000004</v>
      </c>
      <c r="S2960">
        <v>0.21301339999999999</v>
      </c>
      <c r="T2960" t="s">
        <v>1018</v>
      </c>
      <c r="U2960">
        <v>-0.67803651600000003</v>
      </c>
    </row>
    <row r="2961" spans="1:21" x14ac:dyDescent="0.25">
      <c r="A2961" t="s">
        <v>50</v>
      </c>
      <c r="B2961" t="s">
        <v>857</v>
      </c>
      <c r="C2961">
        <v>12</v>
      </c>
      <c r="D2961" t="s">
        <v>11</v>
      </c>
      <c r="E2961" t="s">
        <v>95</v>
      </c>
      <c r="F2961" t="s">
        <v>103</v>
      </c>
      <c r="G2961" t="s">
        <v>113</v>
      </c>
      <c r="H2961" t="s">
        <v>113</v>
      </c>
      <c r="J2961">
        <v>0</v>
      </c>
      <c r="K2961">
        <v>4</v>
      </c>
      <c r="L2961">
        <v>98.291666669999998</v>
      </c>
      <c r="M2961">
        <v>30.315130790000001</v>
      </c>
      <c r="N2961">
        <v>5.0803484000000003E-2</v>
      </c>
      <c r="O2961">
        <v>0.42866070000000001</v>
      </c>
      <c r="P2961">
        <v>83.757575759999995</v>
      </c>
      <c r="Q2961">
        <v>22.60997987</v>
      </c>
      <c r="R2961">
        <v>0.72884000000000004</v>
      </c>
      <c r="S2961">
        <v>0.21301339999999999</v>
      </c>
      <c r="T2961" t="s">
        <v>1018</v>
      </c>
      <c r="U2961">
        <v>-0.67803651600000003</v>
      </c>
    </row>
    <row r="2962" spans="1:21" x14ac:dyDescent="0.25">
      <c r="A2962" t="s">
        <v>50</v>
      </c>
      <c r="B2962" t="s">
        <v>857</v>
      </c>
      <c r="C2962">
        <v>12</v>
      </c>
      <c r="D2962" t="s">
        <v>11</v>
      </c>
      <c r="E2962" t="s">
        <v>95</v>
      </c>
      <c r="F2962" t="s">
        <v>103</v>
      </c>
      <c r="G2962" t="s">
        <v>113</v>
      </c>
      <c r="H2962" t="s">
        <v>113</v>
      </c>
      <c r="J2962">
        <v>0</v>
      </c>
      <c r="K2962">
        <v>4</v>
      </c>
      <c r="L2962">
        <v>98.291666669999998</v>
      </c>
      <c r="M2962">
        <v>30.315130790000001</v>
      </c>
      <c r="N2962">
        <v>5.0803484000000003E-2</v>
      </c>
      <c r="O2962">
        <v>0.42866070000000001</v>
      </c>
      <c r="P2962">
        <v>83.757575759999995</v>
      </c>
      <c r="Q2962">
        <v>22.60997987</v>
      </c>
      <c r="R2962">
        <v>0.72884000000000004</v>
      </c>
      <c r="S2962">
        <v>0.21301339999999999</v>
      </c>
      <c r="T2962" t="s">
        <v>1018</v>
      </c>
      <c r="U2962">
        <v>-0.67803651600000003</v>
      </c>
    </row>
    <row r="2963" spans="1:21" x14ac:dyDescent="0.25">
      <c r="A2963" t="s">
        <v>50</v>
      </c>
      <c r="B2963" t="s">
        <v>857</v>
      </c>
      <c r="C2963">
        <v>12</v>
      </c>
      <c r="D2963" t="s">
        <v>11</v>
      </c>
      <c r="E2963" t="s">
        <v>95</v>
      </c>
      <c r="F2963" t="s">
        <v>103</v>
      </c>
      <c r="G2963" t="s">
        <v>113</v>
      </c>
      <c r="H2963" t="s">
        <v>113</v>
      </c>
      <c r="J2963">
        <v>0</v>
      </c>
      <c r="K2963">
        <v>4</v>
      </c>
      <c r="L2963">
        <v>98.291666669999998</v>
      </c>
      <c r="M2963">
        <v>30.315130790000001</v>
      </c>
      <c r="N2963">
        <v>5.0803484000000003E-2</v>
      </c>
      <c r="O2963">
        <v>0.42866070000000001</v>
      </c>
      <c r="P2963">
        <v>83.757575759999995</v>
      </c>
      <c r="Q2963">
        <v>22.60997987</v>
      </c>
      <c r="R2963">
        <v>0.72884000000000004</v>
      </c>
      <c r="S2963">
        <v>0.21301339999999999</v>
      </c>
      <c r="T2963" t="s">
        <v>1018</v>
      </c>
      <c r="U2963">
        <v>-0.67803651600000003</v>
      </c>
    </row>
    <row r="2964" spans="1:21" x14ac:dyDescent="0.25">
      <c r="A2964" t="s">
        <v>50</v>
      </c>
      <c r="B2964" t="s">
        <v>857</v>
      </c>
      <c r="C2964">
        <v>12</v>
      </c>
      <c r="D2964" t="s">
        <v>11</v>
      </c>
      <c r="E2964" t="s">
        <v>95</v>
      </c>
      <c r="F2964" t="s">
        <v>103</v>
      </c>
      <c r="G2964" t="s">
        <v>113</v>
      </c>
      <c r="H2964" t="s">
        <v>242</v>
      </c>
      <c r="J2964">
        <v>0</v>
      </c>
      <c r="K2964">
        <v>3</v>
      </c>
      <c r="L2964">
        <v>98.291666669999998</v>
      </c>
      <c r="M2964">
        <v>30.315130790000001</v>
      </c>
      <c r="N2964">
        <v>5.0803484000000003E-2</v>
      </c>
      <c r="O2964">
        <v>0.42866070000000001</v>
      </c>
      <c r="P2964">
        <v>139.375</v>
      </c>
      <c r="Q2964">
        <v>23.713465920000001</v>
      </c>
      <c r="R2964" t="s">
        <v>114</v>
      </c>
      <c r="S2964" t="s">
        <v>114</v>
      </c>
      <c r="T2964" t="s">
        <v>1018</v>
      </c>
      <c r="U2964" t="s">
        <v>114</v>
      </c>
    </row>
    <row r="2965" spans="1:21" x14ac:dyDescent="0.25">
      <c r="A2965" t="s">
        <v>50</v>
      </c>
      <c r="B2965" t="s">
        <v>857</v>
      </c>
      <c r="C2965">
        <v>12</v>
      </c>
      <c r="D2965" t="s">
        <v>11</v>
      </c>
      <c r="E2965" t="s">
        <v>95</v>
      </c>
      <c r="F2965" t="s">
        <v>103</v>
      </c>
      <c r="G2965" t="s">
        <v>113</v>
      </c>
      <c r="H2965" t="s">
        <v>242</v>
      </c>
      <c r="J2965">
        <v>0</v>
      </c>
      <c r="K2965">
        <v>3</v>
      </c>
      <c r="L2965">
        <v>98.291666669999998</v>
      </c>
      <c r="M2965">
        <v>30.315130790000001</v>
      </c>
      <c r="N2965">
        <v>5.0803484000000003E-2</v>
      </c>
      <c r="O2965">
        <v>0.42866070000000001</v>
      </c>
      <c r="P2965">
        <v>139.375</v>
      </c>
      <c r="Q2965">
        <v>23.713465920000001</v>
      </c>
      <c r="R2965" t="s">
        <v>114</v>
      </c>
      <c r="S2965" t="s">
        <v>114</v>
      </c>
      <c r="T2965" t="s">
        <v>1018</v>
      </c>
      <c r="U2965" t="s">
        <v>114</v>
      </c>
    </row>
    <row r="2966" spans="1:21" x14ac:dyDescent="0.25">
      <c r="A2966" t="s">
        <v>50</v>
      </c>
      <c r="B2966" t="s">
        <v>857</v>
      </c>
      <c r="C2966">
        <v>12</v>
      </c>
      <c r="D2966" t="s">
        <v>11</v>
      </c>
      <c r="E2966" t="s">
        <v>95</v>
      </c>
      <c r="F2966" t="s">
        <v>103</v>
      </c>
      <c r="G2966" t="s">
        <v>113</v>
      </c>
      <c r="H2966" t="s">
        <v>242</v>
      </c>
      <c r="J2966">
        <v>0</v>
      </c>
      <c r="K2966">
        <v>3</v>
      </c>
      <c r="L2966">
        <v>98.291666669999998</v>
      </c>
      <c r="M2966">
        <v>30.315130790000001</v>
      </c>
      <c r="N2966">
        <v>5.0803484000000003E-2</v>
      </c>
      <c r="O2966">
        <v>0.42866070000000001</v>
      </c>
      <c r="P2966">
        <v>139.375</v>
      </c>
      <c r="Q2966">
        <v>23.713465920000001</v>
      </c>
      <c r="R2966" t="s">
        <v>114</v>
      </c>
      <c r="S2966" t="s">
        <v>114</v>
      </c>
      <c r="T2966" t="s">
        <v>1018</v>
      </c>
      <c r="U2966" t="s">
        <v>114</v>
      </c>
    </row>
    <row r="2967" spans="1:21" x14ac:dyDescent="0.25">
      <c r="A2967" t="s">
        <v>50</v>
      </c>
      <c r="B2967" t="s">
        <v>858</v>
      </c>
      <c r="C2967">
        <v>12</v>
      </c>
      <c r="D2967" t="s">
        <v>11</v>
      </c>
      <c r="E2967" t="s">
        <v>95</v>
      </c>
      <c r="F2967" t="s">
        <v>111</v>
      </c>
      <c r="G2967" t="s">
        <v>113</v>
      </c>
      <c r="H2967" t="s">
        <v>113</v>
      </c>
      <c r="J2967">
        <v>0</v>
      </c>
      <c r="K2967">
        <v>3</v>
      </c>
      <c r="L2967">
        <v>94.97142857</v>
      </c>
      <c r="M2967">
        <v>24.31591813</v>
      </c>
      <c r="N2967">
        <v>0.122951111</v>
      </c>
      <c r="O2967">
        <v>0.39050790000000002</v>
      </c>
      <c r="P2967">
        <v>83.757575759999995</v>
      </c>
      <c r="Q2967">
        <v>22.60997987</v>
      </c>
      <c r="R2967">
        <v>0.72884000000000004</v>
      </c>
      <c r="S2967">
        <v>0.21301339999999999</v>
      </c>
      <c r="T2967" t="s">
        <v>1018</v>
      </c>
      <c r="U2967">
        <v>-0.60588888900000004</v>
      </c>
    </row>
    <row r="2968" spans="1:21" x14ac:dyDescent="0.25">
      <c r="A2968" t="s">
        <v>50</v>
      </c>
      <c r="B2968" t="s">
        <v>858</v>
      </c>
      <c r="C2968">
        <v>12</v>
      </c>
      <c r="D2968" t="s">
        <v>11</v>
      </c>
      <c r="E2968" t="s">
        <v>95</v>
      </c>
      <c r="F2968" t="s">
        <v>111</v>
      </c>
      <c r="G2968" t="s">
        <v>113</v>
      </c>
      <c r="H2968" t="s">
        <v>113</v>
      </c>
      <c r="J2968">
        <v>0</v>
      </c>
      <c r="K2968">
        <v>3</v>
      </c>
      <c r="L2968">
        <v>94.97142857</v>
      </c>
      <c r="M2968">
        <v>24.31591813</v>
      </c>
      <c r="N2968">
        <v>0.122951111</v>
      </c>
      <c r="O2968">
        <v>0.39050790000000002</v>
      </c>
      <c r="P2968">
        <v>83.757575759999995</v>
      </c>
      <c r="Q2968">
        <v>22.60997987</v>
      </c>
      <c r="R2968">
        <v>0.72884000000000004</v>
      </c>
      <c r="S2968">
        <v>0.21301339999999999</v>
      </c>
      <c r="T2968" t="s">
        <v>1018</v>
      </c>
      <c r="U2968">
        <v>-0.60588888900000004</v>
      </c>
    </row>
    <row r="2969" spans="1:21" x14ac:dyDescent="0.25">
      <c r="A2969" t="s">
        <v>50</v>
      </c>
      <c r="B2969" t="s">
        <v>858</v>
      </c>
      <c r="C2969">
        <v>12</v>
      </c>
      <c r="D2969" t="s">
        <v>11</v>
      </c>
      <c r="E2969" t="s">
        <v>95</v>
      </c>
      <c r="F2969" t="s">
        <v>111</v>
      </c>
      <c r="G2969" t="s">
        <v>113</v>
      </c>
      <c r="H2969" t="s">
        <v>113</v>
      </c>
      <c r="J2969">
        <v>0</v>
      </c>
      <c r="K2969">
        <v>3</v>
      </c>
      <c r="L2969">
        <v>94.97142857</v>
      </c>
      <c r="M2969">
        <v>24.31591813</v>
      </c>
      <c r="N2969">
        <v>0.122951111</v>
      </c>
      <c r="O2969">
        <v>0.39050790000000002</v>
      </c>
      <c r="P2969">
        <v>83.757575759999995</v>
      </c>
      <c r="Q2969">
        <v>22.60997987</v>
      </c>
      <c r="R2969">
        <v>0.72884000000000004</v>
      </c>
      <c r="S2969">
        <v>0.21301339999999999</v>
      </c>
      <c r="T2969" t="s">
        <v>1018</v>
      </c>
      <c r="U2969">
        <v>-0.60588888900000004</v>
      </c>
    </row>
    <row r="2970" spans="1:21" x14ac:dyDescent="0.25">
      <c r="A2970" t="s">
        <v>50</v>
      </c>
      <c r="B2970" t="s">
        <v>858</v>
      </c>
      <c r="C2970">
        <v>12</v>
      </c>
      <c r="D2970" t="s">
        <v>11</v>
      </c>
      <c r="E2970" t="s">
        <v>95</v>
      </c>
      <c r="F2970" t="s">
        <v>111</v>
      </c>
      <c r="G2970" t="s">
        <v>113</v>
      </c>
      <c r="H2970" t="s">
        <v>242</v>
      </c>
      <c r="J2970">
        <v>0</v>
      </c>
      <c r="K2970">
        <v>2</v>
      </c>
      <c r="L2970">
        <v>94.97142857</v>
      </c>
      <c r="M2970">
        <v>24.31591813</v>
      </c>
      <c r="N2970">
        <v>0.122951111</v>
      </c>
      <c r="O2970">
        <v>0.39050790000000002</v>
      </c>
      <c r="P2970">
        <v>139.375</v>
      </c>
      <c r="Q2970">
        <v>23.713465920000001</v>
      </c>
      <c r="R2970" t="s">
        <v>114</v>
      </c>
      <c r="S2970" t="s">
        <v>114</v>
      </c>
      <c r="T2970" t="s">
        <v>1018</v>
      </c>
      <c r="U2970" t="s">
        <v>114</v>
      </c>
    </row>
    <row r="2971" spans="1:21" x14ac:dyDescent="0.25">
      <c r="A2971" t="s">
        <v>50</v>
      </c>
      <c r="B2971" t="s">
        <v>858</v>
      </c>
      <c r="C2971">
        <v>12</v>
      </c>
      <c r="D2971" t="s">
        <v>11</v>
      </c>
      <c r="E2971" t="s">
        <v>95</v>
      </c>
      <c r="F2971" t="s">
        <v>111</v>
      </c>
      <c r="G2971" t="s">
        <v>113</v>
      </c>
      <c r="H2971" t="s">
        <v>242</v>
      </c>
      <c r="J2971">
        <v>0</v>
      </c>
      <c r="K2971">
        <v>2</v>
      </c>
      <c r="L2971">
        <v>94.97142857</v>
      </c>
      <c r="M2971">
        <v>24.31591813</v>
      </c>
      <c r="N2971">
        <v>0.122951111</v>
      </c>
      <c r="O2971">
        <v>0.39050790000000002</v>
      </c>
      <c r="P2971">
        <v>139.375</v>
      </c>
      <c r="Q2971">
        <v>23.713465920000001</v>
      </c>
      <c r="R2971" t="s">
        <v>114</v>
      </c>
      <c r="S2971" t="s">
        <v>114</v>
      </c>
      <c r="T2971" t="s">
        <v>1018</v>
      </c>
      <c r="U2971" t="s">
        <v>114</v>
      </c>
    </row>
    <row r="2972" spans="1:21" x14ac:dyDescent="0.25">
      <c r="A2972" t="s">
        <v>50</v>
      </c>
      <c r="B2972" t="s">
        <v>859</v>
      </c>
      <c r="C2972">
        <v>12</v>
      </c>
      <c r="D2972" t="s">
        <v>11</v>
      </c>
      <c r="E2972" t="s">
        <v>95</v>
      </c>
      <c r="F2972" t="s">
        <v>104</v>
      </c>
      <c r="G2972" t="s">
        <v>121</v>
      </c>
      <c r="H2972" t="s">
        <v>103</v>
      </c>
      <c r="J2972">
        <v>0</v>
      </c>
      <c r="K2972">
        <v>1</v>
      </c>
      <c r="L2972">
        <v>113.9375</v>
      </c>
      <c r="M2972">
        <v>33.375507550000002</v>
      </c>
      <c r="N2972">
        <v>2.4262999999999999</v>
      </c>
      <c r="O2972">
        <v>0.40692159999999999</v>
      </c>
      <c r="P2972">
        <v>98.291666669999998</v>
      </c>
      <c r="Q2972">
        <v>30.315130790000001</v>
      </c>
      <c r="R2972">
        <v>5.0803484000000003E-2</v>
      </c>
      <c r="S2972">
        <v>0.42866070000000001</v>
      </c>
      <c r="T2972" t="s">
        <v>1018</v>
      </c>
      <c r="U2972">
        <v>2.3754965160000001</v>
      </c>
    </row>
    <row r="2973" spans="1:21" x14ac:dyDescent="0.25">
      <c r="A2973" t="s">
        <v>50</v>
      </c>
      <c r="B2973" t="s">
        <v>859</v>
      </c>
      <c r="C2973">
        <v>12</v>
      </c>
      <c r="D2973" t="s">
        <v>11</v>
      </c>
      <c r="E2973" t="s">
        <v>95</v>
      </c>
      <c r="F2973" t="s">
        <v>104</v>
      </c>
      <c r="G2973" t="s">
        <v>121</v>
      </c>
      <c r="H2973" t="s">
        <v>238</v>
      </c>
      <c r="J2973">
        <v>0</v>
      </c>
      <c r="K2973">
        <v>1</v>
      </c>
      <c r="L2973">
        <v>113.9375</v>
      </c>
      <c r="M2973">
        <v>33.375507550000002</v>
      </c>
      <c r="N2973">
        <v>2.4262999999999999</v>
      </c>
      <c r="O2973">
        <v>0.40692159999999999</v>
      </c>
      <c r="P2973">
        <v>87.5</v>
      </c>
      <c r="Q2973">
        <v>29.478311600000001</v>
      </c>
      <c r="R2973">
        <v>3.0797751000000002E-2</v>
      </c>
      <c r="S2973">
        <v>0.12931835</v>
      </c>
      <c r="T2973" t="s">
        <v>1018</v>
      </c>
      <c r="U2973">
        <v>2.3955022490000002</v>
      </c>
    </row>
    <row r="2974" spans="1:21" x14ac:dyDescent="0.25">
      <c r="A2974" t="s">
        <v>51</v>
      </c>
      <c r="B2974" t="s">
        <v>860</v>
      </c>
      <c r="C2974">
        <v>12</v>
      </c>
      <c r="D2974" t="s">
        <v>15</v>
      </c>
      <c r="E2974" t="s">
        <v>94</v>
      </c>
      <c r="F2974" t="s">
        <v>105</v>
      </c>
      <c r="G2974" t="s">
        <v>104</v>
      </c>
      <c r="H2974" t="s">
        <v>104</v>
      </c>
      <c r="J2974">
        <v>0</v>
      </c>
      <c r="K2974">
        <v>2</v>
      </c>
      <c r="L2974">
        <v>67.5</v>
      </c>
      <c r="M2974">
        <v>47.937235809999997</v>
      </c>
      <c r="N2974">
        <v>0.41599678000000001</v>
      </c>
      <c r="O2974">
        <v>2.0950346999999998</v>
      </c>
      <c r="P2974">
        <v>113.9375</v>
      </c>
      <c r="Q2974">
        <v>33.375507550000002</v>
      </c>
      <c r="R2974">
        <v>2.4262999999999999</v>
      </c>
      <c r="S2974">
        <v>0.40692159999999999</v>
      </c>
      <c r="T2974" t="s">
        <v>1018</v>
      </c>
      <c r="U2974">
        <v>-2.0103032199999999</v>
      </c>
    </row>
    <row r="2975" spans="1:21" x14ac:dyDescent="0.25">
      <c r="A2975" t="s">
        <v>51</v>
      </c>
      <c r="B2975" t="s">
        <v>860</v>
      </c>
      <c r="C2975">
        <v>12</v>
      </c>
      <c r="D2975" t="s">
        <v>15</v>
      </c>
      <c r="E2975" t="s">
        <v>94</v>
      </c>
      <c r="F2975" t="s">
        <v>105</v>
      </c>
      <c r="G2975" t="s">
        <v>104</v>
      </c>
      <c r="H2975" t="s">
        <v>104</v>
      </c>
      <c r="J2975">
        <v>0</v>
      </c>
      <c r="K2975">
        <v>2</v>
      </c>
      <c r="L2975">
        <v>67.5</v>
      </c>
      <c r="M2975">
        <v>47.937235809999997</v>
      </c>
      <c r="N2975">
        <v>0.41599678000000001</v>
      </c>
      <c r="O2975">
        <v>2.0950346999999998</v>
      </c>
      <c r="P2975">
        <v>113.9375</v>
      </c>
      <c r="Q2975">
        <v>33.375507550000002</v>
      </c>
      <c r="R2975">
        <v>2.4262999999999999</v>
      </c>
      <c r="S2975">
        <v>0.40692159999999999</v>
      </c>
      <c r="T2975" t="s">
        <v>1018</v>
      </c>
      <c r="U2975">
        <v>-2.0103032199999999</v>
      </c>
    </row>
    <row r="2976" spans="1:21" x14ac:dyDescent="0.25">
      <c r="A2976" t="s">
        <v>51</v>
      </c>
      <c r="B2976" t="s">
        <v>861</v>
      </c>
      <c r="C2976">
        <v>12</v>
      </c>
      <c r="D2976" t="s">
        <v>15</v>
      </c>
      <c r="E2976" t="s">
        <v>94</v>
      </c>
      <c r="F2976" t="s">
        <v>111</v>
      </c>
      <c r="G2976" t="s">
        <v>121</v>
      </c>
      <c r="H2976" t="s">
        <v>241</v>
      </c>
      <c r="J2976">
        <v>0</v>
      </c>
      <c r="K2976">
        <v>1</v>
      </c>
      <c r="L2976">
        <v>94.97142857</v>
      </c>
      <c r="M2976">
        <v>24.31591813</v>
      </c>
      <c r="N2976">
        <v>0.122951111</v>
      </c>
      <c r="O2976">
        <v>0.39050790000000002</v>
      </c>
      <c r="P2976">
        <v>114</v>
      </c>
      <c r="Q2976">
        <v>30.43077242</v>
      </c>
      <c r="R2976">
        <v>0.53383111100000002</v>
      </c>
      <c r="S2976">
        <v>0.28333332999999999</v>
      </c>
      <c r="T2976" t="s">
        <v>1018</v>
      </c>
      <c r="U2976">
        <v>-0.41088000000000002</v>
      </c>
    </row>
    <row r="2977" spans="1:21" x14ac:dyDescent="0.25">
      <c r="A2977" t="s">
        <v>51</v>
      </c>
      <c r="B2977" t="s">
        <v>862</v>
      </c>
      <c r="C2977">
        <v>12</v>
      </c>
      <c r="D2977" t="s">
        <v>15</v>
      </c>
      <c r="E2977" t="s">
        <v>94</v>
      </c>
      <c r="F2977" t="s">
        <v>112</v>
      </c>
      <c r="G2977" t="s">
        <v>112</v>
      </c>
      <c r="H2977" t="s">
        <v>112</v>
      </c>
      <c r="J2977">
        <v>0</v>
      </c>
      <c r="K2977">
        <v>2</v>
      </c>
      <c r="L2977">
        <v>65.09375</v>
      </c>
      <c r="M2977">
        <v>37.895352600000002</v>
      </c>
      <c r="N2977">
        <v>2.2882677779999998</v>
      </c>
      <c r="O2977">
        <v>2.2111774</v>
      </c>
      <c r="P2977">
        <v>65.09375</v>
      </c>
      <c r="Q2977">
        <v>37.895352600000002</v>
      </c>
      <c r="R2977">
        <v>2.2882677779999998</v>
      </c>
      <c r="S2977">
        <v>2.2111774</v>
      </c>
      <c r="T2977" t="s">
        <v>1018</v>
      </c>
      <c r="U2977">
        <v>0</v>
      </c>
    </row>
    <row r="2978" spans="1:21" x14ac:dyDescent="0.25">
      <c r="A2978" t="s">
        <v>51</v>
      </c>
      <c r="B2978" t="s">
        <v>862</v>
      </c>
      <c r="C2978">
        <v>12</v>
      </c>
      <c r="D2978" t="s">
        <v>15</v>
      </c>
      <c r="E2978" t="s">
        <v>94</v>
      </c>
      <c r="F2978" t="s">
        <v>112</v>
      </c>
      <c r="G2978" t="s">
        <v>112</v>
      </c>
      <c r="H2978" t="s">
        <v>112</v>
      </c>
      <c r="J2978">
        <v>0</v>
      </c>
      <c r="K2978">
        <v>2</v>
      </c>
      <c r="L2978">
        <v>65.09375</v>
      </c>
      <c r="M2978">
        <v>37.895352600000002</v>
      </c>
      <c r="N2978">
        <v>2.2882677779999998</v>
      </c>
      <c r="O2978">
        <v>2.2111774</v>
      </c>
      <c r="P2978">
        <v>65.09375</v>
      </c>
      <c r="Q2978">
        <v>37.895352600000002</v>
      </c>
      <c r="R2978">
        <v>2.2882677779999998</v>
      </c>
      <c r="S2978">
        <v>2.2111774</v>
      </c>
      <c r="T2978" t="s">
        <v>1018</v>
      </c>
      <c r="U2978">
        <v>0</v>
      </c>
    </row>
    <row r="2979" spans="1:21" x14ac:dyDescent="0.25">
      <c r="A2979" t="s">
        <v>52</v>
      </c>
      <c r="B2979" t="s">
        <v>863</v>
      </c>
      <c r="C2979">
        <v>12</v>
      </c>
      <c r="D2979" t="s">
        <v>17</v>
      </c>
      <c r="E2979" t="s">
        <v>95</v>
      </c>
      <c r="F2979" t="s">
        <v>102</v>
      </c>
      <c r="G2979" t="s">
        <v>121</v>
      </c>
      <c r="H2979" t="s">
        <v>238</v>
      </c>
      <c r="J2979">
        <v>0</v>
      </c>
      <c r="K2979">
        <v>1</v>
      </c>
      <c r="L2979">
        <v>84.740740740000007</v>
      </c>
      <c r="M2979">
        <v>29.167014049999999</v>
      </c>
      <c r="N2979">
        <v>1.1169849999999999</v>
      </c>
      <c r="O2979">
        <v>1.1571499000000001</v>
      </c>
      <c r="P2979">
        <v>87.5</v>
      </c>
      <c r="Q2979">
        <v>29.478311600000001</v>
      </c>
      <c r="R2979">
        <v>3.0797751000000002E-2</v>
      </c>
      <c r="S2979">
        <v>0.12931835</v>
      </c>
      <c r="T2979" t="s">
        <v>1018</v>
      </c>
      <c r="U2979">
        <v>1.086187249</v>
      </c>
    </row>
    <row r="2980" spans="1:21" x14ac:dyDescent="0.25">
      <c r="A2980" t="s">
        <v>52</v>
      </c>
      <c r="B2980" t="s">
        <v>863</v>
      </c>
      <c r="C2980">
        <v>12</v>
      </c>
      <c r="D2980" t="s">
        <v>17</v>
      </c>
      <c r="E2980" t="s">
        <v>95</v>
      </c>
      <c r="F2980" t="s">
        <v>102</v>
      </c>
      <c r="G2980" t="s">
        <v>121</v>
      </c>
      <c r="H2980" t="s">
        <v>113</v>
      </c>
      <c r="J2980">
        <v>0</v>
      </c>
      <c r="K2980">
        <v>1</v>
      </c>
      <c r="L2980">
        <v>84.740740740000007</v>
      </c>
      <c r="M2980">
        <v>29.167014049999999</v>
      </c>
      <c r="N2980">
        <v>1.1169849999999999</v>
      </c>
      <c r="O2980">
        <v>1.1571499000000001</v>
      </c>
      <c r="P2980">
        <v>83.757575759999995</v>
      </c>
      <c r="Q2980">
        <v>22.60997987</v>
      </c>
      <c r="R2980">
        <v>0.72884000000000004</v>
      </c>
      <c r="S2980">
        <v>0.21301339999999999</v>
      </c>
      <c r="T2980" t="s">
        <v>1018</v>
      </c>
      <c r="U2980">
        <v>0.38814500000000002</v>
      </c>
    </row>
    <row r="2981" spans="1:21" x14ac:dyDescent="0.25">
      <c r="A2981" t="s">
        <v>52</v>
      </c>
      <c r="B2981" t="s">
        <v>864</v>
      </c>
      <c r="C2981">
        <v>12</v>
      </c>
      <c r="D2981" t="s">
        <v>17</v>
      </c>
      <c r="E2981" t="s">
        <v>95</v>
      </c>
      <c r="F2981" t="s">
        <v>103</v>
      </c>
      <c r="G2981" t="s">
        <v>121</v>
      </c>
      <c r="H2981" t="s">
        <v>234</v>
      </c>
      <c r="J2981">
        <v>0</v>
      </c>
      <c r="K2981">
        <v>5</v>
      </c>
      <c r="L2981">
        <v>98.291666669999998</v>
      </c>
      <c r="M2981">
        <v>30.315130790000001</v>
      </c>
      <c r="N2981">
        <v>5.0803484000000003E-2</v>
      </c>
      <c r="O2981">
        <v>0.42866070000000001</v>
      </c>
      <c r="P2981">
        <v>89.8125</v>
      </c>
      <c r="Q2981">
        <v>34.754706650000003</v>
      </c>
      <c r="R2981">
        <v>2.3065078999999999E-2</v>
      </c>
      <c r="S2981">
        <v>2.4791666700000001</v>
      </c>
      <c r="T2981" t="s">
        <v>1018</v>
      </c>
      <c r="U2981">
        <v>2.7738405000000001E-2</v>
      </c>
    </row>
    <row r="2982" spans="1:21" x14ac:dyDescent="0.25">
      <c r="A2982" t="s">
        <v>52</v>
      </c>
      <c r="B2982" t="s">
        <v>864</v>
      </c>
      <c r="C2982">
        <v>12</v>
      </c>
      <c r="D2982" t="s">
        <v>17</v>
      </c>
      <c r="E2982" t="s">
        <v>95</v>
      </c>
      <c r="F2982" t="s">
        <v>103</v>
      </c>
      <c r="G2982" t="s">
        <v>121</v>
      </c>
      <c r="H2982" t="s">
        <v>234</v>
      </c>
      <c r="J2982">
        <v>0</v>
      </c>
      <c r="K2982">
        <v>5</v>
      </c>
      <c r="L2982">
        <v>98.291666669999998</v>
      </c>
      <c r="M2982">
        <v>30.315130790000001</v>
      </c>
      <c r="N2982">
        <v>5.0803484000000003E-2</v>
      </c>
      <c r="O2982">
        <v>0.42866070000000001</v>
      </c>
      <c r="P2982">
        <v>89.8125</v>
      </c>
      <c r="Q2982">
        <v>34.754706650000003</v>
      </c>
      <c r="R2982">
        <v>2.3065078999999999E-2</v>
      </c>
      <c r="S2982">
        <v>2.4791666700000001</v>
      </c>
      <c r="T2982" t="s">
        <v>1018</v>
      </c>
      <c r="U2982">
        <v>2.7738405000000001E-2</v>
      </c>
    </row>
    <row r="2983" spans="1:21" x14ac:dyDescent="0.25">
      <c r="A2983" t="s">
        <v>52</v>
      </c>
      <c r="B2983" t="s">
        <v>864</v>
      </c>
      <c r="C2983">
        <v>12</v>
      </c>
      <c r="D2983" t="s">
        <v>17</v>
      </c>
      <c r="E2983" t="s">
        <v>95</v>
      </c>
      <c r="F2983" t="s">
        <v>103</v>
      </c>
      <c r="G2983" t="s">
        <v>121</v>
      </c>
      <c r="H2983" t="s">
        <v>234</v>
      </c>
      <c r="J2983">
        <v>0</v>
      </c>
      <c r="K2983">
        <v>5</v>
      </c>
      <c r="L2983">
        <v>98.291666669999998</v>
      </c>
      <c r="M2983">
        <v>30.315130790000001</v>
      </c>
      <c r="N2983">
        <v>5.0803484000000003E-2</v>
      </c>
      <c r="O2983">
        <v>0.42866070000000001</v>
      </c>
      <c r="P2983">
        <v>89.8125</v>
      </c>
      <c r="Q2983">
        <v>34.754706650000003</v>
      </c>
      <c r="R2983">
        <v>2.3065078999999999E-2</v>
      </c>
      <c r="S2983">
        <v>2.4791666700000001</v>
      </c>
      <c r="T2983" t="s">
        <v>1018</v>
      </c>
      <c r="U2983">
        <v>2.7738405000000001E-2</v>
      </c>
    </row>
    <row r="2984" spans="1:21" x14ac:dyDescent="0.25">
      <c r="A2984" t="s">
        <v>52</v>
      </c>
      <c r="B2984" t="s">
        <v>864</v>
      </c>
      <c r="C2984">
        <v>12</v>
      </c>
      <c r="D2984" t="s">
        <v>17</v>
      </c>
      <c r="E2984" t="s">
        <v>95</v>
      </c>
      <c r="F2984" t="s">
        <v>103</v>
      </c>
      <c r="G2984" t="s">
        <v>121</v>
      </c>
      <c r="H2984" t="s">
        <v>234</v>
      </c>
      <c r="J2984">
        <v>0</v>
      </c>
      <c r="K2984">
        <v>5</v>
      </c>
      <c r="L2984">
        <v>98.291666669999998</v>
      </c>
      <c r="M2984">
        <v>30.315130790000001</v>
      </c>
      <c r="N2984">
        <v>5.0803484000000003E-2</v>
      </c>
      <c r="O2984">
        <v>0.42866070000000001</v>
      </c>
      <c r="P2984">
        <v>89.8125</v>
      </c>
      <c r="Q2984">
        <v>34.754706650000003</v>
      </c>
      <c r="R2984">
        <v>2.3065078999999999E-2</v>
      </c>
      <c r="S2984">
        <v>2.4791666700000001</v>
      </c>
      <c r="T2984" t="s">
        <v>1018</v>
      </c>
      <c r="U2984">
        <v>2.7738405000000001E-2</v>
      </c>
    </row>
    <row r="2985" spans="1:21" x14ac:dyDescent="0.25">
      <c r="A2985" t="s">
        <v>52</v>
      </c>
      <c r="B2985" t="s">
        <v>864</v>
      </c>
      <c r="C2985">
        <v>12</v>
      </c>
      <c r="D2985" t="s">
        <v>17</v>
      </c>
      <c r="E2985" t="s">
        <v>95</v>
      </c>
      <c r="F2985" t="s">
        <v>103</v>
      </c>
      <c r="G2985" t="s">
        <v>121</v>
      </c>
      <c r="H2985" t="s">
        <v>234</v>
      </c>
      <c r="J2985">
        <v>0</v>
      </c>
      <c r="K2985">
        <v>5</v>
      </c>
      <c r="L2985">
        <v>98.291666669999998</v>
      </c>
      <c r="M2985">
        <v>30.315130790000001</v>
      </c>
      <c r="N2985">
        <v>5.0803484000000003E-2</v>
      </c>
      <c r="O2985">
        <v>0.42866070000000001</v>
      </c>
      <c r="P2985">
        <v>89.8125</v>
      </c>
      <c r="Q2985">
        <v>34.754706650000003</v>
      </c>
      <c r="R2985">
        <v>2.3065078999999999E-2</v>
      </c>
      <c r="S2985">
        <v>2.4791666700000001</v>
      </c>
      <c r="T2985" t="s">
        <v>1018</v>
      </c>
      <c r="U2985">
        <v>2.7738405000000001E-2</v>
      </c>
    </row>
    <row r="2986" spans="1:21" x14ac:dyDescent="0.25">
      <c r="A2986" t="s">
        <v>52</v>
      </c>
      <c r="B2986" t="s">
        <v>865</v>
      </c>
      <c r="C2986">
        <v>12</v>
      </c>
      <c r="D2986" t="s">
        <v>17</v>
      </c>
      <c r="E2986" t="s">
        <v>95</v>
      </c>
      <c r="F2986" t="s">
        <v>111</v>
      </c>
      <c r="G2986" t="s">
        <v>103</v>
      </c>
      <c r="H2986" t="s">
        <v>103</v>
      </c>
      <c r="J2986">
        <v>0</v>
      </c>
      <c r="K2986">
        <v>1</v>
      </c>
      <c r="L2986">
        <v>94.97142857</v>
      </c>
      <c r="M2986">
        <v>24.31591813</v>
      </c>
      <c r="N2986">
        <v>0.122951111</v>
      </c>
      <c r="O2986">
        <v>0.39050790000000002</v>
      </c>
      <c r="P2986">
        <v>98.291666669999998</v>
      </c>
      <c r="Q2986">
        <v>30.315130790000001</v>
      </c>
      <c r="R2986">
        <v>5.0803484000000003E-2</v>
      </c>
      <c r="S2986">
        <v>0.42866070000000001</v>
      </c>
      <c r="T2986" t="s">
        <v>1018</v>
      </c>
      <c r="U2986">
        <v>7.2147627000000006E-2</v>
      </c>
    </row>
    <row r="2987" spans="1:21" x14ac:dyDescent="0.25">
      <c r="A2987" t="s">
        <v>52</v>
      </c>
      <c r="B2987" t="s">
        <v>866</v>
      </c>
      <c r="C2987">
        <v>12</v>
      </c>
      <c r="D2987" t="s">
        <v>17</v>
      </c>
      <c r="E2987" t="s">
        <v>95</v>
      </c>
      <c r="F2987" t="s">
        <v>112</v>
      </c>
      <c r="G2987" t="s">
        <v>121</v>
      </c>
      <c r="H2987" t="s">
        <v>235</v>
      </c>
      <c r="J2987">
        <v>0</v>
      </c>
      <c r="K2987">
        <v>1</v>
      </c>
      <c r="L2987">
        <v>65.09375</v>
      </c>
      <c r="M2987">
        <v>37.895352600000002</v>
      </c>
      <c r="N2987">
        <v>2.2882677779999998</v>
      </c>
      <c r="O2987">
        <v>2.2111774</v>
      </c>
      <c r="P2987">
        <v>132.27272730000001</v>
      </c>
      <c r="Q2987">
        <v>20.180448590000001</v>
      </c>
      <c r="R2987">
        <v>3.7813451999999997E-2</v>
      </c>
      <c r="S2987">
        <v>0.41404401000000002</v>
      </c>
      <c r="T2987" t="s">
        <v>1018</v>
      </c>
      <c r="U2987">
        <v>2.2504543259999998</v>
      </c>
    </row>
    <row r="2988" spans="1:21" x14ac:dyDescent="0.25">
      <c r="A2988" t="s">
        <v>53</v>
      </c>
      <c r="B2988" t="s">
        <v>867</v>
      </c>
      <c r="C2988">
        <v>12</v>
      </c>
      <c r="D2988" t="s">
        <v>19</v>
      </c>
      <c r="E2988" t="s">
        <v>94</v>
      </c>
      <c r="F2988" t="s">
        <v>102</v>
      </c>
      <c r="G2988" t="s">
        <v>121</v>
      </c>
      <c r="H2988" t="s">
        <v>808</v>
      </c>
      <c r="J2988">
        <v>0</v>
      </c>
      <c r="K2988">
        <v>1</v>
      </c>
      <c r="L2988">
        <v>84.740740740000007</v>
      </c>
      <c r="M2988">
        <v>29.167014049999999</v>
      </c>
      <c r="N2988">
        <v>1.1169849999999999</v>
      </c>
      <c r="O2988">
        <v>1.1571499000000001</v>
      </c>
      <c r="P2988">
        <v>102.79166669999999</v>
      </c>
      <c r="Q2988">
        <v>27.057373470000002</v>
      </c>
      <c r="R2988">
        <v>6.3567849939999999</v>
      </c>
      <c r="S2988" t="s">
        <v>114</v>
      </c>
      <c r="T2988" t="s">
        <v>1018</v>
      </c>
      <c r="U2988">
        <v>-5.2397999940000002</v>
      </c>
    </row>
    <row r="2989" spans="1:21" x14ac:dyDescent="0.25">
      <c r="A2989" t="s">
        <v>53</v>
      </c>
      <c r="B2989" t="s">
        <v>867</v>
      </c>
      <c r="C2989">
        <v>12</v>
      </c>
      <c r="D2989" t="s">
        <v>19</v>
      </c>
      <c r="E2989" t="s">
        <v>94</v>
      </c>
      <c r="F2989" t="s">
        <v>102</v>
      </c>
      <c r="G2989" t="s">
        <v>121</v>
      </c>
      <c r="H2989" t="s">
        <v>241</v>
      </c>
      <c r="J2989">
        <v>0</v>
      </c>
      <c r="K2989">
        <v>1</v>
      </c>
      <c r="L2989">
        <v>84.740740740000007</v>
      </c>
      <c r="M2989">
        <v>29.167014049999999</v>
      </c>
      <c r="N2989">
        <v>1.1169849999999999</v>
      </c>
      <c r="O2989">
        <v>1.1571499000000001</v>
      </c>
      <c r="P2989">
        <v>114</v>
      </c>
      <c r="Q2989">
        <v>30.43077242</v>
      </c>
      <c r="R2989">
        <v>0.53383111100000002</v>
      </c>
      <c r="S2989">
        <v>0.28333332999999999</v>
      </c>
      <c r="T2989" t="s">
        <v>1018</v>
      </c>
      <c r="U2989">
        <v>0.58315388899999998</v>
      </c>
    </row>
    <row r="2990" spans="1:21" x14ac:dyDescent="0.25">
      <c r="A2990" t="s">
        <v>53</v>
      </c>
      <c r="B2990" t="s">
        <v>868</v>
      </c>
      <c r="C2990">
        <v>12</v>
      </c>
      <c r="D2990" t="s">
        <v>19</v>
      </c>
      <c r="E2990" t="s">
        <v>94</v>
      </c>
      <c r="F2990" t="s">
        <v>113</v>
      </c>
      <c r="G2990" t="s">
        <v>121</v>
      </c>
      <c r="H2990" t="s">
        <v>103</v>
      </c>
      <c r="J2990">
        <v>0</v>
      </c>
      <c r="K2990">
        <v>1</v>
      </c>
      <c r="L2990">
        <v>83.757575759999995</v>
      </c>
      <c r="M2990">
        <v>22.60997987</v>
      </c>
      <c r="N2990">
        <v>0.72884000000000004</v>
      </c>
      <c r="O2990">
        <v>0.21301339999999999</v>
      </c>
      <c r="P2990">
        <v>98.291666669999998</v>
      </c>
      <c r="Q2990">
        <v>30.315130790000001</v>
      </c>
      <c r="R2990">
        <v>5.0803484000000003E-2</v>
      </c>
      <c r="S2990">
        <v>0.42866070000000001</v>
      </c>
      <c r="T2990" t="s">
        <v>1018</v>
      </c>
      <c r="U2990">
        <v>0.67803651600000003</v>
      </c>
    </row>
    <row r="2991" spans="1:21" x14ac:dyDescent="0.25">
      <c r="A2991" t="s">
        <v>53</v>
      </c>
      <c r="B2991" t="s">
        <v>868</v>
      </c>
      <c r="C2991">
        <v>12</v>
      </c>
      <c r="D2991" t="s">
        <v>19</v>
      </c>
      <c r="E2991" t="s">
        <v>94</v>
      </c>
      <c r="F2991" t="s">
        <v>113</v>
      </c>
      <c r="G2991" t="s">
        <v>121</v>
      </c>
      <c r="H2991" t="s">
        <v>238</v>
      </c>
      <c r="J2991">
        <v>0</v>
      </c>
      <c r="K2991">
        <v>1</v>
      </c>
      <c r="L2991">
        <v>83.757575759999995</v>
      </c>
      <c r="M2991">
        <v>22.60997987</v>
      </c>
      <c r="N2991">
        <v>0.72884000000000004</v>
      </c>
      <c r="O2991">
        <v>0.21301339999999999</v>
      </c>
      <c r="P2991">
        <v>87.5</v>
      </c>
      <c r="Q2991">
        <v>29.478311600000001</v>
      </c>
      <c r="R2991">
        <v>3.0797751000000002E-2</v>
      </c>
      <c r="S2991">
        <v>0.12931835</v>
      </c>
      <c r="T2991" t="s">
        <v>1018</v>
      </c>
      <c r="U2991">
        <v>0.698042249</v>
      </c>
    </row>
    <row r="2992" spans="1:21" x14ac:dyDescent="0.25">
      <c r="A2992" t="s">
        <v>53</v>
      </c>
      <c r="B2992" t="s">
        <v>868</v>
      </c>
      <c r="C2992">
        <v>12</v>
      </c>
      <c r="D2992" t="s">
        <v>19</v>
      </c>
      <c r="E2992" t="s">
        <v>94</v>
      </c>
      <c r="F2992" t="s">
        <v>113</v>
      </c>
      <c r="G2992" t="s">
        <v>121</v>
      </c>
      <c r="H2992" t="s">
        <v>235</v>
      </c>
      <c r="J2992">
        <v>0</v>
      </c>
      <c r="K2992">
        <v>1</v>
      </c>
      <c r="L2992">
        <v>83.757575759999995</v>
      </c>
      <c r="M2992">
        <v>22.60997987</v>
      </c>
      <c r="N2992">
        <v>0.72884000000000004</v>
      </c>
      <c r="O2992">
        <v>0.21301339999999999</v>
      </c>
      <c r="P2992">
        <v>132.27272730000001</v>
      </c>
      <c r="Q2992">
        <v>20.180448590000001</v>
      </c>
      <c r="R2992">
        <v>3.7813451999999997E-2</v>
      </c>
      <c r="S2992">
        <v>0.41404401000000002</v>
      </c>
      <c r="T2992" t="s">
        <v>1018</v>
      </c>
      <c r="U2992">
        <v>0.69102654799999996</v>
      </c>
    </row>
    <row r="2993" spans="1:21" x14ac:dyDescent="0.25">
      <c r="A2993" t="s">
        <v>53</v>
      </c>
      <c r="B2993" t="s">
        <v>868</v>
      </c>
      <c r="C2993">
        <v>12</v>
      </c>
      <c r="D2993" t="s">
        <v>19</v>
      </c>
      <c r="E2993" t="s">
        <v>94</v>
      </c>
      <c r="F2993" t="s">
        <v>113</v>
      </c>
      <c r="G2993" t="s">
        <v>121</v>
      </c>
      <c r="H2993" t="s">
        <v>241</v>
      </c>
      <c r="J2993">
        <v>0</v>
      </c>
      <c r="K2993">
        <v>2</v>
      </c>
      <c r="L2993">
        <v>83.757575759999995</v>
      </c>
      <c r="M2993">
        <v>22.60997987</v>
      </c>
      <c r="N2993">
        <v>0.72884000000000004</v>
      </c>
      <c r="O2993">
        <v>0.21301339999999999</v>
      </c>
      <c r="P2993">
        <v>114</v>
      </c>
      <c r="Q2993">
        <v>30.43077242</v>
      </c>
      <c r="R2993">
        <v>0.53383111100000002</v>
      </c>
      <c r="S2993">
        <v>0.28333332999999999</v>
      </c>
      <c r="T2993" t="s">
        <v>1018</v>
      </c>
      <c r="U2993">
        <v>0.19500888899999999</v>
      </c>
    </row>
    <row r="2994" spans="1:21" x14ac:dyDescent="0.25">
      <c r="A2994" t="s">
        <v>53</v>
      </c>
      <c r="B2994" t="s">
        <v>868</v>
      </c>
      <c r="C2994">
        <v>12</v>
      </c>
      <c r="D2994" t="s">
        <v>19</v>
      </c>
      <c r="E2994" t="s">
        <v>94</v>
      </c>
      <c r="F2994" t="s">
        <v>113</v>
      </c>
      <c r="G2994" t="s">
        <v>121</v>
      </c>
      <c r="H2994" t="s">
        <v>241</v>
      </c>
      <c r="J2994">
        <v>0</v>
      </c>
      <c r="K2994">
        <v>2</v>
      </c>
      <c r="L2994">
        <v>83.757575759999995</v>
      </c>
      <c r="M2994">
        <v>22.60997987</v>
      </c>
      <c r="N2994">
        <v>0.72884000000000004</v>
      </c>
      <c r="O2994">
        <v>0.21301339999999999</v>
      </c>
      <c r="P2994">
        <v>114</v>
      </c>
      <c r="Q2994">
        <v>30.43077242</v>
      </c>
      <c r="R2994">
        <v>0.53383111100000002</v>
      </c>
      <c r="S2994">
        <v>0.28333332999999999</v>
      </c>
      <c r="T2994" t="s">
        <v>1018</v>
      </c>
      <c r="U2994">
        <v>0.19500888899999999</v>
      </c>
    </row>
    <row r="2995" spans="1:21" x14ac:dyDescent="0.25">
      <c r="A2995" t="s">
        <v>53</v>
      </c>
      <c r="B2995" t="s">
        <v>868</v>
      </c>
      <c r="C2995">
        <v>12</v>
      </c>
      <c r="D2995" t="s">
        <v>19</v>
      </c>
      <c r="E2995" t="s">
        <v>94</v>
      </c>
      <c r="F2995" t="s">
        <v>113</v>
      </c>
      <c r="G2995" t="s">
        <v>121</v>
      </c>
      <c r="H2995" t="s">
        <v>242</v>
      </c>
      <c r="J2995">
        <v>0</v>
      </c>
      <c r="K2995">
        <v>1</v>
      </c>
      <c r="L2995">
        <v>83.757575759999995</v>
      </c>
      <c r="M2995">
        <v>22.60997987</v>
      </c>
      <c r="N2995">
        <v>0.72884000000000004</v>
      </c>
      <c r="O2995">
        <v>0.21301339999999999</v>
      </c>
      <c r="P2995">
        <v>139.375</v>
      </c>
      <c r="Q2995">
        <v>23.713465920000001</v>
      </c>
      <c r="R2995" t="s">
        <v>114</v>
      </c>
      <c r="S2995" t="s">
        <v>114</v>
      </c>
      <c r="T2995" t="s">
        <v>1018</v>
      </c>
      <c r="U2995" t="s">
        <v>114</v>
      </c>
    </row>
    <row r="2996" spans="1:21" x14ac:dyDescent="0.25">
      <c r="A2996" t="s">
        <v>53</v>
      </c>
      <c r="B2996" t="s">
        <v>868</v>
      </c>
      <c r="C2996">
        <v>12</v>
      </c>
      <c r="D2996" t="s">
        <v>19</v>
      </c>
      <c r="E2996" t="s">
        <v>94</v>
      </c>
      <c r="F2996" t="s">
        <v>113</v>
      </c>
      <c r="G2996" t="s">
        <v>121</v>
      </c>
      <c r="H2996" t="s">
        <v>112</v>
      </c>
      <c r="J2996">
        <v>0</v>
      </c>
      <c r="K2996">
        <v>1</v>
      </c>
      <c r="L2996">
        <v>83.757575759999995</v>
      </c>
      <c r="M2996">
        <v>22.60997987</v>
      </c>
      <c r="N2996">
        <v>0.72884000000000004</v>
      </c>
      <c r="O2996">
        <v>0.21301339999999999</v>
      </c>
      <c r="P2996">
        <v>65.09375</v>
      </c>
      <c r="Q2996">
        <v>37.895352600000002</v>
      </c>
      <c r="R2996">
        <v>2.2882677779999998</v>
      </c>
      <c r="S2996">
        <v>2.2111774</v>
      </c>
      <c r="T2996" t="s">
        <v>1018</v>
      </c>
      <c r="U2996">
        <v>-1.5594277780000001</v>
      </c>
    </row>
    <row r="2997" spans="1:21" x14ac:dyDescent="0.25">
      <c r="A2997" t="s">
        <v>53</v>
      </c>
      <c r="B2997" t="s">
        <v>869</v>
      </c>
      <c r="C2997">
        <v>12</v>
      </c>
      <c r="D2997" t="s">
        <v>19</v>
      </c>
      <c r="E2997" t="s">
        <v>94</v>
      </c>
      <c r="F2997" t="s">
        <v>103</v>
      </c>
      <c r="G2997" t="s">
        <v>121</v>
      </c>
      <c r="H2997" t="s">
        <v>103</v>
      </c>
      <c r="J2997">
        <v>0</v>
      </c>
      <c r="K2997">
        <v>1</v>
      </c>
      <c r="L2997">
        <v>98.291666669999998</v>
      </c>
      <c r="M2997">
        <v>30.315130790000001</v>
      </c>
      <c r="N2997">
        <v>5.0803484000000003E-2</v>
      </c>
      <c r="O2997">
        <v>0.42866070000000001</v>
      </c>
      <c r="P2997">
        <v>98.291666669999998</v>
      </c>
      <c r="Q2997">
        <v>30.315130790000001</v>
      </c>
      <c r="R2997">
        <v>5.0803484000000003E-2</v>
      </c>
      <c r="S2997">
        <v>0.42866070000000001</v>
      </c>
      <c r="T2997" t="s">
        <v>1018</v>
      </c>
      <c r="U2997">
        <v>0</v>
      </c>
    </row>
    <row r="2998" spans="1:21" x14ac:dyDescent="0.25">
      <c r="A2998" t="s">
        <v>53</v>
      </c>
      <c r="B2998" t="s">
        <v>869</v>
      </c>
      <c r="C2998">
        <v>12</v>
      </c>
      <c r="D2998" t="s">
        <v>19</v>
      </c>
      <c r="E2998" t="s">
        <v>94</v>
      </c>
      <c r="F2998" t="s">
        <v>103</v>
      </c>
      <c r="G2998" t="s">
        <v>121</v>
      </c>
      <c r="H2998" t="s">
        <v>241</v>
      </c>
      <c r="J2998">
        <v>0</v>
      </c>
      <c r="K2998">
        <v>1</v>
      </c>
      <c r="L2998">
        <v>98.291666669999998</v>
      </c>
      <c r="M2998">
        <v>30.315130790000001</v>
      </c>
      <c r="N2998">
        <v>5.0803484000000003E-2</v>
      </c>
      <c r="O2998">
        <v>0.42866070000000001</v>
      </c>
      <c r="P2998">
        <v>114</v>
      </c>
      <c r="Q2998">
        <v>30.43077242</v>
      </c>
      <c r="R2998">
        <v>0.53383111100000002</v>
      </c>
      <c r="S2998">
        <v>0.28333332999999999</v>
      </c>
      <c r="T2998" t="s">
        <v>1018</v>
      </c>
      <c r="U2998">
        <v>-0.48302762700000001</v>
      </c>
    </row>
    <row r="2999" spans="1:21" x14ac:dyDescent="0.25">
      <c r="A2999" t="s">
        <v>53</v>
      </c>
      <c r="B2999" t="s">
        <v>870</v>
      </c>
      <c r="C2999">
        <v>12</v>
      </c>
      <c r="D2999" t="s">
        <v>19</v>
      </c>
      <c r="E2999" t="s">
        <v>94</v>
      </c>
      <c r="F2999" t="s">
        <v>112</v>
      </c>
      <c r="G2999" t="s">
        <v>121</v>
      </c>
      <c r="H2999" t="s">
        <v>114</v>
      </c>
      <c r="J2999">
        <v>0</v>
      </c>
      <c r="K2999">
        <v>0</v>
      </c>
      <c r="L2999">
        <v>65.09375</v>
      </c>
      <c r="M2999">
        <v>37.895352600000002</v>
      </c>
      <c r="N2999">
        <v>2.2882677779999998</v>
      </c>
      <c r="O2999">
        <v>2.2111774</v>
      </c>
      <c r="P2999" t="s">
        <v>114</v>
      </c>
      <c r="Q2999" t="s">
        <v>114</v>
      </c>
      <c r="R2999" t="s">
        <v>114</v>
      </c>
      <c r="S2999" t="s">
        <v>114</v>
      </c>
      <c r="T2999" t="s">
        <v>1018</v>
      </c>
      <c r="U2999" t="s">
        <v>114</v>
      </c>
    </row>
    <row r="3000" spans="1:21" x14ac:dyDescent="0.25">
      <c r="A3000" t="s">
        <v>54</v>
      </c>
      <c r="B3000" t="s">
        <v>871</v>
      </c>
      <c r="C3000">
        <v>12</v>
      </c>
      <c r="D3000" t="s">
        <v>21</v>
      </c>
      <c r="E3000" t="s">
        <v>95</v>
      </c>
      <c r="F3000" t="s">
        <v>113</v>
      </c>
      <c r="G3000" t="s">
        <v>121</v>
      </c>
      <c r="H3000" t="s">
        <v>241</v>
      </c>
      <c r="J3000">
        <v>0</v>
      </c>
      <c r="K3000">
        <v>2</v>
      </c>
      <c r="L3000">
        <v>83.757575759999995</v>
      </c>
      <c r="M3000">
        <v>22.60997987</v>
      </c>
      <c r="N3000">
        <v>0.72884000000000004</v>
      </c>
      <c r="O3000">
        <v>0.21301339999999999</v>
      </c>
      <c r="P3000">
        <v>114</v>
      </c>
      <c r="Q3000">
        <v>30.43077242</v>
      </c>
      <c r="R3000">
        <v>0.53383111100000002</v>
      </c>
      <c r="S3000">
        <v>0.28333332999999999</v>
      </c>
      <c r="T3000" t="s">
        <v>1018</v>
      </c>
      <c r="U3000">
        <v>0.19500888899999999</v>
      </c>
    </row>
    <row r="3001" spans="1:21" x14ac:dyDescent="0.25">
      <c r="A3001" t="s">
        <v>54</v>
      </c>
      <c r="B3001" t="s">
        <v>871</v>
      </c>
      <c r="C3001">
        <v>12</v>
      </c>
      <c r="D3001" t="s">
        <v>21</v>
      </c>
      <c r="E3001" t="s">
        <v>95</v>
      </c>
      <c r="F3001" t="s">
        <v>113</v>
      </c>
      <c r="G3001" t="s">
        <v>121</v>
      </c>
      <c r="H3001" t="s">
        <v>241</v>
      </c>
      <c r="J3001">
        <v>0</v>
      </c>
      <c r="K3001">
        <v>2</v>
      </c>
      <c r="L3001">
        <v>83.757575759999995</v>
      </c>
      <c r="M3001">
        <v>22.60997987</v>
      </c>
      <c r="N3001">
        <v>0.72884000000000004</v>
      </c>
      <c r="O3001">
        <v>0.21301339999999999</v>
      </c>
      <c r="P3001">
        <v>114</v>
      </c>
      <c r="Q3001">
        <v>30.43077242</v>
      </c>
      <c r="R3001">
        <v>0.53383111100000002</v>
      </c>
      <c r="S3001">
        <v>0.28333332999999999</v>
      </c>
      <c r="T3001" t="s">
        <v>1018</v>
      </c>
      <c r="U3001">
        <v>0.19500888899999999</v>
      </c>
    </row>
    <row r="3002" spans="1:21" x14ac:dyDescent="0.25">
      <c r="A3002" t="s">
        <v>54</v>
      </c>
      <c r="B3002" t="s">
        <v>872</v>
      </c>
      <c r="C3002">
        <v>12</v>
      </c>
      <c r="D3002" t="s">
        <v>21</v>
      </c>
      <c r="E3002" t="s">
        <v>95</v>
      </c>
      <c r="F3002" t="s">
        <v>110</v>
      </c>
      <c r="G3002" t="s">
        <v>121</v>
      </c>
      <c r="H3002" t="s">
        <v>241</v>
      </c>
      <c r="I3002" t="s">
        <v>162</v>
      </c>
      <c r="J3002">
        <v>1</v>
      </c>
      <c r="K3002">
        <v>2</v>
      </c>
      <c r="L3002">
        <v>73.260869569999997</v>
      </c>
      <c r="M3002">
        <v>34.453830549999999</v>
      </c>
      <c r="N3002">
        <v>1.058333333</v>
      </c>
      <c r="O3002">
        <v>0.90897070000000002</v>
      </c>
      <c r="P3002">
        <v>114</v>
      </c>
      <c r="Q3002">
        <v>30.43077242</v>
      </c>
      <c r="R3002">
        <v>0.53383111100000002</v>
      </c>
      <c r="S3002">
        <v>0.28333332999999999</v>
      </c>
      <c r="T3002" t="s">
        <v>1018</v>
      </c>
      <c r="U3002">
        <v>0.52450222199999996</v>
      </c>
    </row>
    <row r="3003" spans="1:21" x14ac:dyDescent="0.25">
      <c r="A3003" t="s">
        <v>54</v>
      </c>
      <c r="B3003" t="s">
        <v>872</v>
      </c>
      <c r="C3003">
        <v>12</v>
      </c>
      <c r="D3003" t="s">
        <v>21</v>
      </c>
      <c r="E3003" t="s">
        <v>95</v>
      </c>
      <c r="F3003" t="s">
        <v>110</v>
      </c>
      <c r="G3003" t="s">
        <v>121</v>
      </c>
      <c r="H3003" t="s">
        <v>241</v>
      </c>
      <c r="I3003" t="s">
        <v>162</v>
      </c>
      <c r="J3003">
        <v>1</v>
      </c>
      <c r="K3003">
        <v>2</v>
      </c>
      <c r="L3003">
        <v>73.260869569999997</v>
      </c>
      <c r="M3003">
        <v>34.453830549999999</v>
      </c>
      <c r="N3003">
        <v>1.058333333</v>
      </c>
      <c r="O3003">
        <v>0.90897070000000002</v>
      </c>
      <c r="P3003">
        <v>114</v>
      </c>
      <c r="Q3003">
        <v>30.43077242</v>
      </c>
      <c r="R3003">
        <v>0.53383111100000002</v>
      </c>
      <c r="S3003">
        <v>0.28333332999999999</v>
      </c>
      <c r="T3003" t="s">
        <v>1018</v>
      </c>
      <c r="U3003">
        <v>0.52450222199999996</v>
      </c>
    </row>
    <row r="3004" spans="1:21" x14ac:dyDescent="0.25">
      <c r="A3004" t="s">
        <v>54</v>
      </c>
      <c r="B3004" t="s">
        <v>873</v>
      </c>
      <c r="C3004">
        <v>12</v>
      </c>
      <c r="D3004" t="s">
        <v>21</v>
      </c>
      <c r="E3004" t="s">
        <v>95</v>
      </c>
      <c r="F3004" t="s">
        <v>111</v>
      </c>
      <c r="G3004" t="s">
        <v>121</v>
      </c>
      <c r="H3004" t="s">
        <v>162</v>
      </c>
      <c r="J3004">
        <v>0</v>
      </c>
      <c r="K3004">
        <v>1</v>
      </c>
      <c r="L3004">
        <v>94.97142857</v>
      </c>
      <c r="M3004">
        <v>24.31591813</v>
      </c>
      <c r="N3004">
        <v>0.122951111</v>
      </c>
      <c r="O3004">
        <v>0.39050790000000002</v>
      </c>
      <c r="P3004">
        <v>82.53846154</v>
      </c>
      <c r="Q3004">
        <v>35.660530039999998</v>
      </c>
      <c r="R3004">
        <v>3.3754499999999998</v>
      </c>
      <c r="S3004" t="s">
        <v>114</v>
      </c>
      <c r="T3004" t="s">
        <v>1018</v>
      </c>
      <c r="U3004">
        <v>-3.2524988889999999</v>
      </c>
    </row>
    <row r="3005" spans="1:21" x14ac:dyDescent="0.25">
      <c r="A3005" t="s">
        <v>55</v>
      </c>
      <c r="B3005" t="s">
        <v>874</v>
      </c>
      <c r="C3005">
        <v>12</v>
      </c>
      <c r="D3005" t="s">
        <v>23</v>
      </c>
      <c r="E3005" t="s">
        <v>94</v>
      </c>
      <c r="F3005" t="s">
        <v>113</v>
      </c>
      <c r="G3005" t="s">
        <v>110</v>
      </c>
      <c r="H3005" t="s">
        <v>238</v>
      </c>
      <c r="J3005">
        <v>0</v>
      </c>
      <c r="K3005">
        <v>1</v>
      </c>
      <c r="L3005">
        <v>83.757575759999995</v>
      </c>
      <c r="M3005">
        <v>22.60997987</v>
      </c>
      <c r="N3005">
        <v>0.72884000000000004</v>
      </c>
      <c r="O3005">
        <v>0.21301339999999999</v>
      </c>
      <c r="P3005">
        <v>87.5</v>
      </c>
      <c r="Q3005">
        <v>29.478311600000001</v>
      </c>
      <c r="R3005">
        <v>3.0797751000000002E-2</v>
      </c>
      <c r="S3005">
        <v>0.12931835</v>
      </c>
      <c r="T3005" t="s">
        <v>1018</v>
      </c>
      <c r="U3005">
        <v>0.698042249</v>
      </c>
    </row>
    <row r="3006" spans="1:21" x14ac:dyDescent="0.25">
      <c r="A3006" t="s">
        <v>55</v>
      </c>
      <c r="B3006" t="s">
        <v>874</v>
      </c>
      <c r="C3006">
        <v>12</v>
      </c>
      <c r="D3006" t="s">
        <v>23</v>
      </c>
      <c r="E3006" t="s">
        <v>94</v>
      </c>
      <c r="F3006" t="s">
        <v>113</v>
      </c>
      <c r="G3006" t="s">
        <v>110</v>
      </c>
      <c r="H3006" t="s">
        <v>103</v>
      </c>
      <c r="J3006">
        <v>0</v>
      </c>
      <c r="K3006">
        <v>1</v>
      </c>
      <c r="L3006">
        <v>83.757575759999995</v>
      </c>
      <c r="M3006">
        <v>22.60997987</v>
      </c>
      <c r="N3006">
        <v>0.72884000000000004</v>
      </c>
      <c r="O3006">
        <v>0.21301339999999999</v>
      </c>
      <c r="P3006">
        <v>98.291666669999998</v>
      </c>
      <c r="Q3006">
        <v>30.315130790000001</v>
      </c>
      <c r="R3006">
        <v>5.0803484000000003E-2</v>
      </c>
      <c r="S3006">
        <v>0.42866070000000001</v>
      </c>
      <c r="T3006" t="s">
        <v>1018</v>
      </c>
      <c r="U3006">
        <v>0.67803651600000003</v>
      </c>
    </row>
    <row r="3007" spans="1:21" x14ac:dyDescent="0.25">
      <c r="A3007" t="s">
        <v>55</v>
      </c>
      <c r="B3007" t="s">
        <v>874</v>
      </c>
      <c r="C3007">
        <v>12</v>
      </c>
      <c r="D3007" t="s">
        <v>23</v>
      </c>
      <c r="E3007" t="s">
        <v>94</v>
      </c>
      <c r="F3007" t="s">
        <v>113</v>
      </c>
      <c r="G3007" t="s">
        <v>110</v>
      </c>
      <c r="H3007" t="s">
        <v>808</v>
      </c>
      <c r="J3007">
        <v>0</v>
      </c>
      <c r="K3007">
        <v>1</v>
      </c>
      <c r="L3007">
        <v>83.757575759999995</v>
      </c>
      <c r="M3007">
        <v>22.60997987</v>
      </c>
      <c r="N3007">
        <v>0.72884000000000004</v>
      </c>
      <c r="O3007">
        <v>0.21301339999999999</v>
      </c>
      <c r="P3007">
        <v>102.79166669999999</v>
      </c>
      <c r="Q3007">
        <v>27.057373470000002</v>
      </c>
      <c r="R3007">
        <v>6.3567849939999999</v>
      </c>
      <c r="S3007" t="s">
        <v>114</v>
      </c>
      <c r="T3007" t="s">
        <v>1018</v>
      </c>
      <c r="U3007">
        <v>-5.6279449939999999</v>
      </c>
    </row>
    <row r="3008" spans="1:21" x14ac:dyDescent="0.25">
      <c r="A3008" t="s">
        <v>55</v>
      </c>
      <c r="B3008" t="s">
        <v>874</v>
      </c>
      <c r="C3008">
        <v>12</v>
      </c>
      <c r="D3008" t="s">
        <v>23</v>
      </c>
      <c r="E3008" t="s">
        <v>94</v>
      </c>
      <c r="F3008" t="s">
        <v>113</v>
      </c>
      <c r="G3008" t="s">
        <v>110</v>
      </c>
      <c r="H3008" t="s">
        <v>113</v>
      </c>
      <c r="J3008">
        <v>0</v>
      </c>
      <c r="K3008">
        <v>1</v>
      </c>
      <c r="L3008">
        <v>83.757575759999995</v>
      </c>
      <c r="M3008">
        <v>22.60997987</v>
      </c>
      <c r="N3008">
        <v>0.72884000000000004</v>
      </c>
      <c r="O3008">
        <v>0.21301339999999999</v>
      </c>
      <c r="P3008">
        <v>83.757575759999995</v>
      </c>
      <c r="Q3008">
        <v>22.60997987</v>
      </c>
      <c r="R3008">
        <v>0.72884000000000004</v>
      </c>
      <c r="S3008">
        <v>0.21301339999999999</v>
      </c>
      <c r="T3008" t="s">
        <v>1018</v>
      </c>
      <c r="U3008">
        <v>0</v>
      </c>
    </row>
    <row r="3009" spans="1:21" x14ac:dyDescent="0.25">
      <c r="A3009" t="s">
        <v>55</v>
      </c>
      <c r="B3009" t="s">
        <v>875</v>
      </c>
      <c r="C3009">
        <v>12</v>
      </c>
      <c r="D3009" t="s">
        <v>23</v>
      </c>
      <c r="E3009" t="s">
        <v>94</v>
      </c>
      <c r="F3009" t="s">
        <v>110</v>
      </c>
      <c r="G3009" t="s">
        <v>103</v>
      </c>
      <c r="H3009" t="s">
        <v>114</v>
      </c>
      <c r="J3009">
        <v>0</v>
      </c>
      <c r="K3009" t="s">
        <v>114</v>
      </c>
      <c r="L3009">
        <v>73.260869569999997</v>
      </c>
      <c r="M3009">
        <v>34.453830549999999</v>
      </c>
      <c r="N3009">
        <v>1.058333333</v>
      </c>
      <c r="O3009">
        <v>0.90897070000000002</v>
      </c>
      <c r="P3009" t="s">
        <v>114</v>
      </c>
      <c r="Q3009" t="s">
        <v>114</v>
      </c>
      <c r="R3009" t="s">
        <v>114</v>
      </c>
      <c r="S3009" t="s">
        <v>114</v>
      </c>
      <c r="T3009" t="s">
        <v>1018</v>
      </c>
      <c r="U3009" t="s">
        <v>114</v>
      </c>
    </row>
    <row r="3010" spans="1:21" x14ac:dyDescent="0.25">
      <c r="A3010" t="s">
        <v>55</v>
      </c>
      <c r="B3010" t="s">
        <v>876</v>
      </c>
      <c r="C3010">
        <v>12</v>
      </c>
      <c r="D3010" t="s">
        <v>23</v>
      </c>
      <c r="E3010" t="s">
        <v>94</v>
      </c>
      <c r="F3010" t="s">
        <v>103</v>
      </c>
      <c r="G3010" t="s">
        <v>103</v>
      </c>
      <c r="H3010" t="s">
        <v>114</v>
      </c>
      <c r="J3010">
        <v>0</v>
      </c>
      <c r="K3010" t="s">
        <v>114</v>
      </c>
      <c r="L3010">
        <v>98.291666669999998</v>
      </c>
      <c r="M3010">
        <v>30.315130790000001</v>
      </c>
      <c r="N3010">
        <v>5.0803484000000003E-2</v>
      </c>
      <c r="O3010">
        <v>0.42866070000000001</v>
      </c>
      <c r="P3010" t="s">
        <v>114</v>
      </c>
      <c r="Q3010" t="s">
        <v>114</v>
      </c>
      <c r="R3010" t="s">
        <v>114</v>
      </c>
      <c r="S3010" t="s">
        <v>114</v>
      </c>
      <c r="T3010" t="s">
        <v>1018</v>
      </c>
      <c r="U3010" t="s">
        <v>114</v>
      </c>
    </row>
    <row r="3011" spans="1:21" x14ac:dyDescent="0.25">
      <c r="A3011" t="s">
        <v>55</v>
      </c>
      <c r="B3011" t="s">
        <v>877</v>
      </c>
      <c r="C3011">
        <v>12</v>
      </c>
      <c r="D3011" t="s">
        <v>23</v>
      </c>
      <c r="E3011" t="s">
        <v>94</v>
      </c>
      <c r="F3011" t="s">
        <v>111</v>
      </c>
      <c r="G3011" t="s">
        <v>113</v>
      </c>
      <c r="H3011" t="s">
        <v>113</v>
      </c>
      <c r="J3011">
        <v>0</v>
      </c>
      <c r="K3011">
        <v>2</v>
      </c>
      <c r="L3011">
        <v>94.97142857</v>
      </c>
      <c r="M3011">
        <v>24.31591813</v>
      </c>
      <c r="N3011">
        <v>0.122951111</v>
      </c>
      <c r="O3011">
        <v>0.39050790000000002</v>
      </c>
      <c r="P3011">
        <v>83.757575759999995</v>
      </c>
      <c r="Q3011">
        <v>22.60997987</v>
      </c>
      <c r="R3011">
        <v>0.72884000000000004</v>
      </c>
      <c r="S3011">
        <v>0.21301339999999999</v>
      </c>
      <c r="T3011" t="s">
        <v>1018</v>
      </c>
      <c r="U3011">
        <v>-0.60588888900000004</v>
      </c>
    </row>
    <row r="3012" spans="1:21" x14ac:dyDescent="0.25">
      <c r="A3012" t="s">
        <v>55</v>
      </c>
      <c r="B3012" t="s">
        <v>877</v>
      </c>
      <c r="C3012">
        <v>12</v>
      </c>
      <c r="D3012" t="s">
        <v>23</v>
      </c>
      <c r="E3012" t="s">
        <v>94</v>
      </c>
      <c r="F3012" t="s">
        <v>111</v>
      </c>
      <c r="G3012" t="s">
        <v>113</v>
      </c>
      <c r="H3012" t="s">
        <v>113</v>
      </c>
      <c r="J3012">
        <v>0</v>
      </c>
      <c r="K3012">
        <v>2</v>
      </c>
      <c r="L3012">
        <v>94.97142857</v>
      </c>
      <c r="M3012">
        <v>24.31591813</v>
      </c>
      <c r="N3012">
        <v>0.122951111</v>
      </c>
      <c r="O3012">
        <v>0.39050790000000002</v>
      </c>
      <c r="P3012">
        <v>83.757575759999995</v>
      </c>
      <c r="Q3012">
        <v>22.60997987</v>
      </c>
      <c r="R3012">
        <v>0.72884000000000004</v>
      </c>
      <c r="S3012">
        <v>0.21301339999999999</v>
      </c>
      <c r="T3012" t="s">
        <v>1018</v>
      </c>
      <c r="U3012">
        <v>-0.60588888900000004</v>
      </c>
    </row>
    <row r="3013" spans="1:21" x14ac:dyDescent="0.25">
      <c r="A3013" t="s">
        <v>55</v>
      </c>
      <c r="B3013" t="s">
        <v>877</v>
      </c>
      <c r="C3013">
        <v>12</v>
      </c>
      <c r="D3013" t="s">
        <v>23</v>
      </c>
      <c r="E3013" t="s">
        <v>94</v>
      </c>
      <c r="F3013" t="s">
        <v>111</v>
      </c>
      <c r="G3013" t="s">
        <v>113</v>
      </c>
      <c r="H3013" t="s">
        <v>797</v>
      </c>
      <c r="J3013">
        <v>0</v>
      </c>
      <c r="K3013">
        <v>1</v>
      </c>
      <c r="L3013">
        <v>94.97142857</v>
      </c>
      <c r="M3013">
        <v>24.31591813</v>
      </c>
      <c r="N3013">
        <v>0.122951111</v>
      </c>
      <c r="O3013">
        <v>0.39050790000000002</v>
      </c>
      <c r="P3013">
        <v>179.45454549999999</v>
      </c>
      <c r="Q3013">
        <v>26.326869609999999</v>
      </c>
      <c r="R3013">
        <v>2.3456094639999998</v>
      </c>
      <c r="S3013">
        <v>0.18833116</v>
      </c>
      <c r="T3013" t="s">
        <v>1018</v>
      </c>
      <c r="U3013">
        <v>-2.2226583529999999</v>
      </c>
    </row>
    <row r="3014" spans="1:21" x14ac:dyDescent="0.25">
      <c r="A3014" t="s">
        <v>56</v>
      </c>
      <c r="B3014" t="s">
        <v>878</v>
      </c>
      <c r="C3014">
        <v>12</v>
      </c>
      <c r="D3014" t="s">
        <v>25</v>
      </c>
      <c r="E3014" t="s">
        <v>94</v>
      </c>
      <c r="F3014" t="s">
        <v>113</v>
      </c>
      <c r="G3014" t="s">
        <v>113</v>
      </c>
      <c r="H3014" t="s">
        <v>113</v>
      </c>
      <c r="J3014">
        <v>0</v>
      </c>
      <c r="K3014">
        <v>3</v>
      </c>
      <c r="L3014">
        <v>83.757575759999995</v>
      </c>
      <c r="M3014">
        <v>22.60997987</v>
      </c>
      <c r="N3014">
        <v>0.72884000000000004</v>
      </c>
      <c r="O3014">
        <v>0.21301339999999999</v>
      </c>
      <c r="P3014">
        <v>83.757575759999995</v>
      </c>
      <c r="Q3014">
        <v>22.60997987</v>
      </c>
      <c r="R3014">
        <v>0.72884000000000004</v>
      </c>
      <c r="S3014">
        <v>0.21301339999999999</v>
      </c>
      <c r="T3014" t="s">
        <v>1018</v>
      </c>
      <c r="U3014">
        <v>0</v>
      </c>
    </row>
    <row r="3015" spans="1:21" x14ac:dyDescent="0.25">
      <c r="A3015" t="s">
        <v>56</v>
      </c>
      <c r="B3015" t="s">
        <v>878</v>
      </c>
      <c r="C3015">
        <v>12</v>
      </c>
      <c r="D3015" t="s">
        <v>25</v>
      </c>
      <c r="E3015" t="s">
        <v>94</v>
      </c>
      <c r="F3015" t="s">
        <v>113</v>
      </c>
      <c r="G3015" t="s">
        <v>113</v>
      </c>
      <c r="H3015" t="s">
        <v>113</v>
      </c>
      <c r="J3015">
        <v>0</v>
      </c>
      <c r="K3015">
        <v>3</v>
      </c>
      <c r="L3015">
        <v>83.757575759999995</v>
      </c>
      <c r="M3015">
        <v>22.60997987</v>
      </c>
      <c r="N3015">
        <v>0.72884000000000004</v>
      </c>
      <c r="O3015">
        <v>0.21301339999999999</v>
      </c>
      <c r="P3015">
        <v>83.757575759999995</v>
      </c>
      <c r="Q3015">
        <v>22.60997987</v>
      </c>
      <c r="R3015">
        <v>0.72884000000000004</v>
      </c>
      <c r="S3015">
        <v>0.21301339999999999</v>
      </c>
      <c r="T3015" t="s">
        <v>1018</v>
      </c>
      <c r="U3015">
        <v>0</v>
      </c>
    </row>
    <row r="3016" spans="1:21" x14ac:dyDescent="0.25">
      <c r="A3016" t="s">
        <v>56</v>
      </c>
      <c r="B3016" t="s">
        <v>878</v>
      </c>
      <c r="C3016">
        <v>12</v>
      </c>
      <c r="D3016" t="s">
        <v>25</v>
      </c>
      <c r="E3016" t="s">
        <v>94</v>
      </c>
      <c r="F3016" t="s">
        <v>113</v>
      </c>
      <c r="G3016" t="s">
        <v>113</v>
      </c>
      <c r="H3016" t="s">
        <v>113</v>
      </c>
      <c r="J3016">
        <v>0</v>
      </c>
      <c r="K3016">
        <v>3</v>
      </c>
      <c r="L3016">
        <v>83.757575759999995</v>
      </c>
      <c r="M3016">
        <v>22.60997987</v>
      </c>
      <c r="N3016">
        <v>0.72884000000000004</v>
      </c>
      <c r="O3016">
        <v>0.21301339999999999</v>
      </c>
      <c r="P3016">
        <v>83.757575759999995</v>
      </c>
      <c r="Q3016">
        <v>22.60997987</v>
      </c>
      <c r="R3016">
        <v>0.72884000000000004</v>
      </c>
      <c r="S3016">
        <v>0.21301339999999999</v>
      </c>
      <c r="T3016" t="s">
        <v>1018</v>
      </c>
      <c r="U3016">
        <v>0</v>
      </c>
    </row>
    <row r="3017" spans="1:21" x14ac:dyDescent="0.25">
      <c r="A3017" t="s">
        <v>56</v>
      </c>
      <c r="B3017" t="s">
        <v>879</v>
      </c>
      <c r="C3017">
        <v>12</v>
      </c>
      <c r="D3017" t="s">
        <v>25</v>
      </c>
      <c r="E3017" t="s">
        <v>94</v>
      </c>
      <c r="F3017" t="s">
        <v>111</v>
      </c>
      <c r="G3017" t="s">
        <v>121</v>
      </c>
      <c r="H3017" t="s">
        <v>112</v>
      </c>
      <c r="J3017">
        <v>0</v>
      </c>
      <c r="K3017">
        <v>1</v>
      </c>
      <c r="L3017">
        <v>94.97142857</v>
      </c>
      <c r="M3017">
        <v>24.31591813</v>
      </c>
      <c r="N3017">
        <v>0.122951111</v>
      </c>
      <c r="O3017">
        <v>0.39050790000000002</v>
      </c>
      <c r="P3017">
        <v>65.09375</v>
      </c>
      <c r="Q3017">
        <v>37.895352600000002</v>
      </c>
      <c r="R3017">
        <v>2.2882677779999998</v>
      </c>
      <c r="S3017">
        <v>2.2111774</v>
      </c>
      <c r="T3017" t="s">
        <v>1018</v>
      </c>
      <c r="U3017">
        <v>-2.1653166669999999</v>
      </c>
    </row>
    <row r="3018" spans="1:21" x14ac:dyDescent="0.25">
      <c r="A3018" t="s">
        <v>56</v>
      </c>
      <c r="B3018" t="s">
        <v>880</v>
      </c>
      <c r="C3018">
        <v>12</v>
      </c>
      <c r="D3018" t="s">
        <v>25</v>
      </c>
      <c r="E3018" t="s">
        <v>94</v>
      </c>
      <c r="F3018" t="s">
        <v>104</v>
      </c>
      <c r="G3018" t="s">
        <v>121</v>
      </c>
      <c r="H3018" t="s">
        <v>104</v>
      </c>
      <c r="J3018">
        <v>0</v>
      </c>
      <c r="K3018">
        <v>1</v>
      </c>
      <c r="L3018">
        <v>113.9375</v>
      </c>
      <c r="M3018">
        <v>33.375507550000002</v>
      </c>
      <c r="N3018">
        <v>2.4262999999999999</v>
      </c>
      <c r="O3018">
        <v>0.40692159999999999</v>
      </c>
      <c r="P3018">
        <v>113.9375</v>
      </c>
      <c r="Q3018">
        <v>33.375507550000002</v>
      </c>
      <c r="R3018">
        <v>2.4262999999999999</v>
      </c>
      <c r="S3018">
        <v>0.40692159999999999</v>
      </c>
      <c r="T3018" t="s">
        <v>1018</v>
      </c>
      <c r="U3018">
        <v>0</v>
      </c>
    </row>
    <row r="3019" spans="1:21" x14ac:dyDescent="0.25">
      <c r="A3019" t="s">
        <v>56</v>
      </c>
      <c r="B3019" t="s">
        <v>881</v>
      </c>
      <c r="C3019">
        <v>12</v>
      </c>
      <c r="D3019" t="s">
        <v>25</v>
      </c>
      <c r="E3019" t="s">
        <v>94</v>
      </c>
      <c r="F3019" t="s">
        <v>112</v>
      </c>
      <c r="G3019" t="s">
        <v>121</v>
      </c>
      <c r="H3019" t="s">
        <v>241</v>
      </c>
      <c r="J3019">
        <v>0</v>
      </c>
      <c r="K3019">
        <v>4</v>
      </c>
      <c r="L3019">
        <v>65.09375</v>
      </c>
      <c r="M3019">
        <v>37.895352600000002</v>
      </c>
      <c r="N3019">
        <v>2.2882677779999998</v>
      </c>
      <c r="O3019">
        <v>2.2111774</v>
      </c>
      <c r="P3019">
        <v>114</v>
      </c>
      <c r="Q3019">
        <v>30.43077242</v>
      </c>
      <c r="R3019">
        <v>0.53383111100000002</v>
      </c>
      <c r="S3019">
        <v>0.28333332999999999</v>
      </c>
      <c r="T3019" t="s">
        <v>1018</v>
      </c>
      <c r="U3019">
        <v>1.754436667</v>
      </c>
    </row>
    <row r="3020" spans="1:21" x14ac:dyDescent="0.25">
      <c r="A3020" t="s">
        <v>56</v>
      </c>
      <c r="B3020" t="s">
        <v>881</v>
      </c>
      <c r="C3020">
        <v>12</v>
      </c>
      <c r="D3020" t="s">
        <v>25</v>
      </c>
      <c r="E3020" t="s">
        <v>94</v>
      </c>
      <c r="F3020" t="s">
        <v>112</v>
      </c>
      <c r="G3020" t="s">
        <v>121</v>
      </c>
      <c r="H3020" t="s">
        <v>241</v>
      </c>
      <c r="J3020">
        <v>0</v>
      </c>
      <c r="K3020">
        <v>4</v>
      </c>
      <c r="L3020">
        <v>65.09375</v>
      </c>
      <c r="M3020">
        <v>37.895352600000002</v>
      </c>
      <c r="N3020">
        <v>2.2882677779999998</v>
      </c>
      <c r="O3020">
        <v>2.2111774</v>
      </c>
      <c r="P3020">
        <v>114</v>
      </c>
      <c r="Q3020">
        <v>30.43077242</v>
      </c>
      <c r="R3020">
        <v>0.53383111100000002</v>
      </c>
      <c r="S3020">
        <v>0.28333332999999999</v>
      </c>
      <c r="T3020" t="s">
        <v>1018</v>
      </c>
      <c r="U3020">
        <v>1.754436667</v>
      </c>
    </row>
    <row r="3021" spans="1:21" x14ac:dyDescent="0.25">
      <c r="A3021" t="s">
        <v>56</v>
      </c>
      <c r="B3021" t="s">
        <v>881</v>
      </c>
      <c r="C3021">
        <v>12</v>
      </c>
      <c r="D3021" t="s">
        <v>25</v>
      </c>
      <c r="E3021" t="s">
        <v>94</v>
      </c>
      <c r="F3021" t="s">
        <v>112</v>
      </c>
      <c r="G3021" t="s">
        <v>121</v>
      </c>
      <c r="H3021" t="s">
        <v>241</v>
      </c>
      <c r="J3021">
        <v>0</v>
      </c>
      <c r="K3021">
        <v>4</v>
      </c>
      <c r="L3021">
        <v>65.09375</v>
      </c>
      <c r="M3021">
        <v>37.895352600000002</v>
      </c>
      <c r="N3021">
        <v>2.2882677779999998</v>
      </c>
      <c r="O3021">
        <v>2.2111774</v>
      </c>
      <c r="P3021">
        <v>114</v>
      </c>
      <c r="Q3021">
        <v>30.43077242</v>
      </c>
      <c r="R3021">
        <v>0.53383111100000002</v>
      </c>
      <c r="S3021">
        <v>0.28333332999999999</v>
      </c>
      <c r="T3021" t="s">
        <v>1018</v>
      </c>
      <c r="U3021">
        <v>1.754436667</v>
      </c>
    </row>
    <row r="3022" spans="1:21" x14ac:dyDescent="0.25">
      <c r="A3022" t="s">
        <v>56</v>
      </c>
      <c r="B3022" t="s">
        <v>881</v>
      </c>
      <c r="C3022">
        <v>12</v>
      </c>
      <c r="D3022" t="s">
        <v>25</v>
      </c>
      <c r="E3022" t="s">
        <v>94</v>
      </c>
      <c r="F3022" t="s">
        <v>112</v>
      </c>
      <c r="G3022" t="s">
        <v>121</v>
      </c>
      <c r="H3022" t="s">
        <v>241</v>
      </c>
      <c r="J3022">
        <v>0</v>
      </c>
      <c r="K3022">
        <v>4</v>
      </c>
      <c r="L3022">
        <v>65.09375</v>
      </c>
      <c r="M3022">
        <v>37.895352600000002</v>
      </c>
      <c r="N3022">
        <v>2.2882677779999998</v>
      </c>
      <c r="O3022">
        <v>2.2111774</v>
      </c>
      <c r="P3022">
        <v>114</v>
      </c>
      <c r="Q3022">
        <v>30.43077242</v>
      </c>
      <c r="R3022">
        <v>0.53383111100000002</v>
      </c>
      <c r="S3022">
        <v>0.28333332999999999</v>
      </c>
      <c r="T3022" t="s">
        <v>1018</v>
      </c>
      <c r="U3022">
        <v>1.754436667</v>
      </c>
    </row>
    <row r="3023" spans="1:21" x14ac:dyDescent="0.25">
      <c r="A3023" t="s">
        <v>57</v>
      </c>
      <c r="B3023" t="s">
        <v>882</v>
      </c>
      <c r="C3023">
        <v>12</v>
      </c>
      <c r="D3023" t="s">
        <v>27</v>
      </c>
      <c r="E3023" t="s">
        <v>94</v>
      </c>
      <c r="F3023" t="s">
        <v>105</v>
      </c>
      <c r="G3023" t="s">
        <v>121</v>
      </c>
      <c r="H3023" t="s">
        <v>247</v>
      </c>
      <c r="J3023">
        <v>0</v>
      </c>
      <c r="K3023">
        <v>1</v>
      </c>
      <c r="L3023">
        <v>67.5</v>
      </c>
      <c r="M3023">
        <v>47.937235809999997</v>
      </c>
      <c r="N3023">
        <v>0.41599678000000001</v>
      </c>
      <c r="O3023">
        <v>2.0950346999999998</v>
      </c>
      <c r="P3023">
        <v>65.791044779999993</v>
      </c>
      <c r="Q3023">
        <v>22.94519201</v>
      </c>
      <c r="R3023">
        <v>8.1320334999999994E-2</v>
      </c>
      <c r="S3023">
        <v>0.17285655</v>
      </c>
      <c r="T3023" t="s">
        <v>1018</v>
      </c>
      <c r="U3023">
        <v>0.33467644499999999</v>
      </c>
    </row>
    <row r="3024" spans="1:21" x14ac:dyDescent="0.25">
      <c r="A3024" t="s">
        <v>57</v>
      </c>
      <c r="B3024" t="s">
        <v>882</v>
      </c>
      <c r="C3024">
        <v>12</v>
      </c>
      <c r="D3024" t="s">
        <v>27</v>
      </c>
      <c r="E3024" t="s">
        <v>94</v>
      </c>
      <c r="F3024" t="s">
        <v>105</v>
      </c>
      <c r="G3024" t="s">
        <v>121</v>
      </c>
      <c r="H3024" t="s">
        <v>103</v>
      </c>
      <c r="J3024">
        <v>0</v>
      </c>
      <c r="K3024">
        <v>1</v>
      </c>
      <c r="L3024">
        <v>67.5</v>
      </c>
      <c r="M3024">
        <v>47.937235809999997</v>
      </c>
      <c r="N3024">
        <v>0.41599678000000001</v>
      </c>
      <c r="O3024">
        <v>2.0950346999999998</v>
      </c>
      <c r="P3024">
        <v>98.291666669999998</v>
      </c>
      <c r="Q3024">
        <v>30.315130790000001</v>
      </c>
      <c r="R3024">
        <v>5.0803484000000003E-2</v>
      </c>
      <c r="S3024">
        <v>0.42866070000000001</v>
      </c>
      <c r="T3024" t="s">
        <v>1018</v>
      </c>
      <c r="U3024">
        <v>0.365193296</v>
      </c>
    </row>
    <row r="3025" spans="1:21" x14ac:dyDescent="0.25">
      <c r="A3025" t="s">
        <v>57</v>
      </c>
      <c r="B3025" t="s">
        <v>882</v>
      </c>
      <c r="C3025">
        <v>12</v>
      </c>
      <c r="D3025" t="s">
        <v>27</v>
      </c>
      <c r="E3025" t="s">
        <v>94</v>
      </c>
      <c r="F3025" t="s">
        <v>105</v>
      </c>
      <c r="G3025" t="s">
        <v>121</v>
      </c>
      <c r="H3025" t="s">
        <v>233</v>
      </c>
      <c r="J3025">
        <v>0</v>
      </c>
      <c r="K3025">
        <v>6</v>
      </c>
      <c r="L3025">
        <v>67.5</v>
      </c>
      <c r="M3025">
        <v>47.937235809999997</v>
      </c>
      <c r="N3025">
        <v>0.41599678000000001</v>
      </c>
      <c r="O3025">
        <v>2.0950346999999998</v>
      </c>
      <c r="P3025">
        <v>106.0540541</v>
      </c>
      <c r="Q3025">
        <v>52.690533369999997</v>
      </c>
      <c r="R3025">
        <v>7.6058968000000005E-2</v>
      </c>
      <c r="S3025">
        <v>0.44888888999999998</v>
      </c>
      <c r="T3025" t="s">
        <v>1018</v>
      </c>
      <c r="U3025">
        <v>0.33993781200000001</v>
      </c>
    </row>
    <row r="3026" spans="1:21" x14ac:dyDescent="0.25">
      <c r="A3026" t="s">
        <v>57</v>
      </c>
      <c r="B3026" t="s">
        <v>882</v>
      </c>
      <c r="C3026">
        <v>12</v>
      </c>
      <c r="D3026" t="s">
        <v>27</v>
      </c>
      <c r="E3026" t="s">
        <v>94</v>
      </c>
      <c r="F3026" t="s">
        <v>105</v>
      </c>
      <c r="G3026" t="s">
        <v>121</v>
      </c>
      <c r="H3026" t="s">
        <v>233</v>
      </c>
      <c r="J3026">
        <v>0</v>
      </c>
      <c r="K3026">
        <v>6</v>
      </c>
      <c r="L3026">
        <v>67.5</v>
      </c>
      <c r="M3026">
        <v>47.937235809999997</v>
      </c>
      <c r="N3026">
        <v>0.41599678000000001</v>
      </c>
      <c r="O3026">
        <v>2.0950346999999998</v>
      </c>
      <c r="P3026">
        <v>106.0540541</v>
      </c>
      <c r="Q3026">
        <v>52.690533369999997</v>
      </c>
      <c r="R3026">
        <v>7.6058968000000005E-2</v>
      </c>
      <c r="S3026">
        <v>0.44888888999999998</v>
      </c>
      <c r="T3026" t="s">
        <v>1018</v>
      </c>
      <c r="U3026">
        <v>0.33993781200000001</v>
      </c>
    </row>
    <row r="3027" spans="1:21" x14ac:dyDescent="0.25">
      <c r="A3027" t="s">
        <v>57</v>
      </c>
      <c r="B3027" t="s">
        <v>882</v>
      </c>
      <c r="C3027">
        <v>12</v>
      </c>
      <c r="D3027" t="s">
        <v>27</v>
      </c>
      <c r="E3027" t="s">
        <v>94</v>
      </c>
      <c r="F3027" t="s">
        <v>105</v>
      </c>
      <c r="G3027" t="s">
        <v>121</v>
      </c>
      <c r="H3027" t="s">
        <v>233</v>
      </c>
      <c r="J3027">
        <v>0</v>
      </c>
      <c r="K3027">
        <v>6</v>
      </c>
      <c r="L3027">
        <v>67.5</v>
      </c>
      <c r="M3027">
        <v>47.937235809999997</v>
      </c>
      <c r="N3027">
        <v>0.41599678000000001</v>
      </c>
      <c r="O3027">
        <v>2.0950346999999998</v>
      </c>
      <c r="P3027">
        <v>106.0540541</v>
      </c>
      <c r="Q3027">
        <v>52.690533369999997</v>
      </c>
      <c r="R3027">
        <v>7.6058968000000005E-2</v>
      </c>
      <c r="S3027">
        <v>0.44888888999999998</v>
      </c>
      <c r="T3027" t="s">
        <v>1018</v>
      </c>
      <c r="U3027">
        <v>0.33993781200000001</v>
      </c>
    </row>
    <row r="3028" spans="1:21" x14ac:dyDescent="0.25">
      <c r="A3028" t="s">
        <v>57</v>
      </c>
      <c r="B3028" t="s">
        <v>882</v>
      </c>
      <c r="C3028">
        <v>12</v>
      </c>
      <c r="D3028" t="s">
        <v>27</v>
      </c>
      <c r="E3028" t="s">
        <v>94</v>
      </c>
      <c r="F3028" t="s">
        <v>105</v>
      </c>
      <c r="G3028" t="s">
        <v>121</v>
      </c>
      <c r="H3028" t="s">
        <v>233</v>
      </c>
      <c r="J3028">
        <v>0</v>
      </c>
      <c r="K3028">
        <v>6</v>
      </c>
      <c r="L3028">
        <v>67.5</v>
      </c>
      <c r="M3028">
        <v>47.937235809999997</v>
      </c>
      <c r="N3028">
        <v>0.41599678000000001</v>
      </c>
      <c r="O3028">
        <v>2.0950346999999998</v>
      </c>
      <c r="P3028">
        <v>106.0540541</v>
      </c>
      <c r="Q3028">
        <v>52.690533369999997</v>
      </c>
      <c r="R3028">
        <v>7.6058968000000005E-2</v>
      </c>
      <c r="S3028">
        <v>0.44888888999999998</v>
      </c>
      <c r="T3028" t="s">
        <v>1018</v>
      </c>
      <c r="U3028">
        <v>0.33993781200000001</v>
      </c>
    </row>
    <row r="3029" spans="1:21" x14ac:dyDescent="0.25">
      <c r="A3029" t="s">
        <v>57</v>
      </c>
      <c r="B3029" t="s">
        <v>882</v>
      </c>
      <c r="C3029">
        <v>12</v>
      </c>
      <c r="D3029" t="s">
        <v>27</v>
      </c>
      <c r="E3029" t="s">
        <v>94</v>
      </c>
      <c r="F3029" t="s">
        <v>105</v>
      </c>
      <c r="G3029" t="s">
        <v>121</v>
      </c>
      <c r="H3029" t="s">
        <v>233</v>
      </c>
      <c r="J3029">
        <v>0</v>
      </c>
      <c r="K3029">
        <v>6</v>
      </c>
      <c r="L3029">
        <v>67.5</v>
      </c>
      <c r="M3029">
        <v>47.937235809999997</v>
      </c>
      <c r="N3029">
        <v>0.41599678000000001</v>
      </c>
      <c r="O3029">
        <v>2.0950346999999998</v>
      </c>
      <c r="P3029">
        <v>106.0540541</v>
      </c>
      <c r="Q3029">
        <v>52.690533369999997</v>
      </c>
      <c r="R3029">
        <v>7.6058968000000005E-2</v>
      </c>
      <c r="S3029">
        <v>0.44888888999999998</v>
      </c>
      <c r="T3029" t="s">
        <v>1018</v>
      </c>
      <c r="U3029">
        <v>0.33993781200000001</v>
      </c>
    </row>
    <row r="3030" spans="1:21" x14ac:dyDescent="0.25">
      <c r="A3030" t="s">
        <v>57</v>
      </c>
      <c r="B3030" t="s">
        <v>882</v>
      </c>
      <c r="C3030">
        <v>12</v>
      </c>
      <c r="D3030" t="s">
        <v>27</v>
      </c>
      <c r="E3030" t="s">
        <v>94</v>
      </c>
      <c r="F3030" t="s">
        <v>105</v>
      </c>
      <c r="G3030" t="s">
        <v>121</v>
      </c>
      <c r="H3030" t="s">
        <v>233</v>
      </c>
      <c r="J3030">
        <v>0</v>
      </c>
      <c r="K3030">
        <v>6</v>
      </c>
      <c r="L3030">
        <v>67.5</v>
      </c>
      <c r="M3030">
        <v>47.937235809999997</v>
      </c>
      <c r="N3030">
        <v>0.41599678000000001</v>
      </c>
      <c r="O3030">
        <v>2.0950346999999998</v>
      </c>
      <c r="P3030">
        <v>106.0540541</v>
      </c>
      <c r="Q3030">
        <v>52.690533369999997</v>
      </c>
      <c r="R3030">
        <v>7.6058968000000005E-2</v>
      </c>
      <c r="S3030">
        <v>0.44888888999999998</v>
      </c>
      <c r="T3030" t="s">
        <v>1018</v>
      </c>
      <c r="U3030">
        <v>0.33993781200000001</v>
      </c>
    </row>
    <row r="3031" spans="1:21" x14ac:dyDescent="0.25">
      <c r="A3031" t="s">
        <v>57</v>
      </c>
      <c r="B3031" t="s">
        <v>883</v>
      </c>
      <c r="C3031">
        <v>12</v>
      </c>
      <c r="D3031" t="s">
        <v>27</v>
      </c>
      <c r="E3031" t="s">
        <v>94</v>
      </c>
      <c r="F3031" t="s">
        <v>113</v>
      </c>
      <c r="G3031" t="s">
        <v>121</v>
      </c>
      <c r="H3031" t="s">
        <v>114</v>
      </c>
      <c r="J3031">
        <v>0</v>
      </c>
      <c r="K3031" t="s">
        <v>114</v>
      </c>
      <c r="L3031">
        <v>83.757575759999995</v>
      </c>
      <c r="M3031">
        <v>22.60997987</v>
      </c>
      <c r="N3031">
        <v>0.72884000000000004</v>
      </c>
      <c r="O3031">
        <v>0.21301339999999999</v>
      </c>
      <c r="P3031" t="s">
        <v>114</v>
      </c>
      <c r="Q3031" t="s">
        <v>114</v>
      </c>
      <c r="R3031" t="s">
        <v>114</v>
      </c>
      <c r="S3031" t="s">
        <v>114</v>
      </c>
      <c r="T3031" t="s">
        <v>1018</v>
      </c>
      <c r="U3031" t="s">
        <v>114</v>
      </c>
    </row>
    <row r="3032" spans="1:21" x14ac:dyDescent="0.25">
      <c r="A3032" t="s">
        <v>57</v>
      </c>
      <c r="B3032" t="s">
        <v>884</v>
      </c>
      <c r="C3032">
        <v>12</v>
      </c>
      <c r="D3032" t="s">
        <v>27</v>
      </c>
      <c r="E3032" t="s">
        <v>94</v>
      </c>
      <c r="F3032" t="s">
        <v>112</v>
      </c>
      <c r="G3032" t="s">
        <v>112</v>
      </c>
      <c r="H3032" t="s">
        <v>112</v>
      </c>
      <c r="J3032">
        <v>0</v>
      </c>
      <c r="K3032">
        <v>2</v>
      </c>
      <c r="L3032">
        <v>65.09375</v>
      </c>
      <c r="M3032">
        <v>37.895352600000002</v>
      </c>
      <c r="N3032">
        <v>2.2882677779999998</v>
      </c>
      <c r="O3032">
        <v>2.2111774</v>
      </c>
      <c r="P3032">
        <v>65.09375</v>
      </c>
      <c r="Q3032">
        <v>37.895352600000002</v>
      </c>
      <c r="R3032">
        <v>2.2882677779999998</v>
      </c>
      <c r="S3032">
        <v>2.2111774</v>
      </c>
      <c r="T3032" t="s">
        <v>1018</v>
      </c>
      <c r="U3032">
        <v>0</v>
      </c>
    </row>
    <row r="3033" spans="1:21" x14ac:dyDescent="0.25">
      <c r="A3033" t="s">
        <v>57</v>
      </c>
      <c r="B3033" t="s">
        <v>884</v>
      </c>
      <c r="C3033">
        <v>12</v>
      </c>
      <c r="D3033" t="s">
        <v>27</v>
      </c>
      <c r="E3033" t="s">
        <v>94</v>
      </c>
      <c r="F3033" t="s">
        <v>112</v>
      </c>
      <c r="G3033" t="s">
        <v>112</v>
      </c>
      <c r="H3033" t="s">
        <v>112</v>
      </c>
      <c r="J3033">
        <v>0</v>
      </c>
      <c r="K3033">
        <v>2</v>
      </c>
      <c r="L3033">
        <v>65.09375</v>
      </c>
      <c r="M3033">
        <v>37.895352600000002</v>
      </c>
      <c r="N3033">
        <v>2.2882677779999998</v>
      </c>
      <c r="O3033">
        <v>2.2111774</v>
      </c>
      <c r="P3033">
        <v>65.09375</v>
      </c>
      <c r="Q3033">
        <v>37.895352600000002</v>
      </c>
      <c r="R3033">
        <v>2.2882677779999998</v>
      </c>
      <c r="S3033">
        <v>2.2111774</v>
      </c>
      <c r="T3033" t="s">
        <v>1018</v>
      </c>
      <c r="U3033">
        <v>0</v>
      </c>
    </row>
    <row r="3034" spans="1:21" x14ac:dyDescent="0.25">
      <c r="A3034" t="s">
        <v>57</v>
      </c>
      <c r="B3034" t="s">
        <v>884</v>
      </c>
      <c r="C3034">
        <v>12</v>
      </c>
      <c r="D3034" t="s">
        <v>27</v>
      </c>
      <c r="E3034" t="s">
        <v>94</v>
      </c>
      <c r="F3034" t="s">
        <v>112</v>
      </c>
      <c r="G3034" t="s">
        <v>112</v>
      </c>
      <c r="H3034" t="s">
        <v>247</v>
      </c>
      <c r="J3034">
        <v>0</v>
      </c>
      <c r="K3034">
        <v>1</v>
      </c>
      <c r="L3034">
        <v>65.09375</v>
      </c>
      <c r="M3034">
        <v>37.895352600000002</v>
      </c>
      <c r="N3034">
        <v>2.2882677779999998</v>
      </c>
      <c r="O3034">
        <v>2.2111774</v>
      </c>
      <c r="P3034">
        <v>65.791044779999993</v>
      </c>
      <c r="Q3034">
        <v>22.94519201</v>
      </c>
      <c r="R3034">
        <v>8.1320334999999994E-2</v>
      </c>
      <c r="S3034">
        <v>0.17285655</v>
      </c>
      <c r="T3034" t="s">
        <v>1018</v>
      </c>
      <c r="U3034">
        <v>2.2069474429999998</v>
      </c>
    </row>
    <row r="3035" spans="1:21" x14ac:dyDescent="0.25">
      <c r="A3035" t="s">
        <v>58</v>
      </c>
      <c r="B3035" t="s">
        <v>885</v>
      </c>
      <c r="C3035">
        <v>12</v>
      </c>
      <c r="D3035" t="s">
        <v>29</v>
      </c>
      <c r="E3035" t="s">
        <v>95</v>
      </c>
      <c r="F3035" t="s">
        <v>102</v>
      </c>
      <c r="G3035" t="s">
        <v>104</v>
      </c>
      <c r="H3035" t="s">
        <v>104</v>
      </c>
      <c r="J3035">
        <v>0</v>
      </c>
      <c r="K3035">
        <v>1</v>
      </c>
      <c r="L3035">
        <v>84.740740740000007</v>
      </c>
      <c r="M3035">
        <v>29.167014049999999</v>
      </c>
      <c r="N3035">
        <v>1.1169849999999999</v>
      </c>
      <c r="O3035">
        <v>1.1571499000000001</v>
      </c>
      <c r="P3035">
        <v>113.9375</v>
      </c>
      <c r="Q3035">
        <v>33.375507550000002</v>
      </c>
      <c r="R3035">
        <v>2.4262999999999999</v>
      </c>
      <c r="S3035">
        <v>0.40692159999999999</v>
      </c>
      <c r="T3035" t="s">
        <v>1018</v>
      </c>
      <c r="U3035">
        <v>-1.309315</v>
      </c>
    </row>
    <row r="3036" spans="1:21" x14ac:dyDescent="0.25">
      <c r="A3036" t="s">
        <v>58</v>
      </c>
      <c r="B3036" t="s">
        <v>885</v>
      </c>
      <c r="C3036">
        <v>12</v>
      </c>
      <c r="D3036" t="s">
        <v>29</v>
      </c>
      <c r="E3036" t="s">
        <v>95</v>
      </c>
      <c r="F3036" t="s">
        <v>102</v>
      </c>
      <c r="G3036" t="s">
        <v>104</v>
      </c>
      <c r="H3036" t="s">
        <v>246</v>
      </c>
      <c r="J3036">
        <v>0</v>
      </c>
      <c r="K3036">
        <v>1</v>
      </c>
      <c r="L3036">
        <v>84.740740740000007</v>
      </c>
      <c r="M3036">
        <v>29.167014049999999</v>
      </c>
      <c r="N3036">
        <v>1.1169849999999999</v>
      </c>
      <c r="O3036">
        <v>1.1571499000000001</v>
      </c>
      <c r="P3036">
        <v>120.25</v>
      </c>
      <c r="Q3036">
        <v>30.670450110000001</v>
      </c>
      <c r="R3036">
        <v>0.91037498500000003</v>
      </c>
      <c r="S3036" t="s">
        <v>114</v>
      </c>
      <c r="T3036" t="s">
        <v>1018</v>
      </c>
      <c r="U3036">
        <v>0.20661001500000001</v>
      </c>
    </row>
    <row r="3037" spans="1:21" x14ac:dyDescent="0.25">
      <c r="A3037" t="s">
        <v>58</v>
      </c>
      <c r="B3037" t="s">
        <v>886</v>
      </c>
      <c r="C3037">
        <v>12</v>
      </c>
      <c r="D3037" t="s">
        <v>29</v>
      </c>
      <c r="E3037" t="s">
        <v>95</v>
      </c>
      <c r="F3037" t="s">
        <v>110</v>
      </c>
      <c r="G3037" t="s">
        <v>121</v>
      </c>
      <c r="H3037" t="s">
        <v>246</v>
      </c>
      <c r="I3037" t="s">
        <v>162</v>
      </c>
      <c r="J3037">
        <v>1</v>
      </c>
      <c r="K3037">
        <v>1</v>
      </c>
      <c r="L3037">
        <v>73.260869569999997</v>
      </c>
      <c r="M3037">
        <v>34.453830549999999</v>
      </c>
      <c r="N3037">
        <v>1.058333333</v>
      </c>
      <c r="O3037">
        <v>0.90897070000000002</v>
      </c>
      <c r="P3037">
        <v>120.25</v>
      </c>
      <c r="Q3037">
        <v>30.670450110000001</v>
      </c>
      <c r="R3037">
        <v>0.91037498500000003</v>
      </c>
      <c r="S3037" t="s">
        <v>114</v>
      </c>
      <c r="T3037" t="s">
        <v>1018</v>
      </c>
      <c r="U3037">
        <v>0.14795834799999999</v>
      </c>
    </row>
    <row r="3038" spans="1:21" x14ac:dyDescent="0.25">
      <c r="A3038" t="s">
        <v>58</v>
      </c>
      <c r="B3038" t="s">
        <v>886</v>
      </c>
      <c r="C3038">
        <v>12</v>
      </c>
      <c r="D3038" t="s">
        <v>29</v>
      </c>
      <c r="E3038" t="s">
        <v>95</v>
      </c>
      <c r="F3038" t="s">
        <v>110</v>
      </c>
      <c r="G3038" t="s">
        <v>121</v>
      </c>
      <c r="H3038" t="s">
        <v>239</v>
      </c>
      <c r="J3038">
        <v>1</v>
      </c>
      <c r="K3038">
        <v>1</v>
      </c>
      <c r="L3038">
        <v>73.260869569999997</v>
      </c>
      <c r="M3038">
        <v>34.453830549999999</v>
      </c>
      <c r="N3038">
        <v>1.058333333</v>
      </c>
      <c r="O3038">
        <v>0.90897070000000002</v>
      </c>
      <c r="P3038">
        <v>100.45454549999999</v>
      </c>
      <c r="Q3038">
        <v>26.754810689999999</v>
      </c>
      <c r="R3038">
        <v>0.75829999999999997</v>
      </c>
      <c r="S3038">
        <v>0.40907861000000001</v>
      </c>
      <c r="T3038" t="s">
        <v>1018</v>
      </c>
      <c r="U3038">
        <v>0.30003333300000001</v>
      </c>
    </row>
    <row r="3039" spans="1:21" x14ac:dyDescent="0.25">
      <c r="A3039" t="s">
        <v>58</v>
      </c>
      <c r="B3039" t="s">
        <v>887</v>
      </c>
      <c r="C3039">
        <v>12</v>
      </c>
      <c r="D3039" t="s">
        <v>29</v>
      </c>
      <c r="E3039" t="s">
        <v>95</v>
      </c>
      <c r="F3039" t="s">
        <v>103</v>
      </c>
      <c r="G3039" t="s">
        <v>121</v>
      </c>
      <c r="H3039" t="s">
        <v>249</v>
      </c>
      <c r="J3039">
        <v>0</v>
      </c>
      <c r="K3039">
        <v>1</v>
      </c>
      <c r="L3039">
        <v>98.291666669999998</v>
      </c>
      <c r="M3039">
        <v>30.315130790000001</v>
      </c>
      <c r="N3039">
        <v>5.0803484000000003E-2</v>
      </c>
      <c r="O3039">
        <v>0.42866070000000001</v>
      </c>
      <c r="P3039">
        <v>81.666666669999998</v>
      </c>
      <c r="Q3039">
        <v>48.056268459999998</v>
      </c>
      <c r="R3039">
        <v>0.120291364</v>
      </c>
      <c r="S3039" t="s">
        <v>114</v>
      </c>
      <c r="T3039" t="s">
        <v>1018</v>
      </c>
      <c r="U3039">
        <v>-6.9487880000000002E-2</v>
      </c>
    </row>
    <row r="3040" spans="1:21" x14ac:dyDescent="0.25">
      <c r="A3040" t="s">
        <v>58</v>
      </c>
      <c r="B3040" t="s">
        <v>887</v>
      </c>
      <c r="C3040">
        <v>12</v>
      </c>
      <c r="D3040" t="s">
        <v>29</v>
      </c>
      <c r="E3040" t="s">
        <v>95</v>
      </c>
      <c r="F3040" t="s">
        <v>103</v>
      </c>
      <c r="G3040" t="s">
        <v>121</v>
      </c>
      <c r="H3040" t="s">
        <v>238</v>
      </c>
      <c r="J3040">
        <v>0</v>
      </c>
      <c r="K3040">
        <v>1</v>
      </c>
      <c r="L3040">
        <v>98.291666669999998</v>
      </c>
      <c r="M3040">
        <v>30.315130790000001</v>
      </c>
      <c r="N3040">
        <v>5.0803484000000003E-2</v>
      </c>
      <c r="O3040">
        <v>0.42866070000000001</v>
      </c>
      <c r="P3040">
        <v>87.5</v>
      </c>
      <c r="Q3040">
        <v>29.478311600000001</v>
      </c>
      <c r="R3040">
        <v>3.0797751000000002E-2</v>
      </c>
      <c r="S3040">
        <v>0.12931835</v>
      </c>
      <c r="T3040" t="s">
        <v>1018</v>
      </c>
      <c r="U3040">
        <v>2.0005733000000001E-2</v>
      </c>
    </row>
    <row r="3041" spans="1:21" x14ac:dyDescent="0.25">
      <c r="A3041" t="s">
        <v>59</v>
      </c>
      <c r="B3041" t="s">
        <v>888</v>
      </c>
      <c r="C3041">
        <v>12</v>
      </c>
      <c r="D3041" t="s">
        <v>31</v>
      </c>
      <c r="E3041" t="s">
        <v>94</v>
      </c>
      <c r="F3041" t="s">
        <v>105</v>
      </c>
      <c r="G3041" t="s">
        <v>121</v>
      </c>
      <c r="H3041" t="s">
        <v>241</v>
      </c>
      <c r="J3041">
        <v>0</v>
      </c>
      <c r="K3041">
        <v>1</v>
      </c>
      <c r="L3041">
        <v>67.5</v>
      </c>
      <c r="M3041">
        <v>47.937235809999997</v>
      </c>
      <c r="N3041">
        <v>0.41599678000000001</v>
      </c>
      <c r="O3041">
        <v>2.0950346999999998</v>
      </c>
      <c r="P3041">
        <v>114</v>
      </c>
      <c r="Q3041">
        <v>30.43077242</v>
      </c>
      <c r="R3041">
        <v>0.53383111100000002</v>
      </c>
      <c r="S3041">
        <v>0.28333332999999999</v>
      </c>
      <c r="T3041" t="s">
        <v>1018</v>
      </c>
      <c r="U3041">
        <v>-0.117834331</v>
      </c>
    </row>
    <row r="3042" spans="1:21" x14ac:dyDescent="0.25">
      <c r="A3042" t="s">
        <v>59</v>
      </c>
      <c r="B3042" t="s">
        <v>889</v>
      </c>
      <c r="C3042">
        <v>12</v>
      </c>
      <c r="D3042" t="s">
        <v>31</v>
      </c>
      <c r="E3042" t="s">
        <v>94</v>
      </c>
      <c r="F3042" t="s">
        <v>110</v>
      </c>
      <c r="G3042" t="s">
        <v>121</v>
      </c>
      <c r="H3042" t="s">
        <v>241</v>
      </c>
      <c r="J3042">
        <v>0</v>
      </c>
      <c r="K3042">
        <v>2</v>
      </c>
      <c r="L3042">
        <v>73.260869569999997</v>
      </c>
      <c r="M3042">
        <v>34.453830549999999</v>
      </c>
      <c r="N3042">
        <v>1.058333333</v>
      </c>
      <c r="O3042">
        <v>0.90897070000000002</v>
      </c>
      <c r="P3042">
        <v>114</v>
      </c>
      <c r="Q3042">
        <v>30.43077242</v>
      </c>
      <c r="R3042">
        <v>0.53383111100000002</v>
      </c>
      <c r="S3042">
        <v>0.28333332999999999</v>
      </c>
      <c r="T3042" t="s">
        <v>1018</v>
      </c>
      <c r="U3042">
        <v>0.52450222199999996</v>
      </c>
    </row>
    <row r="3043" spans="1:21" x14ac:dyDescent="0.25">
      <c r="A3043" t="s">
        <v>59</v>
      </c>
      <c r="B3043" t="s">
        <v>889</v>
      </c>
      <c r="C3043">
        <v>12</v>
      </c>
      <c r="D3043" t="s">
        <v>31</v>
      </c>
      <c r="E3043" t="s">
        <v>94</v>
      </c>
      <c r="F3043" t="s">
        <v>110</v>
      </c>
      <c r="G3043" t="s">
        <v>121</v>
      </c>
      <c r="H3043" t="s">
        <v>241</v>
      </c>
      <c r="J3043">
        <v>0</v>
      </c>
      <c r="K3043">
        <v>2</v>
      </c>
      <c r="L3043">
        <v>73.260869569999997</v>
      </c>
      <c r="M3043">
        <v>34.453830549999999</v>
      </c>
      <c r="N3043">
        <v>1.058333333</v>
      </c>
      <c r="O3043">
        <v>0.90897070000000002</v>
      </c>
      <c r="P3043">
        <v>114</v>
      </c>
      <c r="Q3043">
        <v>30.43077242</v>
      </c>
      <c r="R3043">
        <v>0.53383111100000002</v>
      </c>
      <c r="S3043">
        <v>0.28333332999999999</v>
      </c>
      <c r="T3043" t="s">
        <v>1018</v>
      </c>
      <c r="U3043">
        <v>0.52450222199999996</v>
      </c>
    </row>
    <row r="3044" spans="1:21" x14ac:dyDescent="0.25">
      <c r="A3044" t="s">
        <v>60</v>
      </c>
      <c r="B3044" t="s">
        <v>890</v>
      </c>
      <c r="C3044">
        <v>12</v>
      </c>
      <c r="D3044" t="s">
        <v>33</v>
      </c>
      <c r="E3044" t="s">
        <v>95</v>
      </c>
      <c r="F3044" t="s">
        <v>102</v>
      </c>
      <c r="G3044" t="s">
        <v>104</v>
      </c>
      <c r="H3044" t="s">
        <v>104</v>
      </c>
      <c r="J3044">
        <v>0</v>
      </c>
      <c r="K3044">
        <v>1</v>
      </c>
      <c r="L3044">
        <v>84.740740740000007</v>
      </c>
      <c r="M3044">
        <v>29.167014049999999</v>
      </c>
      <c r="N3044">
        <v>1.1169849999999999</v>
      </c>
      <c r="O3044">
        <v>1.1571499000000001</v>
      </c>
      <c r="P3044">
        <v>113.9375</v>
      </c>
      <c r="Q3044">
        <v>33.375507550000002</v>
      </c>
      <c r="R3044">
        <v>2.4262999999999999</v>
      </c>
      <c r="S3044">
        <v>0.40692159999999999</v>
      </c>
      <c r="T3044" t="s">
        <v>1018</v>
      </c>
      <c r="U3044">
        <v>-1.309315</v>
      </c>
    </row>
    <row r="3045" spans="1:21" x14ac:dyDescent="0.25">
      <c r="A3045" t="s">
        <v>60</v>
      </c>
      <c r="B3045" t="s">
        <v>891</v>
      </c>
      <c r="C3045">
        <v>12</v>
      </c>
      <c r="D3045" t="s">
        <v>33</v>
      </c>
      <c r="E3045" t="s">
        <v>95</v>
      </c>
      <c r="F3045" t="s">
        <v>110</v>
      </c>
      <c r="G3045" t="s">
        <v>121</v>
      </c>
      <c r="H3045" t="s">
        <v>241</v>
      </c>
      <c r="J3045">
        <v>0</v>
      </c>
      <c r="K3045">
        <v>2</v>
      </c>
      <c r="L3045">
        <v>73.260869569999997</v>
      </c>
      <c r="M3045">
        <v>34.453830549999999</v>
      </c>
      <c r="N3045">
        <v>1.058333333</v>
      </c>
      <c r="O3045">
        <v>0.90897070000000002</v>
      </c>
      <c r="P3045">
        <v>114</v>
      </c>
      <c r="Q3045">
        <v>30.43077242</v>
      </c>
      <c r="R3045">
        <v>0.53383111100000002</v>
      </c>
      <c r="S3045">
        <v>0.28333332999999999</v>
      </c>
      <c r="T3045" t="s">
        <v>1018</v>
      </c>
      <c r="U3045">
        <v>0.52450222199999996</v>
      </c>
    </row>
    <row r="3046" spans="1:21" x14ac:dyDescent="0.25">
      <c r="A3046" t="s">
        <v>60</v>
      </c>
      <c r="B3046" t="s">
        <v>891</v>
      </c>
      <c r="C3046">
        <v>12</v>
      </c>
      <c r="D3046" t="s">
        <v>33</v>
      </c>
      <c r="E3046" t="s">
        <v>95</v>
      </c>
      <c r="F3046" t="s">
        <v>110</v>
      </c>
      <c r="G3046" t="s">
        <v>121</v>
      </c>
      <c r="H3046" t="s">
        <v>241</v>
      </c>
      <c r="J3046">
        <v>0</v>
      </c>
      <c r="K3046">
        <v>2</v>
      </c>
      <c r="L3046">
        <v>73.260869569999997</v>
      </c>
      <c r="M3046">
        <v>34.453830549999999</v>
      </c>
      <c r="N3046">
        <v>1.058333333</v>
      </c>
      <c r="O3046">
        <v>0.90897070000000002</v>
      </c>
      <c r="P3046">
        <v>114</v>
      </c>
      <c r="Q3046">
        <v>30.43077242</v>
      </c>
      <c r="R3046">
        <v>0.53383111100000002</v>
      </c>
      <c r="S3046">
        <v>0.28333332999999999</v>
      </c>
      <c r="T3046" t="s">
        <v>1018</v>
      </c>
      <c r="U3046">
        <v>0.52450222199999996</v>
      </c>
    </row>
    <row r="3047" spans="1:21" x14ac:dyDescent="0.25">
      <c r="A3047" t="s">
        <v>60</v>
      </c>
      <c r="B3047" t="s">
        <v>891</v>
      </c>
      <c r="C3047">
        <v>12</v>
      </c>
      <c r="D3047" t="s">
        <v>33</v>
      </c>
      <c r="E3047" t="s">
        <v>95</v>
      </c>
      <c r="F3047" t="s">
        <v>110</v>
      </c>
      <c r="G3047" t="s">
        <v>121</v>
      </c>
      <c r="H3047" t="s">
        <v>246</v>
      </c>
      <c r="J3047">
        <v>0</v>
      </c>
      <c r="K3047">
        <v>2</v>
      </c>
      <c r="L3047">
        <v>73.260869569999997</v>
      </c>
      <c r="M3047">
        <v>34.453830549999999</v>
      </c>
      <c r="N3047">
        <v>1.058333333</v>
      </c>
      <c r="O3047">
        <v>0.90897070000000002</v>
      </c>
      <c r="P3047">
        <v>120.25</v>
      </c>
      <c r="Q3047">
        <v>30.670450110000001</v>
      </c>
      <c r="R3047">
        <v>0.91037498500000003</v>
      </c>
      <c r="S3047" t="s">
        <v>114</v>
      </c>
      <c r="T3047" t="s">
        <v>1018</v>
      </c>
      <c r="U3047">
        <v>0.14795834799999999</v>
      </c>
    </row>
    <row r="3048" spans="1:21" x14ac:dyDescent="0.25">
      <c r="A3048" t="s">
        <v>60</v>
      </c>
      <c r="B3048" t="s">
        <v>891</v>
      </c>
      <c r="C3048">
        <v>12</v>
      </c>
      <c r="D3048" t="s">
        <v>33</v>
      </c>
      <c r="E3048" t="s">
        <v>95</v>
      </c>
      <c r="F3048" t="s">
        <v>110</v>
      </c>
      <c r="G3048" t="s">
        <v>121</v>
      </c>
      <c r="H3048" t="s">
        <v>246</v>
      </c>
      <c r="J3048">
        <v>0</v>
      </c>
      <c r="K3048">
        <v>2</v>
      </c>
      <c r="L3048">
        <v>73.260869569999997</v>
      </c>
      <c r="M3048">
        <v>34.453830549999999</v>
      </c>
      <c r="N3048">
        <v>1.058333333</v>
      </c>
      <c r="O3048">
        <v>0.90897070000000002</v>
      </c>
      <c r="P3048">
        <v>120.25</v>
      </c>
      <c r="Q3048">
        <v>30.670450110000001</v>
      </c>
      <c r="R3048">
        <v>0.91037498500000003</v>
      </c>
      <c r="S3048" t="s">
        <v>114</v>
      </c>
      <c r="T3048" t="s">
        <v>1018</v>
      </c>
      <c r="U3048">
        <v>0.14795834799999999</v>
      </c>
    </row>
    <row r="3049" spans="1:21" x14ac:dyDescent="0.25">
      <c r="A3049" t="s">
        <v>60</v>
      </c>
      <c r="B3049" t="s">
        <v>892</v>
      </c>
      <c r="C3049">
        <v>12</v>
      </c>
      <c r="D3049" t="s">
        <v>33</v>
      </c>
      <c r="E3049" t="s">
        <v>95</v>
      </c>
      <c r="F3049" t="s">
        <v>104</v>
      </c>
      <c r="G3049" t="s">
        <v>104</v>
      </c>
      <c r="H3049" t="s">
        <v>104</v>
      </c>
      <c r="J3049">
        <v>0</v>
      </c>
      <c r="K3049">
        <v>1</v>
      </c>
      <c r="L3049">
        <v>113.9375</v>
      </c>
      <c r="M3049">
        <v>33.375507550000002</v>
      </c>
      <c r="N3049">
        <v>2.4262999999999999</v>
      </c>
      <c r="O3049">
        <v>0.40692159999999999</v>
      </c>
      <c r="P3049">
        <v>113.9375</v>
      </c>
      <c r="Q3049">
        <v>33.375507550000002</v>
      </c>
      <c r="R3049">
        <v>2.4262999999999999</v>
      </c>
      <c r="S3049">
        <v>0.40692159999999999</v>
      </c>
      <c r="T3049" t="s">
        <v>1018</v>
      </c>
      <c r="U3049">
        <v>0</v>
      </c>
    </row>
    <row r="3050" spans="1:21" x14ac:dyDescent="0.25">
      <c r="A3050" t="s">
        <v>60</v>
      </c>
      <c r="B3050" t="s">
        <v>892</v>
      </c>
      <c r="C3050">
        <v>12</v>
      </c>
      <c r="D3050" t="s">
        <v>33</v>
      </c>
      <c r="E3050" t="s">
        <v>95</v>
      </c>
      <c r="F3050" t="s">
        <v>104</v>
      </c>
      <c r="G3050" t="s">
        <v>104</v>
      </c>
      <c r="H3050" t="s">
        <v>246</v>
      </c>
      <c r="J3050">
        <v>0</v>
      </c>
      <c r="K3050">
        <v>2</v>
      </c>
      <c r="L3050">
        <v>113.9375</v>
      </c>
      <c r="M3050">
        <v>33.375507550000002</v>
      </c>
      <c r="N3050">
        <v>2.4262999999999999</v>
      </c>
      <c r="O3050">
        <v>0.40692159999999999</v>
      </c>
      <c r="P3050">
        <v>120.25</v>
      </c>
      <c r="Q3050">
        <v>30.670450110000001</v>
      </c>
      <c r="R3050">
        <v>0.91037498500000003</v>
      </c>
      <c r="S3050" t="s">
        <v>114</v>
      </c>
      <c r="T3050" t="s">
        <v>1018</v>
      </c>
      <c r="U3050">
        <v>1.5159250150000001</v>
      </c>
    </row>
    <row r="3051" spans="1:21" x14ac:dyDescent="0.25">
      <c r="A3051" t="s">
        <v>60</v>
      </c>
      <c r="B3051" t="s">
        <v>892</v>
      </c>
      <c r="C3051">
        <v>12</v>
      </c>
      <c r="D3051" t="s">
        <v>33</v>
      </c>
      <c r="E3051" t="s">
        <v>95</v>
      </c>
      <c r="F3051" t="s">
        <v>104</v>
      </c>
      <c r="G3051" t="s">
        <v>104</v>
      </c>
      <c r="H3051" t="s">
        <v>246</v>
      </c>
      <c r="J3051">
        <v>0</v>
      </c>
      <c r="K3051">
        <v>2</v>
      </c>
      <c r="L3051">
        <v>113.9375</v>
      </c>
      <c r="M3051">
        <v>33.375507550000002</v>
      </c>
      <c r="N3051">
        <v>2.4262999999999999</v>
      </c>
      <c r="O3051">
        <v>0.40692159999999999</v>
      </c>
      <c r="P3051">
        <v>120.25</v>
      </c>
      <c r="Q3051">
        <v>30.670450110000001</v>
      </c>
      <c r="R3051">
        <v>0.91037498500000003</v>
      </c>
      <c r="S3051" t="s">
        <v>114</v>
      </c>
      <c r="T3051" t="s">
        <v>1018</v>
      </c>
      <c r="U3051">
        <v>1.5159250150000001</v>
      </c>
    </row>
    <row r="3052" spans="1:21" x14ac:dyDescent="0.25">
      <c r="A3052" t="s">
        <v>60</v>
      </c>
      <c r="B3052" t="s">
        <v>892</v>
      </c>
      <c r="C3052">
        <v>12</v>
      </c>
      <c r="D3052" t="s">
        <v>33</v>
      </c>
      <c r="E3052" t="s">
        <v>95</v>
      </c>
      <c r="F3052" t="s">
        <v>104</v>
      </c>
      <c r="G3052" t="s">
        <v>104</v>
      </c>
      <c r="H3052" t="s">
        <v>797</v>
      </c>
      <c r="J3052">
        <v>0</v>
      </c>
      <c r="K3052">
        <v>1</v>
      </c>
      <c r="L3052">
        <v>113.9375</v>
      </c>
      <c r="M3052">
        <v>33.375507550000002</v>
      </c>
      <c r="N3052">
        <v>2.4262999999999999</v>
      </c>
      <c r="O3052">
        <v>0.40692159999999999</v>
      </c>
      <c r="P3052">
        <v>179.45454549999999</v>
      </c>
      <c r="Q3052">
        <v>26.326869609999999</v>
      </c>
      <c r="R3052">
        <v>2.3456094639999998</v>
      </c>
      <c r="S3052">
        <v>0.18833116</v>
      </c>
      <c r="T3052" t="s">
        <v>1018</v>
      </c>
      <c r="U3052">
        <v>8.0690535999999993E-2</v>
      </c>
    </row>
    <row r="3053" spans="1:21" x14ac:dyDescent="0.25">
      <c r="A3053" t="s">
        <v>60</v>
      </c>
      <c r="B3053" t="s">
        <v>892</v>
      </c>
      <c r="C3053">
        <v>12</v>
      </c>
      <c r="D3053" t="s">
        <v>33</v>
      </c>
      <c r="E3053" t="s">
        <v>95</v>
      </c>
      <c r="F3053" t="s">
        <v>104</v>
      </c>
      <c r="G3053" t="s">
        <v>104</v>
      </c>
      <c r="H3053" t="s">
        <v>247</v>
      </c>
      <c r="J3053">
        <v>0</v>
      </c>
      <c r="K3053">
        <v>1</v>
      </c>
      <c r="L3053">
        <v>113.9375</v>
      </c>
      <c r="M3053">
        <v>33.375507550000002</v>
      </c>
      <c r="N3053">
        <v>2.4262999999999999</v>
      </c>
      <c r="O3053">
        <v>0.40692159999999999</v>
      </c>
      <c r="P3053">
        <v>65.791044779999993</v>
      </c>
      <c r="Q3053">
        <v>22.94519201</v>
      </c>
      <c r="R3053">
        <v>8.1320334999999994E-2</v>
      </c>
      <c r="S3053">
        <v>0.17285655</v>
      </c>
      <c r="T3053" t="s">
        <v>1018</v>
      </c>
      <c r="U3053">
        <v>2.3449796649999999</v>
      </c>
    </row>
    <row r="3054" spans="1:21" x14ac:dyDescent="0.25">
      <c r="A3054" t="s">
        <v>60</v>
      </c>
      <c r="B3054" t="s">
        <v>893</v>
      </c>
      <c r="C3054">
        <v>12</v>
      </c>
      <c r="D3054" t="s">
        <v>33</v>
      </c>
      <c r="E3054" t="s">
        <v>95</v>
      </c>
      <c r="F3054" t="s">
        <v>112</v>
      </c>
      <c r="G3054" t="s">
        <v>121</v>
      </c>
      <c r="H3054" t="s">
        <v>114</v>
      </c>
      <c r="J3054">
        <v>0</v>
      </c>
      <c r="K3054">
        <v>0</v>
      </c>
      <c r="L3054">
        <v>65.09375</v>
      </c>
      <c r="M3054">
        <v>37.895352600000002</v>
      </c>
      <c r="N3054">
        <v>2.2882677779999998</v>
      </c>
      <c r="O3054">
        <v>2.2111774</v>
      </c>
      <c r="P3054" t="s">
        <v>114</v>
      </c>
      <c r="Q3054" t="s">
        <v>114</v>
      </c>
      <c r="R3054" t="s">
        <v>114</v>
      </c>
      <c r="S3054" t="s">
        <v>114</v>
      </c>
      <c r="T3054" t="s">
        <v>1018</v>
      </c>
      <c r="U3054" t="s">
        <v>114</v>
      </c>
    </row>
    <row r="3055" spans="1:21" x14ac:dyDescent="0.25">
      <c r="A3055" t="s">
        <v>61</v>
      </c>
      <c r="B3055" t="s">
        <v>894</v>
      </c>
      <c r="C3055">
        <v>12</v>
      </c>
      <c r="D3055" t="s">
        <v>35</v>
      </c>
      <c r="E3055" t="s">
        <v>94</v>
      </c>
      <c r="F3055" t="s">
        <v>102</v>
      </c>
      <c r="G3055" t="s">
        <v>121</v>
      </c>
      <c r="H3055" t="s">
        <v>162</v>
      </c>
      <c r="J3055">
        <v>1</v>
      </c>
      <c r="K3055">
        <v>1</v>
      </c>
      <c r="L3055">
        <v>84.740740740000007</v>
      </c>
      <c r="M3055">
        <v>29.167014049999999</v>
      </c>
      <c r="N3055">
        <v>1.1169849999999999</v>
      </c>
      <c r="O3055">
        <v>1.1571499000000001</v>
      </c>
      <c r="P3055">
        <v>82.53846154</v>
      </c>
      <c r="Q3055">
        <v>35.660530039999998</v>
      </c>
      <c r="R3055">
        <v>3.3754499999999998</v>
      </c>
      <c r="S3055" t="s">
        <v>114</v>
      </c>
      <c r="T3055" t="s">
        <v>1018</v>
      </c>
      <c r="U3055">
        <v>-2.2584650000000002</v>
      </c>
    </row>
    <row r="3056" spans="1:21" x14ac:dyDescent="0.25">
      <c r="A3056" t="s">
        <v>61</v>
      </c>
      <c r="B3056" t="s">
        <v>895</v>
      </c>
      <c r="C3056">
        <v>12</v>
      </c>
      <c r="D3056" t="s">
        <v>35</v>
      </c>
      <c r="E3056" t="s">
        <v>94</v>
      </c>
      <c r="F3056" t="s">
        <v>110</v>
      </c>
      <c r="G3056" t="s">
        <v>121</v>
      </c>
      <c r="H3056" t="s">
        <v>162</v>
      </c>
      <c r="J3056">
        <v>0</v>
      </c>
      <c r="K3056">
        <v>1</v>
      </c>
      <c r="L3056">
        <v>73.260869569999997</v>
      </c>
      <c r="M3056">
        <v>34.453830549999999</v>
      </c>
      <c r="N3056">
        <v>1.058333333</v>
      </c>
      <c r="O3056">
        <v>0.90897070000000002</v>
      </c>
      <c r="P3056">
        <v>82.53846154</v>
      </c>
      <c r="Q3056">
        <v>35.660530039999998</v>
      </c>
      <c r="R3056">
        <v>3.3754499999999998</v>
      </c>
      <c r="S3056" t="s">
        <v>114</v>
      </c>
      <c r="T3056" t="s">
        <v>1018</v>
      </c>
      <c r="U3056">
        <v>-2.3171166670000001</v>
      </c>
    </row>
    <row r="3057" spans="1:21" x14ac:dyDescent="0.25">
      <c r="A3057" t="s">
        <v>61</v>
      </c>
      <c r="B3057" t="s">
        <v>895</v>
      </c>
      <c r="C3057">
        <v>12</v>
      </c>
      <c r="D3057" t="s">
        <v>35</v>
      </c>
      <c r="E3057" t="s">
        <v>94</v>
      </c>
      <c r="F3057" t="s">
        <v>110</v>
      </c>
      <c r="G3057" t="s">
        <v>121</v>
      </c>
      <c r="H3057" t="s">
        <v>102</v>
      </c>
      <c r="J3057">
        <v>0</v>
      </c>
      <c r="K3057">
        <v>1</v>
      </c>
      <c r="L3057">
        <v>73.260869569999997</v>
      </c>
      <c r="M3057">
        <v>34.453830549999999</v>
      </c>
      <c r="N3057">
        <v>1.058333333</v>
      </c>
      <c r="O3057">
        <v>0.90897070000000002</v>
      </c>
      <c r="P3057">
        <v>84.740740740000007</v>
      </c>
      <c r="Q3057">
        <v>29.167014049999999</v>
      </c>
      <c r="R3057">
        <v>1.1169849999999999</v>
      </c>
      <c r="S3057">
        <v>1.1571499000000001</v>
      </c>
      <c r="T3057" t="s">
        <v>1018</v>
      </c>
      <c r="U3057">
        <v>-5.8651666999999998E-2</v>
      </c>
    </row>
    <row r="3058" spans="1:21" x14ac:dyDescent="0.25">
      <c r="A3058" t="s">
        <v>61</v>
      </c>
      <c r="B3058" t="s">
        <v>896</v>
      </c>
      <c r="C3058">
        <v>12</v>
      </c>
      <c r="D3058" t="s">
        <v>35</v>
      </c>
      <c r="E3058" t="s">
        <v>94</v>
      </c>
      <c r="F3058" t="s">
        <v>112</v>
      </c>
      <c r="G3058" t="s">
        <v>121</v>
      </c>
      <c r="H3058" t="s">
        <v>162</v>
      </c>
      <c r="J3058">
        <v>0</v>
      </c>
      <c r="K3058">
        <v>1</v>
      </c>
      <c r="L3058">
        <v>65.09375</v>
      </c>
      <c r="M3058">
        <v>37.895352600000002</v>
      </c>
      <c r="N3058">
        <v>2.2882677779999998</v>
      </c>
      <c r="O3058">
        <v>2.2111774</v>
      </c>
      <c r="P3058">
        <v>82.53846154</v>
      </c>
      <c r="Q3058">
        <v>35.660530039999998</v>
      </c>
      <c r="R3058">
        <v>3.3754499999999998</v>
      </c>
      <c r="S3058" t="s">
        <v>114</v>
      </c>
      <c r="T3058" t="s">
        <v>1018</v>
      </c>
      <c r="U3058">
        <v>-1.087182222</v>
      </c>
    </row>
    <row r="3059" spans="1:21" x14ac:dyDescent="0.25">
      <c r="A3059" t="s">
        <v>62</v>
      </c>
      <c r="B3059" t="s">
        <v>897</v>
      </c>
      <c r="C3059">
        <v>12</v>
      </c>
      <c r="D3059" t="s">
        <v>37</v>
      </c>
      <c r="E3059" t="s">
        <v>95</v>
      </c>
      <c r="F3059" t="s">
        <v>102</v>
      </c>
      <c r="G3059" t="s">
        <v>121</v>
      </c>
      <c r="H3059" t="s">
        <v>114</v>
      </c>
      <c r="J3059">
        <v>0</v>
      </c>
      <c r="K3059">
        <v>0</v>
      </c>
      <c r="L3059">
        <v>84.740740740000007</v>
      </c>
      <c r="M3059">
        <v>29.167014049999999</v>
      </c>
      <c r="N3059">
        <v>1.1169849999999999</v>
      </c>
      <c r="O3059">
        <v>1.1571499000000001</v>
      </c>
      <c r="P3059" t="s">
        <v>114</v>
      </c>
      <c r="Q3059" t="s">
        <v>114</v>
      </c>
      <c r="R3059" t="s">
        <v>114</v>
      </c>
      <c r="S3059" t="s">
        <v>114</v>
      </c>
      <c r="T3059" t="s">
        <v>1018</v>
      </c>
      <c r="U3059" t="s">
        <v>114</v>
      </c>
    </row>
    <row r="3060" spans="1:21" x14ac:dyDescent="0.25">
      <c r="A3060" t="s">
        <v>62</v>
      </c>
      <c r="B3060" t="s">
        <v>898</v>
      </c>
      <c r="C3060">
        <v>12</v>
      </c>
      <c r="D3060" t="s">
        <v>37</v>
      </c>
      <c r="E3060" t="s">
        <v>95</v>
      </c>
      <c r="F3060" t="s">
        <v>103</v>
      </c>
      <c r="G3060" t="s">
        <v>121</v>
      </c>
      <c r="H3060" t="s">
        <v>233</v>
      </c>
      <c r="J3060">
        <v>0</v>
      </c>
      <c r="K3060">
        <v>1</v>
      </c>
      <c r="L3060">
        <v>98.291666669999998</v>
      </c>
      <c r="M3060">
        <v>30.315130790000001</v>
      </c>
      <c r="N3060">
        <v>5.0803484000000003E-2</v>
      </c>
      <c r="O3060">
        <v>0.42866070000000001</v>
      </c>
      <c r="P3060">
        <v>106.0540541</v>
      </c>
      <c r="Q3060">
        <v>52.690533369999997</v>
      </c>
      <c r="R3060">
        <v>7.6058968000000005E-2</v>
      </c>
      <c r="S3060">
        <v>0.44888888999999998</v>
      </c>
      <c r="T3060" t="s">
        <v>1018</v>
      </c>
      <c r="U3060">
        <v>-2.5255484000000002E-2</v>
      </c>
    </row>
    <row r="3061" spans="1:21" x14ac:dyDescent="0.25">
      <c r="A3061" t="s">
        <v>62</v>
      </c>
      <c r="B3061" t="s">
        <v>898</v>
      </c>
      <c r="C3061">
        <v>12</v>
      </c>
      <c r="D3061" t="s">
        <v>37</v>
      </c>
      <c r="E3061" t="s">
        <v>95</v>
      </c>
      <c r="F3061" t="s">
        <v>103</v>
      </c>
      <c r="G3061" t="s">
        <v>121</v>
      </c>
      <c r="H3061" t="s">
        <v>234</v>
      </c>
      <c r="J3061">
        <v>0</v>
      </c>
      <c r="K3061">
        <v>1</v>
      </c>
      <c r="L3061">
        <v>98.291666669999998</v>
      </c>
      <c r="M3061">
        <v>30.315130790000001</v>
      </c>
      <c r="N3061">
        <v>5.0803484000000003E-2</v>
      </c>
      <c r="O3061">
        <v>0.42866070000000001</v>
      </c>
      <c r="P3061">
        <v>89.8125</v>
      </c>
      <c r="Q3061">
        <v>34.754706650000003</v>
      </c>
      <c r="R3061">
        <v>2.3065078999999999E-2</v>
      </c>
      <c r="S3061">
        <v>2.4791666700000001</v>
      </c>
      <c r="T3061" t="s">
        <v>1018</v>
      </c>
      <c r="U3061">
        <v>2.7738405000000001E-2</v>
      </c>
    </row>
    <row r="3062" spans="1:21" x14ac:dyDescent="0.25">
      <c r="A3062" t="s">
        <v>62</v>
      </c>
      <c r="B3062" t="s">
        <v>898</v>
      </c>
      <c r="C3062">
        <v>12</v>
      </c>
      <c r="D3062" t="s">
        <v>37</v>
      </c>
      <c r="E3062" t="s">
        <v>95</v>
      </c>
      <c r="F3062" t="s">
        <v>103</v>
      </c>
      <c r="G3062" t="s">
        <v>121</v>
      </c>
      <c r="H3062" t="s">
        <v>241</v>
      </c>
      <c r="J3062">
        <v>0</v>
      </c>
      <c r="K3062">
        <v>1</v>
      </c>
      <c r="L3062">
        <v>98.291666669999998</v>
      </c>
      <c r="M3062">
        <v>30.315130790000001</v>
      </c>
      <c r="N3062">
        <v>5.0803484000000003E-2</v>
      </c>
      <c r="O3062">
        <v>0.42866070000000001</v>
      </c>
      <c r="P3062">
        <v>114</v>
      </c>
      <c r="Q3062">
        <v>30.43077242</v>
      </c>
      <c r="R3062">
        <v>0.53383111100000002</v>
      </c>
      <c r="S3062">
        <v>0.28333332999999999</v>
      </c>
      <c r="T3062" t="s">
        <v>1018</v>
      </c>
      <c r="U3062">
        <v>-0.48302762700000001</v>
      </c>
    </row>
    <row r="3063" spans="1:21" x14ac:dyDescent="0.25">
      <c r="A3063" t="s">
        <v>63</v>
      </c>
      <c r="B3063" t="s">
        <v>899</v>
      </c>
      <c r="C3063">
        <v>12</v>
      </c>
      <c r="D3063" t="s">
        <v>64</v>
      </c>
      <c r="E3063" t="s">
        <v>94</v>
      </c>
      <c r="F3063" t="s">
        <v>104</v>
      </c>
      <c r="G3063" t="s">
        <v>121</v>
      </c>
      <c r="H3063" t="s">
        <v>238</v>
      </c>
      <c r="J3063">
        <v>0</v>
      </c>
      <c r="K3063">
        <v>2</v>
      </c>
      <c r="L3063">
        <v>113.9375</v>
      </c>
      <c r="M3063">
        <v>33.375507550000002</v>
      </c>
      <c r="N3063">
        <v>2.4262999999999999</v>
      </c>
      <c r="O3063">
        <v>0.40692159999999999</v>
      </c>
      <c r="P3063">
        <v>87.5</v>
      </c>
      <c r="Q3063">
        <v>29.478311600000001</v>
      </c>
      <c r="R3063">
        <v>3.0797751000000002E-2</v>
      </c>
      <c r="S3063">
        <v>0.12931835</v>
      </c>
      <c r="T3063" t="s">
        <v>1018</v>
      </c>
      <c r="U3063">
        <v>2.3955022490000002</v>
      </c>
    </row>
    <row r="3064" spans="1:21" x14ac:dyDescent="0.25">
      <c r="A3064" t="s">
        <v>63</v>
      </c>
      <c r="B3064" t="s">
        <v>899</v>
      </c>
      <c r="C3064">
        <v>12</v>
      </c>
      <c r="D3064" t="s">
        <v>64</v>
      </c>
      <c r="E3064" t="s">
        <v>94</v>
      </c>
      <c r="F3064" t="s">
        <v>104</v>
      </c>
      <c r="G3064" t="s">
        <v>121</v>
      </c>
      <c r="H3064" t="s">
        <v>238</v>
      </c>
      <c r="J3064">
        <v>0</v>
      </c>
      <c r="K3064">
        <v>2</v>
      </c>
      <c r="L3064">
        <v>113.9375</v>
      </c>
      <c r="M3064">
        <v>33.375507550000002</v>
      </c>
      <c r="N3064">
        <v>2.4262999999999999</v>
      </c>
      <c r="O3064">
        <v>0.40692159999999999</v>
      </c>
      <c r="P3064">
        <v>87.5</v>
      </c>
      <c r="Q3064">
        <v>29.478311600000001</v>
      </c>
      <c r="R3064">
        <v>3.0797751000000002E-2</v>
      </c>
      <c r="S3064">
        <v>0.12931835</v>
      </c>
      <c r="T3064" t="s">
        <v>1018</v>
      </c>
      <c r="U3064">
        <v>2.3955022490000002</v>
      </c>
    </row>
    <row r="3065" spans="1:21" x14ac:dyDescent="0.25">
      <c r="A3065" t="s">
        <v>63</v>
      </c>
      <c r="B3065" t="s">
        <v>899</v>
      </c>
      <c r="C3065">
        <v>12</v>
      </c>
      <c r="D3065" t="s">
        <v>64</v>
      </c>
      <c r="E3065" t="s">
        <v>94</v>
      </c>
      <c r="F3065" t="s">
        <v>104</v>
      </c>
      <c r="G3065" t="s">
        <v>121</v>
      </c>
      <c r="H3065" t="s">
        <v>103</v>
      </c>
      <c r="J3065">
        <v>0</v>
      </c>
      <c r="K3065">
        <v>1</v>
      </c>
      <c r="L3065">
        <v>113.9375</v>
      </c>
      <c r="M3065">
        <v>33.375507550000002</v>
      </c>
      <c r="N3065">
        <v>2.4262999999999999</v>
      </c>
      <c r="O3065">
        <v>0.40692159999999999</v>
      </c>
      <c r="P3065">
        <v>98.291666669999998</v>
      </c>
      <c r="Q3065">
        <v>30.315130790000001</v>
      </c>
      <c r="R3065">
        <v>5.0803484000000003E-2</v>
      </c>
      <c r="S3065">
        <v>0.42866070000000001</v>
      </c>
      <c r="T3065" t="s">
        <v>1018</v>
      </c>
      <c r="U3065">
        <v>2.3754965160000001</v>
      </c>
    </row>
    <row r="3066" spans="1:21" x14ac:dyDescent="0.25">
      <c r="A3066" t="s">
        <v>63</v>
      </c>
      <c r="B3066" t="s">
        <v>899</v>
      </c>
      <c r="C3066">
        <v>12</v>
      </c>
      <c r="D3066" t="s">
        <v>64</v>
      </c>
      <c r="E3066" t="s">
        <v>94</v>
      </c>
      <c r="F3066" t="s">
        <v>104</v>
      </c>
      <c r="G3066" t="s">
        <v>121</v>
      </c>
      <c r="H3066" t="s">
        <v>248</v>
      </c>
      <c r="J3066">
        <v>0</v>
      </c>
      <c r="K3066">
        <v>2</v>
      </c>
      <c r="L3066">
        <v>113.9375</v>
      </c>
      <c r="M3066">
        <v>33.375507550000002</v>
      </c>
      <c r="N3066">
        <v>2.4262999999999999</v>
      </c>
      <c r="O3066">
        <v>0.40692159999999999</v>
      </c>
      <c r="P3066">
        <v>83.92307692</v>
      </c>
      <c r="Q3066">
        <v>44.319135699999997</v>
      </c>
      <c r="R3066">
        <v>5.9548609999999997E-3</v>
      </c>
      <c r="S3066">
        <v>0.18017928</v>
      </c>
      <c r="T3066" t="s">
        <v>1018</v>
      </c>
      <c r="U3066">
        <v>2.4203451390000001</v>
      </c>
    </row>
    <row r="3067" spans="1:21" x14ac:dyDescent="0.25">
      <c r="A3067" t="s">
        <v>63</v>
      </c>
      <c r="B3067" t="s">
        <v>899</v>
      </c>
      <c r="C3067">
        <v>12</v>
      </c>
      <c r="D3067" t="s">
        <v>64</v>
      </c>
      <c r="E3067" t="s">
        <v>94</v>
      </c>
      <c r="F3067" t="s">
        <v>104</v>
      </c>
      <c r="G3067" t="s">
        <v>121</v>
      </c>
      <c r="H3067" t="s">
        <v>248</v>
      </c>
      <c r="J3067">
        <v>0</v>
      </c>
      <c r="K3067">
        <v>2</v>
      </c>
      <c r="L3067">
        <v>113.9375</v>
      </c>
      <c r="M3067">
        <v>33.375507550000002</v>
      </c>
      <c r="N3067">
        <v>2.4262999999999999</v>
      </c>
      <c r="O3067">
        <v>0.40692159999999999</v>
      </c>
      <c r="P3067">
        <v>83.92307692</v>
      </c>
      <c r="Q3067">
        <v>44.319135699999997</v>
      </c>
      <c r="R3067">
        <v>5.9548609999999997E-3</v>
      </c>
      <c r="S3067">
        <v>0.18017928</v>
      </c>
      <c r="T3067" t="s">
        <v>1018</v>
      </c>
      <c r="U3067">
        <v>2.4203451390000001</v>
      </c>
    </row>
    <row r="3068" spans="1:21" x14ac:dyDescent="0.25">
      <c r="A3068" t="s">
        <v>65</v>
      </c>
      <c r="B3068" t="s">
        <v>900</v>
      </c>
      <c r="C3068">
        <v>12</v>
      </c>
      <c r="D3068" t="s">
        <v>66</v>
      </c>
      <c r="E3068" t="s">
        <v>95</v>
      </c>
      <c r="F3068" t="s">
        <v>105</v>
      </c>
      <c r="G3068" t="s">
        <v>121</v>
      </c>
      <c r="H3068" t="s">
        <v>111</v>
      </c>
      <c r="J3068">
        <v>0</v>
      </c>
      <c r="K3068">
        <v>1</v>
      </c>
      <c r="L3068">
        <v>67.5</v>
      </c>
      <c r="M3068">
        <v>47.937235809999997</v>
      </c>
      <c r="N3068">
        <v>0.41599678000000001</v>
      </c>
      <c r="O3068">
        <v>2.0950346999999998</v>
      </c>
      <c r="P3068">
        <v>94.97142857</v>
      </c>
      <c r="Q3068">
        <v>24.31591813</v>
      </c>
      <c r="R3068">
        <v>0.122951111</v>
      </c>
      <c r="S3068">
        <v>0.39050790000000002</v>
      </c>
      <c r="T3068" t="s">
        <v>1018</v>
      </c>
      <c r="U3068">
        <v>0.29304566900000001</v>
      </c>
    </row>
    <row r="3069" spans="1:21" x14ac:dyDescent="0.25">
      <c r="A3069" t="s">
        <v>65</v>
      </c>
      <c r="B3069" t="s">
        <v>900</v>
      </c>
      <c r="C3069">
        <v>12</v>
      </c>
      <c r="D3069" t="s">
        <v>66</v>
      </c>
      <c r="E3069" t="s">
        <v>95</v>
      </c>
      <c r="F3069" t="s">
        <v>105</v>
      </c>
      <c r="G3069" t="s">
        <v>121</v>
      </c>
      <c r="H3069" t="s">
        <v>808</v>
      </c>
      <c r="J3069">
        <v>0</v>
      </c>
      <c r="K3069">
        <v>1</v>
      </c>
      <c r="L3069">
        <v>67.5</v>
      </c>
      <c r="M3069">
        <v>47.937235809999997</v>
      </c>
      <c r="N3069">
        <v>0.41599678000000001</v>
      </c>
      <c r="O3069">
        <v>2.0950346999999998</v>
      </c>
      <c r="P3069">
        <v>102.79166669999999</v>
      </c>
      <c r="Q3069">
        <v>27.057373470000002</v>
      </c>
      <c r="R3069">
        <v>6.3567849939999999</v>
      </c>
      <c r="S3069" t="s">
        <v>114</v>
      </c>
      <c r="T3069" t="s">
        <v>1018</v>
      </c>
      <c r="U3069">
        <v>-5.9407882140000003</v>
      </c>
    </row>
    <row r="3070" spans="1:21" x14ac:dyDescent="0.25">
      <c r="A3070" t="s">
        <v>65</v>
      </c>
      <c r="B3070" t="s">
        <v>900</v>
      </c>
      <c r="C3070">
        <v>12</v>
      </c>
      <c r="D3070" t="s">
        <v>66</v>
      </c>
      <c r="E3070" t="s">
        <v>95</v>
      </c>
      <c r="F3070" t="s">
        <v>105</v>
      </c>
      <c r="G3070" t="s">
        <v>121</v>
      </c>
      <c r="H3070" t="s">
        <v>247</v>
      </c>
      <c r="J3070">
        <v>0</v>
      </c>
      <c r="K3070">
        <v>1</v>
      </c>
      <c r="L3070">
        <v>67.5</v>
      </c>
      <c r="M3070">
        <v>47.937235809999997</v>
      </c>
      <c r="N3070">
        <v>0.41599678000000001</v>
      </c>
      <c r="O3070">
        <v>2.0950346999999998</v>
      </c>
      <c r="P3070">
        <v>65.791044779999993</v>
      </c>
      <c r="Q3070">
        <v>22.94519201</v>
      </c>
      <c r="R3070">
        <v>8.1320334999999994E-2</v>
      </c>
      <c r="S3070">
        <v>0.17285655</v>
      </c>
      <c r="T3070" t="s">
        <v>1018</v>
      </c>
      <c r="U3070">
        <v>0.33467644499999999</v>
      </c>
    </row>
    <row r="3071" spans="1:21" x14ac:dyDescent="0.25">
      <c r="A3071" t="s">
        <v>65</v>
      </c>
      <c r="B3071" t="s">
        <v>900</v>
      </c>
      <c r="C3071">
        <v>12</v>
      </c>
      <c r="D3071" t="s">
        <v>66</v>
      </c>
      <c r="E3071" t="s">
        <v>95</v>
      </c>
      <c r="F3071" t="s">
        <v>105</v>
      </c>
      <c r="G3071" t="s">
        <v>121</v>
      </c>
      <c r="H3071" t="s">
        <v>248</v>
      </c>
      <c r="J3071">
        <v>0</v>
      </c>
      <c r="K3071">
        <v>2</v>
      </c>
      <c r="L3071">
        <v>67.5</v>
      </c>
      <c r="M3071">
        <v>47.937235809999997</v>
      </c>
      <c r="N3071">
        <v>0.41599678000000001</v>
      </c>
      <c r="O3071">
        <v>2.0950346999999998</v>
      </c>
      <c r="P3071">
        <v>83.92307692</v>
      </c>
      <c r="Q3071">
        <v>44.319135699999997</v>
      </c>
      <c r="R3071">
        <v>5.9548609999999997E-3</v>
      </c>
      <c r="S3071">
        <v>0.18017928</v>
      </c>
      <c r="T3071" t="s">
        <v>1018</v>
      </c>
      <c r="U3071">
        <v>0.41004191899999998</v>
      </c>
    </row>
    <row r="3072" spans="1:21" x14ac:dyDescent="0.25">
      <c r="A3072" t="s">
        <v>65</v>
      </c>
      <c r="B3072" t="s">
        <v>900</v>
      </c>
      <c r="C3072">
        <v>12</v>
      </c>
      <c r="D3072" t="s">
        <v>66</v>
      </c>
      <c r="E3072" t="s">
        <v>95</v>
      </c>
      <c r="F3072" t="s">
        <v>105</v>
      </c>
      <c r="G3072" t="s">
        <v>121</v>
      </c>
      <c r="H3072" t="s">
        <v>248</v>
      </c>
      <c r="J3072">
        <v>0</v>
      </c>
      <c r="K3072">
        <v>2</v>
      </c>
      <c r="L3072">
        <v>67.5</v>
      </c>
      <c r="M3072">
        <v>47.937235809999997</v>
      </c>
      <c r="N3072">
        <v>0.41599678000000001</v>
      </c>
      <c r="O3072">
        <v>2.0950346999999998</v>
      </c>
      <c r="P3072">
        <v>83.92307692</v>
      </c>
      <c r="Q3072">
        <v>44.319135699999997</v>
      </c>
      <c r="R3072">
        <v>5.9548609999999997E-3</v>
      </c>
      <c r="S3072">
        <v>0.18017928</v>
      </c>
      <c r="T3072" t="s">
        <v>1018</v>
      </c>
      <c r="U3072">
        <v>0.41004191899999998</v>
      </c>
    </row>
    <row r="3073" spans="1:21" x14ac:dyDescent="0.25">
      <c r="A3073" t="s">
        <v>10</v>
      </c>
      <c r="B3073" t="s">
        <v>901</v>
      </c>
      <c r="C3073">
        <v>15</v>
      </c>
      <c r="D3073" t="s">
        <v>11</v>
      </c>
      <c r="E3073" t="s">
        <v>94</v>
      </c>
      <c r="F3073" t="s">
        <v>102</v>
      </c>
      <c r="G3073" t="s">
        <v>102</v>
      </c>
      <c r="H3073" t="s">
        <v>102</v>
      </c>
      <c r="J3073">
        <v>0</v>
      </c>
      <c r="K3073">
        <v>1</v>
      </c>
      <c r="L3073">
        <v>84.740740740000007</v>
      </c>
      <c r="M3073">
        <v>29.167014049999999</v>
      </c>
      <c r="N3073">
        <v>1.1169849999999999</v>
      </c>
      <c r="O3073">
        <v>1.1571499000000001</v>
      </c>
      <c r="P3073">
        <v>84.740740740000007</v>
      </c>
      <c r="Q3073">
        <v>29.167014049999999</v>
      </c>
      <c r="R3073">
        <v>1.1169849999999999</v>
      </c>
      <c r="S3073">
        <v>1.1571499000000001</v>
      </c>
      <c r="T3073" t="s">
        <v>1018</v>
      </c>
      <c r="U3073">
        <v>0</v>
      </c>
    </row>
    <row r="3074" spans="1:21" x14ac:dyDescent="0.25">
      <c r="A3074" t="s">
        <v>10</v>
      </c>
      <c r="B3074" t="s">
        <v>901</v>
      </c>
      <c r="C3074">
        <v>16</v>
      </c>
      <c r="D3074" t="s">
        <v>11</v>
      </c>
      <c r="E3074" t="s">
        <v>94</v>
      </c>
      <c r="F3074" t="s">
        <v>102</v>
      </c>
      <c r="G3074" t="s">
        <v>102</v>
      </c>
      <c r="H3074" t="s">
        <v>111</v>
      </c>
      <c r="J3074">
        <v>0</v>
      </c>
      <c r="K3074">
        <v>1</v>
      </c>
      <c r="L3074">
        <v>84.740740740000007</v>
      </c>
      <c r="M3074">
        <v>29.167014049999999</v>
      </c>
      <c r="N3074">
        <v>1.1169849999999999</v>
      </c>
      <c r="O3074">
        <v>1.1571499000000001</v>
      </c>
      <c r="P3074">
        <v>94.97142857</v>
      </c>
      <c r="Q3074">
        <v>24.31591813</v>
      </c>
      <c r="R3074">
        <v>0.122951111</v>
      </c>
      <c r="S3074">
        <v>0.39050790000000002</v>
      </c>
      <c r="T3074" t="s">
        <v>1018</v>
      </c>
      <c r="U3074">
        <v>0.994033889</v>
      </c>
    </row>
    <row r="3075" spans="1:21" x14ac:dyDescent="0.25">
      <c r="A3075" t="s">
        <v>10</v>
      </c>
      <c r="B3075" t="s">
        <v>902</v>
      </c>
      <c r="C3075">
        <v>15</v>
      </c>
      <c r="D3075" t="s">
        <v>11</v>
      </c>
      <c r="E3075" t="s">
        <v>94</v>
      </c>
      <c r="F3075" t="s">
        <v>105</v>
      </c>
      <c r="G3075" t="s">
        <v>121</v>
      </c>
      <c r="H3075" t="s">
        <v>244</v>
      </c>
      <c r="J3075">
        <v>0</v>
      </c>
      <c r="K3075">
        <v>2</v>
      </c>
      <c r="L3075">
        <v>67.5</v>
      </c>
      <c r="M3075">
        <v>47.937235809999997</v>
      </c>
      <c r="N3075">
        <v>0.41599678000000001</v>
      </c>
      <c r="O3075">
        <v>2.0950346999999998</v>
      </c>
      <c r="P3075">
        <v>75</v>
      </c>
      <c r="Q3075">
        <v>28.80614499</v>
      </c>
      <c r="R3075">
        <v>2.3860428570000001</v>
      </c>
      <c r="S3075">
        <v>0.26400832000000002</v>
      </c>
      <c r="T3075" t="s">
        <v>1018</v>
      </c>
      <c r="U3075">
        <v>-1.9700460769999999</v>
      </c>
    </row>
    <row r="3076" spans="1:21" x14ac:dyDescent="0.25">
      <c r="A3076" t="s">
        <v>10</v>
      </c>
      <c r="B3076" t="s">
        <v>902</v>
      </c>
      <c r="C3076">
        <v>15</v>
      </c>
      <c r="D3076" t="s">
        <v>11</v>
      </c>
      <c r="E3076" t="s">
        <v>94</v>
      </c>
      <c r="F3076" t="s">
        <v>105</v>
      </c>
      <c r="G3076" t="s">
        <v>121</v>
      </c>
      <c r="H3076" t="s">
        <v>244</v>
      </c>
      <c r="J3076">
        <v>0</v>
      </c>
      <c r="K3076">
        <v>2</v>
      </c>
      <c r="L3076">
        <v>67.5</v>
      </c>
      <c r="M3076">
        <v>47.937235809999997</v>
      </c>
      <c r="N3076">
        <v>0.41599678000000001</v>
      </c>
      <c r="O3076">
        <v>2.0950346999999998</v>
      </c>
      <c r="P3076">
        <v>75</v>
      </c>
      <c r="Q3076">
        <v>28.80614499</v>
      </c>
      <c r="R3076">
        <v>2.3860428570000001</v>
      </c>
      <c r="S3076">
        <v>0.26400832000000002</v>
      </c>
      <c r="T3076" t="s">
        <v>1018</v>
      </c>
      <c r="U3076">
        <v>-1.9700460769999999</v>
      </c>
    </row>
    <row r="3077" spans="1:21" x14ac:dyDescent="0.25">
      <c r="A3077" t="s">
        <v>10</v>
      </c>
      <c r="B3077" t="s">
        <v>902</v>
      </c>
      <c r="C3077">
        <v>16</v>
      </c>
      <c r="D3077" t="s">
        <v>11</v>
      </c>
      <c r="E3077" t="s">
        <v>94</v>
      </c>
      <c r="F3077" t="s">
        <v>105</v>
      </c>
      <c r="G3077" t="s">
        <v>121</v>
      </c>
      <c r="H3077" t="s">
        <v>104</v>
      </c>
      <c r="J3077">
        <v>0</v>
      </c>
      <c r="K3077">
        <v>1</v>
      </c>
      <c r="L3077">
        <v>67.5</v>
      </c>
      <c r="M3077">
        <v>47.937235809999997</v>
      </c>
      <c r="N3077">
        <v>0.41599678000000001</v>
      </c>
      <c r="O3077">
        <v>2.0950346999999998</v>
      </c>
      <c r="P3077">
        <v>113.9375</v>
      </c>
      <c r="Q3077">
        <v>33.375507550000002</v>
      </c>
      <c r="R3077">
        <v>2.4262999999999999</v>
      </c>
      <c r="S3077">
        <v>0.40692159999999999</v>
      </c>
      <c r="T3077" t="s">
        <v>1018</v>
      </c>
      <c r="U3077">
        <v>-2.0103032199999999</v>
      </c>
    </row>
    <row r="3078" spans="1:21" x14ac:dyDescent="0.25">
      <c r="A3078" t="s">
        <v>10</v>
      </c>
      <c r="B3078" t="s">
        <v>903</v>
      </c>
      <c r="C3078">
        <v>15</v>
      </c>
      <c r="D3078" t="s">
        <v>11</v>
      </c>
      <c r="E3078" t="s">
        <v>94</v>
      </c>
      <c r="F3078" t="s">
        <v>103</v>
      </c>
      <c r="G3078" t="s">
        <v>121</v>
      </c>
      <c r="H3078" t="s">
        <v>245</v>
      </c>
      <c r="J3078">
        <v>0</v>
      </c>
      <c r="K3078">
        <v>1</v>
      </c>
      <c r="L3078">
        <v>98.291666669999998</v>
      </c>
      <c r="M3078">
        <v>30.315130790000001</v>
      </c>
      <c r="N3078">
        <v>5.0803484000000003E-2</v>
      </c>
      <c r="O3078">
        <v>0.42866070000000001</v>
      </c>
      <c r="P3078" t="s">
        <v>114</v>
      </c>
      <c r="Q3078" t="s">
        <v>114</v>
      </c>
      <c r="R3078" t="s">
        <v>114</v>
      </c>
      <c r="S3078" t="s">
        <v>114</v>
      </c>
      <c r="T3078" t="s">
        <v>1018</v>
      </c>
      <c r="U3078" t="s">
        <v>114</v>
      </c>
    </row>
    <row r="3079" spans="1:21" x14ac:dyDescent="0.25">
      <c r="A3079" t="s">
        <v>10</v>
      </c>
      <c r="B3079" t="s">
        <v>904</v>
      </c>
      <c r="C3079">
        <v>15</v>
      </c>
      <c r="D3079" t="s">
        <v>11</v>
      </c>
      <c r="E3079" t="s">
        <v>94</v>
      </c>
      <c r="F3079" t="s">
        <v>104</v>
      </c>
      <c r="G3079" t="s">
        <v>121</v>
      </c>
      <c r="H3079" t="s">
        <v>242</v>
      </c>
      <c r="J3079">
        <v>0</v>
      </c>
      <c r="K3079">
        <v>6</v>
      </c>
      <c r="L3079">
        <v>113.9375</v>
      </c>
      <c r="M3079">
        <v>33.375507550000002</v>
      </c>
      <c r="N3079">
        <v>2.4262999999999999</v>
      </c>
      <c r="O3079">
        <v>0.40692159999999999</v>
      </c>
      <c r="P3079">
        <v>139.375</v>
      </c>
      <c r="Q3079">
        <v>23.713465920000001</v>
      </c>
      <c r="R3079" t="s">
        <v>114</v>
      </c>
      <c r="S3079" t="s">
        <v>114</v>
      </c>
      <c r="T3079" t="s">
        <v>1018</v>
      </c>
      <c r="U3079" t="s">
        <v>114</v>
      </c>
    </row>
    <row r="3080" spans="1:21" x14ac:dyDescent="0.25">
      <c r="A3080" t="s">
        <v>10</v>
      </c>
      <c r="B3080" t="s">
        <v>904</v>
      </c>
      <c r="C3080">
        <v>15</v>
      </c>
      <c r="D3080" t="s">
        <v>11</v>
      </c>
      <c r="E3080" t="s">
        <v>94</v>
      </c>
      <c r="F3080" t="s">
        <v>104</v>
      </c>
      <c r="G3080" t="s">
        <v>121</v>
      </c>
      <c r="H3080" t="s">
        <v>242</v>
      </c>
      <c r="J3080">
        <v>0</v>
      </c>
      <c r="K3080">
        <v>6</v>
      </c>
      <c r="L3080">
        <v>113.9375</v>
      </c>
      <c r="M3080">
        <v>33.375507550000002</v>
      </c>
      <c r="N3080">
        <v>2.4262999999999999</v>
      </c>
      <c r="O3080">
        <v>0.40692159999999999</v>
      </c>
      <c r="P3080">
        <v>139.375</v>
      </c>
      <c r="Q3080">
        <v>23.713465920000001</v>
      </c>
      <c r="R3080" t="s">
        <v>114</v>
      </c>
      <c r="S3080" t="s">
        <v>114</v>
      </c>
      <c r="T3080" t="s">
        <v>1018</v>
      </c>
      <c r="U3080" t="s">
        <v>114</v>
      </c>
    </row>
    <row r="3081" spans="1:21" x14ac:dyDescent="0.25">
      <c r="A3081" t="s">
        <v>10</v>
      </c>
      <c r="B3081" t="s">
        <v>904</v>
      </c>
      <c r="C3081">
        <v>15</v>
      </c>
      <c r="D3081" t="s">
        <v>11</v>
      </c>
      <c r="E3081" t="s">
        <v>94</v>
      </c>
      <c r="F3081" t="s">
        <v>104</v>
      </c>
      <c r="G3081" t="s">
        <v>121</v>
      </c>
      <c r="H3081" t="s">
        <v>242</v>
      </c>
      <c r="J3081">
        <v>0</v>
      </c>
      <c r="K3081">
        <v>6</v>
      </c>
      <c r="L3081">
        <v>113.9375</v>
      </c>
      <c r="M3081">
        <v>33.375507550000002</v>
      </c>
      <c r="N3081">
        <v>2.4262999999999999</v>
      </c>
      <c r="O3081">
        <v>0.40692159999999999</v>
      </c>
      <c r="P3081">
        <v>139.375</v>
      </c>
      <c r="Q3081">
        <v>23.713465920000001</v>
      </c>
      <c r="R3081" t="s">
        <v>114</v>
      </c>
      <c r="S3081" t="s">
        <v>114</v>
      </c>
      <c r="T3081" t="s">
        <v>1018</v>
      </c>
      <c r="U3081" t="s">
        <v>114</v>
      </c>
    </row>
    <row r="3082" spans="1:21" x14ac:dyDescent="0.25">
      <c r="A3082" t="s">
        <v>10</v>
      </c>
      <c r="B3082" t="s">
        <v>904</v>
      </c>
      <c r="C3082">
        <v>15</v>
      </c>
      <c r="D3082" t="s">
        <v>11</v>
      </c>
      <c r="E3082" t="s">
        <v>94</v>
      </c>
      <c r="F3082" t="s">
        <v>104</v>
      </c>
      <c r="G3082" t="s">
        <v>121</v>
      </c>
      <c r="H3082" t="s">
        <v>242</v>
      </c>
      <c r="J3082">
        <v>0</v>
      </c>
      <c r="K3082">
        <v>6</v>
      </c>
      <c r="L3082">
        <v>113.9375</v>
      </c>
      <c r="M3082">
        <v>33.375507550000002</v>
      </c>
      <c r="N3082">
        <v>2.4262999999999999</v>
      </c>
      <c r="O3082">
        <v>0.40692159999999999</v>
      </c>
      <c r="P3082">
        <v>139.375</v>
      </c>
      <c r="Q3082">
        <v>23.713465920000001</v>
      </c>
      <c r="R3082" t="s">
        <v>114</v>
      </c>
      <c r="S3082" t="s">
        <v>114</v>
      </c>
      <c r="T3082" t="s">
        <v>1018</v>
      </c>
      <c r="U3082" t="s">
        <v>114</v>
      </c>
    </row>
    <row r="3083" spans="1:21" x14ac:dyDescent="0.25">
      <c r="A3083" t="s">
        <v>10</v>
      </c>
      <c r="B3083" t="s">
        <v>904</v>
      </c>
      <c r="C3083">
        <v>15</v>
      </c>
      <c r="D3083" t="s">
        <v>11</v>
      </c>
      <c r="E3083" t="s">
        <v>94</v>
      </c>
      <c r="F3083" t="s">
        <v>104</v>
      </c>
      <c r="G3083" t="s">
        <v>121</v>
      </c>
      <c r="H3083" t="s">
        <v>242</v>
      </c>
      <c r="J3083">
        <v>0</v>
      </c>
      <c r="K3083">
        <v>6</v>
      </c>
      <c r="L3083">
        <v>113.9375</v>
      </c>
      <c r="M3083">
        <v>33.375507550000002</v>
      </c>
      <c r="N3083">
        <v>2.4262999999999999</v>
      </c>
      <c r="O3083">
        <v>0.40692159999999999</v>
      </c>
      <c r="P3083">
        <v>139.375</v>
      </c>
      <c r="Q3083">
        <v>23.713465920000001</v>
      </c>
      <c r="R3083" t="s">
        <v>114</v>
      </c>
      <c r="S3083" t="s">
        <v>114</v>
      </c>
      <c r="T3083" t="s">
        <v>1018</v>
      </c>
      <c r="U3083" t="s">
        <v>114</v>
      </c>
    </row>
    <row r="3084" spans="1:21" x14ac:dyDescent="0.25">
      <c r="A3084" t="s">
        <v>10</v>
      </c>
      <c r="B3084" t="s">
        <v>904</v>
      </c>
      <c r="C3084">
        <v>15</v>
      </c>
      <c r="D3084" t="s">
        <v>11</v>
      </c>
      <c r="E3084" t="s">
        <v>94</v>
      </c>
      <c r="F3084" t="s">
        <v>104</v>
      </c>
      <c r="G3084" t="s">
        <v>121</v>
      </c>
      <c r="H3084" t="s">
        <v>242</v>
      </c>
      <c r="J3084">
        <v>0</v>
      </c>
      <c r="K3084">
        <v>6</v>
      </c>
      <c r="L3084">
        <v>113.9375</v>
      </c>
      <c r="M3084">
        <v>33.375507550000002</v>
      </c>
      <c r="N3084">
        <v>2.4262999999999999</v>
      </c>
      <c r="O3084">
        <v>0.40692159999999999</v>
      </c>
      <c r="P3084">
        <v>139.375</v>
      </c>
      <c r="Q3084">
        <v>23.713465920000001</v>
      </c>
      <c r="R3084" t="s">
        <v>114</v>
      </c>
      <c r="S3084" t="s">
        <v>114</v>
      </c>
      <c r="T3084" t="s">
        <v>1018</v>
      </c>
      <c r="U3084" t="s">
        <v>114</v>
      </c>
    </row>
    <row r="3085" spans="1:21" x14ac:dyDescent="0.25">
      <c r="A3085" t="s">
        <v>14</v>
      </c>
      <c r="B3085" t="s">
        <v>905</v>
      </c>
      <c r="C3085">
        <v>15</v>
      </c>
      <c r="D3085" t="s">
        <v>15</v>
      </c>
      <c r="E3085" t="s">
        <v>94</v>
      </c>
      <c r="F3085" t="s">
        <v>102</v>
      </c>
      <c r="G3085" t="s">
        <v>121</v>
      </c>
      <c r="H3085" t="s">
        <v>114</v>
      </c>
      <c r="J3085">
        <v>0</v>
      </c>
      <c r="K3085" t="s">
        <v>114</v>
      </c>
      <c r="L3085">
        <v>84.740740740000007</v>
      </c>
      <c r="M3085">
        <v>29.167014049999999</v>
      </c>
      <c r="N3085">
        <v>1.1169849999999999</v>
      </c>
      <c r="O3085">
        <v>1.1571499000000001</v>
      </c>
      <c r="P3085" t="s">
        <v>114</v>
      </c>
      <c r="Q3085" t="s">
        <v>114</v>
      </c>
      <c r="R3085" t="s">
        <v>114</v>
      </c>
      <c r="S3085" t="s">
        <v>114</v>
      </c>
      <c r="T3085" t="s">
        <v>1018</v>
      </c>
      <c r="U3085" t="s">
        <v>114</v>
      </c>
    </row>
    <row r="3086" spans="1:21" x14ac:dyDescent="0.25">
      <c r="A3086" t="s">
        <v>14</v>
      </c>
      <c r="B3086" t="s">
        <v>906</v>
      </c>
      <c r="C3086">
        <v>15</v>
      </c>
      <c r="D3086" t="s">
        <v>15</v>
      </c>
      <c r="E3086" t="s">
        <v>94</v>
      </c>
      <c r="F3086" t="s">
        <v>110</v>
      </c>
      <c r="G3086" t="s">
        <v>121</v>
      </c>
      <c r="H3086" t="s">
        <v>114</v>
      </c>
      <c r="J3086">
        <v>0</v>
      </c>
      <c r="K3086" t="s">
        <v>114</v>
      </c>
      <c r="L3086">
        <v>73.260869569999997</v>
      </c>
      <c r="M3086">
        <v>34.453830549999999</v>
      </c>
      <c r="N3086">
        <v>1.058333333</v>
      </c>
      <c r="O3086">
        <v>0.90897070000000002</v>
      </c>
      <c r="P3086" t="s">
        <v>114</v>
      </c>
      <c r="Q3086" t="s">
        <v>114</v>
      </c>
      <c r="R3086" t="s">
        <v>114</v>
      </c>
      <c r="S3086" t="s">
        <v>114</v>
      </c>
      <c r="T3086" t="s">
        <v>1018</v>
      </c>
      <c r="U3086" t="s">
        <v>114</v>
      </c>
    </row>
    <row r="3087" spans="1:21" x14ac:dyDescent="0.25">
      <c r="A3087" t="s">
        <v>14</v>
      </c>
      <c r="B3087" t="s">
        <v>907</v>
      </c>
      <c r="C3087">
        <v>15</v>
      </c>
      <c r="D3087" t="s">
        <v>15</v>
      </c>
      <c r="E3087" t="s">
        <v>94</v>
      </c>
      <c r="F3087" t="s">
        <v>111</v>
      </c>
      <c r="G3087" t="s">
        <v>110</v>
      </c>
      <c r="H3087" t="s">
        <v>110</v>
      </c>
      <c r="J3087">
        <v>0</v>
      </c>
      <c r="K3087">
        <v>1</v>
      </c>
      <c r="L3087">
        <v>94.97142857</v>
      </c>
      <c r="M3087">
        <v>24.31591813</v>
      </c>
      <c r="N3087">
        <v>0.122951111</v>
      </c>
      <c r="O3087">
        <v>0.39050790000000002</v>
      </c>
      <c r="P3087">
        <v>73.260869569999997</v>
      </c>
      <c r="Q3087">
        <v>34.453830549999999</v>
      </c>
      <c r="R3087">
        <v>1.058333333</v>
      </c>
      <c r="S3087">
        <v>0.90897070000000002</v>
      </c>
      <c r="T3087" t="s">
        <v>1018</v>
      </c>
      <c r="U3087">
        <v>-0.93538222199999999</v>
      </c>
    </row>
    <row r="3088" spans="1:21" x14ac:dyDescent="0.25">
      <c r="A3088" t="s">
        <v>14</v>
      </c>
      <c r="B3088" t="s">
        <v>908</v>
      </c>
      <c r="C3088">
        <v>15</v>
      </c>
      <c r="D3088" t="s">
        <v>15</v>
      </c>
      <c r="E3088" t="s">
        <v>94</v>
      </c>
      <c r="F3088" t="s">
        <v>104</v>
      </c>
      <c r="G3088" t="s">
        <v>110</v>
      </c>
      <c r="H3088" t="s">
        <v>110</v>
      </c>
      <c r="J3088">
        <v>0</v>
      </c>
      <c r="K3088">
        <v>1</v>
      </c>
      <c r="L3088">
        <v>113.9375</v>
      </c>
      <c r="M3088">
        <v>33.375507550000002</v>
      </c>
      <c r="N3088">
        <v>2.4262999999999999</v>
      </c>
      <c r="O3088">
        <v>0.40692159999999999</v>
      </c>
      <c r="P3088">
        <v>73.260869569999997</v>
      </c>
      <c r="Q3088">
        <v>34.453830549999999</v>
      </c>
      <c r="R3088">
        <v>1.058333333</v>
      </c>
      <c r="S3088">
        <v>0.90897070000000002</v>
      </c>
      <c r="T3088" t="s">
        <v>1018</v>
      </c>
      <c r="U3088">
        <v>1.3679666669999999</v>
      </c>
    </row>
    <row r="3089" spans="1:21" x14ac:dyDescent="0.25">
      <c r="A3089" t="s">
        <v>14</v>
      </c>
      <c r="B3089" t="s">
        <v>908</v>
      </c>
      <c r="C3089">
        <v>16</v>
      </c>
      <c r="D3089" t="s">
        <v>15</v>
      </c>
      <c r="E3089" t="s">
        <v>94</v>
      </c>
      <c r="F3089" t="s">
        <v>104</v>
      </c>
      <c r="G3089" t="s">
        <v>110</v>
      </c>
      <c r="H3089" t="s">
        <v>104</v>
      </c>
      <c r="J3089">
        <v>0</v>
      </c>
      <c r="K3089">
        <v>2</v>
      </c>
      <c r="L3089">
        <v>113.9375</v>
      </c>
      <c r="M3089">
        <v>33.375507550000002</v>
      </c>
      <c r="N3089">
        <v>2.4262999999999999</v>
      </c>
      <c r="O3089">
        <v>0.40692159999999999</v>
      </c>
      <c r="P3089">
        <v>113.9375</v>
      </c>
      <c r="Q3089">
        <v>33.375507550000002</v>
      </c>
      <c r="R3089">
        <v>2.4262999999999999</v>
      </c>
      <c r="S3089">
        <v>0.40692159999999999</v>
      </c>
      <c r="T3089" t="s">
        <v>1018</v>
      </c>
      <c r="U3089">
        <v>0</v>
      </c>
    </row>
    <row r="3090" spans="1:21" x14ac:dyDescent="0.25">
      <c r="A3090" t="s">
        <v>14</v>
      </c>
      <c r="B3090" t="s">
        <v>908</v>
      </c>
      <c r="C3090">
        <v>16</v>
      </c>
      <c r="D3090" t="s">
        <v>15</v>
      </c>
      <c r="E3090" t="s">
        <v>94</v>
      </c>
      <c r="F3090" t="s">
        <v>104</v>
      </c>
      <c r="G3090" t="s">
        <v>110</v>
      </c>
      <c r="H3090" t="s">
        <v>104</v>
      </c>
      <c r="J3090">
        <v>0</v>
      </c>
      <c r="K3090">
        <v>2</v>
      </c>
      <c r="L3090">
        <v>113.9375</v>
      </c>
      <c r="M3090">
        <v>33.375507550000002</v>
      </c>
      <c r="N3090">
        <v>2.4262999999999999</v>
      </c>
      <c r="O3090">
        <v>0.40692159999999999</v>
      </c>
      <c r="P3090">
        <v>113.9375</v>
      </c>
      <c r="Q3090">
        <v>33.375507550000002</v>
      </c>
      <c r="R3090">
        <v>2.4262999999999999</v>
      </c>
      <c r="S3090">
        <v>0.40692159999999999</v>
      </c>
      <c r="T3090" t="s">
        <v>1018</v>
      </c>
      <c r="U3090">
        <v>0</v>
      </c>
    </row>
    <row r="3091" spans="1:21" x14ac:dyDescent="0.25">
      <c r="A3091" t="s">
        <v>16</v>
      </c>
      <c r="B3091" t="s">
        <v>909</v>
      </c>
      <c r="C3091">
        <v>15</v>
      </c>
      <c r="D3091" t="s">
        <v>17</v>
      </c>
      <c r="E3091" t="s">
        <v>95</v>
      </c>
      <c r="F3091" t="s">
        <v>113</v>
      </c>
      <c r="G3091" t="s">
        <v>104</v>
      </c>
      <c r="H3091" t="s">
        <v>104</v>
      </c>
      <c r="J3091">
        <v>0</v>
      </c>
      <c r="K3091">
        <v>1</v>
      </c>
      <c r="L3091">
        <v>83.757575759999995</v>
      </c>
      <c r="M3091">
        <v>22.60997987</v>
      </c>
      <c r="N3091">
        <v>0.72884000000000004</v>
      </c>
      <c r="O3091">
        <v>0.21301339999999999</v>
      </c>
      <c r="P3091">
        <v>113.9375</v>
      </c>
      <c r="Q3091">
        <v>33.375507550000002</v>
      </c>
      <c r="R3091">
        <v>2.4262999999999999</v>
      </c>
      <c r="S3091">
        <v>0.40692159999999999</v>
      </c>
      <c r="T3091" t="s">
        <v>1018</v>
      </c>
      <c r="U3091">
        <v>-1.69746</v>
      </c>
    </row>
    <row r="3092" spans="1:21" x14ac:dyDescent="0.25">
      <c r="A3092" t="s">
        <v>16</v>
      </c>
      <c r="B3092" t="s">
        <v>909</v>
      </c>
      <c r="C3092">
        <v>16</v>
      </c>
      <c r="D3092" t="s">
        <v>17</v>
      </c>
      <c r="E3092" t="s">
        <v>95</v>
      </c>
      <c r="F3092" t="s">
        <v>113</v>
      </c>
      <c r="G3092" t="s">
        <v>104</v>
      </c>
      <c r="H3092" t="s">
        <v>113</v>
      </c>
      <c r="J3092">
        <v>0</v>
      </c>
      <c r="K3092">
        <v>3</v>
      </c>
      <c r="L3092">
        <v>83.757575759999995</v>
      </c>
      <c r="M3092">
        <v>22.60997987</v>
      </c>
      <c r="N3092">
        <v>0.72884000000000004</v>
      </c>
      <c r="O3092">
        <v>0.21301339999999999</v>
      </c>
      <c r="P3092">
        <v>83.757575759999995</v>
      </c>
      <c r="Q3092">
        <v>22.60997987</v>
      </c>
      <c r="R3092">
        <v>0.72884000000000004</v>
      </c>
      <c r="S3092">
        <v>0.21301339999999999</v>
      </c>
      <c r="T3092" t="s">
        <v>1018</v>
      </c>
      <c r="U3092">
        <v>0</v>
      </c>
    </row>
    <row r="3093" spans="1:21" x14ac:dyDescent="0.25">
      <c r="A3093" t="s">
        <v>16</v>
      </c>
      <c r="B3093" t="s">
        <v>909</v>
      </c>
      <c r="C3093">
        <v>16</v>
      </c>
      <c r="D3093" t="s">
        <v>17</v>
      </c>
      <c r="E3093" t="s">
        <v>95</v>
      </c>
      <c r="F3093" t="s">
        <v>113</v>
      </c>
      <c r="G3093" t="s">
        <v>104</v>
      </c>
      <c r="H3093" t="s">
        <v>113</v>
      </c>
      <c r="J3093">
        <v>0</v>
      </c>
      <c r="K3093">
        <v>3</v>
      </c>
      <c r="L3093">
        <v>83.757575759999995</v>
      </c>
      <c r="M3093">
        <v>22.60997987</v>
      </c>
      <c r="N3093">
        <v>0.72884000000000004</v>
      </c>
      <c r="O3093">
        <v>0.21301339999999999</v>
      </c>
      <c r="P3093">
        <v>83.757575759999995</v>
      </c>
      <c r="Q3093">
        <v>22.60997987</v>
      </c>
      <c r="R3093">
        <v>0.72884000000000004</v>
      </c>
      <c r="S3093">
        <v>0.21301339999999999</v>
      </c>
      <c r="T3093" t="s">
        <v>1018</v>
      </c>
      <c r="U3093">
        <v>0</v>
      </c>
    </row>
    <row r="3094" spans="1:21" x14ac:dyDescent="0.25">
      <c r="A3094" t="s">
        <v>16</v>
      </c>
      <c r="B3094" t="s">
        <v>909</v>
      </c>
      <c r="C3094">
        <v>16</v>
      </c>
      <c r="D3094" t="s">
        <v>17</v>
      </c>
      <c r="E3094" t="s">
        <v>95</v>
      </c>
      <c r="F3094" t="s">
        <v>113</v>
      </c>
      <c r="G3094" t="s">
        <v>104</v>
      </c>
      <c r="H3094" t="s">
        <v>113</v>
      </c>
      <c r="J3094">
        <v>0</v>
      </c>
      <c r="K3094">
        <v>3</v>
      </c>
      <c r="L3094">
        <v>83.757575759999995</v>
      </c>
      <c r="M3094">
        <v>22.60997987</v>
      </c>
      <c r="N3094">
        <v>0.72884000000000004</v>
      </c>
      <c r="O3094">
        <v>0.21301339999999999</v>
      </c>
      <c r="P3094">
        <v>83.757575759999995</v>
      </c>
      <c r="Q3094">
        <v>22.60997987</v>
      </c>
      <c r="R3094">
        <v>0.72884000000000004</v>
      </c>
      <c r="S3094">
        <v>0.21301339999999999</v>
      </c>
      <c r="T3094" t="s">
        <v>1018</v>
      </c>
      <c r="U3094">
        <v>0</v>
      </c>
    </row>
    <row r="3095" spans="1:21" x14ac:dyDescent="0.25">
      <c r="A3095" t="s">
        <v>16</v>
      </c>
      <c r="B3095" t="s">
        <v>910</v>
      </c>
      <c r="C3095">
        <v>15</v>
      </c>
      <c r="D3095" t="s">
        <v>17</v>
      </c>
      <c r="E3095" t="s">
        <v>95</v>
      </c>
      <c r="F3095" t="s">
        <v>110</v>
      </c>
      <c r="G3095" t="s">
        <v>121</v>
      </c>
      <c r="H3095" t="s">
        <v>104</v>
      </c>
      <c r="J3095">
        <v>0</v>
      </c>
      <c r="K3095">
        <v>1</v>
      </c>
      <c r="L3095">
        <v>73.260869569999997</v>
      </c>
      <c r="M3095">
        <v>34.453830549999999</v>
      </c>
      <c r="N3095">
        <v>1.058333333</v>
      </c>
      <c r="O3095">
        <v>0.90897070000000002</v>
      </c>
      <c r="P3095">
        <v>113.9375</v>
      </c>
      <c r="Q3095">
        <v>33.375507550000002</v>
      </c>
      <c r="R3095">
        <v>2.4262999999999999</v>
      </c>
      <c r="S3095">
        <v>0.40692159999999999</v>
      </c>
      <c r="T3095" t="s">
        <v>1018</v>
      </c>
      <c r="U3095">
        <v>-1.3679666669999999</v>
      </c>
    </row>
    <row r="3096" spans="1:21" x14ac:dyDescent="0.25">
      <c r="A3096" t="s">
        <v>16</v>
      </c>
      <c r="B3096" t="s">
        <v>910</v>
      </c>
      <c r="C3096">
        <v>16</v>
      </c>
      <c r="D3096" t="s">
        <v>17</v>
      </c>
      <c r="E3096" t="s">
        <v>95</v>
      </c>
      <c r="F3096" t="s">
        <v>110</v>
      </c>
      <c r="G3096" t="s">
        <v>121</v>
      </c>
      <c r="H3096" t="s">
        <v>241</v>
      </c>
      <c r="J3096">
        <v>0</v>
      </c>
      <c r="K3096">
        <v>1</v>
      </c>
      <c r="L3096">
        <v>73.260869569999997</v>
      </c>
      <c r="M3096">
        <v>34.453830549999999</v>
      </c>
      <c r="N3096">
        <v>1.058333333</v>
      </c>
      <c r="O3096">
        <v>0.90897070000000002</v>
      </c>
      <c r="P3096">
        <v>114</v>
      </c>
      <c r="Q3096">
        <v>30.43077242</v>
      </c>
      <c r="R3096">
        <v>0.53383111100000002</v>
      </c>
      <c r="S3096">
        <v>0.28333332999999999</v>
      </c>
      <c r="T3096" t="s">
        <v>1018</v>
      </c>
      <c r="U3096">
        <v>0.52450222199999996</v>
      </c>
    </row>
    <row r="3097" spans="1:21" x14ac:dyDescent="0.25">
      <c r="A3097" t="s">
        <v>16</v>
      </c>
      <c r="B3097" t="s">
        <v>911</v>
      </c>
      <c r="C3097">
        <v>15</v>
      </c>
      <c r="D3097" t="s">
        <v>17</v>
      </c>
      <c r="E3097" t="s">
        <v>95</v>
      </c>
      <c r="F3097" t="s">
        <v>111</v>
      </c>
      <c r="G3097" t="s">
        <v>113</v>
      </c>
      <c r="H3097" t="s">
        <v>113</v>
      </c>
      <c r="J3097">
        <v>0</v>
      </c>
      <c r="K3097">
        <v>2</v>
      </c>
      <c r="L3097">
        <v>94.97142857</v>
      </c>
      <c r="M3097">
        <v>24.31591813</v>
      </c>
      <c r="N3097">
        <v>0.122951111</v>
      </c>
      <c r="O3097">
        <v>0.39050790000000002</v>
      </c>
      <c r="P3097">
        <v>83.757575759999995</v>
      </c>
      <c r="Q3097">
        <v>22.60997987</v>
      </c>
      <c r="R3097">
        <v>0.72884000000000004</v>
      </c>
      <c r="S3097">
        <v>0.21301339999999999</v>
      </c>
      <c r="T3097" t="s">
        <v>1018</v>
      </c>
      <c r="U3097">
        <v>-0.60588888900000004</v>
      </c>
    </row>
    <row r="3098" spans="1:21" x14ac:dyDescent="0.25">
      <c r="A3098" t="s">
        <v>16</v>
      </c>
      <c r="B3098" t="s">
        <v>911</v>
      </c>
      <c r="C3098">
        <v>15</v>
      </c>
      <c r="D3098" t="s">
        <v>17</v>
      </c>
      <c r="E3098" t="s">
        <v>95</v>
      </c>
      <c r="F3098" t="s">
        <v>111</v>
      </c>
      <c r="G3098" t="s">
        <v>113</v>
      </c>
      <c r="H3098" t="s">
        <v>113</v>
      </c>
      <c r="J3098">
        <v>0</v>
      </c>
      <c r="K3098">
        <v>2</v>
      </c>
      <c r="L3098">
        <v>94.97142857</v>
      </c>
      <c r="M3098">
        <v>24.31591813</v>
      </c>
      <c r="N3098">
        <v>0.122951111</v>
      </c>
      <c r="O3098">
        <v>0.39050790000000002</v>
      </c>
      <c r="P3098">
        <v>83.757575759999995</v>
      </c>
      <c r="Q3098">
        <v>22.60997987</v>
      </c>
      <c r="R3098">
        <v>0.72884000000000004</v>
      </c>
      <c r="S3098">
        <v>0.21301339999999999</v>
      </c>
      <c r="T3098" t="s">
        <v>1018</v>
      </c>
      <c r="U3098">
        <v>-0.60588888900000004</v>
      </c>
    </row>
    <row r="3099" spans="1:21" x14ac:dyDescent="0.25">
      <c r="A3099" t="s">
        <v>16</v>
      </c>
      <c r="B3099" t="s">
        <v>911</v>
      </c>
      <c r="C3099">
        <v>16</v>
      </c>
      <c r="D3099" t="s">
        <v>17</v>
      </c>
      <c r="E3099" t="s">
        <v>95</v>
      </c>
      <c r="F3099" t="s">
        <v>111</v>
      </c>
      <c r="G3099" t="s">
        <v>113</v>
      </c>
      <c r="H3099" t="s">
        <v>247</v>
      </c>
      <c r="J3099">
        <v>0</v>
      </c>
      <c r="K3099">
        <v>3</v>
      </c>
      <c r="L3099">
        <v>94.97142857</v>
      </c>
      <c r="M3099">
        <v>24.31591813</v>
      </c>
      <c r="N3099">
        <v>0.122951111</v>
      </c>
      <c r="O3099">
        <v>0.39050790000000002</v>
      </c>
      <c r="P3099">
        <v>65.791044779999993</v>
      </c>
      <c r="Q3099">
        <v>22.94519201</v>
      </c>
      <c r="R3099">
        <v>8.1320334999999994E-2</v>
      </c>
      <c r="S3099">
        <v>0.17285655</v>
      </c>
      <c r="T3099" t="s">
        <v>1018</v>
      </c>
      <c r="U3099">
        <v>4.1630776000000001E-2</v>
      </c>
    </row>
    <row r="3100" spans="1:21" x14ac:dyDescent="0.25">
      <c r="A3100" t="s">
        <v>16</v>
      </c>
      <c r="B3100" t="s">
        <v>911</v>
      </c>
      <c r="C3100">
        <v>16</v>
      </c>
      <c r="D3100" t="s">
        <v>17</v>
      </c>
      <c r="E3100" t="s">
        <v>95</v>
      </c>
      <c r="F3100" t="s">
        <v>111</v>
      </c>
      <c r="G3100" t="s">
        <v>113</v>
      </c>
      <c r="H3100" t="s">
        <v>247</v>
      </c>
      <c r="J3100">
        <v>0</v>
      </c>
      <c r="K3100">
        <v>3</v>
      </c>
      <c r="L3100">
        <v>94.97142857</v>
      </c>
      <c r="M3100">
        <v>24.31591813</v>
      </c>
      <c r="N3100">
        <v>0.122951111</v>
      </c>
      <c r="O3100">
        <v>0.39050790000000002</v>
      </c>
      <c r="P3100">
        <v>65.791044779999993</v>
      </c>
      <c r="Q3100">
        <v>22.94519201</v>
      </c>
      <c r="R3100">
        <v>8.1320334999999994E-2</v>
      </c>
      <c r="S3100">
        <v>0.17285655</v>
      </c>
      <c r="T3100" t="s">
        <v>1018</v>
      </c>
      <c r="U3100">
        <v>4.1630776000000001E-2</v>
      </c>
    </row>
    <row r="3101" spans="1:21" x14ac:dyDescent="0.25">
      <c r="A3101" t="s">
        <v>16</v>
      </c>
      <c r="B3101" t="s">
        <v>911</v>
      </c>
      <c r="C3101">
        <v>16</v>
      </c>
      <c r="D3101" t="s">
        <v>17</v>
      </c>
      <c r="E3101" t="s">
        <v>95</v>
      </c>
      <c r="F3101" t="s">
        <v>111</v>
      </c>
      <c r="G3101" t="s">
        <v>113</v>
      </c>
      <c r="H3101" t="s">
        <v>247</v>
      </c>
      <c r="J3101">
        <v>0</v>
      </c>
      <c r="K3101">
        <v>3</v>
      </c>
      <c r="L3101">
        <v>94.97142857</v>
      </c>
      <c r="M3101">
        <v>24.31591813</v>
      </c>
      <c r="N3101">
        <v>0.122951111</v>
      </c>
      <c r="O3101">
        <v>0.39050790000000002</v>
      </c>
      <c r="P3101">
        <v>65.791044779999993</v>
      </c>
      <c r="Q3101">
        <v>22.94519201</v>
      </c>
      <c r="R3101">
        <v>8.1320334999999994E-2</v>
      </c>
      <c r="S3101">
        <v>0.17285655</v>
      </c>
      <c r="T3101" t="s">
        <v>1018</v>
      </c>
      <c r="U3101">
        <v>4.1630776000000001E-2</v>
      </c>
    </row>
    <row r="3102" spans="1:21" x14ac:dyDescent="0.25">
      <c r="A3102" t="s">
        <v>16</v>
      </c>
      <c r="B3102" t="s">
        <v>912</v>
      </c>
      <c r="C3102">
        <v>15</v>
      </c>
      <c r="D3102" t="s">
        <v>17</v>
      </c>
      <c r="E3102" t="s">
        <v>95</v>
      </c>
      <c r="F3102" t="s">
        <v>104</v>
      </c>
      <c r="G3102" t="s">
        <v>121</v>
      </c>
      <c r="H3102" t="s">
        <v>247</v>
      </c>
      <c r="J3102">
        <v>0</v>
      </c>
      <c r="K3102">
        <v>1</v>
      </c>
      <c r="L3102">
        <v>113.9375</v>
      </c>
      <c r="M3102">
        <v>33.375507550000002</v>
      </c>
      <c r="N3102">
        <v>2.4262999999999999</v>
      </c>
      <c r="O3102">
        <v>0.40692159999999999</v>
      </c>
      <c r="P3102">
        <v>65.791044779999993</v>
      </c>
      <c r="Q3102">
        <v>22.94519201</v>
      </c>
      <c r="R3102">
        <v>8.1320334999999994E-2</v>
      </c>
      <c r="S3102">
        <v>0.17285655</v>
      </c>
      <c r="T3102" t="s">
        <v>1018</v>
      </c>
      <c r="U3102">
        <v>2.3449796649999999</v>
      </c>
    </row>
    <row r="3103" spans="1:21" x14ac:dyDescent="0.25">
      <c r="A3103" t="s">
        <v>16</v>
      </c>
      <c r="B3103" t="s">
        <v>912</v>
      </c>
      <c r="C3103">
        <v>16</v>
      </c>
      <c r="D3103" t="s">
        <v>17</v>
      </c>
      <c r="E3103" t="s">
        <v>95</v>
      </c>
      <c r="F3103" t="s">
        <v>104</v>
      </c>
      <c r="G3103" t="s">
        <v>121</v>
      </c>
      <c r="H3103" t="s">
        <v>111</v>
      </c>
      <c r="J3103">
        <v>0</v>
      </c>
      <c r="K3103">
        <v>1</v>
      </c>
      <c r="L3103">
        <v>113.9375</v>
      </c>
      <c r="M3103">
        <v>33.375507550000002</v>
      </c>
      <c r="N3103">
        <v>2.4262999999999999</v>
      </c>
      <c r="O3103">
        <v>0.40692159999999999</v>
      </c>
      <c r="P3103">
        <v>94.97142857</v>
      </c>
      <c r="Q3103">
        <v>24.31591813</v>
      </c>
      <c r="R3103">
        <v>0.122951111</v>
      </c>
      <c r="S3103">
        <v>0.39050790000000002</v>
      </c>
      <c r="T3103" t="s">
        <v>1018</v>
      </c>
      <c r="U3103">
        <v>2.303348889</v>
      </c>
    </row>
    <row r="3104" spans="1:21" x14ac:dyDescent="0.25">
      <c r="A3104" t="s">
        <v>18</v>
      </c>
      <c r="B3104" t="s">
        <v>913</v>
      </c>
      <c r="C3104">
        <v>15</v>
      </c>
      <c r="D3104" t="s">
        <v>19</v>
      </c>
      <c r="E3104" t="s">
        <v>95</v>
      </c>
      <c r="F3104" t="s">
        <v>113</v>
      </c>
      <c r="G3104" t="s">
        <v>121</v>
      </c>
      <c r="H3104" t="s">
        <v>113</v>
      </c>
      <c r="J3104">
        <v>0</v>
      </c>
      <c r="K3104">
        <v>3</v>
      </c>
      <c r="L3104">
        <v>83.757575759999995</v>
      </c>
      <c r="M3104">
        <v>22.60997987</v>
      </c>
      <c r="N3104">
        <v>0.72884000000000004</v>
      </c>
      <c r="O3104">
        <v>0.21301339999999999</v>
      </c>
      <c r="P3104">
        <v>83.757575759999995</v>
      </c>
      <c r="Q3104">
        <v>22.60997987</v>
      </c>
      <c r="R3104">
        <v>0.72884000000000004</v>
      </c>
      <c r="S3104">
        <v>0.21301339999999999</v>
      </c>
      <c r="T3104" t="s">
        <v>1018</v>
      </c>
      <c r="U3104">
        <v>0</v>
      </c>
    </row>
    <row r="3105" spans="1:21" x14ac:dyDescent="0.25">
      <c r="A3105" t="s">
        <v>18</v>
      </c>
      <c r="B3105" t="s">
        <v>913</v>
      </c>
      <c r="C3105">
        <v>15</v>
      </c>
      <c r="D3105" t="s">
        <v>19</v>
      </c>
      <c r="E3105" t="s">
        <v>95</v>
      </c>
      <c r="F3105" t="s">
        <v>113</v>
      </c>
      <c r="G3105" t="s">
        <v>121</v>
      </c>
      <c r="H3105" t="s">
        <v>113</v>
      </c>
      <c r="J3105">
        <v>0</v>
      </c>
      <c r="K3105">
        <v>3</v>
      </c>
      <c r="L3105">
        <v>83.757575759999995</v>
      </c>
      <c r="M3105">
        <v>22.60997987</v>
      </c>
      <c r="N3105">
        <v>0.72884000000000004</v>
      </c>
      <c r="O3105">
        <v>0.21301339999999999</v>
      </c>
      <c r="P3105">
        <v>83.757575759999995</v>
      </c>
      <c r="Q3105">
        <v>22.60997987</v>
      </c>
      <c r="R3105">
        <v>0.72884000000000004</v>
      </c>
      <c r="S3105">
        <v>0.21301339999999999</v>
      </c>
      <c r="T3105" t="s">
        <v>1018</v>
      </c>
      <c r="U3105">
        <v>0</v>
      </c>
    </row>
    <row r="3106" spans="1:21" x14ac:dyDescent="0.25">
      <c r="A3106" t="s">
        <v>18</v>
      </c>
      <c r="B3106" t="s">
        <v>913</v>
      </c>
      <c r="C3106">
        <v>15</v>
      </c>
      <c r="D3106" t="s">
        <v>19</v>
      </c>
      <c r="E3106" t="s">
        <v>95</v>
      </c>
      <c r="F3106" t="s">
        <v>113</v>
      </c>
      <c r="G3106" t="s">
        <v>121</v>
      </c>
      <c r="H3106" t="s">
        <v>113</v>
      </c>
      <c r="J3106">
        <v>0</v>
      </c>
      <c r="K3106">
        <v>3</v>
      </c>
      <c r="L3106">
        <v>83.757575759999995</v>
      </c>
      <c r="M3106">
        <v>22.60997987</v>
      </c>
      <c r="N3106">
        <v>0.72884000000000004</v>
      </c>
      <c r="O3106">
        <v>0.21301339999999999</v>
      </c>
      <c r="P3106">
        <v>83.757575759999995</v>
      </c>
      <c r="Q3106">
        <v>22.60997987</v>
      </c>
      <c r="R3106">
        <v>0.72884000000000004</v>
      </c>
      <c r="S3106">
        <v>0.21301339999999999</v>
      </c>
      <c r="T3106" t="s">
        <v>1018</v>
      </c>
      <c r="U3106">
        <v>0</v>
      </c>
    </row>
    <row r="3107" spans="1:21" x14ac:dyDescent="0.25">
      <c r="A3107" t="s">
        <v>18</v>
      </c>
      <c r="B3107" t="s">
        <v>913</v>
      </c>
      <c r="C3107">
        <v>16</v>
      </c>
      <c r="D3107" t="s">
        <v>19</v>
      </c>
      <c r="E3107" t="s">
        <v>95</v>
      </c>
      <c r="F3107" t="s">
        <v>113</v>
      </c>
      <c r="G3107" t="s">
        <v>121</v>
      </c>
      <c r="H3107" t="s">
        <v>808</v>
      </c>
      <c r="J3107">
        <v>0</v>
      </c>
      <c r="K3107">
        <v>1</v>
      </c>
      <c r="L3107">
        <v>83.757575759999995</v>
      </c>
      <c r="M3107">
        <v>22.60997987</v>
      </c>
      <c r="N3107">
        <v>0.72884000000000004</v>
      </c>
      <c r="O3107">
        <v>0.21301339999999999</v>
      </c>
      <c r="P3107">
        <v>102.79166669999999</v>
      </c>
      <c r="Q3107">
        <v>27.057373470000002</v>
      </c>
      <c r="R3107">
        <v>6.3567849939999999</v>
      </c>
      <c r="S3107" t="s">
        <v>114</v>
      </c>
      <c r="T3107" t="s">
        <v>1018</v>
      </c>
      <c r="U3107">
        <v>-5.6279449939999999</v>
      </c>
    </row>
    <row r="3108" spans="1:21" x14ac:dyDescent="0.25">
      <c r="A3108" t="s">
        <v>18</v>
      </c>
      <c r="B3108" t="s">
        <v>913</v>
      </c>
      <c r="C3108">
        <v>17</v>
      </c>
      <c r="D3108" t="s">
        <v>19</v>
      </c>
      <c r="E3108" t="s">
        <v>95</v>
      </c>
      <c r="F3108" t="s">
        <v>113</v>
      </c>
      <c r="G3108" t="s">
        <v>121</v>
      </c>
      <c r="H3108" t="s">
        <v>242</v>
      </c>
      <c r="J3108">
        <v>0</v>
      </c>
      <c r="K3108">
        <v>15</v>
      </c>
      <c r="L3108">
        <v>83.757575759999995</v>
      </c>
      <c r="M3108">
        <v>22.60997987</v>
      </c>
      <c r="N3108">
        <v>0.72884000000000004</v>
      </c>
      <c r="O3108">
        <v>0.21301339999999999</v>
      </c>
      <c r="P3108">
        <v>139.375</v>
      </c>
      <c r="Q3108">
        <v>23.713465920000001</v>
      </c>
      <c r="R3108" t="s">
        <v>114</v>
      </c>
      <c r="S3108" t="s">
        <v>114</v>
      </c>
      <c r="T3108" t="s">
        <v>1018</v>
      </c>
      <c r="U3108" t="s">
        <v>114</v>
      </c>
    </row>
    <row r="3109" spans="1:21" x14ac:dyDescent="0.25">
      <c r="A3109" t="s">
        <v>18</v>
      </c>
      <c r="B3109" t="s">
        <v>913</v>
      </c>
      <c r="C3109">
        <v>17</v>
      </c>
      <c r="D3109" t="s">
        <v>19</v>
      </c>
      <c r="E3109" t="s">
        <v>95</v>
      </c>
      <c r="F3109" t="s">
        <v>113</v>
      </c>
      <c r="G3109" t="s">
        <v>121</v>
      </c>
      <c r="H3109" t="s">
        <v>242</v>
      </c>
      <c r="J3109">
        <v>0</v>
      </c>
      <c r="K3109">
        <v>15</v>
      </c>
      <c r="L3109">
        <v>83.757575759999995</v>
      </c>
      <c r="M3109">
        <v>22.60997987</v>
      </c>
      <c r="N3109">
        <v>0.72884000000000004</v>
      </c>
      <c r="O3109">
        <v>0.21301339999999999</v>
      </c>
      <c r="P3109">
        <v>139.375</v>
      </c>
      <c r="Q3109">
        <v>23.713465920000001</v>
      </c>
      <c r="R3109" t="s">
        <v>114</v>
      </c>
      <c r="S3109" t="s">
        <v>114</v>
      </c>
      <c r="T3109" t="s">
        <v>1018</v>
      </c>
      <c r="U3109" t="s">
        <v>114</v>
      </c>
    </row>
    <row r="3110" spans="1:21" x14ac:dyDescent="0.25">
      <c r="A3110" t="s">
        <v>18</v>
      </c>
      <c r="B3110" t="s">
        <v>913</v>
      </c>
      <c r="C3110">
        <v>17</v>
      </c>
      <c r="D3110" t="s">
        <v>19</v>
      </c>
      <c r="E3110" t="s">
        <v>95</v>
      </c>
      <c r="F3110" t="s">
        <v>113</v>
      </c>
      <c r="G3110" t="s">
        <v>121</v>
      </c>
      <c r="H3110" t="s">
        <v>242</v>
      </c>
      <c r="J3110">
        <v>0</v>
      </c>
      <c r="K3110">
        <v>15</v>
      </c>
      <c r="L3110">
        <v>83.757575759999995</v>
      </c>
      <c r="M3110">
        <v>22.60997987</v>
      </c>
      <c r="N3110">
        <v>0.72884000000000004</v>
      </c>
      <c r="O3110">
        <v>0.21301339999999999</v>
      </c>
      <c r="P3110">
        <v>139.375</v>
      </c>
      <c r="Q3110">
        <v>23.713465920000001</v>
      </c>
      <c r="R3110" t="s">
        <v>114</v>
      </c>
      <c r="S3110" t="s">
        <v>114</v>
      </c>
      <c r="T3110" t="s">
        <v>1018</v>
      </c>
      <c r="U3110" t="s">
        <v>114</v>
      </c>
    </row>
    <row r="3111" spans="1:21" x14ac:dyDescent="0.25">
      <c r="A3111" t="s">
        <v>18</v>
      </c>
      <c r="B3111" t="s">
        <v>913</v>
      </c>
      <c r="C3111">
        <v>17</v>
      </c>
      <c r="D3111" t="s">
        <v>19</v>
      </c>
      <c r="E3111" t="s">
        <v>95</v>
      </c>
      <c r="F3111" t="s">
        <v>113</v>
      </c>
      <c r="G3111" t="s">
        <v>121</v>
      </c>
      <c r="H3111" t="s">
        <v>242</v>
      </c>
      <c r="J3111">
        <v>0</v>
      </c>
      <c r="K3111">
        <v>15</v>
      </c>
      <c r="L3111">
        <v>83.757575759999995</v>
      </c>
      <c r="M3111">
        <v>22.60997987</v>
      </c>
      <c r="N3111">
        <v>0.72884000000000004</v>
      </c>
      <c r="O3111">
        <v>0.21301339999999999</v>
      </c>
      <c r="P3111">
        <v>139.375</v>
      </c>
      <c r="Q3111">
        <v>23.713465920000001</v>
      </c>
      <c r="R3111" t="s">
        <v>114</v>
      </c>
      <c r="S3111" t="s">
        <v>114</v>
      </c>
      <c r="T3111" t="s">
        <v>1018</v>
      </c>
      <c r="U3111" t="s">
        <v>114</v>
      </c>
    </row>
    <row r="3112" spans="1:21" x14ac:dyDescent="0.25">
      <c r="A3112" t="s">
        <v>18</v>
      </c>
      <c r="B3112" t="s">
        <v>913</v>
      </c>
      <c r="C3112">
        <v>17</v>
      </c>
      <c r="D3112" t="s">
        <v>19</v>
      </c>
      <c r="E3112" t="s">
        <v>95</v>
      </c>
      <c r="F3112" t="s">
        <v>113</v>
      </c>
      <c r="G3112" t="s">
        <v>121</v>
      </c>
      <c r="H3112" t="s">
        <v>242</v>
      </c>
      <c r="J3112">
        <v>0</v>
      </c>
      <c r="K3112">
        <v>15</v>
      </c>
      <c r="L3112">
        <v>83.757575759999995</v>
      </c>
      <c r="M3112">
        <v>22.60997987</v>
      </c>
      <c r="N3112">
        <v>0.72884000000000004</v>
      </c>
      <c r="O3112">
        <v>0.21301339999999999</v>
      </c>
      <c r="P3112">
        <v>139.375</v>
      </c>
      <c r="Q3112">
        <v>23.713465920000001</v>
      </c>
      <c r="R3112" t="s">
        <v>114</v>
      </c>
      <c r="S3112" t="s">
        <v>114</v>
      </c>
      <c r="T3112" t="s">
        <v>1018</v>
      </c>
      <c r="U3112" t="s">
        <v>114</v>
      </c>
    </row>
    <row r="3113" spans="1:21" x14ac:dyDescent="0.25">
      <c r="A3113" t="s">
        <v>18</v>
      </c>
      <c r="B3113" t="s">
        <v>913</v>
      </c>
      <c r="C3113">
        <v>17</v>
      </c>
      <c r="D3113" t="s">
        <v>19</v>
      </c>
      <c r="E3113" t="s">
        <v>95</v>
      </c>
      <c r="F3113" t="s">
        <v>113</v>
      </c>
      <c r="G3113" t="s">
        <v>121</v>
      </c>
      <c r="H3113" t="s">
        <v>242</v>
      </c>
      <c r="J3113">
        <v>0</v>
      </c>
      <c r="K3113">
        <v>15</v>
      </c>
      <c r="L3113">
        <v>83.757575759999995</v>
      </c>
      <c r="M3113">
        <v>22.60997987</v>
      </c>
      <c r="N3113">
        <v>0.72884000000000004</v>
      </c>
      <c r="O3113">
        <v>0.21301339999999999</v>
      </c>
      <c r="P3113">
        <v>139.375</v>
      </c>
      <c r="Q3113">
        <v>23.713465920000001</v>
      </c>
      <c r="R3113" t="s">
        <v>114</v>
      </c>
      <c r="S3113" t="s">
        <v>114</v>
      </c>
      <c r="T3113" t="s">
        <v>1018</v>
      </c>
      <c r="U3113" t="s">
        <v>114</v>
      </c>
    </row>
    <row r="3114" spans="1:21" x14ac:dyDescent="0.25">
      <c r="A3114" t="s">
        <v>18</v>
      </c>
      <c r="B3114" t="s">
        <v>913</v>
      </c>
      <c r="C3114">
        <v>17</v>
      </c>
      <c r="D3114" t="s">
        <v>19</v>
      </c>
      <c r="E3114" t="s">
        <v>95</v>
      </c>
      <c r="F3114" t="s">
        <v>113</v>
      </c>
      <c r="G3114" t="s">
        <v>121</v>
      </c>
      <c r="H3114" t="s">
        <v>242</v>
      </c>
      <c r="J3114">
        <v>0</v>
      </c>
      <c r="K3114">
        <v>15</v>
      </c>
      <c r="L3114">
        <v>83.757575759999995</v>
      </c>
      <c r="M3114">
        <v>22.60997987</v>
      </c>
      <c r="N3114">
        <v>0.72884000000000004</v>
      </c>
      <c r="O3114">
        <v>0.21301339999999999</v>
      </c>
      <c r="P3114">
        <v>139.375</v>
      </c>
      <c r="Q3114">
        <v>23.713465920000001</v>
      </c>
      <c r="R3114" t="s">
        <v>114</v>
      </c>
      <c r="S3114" t="s">
        <v>114</v>
      </c>
      <c r="T3114" t="s">
        <v>1018</v>
      </c>
      <c r="U3114" t="s">
        <v>114</v>
      </c>
    </row>
    <row r="3115" spans="1:21" x14ac:dyDescent="0.25">
      <c r="A3115" t="s">
        <v>18</v>
      </c>
      <c r="B3115" t="s">
        <v>913</v>
      </c>
      <c r="C3115">
        <v>17</v>
      </c>
      <c r="D3115" t="s">
        <v>19</v>
      </c>
      <c r="E3115" t="s">
        <v>95</v>
      </c>
      <c r="F3115" t="s">
        <v>113</v>
      </c>
      <c r="G3115" t="s">
        <v>121</v>
      </c>
      <c r="H3115" t="s">
        <v>242</v>
      </c>
      <c r="J3115">
        <v>0</v>
      </c>
      <c r="K3115">
        <v>15</v>
      </c>
      <c r="L3115">
        <v>83.757575759999995</v>
      </c>
      <c r="M3115">
        <v>22.60997987</v>
      </c>
      <c r="N3115">
        <v>0.72884000000000004</v>
      </c>
      <c r="O3115">
        <v>0.21301339999999999</v>
      </c>
      <c r="P3115">
        <v>139.375</v>
      </c>
      <c r="Q3115">
        <v>23.713465920000001</v>
      </c>
      <c r="R3115" t="s">
        <v>114</v>
      </c>
      <c r="S3115" t="s">
        <v>114</v>
      </c>
      <c r="T3115" t="s">
        <v>1018</v>
      </c>
      <c r="U3115" t="s">
        <v>114</v>
      </c>
    </row>
    <row r="3116" spans="1:21" x14ac:dyDescent="0.25">
      <c r="A3116" t="s">
        <v>18</v>
      </c>
      <c r="B3116" t="s">
        <v>913</v>
      </c>
      <c r="C3116">
        <v>17</v>
      </c>
      <c r="D3116" t="s">
        <v>19</v>
      </c>
      <c r="E3116" t="s">
        <v>95</v>
      </c>
      <c r="F3116" t="s">
        <v>113</v>
      </c>
      <c r="G3116" t="s">
        <v>121</v>
      </c>
      <c r="H3116" t="s">
        <v>242</v>
      </c>
      <c r="J3116">
        <v>0</v>
      </c>
      <c r="K3116">
        <v>15</v>
      </c>
      <c r="L3116">
        <v>83.757575759999995</v>
      </c>
      <c r="M3116">
        <v>22.60997987</v>
      </c>
      <c r="N3116">
        <v>0.72884000000000004</v>
      </c>
      <c r="O3116">
        <v>0.21301339999999999</v>
      </c>
      <c r="P3116">
        <v>139.375</v>
      </c>
      <c r="Q3116">
        <v>23.713465920000001</v>
      </c>
      <c r="R3116" t="s">
        <v>114</v>
      </c>
      <c r="S3116" t="s">
        <v>114</v>
      </c>
      <c r="T3116" t="s">
        <v>1018</v>
      </c>
      <c r="U3116" t="s">
        <v>114</v>
      </c>
    </row>
    <row r="3117" spans="1:21" x14ac:dyDescent="0.25">
      <c r="A3117" t="s">
        <v>18</v>
      </c>
      <c r="B3117" t="s">
        <v>913</v>
      </c>
      <c r="C3117">
        <v>17</v>
      </c>
      <c r="D3117" t="s">
        <v>19</v>
      </c>
      <c r="E3117" t="s">
        <v>95</v>
      </c>
      <c r="F3117" t="s">
        <v>113</v>
      </c>
      <c r="G3117" t="s">
        <v>121</v>
      </c>
      <c r="H3117" t="s">
        <v>242</v>
      </c>
      <c r="J3117">
        <v>0</v>
      </c>
      <c r="K3117">
        <v>15</v>
      </c>
      <c r="L3117">
        <v>83.757575759999995</v>
      </c>
      <c r="M3117">
        <v>22.60997987</v>
      </c>
      <c r="N3117">
        <v>0.72884000000000004</v>
      </c>
      <c r="O3117">
        <v>0.21301339999999999</v>
      </c>
      <c r="P3117">
        <v>139.375</v>
      </c>
      <c r="Q3117">
        <v>23.713465920000001</v>
      </c>
      <c r="R3117" t="s">
        <v>114</v>
      </c>
      <c r="S3117" t="s">
        <v>114</v>
      </c>
      <c r="T3117" t="s">
        <v>1018</v>
      </c>
      <c r="U3117" t="s">
        <v>114</v>
      </c>
    </row>
    <row r="3118" spans="1:21" x14ac:dyDescent="0.25">
      <c r="A3118" t="s">
        <v>18</v>
      </c>
      <c r="B3118" t="s">
        <v>913</v>
      </c>
      <c r="C3118">
        <v>17</v>
      </c>
      <c r="D3118" t="s">
        <v>19</v>
      </c>
      <c r="E3118" t="s">
        <v>95</v>
      </c>
      <c r="F3118" t="s">
        <v>113</v>
      </c>
      <c r="G3118" t="s">
        <v>121</v>
      </c>
      <c r="H3118" t="s">
        <v>242</v>
      </c>
      <c r="J3118">
        <v>0</v>
      </c>
      <c r="K3118">
        <v>15</v>
      </c>
      <c r="L3118">
        <v>83.757575759999995</v>
      </c>
      <c r="M3118">
        <v>22.60997987</v>
      </c>
      <c r="N3118">
        <v>0.72884000000000004</v>
      </c>
      <c r="O3118">
        <v>0.21301339999999999</v>
      </c>
      <c r="P3118">
        <v>139.375</v>
      </c>
      <c r="Q3118">
        <v>23.713465920000001</v>
      </c>
      <c r="R3118" t="s">
        <v>114</v>
      </c>
      <c r="S3118" t="s">
        <v>114</v>
      </c>
      <c r="T3118" t="s">
        <v>1018</v>
      </c>
      <c r="U3118" t="s">
        <v>114</v>
      </c>
    </row>
    <row r="3119" spans="1:21" x14ac:dyDescent="0.25">
      <c r="A3119" t="s">
        <v>18</v>
      </c>
      <c r="B3119" t="s">
        <v>913</v>
      </c>
      <c r="C3119">
        <v>17</v>
      </c>
      <c r="D3119" t="s">
        <v>19</v>
      </c>
      <c r="E3119" t="s">
        <v>95</v>
      </c>
      <c r="F3119" t="s">
        <v>113</v>
      </c>
      <c r="G3119" t="s">
        <v>121</v>
      </c>
      <c r="H3119" t="s">
        <v>242</v>
      </c>
      <c r="J3119">
        <v>0</v>
      </c>
      <c r="K3119">
        <v>15</v>
      </c>
      <c r="L3119">
        <v>83.757575759999995</v>
      </c>
      <c r="M3119">
        <v>22.60997987</v>
      </c>
      <c r="N3119">
        <v>0.72884000000000004</v>
      </c>
      <c r="O3119">
        <v>0.21301339999999999</v>
      </c>
      <c r="P3119">
        <v>139.375</v>
      </c>
      <c r="Q3119">
        <v>23.713465920000001</v>
      </c>
      <c r="R3119" t="s">
        <v>114</v>
      </c>
      <c r="S3119" t="s">
        <v>114</v>
      </c>
      <c r="T3119" t="s">
        <v>1018</v>
      </c>
      <c r="U3119" t="s">
        <v>114</v>
      </c>
    </row>
    <row r="3120" spans="1:21" x14ac:dyDescent="0.25">
      <c r="A3120" t="s">
        <v>18</v>
      </c>
      <c r="B3120" t="s">
        <v>913</v>
      </c>
      <c r="C3120">
        <v>17</v>
      </c>
      <c r="D3120" t="s">
        <v>19</v>
      </c>
      <c r="E3120" t="s">
        <v>95</v>
      </c>
      <c r="F3120" t="s">
        <v>113</v>
      </c>
      <c r="G3120" t="s">
        <v>121</v>
      </c>
      <c r="H3120" t="s">
        <v>242</v>
      </c>
      <c r="J3120">
        <v>0</v>
      </c>
      <c r="K3120">
        <v>15</v>
      </c>
      <c r="L3120">
        <v>83.757575759999995</v>
      </c>
      <c r="M3120">
        <v>22.60997987</v>
      </c>
      <c r="N3120">
        <v>0.72884000000000004</v>
      </c>
      <c r="O3120">
        <v>0.21301339999999999</v>
      </c>
      <c r="P3120">
        <v>139.375</v>
      </c>
      <c r="Q3120">
        <v>23.713465920000001</v>
      </c>
      <c r="R3120" t="s">
        <v>114</v>
      </c>
      <c r="S3120" t="s">
        <v>114</v>
      </c>
      <c r="T3120" t="s">
        <v>1018</v>
      </c>
      <c r="U3120" t="s">
        <v>114</v>
      </c>
    </row>
    <row r="3121" spans="1:21" x14ac:dyDescent="0.25">
      <c r="A3121" t="s">
        <v>18</v>
      </c>
      <c r="B3121" t="s">
        <v>913</v>
      </c>
      <c r="C3121">
        <v>17</v>
      </c>
      <c r="D3121" t="s">
        <v>19</v>
      </c>
      <c r="E3121" t="s">
        <v>95</v>
      </c>
      <c r="F3121" t="s">
        <v>113</v>
      </c>
      <c r="G3121" t="s">
        <v>121</v>
      </c>
      <c r="H3121" t="s">
        <v>242</v>
      </c>
      <c r="J3121">
        <v>0</v>
      </c>
      <c r="K3121">
        <v>15</v>
      </c>
      <c r="L3121">
        <v>83.757575759999995</v>
      </c>
      <c r="M3121">
        <v>22.60997987</v>
      </c>
      <c r="N3121">
        <v>0.72884000000000004</v>
      </c>
      <c r="O3121">
        <v>0.21301339999999999</v>
      </c>
      <c r="P3121">
        <v>139.375</v>
      </c>
      <c r="Q3121">
        <v>23.713465920000001</v>
      </c>
      <c r="R3121" t="s">
        <v>114</v>
      </c>
      <c r="S3121" t="s">
        <v>114</v>
      </c>
      <c r="T3121" t="s">
        <v>1018</v>
      </c>
      <c r="U3121" t="s">
        <v>114</v>
      </c>
    </row>
    <row r="3122" spans="1:21" x14ac:dyDescent="0.25">
      <c r="A3122" t="s">
        <v>18</v>
      </c>
      <c r="B3122" t="s">
        <v>913</v>
      </c>
      <c r="C3122">
        <v>17</v>
      </c>
      <c r="D3122" t="s">
        <v>19</v>
      </c>
      <c r="E3122" t="s">
        <v>95</v>
      </c>
      <c r="F3122" t="s">
        <v>113</v>
      </c>
      <c r="G3122" t="s">
        <v>121</v>
      </c>
      <c r="H3122" t="s">
        <v>242</v>
      </c>
      <c r="J3122">
        <v>0</v>
      </c>
      <c r="K3122">
        <v>15</v>
      </c>
      <c r="L3122">
        <v>83.757575759999995</v>
      </c>
      <c r="M3122">
        <v>22.60997987</v>
      </c>
      <c r="N3122">
        <v>0.72884000000000004</v>
      </c>
      <c r="O3122">
        <v>0.21301339999999999</v>
      </c>
      <c r="P3122">
        <v>139.375</v>
      </c>
      <c r="Q3122">
        <v>23.713465920000001</v>
      </c>
      <c r="R3122" t="s">
        <v>114</v>
      </c>
      <c r="S3122" t="s">
        <v>114</v>
      </c>
      <c r="T3122" t="s">
        <v>1018</v>
      </c>
      <c r="U3122" t="s">
        <v>114</v>
      </c>
    </row>
    <row r="3123" spans="1:21" x14ac:dyDescent="0.25">
      <c r="A3123" t="s">
        <v>18</v>
      </c>
      <c r="B3123" t="s">
        <v>914</v>
      </c>
      <c r="C3123">
        <v>15</v>
      </c>
      <c r="D3123" t="s">
        <v>19</v>
      </c>
      <c r="E3123" t="s">
        <v>95</v>
      </c>
      <c r="F3123" t="s">
        <v>111</v>
      </c>
      <c r="G3123" t="s">
        <v>121</v>
      </c>
      <c r="H3123" t="s">
        <v>113</v>
      </c>
      <c r="J3123">
        <v>0</v>
      </c>
      <c r="K3123">
        <v>2</v>
      </c>
      <c r="L3123">
        <v>94.97142857</v>
      </c>
      <c r="M3123">
        <v>24.31591813</v>
      </c>
      <c r="N3123">
        <v>0.122951111</v>
      </c>
      <c r="O3123">
        <v>0.39050790000000002</v>
      </c>
      <c r="P3123">
        <v>83.757575759999995</v>
      </c>
      <c r="Q3123">
        <v>22.60997987</v>
      </c>
      <c r="R3123">
        <v>0.72884000000000004</v>
      </c>
      <c r="S3123">
        <v>0.21301339999999999</v>
      </c>
      <c r="T3123" t="s">
        <v>1018</v>
      </c>
      <c r="U3123">
        <v>-0.60588888900000004</v>
      </c>
    </row>
    <row r="3124" spans="1:21" x14ac:dyDescent="0.25">
      <c r="A3124" t="s">
        <v>18</v>
      </c>
      <c r="B3124" t="s">
        <v>914</v>
      </c>
      <c r="C3124">
        <v>15</v>
      </c>
      <c r="D3124" t="s">
        <v>19</v>
      </c>
      <c r="E3124" t="s">
        <v>95</v>
      </c>
      <c r="F3124" t="s">
        <v>111</v>
      </c>
      <c r="G3124" t="s">
        <v>121</v>
      </c>
      <c r="H3124" t="s">
        <v>113</v>
      </c>
      <c r="J3124">
        <v>0</v>
      </c>
      <c r="K3124">
        <v>2</v>
      </c>
      <c r="L3124">
        <v>94.97142857</v>
      </c>
      <c r="M3124">
        <v>24.31591813</v>
      </c>
      <c r="N3124">
        <v>0.122951111</v>
      </c>
      <c r="O3124">
        <v>0.39050790000000002</v>
      </c>
      <c r="P3124">
        <v>83.757575759999995</v>
      </c>
      <c r="Q3124">
        <v>22.60997987</v>
      </c>
      <c r="R3124">
        <v>0.72884000000000004</v>
      </c>
      <c r="S3124">
        <v>0.21301339999999999</v>
      </c>
      <c r="T3124" t="s">
        <v>1018</v>
      </c>
      <c r="U3124">
        <v>-0.60588888900000004</v>
      </c>
    </row>
    <row r="3125" spans="1:21" x14ac:dyDescent="0.25">
      <c r="A3125" t="s">
        <v>18</v>
      </c>
      <c r="B3125" t="s">
        <v>914</v>
      </c>
      <c r="C3125">
        <v>16</v>
      </c>
      <c r="D3125" t="s">
        <v>19</v>
      </c>
      <c r="E3125" t="s">
        <v>95</v>
      </c>
      <c r="F3125" t="s">
        <v>111</v>
      </c>
      <c r="G3125" t="s">
        <v>121</v>
      </c>
      <c r="H3125" t="s">
        <v>242</v>
      </c>
      <c r="J3125">
        <v>0</v>
      </c>
      <c r="K3125">
        <v>2</v>
      </c>
      <c r="L3125">
        <v>94.97142857</v>
      </c>
      <c r="M3125">
        <v>24.31591813</v>
      </c>
      <c r="N3125">
        <v>0.122951111</v>
      </c>
      <c r="O3125">
        <v>0.39050790000000002</v>
      </c>
      <c r="P3125">
        <v>139.375</v>
      </c>
      <c r="Q3125">
        <v>23.713465920000001</v>
      </c>
      <c r="R3125" t="s">
        <v>114</v>
      </c>
      <c r="S3125" t="s">
        <v>114</v>
      </c>
      <c r="T3125" t="s">
        <v>1018</v>
      </c>
      <c r="U3125" t="s">
        <v>114</v>
      </c>
    </row>
    <row r="3126" spans="1:21" x14ac:dyDescent="0.25">
      <c r="A3126" t="s">
        <v>18</v>
      </c>
      <c r="B3126" t="s">
        <v>914</v>
      </c>
      <c r="C3126">
        <v>16</v>
      </c>
      <c r="D3126" t="s">
        <v>19</v>
      </c>
      <c r="E3126" t="s">
        <v>95</v>
      </c>
      <c r="F3126" t="s">
        <v>111</v>
      </c>
      <c r="G3126" t="s">
        <v>121</v>
      </c>
      <c r="H3126" t="s">
        <v>242</v>
      </c>
      <c r="J3126">
        <v>0</v>
      </c>
      <c r="K3126">
        <v>2</v>
      </c>
      <c r="L3126">
        <v>94.97142857</v>
      </c>
      <c r="M3126">
        <v>24.31591813</v>
      </c>
      <c r="N3126">
        <v>0.122951111</v>
      </c>
      <c r="O3126">
        <v>0.39050790000000002</v>
      </c>
      <c r="P3126">
        <v>139.375</v>
      </c>
      <c r="Q3126">
        <v>23.713465920000001</v>
      </c>
      <c r="R3126" t="s">
        <v>114</v>
      </c>
      <c r="S3126" t="s">
        <v>114</v>
      </c>
      <c r="T3126" t="s">
        <v>1018</v>
      </c>
      <c r="U3126" t="s">
        <v>114</v>
      </c>
    </row>
    <row r="3127" spans="1:21" x14ac:dyDescent="0.25">
      <c r="A3127" t="s">
        <v>18</v>
      </c>
      <c r="B3127" t="s">
        <v>915</v>
      </c>
      <c r="C3127">
        <v>15</v>
      </c>
      <c r="D3127" t="s">
        <v>19</v>
      </c>
      <c r="E3127" t="s">
        <v>95</v>
      </c>
      <c r="F3127" t="s">
        <v>104</v>
      </c>
      <c r="G3127" t="s">
        <v>121</v>
      </c>
      <c r="H3127" t="s">
        <v>247</v>
      </c>
      <c r="J3127">
        <v>0</v>
      </c>
      <c r="K3127">
        <v>1</v>
      </c>
      <c r="L3127">
        <v>113.9375</v>
      </c>
      <c r="M3127">
        <v>33.375507550000002</v>
      </c>
      <c r="N3127">
        <v>2.4262999999999999</v>
      </c>
      <c r="O3127">
        <v>0.40692159999999999</v>
      </c>
      <c r="P3127">
        <v>65.791044779999993</v>
      </c>
      <c r="Q3127">
        <v>22.94519201</v>
      </c>
      <c r="R3127">
        <v>8.1320334999999994E-2</v>
      </c>
      <c r="S3127">
        <v>0.17285655</v>
      </c>
      <c r="T3127" t="s">
        <v>1018</v>
      </c>
      <c r="U3127">
        <v>2.3449796649999999</v>
      </c>
    </row>
    <row r="3128" spans="1:21" x14ac:dyDescent="0.25">
      <c r="A3128" t="s">
        <v>18</v>
      </c>
      <c r="B3128" t="s">
        <v>915</v>
      </c>
      <c r="C3128">
        <v>16</v>
      </c>
      <c r="D3128" t="s">
        <v>19</v>
      </c>
      <c r="E3128" t="s">
        <v>95</v>
      </c>
      <c r="F3128" t="s">
        <v>104</v>
      </c>
      <c r="G3128" t="s">
        <v>121</v>
      </c>
      <c r="H3128" t="s">
        <v>113</v>
      </c>
      <c r="J3128">
        <v>0</v>
      </c>
      <c r="K3128">
        <v>3</v>
      </c>
      <c r="L3128">
        <v>113.9375</v>
      </c>
      <c r="M3128">
        <v>33.375507550000002</v>
      </c>
      <c r="N3128">
        <v>2.4262999999999999</v>
      </c>
      <c r="O3128">
        <v>0.40692159999999999</v>
      </c>
      <c r="P3128">
        <v>83.757575759999995</v>
      </c>
      <c r="Q3128">
        <v>22.60997987</v>
      </c>
      <c r="R3128">
        <v>0.72884000000000004</v>
      </c>
      <c r="S3128">
        <v>0.21301339999999999</v>
      </c>
      <c r="T3128" t="s">
        <v>1018</v>
      </c>
      <c r="U3128">
        <v>1.69746</v>
      </c>
    </row>
    <row r="3129" spans="1:21" x14ac:dyDescent="0.25">
      <c r="A3129" t="s">
        <v>18</v>
      </c>
      <c r="B3129" t="s">
        <v>915</v>
      </c>
      <c r="C3129">
        <v>16</v>
      </c>
      <c r="D3129" t="s">
        <v>19</v>
      </c>
      <c r="E3129" t="s">
        <v>95</v>
      </c>
      <c r="F3129" t="s">
        <v>104</v>
      </c>
      <c r="G3129" t="s">
        <v>121</v>
      </c>
      <c r="H3129" t="s">
        <v>113</v>
      </c>
      <c r="J3129">
        <v>0</v>
      </c>
      <c r="K3129">
        <v>3</v>
      </c>
      <c r="L3129">
        <v>113.9375</v>
      </c>
      <c r="M3129">
        <v>33.375507550000002</v>
      </c>
      <c r="N3129">
        <v>2.4262999999999999</v>
      </c>
      <c r="O3129">
        <v>0.40692159999999999</v>
      </c>
      <c r="P3129">
        <v>83.757575759999995</v>
      </c>
      <c r="Q3129">
        <v>22.60997987</v>
      </c>
      <c r="R3129">
        <v>0.72884000000000004</v>
      </c>
      <c r="S3129">
        <v>0.21301339999999999</v>
      </c>
      <c r="T3129" t="s">
        <v>1018</v>
      </c>
      <c r="U3129">
        <v>1.69746</v>
      </c>
    </row>
    <row r="3130" spans="1:21" x14ac:dyDescent="0.25">
      <c r="A3130" t="s">
        <v>18</v>
      </c>
      <c r="B3130" t="s">
        <v>915</v>
      </c>
      <c r="C3130">
        <v>16</v>
      </c>
      <c r="D3130" t="s">
        <v>19</v>
      </c>
      <c r="E3130" t="s">
        <v>95</v>
      </c>
      <c r="F3130" t="s">
        <v>104</v>
      </c>
      <c r="G3130" t="s">
        <v>121</v>
      </c>
      <c r="H3130" t="s">
        <v>113</v>
      </c>
      <c r="J3130">
        <v>0</v>
      </c>
      <c r="K3130">
        <v>3</v>
      </c>
      <c r="L3130">
        <v>113.9375</v>
      </c>
      <c r="M3130">
        <v>33.375507550000002</v>
      </c>
      <c r="N3130">
        <v>2.4262999999999999</v>
      </c>
      <c r="O3130">
        <v>0.40692159999999999</v>
      </c>
      <c r="P3130">
        <v>83.757575759999995</v>
      </c>
      <c r="Q3130">
        <v>22.60997987</v>
      </c>
      <c r="R3130">
        <v>0.72884000000000004</v>
      </c>
      <c r="S3130">
        <v>0.21301339999999999</v>
      </c>
      <c r="T3130" t="s">
        <v>1018</v>
      </c>
      <c r="U3130">
        <v>1.69746</v>
      </c>
    </row>
    <row r="3131" spans="1:21" x14ac:dyDescent="0.25">
      <c r="A3131" t="s">
        <v>18</v>
      </c>
      <c r="B3131" t="s">
        <v>916</v>
      </c>
      <c r="C3131">
        <v>15</v>
      </c>
      <c r="D3131" t="s">
        <v>19</v>
      </c>
      <c r="E3131" t="s">
        <v>95</v>
      </c>
      <c r="F3131" t="s">
        <v>112</v>
      </c>
      <c r="G3131" t="s">
        <v>113</v>
      </c>
      <c r="H3131" t="s">
        <v>113</v>
      </c>
      <c r="J3131">
        <v>0</v>
      </c>
      <c r="K3131">
        <v>1</v>
      </c>
      <c r="L3131">
        <v>65.09375</v>
      </c>
      <c r="M3131">
        <v>37.895352600000002</v>
      </c>
      <c r="N3131">
        <v>2.2882677779999998</v>
      </c>
      <c r="O3131">
        <v>2.2111774</v>
      </c>
      <c r="P3131">
        <v>83.757575759999995</v>
      </c>
      <c r="Q3131">
        <v>22.60997987</v>
      </c>
      <c r="R3131">
        <v>0.72884000000000004</v>
      </c>
      <c r="S3131">
        <v>0.21301339999999999</v>
      </c>
      <c r="T3131" t="s">
        <v>1018</v>
      </c>
      <c r="U3131">
        <v>1.5594277780000001</v>
      </c>
    </row>
    <row r="3132" spans="1:21" x14ac:dyDescent="0.25">
      <c r="A3132" t="s">
        <v>20</v>
      </c>
      <c r="B3132" t="s">
        <v>917</v>
      </c>
      <c r="C3132">
        <v>15</v>
      </c>
      <c r="D3132" t="s">
        <v>21</v>
      </c>
      <c r="E3132" t="s">
        <v>94</v>
      </c>
      <c r="F3132" t="s">
        <v>102</v>
      </c>
      <c r="G3132" t="s">
        <v>121</v>
      </c>
      <c r="H3132" t="s">
        <v>246</v>
      </c>
      <c r="J3132">
        <v>0</v>
      </c>
      <c r="K3132">
        <v>1</v>
      </c>
      <c r="L3132">
        <v>84.740740740000007</v>
      </c>
      <c r="M3132">
        <v>29.167014049999999</v>
      </c>
      <c r="N3132">
        <v>1.1169849999999999</v>
      </c>
      <c r="O3132">
        <v>1.1571499000000001</v>
      </c>
      <c r="P3132">
        <v>120.25</v>
      </c>
      <c r="Q3132">
        <v>30.670450110000001</v>
      </c>
      <c r="R3132">
        <v>0.91037498500000003</v>
      </c>
      <c r="S3132" t="s">
        <v>114</v>
      </c>
      <c r="T3132" t="s">
        <v>1018</v>
      </c>
      <c r="U3132">
        <v>0.20661001500000001</v>
      </c>
    </row>
    <row r="3133" spans="1:21" x14ac:dyDescent="0.25">
      <c r="A3133" t="s">
        <v>20</v>
      </c>
      <c r="B3133" t="s">
        <v>918</v>
      </c>
      <c r="C3133">
        <v>15</v>
      </c>
      <c r="D3133" t="s">
        <v>21</v>
      </c>
      <c r="E3133" t="s">
        <v>94</v>
      </c>
      <c r="F3133" t="s">
        <v>113</v>
      </c>
      <c r="G3133" t="s">
        <v>113</v>
      </c>
      <c r="H3133" t="s">
        <v>113</v>
      </c>
      <c r="J3133">
        <v>0</v>
      </c>
      <c r="K3133">
        <v>1</v>
      </c>
      <c r="L3133">
        <v>83.757575759999995</v>
      </c>
      <c r="M3133">
        <v>22.60997987</v>
      </c>
      <c r="N3133">
        <v>0.72884000000000004</v>
      </c>
      <c r="O3133">
        <v>0.21301339999999999</v>
      </c>
      <c r="P3133">
        <v>83.757575759999995</v>
      </c>
      <c r="Q3133">
        <v>22.60997987</v>
      </c>
      <c r="R3133">
        <v>0.72884000000000004</v>
      </c>
      <c r="S3133">
        <v>0.21301339999999999</v>
      </c>
      <c r="T3133" t="s">
        <v>1018</v>
      </c>
      <c r="U3133">
        <v>0</v>
      </c>
    </row>
    <row r="3134" spans="1:21" x14ac:dyDescent="0.25">
      <c r="A3134" t="s">
        <v>20</v>
      </c>
      <c r="B3134" t="s">
        <v>919</v>
      </c>
      <c r="C3134">
        <v>15</v>
      </c>
      <c r="D3134" t="s">
        <v>21</v>
      </c>
      <c r="E3134" t="s">
        <v>94</v>
      </c>
      <c r="F3134" t="s">
        <v>110</v>
      </c>
      <c r="G3134" t="s">
        <v>121</v>
      </c>
      <c r="H3134" t="s">
        <v>113</v>
      </c>
      <c r="J3134">
        <v>0</v>
      </c>
      <c r="K3134">
        <v>2</v>
      </c>
      <c r="L3134">
        <v>73.260869569999997</v>
      </c>
      <c r="M3134">
        <v>34.453830549999999</v>
      </c>
      <c r="N3134">
        <v>1.058333333</v>
      </c>
      <c r="O3134">
        <v>0.90897070000000002</v>
      </c>
      <c r="P3134">
        <v>83.757575759999995</v>
      </c>
      <c r="Q3134">
        <v>22.60997987</v>
      </c>
      <c r="R3134">
        <v>0.72884000000000004</v>
      </c>
      <c r="S3134">
        <v>0.21301339999999999</v>
      </c>
      <c r="T3134" t="s">
        <v>1018</v>
      </c>
      <c r="U3134">
        <v>0.329493333</v>
      </c>
    </row>
    <row r="3135" spans="1:21" x14ac:dyDescent="0.25">
      <c r="A3135" t="s">
        <v>20</v>
      </c>
      <c r="B3135" t="s">
        <v>919</v>
      </c>
      <c r="C3135">
        <v>15</v>
      </c>
      <c r="D3135" t="s">
        <v>21</v>
      </c>
      <c r="E3135" t="s">
        <v>94</v>
      </c>
      <c r="F3135" t="s">
        <v>110</v>
      </c>
      <c r="G3135" t="s">
        <v>121</v>
      </c>
      <c r="H3135" t="s">
        <v>113</v>
      </c>
      <c r="J3135">
        <v>0</v>
      </c>
      <c r="K3135">
        <v>2</v>
      </c>
      <c r="L3135">
        <v>73.260869569999997</v>
      </c>
      <c r="M3135">
        <v>34.453830549999999</v>
      </c>
      <c r="N3135">
        <v>1.058333333</v>
      </c>
      <c r="O3135">
        <v>0.90897070000000002</v>
      </c>
      <c r="P3135">
        <v>83.757575759999995</v>
      </c>
      <c r="Q3135">
        <v>22.60997987</v>
      </c>
      <c r="R3135">
        <v>0.72884000000000004</v>
      </c>
      <c r="S3135">
        <v>0.21301339999999999</v>
      </c>
      <c r="T3135" t="s">
        <v>1018</v>
      </c>
      <c r="U3135">
        <v>0.329493333</v>
      </c>
    </row>
    <row r="3136" spans="1:21" x14ac:dyDescent="0.25">
      <c r="A3136" t="s">
        <v>20</v>
      </c>
      <c r="B3136" t="s">
        <v>919</v>
      </c>
      <c r="C3136">
        <v>16</v>
      </c>
      <c r="D3136" t="s">
        <v>21</v>
      </c>
      <c r="E3136" t="s">
        <v>94</v>
      </c>
      <c r="F3136" t="s">
        <v>110</v>
      </c>
      <c r="G3136" t="s">
        <v>121</v>
      </c>
      <c r="H3136" t="s">
        <v>102</v>
      </c>
      <c r="J3136">
        <v>0</v>
      </c>
      <c r="K3136">
        <v>1</v>
      </c>
      <c r="L3136">
        <v>73.260869569999997</v>
      </c>
      <c r="M3136">
        <v>34.453830549999999</v>
      </c>
      <c r="N3136">
        <v>1.058333333</v>
      </c>
      <c r="O3136">
        <v>0.90897070000000002</v>
      </c>
      <c r="P3136">
        <v>84.740740740000007</v>
      </c>
      <c r="Q3136">
        <v>29.167014049999999</v>
      </c>
      <c r="R3136">
        <v>1.1169849999999999</v>
      </c>
      <c r="S3136">
        <v>1.1571499000000001</v>
      </c>
      <c r="T3136" t="s">
        <v>1018</v>
      </c>
      <c r="U3136">
        <v>-5.8651666999999998E-2</v>
      </c>
    </row>
    <row r="3137" spans="1:21" x14ac:dyDescent="0.25">
      <c r="A3137" t="s">
        <v>20</v>
      </c>
      <c r="B3137" t="s">
        <v>920</v>
      </c>
      <c r="C3137">
        <v>15</v>
      </c>
      <c r="D3137" t="s">
        <v>21</v>
      </c>
      <c r="E3137" t="s">
        <v>94</v>
      </c>
      <c r="F3137" t="s">
        <v>111</v>
      </c>
      <c r="G3137" t="s">
        <v>121</v>
      </c>
      <c r="H3137" t="s">
        <v>110</v>
      </c>
      <c r="J3137">
        <v>0</v>
      </c>
      <c r="K3137">
        <v>1</v>
      </c>
      <c r="L3137">
        <v>94.97142857</v>
      </c>
      <c r="M3137">
        <v>24.31591813</v>
      </c>
      <c r="N3137">
        <v>0.122951111</v>
      </c>
      <c r="O3137">
        <v>0.39050790000000002</v>
      </c>
      <c r="P3137">
        <v>73.260869569999997</v>
      </c>
      <c r="Q3137">
        <v>34.453830549999999</v>
      </c>
      <c r="R3137">
        <v>1.058333333</v>
      </c>
      <c r="S3137">
        <v>0.90897070000000002</v>
      </c>
      <c r="T3137" t="s">
        <v>1018</v>
      </c>
      <c r="U3137">
        <v>-0.93538222199999999</v>
      </c>
    </row>
    <row r="3138" spans="1:21" x14ac:dyDescent="0.25">
      <c r="A3138" t="s">
        <v>22</v>
      </c>
      <c r="B3138" t="s">
        <v>921</v>
      </c>
      <c r="C3138">
        <v>15</v>
      </c>
      <c r="D3138" t="s">
        <v>23</v>
      </c>
      <c r="E3138" t="s">
        <v>95</v>
      </c>
      <c r="F3138" t="s">
        <v>102</v>
      </c>
      <c r="G3138" t="s">
        <v>121</v>
      </c>
      <c r="H3138" t="s">
        <v>236</v>
      </c>
      <c r="J3138">
        <v>0</v>
      </c>
      <c r="K3138">
        <v>1</v>
      </c>
      <c r="L3138">
        <v>84.740740740000007</v>
      </c>
      <c r="M3138">
        <v>29.167014049999999</v>
      </c>
      <c r="N3138">
        <v>1.1169849999999999</v>
      </c>
      <c r="O3138">
        <v>1.1571499000000001</v>
      </c>
      <c r="P3138">
        <v>113.33333330000001</v>
      </c>
      <c r="Q3138">
        <v>26.41632581</v>
      </c>
      <c r="R3138">
        <v>1.6844570160000001</v>
      </c>
      <c r="S3138">
        <v>8.9285710000000004E-2</v>
      </c>
      <c r="T3138" t="s">
        <v>1018</v>
      </c>
      <c r="U3138">
        <v>-0.56747201599999997</v>
      </c>
    </row>
    <row r="3139" spans="1:21" x14ac:dyDescent="0.25">
      <c r="A3139" t="s">
        <v>22</v>
      </c>
      <c r="B3139" t="s">
        <v>922</v>
      </c>
      <c r="C3139">
        <v>15</v>
      </c>
      <c r="D3139" t="s">
        <v>23</v>
      </c>
      <c r="E3139" t="s">
        <v>95</v>
      </c>
      <c r="F3139" t="s">
        <v>105</v>
      </c>
      <c r="G3139" t="s">
        <v>121</v>
      </c>
      <c r="H3139" t="s">
        <v>113</v>
      </c>
      <c r="J3139">
        <v>0</v>
      </c>
      <c r="K3139">
        <v>4</v>
      </c>
      <c r="L3139">
        <v>67.5</v>
      </c>
      <c r="M3139">
        <v>47.937235809999997</v>
      </c>
      <c r="N3139">
        <v>0.41599678000000001</v>
      </c>
      <c r="O3139">
        <v>2.0950346999999998</v>
      </c>
      <c r="P3139">
        <v>83.757575759999995</v>
      </c>
      <c r="Q3139">
        <v>22.60997987</v>
      </c>
      <c r="R3139">
        <v>0.72884000000000004</v>
      </c>
      <c r="S3139">
        <v>0.21301339999999999</v>
      </c>
      <c r="T3139" t="s">
        <v>1018</v>
      </c>
      <c r="U3139">
        <v>-0.31284321999999998</v>
      </c>
    </row>
    <row r="3140" spans="1:21" x14ac:dyDescent="0.25">
      <c r="A3140" t="s">
        <v>22</v>
      </c>
      <c r="B3140" t="s">
        <v>922</v>
      </c>
      <c r="C3140">
        <v>15</v>
      </c>
      <c r="D3140" t="s">
        <v>23</v>
      </c>
      <c r="E3140" t="s">
        <v>95</v>
      </c>
      <c r="F3140" t="s">
        <v>105</v>
      </c>
      <c r="G3140" t="s">
        <v>121</v>
      </c>
      <c r="H3140" t="s">
        <v>113</v>
      </c>
      <c r="J3140">
        <v>0</v>
      </c>
      <c r="K3140">
        <v>4</v>
      </c>
      <c r="L3140">
        <v>67.5</v>
      </c>
      <c r="M3140">
        <v>47.937235809999997</v>
      </c>
      <c r="N3140">
        <v>0.41599678000000001</v>
      </c>
      <c r="O3140">
        <v>2.0950346999999998</v>
      </c>
      <c r="P3140">
        <v>83.757575759999995</v>
      </c>
      <c r="Q3140">
        <v>22.60997987</v>
      </c>
      <c r="R3140">
        <v>0.72884000000000004</v>
      </c>
      <c r="S3140">
        <v>0.21301339999999999</v>
      </c>
      <c r="T3140" t="s">
        <v>1018</v>
      </c>
      <c r="U3140">
        <v>-0.31284321999999998</v>
      </c>
    </row>
    <row r="3141" spans="1:21" x14ac:dyDescent="0.25">
      <c r="A3141" t="s">
        <v>22</v>
      </c>
      <c r="B3141" t="s">
        <v>922</v>
      </c>
      <c r="C3141">
        <v>15</v>
      </c>
      <c r="D3141" t="s">
        <v>23</v>
      </c>
      <c r="E3141" t="s">
        <v>95</v>
      </c>
      <c r="F3141" t="s">
        <v>105</v>
      </c>
      <c r="G3141" t="s">
        <v>121</v>
      </c>
      <c r="H3141" t="s">
        <v>113</v>
      </c>
      <c r="J3141">
        <v>0</v>
      </c>
      <c r="K3141">
        <v>4</v>
      </c>
      <c r="L3141">
        <v>67.5</v>
      </c>
      <c r="M3141">
        <v>47.937235809999997</v>
      </c>
      <c r="N3141">
        <v>0.41599678000000001</v>
      </c>
      <c r="O3141">
        <v>2.0950346999999998</v>
      </c>
      <c r="P3141">
        <v>83.757575759999995</v>
      </c>
      <c r="Q3141">
        <v>22.60997987</v>
      </c>
      <c r="R3141">
        <v>0.72884000000000004</v>
      </c>
      <c r="S3141">
        <v>0.21301339999999999</v>
      </c>
      <c r="T3141" t="s">
        <v>1018</v>
      </c>
      <c r="U3141">
        <v>-0.31284321999999998</v>
      </c>
    </row>
    <row r="3142" spans="1:21" x14ac:dyDescent="0.25">
      <c r="A3142" t="s">
        <v>22</v>
      </c>
      <c r="B3142" t="s">
        <v>922</v>
      </c>
      <c r="C3142">
        <v>15</v>
      </c>
      <c r="D3142" t="s">
        <v>23</v>
      </c>
      <c r="E3142" t="s">
        <v>95</v>
      </c>
      <c r="F3142" t="s">
        <v>105</v>
      </c>
      <c r="G3142" t="s">
        <v>121</v>
      </c>
      <c r="H3142" t="s">
        <v>113</v>
      </c>
      <c r="J3142">
        <v>0</v>
      </c>
      <c r="K3142">
        <v>4</v>
      </c>
      <c r="L3142">
        <v>67.5</v>
      </c>
      <c r="M3142">
        <v>47.937235809999997</v>
      </c>
      <c r="N3142">
        <v>0.41599678000000001</v>
      </c>
      <c r="O3142">
        <v>2.0950346999999998</v>
      </c>
      <c r="P3142">
        <v>83.757575759999995</v>
      </c>
      <c r="Q3142">
        <v>22.60997987</v>
      </c>
      <c r="R3142">
        <v>0.72884000000000004</v>
      </c>
      <c r="S3142">
        <v>0.21301339999999999</v>
      </c>
      <c r="T3142" t="s">
        <v>1018</v>
      </c>
      <c r="U3142">
        <v>-0.31284321999999998</v>
      </c>
    </row>
    <row r="3143" spans="1:21" x14ac:dyDescent="0.25">
      <c r="A3143" t="s">
        <v>22</v>
      </c>
      <c r="B3143" t="s">
        <v>922</v>
      </c>
      <c r="C3143">
        <v>16</v>
      </c>
      <c r="D3143" t="s">
        <v>23</v>
      </c>
      <c r="E3143" t="s">
        <v>95</v>
      </c>
      <c r="F3143" t="s">
        <v>105</v>
      </c>
      <c r="G3143" t="s">
        <v>121</v>
      </c>
      <c r="H3143" t="s">
        <v>103</v>
      </c>
      <c r="J3143">
        <v>0</v>
      </c>
      <c r="K3143">
        <v>1</v>
      </c>
      <c r="L3143">
        <v>67.5</v>
      </c>
      <c r="M3143">
        <v>47.937235809999997</v>
      </c>
      <c r="N3143">
        <v>0.41599678000000001</v>
      </c>
      <c r="O3143">
        <v>2.0950346999999998</v>
      </c>
      <c r="P3143">
        <v>98.291666669999998</v>
      </c>
      <c r="Q3143">
        <v>30.315130790000001</v>
      </c>
      <c r="R3143">
        <v>5.0803484000000003E-2</v>
      </c>
      <c r="S3143">
        <v>0.42866070000000001</v>
      </c>
      <c r="T3143" t="s">
        <v>1018</v>
      </c>
      <c r="U3143">
        <v>0.365193296</v>
      </c>
    </row>
    <row r="3144" spans="1:21" x14ac:dyDescent="0.25">
      <c r="A3144" t="s">
        <v>22</v>
      </c>
      <c r="B3144" t="s">
        <v>922</v>
      </c>
      <c r="C3144">
        <v>17</v>
      </c>
      <c r="D3144" t="s">
        <v>23</v>
      </c>
      <c r="E3144" t="s">
        <v>95</v>
      </c>
      <c r="F3144" t="s">
        <v>105</v>
      </c>
      <c r="G3144" t="s">
        <v>121</v>
      </c>
      <c r="H3144" t="s">
        <v>234</v>
      </c>
      <c r="J3144">
        <v>0</v>
      </c>
      <c r="K3144">
        <v>1</v>
      </c>
      <c r="L3144">
        <v>67.5</v>
      </c>
      <c r="M3144">
        <v>47.937235809999997</v>
      </c>
      <c r="N3144">
        <v>0.41599678000000001</v>
      </c>
      <c r="O3144">
        <v>2.0950346999999998</v>
      </c>
      <c r="P3144">
        <v>89.8125</v>
      </c>
      <c r="Q3144">
        <v>34.754706650000003</v>
      </c>
      <c r="R3144">
        <v>2.3065078999999999E-2</v>
      </c>
      <c r="S3144">
        <v>2.4791666700000001</v>
      </c>
      <c r="T3144" t="s">
        <v>1018</v>
      </c>
      <c r="U3144">
        <v>0.39293170100000002</v>
      </c>
    </row>
    <row r="3145" spans="1:21" x14ac:dyDescent="0.25">
      <c r="A3145" t="s">
        <v>22</v>
      </c>
      <c r="B3145" t="s">
        <v>923</v>
      </c>
      <c r="C3145">
        <v>15</v>
      </c>
      <c r="D3145" t="s">
        <v>23</v>
      </c>
      <c r="E3145" t="s">
        <v>95</v>
      </c>
      <c r="F3145" t="s">
        <v>103</v>
      </c>
      <c r="G3145" t="s">
        <v>103</v>
      </c>
      <c r="H3145" t="s">
        <v>103</v>
      </c>
      <c r="J3145">
        <v>0</v>
      </c>
      <c r="K3145">
        <v>6</v>
      </c>
      <c r="L3145">
        <v>98.291666669999998</v>
      </c>
      <c r="M3145">
        <v>30.315130790000001</v>
      </c>
      <c r="N3145">
        <v>5.0803484000000003E-2</v>
      </c>
      <c r="O3145">
        <v>0.42866070000000001</v>
      </c>
      <c r="P3145">
        <v>98.291666669999998</v>
      </c>
      <c r="Q3145">
        <v>30.315130790000001</v>
      </c>
      <c r="R3145">
        <v>5.0803484000000003E-2</v>
      </c>
      <c r="S3145">
        <v>0.42866070000000001</v>
      </c>
      <c r="T3145" t="s">
        <v>1018</v>
      </c>
      <c r="U3145">
        <v>0</v>
      </c>
    </row>
    <row r="3146" spans="1:21" x14ac:dyDescent="0.25">
      <c r="A3146" t="s">
        <v>22</v>
      </c>
      <c r="B3146" t="s">
        <v>923</v>
      </c>
      <c r="C3146">
        <v>15</v>
      </c>
      <c r="D3146" t="s">
        <v>23</v>
      </c>
      <c r="E3146" t="s">
        <v>95</v>
      </c>
      <c r="F3146" t="s">
        <v>103</v>
      </c>
      <c r="G3146" t="s">
        <v>103</v>
      </c>
      <c r="H3146" t="s">
        <v>103</v>
      </c>
      <c r="J3146">
        <v>0</v>
      </c>
      <c r="K3146">
        <v>6</v>
      </c>
      <c r="L3146">
        <v>98.291666669999998</v>
      </c>
      <c r="M3146">
        <v>30.315130790000001</v>
      </c>
      <c r="N3146">
        <v>5.0803484000000003E-2</v>
      </c>
      <c r="O3146">
        <v>0.42866070000000001</v>
      </c>
      <c r="P3146">
        <v>98.291666669999998</v>
      </c>
      <c r="Q3146">
        <v>30.315130790000001</v>
      </c>
      <c r="R3146">
        <v>5.0803484000000003E-2</v>
      </c>
      <c r="S3146">
        <v>0.42866070000000001</v>
      </c>
      <c r="T3146" t="s">
        <v>1018</v>
      </c>
      <c r="U3146">
        <v>0</v>
      </c>
    </row>
    <row r="3147" spans="1:21" x14ac:dyDescent="0.25">
      <c r="A3147" t="s">
        <v>22</v>
      </c>
      <c r="B3147" t="s">
        <v>923</v>
      </c>
      <c r="C3147">
        <v>15</v>
      </c>
      <c r="D3147" t="s">
        <v>23</v>
      </c>
      <c r="E3147" t="s">
        <v>95</v>
      </c>
      <c r="F3147" t="s">
        <v>103</v>
      </c>
      <c r="G3147" t="s">
        <v>103</v>
      </c>
      <c r="H3147" t="s">
        <v>103</v>
      </c>
      <c r="J3147">
        <v>0</v>
      </c>
      <c r="K3147">
        <v>6</v>
      </c>
      <c r="L3147">
        <v>98.291666669999998</v>
      </c>
      <c r="M3147">
        <v>30.315130790000001</v>
      </c>
      <c r="N3147">
        <v>5.0803484000000003E-2</v>
      </c>
      <c r="O3147">
        <v>0.42866070000000001</v>
      </c>
      <c r="P3147">
        <v>98.291666669999998</v>
      </c>
      <c r="Q3147">
        <v>30.315130790000001</v>
      </c>
      <c r="R3147">
        <v>5.0803484000000003E-2</v>
      </c>
      <c r="S3147">
        <v>0.42866070000000001</v>
      </c>
      <c r="T3147" t="s">
        <v>1018</v>
      </c>
      <c r="U3147">
        <v>0</v>
      </c>
    </row>
    <row r="3148" spans="1:21" x14ac:dyDescent="0.25">
      <c r="A3148" t="s">
        <v>22</v>
      </c>
      <c r="B3148" t="s">
        <v>923</v>
      </c>
      <c r="C3148">
        <v>15</v>
      </c>
      <c r="D3148" t="s">
        <v>23</v>
      </c>
      <c r="E3148" t="s">
        <v>95</v>
      </c>
      <c r="F3148" t="s">
        <v>103</v>
      </c>
      <c r="G3148" t="s">
        <v>103</v>
      </c>
      <c r="H3148" t="s">
        <v>103</v>
      </c>
      <c r="J3148">
        <v>0</v>
      </c>
      <c r="K3148">
        <v>6</v>
      </c>
      <c r="L3148">
        <v>98.291666669999998</v>
      </c>
      <c r="M3148">
        <v>30.315130790000001</v>
      </c>
      <c r="N3148">
        <v>5.0803484000000003E-2</v>
      </c>
      <c r="O3148">
        <v>0.42866070000000001</v>
      </c>
      <c r="P3148">
        <v>98.291666669999998</v>
      </c>
      <c r="Q3148">
        <v>30.315130790000001</v>
      </c>
      <c r="R3148">
        <v>5.0803484000000003E-2</v>
      </c>
      <c r="S3148">
        <v>0.42866070000000001</v>
      </c>
      <c r="T3148" t="s">
        <v>1018</v>
      </c>
      <c r="U3148">
        <v>0</v>
      </c>
    </row>
    <row r="3149" spans="1:21" x14ac:dyDescent="0.25">
      <c r="A3149" t="s">
        <v>22</v>
      </c>
      <c r="B3149" t="s">
        <v>923</v>
      </c>
      <c r="C3149">
        <v>15</v>
      </c>
      <c r="D3149" t="s">
        <v>23</v>
      </c>
      <c r="E3149" t="s">
        <v>95</v>
      </c>
      <c r="F3149" t="s">
        <v>103</v>
      </c>
      <c r="G3149" t="s">
        <v>103</v>
      </c>
      <c r="H3149" t="s">
        <v>103</v>
      </c>
      <c r="J3149">
        <v>0</v>
      </c>
      <c r="K3149">
        <v>6</v>
      </c>
      <c r="L3149">
        <v>98.291666669999998</v>
      </c>
      <c r="M3149">
        <v>30.315130790000001</v>
      </c>
      <c r="N3149">
        <v>5.0803484000000003E-2</v>
      </c>
      <c r="O3149">
        <v>0.42866070000000001</v>
      </c>
      <c r="P3149">
        <v>98.291666669999998</v>
      </c>
      <c r="Q3149">
        <v>30.315130790000001</v>
      </c>
      <c r="R3149">
        <v>5.0803484000000003E-2</v>
      </c>
      <c r="S3149">
        <v>0.42866070000000001</v>
      </c>
      <c r="T3149" t="s">
        <v>1018</v>
      </c>
      <c r="U3149">
        <v>0</v>
      </c>
    </row>
    <row r="3150" spans="1:21" x14ac:dyDescent="0.25">
      <c r="A3150" t="s">
        <v>22</v>
      </c>
      <c r="B3150" t="s">
        <v>923</v>
      </c>
      <c r="C3150">
        <v>15</v>
      </c>
      <c r="D3150" t="s">
        <v>23</v>
      </c>
      <c r="E3150" t="s">
        <v>95</v>
      </c>
      <c r="F3150" t="s">
        <v>103</v>
      </c>
      <c r="G3150" t="s">
        <v>103</v>
      </c>
      <c r="H3150" t="s">
        <v>103</v>
      </c>
      <c r="J3150">
        <v>0</v>
      </c>
      <c r="K3150">
        <v>6</v>
      </c>
      <c r="L3150">
        <v>98.291666669999998</v>
      </c>
      <c r="M3150">
        <v>30.315130790000001</v>
      </c>
      <c r="N3150">
        <v>5.0803484000000003E-2</v>
      </c>
      <c r="O3150">
        <v>0.42866070000000001</v>
      </c>
      <c r="P3150">
        <v>98.291666669999998</v>
      </c>
      <c r="Q3150">
        <v>30.315130790000001</v>
      </c>
      <c r="R3150">
        <v>5.0803484000000003E-2</v>
      </c>
      <c r="S3150">
        <v>0.42866070000000001</v>
      </c>
      <c r="T3150" t="s">
        <v>1018</v>
      </c>
      <c r="U3150">
        <v>0</v>
      </c>
    </row>
    <row r="3151" spans="1:21" x14ac:dyDescent="0.25">
      <c r="A3151" t="s">
        <v>22</v>
      </c>
      <c r="B3151" t="s">
        <v>923</v>
      </c>
      <c r="C3151">
        <v>16</v>
      </c>
      <c r="D3151" t="s">
        <v>23</v>
      </c>
      <c r="E3151" t="s">
        <v>95</v>
      </c>
      <c r="F3151" t="s">
        <v>103</v>
      </c>
      <c r="G3151" t="s">
        <v>103</v>
      </c>
      <c r="H3151" t="s">
        <v>248</v>
      </c>
      <c r="J3151">
        <v>0</v>
      </c>
      <c r="K3151">
        <v>4</v>
      </c>
      <c r="L3151">
        <v>98.291666669999998</v>
      </c>
      <c r="M3151">
        <v>30.315130790000001</v>
      </c>
      <c r="N3151">
        <v>5.0803484000000003E-2</v>
      </c>
      <c r="O3151">
        <v>0.42866070000000001</v>
      </c>
      <c r="P3151">
        <v>83.92307692</v>
      </c>
      <c r="Q3151">
        <v>44.319135699999997</v>
      </c>
      <c r="R3151">
        <v>5.9548609999999997E-3</v>
      </c>
      <c r="S3151">
        <v>0.18017928</v>
      </c>
      <c r="T3151" t="s">
        <v>1018</v>
      </c>
      <c r="U3151">
        <v>4.4848622999999997E-2</v>
      </c>
    </row>
    <row r="3152" spans="1:21" x14ac:dyDescent="0.25">
      <c r="A3152" t="s">
        <v>22</v>
      </c>
      <c r="B3152" t="s">
        <v>923</v>
      </c>
      <c r="C3152">
        <v>16</v>
      </c>
      <c r="D3152" t="s">
        <v>23</v>
      </c>
      <c r="E3152" t="s">
        <v>95</v>
      </c>
      <c r="F3152" t="s">
        <v>103</v>
      </c>
      <c r="G3152" t="s">
        <v>103</v>
      </c>
      <c r="H3152" t="s">
        <v>248</v>
      </c>
      <c r="J3152">
        <v>0</v>
      </c>
      <c r="K3152">
        <v>4</v>
      </c>
      <c r="L3152">
        <v>98.291666669999998</v>
      </c>
      <c r="M3152">
        <v>30.315130790000001</v>
      </c>
      <c r="N3152">
        <v>5.0803484000000003E-2</v>
      </c>
      <c r="O3152">
        <v>0.42866070000000001</v>
      </c>
      <c r="P3152">
        <v>83.92307692</v>
      </c>
      <c r="Q3152">
        <v>44.319135699999997</v>
      </c>
      <c r="R3152">
        <v>5.9548609999999997E-3</v>
      </c>
      <c r="S3152">
        <v>0.18017928</v>
      </c>
      <c r="T3152" t="s">
        <v>1018</v>
      </c>
      <c r="U3152">
        <v>4.4848622999999997E-2</v>
      </c>
    </row>
    <row r="3153" spans="1:21" x14ac:dyDescent="0.25">
      <c r="A3153" t="s">
        <v>22</v>
      </c>
      <c r="B3153" t="s">
        <v>923</v>
      </c>
      <c r="C3153">
        <v>16</v>
      </c>
      <c r="D3153" t="s">
        <v>23</v>
      </c>
      <c r="E3153" t="s">
        <v>95</v>
      </c>
      <c r="F3153" t="s">
        <v>103</v>
      </c>
      <c r="G3153" t="s">
        <v>103</v>
      </c>
      <c r="H3153" t="s">
        <v>248</v>
      </c>
      <c r="J3153">
        <v>0</v>
      </c>
      <c r="K3153">
        <v>4</v>
      </c>
      <c r="L3153">
        <v>98.291666669999998</v>
      </c>
      <c r="M3153">
        <v>30.315130790000001</v>
      </c>
      <c r="N3153">
        <v>5.0803484000000003E-2</v>
      </c>
      <c r="O3153">
        <v>0.42866070000000001</v>
      </c>
      <c r="P3153">
        <v>83.92307692</v>
      </c>
      <c r="Q3153">
        <v>44.319135699999997</v>
      </c>
      <c r="R3153">
        <v>5.9548609999999997E-3</v>
      </c>
      <c r="S3153">
        <v>0.18017928</v>
      </c>
      <c r="T3153" t="s">
        <v>1018</v>
      </c>
      <c r="U3153">
        <v>4.4848622999999997E-2</v>
      </c>
    </row>
    <row r="3154" spans="1:21" x14ac:dyDescent="0.25">
      <c r="A3154" t="s">
        <v>22</v>
      </c>
      <c r="B3154" t="s">
        <v>923</v>
      </c>
      <c r="C3154">
        <v>16</v>
      </c>
      <c r="D3154" t="s">
        <v>23</v>
      </c>
      <c r="E3154" t="s">
        <v>95</v>
      </c>
      <c r="F3154" t="s">
        <v>103</v>
      </c>
      <c r="G3154" t="s">
        <v>103</v>
      </c>
      <c r="H3154" t="s">
        <v>248</v>
      </c>
      <c r="J3154">
        <v>0</v>
      </c>
      <c r="K3154">
        <v>4</v>
      </c>
      <c r="L3154">
        <v>98.291666669999998</v>
      </c>
      <c r="M3154">
        <v>30.315130790000001</v>
      </c>
      <c r="N3154">
        <v>5.0803484000000003E-2</v>
      </c>
      <c r="O3154">
        <v>0.42866070000000001</v>
      </c>
      <c r="P3154">
        <v>83.92307692</v>
      </c>
      <c r="Q3154">
        <v>44.319135699999997</v>
      </c>
      <c r="R3154">
        <v>5.9548609999999997E-3</v>
      </c>
      <c r="S3154">
        <v>0.18017928</v>
      </c>
      <c r="T3154" t="s">
        <v>1018</v>
      </c>
      <c r="U3154">
        <v>4.4848622999999997E-2</v>
      </c>
    </row>
    <row r="3155" spans="1:21" x14ac:dyDescent="0.25">
      <c r="A3155" t="s">
        <v>22</v>
      </c>
      <c r="B3155" t="s">
        <v>924</v>
      </c>
      <c r="C3155">
        <v>15</v>
      </c>
      <c r="D3155" t="s">
        <v>23</v>
      </c>
      <c r="E3155" t="s">
        <v>95</v>
      </c>
      <c r="F3155" t="s">
        <v>111</v>
      </c>
      <c r="G3155" t="s">
        <v>121</v>
      </c>
      <c r="H3155" t="s">
        <v>112</v>
      </c>
      <c r="J3155">
        <v>1</v>
      </c>
      <c r="K3155">
        <v>1</v>
      </c>
      <c r="L3155">
        <v>94.97142857</v>
      </c>
      <c r="M3155">
        <v>24.31591813</v>
      </c>
      <c r="N3155">
        <v>0.122951111</v>
      </c>
      <c r="O3155">
        <v>0.39050790000000002</v>
      </c>
      <c r="P3155">
        <v>65.09375</v>
      </c>
      <c r="Q3155">
        <v>37.895352600000002</v>
      </c>
      <c r="R3155">
        <v>2.2882677779999998</v>
      </c>
      <c r="S3155">
        <v>2.2111774</v>
      </c>
      <c r="T3155" t="s">
        <v>1018</v>
      </c>
      <c r="U3155">
        <v>-2.1653166669999999</v>
      </c>
    </row>
    <row r="3156" spans="1:21" x14ac:dyDescent="0.25">
      <c r="A3156" t="s">
        <v>22</v>
      </c>
      <c r="B3156" t="s">
        <v>924</v>
      </c>
      <c r="C3156">
        <v>16</v>
      </c>
      <c r="D3156" t="s">
        <v>23</v>
      </c>
      <c r="E3156" t="s">
        <v>95</v>
      </c>
      <c r="F3156" t="s">
        <v>111</v>
      </c>
      <c r="G3156" t="s">
        <v>121</v>
      </c>
      <c r="H3156" t="s">
        <v>239</v>
      </c>
      <c r="J3156">
        <v>1</v>
      </c>
      <c r="K3156">
        <v>1</v>
      </c>
      <c r="L3156">
        <v>94.97142857</v>
      </c>
      <c r="M3156">
        <v>24.31591813</v>
      </c>
      <c r="N3156">
        <v>0.122951111</v>
      </c>
      <c r="O3156">
        <v>0.39050790000000002</v>
      </c>
      <c r="P3156">
        <v>100.45454549999999</v>
      </c>
      <c r="Q3156">
        <v>26.754810689999999</v>
      </c>
      <c r="R3156">
        <v>0.75829999999999997</v>
      </c>
      <c r="S3156">
        <v>0.40907861000000001</v>
      </c>
      <c r="T3156" t="s">
        <v>1018</v>
      </c>
      <c r="U3156">
        <v>-0.63534888899999997</v>
      </c>
    </row>
    <row r="3157" spans="1:21" x14ac:dyDescent="0.25">
      <c r="A3157" t="s">
        <v>22</v>
      </c>
      <c r="B3157" t="s">
        <v>924</v>
      </c>
      <c r="C3157">
        <v>17</v>
      </c>
      <c r="D3157" t="s">
        <v>23</v>
      </c>
      <c r="E3157" t="s">
        <v>95</v>
      </c>
      <c r="F3157" t="s">
        <v>111</v>
      </c>
      <c r="G3157" t="s">
        <v>121</v>
      </c>
      <c r="H3157" t="s">
        <v>248</v>
      </c>
      <c r="J3157">
        <v>1</v>
      </c>
      <c r="K3157">
        <v>5</v>
      </c>
      <c r="L3157">
        <v>94.97142857</v>
      </c>
      <c r="M3157">
        <v>24.31591813</v>
      </c>
      <c r="N3157">
        <v>0.122951111</v>
      </c>
      <c r="O3157">
        <v>0.39050790000000002</v>
      </c>
      <c r="P3157">
        <v>83.92307692</v>
      </c>
      <c r="Q3157">
        <v>44.319135699999997</v>
      </c>
      <c r="R3157">
        <v>5.9548609999999997E-3</v>
      </c>
      <c r="S3157">
        <v>0.18017928</v>
      </c>
      <c r="T3157" t="s">
        <v>1018</v>
      </c>
      <c r="U3157">
        <v>0.11699625</v>
      </c>
    </row>
    <row r="3158" spans="1:21" x14ac:dyDescent="0.25">
      <c r="A3158" t="s">
        <v>22</v>
      </c>
      <c r="B3158" t="s">
        <v>924</v>
      </c>
      <c r="C3158">
        <v>17</v>
      </c>
      <c r="D3158" t="s">
        <v>23</v>
      </c>
      <c r="E3158" t="s">
        <v>95</v>
      </c>
      <c r="F3158" t="s">
        <v>111</v>
      </c>
      <c r="G3158" t="s">
        <v>121</v>
      </c>
      <c r="H3158" t="s">
        <v>248</v>
      </c>
      <c r="J3158">
        <v>1</v>
      </c>
      <c r="K3158">
        <v>5</v>
      </c>
      <c r="L3158">
        <v>94.97142857</v>
      </c>
      <c r="M3158">
        <v>24.31591813</v>
      </c>
      <c r="N3158">
        <v>0.122951111</v>
      </c>
      <c r="O3158">
        <v>0.39050790000000002</v>
      </c>
      <c r="P3158">
        <v>83.92307692</v>
      </c>
      <c r="Q3158">
        <v>44.319135699999997</v>
      </c>
      <c r="R3158">
        <v>5.9548609999999997E-3</v>
      </c>
      <c r="S3158">
        <v>0.18017928</v>
      </c>
      <c r="T3158" t="s">
        <v>1018</v>
      </c>
      <c r="U3158">
        <v>0.11699625</v>
      </c>
    </row>
    <row r="3159" spans="1:21" x14ac:dyDescent="0.25">
      <c r="A3159" t="s">
        <v>22</v>
      </c>
      <c r="B3159" t="s">
        <v>924</v>
      </c>
      <c r="C3159">
        <v>17</v>
      </c>
      <c r="D3159" t="s">
        <v>23</v>
      </c>
      <c r="E3159" t="s">
        <v>95</v>
      </c>
      <c r="F3159" t="s">
        <v>111</v>
      </c>
      <c r="G3159" t="s">
        <v>121</v>
      </c>
      <c r="H3159" t="s">
        <v>248</v>
      </c>
      <c r="J3159">
        <v>1</v>
      </c>
      <c r="K3159">
        <v>5</v>
      </c>
      <c r="L3159">
        <v>94.97142857</v>
      </c>
      <c r="M3159">
        <v>24.31591813</v>
      </c>
      <c r="N3159">
        <v>0.122951111</v>
      </c>
      <c r="O3159">
        <v>0.39050790000000002</v>
      </c>
      <c r="P3159">
        <v>83.92307692</v>
      </c>
      <c r="Q3159">
        <v>44.319135699999997</v>
      </c>
      <c r="R3159">
        <v>5.9548609999999997E-3</v>
      </c>
      <c r="S3159">
        <v>0.18017928</v>
      </c>
      <c r="T3159" t="s">
        <v>1018</v>
      </c>
      <c r="U3159">
        <v>0.11699625</v>
      </c>
    </row>
    <row r="3160" spans="1:21" x14ac:dyDescent="0.25">
      <c r="A3160" t="s">
        <v>22</v>
      </c>
      <c r="B3160" t="s">
        <v>924</v>
      </c>
      <c r="C3160">
        <v>17</v>
      </c>
      <c r="D3160" t="s">
        <v>23</v>
      </c>
      <c r="E3160" t="s">
        <v>95</v>
      </c>
      <c r="F3160" t="s">
        <v>111</v>
      </c>
      <c r="G3160" t="s">
        <v>121</v>
      </c>
      <c r="H3160" t="s">
        <v>248</v>
      </c>
      <c r="J3160">
        <v>1</v>
      </c>
      <c r="K3160">
        <v>5</v>
      </c>
      <c r="L3160">
        <v>94.97142857</v>
      </c>
      <c r="M3160">
        <v>24.31591813</v>
      </c>
      <c r="N3160">
        <v>0.122951111</v>
      </c>
      <c r="O3160">
        <v>0.39050790000000002</v>
      </c>
      <c r="P3160">
        <v>83.92307692</v>
      </c>
      <c r="Q3160">
        <v>44.319135699999997</v>
      </c>
      <c r="R3160">
        <v>5.9548609999999997E-3</v>
      </c>
      <c r="S3160">
        <v>0.18017928</v>
      </c>
      <c r="T3160" t="s">
        <v>1018</v>
      </c>
      <c r="U3160">
        <v>0.11699625</v>
      </c>
    </row>
    <row r="3161" spans="1:21" x14ac:dyDescent="0.25">
      <c r="A3161" t="s">
        <v>22</v>
      </c>
      <c r="B3161" t="s">
        <v>924</v>
      </c>
      <c r="C3161">
        <v>17</v>
      </c>
      <c r="D3161" t="s">
        <v>23</v>
      </c>
      <c r="E3161" t="s">
        <v>95</v>
      </c>
      <c r="F3161" t="s">
        <v>111</v>
      </c>
      <c r="G3161" t="s">
        <v>121</v>
      </c>
      <c r="H3161" t="s">
        <v>248</v>
      </c>
      <c r="J3161">
        <v>1</v>
      </c>
      <c r="K3161">
        <v>5</v>
      </c>
      <c r="L3161">
        <v>94.97142857</v>
      </c>
      <c r="M3161">
        <v>24.31591813</v>
      </c>
      <c r="N3161">
        <v>0.122951111</v>
      </c>
      <c r="O3161">
        <v>0.39050790000000002</v>
      </c>
      <c r="P3161">
        <v>83.92307692</v>
      </c>
      <c r="Q3161">
        <v>44.319135699999997</v>
      </c>
      <c r="R3161">
        <v>5.9548609999999997E-3</v>
      </c>
      <c r="S3161">
        <v>0.18017928</v>
      </c>
      <c r="T3161" t="s">
        <v>1018</v>
      </c>
      <c r="U3161">
        <v>0.11699625</v>
      </c>
    </row>
    <row r="3162" spans="1:21" x14ac:dyDescent="0.25">
      <c r="A3162" t="s">
        <v>22</v>
      </c>
      <c r="B3162" t="s">
        <v>925</v>
      </c>
      <c r="C3162">
        <v>15</v>
      </c>
      <c r="D3162" t="s">
        <v>23</v>
      </c>
      <c r="E3162" t="s">
        <v>95</v>
      </c>
      <c r="F3162" t="s">
        <v>112</v>
      </c>
      <c r="G3162" t="s">
        <v>103</v>
      </c>
      <c r="H3162" t="s">
        <v>103</v>
      </c>
      <c r="J3162">
        <v>0</v>
      </c>
      <c r="K3162">
        <v>3</v>
      </c>
      <c r="L3162">
        <v>65.09375</v>
      </c>
      <c r="M3162">
        <v>37.895352600000002</v>
      </c>
      <c r="N3162">
        <v>2.2882677779999998</v>
      </c>
      <c r="O3162">
        <v>2.2111774</v>
      </c>
      <c r="P3162">
        <v>98.291666669999998</v>
      </c>
      <c r="Q3162">
        <v>30.315130790000001</v>
      </c>
      <c r="R3162">
        <v>5.0803484000000003E-2</v>
      </c>
      <c r="S3162">
        <v>0.42866070000000001</v>
      </c>
      <c r="T3162" t="s">
        <v>1018</v>
      </c>
      <c r="U3162">
        <v>2.237464294</v>
      </c>
    </row>
    <row r="3163" spans="1:21" x14ac:dyDescent="0.25">
      <c r="A3163" t="s">
        <v>22</v>
      </c>
      <c r="B3163" t="s">
        <v>925</v>
      </c>
      <c r="C3163">
        <v>15</v>
      </c>
      <c r="D3163" t="s">
        <v>23</v>
      </c>
      <c r="E3163" t="s">
        <v>95</v>
      </c>
      <c r="F3163" t="s">
        <v>112</v>
      </c>
      <c r="G3163" t="s">
        <v>103</v>
      </c>
      <c r="H3163" t="s">
        <v>103</v>
      </c>
      <c r="J3163">
        <v>0</v>
      </c>
      <c r="K3163">
        <v>3</v>
      </c>
      <c r="L3163">
        <v>65.09375</v>
      </c>
      <c r="M3163">
        <v>37.895352600000002</v>
      </c>
      <c r="N3163">
        <v>2.2882677779999998</v>
      </c>
      <c r="O3163">
        <v>2.2111774</v>
      </c>
      <c r="P3163">
        <v>98.291666669999998</v>
      </c>
      <c r="Q3163">
        <v>30.315130790000001</v>
      </c>
      <c r="R3163">
        <v>5.0803484000000003E-2</v>
      </c>
      <c r="S3163">
        <v>0.42866070000000001</v>
      </c>
      <c r="T3163" t="s">
        <v>1018</v>
      </c>
      <c r="U3163">
        <v>2.237464294</v>
      </c>
    </row>
    <row r="3164" spans="1:21" x14ac:dyDescent="0.25">
      <c r="A3164" t="s">
        <v>22</v>
      </c>
      <c r="B3164" t="s">
        <v>925</v>
      </c>
      <c r="C3164">
        <v>15</v>
      </c>
      <c r="D3164" t="s">
        <v>23</v>
      </c>
      <c r="E3164" t="s">
        <v>95</v>
      </c>
      <c r="F3164" t="s">
        <v>112</v>
      </c>
      <c r="G3164" t="s">
        <v>103</v>
      </c>
      <c r="H3164" t="s">
        <v>103</v>
      </c>
      <c r="J3164">
        <v>0</v>
      </c>
      <c r="K3164">
        <v>3</v>
      </c>
      <c r="L3164">
        <v>65.09375</v>
      </c>
      <c r="M3164">
        <v>37.895352600000002</v>
      </c>
      <c r="N3164">
        <v>2.2882677779999998</v>
      </c>
      <c r="O3164">
        <v>2.2111774</v>
      </c>
      <c r="P3164">
        <v>98.291666669999998</v>
      </c>
      <c r="Q3164">
        <v>30.315130790000001</v>
      </c>
      <c r="R3164">
        <v>5.0803484000000003E-2</v>
      </c>
      <c r="S3164">
        <v>0.42866070000000001</v>
      </c>
      <c r="T3164" t="s">
        <v>1018</v>
      </c>
      <c r="U3164">
        <v>2.237464294</v>
      </c>
    </row>
    <row r="3165" spans="1:21" x14ac:dyDescent="0.25">
      <c r="A3165" t="s">
        <v>22</v>
      </c>
      <c r="B3165" t="s">
        <v>925</v>
      </c>
      <c r="C3165">
        <v>16</v>
      </c>
      <c r="D3165" t="s">
        <v>23</v>
      </c>
      <c r="E3165" t="s">
        <v>95</v>
      </c>
      <c r="F3165" t="s">
        <v>112</v>
      </c>
      <c r="G3165" t="s">
        <v>103</v>
      </c>
      <c r="H3165" t="s">
        <v>113</v>
      </c>
      <c r="J3165">
        <v>0</v>
      </c>
      <c r="K3165">
        <v>2</v>
      </c>
      <c r="L3165">
        <v>65.09375</v>
      </c>
      <c r="M3165">
        <v>37.895352600000002</v>
      </c>
      <c r="N3165">
        <v>2.2882677779999998</v>
      </c>
      <c r="O3165">
        <v>2.2111774</v>
      </c>
      <c r="P3165">
        <v>83.757575759999995</v>
      </c>
      <c r="Q3165">
        <v>22.60997987</v>
      </c>
      <c r="R3165">
        <v>0.72884000000000004</v>
      </c>
      <c r="S3165">
        <v>0.21301339999999999</v>
      </c>
      <c r="T3165" t="s">
        <v>1018</v>
      </c>
      <c r="U3165">
        <v>1.5594277780000001</v>
      </c>
    </row>
    <row r="3166" spans="1:21" x14ac:dyDescent="0.25">
      <c r="A3166" t="s">
        <v>22</v>
      </c>
      <c r="B3166" t="s">
        <v>925</v>
      </c>
      <c r="C3166">
        <v>16</v>
      </c>
      <c r="D3166" t="s">
        <v>23</v>
      </c>
      <c r="E3166" t="s">
        <v>95</v>
      </c>
      <c r="F3166" t="s">
        <v>112</v>
      </c>
      <c r="G3166" t="s">
        <v>103</v>
      </c>
      <c r="H3166" t="s">
        <v>113</v>
      </c>
      <c r="J3166">
        <v>0</v>
      </c>
      <c r="K3166">
        <v>2</v>
      </c>
      <c r="L3166">
        <v>65.09375</v>
      </c>
      <c r="M3166">
        <v>37.895352600000002</v>
      </c>
      <c r="N3166">
        <v>2.2882677779999998</v>
      </c>
      <c r="O3166">
        <v>2.2111774</v>
      </c>
      <c r="P3166">
        <v>83.757575759999995</v>
      </c>
      <c r="Q3166">
        <v>22.60997987</v>
      </c>
      <c r="R3166">
        <v>0.72884000000000004</v>
      </c>
      <c r="S3166">
        <v>0.21301339999999999</v>
      </c>
      <c r="T3166" t="s">
        <v>1018</v>
      </c>
      <c r="U3166">
        <v>1.5594277780000001</v>
      </c>
    </row>
    <row r="3167" spans="1:21" x14ac:dyDescent="0.25">
      <c r="A3167" t="s">
        <v>22</v>
      </c>
      <c r="B3167" t="s">
        <v>925</v>
      </c>
      <c r="C3167">
        <v>17</v>
      </c>
      <c r="D3167" t="s">
        <v>23</v>
      </c>
      <c r="E3167" t="s">
        <v>95</v>
      </c>
      <c r="F3167" t="s">
        <v>112</v>
      </c>
      <c r="G3167" t="s">
        <v>103</v>
      </c>
      <c r="H3167" t="s">
        <v>247</v>
      </c>
      <c r="J3167">
        <v>0</v>
      </c>
      <c r="K3167">
        <v>1</v>
      </c>
      <c r="L3167">
        <v>65.09375</v>
      </c>
      <c r="M3167">
        <v>37.895352600000002</v>
      </c>
      <c r="N3167">
        <v>2.2882677779999998</v>
      </c>
      <c r="O3167">
        <v>2.2111774</v>
      </c>
      <c r="P3167">
        <v>65.791044779999993</v>
      </c>
      <c r="Q3167">
        <v>22.94519201</v>
      </c>
      <c r="R3167">
        <v>8.1320334999999994E-2</v>
      </c>
      <c r="S3167">
        <v>0.17285655</v>
      </c>
      <c r="T3167" t="s">
        <v>1018</v>
      </c>
      <c r="U3167">
        <v>2.2069474429999998</v>
      </c>
    </row>
    <row r="3168" spans="1:21" x14ac:dyDescent="0.25">
      <c r="A3168" t="s">
        <v>22</v>
      </c>
      <c r="B3168" t="s">
        <v>925</v>
      </c>
      <c r="C3168">
        <v>18</v>
      </c>
      <c r="D3168" t="s">
        <v>23</v>
      </c>
      <c r="E3168" t="s">
        <v>95</v>
      </c>
      <c r="F3168" t="s">
        <v>112</v>
      </c>
      <c r="G3168" t="s">
        <v>103</v>
      </c>
      <c r="H3168" t="s">
        <v>248</v>
      </c>
      <c r="J3168">
        <v>0</v>
      </c>
      <c r="K3168">
        <v>3</v>
      </c>
      <c r="L3168">
        <v>65.09375</v>
      </c>
      <c r="M3168">
        <v>37.895352600000002</v>
      </c>
      <c r="N3168">
        <v>2.2882677779999998</v>
      </c>
      <c r="O3168">
        <v>2.2111774</v>
      </c>
      <c r="P3168">
        <v>83.92307692</v>
      </c>
      <c r="Q3168">
        <v>44.319135699999997</v>
      </c>
      <c r="R3168">
        <v>5.9548609999999997E-3</v>
      </c>
      <c r="S3168">
        <v>0.18017928</v>
      </c>
      <c r="T3168" t="s">
        <v>1018</v>
      </c>
      <c r="U3168">
        <v>2.2823129170000001</v>
      </c>
    </row>
    <row r="3169" spans="1:21" x14ac:dyDescent="0.25">
      <c r="A3169" t="s">
        <v>22</v>
      </c>
      <c r="B3169" t="s">
        <v>925</v>
      </c>
      <c r="C3169">
        <v>18</v>
      </c>
      <c r="D3169" t="s">
        <v>23</v>
      </c>
      <c r="E3169" t="s">
        <v>95</v>
      </c>
      <c r="F3169" t="s">
        <v>112</v>
      </c>
      <c r="G3169" t="s">
        <v>103</v>
      </c>
      <c r="H3169" t="s">
        <v>248</v>
      </c>
      <c r="J3169">
        <v>0</v>
      </c>
      <c r="K3169">
        <v>3</v>
      </c>
      <c r="L3169">
        <v>65.09375</v>
      </c>
      <c r="M3169">
        <v>37.895352600000002</v>
      </c>
      <c r="N3169">
        <v>2.2882677779999998</v>
      </c>
      <c r="O3169">
        <v>2.2111774</v>
      </c>
      <c r="P3169">
        <v>83.92307692</v>
      </c>
      <c r="Q3169">
        <v>44.319135699999997</v>
      </c>
      <c r="R3169">
        <v>5.9548609999999997E-3</v>
      </c>
      <c r="S3169">
        <v>0.18017928</v>
      </c>
      <c r="T3169" t="s">
        <v>1018</v>
      </c>
      <c r="U3169">
        <v>2.2823129170000001</v>
      </c>
    </row>
    <row r="3170" spans="1:21" x14ac:dyDescent="0.25">
      <c r="A3170" t="s">
        <v>22</v>
      </c>
      <c r="B3170" t="s">
        <v>925</v>
      </c>
      <c r="C3170">
        <v>18</v>
      </c>
      <c r="D3170" t="s">
        <v>23</v>
      </c>
      <c r="E3170" t="s">
        <v>95</v>
      </c>
      <c r="F3170" t="s">
        <v>112</v>
      </c>
      <c r="G3170" t="s">
        <v>103</v>
      </c>
      <c r="H3170" t="s">
        <v>248</v>
      </c>
      <c r="J3170">
        <v>0</v>
      </c>
      <c r="K3170">
        <v>3</v>
      </c>
      <c r="L3170">
        <v>65.09375</v>
      </c>
      <c r="M3170">
        <v>37.895352600000002</v>
      </c>
      <c r="N3170">
        <v>2.2882677779999998</v>
      </c>
      <c r="O3170">
        <v>2.2111774</v>
      </c>
      <c r="P3170">
        <v>83.92307692</v>
      </c>
      <c r="Q3170">
        <v>44.319135699999997</v>
      </c>
      <c r="R3170">
        <v>5.9548609999999997E-3</v>
      </c>
      <c r="S3170">
        <v>0.18017928</v>
      </c>
      <c r="T3170" t="s">
        <v>1018</v>
      </c>
      <c r="U3170">
        <v>2.2823129170000001</v>
      </c>
    </row>
    <row r="3171" spans="1:21" x14ac:dyDescent="0.25">
      <c r="A3171" t="s">
        <v>24</v>
      </c>
      <c r="B3171" t="s">
        <v>926</v>
      </c>
      <c r="C3171">
        <v>15</v>
      </c>
      <c r="D3171" t="s">
        <v>25</v>
      </c>
      <c r="E3171" t="s">
        <v>95</v>
      </c>
      <c r="F3171" t="s">
        <v>105</v>
      </c>
      <c r="G3171" t="s">
        <v>121</v>
      </c>
      <c r="H3171" t="s">
        <v>111</v>
      </c>
      <c r="J3171">
        <v>0</v>
      </c>
      <c r="K3171">
        <v>1</v>
      </c>
      <c r="L3171">
        <v>67.5</v>
      </c>
      <c r="M3171">
        <v>47.937235809999997</v>
      </c>
      <c r="N3171">
        <v>0.41599678000000001</v>
      </c>
      <c r="O3171">
        <v>2.0950346999999998</v>
      </c>
      <c r="P3171">
        <v>94.97142857</v>
      </c>
      <c r="Q3171">
        <v>24.31591813</v>
      </c>
      <c r="R3171">
        <v>0.122951111</v>
      </c>
      <c r="S3171">
        <v>0.39050790000000002</v>
      </c>
      <c r="T3171" t="s">
        <v>1018</v>
      </c>
      <c r="U3171">
        <v>0.29304566900000001</v>
      </c>
    </row>
    <row r="3172" spans="1:21" x14ac:dyDescent="0.25">
      <c r="A3172" t="s">
        <v>24</v>
      </c>
      <c r="B3172" t="s">
        <v>926</v>
      </c>
      <c r="C3172">
        <v>16</v>
      </c>
      <c r="D3172" t="s">
        <v>25</v>
      </c>
      <c r="E3172" t="s">
        <v>95</v>
      </c>
      <c r="F3172" t="s">
        <v>105</v>
      </c>
      <c r="G3172" t="s">
        <v>121</v>
      </c>
      <c r="H3172" t="s">
        <v>104</v>
      </c>
      <c r="J3172">
        <v>0</v>
      </c>
      <c r="K3172">
        <v>1</v>
      </c>
      <c r="L3172">
        <v>67.5</v>
      </c>
      <c r="M3172">
        <v>47.937235809999997</v>
      </c>
      <c r="N3172">
        <v>0.41599678000000001</v>
      </c>
      <c r="O3172">
        <v>2.0950346999999998</v>
      </c>
      <c r="P3172">
        <v>113.9375</v>
      </c>
      <c r="Q3172">
        <v>33.375507550000002</v>
      </c>
      <c r="R3172">
        <v>2.4262999999999999</v>
      </c>
      <c r="S3172">
        <v>0.40692159999999999</v>
      </c>
      <c r="T3172" t="s">
        <v>1018</v>
      </c>
      <c r="U3172">
        <v>-2.0103032199999999</v>
      </c>
    </row>
    <row r="3173" spans="1:21" x14ac:dyDescent="0.25">
      <c r="A3173" t="s">
        <v>24</v>
      </c>
      <c r="B3173" t="s">
        <v>927</v>
      </c>
      <c r="C3173">
        <v>15</v>
      </c>
      <c r="D3173" t="s">
        <v>25</v>
      </c>
      <c r="E3173" t="s">
        <v>95</v>
      </c>
      <c r="F3173" t="s">
        <v>112</v>
      </c>
      <c r="G3173" t="s">
        <v>112</v>
      </c>
      <c r="H3173" t="s">
        <v>112</v>
      </c>
      <c r="J3173">
        <v>0</v>
      </c>
      <c r="K3173">
        <v>1</v>
      </c>
      <c r="L3173">
        <v>65.09375</v>
      </c>
      <c r="M3173">
        <v>37.895352600000002</v>
      </c>
      <c r="N3173">
        <v>2.2882677779999998</v>
      </c>
      <c r="O3173">
        <v>2.2111774</v>
      </c>
      <c r="P3173">
        <v>65.09375</v>
      </c>
      <c r="Q3173">
        <v>37.895352600000002</v>
      </c>
      <c r="R3173">
        <v>2.2882677779999998</v>
      </c>
      <c r="S3173">
        <v>2.2111774</v>
      </c>
      <c r="T3173" t="s">
        <v>1018</v>
      </c>
      <c r="U3173">
        <v>0</v>
      </c>
    </row>
    <row r="3174" spans="1:21" x14ac:dyDescent="0.25">
      <c r="A3174" t="s">
        <v>26</v>
      </c>
      <c r="B3174" t="s">
        <v>928</v>
      </c>
      <c r="C3174">
        <v>15</v>
      </c>
      <c r="D3174" t="s">
        <v>27</v>
      </c>
      <c r="E3174" t="s">
        <v>95</v>
      </c>
      <c r="F3174" t="s">
        <v>105</v>
      </c>
      <c r="G3174" t="s">
        <v>102</v>
      </c>
      <c r="H3174" t="s">
        <v>102</v>
      </c>
      <c r="J3174">
        <v>0</v>
      </c>
      <c r="K3174">
        <v>1</v>
      </c>
      <c r="L3174">
        <v>67.5</v>
      </c>
      <c r="M3174">
        <v>47.937235809999997</v>
      </c>
      <c r="N3174">
        <v>0.41599678000000001</v>
      </c>
      <c r="O3174">
        <v>2.0950346999999998</v>
      </c>
      <c r="P3174">
        <v>84.740740740000007</v>
      </c>
      <c r="Q3174">
        <v>29.167014049999999</v>
      </c>
      <c r="R3174">
        <v>1.1169849999999999</v>
      </c>
      <c r="S3174">
        <v>1.1571499000000001</v>
      </c>
      <c r="T3174" t="s">
        <v>1018</v>
      </c>
      <c r="U3174">
        <v>-0.70098822000000005</v>
      </c>
    </row>
    <row r="3175" spans="1:21" x14ac:dyDescent="0.25">
      <c r="A3175" t="s">
        <v>26</v>
      </c>
      <c r="B3175" t="s">
        <v>928</v>
      </c>
      <c r="C3175">
        <v>16</v>
      </c>
      <c r="D3175" t="s">
        <v>27</v>
      </c>
      <c r="E3175" t="s">
        <v>95</v>
      </c>
      <c r="F3175" t="s">
        <v>105</v>
      </c>
      <c r="G3175" t="s">
        <v>102</v>
      </c>
      <c r="H3175" t="s">
        <v>111</v>
      </c>
      <c r="J3175">
        <v>0</v>
      </c>
      <c r="K3175">
        <v>1</v>
      </c>
      <c r="L3175">
        <v>67.5</v>
      </c>
      <c r="M3175">
        <v>47.937235809999997</v>
      </c>
      <c r="N3175">
        <v>0.41599678000000001</v>
      </c>
      <c r="O3175">
        <v>2.0950346999999998</v>
      </c>
      <c r="P3175">
        <v>94.97142857</v>
      </c>
      <c r="Q3175">
        <v>24.31591813</v>
      </c>
      <c r="R3175">
        <v>0.122951111</v>
      </c>
      <c r="S3175">
        <v>0.39050790000000002</v>
      </c>
      <c r="T3175" t="s">
        <v>1018</v>
      </c>
      <c r="U3175">
        <v>0.29304566900000001</v>
      </c>
    </row>
    <row r="3176" spans="1:21" x14ac:dyDescent="0.25">
      <c r="A3176" t="s">
        <v>26</v>
      </c>
      <c r="B3176" t="s">
        <v>928</v>
      </c>
      <c r="C3176">
        <v>17</v>
      </c>
      <c r="D3176" t="s">
        <v>27</v>
      </c>
      <c r="E3176" t="s">
        <v>95</v>
      </c>
      <c r="F3176" t="s">
        <v>105</v>
      </c>
      <c r="G3176" t="s">
        <v>102</v>
      </c>
      <c r="H3176" t="s">
        <v>242</v>
      </c>
      <c r="J3176">
        <v>0</v>
      </c>
      <c r="K3176">
        <v>1</v>
      </c>
      <c r="L3176">
        <v>67.5</v>
      </c>
      <c r="M3176">
        <v>47.937235809999997</v>
      </c>
      <c r="N3176">
        <v>0.41599678000000001</v>
      </c>
      <c r="O3176">
        <v>2.0950346999999998</v>
      </c>
      <c r="P3176">
        <v>139.375</v>
      </c>
      <c r="Q3176">
        <v>23.713465920000001</v>
      </c>
      <c r="R3176" t="s">
        <v>114</v>
      </c>
      <c r="S3176" t="s">
        <v>114</v>
      </c>
      <c r="T3176" t="s">
        <v>1018</v>
      </c>
      <c r="U3176" t="s">
        <v>114</v>
      </c>
    </row>
    <row r="3177" spans="1:21" x14ac:dyDescent="0.25">
      <c r="A3177" t="s">
        <v>26</v>
      </c>
      <c r="B3177" t="s">
        <v>929</v>
      </c>
      <c r="C3177">
        <v>15</v>
      </c>
      <c r="D3177" t="s">
        <v>27</v>
      </c>
      <c r="E3177" t="s">
        <v>95</v>
      </c>
      <c r="F3177" t="s">
        <v>110</v>
      </c>
      <c r="G3177" t="s">
        <v>111</v>
      </c>
      <c r="H3177" t="s">
        <v>111</v>
      </c>
      <c r="J3177">
        <v>0</v>
      </c>
      <c r="K3177">
        <v>1</v>
      </c>
      <c r="L3177">
        <v>73.260869569999997</v>
      </c>
      <c r="M3177">
        <v>34.453830549999999</v>
      </c>
      <c r="N3177">
        <v>1.058333333</v>
      </c>
      <c r="O3177">
        <v>0.90897070000000002</v>
      </c>
      <c r="P3177">
        <v>94.97142857</v>
      </c>
      <c r="Q3177">
        <v>24.31591813</v>
      </c>
      <c r="R3177">
        <v>0.122951111</v>
      </c>
      <c r="S3177">
        <v>0.39050790000000002</v>
      </c>
      <c r="T3177" t="s">
        <v>1018</v>
      </c>
      <c r="U3177">
        <v>0.93538222199999999</v>
      </c>
    </row>
    <row r="3178" spans="1:21" x14ac:dyDescent="0.25">
      <c r="A3178" t="s">
        <v>26</v>
      </c>
      <c r="B3178" t="s">
        <v>929</v>
      </c>
      <c r="C3178">
        <v>16</v>
      </c>
      <c r="D3178" t="s">
        <v>27</v>
      </c>
      <c r="E3178" t="s">
        <v>95</v>
      </c>
      <c r="F3178" t="s">
        <v>110</v>
      </c>
      <c r="G3178" t="s">
        <v>111</v>
      </c>
      <c r="H3178" t="s">
        <v>242</v>
      </c>
      <c r="J3178">
        <v>0</v>
      </c>
      <c r="K3178">
        <v>8</v>
      </c>
      <c r="L3178">
        <v>73.260869569999997</v>
      </c>
      <c r="M3178">
        <v>34.453830549999999</v>
      </c>
      <c r="N3178">
        <v>1.058333333</v>
      </c>
      <c r="O3178">
        <v>0.90897070000000002</v>
      </c>
      <c r="P3178">
        <v>139.375</v>
      </c>
      <c r="Q3178">
        <v>23.713465920000001</v>
      </c>
      <c r="R3178" t="s">
        <v>114</v>
      </c>
      <c r="S3178" t="s">
        <v>114</v>
      </c>
      <c r="T3178" t="s">
        <v>1018</v>
      </c>
      <c r="U3178" t="s">
        <v>114</v>
      </c>
    </row>
    <row r="3179" spans="1:21" x14ac:dyDescent="0.25">
      <c r="A3179" t="s">
        <v>26</v>
      </c>
      <c r="B3179" t="s">
        <v>929</v>
      </c>
      <c r="C3179">
        <v>16</v>
      </c>
      <c r="D3179" t="s">
        <v>27</v>
      </c>
      <c r="E3179" t="s">
        <v>95</v>
      </c>
      <c r="F3179" t="s">
        <v>110</v>
      </c>
      <c r="G3179" t="s">
        <v>111</v>
      </c>
      <c r="H3179" t="s">
        <v>242</v>
      </c>
      <c r="J3179">
        <v>0</v>
      </c>
      <c r="K3179">
        <v>8</v>
      </c>
      <c r="L3179">
        <v>73.260869569999997</v>
      </c>
      <c r="M3179">
        <v>34.453830549999999</v>
      </c>
      <c r="N3179">
        <v>1.058333333</v>
      </c>
      <c r="O3179">
        <v>0.90897070000000002</v>
      </c>
      <c r="P3179">
        <v>139.375</v>
      </c>
      <c r="Q3179">
        <v>23.713465920000001</v>
      </c>
      <c r="R3179" t="s">
        <v>114</v>
      </c>
      <c r="S3179" t="s">
        <v>114</v>
      </c>
      <c r="T3179" t="s">
        <v>1018</v>
      </c>
      <c r="U3179" t="s">
        <v>114</v>
      </c>
    </row>
    <row r="3180" spans="1:21" x14ac:dyDescent="0.25">
      <c r="A3180" t="s">
        <v>26</v>
      </c>
      <c r="B3180" t="s">
        <v>929</v>
      </c>
      <c r="C3180">
        <v>16</v>
      </c>
      <c r="D3180" t="s">
        <v>27</v>
      </c>
      <c r="E3180" t="s">
        <v>95</v>
      </c>
      <c r="F3180" t="s">
        <v>110</v>
      </c>
      <c r="G3180" t="s">
        <v>111</v>
      </c>
      <c r="H3180" t="s">
        <v>242</v>
      </c>
      <c r="J3180">
        <v>0</v>
      </c>
      <c r="K3180">
        <v>8</v>
      </c>
      <c r="L3180">
        <v>73.260869569999997</v>
      </c>
      <c r="M3180">
        <v>34.453830549999999</v>
      </c>
      <c r="N3180">
        <v>1.058333333</v>
      </c>
      <c r="O3180">
        <v>0.90897070000000002</v>
      </c>
      <c r="P3180">
        <v>139.375</v>
      </c>
      <c r="Q3180">
        <v>23.713465920000001</v>
      </c>
      <c r="R3180" t="s">
        <v>114</v>
      </c>
      <c r="S3180" t="s">
        <v>114</v>
      </c>
      <c r="T3180" t="s">
        <v>1018</v>
      </c>
      <c r="U3180" t="s">
        <v>114</v>
      </c>
    </row>
    <row r="3181" spans="1:21" x14ac:dyDescent="0.25">
      <c r="A3181" t="s">
        <v>26</v>
      </c>
      <c r="B3181" t="s">
        <v>929</v>
      </c>
      <c r="C3181">
        <v>16</v>
      </c>
      <c r="D3181" t="s">
        <v>27</v>
      </c>
      <c r="E3181" t="s">
        <v>95</v>
      </c>
      <c r="F3181" t="s">
        <v>110</v>
      </c>
      <c r="G3181" t="s">
        <v>111</v>
      </c>
      <c r="H3181" t="s">
        <v>242</v>
      </c>
      <c r="J3181">
        <v>0</v>
      </c>
      <c r="K3181">
        <v>8</v>
      </c>
      <c r="L3181">
        <v>73.260869569999997</v>
      </c>
      <c r="M3181">
        <v>34.453830549999999</v>
      </c>
      <c r="N3181">
        <v>1.058333333</v>
      </c>
      <c r="O3181">
        <v>0.90897070000000002</v>
      </c>
      <c r="P3181">
        <v>139.375</v>
      </c>
      <c r="Q3181">
        <v>23.713465920000001</v>
      </c>
      <c r="R3181" t="s">
        <v>114</v>
      </c>
      <c r="S3181" t="s">
        <v>114</v>
      </c>
      <c r="T3181" t="s">
        <v>1018</v>
      </c>
      <c r="U3181" t="s">
        <v>114</v>
      </c>
    </row>
    <row r="3182" spans="1:21" x14ac:dyDescent="0.25">
      <c r="A3182" t="s">
        <v>26</v>
      </c>
      <c r="B3182" t="s">
        <v>929</v>
      </c>
      <c r="C3182">
        <v>16</v>
      </c>
      <c r="D3182" t="s">
        <v>27</v>
      </c>
      <c r="E3182" t="s">
        <v>95</v>
      </c>
      <c r="F3182" t="s">
        <v>110</v>
      </c>
      <c r="G3182" t="s">
        <v>111</v>
      </c>
      <c r="H3182" t="s">
        <v>242</v>
      </c>
      <c r="J3182">
        <v>0</v>
      </c>
      <c r="K3182">
        <v>8</v>
      </c>
      <c r="L3182">
        <v>73.260869569999997</v>
      </c>
      <c r="M3182">
        <v>34.453830549999999</v>
      </c>
      <c r="N3182">
        <v>1.058333333</v>
      </c>
      <c r="O3182">
        <v>0.90897070000000002</v>
      </c>
      <c r="P3182">
        <v>139.375</v>
      </c>
      <c r="Q3182">
        <v>23.713465920000001</v>
      </c>
      <c r="R3182" t="s">
        <v>114</v>
      </c>
      <c r="S3182" t="s">
        <v>114</v>
      </c>
      <c r="T3182" t="s">
        <v>1018</v>
      </c>
      <c r="U3182" t="s">
        <v>114</v>
      </c>
    </row>
    <row r="3183" spans="1:21" x14ac:dyDescent="0.25">
      <c r="A3183" t="s">
        <v>26</v>
      </c>
      <c r="B3183" t="s">
        <v>929</v>
      </c>
      <c r="C3183">
        <v>16</v>
      </c>
      <c r="D3183" t="s">
        <v>27</v>
      </c>
      <c r="E3183" t="s">
        <v>95</v>
      </c>
      <c r="F3183" t="s">
        <v>110</v>
      </c>
      <c r="G3183" t="s">
        <v>111</v>
      </c>
      <c r="H3183" t="s">
        <v>242</v>
      </c>
      <c r="J3183">
        <v>0</v>
      </c>
      <c r="K3183">
        <v>8</v>
      </c>
      <c r="L3183">
        <v>73.260869569999997</v>
      </c>
      <c r="M3183">
        <v>34.453830549999999</v>
      </c>
      <c r="N3183">
        <v>1.058333333</v>
      </c>
      <c r="O3183">
        <v>0.90897070000000002</v>
      </c>
      <c r="P3183">
        <v>139.375</v>
      </c>
      <c r="Q3183">
        <v>23.713465920000001</v>
      </c>
      <c r="R3183" t="s">
        <v>114</v>
      </c>
      <c r="S3183" t="s">
        <v>114</v>
      </c>
      <c r="T3183" t="s">
        <v>1018</v>
      </c>
      <c r="U3183" t="s">
        <v>114</v>
      </c>
    </row>
    <row r="3184" spans="1:21" x14ac:dyDescent="0.25">
      <c r="A3184" t="s">
        <v>26</v>
      </c>
      <c r="B3184" t="s">
        <v>929</v>
      </c>
      <c r="C3184">
        <v>16</v>
      </c>
      <c r="D3184" t="s">
        <v>27</v>
      </c>
      <c r="E3184" t="s">
        <v>95</v>
      </c>
      <c r="F3184" t="s">
        <v>110</v>
      </c>
      <c r="G3184" t="s">
        <v>111</v>
      </c>
      <c r="H3184" t="s">
        <v>242</v>
      </c>
      <c r="J3184">
        <v>0</v>
      </c>
      <c r="K3184">
        <v>8</v>
      </c>
      <c r="L3184">
        <v>73.260869569999997</v>
      </c>
      <c r="M3184">
        <v>34.453830549999999</v>
      </c>
      <c r="N3184">
        <v>1.058333333</v>
      </c>
      <c r="O3184">
        <v>0.90897070000000002</v>
      </c>
      <c r="P3184">
        <v>139.375</v>
      </c>
      <c r="Q3184">
        <v>23.713465920000001</v>
      </c>
      <c r="R3184" t="s">
        <v>114</v>
      </c>
      <c r="S3184" t="s">
        <v>114</v>
      </c>
      <c r="T3184" t="s">
        <v>1018</v>
      </c>
      <c r="U3184" t="s">
        <v>114</v>
      </c>
    </row>
    <row r="3185" spans="1:21" x14ac:dyDescent="0.25">
      <c r="A3185" t="s">
        <v>26</v>
      </c>
      <c r="B3185" t="s">
        <v>929</v>
      </c>
      <c r="C3185">
        <v>16</v>
      </c>
      <c r="D3185" t="s">
        <v>27</v>
      </c>
      <c r="E3185" t="s">
        <v>95</v>
      </c>
      <c r="F3185" t="s">
        <v>110</v>
      </c>
      <c r="G3185" t="s">
        <v>111</v>
      </c>
      <c r="H3185" t="s">
        <v>242</v>
      </c>
      <c r="J3185">
        <v>0</v>
      </c>
      <c r="K3185">
        <v>8</v>
      </c>
      <c r="L3185">
        <v>73.260869569999997</v>
      </c>
      <c r="M3185">
        <v>34.453830549999999</v>
      </c>
      <c r="N3185">
        <v>1.058333333</v>
      </c>
      <c r="O3185">
        <v>0.90897070000000002</v>
      </c>
      <c r="P3185">
        <v>139.375</v>
      </c>
      <c r="Q3185">
        <v>23.713465920000001</v>
      </c>
      <c r="R3185" t="s">
        <v>114</v>
      </c>
      <c r="S3185" t="s">
        <v>114</v>
      </c>
      <c r="T3185" t="s">
        <v>1018</v>
      </c>
      <c r="U3185" t="s">
        <v>114</v>
      </c>
    </row>
    <row r="3186" spans="1:21" x14ac:dyDescent="0.25">
      <c r="A3186" t="s">
        <v>26</v>
      </c>
      <c r="B3186" t="s">
        <v>930</v>
      </c>
      <c r="C3186">
        <v>15</v>
      </c>
      <c r="D3186" t="s">
        <v>27</v>
      </c>
      <c r="E3186" t="s">
        <v>95</v>
      </c>
      <c r="F3186" t="s">
        <v>111</v>
      </c>
      <c r="G3186" t="s">
        <v>102</v>
      </c>
      <c r="H3186" t="s">
        <v>244</v>
      </c>
      <c r="J3186">
        <v>0</v>
      </c>
      <c r="K3186">
        <v>1</v>
      </c>
      <c r="L3186">
        <v>94.97142857</v>
      </c>
      <c r="M3186">
        <v>24.31591813</v>
      </c>
      <c r="N3186">
        <v>0.122951111</v>
      </c>
      <c r="O3186">
        <v>0.39050790000000002</v>
      </c>
      <c r="P3186">
        <v>75</v>
      </c>
      <c r="Q3186">
        <v>28.80614499</v>
      </c>
      <c r="R3186">
        <v>2.3860428570000001</v>
      </c>
      <c r="S3186">
        <v>0.26400832000000002</v>
      </c>
      <c r="T3186" t="s">
        <v>1018</v>
      </c>
      <c r="U3186">
        <v>-2.2630917460000002</v>
      </c>
    </row>
    <row r="3187" spans="1:21" x14ac:dyDescent="0.25">
      <c r="A3187" t="s">
        <v>26</v>
      </c>
      <c r="B3187" t="s">
        <v>930</v>
      </c>
      <c r="C3187">
        <v>16</v>
      </c>
      <c r="D3187" t="s">
        <v>27</v>
      </c>
      <c r="E3187" t="s">
        <v>95</v>
      </c>
      <c r="F3187" t="s">
        <v>111</v>
      </c>
      <c r="G3187" t="s">
        <v>102</v>
      </c>
      <c r="H3187" t="s">
        <v>236</v>
      </c>
      <c r="J3187">
        <v>0</v>
      </c>
      <c r="K3187">
        <v>1</v>
      </c>
      <c r="L3187">
        <v>94.97142857</v>
      </c>
      <c r="M3187">
        <v>24.31591813</v>
      </c>
      <c r="N3187">
        <v>0.122951111</v>
      </c>
      <c r="O3187">
        <v>0.39050790000000002</v>
      </c>
      <c r="P3187">
        <v>113.33333330000001</v>
      </c>
      <c r="Q3187">
        <v>26.41632581</v>
      </c>
      <c r="R3187">
        <v>1.6844570160000001</v>
      </c>
      <c r="S3187">
        <v>8.9285710000000004E-2</v>
      </c>
      <c r="T3187" t="s">
        <v>1018</v>
      </c>
      <c r="U3187">
        <v>-1.561505905</v>
      </c>
    </row>
    <row r="3188" spans="1:21" x14ac:dyDescent="0.25">
      <c r="A3188" t="s">
        <v>26</v>
      </c>
      <c r="B3188" t="s">
        <v>930</v>
      </c>
      <c r="C3188">
        <v>17</v>
      </c>
      <c r="D3188" t="s">
        <v>27</v>
      </c>
      <c r="E3188" t="s">
        <v>95</v>
      </c>
      <c r="F3188" t="s">
        <v>111</v>
      </c>
      <c r="G3188" t="s">
        <v>102</v>
      </c>
      <c r="H3188" t="s">
        <v>102</v>
      </c>
      <c r="J3188">
        <v>0</v>
      </c>
      <c r="K3188">
        <v>1</v>
      </c>
      <c r="L3188">
        <v>94.97142857</v>
      </c>
      <c r="M3188">
        <v>24.31591813</v>
      </c>
      <c r="N3188">
        <v>0.122951111</v>
      </c>
      <c r="O3188">
        <v>0.39050790000000002</v>
      </c>
      <c r="P3188">
        <v>84.740740740000007</v>
      </c>
      <c r="Q3188">
        <v>29.167014049999999</v>
      </c>
      <c r="R3188">
        <v>1.1169849999999999</v>
      </c>
      <c r="S3188">
        <v>1.1571499000000001</v>
      </c>
      <c r="T3188" t="s">
        <v>1018</v>
      </c>
      <c r="U3188">
        <v>-0.994033889</v>
      </c>
    </row>
    <row r="3189" spans="1:21" x14ac:dyDescent="0.25">
      <c r="A3189" t="s">
        <v>26</v>
      </c>
      <c r="B3189" t="s">
        <v>930</v>
      </c>
      <c r="C3189">
        <v>18</v>
      </c>
      <c r="D3189" t="s">
        <v>27</v>
      </c>
      <c r="E3189" t="s">
        <v>95</v>
      </c>
      <c r="F3189" t="s">
        <v>111</v>
      </c>
      <c r="G3189" t="s">
        <v>102</v>
      </c>
      <c r="H3189" t="s">
        <v>242</v>
      </c>
      <c r="J3189">
        <v>0</v>
      </c>
      <c r="K3189">
        <v>3</v>
      </c>
      <c r="L3189">
        <v>94.97142857</v>
      </c>
      <c r="M3189">
        <v>24.31591813</v>
      </c>
      <c r="N3189">
        <v>0.122951111</v>
      </c>
      <c r="O3189">
        <v>0.39050790000000002</v>
      </c>
      <c r="P3189">
        <v>139.375</v>
      </c>
      <c r="Q3189">
        <v>23.713465920000001</v>
      </c>
      <c r="R3189" t="s">
        <v>114</v>
      </c>
      <c r="S3189" t="s">
        <v>114</v>
      </c>
      <c r="T3189" t="s">
        <v>1018</v>
      </c>
      <c r="U3189" t="s">
        <v>114</v>
      </c>
    </row>
    <row r="3190" spans="1:21" x14ac:dyDescent="0.25">
      <c r="A3190" t="s">
        <v>26</v>
      </c>
      <c r="B3190" t="s">
        <v>930</v>
      </c>
      <c r="C3190">
        <v>18</v>
      </c>
      <c r="D3190" t="s">
        <v>27</v>
      </c>
      <c r="E3190" t="s">
        <v>95</v>
      </c>
      <c r="F3190" t="s">
        <v>111</v>
      </c>
      <c r="G3190" t="s">
        <v>102</v>
      </c>
      <c r="H3190" t="s">
        <v>242</v>
      </c>
      <c r="J3190">
        <v>0</v>
      </c>
      <c r="K3190">
        <v>3</v>
      </c>
      <c r="L3190">
        <v>94.97142857</v>
      </c>
      <c r="M3190">
        <v>24.31591813</v>
      </c>
      <c r="N3190">
        <v>0.122951111</v>
      </c>
      <c r="O3190">
        <v>0.39050790000000002</v>
      </c>
      <c r="P3190">
        <v>139.375</v>
      </c>
      <c r="Q3190">
        <v>23.713465920000001</v>
      </c>
      <c r="R3190" t="s">
        <v>114</v>
      </c>
      <c r="S3190" t="s">
        <v>114</v>
      </c>
      <c r="T3190" t="s">
        <v>1018</v>
      </c>
      <c r="U3190" t="s">
        <v>114</v>
      </c>
    </row>
    <row r="3191" spans="1:21" x14ac:dyDescent="0.25">
      <c r="A3191" t="s">
        <v>26</v>
      </c>
      <c r="B3191" t="s">
        <v>930</v>
      </c>
      <c r="C3191">
        <v>18</v>
      </c>
      <c r="D3191" t="s">
        <v>27</v>
      </c>
      <c r="E3191" t="s">
        <v>95</v>
      </c>
      <c r="F3191" t="s">
        <v>111</v>
      </c>
      <c r="G3191" t="s">
        <v>102</v>
      </c>
      <c r="H3191" t="s">
        <v>242</v>
      </c>
      <c r="J3191">
        <v>0</v>
      </c>
      <c r="K3191">
        <v>3</v>
      </c>
      <c r="L3191">
        <v>94.97142857</v>
      </c>
      <c r="M3191">
        <v>24.31591813</v>
      </c>
      <c r="N3191">
        <v>0.122951111</v>
      </c>
      <c r="O3191">
        <v>0.39050790000000002</v>
      </c>
      <c r="P3191">
        <v>139.375</v>
      </c>
      <c r="Q3191">
        <v>23.713465920000001</v>
      </c>
      <c r="R3191" t="s">
        <v>114</v>
      </c>
      <c r="S3191" t="s">
        <v>114</v>
      </c>
      <c r="T3191" t="s">
        <v>1018</v>
      </c>
      <c r="U3191" t="s">
        <v>114</v>
      </c>
    </row>
    <row r="3192" spans="1:21" x14ac:dyDescent="0.25">
      <c r="A3192" t="s">
        <v>28</v>
      </c>
      <c r="B3192" t="s">
        <v>931</v>
      </c>
      <c r="C3192">
        <v>15</v>
      </c>
      <c r="D3192" t="s">
        <v>29</v>
      </c>
      <c r="E3192" t="s">
        <v>94</v>
      </c>
      <c r="F3192" t="s">
        <v>113</v>
      </c>
      <c r="G3192" t="s">
        <v>113</v>
      </c>
      <c r="H3192" t="s">
        <v>113</v>
      </c>
      <c r="J3192">
        <v>0</v>
      </c>
      <c r="K3192">
        <v>2</v>
      </c>
      <c r="L3192">
        <v>83.757575759999995</v>
      </c>
      <c r="M3192">
        <v>22.60997987</v>
      </c>
      <c r="N3192">
        <v>0.72884000000000004</v>
      </c>
      <c r="O3192">
        <v>0.21301339999999999</v>
      </c>
      <c r="P3192">
        <v>83.757575759999995</v>
      </c>
      <c r="Q3192">
        <v>22.60997987</v>
      </c>
      <c r="R3192">
        <v>0.72884000000000004</v>
      </c>
      <c r="S3192">
        <v>0.21301339999999999</v>
      </c>
      <c r="T3192" t="s">
        <v>1018</v>
      </c>
      <c r="U3192">
        <v>0</v>
      </c>
    </row>
    <row r="3193" spans="1:21" x14ac:dyDescent="0.25">
      <c r="A3193" t="s">
        <v>28</v>
      </c>
      <c r="B3193" t="s">
        <v>931</v>
      </c>
      <c r="C3193">
        <v>15</v>
      </c>
      <c r="D3193" t="s">
        <v>29</v>
      </c>
      <c r="E3193" t="s">
        <v>94</v>
      </c>
      <c r="F3193" t="s">
        <v>113</v>
      </c>
      <c r="G3193" t="s">
        <v>113</v>
      </c>
      <c r="H3193" t="s">
        <v>113</v>
      </c>
      <c r="J3193">
        <v>0</v>
      </c>
      <c r="K3193">
        <v>2</v>
      </c>
      <c r="L3193">
        <v>83.757575759999995</v>
      </c>
      <c r="M3193">
        <v>22.60997987</v>
      </c>
      <c r="N3193">
        <v>0.72884000000000004</v>
      </c>
      <c r="O3193">
        <v>0.21301339999999999</v>
      </c>
      <c r="P3193">
        <v>83.757575759999995</v>
      </c>
      <c r="Q3193">
        <v>22.60997987</v>
      </c>
      <c r="R3193">
        <v>0.72884000000000004</v>
      </c>
      <c r="S3193">
        <v>0.21301339999999999</v>
      </c>
      <c r="T3193" t="s">
        <v>1018</v>
      </c>
      <c r="U3193">
        <v>0</v>
      </c>
    </row>
    <row r="3194" spans="1:21" x14ac:dyDescent="0.25">
      <c r="A3194" t="s">
        <v>28</v>
      </c>
      <c r="B3194" t="s">
        <v>931</v>
      </c>
      <c r="C3194">
        <v>16</v>
      </c>
      <c r="D3194" t="s">
        <v>29</v>
      </c>
      <c r="E3194" t="s">
        <v>94</v>
      </c>
      <c r="F3194" t="s">
        <v>113</v>
      </c>
      <c r="G3194" t="s">
        <v>113</v>
      </c>
      <c r="H3194" t="s">
        <v>248</v>
      </c>
      <c r="J3194">
        <v>0</v>
      </c>
      <c r="K3194">
        <v>12</v>
      </c>
      <c r="L3194">
        <v>83.757575759999995</v>
      </c>
      <c r="M3194">
        <v>22.60997987</v>
      </c>
      <c r="N3194">
        <v>0.72884000000000004</v>
      </c>
      <c r="O3194">
        <v>0.21301339999999999</v>
      </c>
      <c r="P3194">
        <v>83.92307692</v>
      </c>
      <c r="Q3194">
        <v>44.319135699999997</v>
      </c>
      <c r="R3194">
        <v>5.9548609999999997E-3</v>
      </c>
      <c r="S3194">
        <v>0.18017928</v>
      </c>
      <c r="T3194" t="s">
        <v>1018</v>
      </c>
      <c r="U3194">
        <v>0.72288513899999995</v>
      </c>
    </row>
    <row r="3195" spans="1:21" x14ac:dyDescent="0.25">
      <c r="A3195" t="s">
        <v>28</v>
      </c>
      <c r="B3195" t="s">
        <v>931</v>
      </c>
      <c r="C3195">
        <v>16</v>
      </c>
      <c r="D3195" t="s">
        <v>29</v>
      </c>
      <c r="E3195" t="s">
        <v>94</v>
      </c>
      <c r="F3195" t="s">
        <v>113</v>
      </c>
      <c r="G3195" t="s">
        <v>113</v>
      </c>
      <c r="H3195" t="s">
        <v>248</v>
      </c>
      <c r="J3195">
        <v>0</v>
      </c>
      <c r="K3195">
        <v>12</v>
      </c>
      <c r="L3195">
        <v>83.757575759999995</v>
      </c>
      <c r="M3195">
        <v>22.60997987</v>
      </c>
      <c r="N3195">
        <v>0.72884000000000004</v>
      </c>
      <c r="O3195">
        <v>0.21301339999999999</v>
      </c>
      <c r="P3195">
        <v>83.92307692</v>
      </c>
      <c r="Q3195">
        <v>44.319135699999997</v>
      </c>
      <c r="R3195">
        <v>5.9548609999999997E-3</v>
      </c>
      <c r="S3195">
        <v>0.18017928</v>
      </c>
      <c r="T3195" t="s">
        <v>1018</v>
      </c>
      <c r="U3195">
        <v>0.72288513899999995</v>
      </c>
    </row>
    <row r="3196" spans="1:21" x14ac:dyDescent="0.25">
      <c r="A3196" t="s">
        <v>28</v>
      </c>
      <c r="B3196" t="s">
        <v>931</v>
      </c>
      <c r="C3196">
        <v>16</v>
      </c>
      <c r="D3196" t="s">
        <v>29</v>
      </c>
      <c r="E3196" t="s">
        <v>94</v>
      </c>
      <c r="F3196" t="s">
        <v>113</v>
      </c>
      <c r="G3196" t="s">
        <v>113</v>
      </c>
      <c r="H3196" t="s">
        <v>248</v>
      </c>
      <c r="J3196">
        <v>0</v>
      </c>
      <c r="K3196">
        <v>12</v>
      </c>
      <c r="L3196">
        <v>83.757575759999995</v>
      </c>
      <c r="M3196">
        <v>22.60997987</v>
      </c>
      <c r="N3196">
        <v>0.72884000000000004</v>
      </c>
      <c r="O3196">
        <v>0.21301339999999999</v>
      </c>
      <c r="P3196">
        <v>83.92307692</v>
      </c>
      <c r="Q3196">
        <v>44.319135699999997</v>
      </c>
      <c r="R3196">
        <v>5.9548609999999997E-3</v>
      </c>
      <c r="S3196">
        <v>0.18017928</v>
      </c>
      <c r="T3196" t="s">
        <v>1018</v>
      </c>
      <c r="U3196">
        <v>0.72288513899999995</v>
      </c>
    </row>
    <row r="3197" spans="1:21" x14ac:dyDescent="0.25">
      <c r="A3197" t="s">
        <v>28</v>
      </c>
      <c r="B3197" t="s">
        <v>931</v>
      </c>
      <c r="C3197">
        <v>16</v>
      </c>
      <c r="D3197" t="s">
        <v>29</v>
      </c>
      <c r="E3197" t="s">
        <v>94</v>
      </c>
      <c r="F3197" t="s">
        <v>113</v>
      </c>
      <c r="G3197" t="s">
        <v>113</v>
      </c>
      <c r="H3197" t="s">
        <v>248</v>
      </c>
      <c r="J3197">
        <v>0</v>
      </c>
      <c r="K3197">
        <v>12</v>
      </c>
      <c r="L3197">
        <v>83.757575759999995</v>
      </c>
      <c r="M3197">
        <v>22.60997987</v>
      </c>
      <c r="N3197">
        <v>0.72884000000000004</v>
      </c>
      <c r="O3197">
        <v>0.21301339999999999</v>
      </c>
      <c r="P3197">
        <v>83.92307692</v>
      </c>
      <c r="Q3197">
        <v>44.319135699999997</v>
      </c>
      <c r="R3197">
        <v>5.9548609999999997E-3</v>
      </c>
      <c r="S3197">
        <v>0.18017928</v>
      </c>
      <c r="T3197" t="s">
        <v>1018</v>
      </c>
      <c r="U3197">
        <v>0.72288513899999995</v>
      </c>
    </row>
    <row r="3198" spans="1:21" x14ac:dyDescent="0.25">
      <c r="A3198" t="s">
        <v>28</v>
      </c>
      <c r="B3198" t="s">
        <v>931</v>
      </c>
      <c r="C3198">
        <v>16</v>
      </c>
      <c r="D3198" t="s">
        <v>29</v>
      </c>
      <c r="E3198" t="s">
        <v>94</v>
      </c>
      <c r="F3198" t="s">
        <v>113</v>
      </c>
      <c r="G3198" t="s">
        <v>113</v>
      </c>
      <c r="H3198" t="s">
        <v>248</v>
      </c>
      <c r="J3198">
        <v>0</v>
      </c>
      <c r="K3198">
        <v>12</v>
      </c>
      <c r="L3198">
        <v>83.757575759999995</v>
      </c>
      <c r="M3198">
        <v>22.60997987</v>
      </c>
      <c r="N3198">
        <v>0.72884000000000004</v>
      </c>
      <c r="O3198">
        <v>0.21301339999999999</v>
      </c>
      <c r="P3198">
        <v>83.92307692</v>
      </c>
      <c r="Q3198">
        <v>44.319135699999997</v>
      </c>
      <c r="R3198">
        <v>5.9548609999999997E-3</v>
      </c>
      <c r="S3198">
        <v>0.18017928</v>
      </c>
      <c r="T3198" t="s">
        <v>1018</v>
      </c>
      <c r="U3198">
        <v>0.72288513899999995</v>
      </c>
    </row>
    <row r="3199" spans="1:21" x14ac:dyDescent="0.25">
      <c r="A3199" t="s">
        <v>28</v>
      </c>
      <c r="B3199" t="s">
        <v>931</v>
      </c>
      <c r="C3199">
        <v>16</v>
      </c>
      <c r="D3199" t="s">
        <v>29</v>
      </c>
      <c r="E3199" t="s">
        <v>94</v>
      </c>
      <c r="F3199" t="s">
        <v>113</v>
      </c>
      <c r="G3199" t="s">
        <v>113</v>
      </c>
      <c r="H3199" t="s">
        <v>248</v>
      </c>
      <c r="J3199">
        <v>0</v>
      </c>
      <c r="K3199">
        <v>12</v>
      </c>
      <c r="L3199">
        <v>83.757575759999995</v>
      </c>
      <c r="M3199">
        <v>22.60997987</v>
      </c>
      <c r="N3199">
        <v>0.72884000000000004</v>
      </c>
      <c r="O3199">
        <v>0.21301339999999999</v>
      </c>
      <c r="P3199">
        <v>83.92307692</v>
      </c>
      <c r="Q3199">
        <v>44.319135699999997</v>
      </c>
      <c r="R3199">
        <v>5.9548609999999997E-3</v>
      </c>
      <c r="S3199">
        <v>0.18017928</v>
      </c>
      <c r="T3199" t="s">
        <v>1018</v>
      </c>
      <c r="U3199">
        <v>0.72288513899999995</v>
      </c>
    </row>
    <row r="3200" spans="1:21" x14ac:dyDescent="0.25">
      <c r="A3200" t="s">
        <v>28</v>
      </c>
      <c r="B3200" t="s">
        <v>931</v>
      </c>
      <c r="C3200">
        <v>16</v>
      </c>
      <c r="D3200" t="s">
        <v>29</v>
      </c>
      <c r="E3200" t="s">
        <v>94</v>
      </c>
      <c r="F3200" t="s">
        <v>113</v>
      </c>
      <c r="G3200" t="s">
        <v>113</v>
      </c>
      <c r="H3200" t="s">
        <v>248</v>
      </c>
      <c r="J3200">
        <v>0</v>
      </c>
      <c r="K3200">
        <v>12</v>
      </c>
      <c r="L3200">
        <v>83.757575759999995</v>
      </c>
      <c r="M3200">
        <v>22.60997987</v>
      </c>
      <c r="N3200">
        <v>0.72884000000000004</v>
      </c>
      <c r="O3200">
        <v>0.21301339999999999</v>
      </c>
      <c r="P3200">
        <v>83.92307692</v>
      </c>
      <c r="Q3200">
        <v>44.319135699999997</v>
      </c>
      <c r="R3200">
        <v>5.9548609999999997E-3</v>
      </c>
      <c r="S3200">
        <v>0.18017928</v>
      </c>
      <c r="T3200" t="s">
        <v>1018</v>
      </c>
      <c r="U3200">
        <v>0.72288513899999995</v>
      </c>
    </row>
    <row r="3201" spans="1:21" x14ac:dyDescent="0.25">
      <c r="A3201" t="s">
        <v>28</v>
      </c>
      <c r="B3201" t="s">
        <v>931</v>
      </c>
      <c r="C3201">
        <v>16</v>
      </c>
      <c r="D3201" t="s">
        <v>29</v>
      </c>
      <c r="E3201" t="s">
        <v>94</v>
      </c>
      <c r="F3201" t="s">
        <v>113</v>
      </c>
      <c r="G3201" t="s">
        <v>113</v>
      </c>
      <c r="H3201" t="s">
        <v>248</v>
      </c>
      <c r="J3201">
        <v>0</v>
      </c>
      <c r="K3201">
        <v>12</v>
      </c>
      <c r="L3201">
        <v>83.757575759999995</v>
      </c>
      <c r="M3201">
        <v>22.60997987</v>
      </c>
      <c r="N3201">
        <v>0.72884000000000004</v>
      </c>
      <c r="O3201">
        <v>0.21301339999999999</v>
      </c>
      <c r="P3201">
        <v>83.92307692</v>
      </c>
      <c r="Q3201">
        <v>44.319135699999997</v>
      </c>
      <c r="R3201">
        <v>5.9548609999999997E-3</v>
      </c>
      <c r="S3201">
        <v>0.18017928</v>
      </c>
      <c r="T3201" t="s">
        <v>1018</v>
      </c>
      <c r="U3201">
        <v>0.72288513899999995</v>
      </c>
    </row>
    <row r="3202" spans="1:21" x14ac:dyDescent="0.25">
      <c r="A3202" t="s">
        <v>28</v>
      </c>
      <c r="B3202" t="s">
        <v>931</v>
      </c>
      <c r="C3202">
        <v>16</v>
      </c>
      <c r="D3202" t="s">
        <v>29</v>
      </c>
      <c r="E3202" t="s">
        <v>94</v>
      </c>
      <c r="F3202" t="s">
        <v>113</v>
      </c>
      <c r="G3202" t="s">
        <v>113</v>
      </c>
      <c r="H3202" t="s">
        <v>248</v>
      </c>
      <c r="J3202">
        <v>0</v>
      </c>
      <c r="K3202">
        <v>12</v>
      </c>
      <c r="L3202">
        <v>83.757575759999995</v>
      </c>
      <c r="M3202">
        <v>22.60997987</v>
      </c>
      <c r="N3202">
        <v>0.72884000000000004</v>
      </c>
      <c r="O3202">
        <v>0.21301339999999999</v>
      </c>
      <c r="P3202">
        <v>83.92307692</v>
      </c>
      <c r="Q3202">
        <v>44.319135699999997</v>
      </c>
      <c r="R3202">
        <v>5.9548609999999997E-3</v>
      </c>
      <c r="S3202">
        <v>0.18017928</v>
      </c>
      <c r="T3202" t="s">
        <v>1018</v>
      </c>
      <c r="U3202">
        <v>0.72288513899999995</v>
      </c>
    </row>
    <row r="3203" spans="1:21" x14ac:dyDescent="0.25">
      <c r="A3203" t="s">
        <v>28</v>
      </c>
      <c r="B3203" t="s">
        <v>931</v>
      </c>
      <c r="C3203">
        <v>16</v>
      </c>
      <c r="D3203" t="s">
        <v>29</v>
      </c>
      <c r="E3203" t="s">
        <v>94</v>
      </c>
      <c r="F3203" t="s">
        <v>113</v>
      </c>
      <c r="G3203" t="s">
        <v>113</v>
      </c>
      <c r="H3203" t="s">
        <v>248</v>
      </c>
      <c r="J3203">
        <v>0</v>
      </c>
      <c r="K3203">
        <v>12</v>
      </c>
      <c r="L3203">
        <v>83.757575759999995</v>
      </c>
      <c r="M3203">
        <v>22.60997987</v>
      </c>
      <c r="N3203">
        <v>0.72884000000000004</v>
      </c>
      <c r="O3203">
        <v>0.21301339999999999</v>
      </c>
      <c r="P3203">
        <v>83.92307692</v>
      </c>
      <c r="Q3203">
        <v>44.319135699999997</v>
      </c>
      <c r="R3203">
        <v>5.9548609999999997E-3</v>
      </c>
      <c r="S3203">
        <v>0.18017928</v>
      </c>
      <c r="T3203" t="s">
        <v>1018</v>
      </c>
      <c r="U3203">
        <v>0.72288513899999995</v>
      </c>
    </row>
    <row r="3204" spans="1:21" x14ac:dyDescent="0.25">
      <c r="A3204" t="s">
        <v>28</v>
      </c>
      <c r="B3204" t="s">
        <v>931</v>
      </c>
      <c r="C3204">
        <v>16</v>
      </c>
      <c r="D3204" t="s">
        <v>29</v>
      </c>
      <c r="E3204" t="s">
        <v>94</v>
      </c>
      <c r="F3204" t="s">
        <v>113</v>
      </c>
      <c r="G3204" t="s">
        <v>113</v>
      </c>
      <c r="H3204" t="s">
        <v>248</v>
      </c>
      <c r="J3204">
        <v>0</v>
      </c>
      <c r="K3204">
        <v>12</v>
      </c>
      <c r="L3204">
        <v>83.757575759999995</v>
      </c>
      <c r="M3204">
        <v>22.60997987</v>
      </c>
      <c r="N3204">
        <v>0.72884000000000004</v>
      </c>
      <c r="O3204">
        <v>0.21301339999999999</v>
      </c>
      <c r="P3204">
        <v>83.92307692</v>
      </c>
      <c r="Q3204">
        <v>44.319135699999997</v>
      </c>
      <c r="R3204">
        <v>5.9548609999999997E-3</v>
      </c>
      <c r="S3204">
        <v>0.18017928</v>
      </c>
      <c r="T3204" t="s">
        <v>1018</v>
      </c>
      <c r="U3204">
        <v>0.72288513899999995</v>
      </c>
    </row>
    <row r="3205" spans="1:21" x14ac:dyDescent="0.25">
      <c r="A3205" t="s">
        <v>28</v>
      </c>
      <c r="B3205" t="s">
        <v>931</v>
      </c>
      <c r="C3205">
        <v>16</v>
      </c>
      <c r="D3205" t="s">
        <v>29</v>
      </c>
      <c r="E3205" t="s">
        <v>94</v>
      </c>
      <c r="F3205" t="s">
        <v>113</v>
      </c>
      <c r="G3205" t="s">
        <v>113</v>
      </c>
      <c r="H3205" t="s">
        <v>248</v>
      </c>
      <c r="J3205">
        <v>0</v>
      </c>
      <c r="K3205">
        <v>12</v>
      </c>
      <c r="L3205">
        <v>83.757575759999995</v>
      </c>
      <c r="M3205">
        <v>22.60997987</v>
      </c>
      <c r="N3205">
        <v>0.72884000000000004</v>
      </c>
      <c r="O3205">
        <v>0.21301339999999999</v>
      </c>
      <c r="P3205">
        <v>83.92307692</v>
      </c>
      <c r="Q3205">
        <v>44.319135699999997</v>
      </c>
      <c r="R3205">
        <v>5.9548609999999997E-3</v>
      </c>
      <c r="S3205">
        <v>0.18017928</v>
      </c>
      <c r="T3205" t="s">
        <v>1018</v>
      </c>
      <c r="U3205">
        <v>0.72288513899999995</v>
      </c>
    </row>
    <row r="3206" spans="1:21" x14ac:dyDescent="0.25">
      <c r="A3206" t="s">
        <v>28</v>
      </c>
      <c r="B3206" t="s">
        <v>931</v>
      </c>
      <c r="C3206">
        <v>17</v>
      </c>
      <c r="D3206" t="s">
        <v>29</v>
      </c>
      <c r="E3206" t="s">
        <v>94</v>
      </c>
      <c r="F3206" t="s">
        <v>113</v>
      </c>
      <c r="G3206" t="s">
        <v>113</v>
      </c>
      <c r="H3206" t="s">
        <v>247</v>
      </c>
      <c r="J3206">
        <v>0</v>
      </c>
      <c r="K3206">
        <v>1</v>
      </c>
      <c r="L3206">
        <v>83.757575759999995</v>
      </c>
      <c r="M3206">
        <v>22.60997987</v>
      </c>
      <c r="N3206">
        <v>0.72884000000000004</v>
      </c>
      <c r="O3206">
        <v>0.21301339999999999</v>
      </c>
      <c r="P3206">
        <v>65.791044779999993</v>
      </c>
      <c r="Q3206">
        <v>22.94519201</v>
      </c>
      <c r="R3206">
        <v>8.1320334999999994E-2</v>
      </c>
      <c r="S3206">
        <v>0.17285655</v>
      </c>
      <c r="T3206" t="s">
        <v>1018</v>
      </c>
      <c r="U3206">
        <v>0.64751966500000002</v>
      </c>
    </row>
    <row r="3207" spans="1:21" x14ac:dyDescent="0.25">
      <c r="A3207" t="s">
        <v>28</v>
      </c>
      <c r="B3207" t="s">
        <v>931</v>
      </c>
      <c r="C3207">
        <v>18</v>
      </c>
      <c r="D3207" t="s">
        <v>29</v>
      </c>
      <c r="E3207" t="s">
        <v>94</v>
      </c>
      <c r="F3207" t="s">
        <v>113</v>
      </c>
      <c r="G3207" t="s">
        <v>113</v>
      </c>
      <c r="H3207" t="s">
        <v>239</v>
      </c>
      <c r="J3207">
        <v>0</v>
      </c>
      <c r="K3207">
        <v>1</v>
      </c>
      <c r="L3207">
        <v>83.757575759999995</v>
      </c>
      <c r="M3207">
        <v>22.60997987</v>
      </c>
      <c r="N3207">
        <v>0.72884000000000004</v>
      </c>
      <c r="O3207">
        <v>0.21301339999999999</v>
      </c>
      <c r="P3207">
        <v>100.45454549999999</v>
      </c>
      <c r="Q3207">
        <v>26.754810689999999</v>
      </c>
      <c r="R3207">
        <v>0.75829999999999997</v>
      </c>
      <c r="S3207">
        <v>0.40907861000000001</v>
      </c>
      <c r="T3207" t="s">
        <v>1018</v>
      </c>
      <c r="U3207">
        <v>-2.946E-2</v>
      </c>
    </row>
    <row r="3208" spans="1:21" x14ac:dyDescent="0.25">
      <c r="A3208" t="s">
        <v>28</v>
      </c>
      <c r="B3208" t="s">
        <v>932</v>
      </c>
      <c r="C3208">
        <v>15</v>
      </c>
      <c r="D3208" t="s">
        <v>29</v>
      </c>
      <c r="E3208" t="s">
        <v>94</v>
      </c>
      <c r="F3208" t="s">
        <v>103</v>
      </c>
      <c r="G3208" t="s">
        <v>102</v>
      </c>
      <c r="H3208" t="s">
        <v>102</v>
      </c>
      <c r="J3208">
        <v>0</v>
      </c>
      <c r="K3208">
        <v>1</v>
      </c>
      <c r="L3208">
        <v>98.291666669999998</v>
      </c>
      <c r="M3208">
        <v>30.315130790000001</v>
      </c>
      <c r="N3208">
        <v>5.0803484000000003E-2</v>
      </c>
      <c r="O3208">
        <v>0.42866070000000001</v>
      </c>
      <c r="P3208">
        <v>84.740740740000007</v>
      </c>
      <c r="Q3208">
        <v>29.167014049999999</v>
      </c>
      <c r="R3208">
        <v>1.1169849999999999</v>
      </c>
      <c r="S3208">
        <v>1.1571499000000001</v>
      </c>
      <c r="T3208" t="s">
        <v>1018</v>
      </c>
      <c r="U3208">
        <v>-1.0661815160000001</v>
      </c>
    </row>
    <row r="3209" spans="1:21" x14ac:dyDescent="0.25">
      <c r="A3209" t="s">
        <v>28</v>
      </c>
      <c r="B3209" t="s">
        <v>932</v>
      </c>
      <c r="C3209">
        <v>16</v>
      </c>
      <c r="D3209" t="s">
        <v>29</v>
      </c>
      <c r="E3209" t="s">
        <v>94</v>
      </c>
      <c r="F3209" t="s">
        <v>103</v>
      </c>
      <c r="G3209" t="s">
        <v>102</v>
      </c>
      <c r="H3209" t="s">
        <v>103</v>
      </c>
      <c r="J3209">
        <v>0</v>
      </c>
      <c r="K3209">
        <v>2</v>
      </c>
      <c r="L3209">
        <v>98.291666669999998</v>
      </c>
      <c r="M3209">
        <v>30.315130790000001</v>
      </c>
      <c r="N3209">
        <v>5.0803484000000003E-2</v>
      </c>
      <c r="O3209">
        <v>0.42866070000000001</v>
      </c>
      <c r="P3209">
        <v>98.291666669999998</v>
      </c>
      <c r="Q3209">
        <v>30.315130790000001</v>
      </c>
      <c r="R3209">
        <v>5.0803484000000003E-2</v>
      </c>
      <c r="S3209">
        <v>0.42866070000000001</v>
      </c>
      <c r="T3209" t="s">
        <v>1018</v>
      </c>
      <c r="U3209">
        <v>0</v>
      </c>
    </row>
    <row r="3210" spans="1:21" x14ac:dyDescent="0.25">
      <c r="A3210" t="s">
        <v>28</v>
      </c>
      <c r="B3210" t="s">
        <v>932</v>
      </c>
      <c r="C3210">
        <v>16</v>
      </c>
      <c r="D3210" t="s">
        <v>29</v>
      </c>
      <c r="E3210" t="s">
        <v>94</v>
      </c>
      <c r="F3210" t="s">
        <v>103</v>
      </c>
      <c r="G3210" t="s">
        <v>102</v>
      </c>
      <c r="H3210" t="s">
        <v>103</v>
      </c>
      <c r="J3210">
        <v>0</v>
      </c>
      <c r="K3210">
        <v>2</v>
      </c>
      <c r="L3210">
        <v>98.291666669999998</v>
      </c>
      <c r="M3210">
        <v>30.315130790000001</v>
      </c>
      <c r="N3210">
        <v>5.0803484000000003E-2</v>
      </c>
      <c r="O3210">
        <v>0.42866070000000001</v>
      </c>
      <c r="P3210">
        <v>98.291666669999998</v>
      </c>
      <c r="Q3210">
        <v>30.315130790000001</v>
      </c>
      <c r="R3210">
        <v>5.0803484000000003E-2</v>
      </c>
      <c r="S3210">
        <v>0.42866070000000001</v>
      </c>
      <c r="T3210" t="s">
        <v>1018</v>
      </c>
      <c r="U3210">
        <v>0</v>
      </c>
    </row>
    <row r="3211" spans="1:21" x14ac:dyDescent="0.25">
      <c r="A3211" t="s">
        <v>28</v>
      </c>
      <c r="B3211" t="s">
        <v>933</v>
      </c>
      <c r="C3211">
        <v>15</v>
      </c>
      <c r="D3211" t="s">
        <v>29</v>
      </c>
      <c r="E3211" t="s">
        <v>94</v>
      </c>
      <c r="F3211" t="s">
        <v>111</v>
      </c>
      <c r="G3211" t="s">
        <v>121</v>
      </c>
      <c r="H3211" t="s">
        <v>247</v>
      </c>
      <c r="J3211">
        <v>0</v>
      </c>
      <c r="K3211">
        <v>1</v>
      </c>
      <c r="L3211">
        <v>94.97142857</v>
      </c>
      <c r="M3211">
        <v>24.31591813</v>
      </c>
      <c r="N3211">
        <v>0.122951111</v>
      </c>
      <c r="O3211">
        <v>0.39050790000000002</v>
      </c>
      <c r="P3211">
        <v>65.791044779999993</v>
      </c>
      <c r="Q3211">
        <v>22.94519201</v>
      </c>
      <c r="R3211">
        <v>8.1320334999999994E-2</v>
      </c>
      <c r="S3211">
        <v>0.17285655</v>
      </c>
      <c r="T3211" t="s">
        <v>1018</v>
      </c>
      <c r="U3211">
        <v>4.1630776000000001E-2</v>
      </c>
    </row>
    <row r="3212" spans="1:21" x14ac:dyDescent="0.25">
      <c r="A3212" t="s">
        <v>28</v>
      </c>
      <c r="B3212" t="s">
        <v>933</v>
      </c>
      <c r="C3212">
        <v>16</v>
      </c>
      <c r="D3212" t="s">
        <v>29</v>
      </c>
      <c r="E3212" t="s">
        <v>94</v>
      </c>
      <c r="F3212" t="s">
        <v>111</v>
      </c>
      <c r="G3212" t="s">
        <v>121</v>
      </c>
      <c r="H3212" t="s">
        <v>113</v>
      </c>
      <c r="J3212">
        <v>0</v>
      </c>
      <c r="K3212">
        <v>3</v>
      </c>
      <c r="L3212">
        <v>94.97142857</v>
      </c>
      <c r="M3212">
        <v>24.31591813</v>
      </c>
      <c r="N3212">
        <v>0.122951111</v>
      </c>
      <c r="O3212">
        <v>0.39050790000000002</v>
      </c>
      <c r="P3212">
        <v>83.757575759999995</v>
      </c>
      <c r="Q3212">
        <v>22.60997987</v>
      </c>
      <c r="R3212">
        <v>0.72884000000000004</v>
      </c>
      <c r="S3212">
        <v>0.21301339999999999</v>
      </c>
      <c r="T3212" t="s">
        <v>1018</v>
      </c>
      <c r="U3212">
        <v>-0.60588888900000004</v>
      </c>
    </row>
    <row r="3213" spans="1:21" x14ac:dyDescent="0.25">
      <c r="A3213" t="s">
        <v>28</v>
      </c>
      <c r="B3213" t="s">
        <v>933</v>
      </c>
      <c r="C3213">
        <v>16</v>
      </c>
      <c r="D3213" t="s">
        <v>29</v>
      </c>
      <c r="E3213" t="s">
        <v>94</v>
      </c>
      <c r="F3213" t="s">
        <v>111</v>
      </c>
      <c r="G3213" t="s">
        <v>121</v>
      </c>
      <c r="H3213" t="s">
        <v>113</v>
      </c>
      <c r="J3213">
        <v>0</v>
      </c>
      <c r="K3213">
        <v>3</v>
      </c>
      <c r="L3213">
        <v>94.97142857</v>
      </c>
      <c r="M3213">
        <v>24.31591813</v>
      </c>
      <c r="N3213">
        <v>0.122951111</v>
      </c>
      <c r="O3213">
        <v>0.39050790000000002</v>
      </c>
      <c r="P3213">
        <v>83.757575759999995</v>
      </c>
      <c r="Q3213">
        <v>22.60997987</v>
      </c>
      <c r="R3213">
        <v>0.72884000000000004</v>
      </c>
      <c r="S3213">
        <v>0.21301339999999999</v>
      </c>
      <c r="T3213" t="s">
        <v>1018</v>
      </c>
      <c r="U3213">
        <v>-0.60588888900000004</v>
      </c>
    </row>
    <row r="3214" spans="1:21" x14ac:dyDescent="0.25">
      <c r="A3214" t="s">
        <v>28</v>
      </c>
      <c r="B3214" t="s">
        <v>933</v>
      </c>
      <c r="C3214">
        <v>16</v>
      </c>
      <c r="D3214" t="s">
        <v>29</v>
      </c>
      <c r="E3214" t="s">
        <v>94</v>
      </c>
      <c r="F3214" t="s">
        <v>111</v>
      </c>
      <c r="G3214" t="s">
        <v>121</v>
      </c>
      <c r="H3214" t="s">
        <v>113</v>
      </c>
      <c r="J3214">
        <v>0</v>
      </c>
      <c r="K3214">
        <v>3</v>
      </c>
      <c r="L3214">
        <v>94.97142857</v>
      </c>
      <c r="M3214">
        <v>24.31591813</v>
      </c>
      <c r="N3214">
        <v>0.122951111</v>
      </c>
      <c r="O3214">
        <v>0.39050790000000002</v>
      </c>
      <c r="P3214">
        <v>83.757575759999995</v>
      </c>
      <c r="Q3214">
        <v>22.60997987</v>
      </c>
      <c r="R3214">
        <v>0.72884000000000004</v>
      </c>
      <c r="S3214">
        <v>0.21301339999999999</v>
      </c>
      <c r="T3214" t="s">
        <v>1018</v>
      </c>
      <c r="U3214">
        <v>-0.60588888900000004</v>
      </c>
    </row>
    <row r="3215" spans="1:21" x14ac:dyDescent="0.25">
      <c r="A3215" t="s">
        <v>28</v>
      </c>
      <c r="B3215" t="s">
        <v>933</v>
      </c>
      <c r="C3215">
        <v>17</v>
      </c>
      <c r="D3215" t="s">
        <v>29</v>
      </c>
      <c r="E3215" t="s">
        <v>94</v>
      </c>
      <c r="F3215" t="s">
        <v>111</v>
      </c>
      <c r="G3215" t="s">
        <v>121</v>
      </c>
      <c r="H3215" t="s">
        <v>248</v>
      </c>
      <c r="J3215">
        <v>0</v>
      </c>
      <c r="K3215">
        <v>1</v>
      </c>
      <c r="L3215">
        <v>94.97142857</v>
      </c>
      <c r="M3215">
        <v>24.31591813</v>
      </c>
      <c r="N3215">
        <v>0.122951111</v>
      </c>
      <c r="O3215">
        <v>0.39050790000000002</v>
      </c>
      <c r="P3215">
        <v>83.92307692</v>
      </c>
      <c r="Q3215">
        <v>44.319135699999997</v>
      </c>
      <c r="R3215">
        <v>5.9548609999999997E-3</v>
      </c>
      <c r="S3215">
        <v>0.18017928</v>
      </c>
      <c r="T3215" t="s">
        <v>1018</v>
      </c>
      <c r="U3215">
        <v>0.11699625</v>
      </c>
    </row>
    <row r="3216" spans="1:21" x14ac:dyDescent="0.25">
      <c r="A3216" t="s">
        <v>28</v>
      </c>
      <c r="B3216" t="s">
        <v>934</v>
      </c>
      <c r="C3216">
        <v>15</v>
      </c>
      <c r="D3216" t="s">
        <v>29</v>
      </c>
      <c r="E3216" t="s">
        <v>94</v>
      </c>
      <c r="F3216" t="s">
        <v>112</v>
      </c>
      <c r="G3216" t="s">
        <v>121</v>
      </c>
      <c r="H3216" t="s">
        <v>103</v>
      </c>
      <c r="J3216">
        <v>0</v>
      </c>
      <c r="K3216">
        <v>4</v>
      </c>
      <c r="L3216">
        <v>65.09375</v>
      </c>
      <c r="M3216">
        <v>37.895352600000002</v>
      </c>
      <c r="N3216">
        <v>2.2882677779999998</v>
      </c>
      <c r="O3216">
        <v>2.2111774</v>
      </c>
      <c r="P3216">
        <v>98.291666669999998</v>
      </c>
      <c r="Q3216">
        <v>30.315130790000001</v>
      </c>
      <c r="R3216">
        <v>5.0803484000000003E-2</v>
      </c>
      <c r="S3216">
        <v>0.42866070000000001</v>
      </c>
      <c r="T3216" t="s">
        <v>1018</v>
      </c>
      <c r="U3216">
        <v>2.237464294</v>
      </c>
    </row>
    <row r="3217" spans="1:21" x14ac:dyDescent="0.25">
      <c r="A3217" t="s">
        <v>28</v>
      </c>
      <c r="B3217" t="s">
        <v>934</v>
      </c>
      <c r="C3217">
        <v>15</v>
      </c>
      <c r="D3217" t="s">
        <v>29</v>
      </c>
      <c r="E3217" t="s">
        <v>94</v>
      </c>
      <c r="F3217" t="s">
        <v>112</v>
      </c>
      <c r="G3217" t="s">
        <v>121</v>
      </c>
      <c r="H3217" t="s">
        <v>103</v>
      </c>
      <c r="J3217">
        <v>0</v>
      </c>
      <c r="K3217">
        <v>4</v>
      </c>
      <c r="L3217">
        <v>65.09375</v>
      </c>
      <c r="M3217">
        <v>37.895352600000002</v>
      </c>
      <c r="N3217">
        <v>2.2882677779999998</v>
      </c>
      <c r="O3217">
        <v>2.2111774</v>
      </c>
      <c r="P3217">
        <v>98.291666669999998</v>
      </c>
      <c r="Q3217">
        <v>30.315130790000001</v>
      </c>
      <c r="R3217">
        <v>5.0803484000000003E-2</v>
      </c>
      <c r="S3217">
        <v>0.42866070000000001</v>
      </c>
      <c r="T3217" t="s">
        <v>1018</v>
      </c>
      <c r="U3217">
        <v>2.237464294</v>
      </c>
    </row>
    <row r="3218" spans="1:21" x14ac:dyDescent="0.25">
      <c r="A3218" t="s">
        <v>28</v>
      </c>
      <c r="B3218" t="s">
        <v>934</v>
      </c>
      <c r="C3218">
        <v>15</v>
      </c>
      <c r="D3218" t="s">
        <v>29</v>
      </c>
      <c r="E3218" t="s">
        <v>94</v>
      </c>
      <c r="F3218" t="s">
        <v>112</v>
      </c>
      <c r="G3218" t="s">
        <v>121</v>
      </c>
      <c r="H3218" t="s">
        <v>103</v>
      </c>
      <c r="J3218">
        <v>0</v>
      </c>
      <c r="K3218">
        <v>4</v>
      </c>
      <c r="L3218">
        <v>65.09375</v>
      </c>
      <c r="M3218">
        <v>37.895352600000002</v>
      </c>
      <c r="N3218">
        <v>2.2882677779999998</v>
      </c>
      <c r="O3218">
        <v>2.2111774</v>
      </c>
      <c r="P3218">
        <v>98.291666669999998</v>
      </c>
      <c r="Q3218">
        <v>30.315130790000001</v>
      </c>
      <c r="R3218">
        <v>5.0803484000000003E-2</v>
      </c>
      <c r="S3218">
        <v>0.42866070000000001</v>
      </c>
      <c r="T3218" t="s">
        <v>1018</v>
      </c>
      <c r="U3218">
        <v>2.237464294</v>
      </c>
    </row>
    <row r="3219" spans="1:21" x14ac:dyDescent="0.25">
      <c r="A3219" t="s">
        <v>28</v>
      </c>
      <c r="B3219" t="s">
        <v>934</v>
      </c>
      <c r="C3219">
        <v>15</v>
      </c>
      <c r="D3219" t="s">
        <v>29</v>
      </c>
      <c r="E3219" t="s">
        <v>94</v>
      </c>
      <c r="F3219" t="s">
        <v>112</v>
      </c>
      <c r="G3219" t="s">
        <v>121</v>
      </c>
      <c r="H3219" t="s">
        <v>103</v>
      </c>
      <c r="J3219">
        <v>0</v>
      </c>
      <c r="K3219">
        <v>4</v>
      </c>
      <c r="L3219">
        <v>65.09375</v>
      </c>
      <c r="M3219">
        <v>37.895352600000002</v>
      </c>
      <c r="N3219">
        <v>2.2882677779999998</v>
      </c>
      <c r="O3219">
        <v>2.2111774</v>
      </c>
      <c r="P3219">
        <v>98.291666669999998</v>
      </c>
      <c r="Q3219">
        <v>30.315130790000001</v>
      </c>
      <c r="R3219">
        <v>5.0803484000000003E-2</v>
      </c>
      <c r="S3219">
        <v>0.42866070000000001</v>
      </c>
      <c r="T3219" t="s">
        <v>1018</v>
      </c>
      <c r="U3219">
        <v>2.237464294</v>
      </c>
    </row>
    <row r="3220" spans="1:21" x14ac:dyDescent="0.25">
      <c r="A3220" t="s">
        <v>28</v>
      </c>
      <c r="B3220" t="s">
        <v>934</v>
      </c>
      <c r="C3220">
        <v>16</v>
      </c>
      <c r="D3220" t="s">
        <v>29</v>
      </c>
      <c r="E3220" t="s">
        <v>94</v>
      </c>
      <c r="F3220" t="s">
        <v>112</v>
      </c>
      <c r="G3220" t="s">
        <v>121</v>
      </c>
      <c r="H3220" t="s">
        <v>113</v>
      </c>
      <c r="J3220">
        <v>0</v>
      </c>
      <c r="K3220">
        <v>6</v>
      </c>
      <c r="L3220">
        <v>65.09375</v>
      </c>
      <c r="M3220">
        <v>37.895352600000002</v>
      </c>
      <c r="N3220">
        <v>2.2882677779999998</v>
      </c>
      <c r="O3220">
        <v>2.2111774</v>
      </c>
      <c r="P3220">
        <v>83.757575759999995</v>
      </c>
      <c r="Q3220">
        <v>22.60997987</v>
      </c>
      <c r="R3220">
        <v>0.72884000000000004</v>
      </c>
      <c r="S3220">
        <v>0.21301339999999999</v>
      </c>
      <c r="T3220" t="s">
        <v>1018</v>
      </c>
      <c r="U3220">
        <v>1.5594277780000001</v>
      </c>
    </row>
    <row r="3221" spans="1:21" x14ac:dyDescent="0.25">
      <c r="A3221" t="s">
        <v>28</v>
      </c>
      <c r="B3221" t="s">
        <v>934</v>
      </c>
      <c r="C3221">
        <v>16</v>
      </c>
      <c r="D3221" t="s">
        <v>29</v>
      </c>
      <c r="E3221" t="s">
        <v>94</v>
      </c>
      <c r="F3221" t="s">
        <v>112</v>
      </c>
      <c r="G3221" t="s">
        <v>121</v>
      </c>
      <c r="H3221" t="s">
        <v>113</v>
      </c>
      <c r="J3221">
        <v>0</v>
      </c>
      <c r="K3221">
        <v>6</v>
      </c>
      <c r="L3221">
        <v>65.09375</v>
      </c>
      <c r="M3221">
        <v>37.895352600000002</v>
      </c>
      <c r="N3221">
        <v>2.2882677779999998</v>
      </c>
      <c r="O3221">
        <v>2.2111774</v>
      </c>
      <c r="P3221">
        <v>83.757575759999995</v>
      </c>
      <c r="Q3221">
        <v>22.60997987</v>
      </c>
      <c r="R3221">
        <v>0.72884000000000004</v>
      </c>
      <c r="S3221">
        <v>0.21301339999999999</v>
      </c>
      <c r="T3221" t="s">
        <v>1018</v>
      </c>
      <c r="U3221">
        <v>1.5594277780000001</v>
      </c>
    </row>
    <row r="3222" spans="1:21" x14ac:dyDescent="0.25">
      <c r="A3222" t="s">
        <v>28</v>
      </c>
      <c r="B3222" t="s">
        <v>934</v>
      </c>
      <c r="C3222">
        <v>16</v>
      </c>
      <c r="D3222" t="s">
        <v>29</v>
      </c>
      <c r="E3222" t="s">
        <v>94</v>
      </c>
      <c r="F3222" t="s">
        <v>112</v>
      </c>
      <c r="G3222" t="s">
        <v>121</v>
      </c>
      <c r="H3222" t="s">
        <v>113</v>
      </c>
      <c r="J3222">
        <v>0</v>
      </c>
      <c r="K3222">
        <v>6</v>
      </c>
      <c r="L3222">
        <v>65.09375</v>
      </c>
      <c r="M3222">
        <v>37.895352600000002</v>
      </c>
      <c r="N3222">
        <v>2.2882677779999998</v>
      </c>
      <c r="O3222">
        <v>2.2111774</v>
      </c>
      <c r="P3222">
        <v>83.757575759999995</v>
      </c>
      <c r="Q3222">
        <v>22.60997987</v>
      </c>
      <c r="R3222">
        <v>0.72884000000000004</v>
      </c>
      <c r="S3222">
        <v>0.21301339999999999</v>
      </c>
      <c r="T3222" t="s">
        <v>1018</v>
      </c>
      <c r="U3222">
        <v>1.5594277780000001</v>
      </c>
    </row>
    <row r="3223" spans="1:21" x14ac:dyDescent="0.25">
      <c r="A3223" t="s">
        <v>28</v>
      </c>
      <c r="B3223" t="s">
        <v>934</v>
      </c>
      <c r="C3223">
        <v>16</v>
      </c>
      <c r="D3223" t="s">
        <v>29</v>
      </c>
      <c r="E3223" t="s">
        <v>94</v>
      </c>
      <c r="F3223" t="s">
        <v>112</v>
      </c>
      <c r="G3223" t="s">
        <v>121</v>
      </c>
      <c r="H3223" t="s">
        <v>113</v>
      </c>
      <c r="J3223">
        <v>0</v>
      </c>
      <c r="K3223">
        <v>6</v>
      </c>
      <c r="L3223">
        <v>65.09375</v>
      </c>
      <c r="M3223">
        <v>37.895352600000002</v>
      </c>
      <c r="N3223">
        <v>2.2882677779999998</v>
      </c>
      <c r="O3223">
        <v>2.2111774</v>
      </c>
      <c r="P3223">
        <v>83.757575759999995</v>
      </c>
      <c r="Q3223">
        <v>22.60997987</v>
      </c>
      <c r="R3223">
        <v>0.72884000000000004</v>
      </c>
      <c r="S3223">
        <v>0.21301339999999999</v>
      </c>
      <c r="T3223" t="s">
        <v>1018</v>
      </c>
      <c r="U3223">
        <v>1.5594277780000001</v>
      </c>
    </row>
    <row r="3224" spans="1:21" x14ac:dyDescent="0.25">
      <c r="A3224" t="s">
        <v>28</v>
      </c>
      <c r="B3224" t="s">
        <v>934</v>
      </c>
      <c r="C3224">
        <v>16</v>
      </c>
      <c r="D3224" t="s">
        <v>29</v>
      </c>
      <c r="E3224" t="s">
        <v>94</v>
      </c>
      <c r="F3224" t="s">
        <v>112</v>
      </c>
      <c r="G3224" t="s">
        <v>121</v>
      </c>
      <c r="H3224" t="s">
        <v>113</v>
      </c>
      <c r="J3224">
        <v>0</v>
      </c>
      <c r="K3224">
        <v>6</v>
      </c>
      <c r="L3224">
        <v>65.09375</v>
      </c>
      <c r="M3224">
        <v>37.895352600000002</v>
      </c>
      <c r="N3224">
        <v>2.2882677779999998</v>
      </c>
      <c r="O3224">
        <v>2.2111774</v>
      </c>
      <c r="P3224">
        <v>83.757575759999995</v>
      </c>
      <c r="Q3224">
        <v>22.60997987</v>
      </c>
      <c r="R3224">
        <v>0.72884000000000004</v>
      </c>
      <c r="S3224">
        <v>0.21301339999999999</v>
      </c>
      <c r="T3224" t="s">
        <v>1018</v>
      </c>
      <c r="U3224">
        <v>1.5594277780000001</v>
      </c>
    </row>
    <row r="3225" spans="1:21" x14ac:dyDescent="0.25">
      <c r="A3225" t="s">
        <v>28</v>
      </c>
      <c r="B3225" t="s">
        <v>934</v>
      </c>
      <c r="C3225">
        <v>16</v>
      </c>
      <c r="D3225" t="s">
        <v>29</v>
      </c>
      <c r="E3225" t="s">
        <v>94</v>
      </c>
      <c r="F3225" t="s">
        <v>112</v>
      </c>
      <c r="G3225" t="s">
        <v>121</v>
      </c>
      <c r="H3225" t="s">
        <v>113</v>
      </c>
      <c r="J3225">
        <v>0</v>
      </c>
      <c r="K3225">
        <v>6</v>
      </c>
      <c r="L3225">
        <v>65.09375</v>
      </c>
      <c r="M3225">
        <v>37.895352600000002</v>
      </c>
      <c r="N3225">
        <v>2.2882677779999998</v>
      </c>
      <c r="O3225">
        <v>2.2111774</v>
      </c>
      <c r="P3225">
        <v>83.757575759999995</v>
      </c>
      <c r="Q3225">
        <v>22.60997987</v>
      </c>
      <c r="R3225">
        <v>0.72884000000000004</v>
      </c>
      <c r="S3225">
        <v>0.21301339999999999</v>
      </c>
      <c r="T3225" t="s">
        <v>1018</v>
      </c>
      <c r="U3225">
        <v>1.5594277780000001</v>
      </c>
    </row>
    <row r="3226" spans="1:21" x14ac:dyDescent="0.25">
      <c r="A3226" t="s">
        <v>28</v>
      </c>
      <c r="B3226" t="s">
        <v>934</v>
      </c>
      <c r="C3226">
        <v>17</v>
      </c>
      <c r="D3226" t="s">
        <v>29</v>
      </c>
      <c r="E3226" t="s">
        <v>94</v>
      </c>
      <c r="F3226" t="s">
        <v>112</v>
      </c>
      <c r="G3226" t="s">
        <v>121</v>
      </c>
      <c r="H3226" t="s">
        <v>248</v>
      </c>
      <c r="J3226">
        <v>0</v>
      </c>
      <c r="K3226">
        <v>3</v>
      </c>
      <c r="L3226">
        <v>65.09375</v>
      </c>
      <c r="M3226">
        <v>37.895352600000002</v>
      </c>
      <c r="N3226">
        <v>2.2882677779999998</v>
      </c>
      <c r="O3226">
        <v>2.2111774</v>
      </c>
      <c r="P3226">
        <v>83.92307692</v>
      </c>
      <c r="Q3226">
        <v>44.319135699999997</v>
      </c>
      <c r="R3226">
        <v>5.9548609999999997E-3</v>
      </c>
      <c r="S3226">
        <v>0.18017928</v>
      </c>
      <c r="T3226" t="s">
        <v>1018</v>
      </c>
      <c r="U3226">
        <v>2.2823129170000001</v>
      </c>
    </row>
    <row r="3227" spans="1:21" x14ac:dyDescent="0.25">
      <c r="A3227" t="s">
        <v>28</v>
      </c>
      <c r="B3227" t="s">
        <v>934</v>
      </c>
      <c r="C3227">
        <v>17</v>
      </c>
      <c r="D3227" t="s">
        <v>29</v>
      </c>
      <c r="E3227" t="s">
        <v>94</v>
      </c>
      <c r="F3227" t="s">
        <v>112</v>
      </c>
      <c r="G3227" t="s">
        <v>121</v>
      </c>
      <c r="H3227" t="s">
        <v>248</v>
      </c>
      <c r="J3227">
        <v>0</v>
      </c>
      <c r="K3227">
        <v>3</v>
      </c>
      <c r="L3227">
        <v>65.09375</v>
      </c>
      <c r="M3227">
        <v>37.895352600000002</v>
      </c>
      <c r="N3227">
        <v>2.2882677779999998</v>
      </c>
      <c r="O3227">
        <v>2.2111774</v>
      </c>
      <c r="P3227">
        <v>83.92307692</v>
      </c>
      <c r="Q3227">
        <v>44.319135699999997</v>
      </c>
      <c r="R3227">
        <v>5.9548609999999997E-3</v>
      </c>
      <c r="S3227">
        <v>0.18017928</v>
      </c>
      <c r="T3227" t="s">
        <v>1018</v>
      </c>
      <c r="U3227">
        <v>2.2823129170000001</v>
      </c>
    </row>
    <row r="3228" spans="1:21" x14ac:dyDescent="0.25">
      <c r="A3228" t="s">
        <v>28</v>
      </c>
      <c r="B3228" t="s">
        <v>934</v>
      </c>
      <c r="C3228">
        <v>17</v>
      </c>
      <c r="D3228" t="s">
        <v>29</v>
      </c>
      <c r="E3228" t="s">
        <v>94</v>
      </c>
      <c r="F3228" t="s">
        <v>112</v>
      </c>
      <c r="G3228" t="s">
        <v>121</v>
      </c>
      <c r="H3228" t="s">
        <v>248</v>
      </c>
      <c r="J3228">
        <v>0</v>
      </c>
      <c r="K3228">
        <v>3</v>
      </c>
      <c r="L3228">
        <v>65.09375</v>
      </c>
      <c r="M3228">
        <v>37.895352600000002</v>
      </c>
      <c r="N3228">
        <v>2.2882677779999998</v>
      </c>
      <c r="O3228">
        <v>2.2111774</v>
      </c>
      <c r="P3228">
        <v>83.92307692</v>
      </c>
      <c r="Q3228">
        <v>44.319135699999997</v>
      </c>
      <c r="R3228">
        <v>5.9548609999999997E-3</v>
      </c>
      <c r="S3228">
        <v>0.18017928</v>
      </c>
      <c r="T3228" t="s">
        <v>1018</v>
      </c>
      <c r="U3228">
        <v>2.2823129170000001</v>
      </c>
    </row>
    <row r="3229" spans="1:21" x14ac:dyDescent="0.25">
      <c r="A3229" t="s">
        <v>30</v>
      </c>
      <c r="B3229" t="s">
        <v>935</v>
      </c>
      <c r="C3229">
        <v>15</v>
      </c>
      <c r="D3229" t="s">
        <v>31</v>
      </c>
      <c r="E3229" t="s">
        <v>95</v>
      </c>
      <c r="F3229" t="s">
        <v>113</v>
      </c>
      <c r="G3229" t="s">
        <v>121</v>
      </c>
      <c r="H3229" t="s">
        <v>113</v>
      </c>
      <c r="J3229">
        <v>0</v>
      </c>
      <c r="K3229">
        <v>1</v>
      </c>
      <c r="L3229">
        <v>83.757575759999995</v>
      </c>
      <c r="M3229">
        <v>22.60997987</v>
      </c>
      <c r="N3229">
        <v>0.72884000000000004</v>
      </c>
      <c r="O3229">
        <v>0.21301339999999999</v>
      </c>
      <c r="P3229">
        <v>83.757575759999995</v>
      </c>
      <c r="Q3229">
        <v>22.60997987</v>
      </c>
      <c r="R3229">
        <v>0.72884000000000004</v>
      </c>
      <c r="S3229">
        <v>0.21301339999999999</v>
      </c>
      <c r="T3229" t="s">
        <v>1018</v>
      </c>
      <c r="U3229">
        <v>0</v>
      </c>
    </row>
    <row r="3230" spans="1:21" x14ac:dyDescent="0.25">
      <c r="A3230" t="s">
        <v>30</v>
      </c>
      <c r="B3230" t="s">
        <v>935</v>
      </c>
      <c r="C3230">
        <v>16</v>
      </c>
      <c r="D3230" t="s">
        <v>31</v>
      </c>
      <c r="E3230" t="s">
        <v>95</v>
      </c>
      <c r="F3230" t="s">
        <v>113</v>
      </c>
      <c r="G3230" t="s">
        <v>121</v>
      </c>
      <c r="H3230" t="s">
        <v>103</v>
      </c>
      <c r="J3230">
        <v>0</v>
      </c>
      <c r="K3230">
        <v>2</v>
      </c>
      <c r="L3230">
        <v>83.757575759999995</v>
      </c>
      <c r="M3230">
        <v>22.60997987</v>
      </c>
      <c r="N3230">
        <v>0.72884000000000004</v>
      </c>
      <c r="O3230">
        <v>0.21301339999999999</v>
      </c>
      <c r="P3230">
        <v>98.291666669999998</v>
      </c>
      <c r="Q3230">
        <v>30.315130790000001</v>
      </c>
      <c r="R3230">
        <v>5.0803484000000003E-2</v>
      </c>
      <c r="S3230">
        <v>0.42866070000000001</v>
      </c>
      <c r="T3230" t="s">
        <v>1018</v>
      </c>
      <c r="U3230">
        <v>0.67803651600000003</v>
      </c>
    </row>
    <row r="3231" spans="1:21" x14ac:dyDescent="0.25">
      <c r="A3231" t="s">
        <v>30</v>
      </c>
      <c r="B3231" t="s">
        <v>935</v>
      </c>
      <c r="C3231">
        <v>16</v>
      </c>
      <c r="D3231" t="s">
        <v>31</v>
      </c>
      <c r="E3231" t="s">
        <v>95</v>
      </c>
      <c r="F3231" t="s">
        <v>113</v>
      </c>
      <c r="G3231" t="s">
        <v>121</v>
      </c>
      <c r="H3231" t="s">
        <v>103</v>
      </c>
      <c r="J3231">
        <v>0</v>
      </c>
      <c r="K3231">
        <v>2</v>
      </c>
      <c r="L3231">
        <v>83.757575759999995</v>
      </c>
      <c r="M3231">
        <v>22.60997987</v>
      </c>
      <c r="N3231">
        <v>0.72884000000000004</v>
      </c>
      <c r="O3231">
        <v>0.21301339999999999</v>
      </c>
      <c r="P3231">
        <v>98.291666669999998</v>
      </c>
      <c r="Q3231">
        <v>30.315130790000001</v>
      </c>
      <c r="R3231">
        <v>5.0803484000000003E-2</v>
      </c>
      <c r="S3231">
        <v>0.42866070000000001</v>
      </c>
      <c r="T3231" t="s">
        <v>1018</v>
      </c>
      <c r="U3231">
        <v>0.67803651600000003</v>
      </c>
    </row>
    <row r="3232" spans="1:21" x14ac:dyDescent="0.25">
      <c r="A3232" t="s">
        <v>30</v>
      </c>
      <c r="B3232" t="s">
        <v>935</v>
      </c>
      <c r="C3232">
        <v>17</v>
      </c>
      <c r="D3232" t="s">
        <v>31</v>
      </c>
      <c r="E3232" t="s">
        <v>95</v>
      </c>
      <c r="F3232" t="s">
        <v>113</v>
      </c>
      <c r="G3232" t="s">
        <v>121</v>
      </c>
      <c r="H3232" t="s">
        <v>248</v>
      </c>
      <c r="J3232">
        <v>0</v>
      </c>
      <c r="K3232">
        <v>9</v>
      </c>
      <c r="L3232">
        <v>83.757575759999995</v>
      </c>
      <c r="M3232">
        <v>22.60997987</v>
      </c>
      <c r="N3232">
        <v>0.72884000000000004</v>
      </c>
      <c r="O3232">
        <v>0.21301339999999999</v>
      </c>
      <c r="P3232">
        <v>83.92307692</v>
      </c>
      <c r="Q3232">
        <v>44.319135699999997</v>
      </c>
      <c r="R3232">
        <v>5.9548609999999997E-3</v>
      </c>
      <c r="S3232">
        <v>0.18017928</v>
      </c>
      <c r="T3232" t="s">
        <v>1018</v>
      </c>
      <c r="U3232">
        <v>0.72288513899999995</v>
      </c>
    </row>
    <row r="3233" spans="1:21" x14ac:dyDescent="0.25">
      <c r="A3233" t="s">
        <v>30</v>
      </c>
      <c r="B3233" t="s">
        <v>935</v>
      </c>
      <c r="C3233">
        <v>17</v>
      </c>
      <c r="D3233" t="s">
        <v>31</v>
      </c>
      <c r="E3233" t="s">
        <v>95</v>
      </c>
      <c r="F3233" t="s">
        <v>113</v>
      </c>
      <c r="G3233" t="s">
        <v>121</v>
      </c>
      <c r="H3233" t="s">
        <v>248</v>
      </c>
      <c r="J3233">
        <v>0</v>
      </c>
      <c r="K3233">
        <v>9</v>
      </c>
      <c r="L3233">
        <v>83.757575759999995</v>
      </c>
      <c r="M3233">
        <v>22.60997987</v>
      </c>
      <c r="N3233">
        <v>0.72884000000000004</v>
      </c>
      <c r="O3233">
        <v>0.21301339999999999</v>
      </c>
      <c r="P3233">
        <v>83.92307692</v>
      </c>
      <c r="Q3233">
        <v>44.319135699999997</v>
      </c>
      <c r="R3233">
        <v>5.9548609999999997E-3</v>
      </c>
      <c r="S3233">
        <v>0.18017928</v>
      </c>
      <c r="T3233" t="s">
        <v>1018</v>
      </c>
      <c r="U3233">
        <v>0.72288513899999995</v>
      </c>
    </row>
    <row r="3234" spans="1:21" x14ac:dyDescent="0.25">
      <c r="A3234" t="s">
        <v>30</v>
      </c>
      <c r="B3234" t="s">
        <v>935</v>
      </c>
      <c r="C3234">
        <v>17</v>
      </c>
      <c r="D3234" t="s">
        <v>31</v>
      </c>
      <c r="E3234" t="s">
        <v>95</v>
      </c>
      <c r="F3234" t="s">
        <v>113</v>
      </c>
      <c r="G3234" t="s">
        <v>121</v>
      </c>
      <c r="H3234" t="s">
        <v>248</v>
      </c>
      <c r="J3234">
        <v>0</v>
      </c>
      <c r="K3234">
        <v>9</v>
      </c>
      <c r="L3234">
        <v>83.757575759999995</v>
      </c>
      <c r="M3234">
        <v>22.60997987</v>
      </c>
      <c r="N3234">
        <v>0.72884000000000004</v>
      </c>
      <c r="O3234">
        <v>0.21301339999999999</v>
      </c>
      <c r="P3234">
        <v>83.92307692</v>
      </c>
      <c r="Q3234">
        <v>44.319135699999997</v>
      </c>
      <c r="R3234">
        <v>5.9548609999999997E-3</v>
      </c>
      <c r="S3234">
        <v>0.18017928</v>
      </c>
      <c r="T3234" t="s">
        <v>1018</v>
      </c>
      <c r="U3234">
        <v>0.72288513899999995</v>
      </c>
    </row>
    <row r="3235" spans="1:21" x14ac:dyDescent="0.25">
      <c r="A3235" t="s">
        <v>30</v>
      </c>
      <c r="B3235" t="s">
        <v>935</v>
      </c>
      <c r="C3235">
        <v>17</v>
      </c>
      <c r="D3235" t="s">
        <v>31</v>
      </c>
      <c r="E3235" t="s">
        <v>95</v>
      </c>
      <c r="F3235" t="s">
        <v>113</v>
      </c>
      <c r="G3235" t="s">
        <v>121</v>
      </c>
      <c r="H3235" t="s">
        <v>248</v>
      </c>
      <c r="J3235">
        <v>0</v>
      </c>
      <c r="K3235">
        <v>9</v>
      </c>
      <c r="L3235">
        <v>83.757575759999995</v>
      </c>
      <c r="M3235">
        <v>22.60997987</v>
      </c>
      <c r="N3235">
        <v>0.72884000000000004</v>
      </c>
      <c r="O3235">
        <v>0.21301339999999999</v>
      </c>
      <c r="P3235">
        <v>83.92307692</v>
      </c>
      <c r="Q3235">
        <v>44.319135699999997</v>
      </c>
      <c r="R3235">
        <v>5.9548609999999997E-3</v>
      </c>
      <c r="S3235">
        <v>0.18017928</v>
      </c>
      <c r="T3235" t="s">
        <v>1018</v>
      </c>
      <c r="U3235">
        <v>0.72288513899999995</v>
      </c>
    </row>
    <row r="3236" spans="1:21" x14ac:dyDescent="0.25">
      <c r="A3236" t="s">
        <v>30</v>
      </c>
      <c r="B3236" t="s">
        <v>935</v>
      </c>
      <c r="C3236">
        <v>17</v>
      </c>
      <c r="D3236" t="s">
        <v>31</v>
      </c>
      <c r="E3236" t="s">
        <v>95</v>
      </c>
      <c r="F3236" t="s">
        <v>113</v>
      </c>
      <c r="G3236" t="s">
        <v>121</v>
      </c>
      <c r="H3236" t="s">
        <v>248</v>
      </c>
      <c r="J3236">
        <v>0</v>
      </c>
      <c r="K3236">
        <v>9</v>
      </c>
      <c r="L3236">
        <v>83.757575759999995</v>
      </c>
      <c r="M3236">
        <v>22.60997987</v>
      </c>
      <c r="N3236">
        <v>0.72884000000000004</v>
      </c>
      <c r="O3236">
        <v>0.21301339999999999</v>
      </c>
      <c r="P3236">
        <v>83.92307692</v>
      </c>
      <c r="Q3236">
        <v>44.319135699999997</v>
      </c>
      <c r="R3236">
        <v>5.9548609999999997E-3</v>
      </c>
      <c r="S3236">
        <v>0.18017928</v>
      </c>
      <c r="T3236" t="s">
        <v>1018</v>
      </c>
      <c r="U3236">
        <v>0.72288513899999995</v>
      </c>
    </row>
    <row r="3237" spans="1:21" x14ac:dyDescent="0.25">
      <c r="A3237" t="s">
        <v>30</v>
      </c>
      <c r="B3237" t="s">
        <v>935</v>
      </c>
      <c r="C3237">
        <v>17</v>
      </c>
      <c r="D3237" t="s">
        <v>31</v>
      </c>
      <c r="E3237" t="s">
        <v>95</v>
      </c>
      <c r="F3237" t="s">
        <v>113</v>
      </c>
      <c r="G3237" t="s">
        <v>121</v>
      </c>
      <c r="H3237" t="s">
        <v>248</v>
      </c>
      <c r="J3237">
        <v>0</v>
      </c>
      <c r="K3237">
        <v>9</v>
      </c>
      <c r="L3237">
        <v>83.757575759999995</v>
      </c>
      <c r="M3237">
        <v>22.60997987</v>
      </c>
      <c r="N3237">
        <v>0.72884000000000004</v>
      </c>
      <c r="O3237">
        <v>0.21301339999999999</v>
      </c>
      <c r="P3237">
        <v>83.92307692</v>
      </c>
      <c r="Q3237">
        <v>44.319135699999997</v>
      </c>
      <c r="R3237">
        <v>5.9548609999999997E-3</v>
      </c>
      <c r="S3237">
        <v>0.18017928</v>
      </c>
      <c r="T3237" t="s">
        <v>1018</v>
      </c>
      <c r="U3237">
        <v>0.72288513899999995</v>
      </c>
    </row>
    <row r="3238" spans="1:21" x14ac:dyDescent="0.25">
      <c r="A3238" t="s">
        <v>30</v>
      </c>
      <c r="B3238" t="s">
        <v>935</v>
      </c>
      <c r="C3238">
        <v>17</v>
      </c>
      <c r="D3238" t="s">
        <v>31</v>
      </c>
      <c r="E3238" t="s">
        <v>95</v>
      </c>
      <c r="F3238" t="s">
        <v>113</v>
      </c>
      <c r="G3238" t="s">
        <v>121</v>
      </c>
      <c r="H3238" t="s">
        <v>248</v>
      </c>
      <c r="J3238">
        <v>0</v>
      </c>
      <c r="K3238">
        <v>9</v>
      </c>
      <c r="L3238">
        <v>83.757575759999995</v>
      </c>
      <c r="M3238">
        <v>22.60997987</v>
      </c>
      <c r="N3238">
        <v>0.72884000000000004</v>
      </c>
      <c r="O3238">
        <v>0.21301339999999999</v>
      </c>
      <c r="P3238">
        <v>83.92307692</v>
      </c>
      <c r="Q3238">
        <v>44.319135699999997</v>
      </c>
      <c r="R3238">
        <v>5.9548609999999997E-3</v>
      </c>
      <c r="S3238">
        <v>0.18017928</v>
      </c>
      <c r="T3238" t="s">
        <v>1018</v>
      </c>
      <c r="U3238">
        <v>0.72288513899999995</v>
      </c>
    </row>
    <row r="3239" spans="1:21" x14ac:dyDescent="0.25">
      <c r="A3239" t="s">
        <v>30</v>
      </c>
      <c r="B3239" t="s">
        <v>935</v>
      </c>
      <c r="C3239">
        <v>17</v>
      </c>
      <c r="D3239" t="s">
        <v>31</v>
      </c>
      <c r="E3239" t="s">
        <v>95</v>
      </c>
      <c r="F3239" t="s">
        <v>113</v>
      </c>
      <c r="G3239" t="s">
        <v>121</v>
      </c>
      <c r="H3239" t="s">
        <v>248</v>
      </c>
      <c r="J3239">
        <v>0</v>
      </c>
      <c r="K3239">
        <v>9</v>
      </c>
      <c r="L3239">
        <v>83.757575759999995</v>
      </c>
      <c r="M3239">
        <v>22.60997987</v>
      </c>
      <c r="N3239">
        <v>0.72884000000000004</v>
      </c>
      <c r="O3239">
        <v>0.21301339999999999</v>
      </c>
      <c r="P3239">
        <v>83.92307692</v>
      </c>
      <c r="Q3239">
        <v>44.319135699999997</v>
      </c>
      <c r="R3239">
        <v>5.9548609999999997E-3</v>
      </c>
      <c r="S3239">
        <v>0.18017928</v>
      </c>
      <c r="T3239" t="s">
        <v>1018</v>
      </c>
      <c r="U3239">
        <v>0.72288513899999995</v>
      </c>
    </row>
    <row r="3240" spans="1:21" x14ac:dyDescent="0.25">
      <c r="A3240" t="s">
        <v>30</v>
      </c>
      <c r="B3240" t="s">
        <v>935</v>
      </c>
      <c r="C3240">
        <v>17</v>
      </c>
      <c r="D3240" t="s">
        <v>31</v>
      </c>
      <c r="E3240" t="s">
        <v>95</v>
      </c>
      <c r="F3240" t="s">
        <v>113</v>
      </c>
      <c r="G3240" t="s">
        <v>121</v>
      </c>
      <c r="H3240" t="s">
        <v>248</v>
      </c>
      <c r="J3240">
        <v>0</v>
      </c>
      <c r="K3240">
        <v>9</v>
      </c>
      <c r="L3240">
        <v>83.757575759999995</v>
      </c>
      <c r="M3240">
        <v>22.60997987</v>
      </c>
      <c r="N3240">
        <v>0.72884000000000004</v>
      </c>
      <c r="O3240">
        <v>0.21301339999999999</v>
      </c>
      <c r="P3240">
        <v>83.92307692</v>
      </c>
      <c r="Q3240">
        <v>44.319135699999997</v>
      </c>
      <c r="R3240">
        <v>5.9548609999999997E-3</v>
      </c>
      <c r="S3240">
        <v>0.18017928</v>
      </c>
      <c r="T3240" t="s">
        <v>1018</v>
      </c>
      <c r="U3240">
        <v>0.72288513899999995</v>
      </c>
    </row>
    <row r="3241" spans="1:21" x14ac:dyDescent="0.25">
      <c r="A3241" t="s">
        <v>30</v>
      </c>
      <c r="B3241" t="s">
        <v>935</v>
      </c>
      <c r="C3241">
        <v>18</v>
      </c>
      <c r="D3241" t="s">
        <v>31</v>
      </c>
      <c r="E3241" t="s">
        <v>95</v>
      </c>
      <c r="F3241" t="s">
        <v>113</v>
      </c>
      <c r="G3241" t="s">
        <v>121</v>
      </c>
      <c r="H3241" t="s">
        <v>111</v>
      </c>
      <c r="J3241">
        <v>0</v>
      </c>
      <c r="K3241">
        <v>1</v>
      </c>
      <c r="L3241">
        <v>83.757575759999995</v>
      </c>
      <c r="M3241">
        <v>22.60997987</v>
      </c>
      <c r="N3241">
        <v>0.72884000000000004</v>
      </c>
      <c r="O3241">
        <v>0.21301339999999999</v>
      </c>
      <c r="P3241">
        <v>94.97142857</v>
      </c>
      <c r="Q3241">
        <v>24.31591813</v>
      </c>
      <c r="R3241">
        <v>0.122951111</v>
      </c>
      <c r="S3241">
        <v>0.39050790000000002</v>
      </c>
      <c r="T3241" t="s">
        <v>1018</v>
      </c>
      <c r="U3241">
        <v>0.60588888900000004</v>
      </c>
    </row>
    <row r="3242" spans="1:21" x14ac:dyDescent="0.25">
      <c r="A3242" t="s">
        <v>30</v>
      </c>
      <c r="B3242" t="s">
        <v>936</v>
      </c>
      <c r="C3242">
        <v>15</v>
      </c>
      <c r="D3242" t="s">
        <v>31</v>
      </c>
      <c r="E3242" t="s">
        <v>95</v>
      </c>
      <c r="F3242" t="s">
        <v>103</v>
      </c>
      <c r="G3242" t="s">
        <v>113</v>
      </c>
      <c r="H3242" t="s">
        <v>113</v>
      </c>
      <c r="J3242">
        <v>0</v>
      </c>
      <c r="K3242">
        <v>3</v>
      </c>
      <c r="L3242">
        <v>98.291666669999998</v>
      </c>
      <c r="M3242">
        <v>30.315130790000001</v>
      </c>
      <c r="N3242">
        <v>5.0803484000000003E-2</v>
      </c>
      <c r="O3242">
        <v>0.42866070000000001</v>
      </c>
      <c r="P3242">
        <v>83.757575759999995</v>
      </c>
      <c r="Q3242">
        <v>22.60997987</v>
      </c>
      <c r="R3242">
        <v>0.72884000000000004</v>
      </c>
      <c r="S3242">
        <v>0.21301339999999999</v>
      </c>
      <c r="T3242" t="s">
        <v>1018</v>
      </c>
      <c r="U3242">
        <v>-0.67803651600000003</v>
      </c>
    </row>
    <row r="3243" spans="1:21" x14ac:dyDescent="0.25">
      <c r="A3243" t="s">
        <v>30</v>
      </c>
      <c r="B3243" t="s">
        <v>936</v>
      </c>
      <c r="C3243">
        <v>15</v>
      </c>
      <c r="D3243" t="s">
        <v>31</v>
      </c>
      <c r="E3243" t="s">
        <v>95</v>
      </c>
      <c r="F3243" t="s">
        <v>103</v>
      </c>
      <c r="G3243" t="s">
        <v>113</v>
      </c>
      <c r="H3243" t="s">
        <v>113</v>
      </c>
      <c r="J3243">
        <v>0</v>
      </c>
      <c r="K3243">
        <v>3</v>
      </c>
      <c r="L3243">
        <v>98.291666669999998</v>
      </c>
      <c r="M3243">
        <v>30.315130790000001</v>
      </c>
      <c r="N3243">
        <v>5.0803484000000003E-2</v>
      </c>
      <c r="O3243">
        <v>0.42866070000000001</v>
      </c>
      <c r="P3243">
        <v>83.757575759999995</v>
      </c>
      <c r="Q3243">
        <v>22.60997987</v>
      </c>
      <c r="R3243">
        <v>0.72884000000000004</v>
      </c>
      <c r="S3243">
        <v>0.21301339999999999</v>
      </c>
      <c r="T3243" t="s">
        <v>1018</v>
      </c>
      <c r="U3243">
        <v>-0.67803651600000003</v>
      </c>
    </row>
    <row r="3244" spans="1:21" x14ac:dyDescent="0.25">
      <c r="A3244" t="s">
        <v>30</v>
      </c>
      <c r="B3244" t="s">
        <v>936</v>
      </c>
      <c r="C3244">
        <v>15</v>
      </c>
      <c r="D3244" t="s">
        <v>31</v>
      </c>
      <c r="E3244" t="s">
        <v>95</v>
      </c>
      <c r="F3244" t="s">
        <v>103</v>
      </c>
      <c r="G3244" t="s">
        <v>113</v>
      </c>
      <c r="H3244" t="s">
        <v>113</v>
      </c>
      <c r="J3244">
        <v>0</v>
      </c>
      <c r="K3244">
        <v>3</v>
      </c>
      <c r="L3244">
        <v>98.291666669999998</v>
      </c>
      <c r="M3244">
        <v>30.315130790000001</v>
      </c>
      <c r="N3244">
        <v>5.0803484000000003E-2</v>
      </c>
      <c r="O3244">
        <v>0.42866070000000001</v>
      </c>
      <c r="P3244">
        <v>83.757575759999995</v>
      </c>
      <c r="Q3244">
        <v>22.60997987</v>
      </c>
      <c r="R3244">
        <v>0.72884000000000004</v>
      </c>
      <c r="S3244">
        <v>0.21301339999999999</v>
      </c>
      <c r="T3244" t="s">
        <v>1018</v>
      </c>
      <c r="U3244">
        <v>-0.67803651600000003</v>
      </c>
    </row>
    <row r="3245" spans="1:21" x14ac:dyDescent="0.25">
      <c r="A3245" t="s">
        <v>30</v>
      </c>
      <c r="B3245" t="s">
        <v>936</v>
      </c>
      <c r="C3245">
        <v>16</v>
      </c>
      <c r="D3245" t="s">
        <v>31</v>
      </c>
      <c r="E3245" t="s">
        <v>95</v>
      </c>
      <c r="F3245" t="s">
        <v>103</v>
      </c>
      <c r="G3245" t="s">
        <v>113</v>
      </c>
      <c r="H3245" t="s">
        <v>247</v>
      </c>
      <c r="J3245">
        <v>0</v>
      </c>
      <c r="K3245">
        <v>1</v>
      </c>
      <c r="L3245">
        <v>98.291666669999998</v>
      </c>
      <c r="M3245">
        <v>30.315130790000001</v>
      </c>
      <c r="N3245">
        <v>5.0803484000000003E-2</v>
      </c>
      <c r="O3245">
        <v>0.42866070000000001</v>
      </c>
      <c r="P3245">
        <v>65.791044779999993</v>
      </c>
      <c r="Q3245">
        <v>22.94519201</v>
      </c>
      <c r="R3245">
        <v>8.1320334999999994E-2</v>
      </c>
      <c r="S3245">
        <v>0.17285655</v>
      </c>
      <c r="T3245" t="s">
        <v>1018</v>
      </c>
      <c r="U3245">
        <v>-3.0516851000000001E-2</v>
      </c>
    </row>
    <row r="3246" spans="1:21" x14ac:dyDescent="0.25">
      <c r="A3246" t="s">
        <v>30</v>
      </c>
      <c r="B3246" t="s">
        <v>936</v>
      </c>
      <c r="C3246">
        <v>17</v>
      </c>
      <c r="D3246" t="s">
        <v>31</v>
      </c>
      <c r="E3246" t="s">
        <v>95</v>
      </c>
      <c r="F3246" t="s">
        <v>103</v>
      </c>
      <c r="G3246" t="s">
        <v>113</v>
      </c>
      <c r="H3246" t="s">
        <v>111</v>
      </c>
      <c r="J3246">
        <v>0</v>
      </c>
      <c r="K3246">
        <v>1</v>
      </c>
      <c r="L3246">
        <v>98.291666669999998</v>
      </c>
      <c r="M3246">
        <v>30.315130790000001</v>
      </c>
      <c r="N3246">
        <v>5.0803484000000003E-2</v>
      </c>
      <c r="O3246">
        <v>0.42866070000000001</v>
      </c>
      <c r="P3246">
        <v>94.97142857</v>
      </c>
      <c r="Q3246">
        <v>24.31591813</v>
      </c>
      <c r="R3246">
        <v>0.122951111</v>
      </c>
      <c r="S3246">
        <v>0.39050790000000002</v>
      </c>
      <c r="T3246" t="s">
        <v>1018</v>
      </c>
      <c r="U3246">
        <v>-7.2147627000000006E-2</v>
      </c>
    </row>
    <row r="3247" spans="1:21" x14ac:dyDescent="0.25">
      <c r="A3247" t="s">
        <v>30</v>
      </c>
      <c r="B3247" t="s">
        <v>936</v>
      </c>
      <c r="C3247">
        <v>18</v>
      </c>
      <c r="D3247" t="s">
        <v>31</v>
      </c>
      <c r="E3247" t="s">
        <v>95</v>
      </c>
      <c r="F3247" t="s">
        <v>103</v>
      </c>
      <c r="G3247" t="s">
        <v>113</v>
      </c>
      <c r="H3247" t="s">
        <v>234</v>
      </c>
      <c r="J3247">
        <v>0</v>
      </c>
      <c r="K3247">
        <v>1</v>
      </c>
      <c r="L3247">
        <v>98.291666669999998</v>
      </c>
      <c r="M3247">
        <v>30.315130790000001</v>
      </c>
      <c r="N3247">
        <v>5.0803484000000003E-2</v>
      </c>
      <c r="O3247">
        <v>0.42866070000000001</v>
      </c>
      <c r="P3247">
        <v>89.8125</v>
      </c>
      <c r="Q3247">
        <v>34.754706650000003</v>
      </c>
      <c r="R3247">
        <v>2.3065078999999999E-2</v>
      </c>
      <c r="S3247">
        <v>2.4791666700000001</v>
      </c>
      <c r="T3247" t="s">
        <v>1018</v>
      </c>
      <c r="U3247">
        <v>2.7738405000000001E-2</v>
      </c>
    </row>
    <row r="3248" spans="1:21" x14ac:dyDescent="0.25">
      <c r="A3248" t="s">
        <v>30</v>
      </c>
      <c r="B3248" t="s">
        <v>936</v>
      </c>
      <c r="C3248">
        <v>19</v>
      </c>
      <c r="D3248" t="s">
        <v>31</v>
      </c>
      <c r="E3248" t="s">
        <v>95</v>
      </c>
      <c r="F3248" t="s">
        <v>103</v>
      </c>
      <c r="G3248" t="s">
        <v>113</v>
      </c>
      <c r="H3248" t="s">
        <v>241</v>
      </c>
      <c r="J3248">
        <v>0</v>
      </c>
      <c r="K3248">
        <v>1</v>
      </c>
      <c r="L3248">
        <v>98.291666669999998</v>
      </c>
      <c r="M3248">
        <v>30.315130790000001</v>
      </c>
      <c r="N3248">
        <v>5.0803484000000003E-2</v>
      </c>
      <c r="O3248">
        <v>0.42866070000000001</v>
      </c>
      <c r="P3248">
        <v>114</v>
      </c>
      <c r="Q3248">
        <v>30.43077242</v>
      </c>
      <c r="R3248">
        <v>0.53383111100000002</v>
      </c>
      <c r="S3248">
        <v>0.28333332999999999</v>
      </c>
      <c r="T3248" t="s">
        <v>1018</v>
      </c>
      <c r="U3248">
        <v>-0.48302762700000001</v>
      </c>
    </row>
    <row r="3249" spans="1:21" x14ac:dyDescent="0.25">
      <c r="A3249" t="s">
        <v>30</v>
      </c>
      <c r="B3249" t="s">
        <v>937</v>
      </c>
      <c r="C3249">
        <v>15</v>
      </c>
      <c r="D3249" t="s">
        <v>31</v>
      </c>
      <c r="E3249" t="s">
        <v>95</v>
      </c>
      <c r="F3249" t="s">
        <v>112</v>
      </c>
      <c r="G3249" t="s">
        <v>103</v>
      </c>
      <c r="H3249" t="s">
        <v>114</v>
      </c>
      <c r="J3249">
        <v>0</v>
      </c>
      <c r="K3249" t="s">
        <v>114</v>
      </c>
      <c r="L3249">
        <v>65.09375</v>
      </c>
      <c r="M3249">
        <v>37.895352600000002</v>
      </c>
      <c r="N3249">
        <v>2.2882677779999998</v>
      </c>
      <c r="O3249">
        <v>2.2111774</v>
      </c>
      <c r="P3249" t="s">
        <v>114</v>
      </c>
      <c r="Q3249" t="s">
        <v>114</v>
      </c>
      <c r="R3249" t="s">
        <v>114</v>
      </c>
      <c r="S3249" t="s">
        <v>114</v>
      </c>
      <c r="T3249" t="s">
        <v>1018</v>
      </c>
      <c r="U3249" t="s">
        <v>114</v>
      </c>
    </row>
    <row r="3250" spans="1:21" x14ac:dyDescent="0.25">
      <c r="A3250" t="s">
        <v>32</v>
      </c>
      <c r="B3250" t="s">
        <v>938</v>
      </c>
      <c r="C3250">
        <v>15</v>
      </c>
      <c r="D3250" t="s">
        <v>33</v>
      </c>
      <c r="E3250" t="s">
        <v>94</v>
      </c>
      <c r="F3250" t="s">
        <v>105</v>
      </c>
      <c r="G3250" t="s">
        <v>121</v>
      </c>
      <c r="H3250" t="s">
        <v>247</v>
      </c>
      <c r="J3250">
        <v>0</v>
      </c>
      <c r="K3250">
        <v>2</v>
      </c>
      <c r="L3250">
        <v>67.5</v>
      </c>
      <c r="M3250">
        <v>47.937235809999997</v>
      </c>
      <c r="N3250">
        <v>0.41599678000000001</v>
      </c>
      <c r="O3250">
        <v>2.0950346999999998</v>
      </c>
      <c r="P3250">
        <v>65.791044779999993</v>
      </c>
      <c r="Q3250">
        <v>22.94519201</v>
      </c>
      <c r="R3250">
        <v>8.1320334999999994E-2</v>
      </c>
      <c r="S3250">
        <v>0.17285655</v>
      </c>
      <c r="T3250" t="s">
        <v>1018</v>
      </c>
      <c r="U3250">
        <v>0.33467644499999999</v>
      </c>
    </row>
    <row r="3251" spans="1:21" x14ac:dyDescent="0.25">
      <c r="A3251" t="s">
        <v>32</v>
      </c>
      <c r="B3251" t="s">
        <v>938</v>
      </c>
      <c r="C3251">
        <v>15</v>
      </c>
      <c r="D3251" t="s">
        <v>33</v>
      </c>
      <c r="E3251" t="s">
        <v>94</v>
      </c>
      <c r="F3251" t="s">
        <v>105</v>
      </c>
      <c r="G3251" t="s">
        <v>121</v>
      </c>
      <c r="H3251" t="s">
        <v>247</v>
      </c>
      <c r="J3251">
        <v>0</v>
      </c>
      <c r="K3251">
        <v>2</v>
      </c>
      <c r="L3251">
        <v>67.5</v>
      </c>
      <c r="M3251">
        <v>47.937235809999997</v>
      </c>
      <c r="N3251">
        <v>0.41599678000000001</v>
      </c>
      <c r="O3251">
        <v>2.0950346999999998</v>
      </c>
      <c r="P3251">
        <v>65.791044779999993</v>
      </c>
      <c r="Q3251">
        <v>22.94519201</v>
      </c>
      <c r="R3251">
        <v>8.1320334999999994E-2</v>
      </c>
      <c r="S3251">
        <v>0.17285655</v>
      </c>
      <c r="T3251" t="s">
        <v>1018</v>
      </c>
      <c r="U3251">
        <v>0.33467644499999999</v>
      </c>
    </row>
    <row r="3252" spans="1:21" x14ac:dyDescent="0.25">
      <c r="A3252" t="s">
        <v>32</v>
      </c>
      <c r="B3252" t="s">
        <v>938</v>
      </c>
      <c r="C3252">
        <v>16</v>
      </c>
      <c r="D3252" t="s">
        <v>33</v>
      </c>
      <c r="E3252" t="s">
        <v>94</v>
      </c>
      <c r="F3252" t="s">
        <v>105</v>
      </c>
      <c r="G3252" t="s">
        <v>121</v>
      </c>
      <c r="H3252" t="s">
        <v>249</v>
      </c>
      <c r="J3252">
        <v>0</v>
      </c>
      <c r="K3252">
        <v>1</v>
      </c>
      <c r="L3252">
        <v>67.5</v>
      </c>
      <c r="M3252">
        <v>47.937235809999997</v>
      </c>
      <c r="N3252">
        <v>0.41599678000000001</v>
      </c>
      <c r="O3252">
        <v>2.0950346999999998</v>
      </c>
      <c r="P3252">
        <v>81.666666669999998</v>
      </c>
      <c r="Q3252">
        <v>48.056268459999998</v>
      </c>
      <c r="R3252">
        <v>0.120291364</v>
      </c>
      <c r="S3252" t="s">
        <v>114</v>
      </c>
      <c r="T3252" t="s">
        <v>1018</v>
      </c>
      <c r="U3252">
        <v>0.295705416</v>
      </c>
    </row>
    <row r="3253" spans="1:21" x14ac:dyDescent="0.25">
      <c r="A3253" t="s">
        <v>34</v>
      </c>
      <c r="B3253" t="s">
        <v>939</v>
      </c>
      <c r="C3253">
        <v>15</v>
      </c>
      <c r="D3253" t="s">
        <v>35</v>
      </c>
      <c r="E3253" t="s">
        <v>94</v>
      </c>
      <c r="F3253" t="s">
        <v>112</v>
      </c>
      <c r="G3253" t="s">
        <v>112</v>
      </c>
      <c r="H3253" t="s">
        <v>112</v>
      </c>
      <c r="J3253">
        <v>0</v>
      </c>
      <c r="K3253">
        <v>1</v>
      </c>
      <c r="L3253">
        <v>65.09375</v>
      </c>
      <c r="M3253">
        <v>37.895352600000002</v>
      </c>
      <c r="N3253">
        <v>2.2882677779999998</v>
      </c>
      <c r="O3253">
        <v>2.2111774</v>
      </c>
      <c r="P3253">
        <v>65.09375</v>
      </c>
      <c r="Q3253">
        <v>37.895352600000002</v>
      </c>
      <c r="R3253">
        <v>2.2882677779999998</v>
      </c>
      <c r="S3253">
        <v>2.2111774</v>
      </c>
      <c r="T3253" t="s">
        <v>1018</v>
      </c>
      <c r="U3253">
        <v>0</v>
      </c>
    </row>
    <row r="3254" spans="1:21" x14ac:dyDescent="0.25">
      <c r="A3254" t="s">
        <v>36</v>
      </c>
      <c r="B3254" t="s">
        <v>940</v>
      </c>
      <c r="C3254">
        <v>15</v>
      </c>
      <c r="D3254" t="s">
        <v>37</v>
      </c>
      <c r="E3254" t="s">
        <v>95</v>
      </c>
      <c r="F3254" t="s">
        <v>110</v>
      </c>
      <c r="G3254" t="s">
        <v>121</v>
      </c>
      <c r="H3254" t="s">
        <v>110</v>
      </c>
      <c r="J3254">
        <v>0</v>
      </c>
      <c r="K3254">
        <v>1</v>
      </c>
      <c r="L3254">
        <v>73.260869569999997</v>
      </c>
      <c r="M3254">
        <v>34.453830549999999</v>
      </c>
      <c r="N3254">
        <v>1.058333333</v>
      </c>
      <c r="O3254">
        <v>0.90897070000000002</v>
      </c>
      <c r="P3254">
        <v>73.260869569999997</v>
      </c>
      <c r="Q3254">
        <v>34.453830549999999</v>
      </c>
      <c r="R3254">
        <v>1.058333333</v>
      </c>
      <c r="S3254">
        <v>0.90897070000000002</v>
      </c>
      <c r="T3254" t="s">
        <v>1018</v>
      </c>
      <c r="U3254">
        <v>0</v>
      </c>
    </row>
    <row r="3255" spans="1:21" x14ac:dyDescent="0.25">
      <c r="A3255" t="s">
        <v>36</v>
      </c>
      <c r="B3255" t="s">
        <v>941</v>
      </c>
      <c r="C3255">
        <v>15</v>
      </c>
      <c r="D3255" t="s">
        <v>37</v>
      </c>
      <c r="E3255" t="s">
        <v>95</v>
      </c>
      <c r="F3255" t="s">
        <v>104</v>
      </c>
      <c r="G3255" t="s">
        <v>121</v>
      </c>
      <c r="H3255" t="s">
        <v>104</v>
      </c>
      <c r="J3255">
        <v>0</v>
      </c>
      <c r="K3255">
        <v>1</v>
      </c>
      <c r="L3255">
        <v>113.9375</v>
      </c>
      <c r="M3255">
        <v>33.375507550000002</v>
      </c>
      <c r="N3255">
        <v>2.4262999999999999</v>
      </c>
      <c r="O3255">
        <v>0.40692159999999999</v>
      </c>
      <c r="P3255">
        <v>113.9375</v>
      </c>
      <c r="Q3255">
        <v>33.375507550000002</v>
      </c>
      <c r="R3255">
        <v>2.4262999999999999</v>
      </c>
      <c r="S3255">
        <v>0.40692159999999999</v>
      </c>
      <c r="T3255" t="s">
        <v>1018</v>
      </c>
      <c r="U3255">
        <v>0</v>
      </c>
    </row>
    <row r="3256" spans="1:21" x14ac:dyDescent="0.25">
      <c r="A3256" t="s">
        <v>36</v>
      </c>
      <c r="B3256" t="s">
        <v>941</v>
      </c>
      <c r="C3256">
        <v>16</v>
      </c>
      <c r="D3256" t="s">
        <v>37</v>
      </c>
      <c r="E3256" t="s">
        <v>95</v>
      </c>
      <c r="F3256" t="s">
        <v>104</v>
      </c>
      <c r="G3256" t="s">
        <v>121</v>
      </c>
      <c r="H3256" t="s">
        <v>111</v>
      </c>
      <c r="J3256">
        <v>0</v>
      </c>
      <c r="K3256">
        <v>1</v>
      </c>
      <c r="L3256">
        <v>113.9375</v>
      </c>
      <c r="M3256">
        <v>33.375507550000002</v>
      </c>
      <c r="N3256">
        <v>2.4262999999999999</v>
      </c>
      <c r="O3256">
        <v>0.40692159999999999</v>
      </c>
      <c r="P3256">
        <v>94.97142857</v>
      </c>
      <c r="Q3256">
        <v>24.31591813</v>
      </c>
      <c r="R3256">
        <v>0.122951111</v>
      </c>
      <c r="S3256">
        <v>0.39050790000000002</v>
      </c>
      <c r="T3256" t="s">
        <v>1018</v>
      </c>
      <c r="U3256">
        <v>2.303348889</v>
      </c>
    </row>
    <row r="3257" spans="1:21" x14ac:dyDescent="0.25">
      <c r="A3257" t="s">
        <v>36</v>
      </c>
      <c r="B3257" t="s">
        <v>941</v>
      </c>
      <c r="C3257">
        <v>17</v>
      </c>
      <c r="D3257" t="s">
        <v>37</v>
      </c>
      <c r="E3257" t="s">
        <v>95</v>
      </c>
      <c r="F3257" t="s">
        <v>104</v>
      </c>
      <c r="G3257" t="s">
        <v>121</v>
      </c>
      <c r="H3257" t="s">
        <v>162</v>
      </c>
      <c r="J3257">
        <v>0</v>
      </c>
      <c r="K3257">
        <v>1</v>
      </c>
      <c r="L3257">
        <v>113.9375</v>
      </c>
      <c r="M3257">
        <v>33.375507550000002</v>
      </c>
      <c r="N3257">
        <v>2.4262999999999999</v>
      </c>
      <c r="O3257">
        <v>0.40692159999999999</v>
      </c>
      <c r="P3257">
        <v>82.53846154</v>
      </c>
      <c r="Q3257">
        <v>35.660530039999998</v>
      </c>
      <c r="R3257">
        <v>3.3754499999999998</v>
      </c>
      <c r="S3257" t="s">
        <v>114</v>
      </c>
      <c r="T3257" t="s">
        <v>1018</v>
      </c>
      <c r="U3257">
        <v>-0.94915000000000005</v>
      </c>
    </row>
    <row r="3258" spans="1:21" x14ac:dyDescent="0.25">
      <c r="A3258" t="s">
        <v>38</v>
      </c>
      <c r="B3258" t="s">
        <v>942</v>
      </c>
      <c r="C3258">
        <v>2</v>
      </c>
      <c r="D3258" t="s">
        <v>11</v>
      </c>
      <c r="E3258" t="s">
        <v>95</v>
      </c>
      <c r="F3258" t="s">
        <v>113</v>
      </c>
      <c r="G3258" t="s">
        <v>103</v>
      </c>
      <c r="H3258" t="s">
        <v>103</v>
      </c>
      <c r="J3258">
        <v>0</v>
      </c>
      <c r="K3258">
        <v>3</v>
      </c>
      <c r="L3258">
        <v>83.757575759999995</v>
      </c>
      <c r="M3258">
        <v>22.60997987</v>
      </c>
      <c r="N3258">
        <v>0.72884000000000004</v>
      </c>
      <c r="O3258">
        <v>0.21301339999999999</v>
      </c>
      <c r="P3258">
        <v>98.291666669999998</v>
      </c>
      <c r="Q3258">
        <v>30.315130790000001</v>
      </c>
      <c r="R3258">
        <v>5.0803484000000003E-2</v>
      </c>
      <c r="S3258">
        <v>0.42866070000000001</v>
      </c>
      <c r="T3258" t="s">
        <v>1018</v>
      </c>
      <c r="U3258">
        <v>0.67803651600000003</v>
      </c>
    </row>
    <row r="3259" spans="1:21" x14ac:dyDescent="0.25">
      <c r="A3259" t="s">
        <v>38</v>
      </c>
      <c r="B3259" t="s">
        <v>942</v>
      </c>
      <c r="C3259">
        <v>2</v>
      </c>
      <c r="D3259" t="s">
        <v>11</v>
      </c>
      <c r="E3259" t="s">
        <v>95</v>
      </c>
      <c r="F3259" t="s">
        <v>113</v>
      </c>
      <c r="G3259" t="s">
        <v>103</v>
      </c>
      <c r="H3259" t="s">
        <v>103</v>
      </c>
      <c r="J3259">
        <v>0</v>
      </c>
      <c r="K3259">
        <v>3</v>
      </c>
      <c r="L3259">
        <v>83.757575759999995</v>
      </c>
      <c r="M3259">
        <v>22.60997987</v>
      </c>
      <c r="N3259">
        <v>0.72884000000000004</v>
      </c>
      <c r="O3259">
        <v>0.21301339999999999</v>
      </c>
      <c r="P3259">
        <v>98.291666669999998</v>
      </c>
      <c r="Q3259">
        <v>30.315130790000001</v>
      </c>
      <c r="R3259">
        <v>5.0803484000000003E-2</v>
      </c>
      <c r="S3259">
        <v>0.42866070000000001</v>
      </c>
      <c r="T3259" t="s">
        <v>1018</v>
      </c>
      <c r="U3259">
        <v>0.67803651600000003</v>
      </c>
    </row>
    <row r="3260" spans="1:21" x14ac:dyDescent="0.25">
      <c r="A3260" t="s">
        <v>38</v>
      </c>
      <c r="B3260" t="s">
        <v>942</v>
      </c>
      <c r="C3260">
        <v>2</v>
      </c>
      <c r="D3260" t="s">
        <v>11</v>
      </c>
      <c r="E3260" t="s">
        <v>95</v>
      </c>
      <c r="F3260" t="s">
        <v>113</v>
      </c>
      <c r="G3260" t="s">
        <v>103</v>
      </c>
      <c r="H3260" t="s">
        <v>103</v>
      </c>
      <c r="J3260">
        <v>0</v>
      </c>
      <c r="K3260">
        <v>3</v>
      </c>
      <c r="L3260">
        <v>83.757575759999995</v>
      </c>
      <c r="M3260">
        <v>22.60997987</v>
      </c>
      <c r="N3260">
        <v>0.72884000000000004</v>
      </c>
      <c r="O3260">
        <v>0.21301339999999999</v>
      </c>
      <c r="P3260">
        <v>98.291666669999998</v>
      </c>
      <c r="Q3260">
        <v>30.315130790000001</v>
      </c>
      <c r="R3260">
        <v>5.0803484000000003E-2</v>
      </c>
      <c r="S3260">
        <v>0.42866070000000001</v>
      </c>
      <c r="T3260" t="s">
        <v>1018</v>
      </c>
      <c r="U3260">
        <v>0.67803651600000003</v>
      </c>
    </row>
    <row r="3261" spans="1:21" x14ac:dyDescent="0.25">
      <c r="A3261" t="s">
        <v>38</v>
      </c>
      <c r="B3261" t="s">
        <v>943</v>
      </c>
      <c r="C3261">
        <v>2</v>
      </c>
      <c r="D3261" t="s">
        <v>11</v>
      </c>
      <c r="E3261" t="s">
        <v>95</v>
      </c>
      <c r="F3261" t="s">
        <v>103</v>
      </c>
      <c r="G3261" t="s">
        <v>103</v>
      </c>
      <c r="H3261" t="s">
        <v>103</v>
      </c>
      <c r="J3261">
        <v>0</v>
      </c>
      <c r="K3261">
        <v>7</v>
      </c>
      <c r="L3261">
        <v>98.291666669999998</v>
      </c>
      <c r="M3261">
        <v>30.315130790000001</v>
      </c>
      <c r="N3261">
        <v>5.0803484000000003E-2</v>
      </c>
      <c r="O3261">
        <v>0.42866070000000001</v>
      </c>
      <c r="P3261">
        <v>98.291666669999998</v>
      </c>
      <c r="Q3261">
        <v>30.315130790000001</v>
      </c>
      <c r="R3261">
        <v>5.0803484000000003E-2</v>
      </c>
      <c r="S3261">
        <v>0.42866070000000001</v>
      </c>
      <c r="T3261" t="s">
        <v>1018</v>
      </c>
      <c r="U3261">
        <v>0</v>
      </c>
    </row>
    <row r="3262" spans="1:21" x14ac:dyDescent="0.25">
      <c r="A3262" t="s">
        <v>38</v>
      </c>
      <c r="B3262" t="s">
        <v>943</v>
      </c>
      <c r="C3262">
        <v>2</v>
      </c>
      <c r="D3262" t="s">
        <v>11</v>
      </c>
      <c r="E3262" t="s">
        <v>95</v>
      </c>
      <c r="F3262" t="s">
        <v>103</v>
      </c>
      <c r="G3262" t="s">
        <v>103</v>
      </c>
      <c r="H3262" t="s">
        <v>103</v>
      </c>
      <c r="J3262">
        <v>0</v>
      </c>
      <c r="K3262">
        <v>7</v>
      </c>
      <c r="L3262">
        <v>98.291666669999998</v>
      </c>
      <c r="M3262">
        <v>30.315130790000001</v>
      </c>
      <c r="N3262">
        <v>5.0803484000000003E-2</v>
      </c>
      <c r="O3262">
        <v>0.42866070000000001</v>
      </c>
      <c r="P3262">
        <v>98.291666669999998</v>
      </c>
      <c r="Q3262">
        <v>30.315130790000001</v>
      </c>
      <c r="R3262">
        <v>5.0803484000000003E-2</v>
      </c>
      <c r="S3262">
        <v>0.42866070000000001</v>
      </c>
      <c r="T3262" t="s">
        <v>1018</v>
      </c>
      <c r="U3262">
        <v>0</v>
      </c>
    </row>
    <row r="3263" spans="1:21" x14ac:dyDescent="0.25">
      <c r="A3263" t="s">
        <v>38</v>
      </c>
      <c r="B3263" t="s">
        <v>943</v>
      </c>
      <c r="C3263">
        <v>2</v>
      </c>
      <c r="D3263" t="s">
        <v>11</v>
      </c>
      <c r="E3263" t="s">
        <v>95</v>
      </c>
      <c r="F3263" t="s">
        <v>103</v>
      </c>
      <c r="G3263" t="s">
        <v>103</v>
      </c>
      <c r="H3263" t="s">
        <v>103</v>
      </c>
      <c r="J3263">
        <v>0</v>
      </c>
      <c r="K3263">
        <v>7</v>
      </c>
      <c r="L3263">
        <v>98.291666669999998</v>
      </c>
      <c r="M3263">
        <v>30.315130790000001</v>
      </c>
      <c r="N3263">
        <v>5.0803484000000003E-2</v>
      </c>
      <c r="O3263">
        <v>0.42866070000000001</v>
      </c>
      <c r="P3263">
        <v>98.291666669999998</v>
      </c>
      <c r="Q3263">
        <v>30.315130790000001</v>
      </c>
      <c r="R3263">
        <v>5.0803484000000003E-2</v>
      </c>
      <c r="S3263">
        <v>0.42866070000000001</v>
      </c>
      <c r="T3263" t="s">
        <v>1018</v>
      </c>
      <c r="U3263">
        <v>0</v>
      </c>
    </row>
    <row r="3264" spans="1:21" x14ac:dyDescent="0.25">
      <c r="A3264" t="s">
        <v>38</v>
      </c>
      <c r="B3264" t="s">
        <v>943</v>
      </c>
      <c r="C3264">
        <v>2</v>
      </c>
      <c r="D3264" t="s">
        <v>11</v>
      </c>
      <c r="E3264" t="s">
        <v>95</v>
      </c>
      <c r="F3264" t="s">
        <v>103</v>
      </c>
      <c r="G3264" t="s">
        <v>103</v>
      </c>
      <c r="H3264" t="s">
        <v>103</v>
      </c>
      <c r="J3264">
        <v>0</v>
      </c>
      <c r="K3264">
        <v>7</v>
      </c>
      <c r="L3264">
        <v>98.291666669999998</v>
      </c>
      <c r="M3264">
        <v>30.315130790000001</v>
      </c>
      <c r="N3264">
        <v>5.0803484000000003E-2</v>
      </c>
      <c r="O3264">
        <v>0.42866070000000001</v>
      </c>
      <c r="P3264">
        <v>98.291666669999998</v>
      </c>
      <c r="Q3264">
        <v>30.315130790000001</v>
      </c>
      <c r="R3264">
        <v>5.0803484000000003E-2</v>
      </c>
      <c r="S3264">
        <v>0.42866070000000001</v>
      </c>
      <c r="T3264" t="s">
        <v>1018</v>
      </c>
      <c r="U3264">
        <v>0</v>
      </c>
    </row>
    <row r="3265" spans="1:21" x14ac:dyDescent="0.25">
      <c r="A3265" t="s">
        <v>38</v>
      </c>
      <c r="B3265" t="s">
        <v>943</v>
      </c>
      <c r="C3265">
        <v>2</v>
      </c>
      <c r="D3265" t="s">
        <v>11</v>
      </c>
      <c r="E3265" t="s">
        <v>95</v>
      </c>
      <c r="F3265" t="s">
        <v>103</v>
      </c>
      <c r="G3265" t="s">
        <v>103</v>
      </c>
      <c r="H3265" t="s">
        <v>103</v>
      </c>
      <c r="J3265">
        <v>0</v>
      </c>
      <c r="K3265">
        <v>7</v>
      </c>
      <c r="L3265">
        <v>98.291666669999998</v>
      </c>
      <c r="M3265">
        <v>30.315130790000001</v>
      </c>
      <c r="N3265">
        <v>5.0803484000000003E-2</v>
      </c>
      <c r="O3265">
        <v>0.42866070000000001</v>
      </c>
      <c r="P3265">
        <v>98.291666669999998</v>
      </c>
      <c r="Q3265">
        <v>30.315130790000001</v>
      </c>
      <c r="R3265">
        <v>5.0803484000000003E-2</v>
      </c>
      <c r="S3265">
        <v>0.42866070000000001</v>
      </c>
      <c r="T3265" t="s">
        <v>1018</v>
      </c>
      <c r="U3265">
        <v>0</v>
      </c>
    </row>
    <row r="3266" spans="1:21" x14ac:dyDescent="0.25">
      <c r="A3266" t="s">
        <v>38</v>
      </c>
      <c r="B3266" t="s">
        <v>943</v>
      </c>
      <c r="C3266">
        <v>2</v>
      </c>
      <c r="D3266" t="s">
        <v>11</v>
      </c>
      <c r="E3266" t="s">
        <v>95</v>
      </c>
      <c r="F3266" t="s">
        <v>103</v>
      </c>
      <c r="G3266" t="s">
        <v>103</v>
      </c>
      <c r="H3266" t="s">
        <v>103</v>
      </c>
      <c r="J3266">
        <v>0</v>
      </c>
      <c r="K3266">
        <v>7</v>
      </c>
      <c r="L3266">
        <v>98.291666669999998</v>
      </c>
      <c r="M3266">
        <v>30.315130790000001</v>
      </c>
      <c r="N3266">
        <v>5.0803484000000003E-2</v>
      </c>
      <c r="O3266">
        <v>0.42866070000000001</v>
      </c>
      <c r="P3266">
        <v>98.291666669999998</v>
      </c>
      <c r="Q3266">
        <v>30.315130790000001</v>
      </c>
      <c r="R3266">
        <v>5.0803484000000003E-2</v>
      </c>
      <c r="S3266">
        <v>0.42866070000000001</v>
      </c>
      <c r="T3266" t="s">
        <v>1018</v>
      </c>
      <c r="U3266">
        <v>0</v>
      </c>
    </row>
    <row r="3267" spans="1:21" x14ac:dyDescent="0.25">
      <c r="A3267" t="s">
        <v>38</v>
      </c>
      <c r="B3267" t="s">
        <v>943</v>
      </c>
      <c r="C3267">
        <v>2</v>
      </c>
      <c r="D3267" t="s">
        <v>11</v>
      </c>
      <c r="E3267" t="s">
        <v>95</v>
      </c>
      <c r="F3267" t="s">
        <v>103</v>
      </c>
      <c r="G3267" t="s">
        <v>103</v>
      </c>
      <c r="H3267" t="s">
        <v>103</v>
      </c>
      <c r="J3267">
        <v>0</v>
      </c>
      <c r="K3267">
        <v>7</v>
      </c>
      <c r="L3267">
        <v>98.291666669999998</v>
      </c>
      <c r="M3267">
        <v>30.315130790000001</v>
      </c>
      <c r="N3267">
        <v>5.0803484000000003E-2</v>
      </c>
      <c r="O3267">
        <v>0.42866070000000001</v>
      </c>
      <c r="P3267">
        <v>98.291666669999998</v>
      </c>
      <c r="Q3267">
        <v>30.315130790000001</v>
      </c>
      <c r="R3267">
        <v>5.0803484000000003E-2</v>
      </c>
      <c r="S3267">
        <v>0.42866070000000001</v>
      </c>
      <c r="T3267" t="s">
        <v>1018</v>
      </c>
      <c r="U3267">
        <v>0</v>
      </c>
    </row>
    <row r="3268" spans="1:21" x14ac:dyDescent="0.25">
      <c r="A3268" t="s">
        <v>38</v>
      </c>
      <c r="B3268" t="s">
        <v>943</v>
      </c>
      <c r="C3268">
        <v>2</v>
      </c>
      <c r="D3268" t="s">
        <v>11</v>
      </c>
      <c r="E3268" t="s">
        <v>95</v>
      </c>
      <c r="F3268" t="s">
        <v>103</v>
      </c>
      <c r="G3268" t="s">
        <v>103</v>
      </c>
      <c r="H3268" t="s">
        <v>113</v>
      </c>
      <c r="J3268">
        <v>0</v>
      </c>
      <c r="K3268">
        <v>2</v>
      </c>
      <c r="L3268">
        <v>98.291666669999998</v>
      </c>
      <c r="M3268">
        <v>30.315130790000001</v>
      </c>
      <c r="N3268">
        <v>5.0803484000000003E-2</v>
      </c>
      <c r="O3268">
        <v>0.42866070000000001</v>
      </c>
      <c r="P3268">
        <v>83.757575759999995</v>
      </c>
      <c r="Q3268">
        <v>22.60997987</v>
      </c>
      <c r="R3268">
        <v>0.72884000000000004</v>
      </c>
      <c r="S3268">
        <v>0.21301339999999999</v>
      </c>
      <c r="T3268" t="s">
        <v>1018</v>
      </c>
      <c r="U3268">
        <v>-0.67803651600000003</v>
      </c>
    </row>
    <row r="3269" spans="1:21" x14ac:dyDescent="0.25">
      <c r="A3269" t="s">
        <v>38</v>
      </c>
      <c r="B3269" t="s">
        <v>943</v>
      </c>
      <c r="C3269">
        <v>2</v>
      </c>
      <c r="D3269" t="s">
        <v>11</v>
      </c>
      <c r="E3269" t="s">
        <v>95</v>
      </c>
      <c r="F3269" t="s">
        <v>103</v>
      </c>
      <c r="G3269" t="s">
        <v>103</v>
      </c>
      <c r="H3269" t="s">
        <v>113</v>
      </c>
      <c r="J3269">
        <v>0</v>
      </c>
      <c r="K3269">
        <v>2</v>
      </c>
      <c r="L3269">
        <v>98.291666669999998</v>
      </c>
      <c r="M3269">
        <v>30.315130790000001</v>
      </c>
      <c r="N3269">
        <v>5.0803484000000003E-2</v>
      </c>
      <c r="O3269">
        <v>0.42866070000000001</v>
      </c>
      <c r="P3269">
        <v>83.757575759999995</v>
      </c>
      <c r="Q3269">
        <v>22.60997987</v>
      </c>
      <c r="R3269">
        <v>0.72884000000000004</v>
      </c>
      <c r="S3269">
        <v>0.21301339999999999</v>
      </c>
      <c r="T3269" t="s">
        <v>1018</v>
      </c>
      <c r="U3269">
        <v>-0.67803651600000003</v>
      </c>
    </row>
    <row r="3270" spans="1:21" x14ac:dyDescent="0.25">
      <c r="A3270" t="s">
        <v>38</v>
      </c>
      <c r="B3270" t="s">
        <v>944</v>
      </c>
      <c r="C3270">
        <v>2</v>
      </c>
      <c r="D3270" t="s">
        <v>11</v>
      </c>
      <c r="E3270" t="s">
        <v>95</v>
      </c>
      <c r="F3270" t="s">
        <v>111</v>
      </c>
      <c r="G3270" t="s">
        <v>103</v>
      </c>
      <c r="H3270" t="s">
        <v>103</v>
      </c>
      <c r="J3270">
        <v>0</v>
      </c>
      <c r="K3270">
        <v>2</v>
      </c>
      <c r="L3270">
        <v>94.97142857</v>
      </c>
      <c r="M3270">
        <v>24.31591813</v>
      </c>
      <c r="N3270">
        <v>0.122951111</v>
      </c>
      <c r="O3270">
        <v>0.39050790000000002</v>
      </c>
      <c r="P3270">
        <v>98.291666669999998</v>
      </c>
      <c r="Q3270">
        <v>30.315130790000001</v>
      </c>
      <c r="R3270">
        <v>5.0803484000000003E-2</v>
      </c>
      <c r="S3270">
        <v>0.42866070000000001</v>
      </c>
      <c r="T3270" t="s">
        <v>1018</v>
      </c>
      <c r="U3270">
        <v>7.2147627000000006E-2</v>
      </c>
    </row>
    <row r="3271" spans="1:21" x14ac:dyDescent="0.25">
      <c r="A3271" t="s">
        <v>38</v>
      </c>
      <c r="B3271" t="s">
        <v>944</v>
      </c>
      <c r="C3271">
        <v>2</v>
      </c>
      <c r="D3271" t="s">
        <v>11</v>
      </c>
      <c r="E3271" t="s">
        <v>95</v>
      </c>
      <c r="F3271" t="s">
        <v>111</v>
      </c>
      <c r="G3271" t="s">
        <v>103</v>
      </c>
      <c r="H3271" t="s">
        <v>103</v>
      </c>
      <c r="J3271">
        <v>0</v>
      </c>
      <c r="K3271">
        <v>2</v>
      </c>
      <c r="L3271">
        <v>94.97142857</v>
      </c>
      <c r="M3271">
        <v>24.31591813</v>
      </c>
      <c r="N3271">
        <v>0.122951111</v>
      </c>
      <c r="O3271">
        <v>0.39050790000000002</v>
      </c>
      <c r="P3271">
        <v>98.291666669999998</v>
      </c>
      <c r="Q3271">
        <v>30.315130790000001</v>
      </c>
      <c r="R3271">
        <v>5.0803484000000003E-2</v>
      </c>
      <c r="S3271">
        <v>0.42866070000000001</v>
      </c>
      <c r="T3271" t="s">
        <v>1018</v>
      </c>
      <c r="U3271">
        <v>7.2147627000000006E-2</v>
      </c>
    </row>
    <row r="3272" spans="1:21" x14ac:dyDescent="0.25">
      <c r="A3272" t="s">
        <v>39</v>
      </c>
      <c r="B3272" t="s">
        <v>945</v>
      </c>
      <c r="C3272">
        <v>2</v>
      </c>
      <c r="D3272" t="s">
        <v>15</v>
      </c>
      <c r="E3272" t="s">
        <v>94</v>
      </c>
      <c r="F3272" t="s">
        <v>102</v>
      </c>
      <c r="G3272" t="s">
        <v>102</v>
      </c>
      <c r="H3272" t="s">
        <v>235</v>
      </c>
      <c r="J3272">
        <v>0</v>
      </c>
      <c r="K3272">
        <v>1</v>
      </c>
      <c r="L3272">
        <v>84.740740740000007</v>
      </c>
      <c r="M3272">
        <v>29.167014049999999</v>
      </c>
      <c r="N3272">
        <v>1.1169849999999999</v>
      </c>
      <c r="O3272">
        <v>1.1571499000000001</v>
      </c>
      <c r="P3272">
        <v>132.27272730000001</v>
      </c>
      <c r="Q3272">
        <v>20.180448590000001</v>
      </c>
      <c r="R3272">
        <v>3.7813451999999997E-2</v>
      </c>
      <c r="S3272">
        <v>0.41404401000000002</v>
      </c>
      <c r="T3272" t="s">
        <v>1018</v>
      </c>
      <c r="U3272">
        <v>1.0791715479999999</v>
      </c>
    </row>
    <row r="3273" spans="1:21" x14ac:dyDescent="0.25">
      <c r="A3273" t="s">
        <v>39</v>
      </c>
      <c r="B3273" t="s">
        <v>945</v>
      </c>
      <c r="C3273">
        <v>2</v>
      </c>
      <c r="D3273" t="s">
        <v>15</v>
      </c>
      <c r="E3273" t="s">
        <v>94</v>
      </c>
      <c r="F3273" t="s">
        <v>102</v>
      </c>
      <c r="G3273" t="s">
        <v>102</v>
      </c>
      <c r="H3273" t="s">
        <v>113</v>
      </c>
      <c r="J3273">
        <v>0</v>
      </c>
      <c r="K3273">
        <v>2</v>
      </c>
      <c r="L3273">
        <v>84.740740740000007</v>
      </c>
      <c r="M3273">
        <v>29.167014049999999</v>
      </c>
      <c r="N3273">
        <v>1.1169849999999999</v>
      </c>
      <c r="O3273">
        <v>1.1571499000000001</v>
      </c>
      <c r="P3273">
        <v>83.757575759999995</v>
      </c>
      <c r="Q3273">
        <v>22.60997987</v>
      </c>
      <c r="R3273">
        <v>0.72884000000000004</v>
      </c>
      <c r="S3273">
        <v>0.21301339999999999</v>
      </c>
      <c r="T3273" t="s">
        <v>1018</v>
      </c>
      <c r="U3273">
        <v>0.38814500000000002</v>
      </c>
    </row>
    <row r="3274" spans="1:21" x14ac:dyDescent="0.25">
      <c r="A3274" t="s">
        <v>39</v>
      </c>
      <c r="B3274" t="s">
        <v>945</v>
      </c>
      <c r="C3274">
        <v>2</v>
      </c>
      <c r="D3274" t="s">
        <v>15</v>
      </c>
      <c r="E3274" t="s">
        <v>94</v>
      </c>
      <c r="F3274" t="s">
        <v>102</v>
      </c>
      <c r="G3274" t="s">
        <v>102</v>
      </c>
      <c r="H3274" t="s">
        <v>113</v>
      </c>
      <c r="J3274">
        <v>0</v>
      </c>
      <c r="K3274">
        <v>2</v>
      </c>
      <c r="L3274">
        <v>84.740740740000007</v>
      </c>
      <c r="M3274">
        <v>29.167014049999999</v>
      </c>
      <c r="N3274">
        <v>1.1169849999999999</v>
      </c>
      <c r="O3274">
        <v>1.1571499000000001</v>
      </c>
      <c r="P3274">
        <v>83.757575759999995</v>
      </c>
      <c r="Q3274">
        <v>22.60997987</v>
      </c>
      <c r="R3274">
        <v>0.72884000000000004</v>
      </c>
      <c r="S3274">
        <v>0.21301339999999999</v>
      </c>
      <c r="T3274" t="s">
        <v>1018</v>
      </c>
      <c r="U3274">
        <v>0.38814500000000002</v>
      </c>
    </row>
    <row r="3275" spans="1:21" x14ac:dyDescent="0.25">
      <c r="A3275" t="s">
        <v>39</v>
      </c>
      <c r="B3275" t="s">
        <v>945</v>
      </c>
      <c r="C3275">
        <v>2</v>
      </c>
      <c r="D3275" t="s">
        <v>15</v>
      </c>
      <c r="E3275" t="s">
        <v>94</v>
      </c>
      <c r="F3275" t="s">
        <v>102</v>
      </c>
      <c r="G3275" t="s">
        <v>102</v>
      </c>
      <c r="H3275" t="s">
        <v>103</v>
      </c>
      <c r="J3275">
        <v>0</v>
      </c>
      <c r="K3275">
        <v>3</v>
      </c>
      <c r="L3275">
        <v>84.740740740000007</v>
      </c>
      <c r="M3275">
        <v>29.167014049999999</v>
      </c>
      <c r="N3275">
        <v>1.1169849999999999</v>
      </c>
      <c r="O3275">
        <v>1.1571499000000001</v>
      </c>
      <c r="P3275">
        <v>98.291666669999998</v>
      </c>
      <c r="Q3275">
        <v>30.315130790000001</v>
      </c>
      <c r="R3275">
        <v>5.0803484000000003E-2</v>
      </c>
      <c r="S3275">
        <v>0.42866070000000001</v>
      </c>
      <c r="T3275" t="s">
        <v>1018</v>
      </c>
      <c r="U3275">
        <v>1.0661815160000001</v>
      </c>
    </row>
    <row r="3276" spans="1:21" x14ac:dyDescent="0.25">
      <c r="A3276" t="s">
        <v>39</v>
      </c>
      <c r="B3276" t="s">
        <v>945</v>
      </c>
      <c r="C3276">
        <v>2</v>
      </c>
      <c r="D3276" t="s">
        <v>15</v>
      </c>
      <c r="E3276" t="s">
        <v>94</v>
      </c>
      <c r="F3276" t="s">
        <v>102</v>
      </c>
      <c r="G3276" t="s">
        <v>102</v>
      </c>
      <c r="H3276" t="s">
        <v>103</v>
      </c>
      <c r="J3276">
        <v>0</v>
      </c>
      <c r="K3276">
        <v>3</v>
      </c>
      <c r="L3276">
        <v>84.740740740000007</v>
      </c>
      <c r="M3276">
        <v>29.167014049999999</v>
      </c>
      <c r="N3276">
        <v>1.1169849999999999</v>
      </c>
      <c r="O3276">
        <v>1.1571499000000001</v>
      </c>
      <c r="P3276">
        <v>98.291666669999998</v>
      </c>
      <c r="Q3276">
        <v>30.315130790000001</v>
      </c>
      <c r="R3276">
        <v>5.0803484000000003E-2</v>
      </c>
      <c r="S3276">
        <v>0.42866070000000001</v>
      </c>
      <c r="T3276" t="s">
        <v>1018</v>
      </c>
      <c r="U3276">
        <v>1.0661815160000001</v>
      </c>
    </row>
    <row r="3277" spans="1:21" x14ac:dyDescent="0.25">
      <c r="A3277" t="s">
        <v>39</v>
      </c>
      <c r="B3277" t="s">
        <v>945</v>
      </c>
      <c r="C3277">
        <v>2</v>
      </c>
      <c r="D3277" t="s">
        <v>15</v>
      </c>
      <c r="E3277" t="s">
        <v>94</v>
      </c>
      <c r="F3277" t="s">
        <v>102</v>
      </c>
      <c r="G3277" t="s">
        <v>102</v>
      </c>
      <c r="H3277" t="s">
        <v>103</v>
      </c>
      <c r="J3277">
        <v>0</v>
      </c>
      <c r="K3277">
        <v>3</v>
      </c>
      <c r="L3277">
        <v>84.740740740000007</v>
      </c>
      <c r="M3277">
        <v>29.167014049999999</v>
      </c>
      <c r="N3277">
        <v>1.1169849999999999</v>
      </c>
      <c r="O3277">
        <v>1.1571499000000001</v>
      </c>
      <c r="P3277">
        <v>98.291666669999998</v>
      </c>
      <c r="Q3277">
        <v>30.315130790000001</v>
      </c>
      <c r="R3277">
        <v>5.0803484000000003E-2</v>
      </c>
      <c r="S3277">
        <v>0.42866070000000001</v>
      </c>
      <c r="T3277" t="s">
        <v>1018</v>
      </c>
      <c r="U3277">
        <v>1.0661815160000001</v>
      </c>
    </row>
    <row r="3278" spans="1:21" x14ac:dyDescent="0.25">
      <c r="A3278" t="s">
        <v>39</v>
      </c>
      <c r="B3278" t="s">
        <v>945</v>
      </c>
      <c r="C3278">
        <v>2</v>
      </c>
      <c r="D3278" t="s">
        <v>15</v>
      </c>
      <c r="E3278" t="s">
        <v>94</v>
      </c>
      <c r="F3278" t="s">
        <v>102</v>
      </c>
      <c r="G3278" t="s">
        <v>102</v>
      </c>
      <c r="H3278" t="s">
        <v>233</v>
      </c>
      <c r="J3278">
        <v>0</v>
      </c>
      <c r="K3278">
        <v>1</v>
      </c>
      <c r="L3278">
        <v>84.740740740000007</v>
      </c>
      <c r="M3278">
        <v>29.167014049999999</v>
      </c>
      <c r="N3278">
        <v>1.1169849999999999</v>
      </c>
      <c r="O3278">
        <v>1.1571499000000001</v>
      </c>
      <c r="P3278">
        <v>106.0540541</v>
      </c>
      <c r="Q3278">
        <v>52.690533369999997</v>
      </c>
      <c r="R3278">
        <v>7.6058968000000005E-2</v>
      </c>
      <c r="S3278">
        <v>0.44888888999999998</v>
      </c>
      <c r="T3278" t="s">
        <v>1018</v>
      </c>
      <c r="U3278">
        <v>1.040926032</v>
      </c>
    </row>
    <row r="3279" spans="1:21" x14ac:dyDescent="0.25">
      <c r="A3279" t="s">
        <v>39</v>
      </c>
      <c r="B3279" t="s">
        <v>945</v>
      </c>
      <c r="C3279">
        <v>2</v>
      </c>
      <c r="D3279" t="s">
        <v>15</v>
      </c>
      <c r="E3279" t="s">
        <v>94</v>
      </c>
      <c r="F3279" t="s">
        <v>102</v>
      </c>
      <c r="G3279" t="s">
        <v>102</v>
      </c>
      <c r="H3279" t="s">
        <v>104</v>
      </c>
      <c r="J3279">
        <v>0</v>
      </c>
      <c r="K3279">
        <v>1</v>
      </c>
      <c r="L3279">
        <v>84.740740740000007</v>
      </c>
      <c r="M3279">
        <v>29.167014049999999</v>
      </c>
      <c r="N3279">
        <v>1.1169849999999999</v>
      </c>
      <c r="O3279">
        <v>1.1571499000000001</v>
      </c>
      <c r="P3279">
        <v>113.9375</v>
      </c>
      <c r="Q3279">
        <v>33.375507550000002</v>
      </c>
      <c r="R3279">
        <v>2.4262999999999999</v>
      </c>
      <c r="S3279">
        <v>0.40692159999999999</v>
      </c>
      <c r="T3279" t="s">
        <v>1018</v>
      </c>
      <c r="U3279">
        <v>-1.309315</v>
      </c>
    </row>
    <row r="3280" spans="1:21" x14ac:dyDescent="0.25">
      <c r="A3280" t="s">
        <v>39</v>
      </c>
      <c r="B3280" t="s">
        <v>946</v>
      </c>
      <c r="C3280">
        <v>2</v>
      </c>
      <c r="D3280" t="s">
        <v>15</v>
      </c>
      <c r="E3280" t="s">
        <v>94</v>
      </c>
      <c r="F3280" t="s">
        <v>113</v>
      </c>
      <c r="G3280" t="s">
        <v>113</v>
      </c>
      <c r="H3280" t="s">
        <v>113</v>
      </c>
      <c r="J3280">
        <v>0</v>
      </c>
      <c r="K3280">
        <v>5</v>
      </c>
      <c r="L3280">
        <v>83.757575759999995</v>
      </c>
      <c r="M3280">
        <v>22.60997987</v>
      </c>
      <c r="N3280">
        <v>0.72884000000000004</v>
      </c>
      <c r="O3280">
        <v>0.21301339999999999</v>
      </c>
      <c r="P3280">
        <v>83.757575759999995</v>
      </c>
      <c r="Q3280">
        <v>22.60997987</v>
      </c>
      <c r="R3280">
        <v>0.72884000000000004</v>
      </c>
      <c r="S3280">
        <v>0.21301339999999999</v>
      </c>
      <c r="T3280" t="s">
        <v>1018</v>
      </c>
      <c r="U3280">
        <v>0</v>
      </c>
    </row>
    <row r="3281" spans="1:21" x14ac:dyDescent="0.25">
      <c r="A3281" t="s">
        <v>39</v>
      </c>
      <c r="B3281" t="s">
        <v>946</v>
      </c>
      <c r="C3281">
        <v>2</v>
      </c>
      <c r="D3281" t="s">
        <v>15</v>
      </c>
      <c r="E3281" t="s">
        <v>94</v>
      </c>
      <c r="F3281" t="s">
        <v>113</v>
      </c>
      <c r="G3281" t="s">
        <v>113</v>
      </c>
      <c r="H3281" t="s">
        <v>113</v>
      </c>
      <c r="J3281">
        <v>0</v>
      </c>
      <c r="K3281">
        <v>5</v>
      </c>
      <c r="L3281">
        <v>83.757575759999995</v>
      </c>
      <c r="M3281">
        <v>22.60997987</v>
      </c>
      <c r="N3281">
        <v>0.72884000000000004</v>
      </c>
      <c r="O3281">
        <v>0.21301339999999999</v>
      </c>
      <c r="P3281">
        <v>83.757575759999995</v>
      </c>
      <c r="Q3281">
        <v>22.60997987</v>
      </c>
      <c r="R3281">
        <v>0.72884000000000004</v>
      </c>
      <c r="S3281">
        <v>0.21301339999999999</v>
      </c>
      <c r="T3281" t="s">
        <v>1018</v>
      </c>
      <c r="U3281">
        <v>0</v>
      </c>
    </row>
    <row r="3282" spans="1:21" x14ac:dyDescent="0.25">
      <c r="A3282" t="s">
        <v>39</v>
      </c>
      <c r="B3282" t="s">
        <v>946</v>
      </c>
      <c r="C3282">
        <v>2</v>
      </c>
      <c r="D3282" t="s">
        <v>15</v>
      </c>
      <c r="E3282" t="s">
        <v>94</v>
      </c>
      <c r="F3282" t="s">
        <v>113</v>
      </c>
      <c r="G3282" t="s">
        <v>113</v>
      </c>
      <c r="H3282" t="s">
        <v>113</v>
      </c>
      <c r="J3282">
        <v>0</v>
      </c>
      <c r="K3282">
        <v>5</v>
      </c>
      <c r="L3282">
        <v>83.757575759999995</v>
      </c>
      <c r="M3282">
        <v>22.60997987</v>
      </c>
      <c r="N3282">
        <v>0.72884000000000004</v>
      </c>
      <c r="O3282">
        <v>0.21301339999999999</v>
      </c>
      <c r="P3282">
        <v>83.757575759999995</v>
      </c>
      <c r="Q3282">
        <v>22.60997987</v>
      </c>
      <c r="R3282">
        <v>0.72884000000000004</v>
      </c>
      <c r="S3282">
        <v>0.21301339999999999</v>
      </c>
      <c r="T3282" t="s">
        <v>1018</v>
      </c>
      <c r="U3282">
        <v>0</v>
      </c>
    </row>
    <row r="3283" spans="1:21" x14ac:dyDescent="0.25">
      <c r="A3283" t="s">
        <v>39</v>
      </c>
      <c r="B3283" t="s">
        <v>946</v>
      </c>
      <c r="C3283">
        <v>2</v>
      </c>
      <c r="D3283" t="s">
        <v>15</v>
      </c>
      <c r="E3283" t="s">
        <v>94</v>
      </c>
      <c r="F3283" t="s">
        <v>113</v>
      </c>
      <c r="G3283" t="s">
        <v>113</v>
      </c>
      <c r="H3283" t="s">
        <v>113</v>
      </c>
      <c r="J3283">
        <v>0</v>
      </c>
      <c r="K3283">
        <v>5</v>
      </c>
      <c r="L3283">
        <v>83.757575759999995</v>
      </c>
      <c r="M3283">
        <v>22.60997987</v>
      </c>
      <c r="N3283">
        <v>0.72884000000000004</v>
      </c>
      <c r="O3283">
        <v>0.21301339999999999</v>
      </c>
      <c r="P3283">
        <v>83.757575759999995</v>
      </c>
      <c r="Q3283">
        <v>22.60997987</v>
      </c>
      <c r="R3283">
        <v>0.72884000000000004</v>
      </c>
      <c r="S3283">
        <v>0.21301339999999999</v>
      </c>
      <c r="T3283" t="s">
        <v>1018</v>
      </c>
      <c r="U3283">
        <v>0</v>
      </c>
    </row>
    <row r="3284" spans="1:21" x14ac:dyDescent="0.25">
      <c r="A3284" t="s">
        <v>39</v>
      </c>
      <c r="B3284" t="s">
        <v>946</v>
      </c>
      <c r="C3284">
        <v>2</v>
      </c>
      <c r="D3284" t="s">
        <v>15</v>
      </c>
      <c r="E3284" t="s">
        <v>94</v>
      </c>
      <c r="F3284" t="s">
        <v>113</v>
      </c>
      <c r="G3284" t="s">
        <v>113</v>
      </c>
      <c r="H3284" t="s">
        <v>113</v>
      </c>
      <c r="J3284">
        <v>0</v>
      </c>
      <c r="K3284">
        <v>5</v>
      </c>
      <c r="L3284">
        <v>83.757575759999995</v>
      </c>
      <c r="M3284">
        <v>22.60997987</v>
      </c>
      <c r="N3284">
        <v>0.72884000000000004</v>
      </c>
      <c r="O3284">
        <v>0.21301339999999999</v>
      </c>
      <c r="P3284">
        <v>83.757575759999995</v>
      </c>
      <c r="Q3284">
        <v>22.60997987</v>
      </c>
      <c r="R3284">
        <v>0.72884000000000004</v>
      </c>
      <c r="S3284">
        <v>0.21301339999999999</v>
      </c>
      <c r="T3284" t="s">
        <v>1018</v>
      </c>
      <c r="U3284">
        <v>0</v>
      </c>
    </row>
    <row r="3285" spans="1:21" x14ac:dyDescent="0.25">
      <c r="A3285" t="s">
        <v>39</v>
      </c>
      <c r="B3285" t="s">
        <v>946</v>
      </c>
      <c r="C3285">
        <v>2</v>
      </c>
      <c r="D3285" t="s">
        <v>15</v>
      </c>
      <c r="E3285" t="s">
        <v>94</v>
      </c>
      <c r="F3285" t="s">
        <v>113</v>
      </c>
      <c r="G3285" t="s">
        <v>113</v>
      </c>
      <c r="H3285" t="s">
        <v>233</v>
      </c>
      <c r="J3285">
        <v>0</v>
      </c>
      <c r="K3285">
        <v>4</v>
      </c>
      <c r="L3285">
        <v>83.757575759999995</v>
      </c>
      <c r="M3285">
        <v>22.60997987</v>
      </c>
      <c r="N3285">
        <v>0.72884000000000004</v>
      </c>
      <c r="O3285">
        <v>0.21301339999999999</v>
      </c>
      <c r="P3285">
        <v>106.0540541</v>
      </c>
      <c r="Q3285">
        <v>52.690533369999997</v>
      </c>
      <c r="R3285">
        <v>7.6058968000000005E-2</v>
      </c>
      <c r="S3285">
        <v>0.44888888999999998</v>
      </c>
      <c r="T3285" t="s">
        <v>1018</v>
      </c>
      <c r="U3285">
        <v>0.65278103200000004</v>
      </c>
    </row>
    <row r="3286" spans="1:21" x14ac:dyDescent="0.25">
      <c r="A3286" t="s">
        <v>39</v>
      </c>
      <c r="B3286" t="s">
        <v>946</v>
      </c>
      <c r="C3286">
        <v>2</v>
      </c>
      <c r="D3286" t="s">
        <v>15</v>
      </c>
      <c r="E3286" t="s">
        <v>94</v>
      </c>
      <c r="F3286" t="s">
        <v>113</v>
      </c>
      <c r="G3286" t="s">
        <v>113</v>
      </c>
      <c r="H3286" t="s">
        <v>233</v>
      </c>
      <c r="J3286">
        <v>0</v>
      </c>
      <c r="K3286">
        <v>4</v>
      </c>
      <c r="L3286">
        <v>83.757575759999995</v>
      </c>
      <c r="M3286">
        <v>22.60997987</v>
      </c>
      <c r="N3286">
        <v>0.72884000000000004</v>
      </c>
      <c r="O3286">
        <v>0.21301339999999999</v>
      </c>
      <c r="P3286">
        <v>106.0540541</v>
      </c>
      <c r="Q3286">
        <v>52.690533369999997</v>
      </c>
      <c r="R3286">
        <v>7.6058968000000005E-2</v>
      </c>
      <c r="S3286">
        <v>0.44888888999999998</v>
      </c>
      <c r="T3286" t="s">
        <v>1018</v>
      </c>
      <c r="U3286">
        <v>0.65278103200000004</v>
      </c>
    </row>
    <row r="3287" spans="1:21" x14ac:dyDescent="0.25">
      <c r="A3287" t="s">
        <v>39</v>
      </c>
      <c r="B3287" t="s">
        <v>946</v>
      </c>
      <c r="C3287">
        <v>2</v>
      </c>
      <c r="D3287" t="s">
        <v>15</v>
      </c>
      <c r="E3287" t="s">
        <v>94</v>
      </c>
      <c r="F3287" t="s">
        <v>113</v>
      </c>
      <c r="G3287" t="s">
        <v>113</v>
      </c>
      <c r="H3287" t="s">
        <v>233</v>
      </c>
      <c r="J3287">
        <v>0</v>
      </c>
      <c r="K3287">
        <v>4</v>
      </c>
      <c r="L3287">
        <v>83.757575759999995</v>
      </c>
      <c r="M3287">
        <v>22.60997987</v>
      </c>
      <c r="N3287">
        <v>0.72884000000000004</v>
      </c>
      <c r="O3287">
        <v>0.21301339999999999</v>
      </c>
      <c r="P3287">
        <v>106.0540541</v>
      </c>
      <c r="Q3287">
        <v>52.690533369999997</v>
      </c>
      <c r="R3287">
        <v>7.6058968000000005E-2</v>
      </c>
      <c r="S3287">
        <v>0.44888888999999998</v>
      </c>
      <c r="T3287" t="s">
        <v>1018</v>
      </c>
      <c r="U3287">
        <v>0.65278103200000004</v>
      </c>
    </row>
    <row r="3288" spans="1:21" x14ac:dyDescent="0.25">
      <c r="A3288" t="s">
        <v>39</v>
      </c>
      <c r="B3288" t="s">
        <v>946</v>
      </c>
      <c r="C3288">
        <v>2</v>
      </c>
      <c r="D3288" t="s">
        <v>15</v>
      </c>
      <c r="E3288" t="s">
        <v>94</v>
      </c>
      <c r="F3288" t="s">
        <v>113</v>
      </c>
      <c r="G3288" t="s">
        <v>113</v>
      </c>
      <c r="H3288" t="s">
        <v>233</v>
      </c>
      <c r="J3288">
        <v>0</v>
      </c>
      <c r="K3288">
        <v>4</v>
      </c>
      <c r="L3288">
        <v>83.757575759999995</v>
      </c>
      <c r="M3288">
        <v>22.60997987</v>
      </c>
      <c r="N3288">
        <v>0.72884000000000004</v>
      </c>
      <c r="O3288">
        <v>0.21301339999999999</v>
      </c>
      <c r="P3288">
        <v>106.0540541</v>
      </c>
      <c r="Q3288">
        <v>52.690533369999997</v>
      </c>
      <c r="R3288">
        <v>7.6058968000000005E-2</v>
      </c>
      <c r="S3288">
        <v>0.44888888999999998</v>
      </c>
      <c r="T3288" t="s">
        <v>1018</v>
      </c>
      <c r="U3288">
        <v>0.65278103200000004</v>
      </c>
    </row>
    <row r="3289" spans="1:21" x14ac:dyDescent="0.25">
      <c r="A3289" t="s">
        <v>39</v>
      </c>
      <c r="B3289" t="s">
        <v>946</v>
      </c>
      <c r="C3289">
        <v>2</v>
      </c>
      <c r="D3289" t="s">
        <v>15</v>
      </c>
      <c r="E3289" t="s">
        <v>94</v>
      </c>
      <c r="F3289" t="s">
        <v>113</v>
      </c>
      <c r="G3289" t="s">
        <v>113</v>
      </c>
      <c r="H3289" t="s">
        <v>234</v>
      </c>
      <c r="J3289">
        <v>0</v>
      </c>
      <c r="K3289">
        <v>1</v>
      </c>
      <c r="L3289">
        <v>83.757575759999995</v>
      </c>
      <c r="M3289">
        <v>22.60997987</v>
      </c>
      <c r="N3289">
        <v>0.72884000000000004</v>
      </c>
      <c r="O3289">
        <v>0.21301339999999999</v>
      </c>
      <c r="P3289">
        <v>89.8125</v>
      </c>
      <c r="Q3289">
        <v>34.754706650000003</v>
      </c>
      <c r="R3289">
        <v>2.3065078999999999E-2</v>
      </c>
      <c r="S3289">
        <v>2.4791666700000001</v>
      </c>
      <c r="T3289" t="s">
        <v>1018</v>
      </c>
      <c r="U3289">
        <v>0.70577492100000006</v>
      </c>
    </row>
    <row r="3290" spans="1:21" x14ac:dyDescent="0.25">
      <c r="A3290" t="s">
        <v>39</v>
      </c>
      <c r="B3290" t="s">
        <v>947</v>
      </c>
      <c r="C3290">
        <v>2</v>
      </c>
      <c r="D3290" t="s">
        <v>15</v>
      </c>
      <c r="E3290" t="s">
        <v>94</v>
      </c>
      <c r="F3290" t="s">
        <v>103</v>
      </c>
      <c r="G3290" t="s">
        <v>103</v>
      </c>
      <c r="H3290" t="s">
        <v>103</v>
      </c>
      <c r="J3290">
        <v>0</v>
      </c>
      <c r="K3290">
        <v>3</v>
      </c>
      <c r="L3290">
        <v>98.291666669999998</v>
      </c>
      <c r="M3290">
        <v>30.315130790000001</v>
      </c>
      <c r="N3290">
        <v>5.0803484000000003E-2</v>
      </c>
      <c r="O3290">
        <v>0.42866070000000001</v>
      </c>
      <c r="P3290">
        <v>98.291666669999998</v>
      </c>
      <c r="Q3290">
        <v>30.315130790000001</v>
      </c>
      <c r="R3290">
        <v>5.0803484000000003E-2</v>
      </c>
      <c r="S3290">
        <v>0.42866070000000001</v>
      </c>
      <c r="T3290" t="s">
        <v>1018</v>
      </c>
      <c r="U3290">
        <v>0</v>
      </c>
    </row>
    <row r="3291" spans="1:21" x14ac:dyDescent="0.25">
      <c r="A3291" t="s">
        <v>39</v>
      </c>
      <c r="B3291" t="s">
        <v>947</v>
      </c>
      <c r="C3291">
        <v>2</v>
      </c>
      <c r="D3291" t="s">
        <v>15</v>
      </c>
      <c r="E3291" t="s">
        <v>94</v>
      </c>
      <c r="F3291" t="s">
        <v>103</v>
      </c>
      <c r="G3291" t="s">
        <v>103</v>
      </c>
      <c r="H3291" t="s">
        <v>103</v>
      </c>
      <c r="J3291">
        <v>0</v>
      </c>
      <c r="K3291">
        <v>3</v>
      </c>
      <c r="L3291">
        <v>98.291666669999998</v>
      </c>
      <c r="M3291">
        <v>30.315130790000001</v>
      </c>
      <c r="N3291">
        <v>5.0803484000000003E-2</v>
      </c>
      <c r="O3291">
        <v>0.42866070000000001</v>
      </c>
      <c r="P3291">
        <v>98.291666669999998</v>
      </c>
      <c r="Q3291">
        <v>30.315130790000001</v>
      </c>
      <c r="R3291">
        <v>5.0803484000000003E-2</v>
      </c>
      <c r="S3291">
        <v>0.42866070000000001</v>
      </c>
      <c r="T3291" t="s">
        <v>1018</v>
      </c>
      <c r="U3291">
        <v>0</v>
      </c>
    </row>
    <row r="3292" spans="1:21" x14ac:dyDescent="0.25">
      <c r="A3292" t="s">
        <v>39</v>
      </c>
      <c r="B3292" t="s">
        <v>947</v>
      </c>
      <c r="C3292">
        <v>2</v>
      </c>
      <c r="D3292" t="s">
        <v>15</v>
      </c>
      <c r="E3292" t="s">
        <v>94</v>
      </c>
      <c r="F3292" t="s">
        <v>103</v>
      </c>
      <c r="G3292" t="s">
        <v>103</v>
      </c>
      <c r="H3292" t="s">
        <v>103</v>
      </c>
      <c r="J3292">
        <v>0</v>
      </c>
      <c r="K3292">
        <v>3</v>
      </c>
      <c r="L3292">
        <v>98.291666669999998</v>
      </c>
      <c r="M3292">
        <v>30.315130790000001</v>
      </c>
      <c r="N3292">
        <v>5.0803484000000003E-2</v>
      </c>
      <c r="O3292">
        <v>0.42866070000000001</v>
      </c>
      <c r="P3292">
        <v>98.291666669999998</v>
      </c>
      <c r="Q3292">
        <v>30.315130790000001</v>
      </c>
      <c r="R3292">
        <v>5.0803484000000003E-2</v>
      </c>
      <c r="S3292">
        <v>0.42866070000000001</v>
      </c>
      <c r="T3292" t="s">
        <v>1018</v>
      </c>
      <c r="U3292">
        <v>0</v>
      </c>
    </row>
    <row r="3293" spans="1:21" x14ac:dyDescent="0.25">
      <c r="A3293" t="s">
        <v>39</v>
      </c>
      <c r="B3293" t="s">
        <v>947</v>
      </c>
      <c r="C3293">
        <v>2</v>
      </c>
      <c r="D3293" t="s">
        <v>15</v>
      </c>
      <c r="E3293" t="s">
        <v>94</v>
      </c>
      <c r="F3293" t="s">
        <v>103</v>
      </c>
      <c r="G3293" t="s">
        <v>103</v>
      </c>
      <c r="H3293" t="s">
        <v>104</v>
      </c>
      <c r="J3293">
        <v>0</v>
      </c>
      <c r="K3293">
        <v>1</v>
      </c>
      <c r="L3293">
        <v>98.291666669999998</v>
      </c>
      <c r="M3293">
        <v>30.315130790000001</v>
      </c>
      <c r="N3293">
        <v>5.0803484000000003E-2</v>
      </c>
      <c r="O3293">
        <v>0.42866070000000001</v>
      </c>
      <c r="P3293">
        <v>113.9375</v>
      </c>
      <c r="Q3293">
        <v>33.375507550000002</v>
      </c>
      <c r="R3293">
        <v>2.4262999999999999</v>
      </c>
      <c r="S3293">
        <v>0.40692159999999999</v>
      </c>
      <c r="T3293" t="s">
        <v>1018</v>
      </c>
      <c r="U3293">
        <v>-2.3754965160000001</v>
      </c>
    </row>
    <row r="3294" spans="1:21" x14ac:dyDescent="0.25">
      <c r="A3294" t="s">
        <v>39</v>
      </c>
      <c r="B3294" t="s">
        <v>947</v>
      </c>
      <c r="C3294">
        <v>2</v>
      </c>
      <c r="D3294" t="s">
        <v>15</v>
      </c>
      <c r="E3294" t="s">
        <v>94</v>
      </c>
      <c r="F3294" t="s">
        <v>103</v>
      </c>
      <c r="G3294" t="s">
        <v>103</v>
      </c>
      <c r="H3294" t="s">
        <v>113</v>
      </c>
      <c r="J3294">
        <v>0</v>
      </c>
      <c r="K3294">
        <v>4</v>
      </c>
      <c r="L3294">
        <v>98.291666669999998</v>
      </c>
      <c r="M3294">
        <v>30.315130790000001</v>
      </c>
      <c r="N3294">
        <v>5.0803484000000003E-2</v>
      </c>
      <c r="O3294">
        <v>0.42866070000000001</v>
      </c>
      <c r="P3294">
        <v>83.757575759999995</v>
      </c>
      <c r="Q3294">
        <v>22.60997987</v>
      </c>
      <c r="R3294">
        <v>0.72884000000000004</v>
      </c>
      <c r="S3294">
        <v>0.21301339999999999</v>
      </c>
      <c r="T3294" t="s">
        <v>1018</v>
      </c>
      <c r="U3294">
        <v>-0.67803651600000003</v>
      </c>
    </row>
    <row r="3295" spans="1:21" x14ac:dyDescent="0.25">
      <c r="A3295" t="s">
        <v>39</v>
      </c>
      <c r="B3295" t="s">
        <v>947</v>
      </c>
      <c r="C3295">
        <v>2</v>
      </c>
      <c r="D3295" t="s">
        <v>15</v>
      </c>
      <c r="E3295" t="s">
        <v>94</v>
      </c>
      <c r="F3295" t="s">
        <v>103</v>
      </c>
      <c r="G3295" t="s">
        <v>103</v>
      </c>
      <c r="H3295" t="s">
        <v>113</v>
      </c>
      <c r="J3295">
        <v>0</v>
      </c>
      <c r="K3295">
        <v>4</v>
      </c>
      <c r="L3295">
        <v>98.291666669999998</v>
      </c>
      <c r="M3295">
        <v>30.315130790000001</v>
      </c>
      <c r="N3295">
        <v>5.0803484000000003E-2</v>
      </c>
      <c r="O3295">
        <v>0.42866070000000001</v>
      </c>
      <c r="P3295">
        <v>83.757575759999995</v>
      </c>
      <c r="Q3295">
        <v>22.60997987</v>
      </c>
      <c r="R3295">
        <v>0.72884000000000004</v>
      </c>
      <c r="S3295">
        <v>0.21301339999999999</v>
      </c>
      <c r="T3295" t="s">
        <v>1018</v>
      </c>
      <c r="U3295">
        <v>-0.67803651600000003</v>
      </c>
    </row>
    <row r="3296" spans="1:21" x14ac:dyDescent="0.25">
      <c r="A3296" t="s">
        <v>39</v>
      </c>
      <c r="B3296" t="s">
        <v>947</v>
      </c>
      <c r="C3296">
        <v>2</v>
      </c>
      <c r="D3296" t="s">
        <v>15</v>
      </c>
      <c r="E3296" t="s">
        <v>94</v>
      </c>
      <c r="F3296" t="s">
        <v>103</v>
      </c>
      <c r="G3296" t="s">
        <v>103</v>
      </c>
      <c r="H3296" t="s">
        <v>113</v>
      </c>
      <c r="J3296">
        <v>0</v>
      </c>
      <c r="K3296">
        <v>4</v>
      </c>
      <c r="L3296">
        <v>98.291666669999998</v>
      </c>
      <c r="M3296">
        <v>30.315130790000001</v>
      </c>
      <c r="N3296">
        <v>5.0803484000000003E-2</v>
      </c>
      <c r="O3296">
        <v>0.42866070000000001</v>
      </c>
      <c r="P3296">
        <v>83.757575759999995</v>
      </c>
      <c r="Q3296">
        <v>22.60997987</v>
      </c>
      <c r="R3296">
        <v>0.72884000000000004</v>
      </c>
      <c r="S3296">
        <v>0.21301339999999999</v>
      </c>
      <c r="T3296" t="s">
        <v>1018</v>
      </c>
      <c r="U3296">
        <v>-0.67803651600000003</v>
      </c>
    </row>
    <row r="3297" spans="1:21" x14ac:dyDescent="0.25">
      <c r="A3297" t="s">
        <v>39</v>
      </c>
      <c r="B3297" t="s">
        <v>947</v>
      </c>
      <c r="C3297">
        <v>2</v>
      </c>
      <c r="D3297" t="s">
        <v>15</v>
      </c>
      <c r="E3297" t="s">
        <v>94</v>
      </c>
      <c r="F3297" t="s">
        <v>103</v>
      </c>
      <c r="G3297" t="s">
        <v>103</v>
      </c>
      <c r="H3297" t="s">
        <v>113</v>
      </c>
      <c r="J3297">
        <v>0</v>
      </c>
      <c r="K3297">
        <v>4</v>
      </c>
      <c r="L3297">
        <v>98.291666669999998</v>
      </c>
      <c r="M3297">
        <v>30.315130790000001</v>
      </c>
      <c r="N3297">
        <v>5.0803484000000003E-2</v>
      </c>
      <c r="O3297">
        <v>0.42866070000000001</v>
      </c>
      <c r="P3297">
        <v>83.757575759999995</v>
      </c>
      <c r="Q3297">
        <v>22.60997987</v>
      </c>
      <c r="R3297">
        <v>0.72884000000000004</v>
      </c>
      <c r="S3297">
        <v>0.21301339999999999</v>
      </c>
      <c r="T3297" t="s">
        <v>1018</v>
      </c>
      <c r="U3297">
        <v>-0.67803651600000003</v>
      </c>
    </row>
    <row r="3298" spans="1:21" x14ac:dyDescent="0.25">
      <c r="A3298" t="s">
        <v>39</v>
      </c>
      <c r="B3298" t="s">
        <v>948</v>
      </c>
      <c r="C3298">
        <v>2</v>
      </c>
      <c r="D3298" t="s">
        <v>15</v>
      </c>
      <c r="E3298" t="s">
        <v>94</v>
      </c>
      <c r="F3298" t="s">
        <v>111</v>
      </c>
      <c r="G3298" t="s">
        <v>104</v>
      </c>
      <c r="H3298" t="s">
        <v>236</v>
      </c>
      <c r="J3298">
        <v>0</v>
      </c>
      <c r="K3298">
        <v>1</v>
      </c>
      <c r="L3298">
        <v>94.97142857</v>
      </c>
      <c r="M3298">
        <v>24.31591813</v>
      </c>
      <c r="N3298">
        <v>0.122951111</v>
      </c>
      <c r="O3298">
        <v>0.39050790000000002</v>
      </c>
      <c r="P3298">
        <v>113.33333330000001</v>
      </c>
      <c r="Q3298">
        <v>26.41632581</v>
      </c>
      <c r="R3298">
        <v>1.6844570160000001</v>
      </c>
      <c r="S3298">
        <v>8.9285710000000004E-2</v>
      </c>
      <c r="T3298" t="s">
        <v>1018</v>
      </c>
      <c r="U3298">
        <v>-1.561505905</v>
      </c>
    </row>
    <row r="3299" spans="1:21" x14ac:dyDescent="0.25">
      <c r="A3299" t="s">
        <v>39</v>
      </c>
      <c r="B3299" t="s">
        <v>948</v>
      </c>
      <c r="C3299">
        <v>2</v>
      </c>
      <c r="D3299" t="s">
        <v>15</v>
      </c>
      <c r="E3299" t="s">
        <v>94</v>
      </c>
      <c r="F3299" t="s">
        <v>111</v>
      </c>
      <c r="G3299" t="s">
        <v>104</v>
      </c>
      <c r="H3299" t="s">
        <v>103</v>
      </c>
      <c r="J3299">
        <v>0</v>
      </c>
      <c r="K3299">
        <v>1</v>
      </c>
      <c r="L3299">
        <v>94.97142857</v>
      </c>
      <c r="M3299">
        <v>24.31591813</v>
      </c>
      <c r="N3299">
        <v>0.122951111</v>
      </c>
      <c r="O3299">
        <v>0.39050790000000002</v>
      </c>
      <c r="P3299">
        <v>98.291666669999998</v>
      </c>
      <c r="Q3299">
        <v>30.315130790000001</v>
      </c>
      <c r="R3299">
        <v>5.0803484000000003E-2</v>
      </c>
      <c r="S3299">
        <v>0.42866070000000001</v>
      </c>
      <c r="T3299" t="s">
        <v>1018</v>
      </c>
      <c r="U3299">
        <v>7.2147627000000006E-2</v>
      </c>
    </row>
    <row r="3300" spans="1:21" x14ac:dyDescent="0.25">
      <c r="A3300" t="s">
        <v>39</v>
      </c>
      <c r="B3300" t="s">
        <v>948</v>
      </c>
      <c r="C3300">
        <v>2</v>
      </c>
      <c r="D3300" t="s">
        <v>15</v>
      </c>
      <c r="E3300" t="s">
        <v>94</v>
      </c>
      <c r="F3300" t="s">
        <v>111</v>
      </c>
      <c r="G3300" t="s">
        <v>104</v>
      </c>
      <c r="H3300" t="s">
        <v>104</v>
      </c>
      <c r="J3300">
        <v>0</v>
      </c>
      <c r="K3300">
        <v>1</v>
      </c>
      <c r="L3300">
        <v>94.97142857</v>
      </c>
      <c r="M3300">
        <v>24.31591813</v>
      </c>
      <c r="N3300">
        <v>0.122951111</v>
      </c>
      <c r="O3300">
        <v>0.39050790000000002</v>
      </c>
      <c r="P3300">
        <v>113.9375</v>
      </c>
      <c r="Q3300">
        <v>33.375507550000002</v>
      </c>
      <c r="R3300">
        <v>2.4262999999999999</v>
      </c>
      <c r="S3300">
        <v>0.40692159999999999</v>
      </c>
      <c r="T3300" t="s">
        <v>1018</v>
      </c>
      <c r="U3300">
        <v>-2.303348889</v>
      </c>
    </row>
    <row r="3301" spans="1:21" x14ac:dyDescent="0.25">
      <c r="A3301" t="s">
        <v>39</v>
      </c>
      <c r="B3301" t="s">
        <v>949</v>
      </c>
      <c r="C3301">
        <v>2</v>
      </c>
      <c r="D3301" t="s">
        <v>15</v>
      </c>
      <c r="E3301" t="s">
        <v>94</v>
      </c>
      <c r="F3301" t="s">
        <v>104</v>
      </c>
      <c r="G3301" t="s">
        <v>104</v>
      </c>
      <c r="H3301" t="s">
        <v>104</v>
      </c>
      <c r="J3301">
        <v>0</v>
      </c>
      <c r="K3301">
        <v>3</v>
      </c>
      <c r="L3301">
        <v>113.9375</v>
      </c>
      <c r="M3301">
        <v>33.375507550000002</v>
      </c>
      <c r="N3301">
        <v>2.4262999999999999</v>
      </c>
      <c r="O3301">
        <v>0.40692159999999999</v>
      </c>
      <c r="P3301">
        <v>113.9375</v>
      </c>
      <c r="Q3301">
        <v>33.375507550000002</v>
      </c>
      <c r="R3301">
        <v>2.4262999999999999</v>
      </c>
      <c r="S3301">
        <v>0.40692159999999999</v>
      </c>
      <c r="T3301" t="s">
        <v>1018</v>
      </c>
      <c r="U3301">
        <v>0</v>
      </c>
    </row>
    <row r="3302" spans="1:21" x14ac:dyDescent="0.25">
      <c r="A3302" t="s">
        <v>39</v>
      </c>
      <c r="B3302" t="s">
        <v>949</v>
      </c>
      <c r="C3302">
        <v>2</v>
      </c>
      <c r="D3302" t="s">
        <v>15</v>
      </c>
      <c r="E3302" t="s">
        <v>94</v>
      </c>
      <c r="F3302" t="s">
        <v>104</v>
      </c>
      <c r="G3302" t="s">
        <v>104</v>
      </c>
      <c r="H3302" t="s">
        <v>104</v>
      </c>
      <c r="J3302">
        <v>0</v>
      </c>
      <c r="K3302">
        <v>3</v>
      </c>
      <c r="L3302">
        <v>113.9375</v>
      </c>
      <c r="M3302">
        <v>33.375507550000002</v>
      </c>
      <c r="N3302">
        <v>2.4262999999999999</v>
      </c>
      <c r="O3302">
        <v>0.40692159999999999</v>
      </c>
      <c r="P3302">
        <v>113.9375</v>
      </c>
      <c r="Q3302">
        <v>33.375507550000002</v>
      </c>
      <c r="R3302">
        <v>2.4262999999999999</v>
      </c>
      <c r="S3302">
        <v>0.40692159999999999</v>
      </c>
      <c r="T3302" t="s">
        <v>1018</v>
      </c>
      <c r="U3302">
        <v>0</v>
      </c>
    </row>
    <row r="3303" spans="1:21" x14ac:dyDescent="0.25">
      <c r="A3303" t="s">
        <v>39</v>
      </c>
      <c r="B3303" t="s">
        <v>949</v>
      </c>
      <c r="C3303">
        <v>2</v>
      </c>
      <c r="D3303" t="s">
        <v>15</v>
      </c>
      <c r="E3303" t="s">
        <v>94</v>
      </c>
      <c r="F3303" t="s">
        <v>104</v>
      </c>
      <c r="G3303" t="s">
        <v>104</v>
      </c>
      <c r="H3303" t="s">
        <v>104</v>
      </c>
      <c r="J3303">
        <v>0</v>
      </c>
      <c r="K3303">
        <v>3</v>
      </c>
      <c r="L3303">
        <v>113.9375</v>
      </c>
      <c r="M3303">
        <v>33.375507550000002</v>
      </c>
      <c r="N3303">
        <v>2.4262999999999999</v>
      </c>
      <c r="O3303">
        <v>0.40692159999999999</v>
      </c>
      <c r="P3303">
        <v>113.9375</v>
      </c>
      <c r="Q3303">
        <v>33.375507550000002</v>
      </c>
      <c r="R3303">
        <v>2.4262999999999999</v>
      </c>
      <c r="S3303">
        <v>0.40692159999999999</v>
      </c>
      <c r="T3303" t="s">
        <v>1018</v>
      </c>
      <c r="U3303">
        <v>0</v>
      </c>
    </row>
    <row r="3304" spans="1:21" x14ac:dyDescent="0.25">
      <c r="A3304" t="s">
        <v>39</v>
      </c>
      <c r="B3304" t="s">
        <v>949</v>
      </c>
      <c r="C3304">
        <v>2</v>
      </c>
      <c r="D3304" t="s">
        <v>15</v>
      </c>
      <c r="E3304" t="s">
        <v>94</v>
      </c>
      <c r="F3304" t="s">
        <v>104</v>
      </c>
      <c r="G3304" t="s">
        <v>104</v>
      </c>
      <c r="H3304" t="s">
        <v>113</v>
      </c>
      <c r="J3304">
        <v>0</v>
      </c>
      <c r="K3304">
        <v>1</v>
      </c>
      <c r="L3304">
        <v>113.9375</v>
      </c>
      <c r="M3304">
        <v>33.375507550000002</v>
      </c>
      <c r="N3304">
        <v>2.4262999999999999</v>
      </c>
      <c r="O3304">
        <v>0.40692159999999999</v>
      </c>
      <c r="P3304">
        <v>83.757575759999995</v>
      </c>
      <c r="Q3304">
        <v>22.60997987</v>
      </c>
      <c r="R3304">
        <v>0.72884000000000004</v>
      </c>
      <c r="S3304">
        <v>0.21301339999999999</v>
      </c>
      <c r="T3304" t="s">
        <v>1018</v>
      </c>
      <c r="U3304">
        <v>1.69746</v>
      </c>
    </row>
    <row r="3305" spans="1:21" x14ac:dyDescent="0.25">
      <c r="A3305" t="s">
        <v>40</v>
      </c>
      <c r="B3305" t="s">
        <v>950</v>
      </c>
      <c r="C3305">
        <v>2</v>
      </c>
      <c r="D3305" t="s">
        <v>17</v>
      </c>
      <c r="E3305" t="s">
        <v>95</v>
      </c>
      <c r="F3305" t="s">
        <v>113</v>
      </c>
      <c r="G3305" t="s">
        <v>113</v>
      </c>
      <c r="H3305" t="s">
        <v>113</v>
      </c>
      <c r="J3305">
        <v>0</v>
      </c>
      <c r="K3305">
        <v>1</v>
      </c>
      <c r="L3305">
        <v>83.757575759999995</v>
      </c>
      <c r="M3305">
        <v>22.60997987</v>
      </c>
      <c r="N3305">
        <v>0.72884000000000004</v>
      </c>
      <c r="O3305">
        <v>0.21301339999999999</v>
      </c>
      <c r="P3305">
        <v>83.757575759999995</v>
      </c>
      <c r="Q3305">
        <v>22.60997987</v>
      </c>
      <c r="R3305">
        <v>0.72884000000000004</v>
      </c>
      <c r="S3305">
        <v>0.21301339999999999</v>
      </c>
      <c r="T3305" t="s">
        <v>1018</v>
      </c>
      <c r="U3305">
        <v>0</v>
      </c>
    </row>
    <row r="3306" spans="1:21" x14ac:dyDescent="0.25">
      <c r="A3306" t="s">
        <v>40</v>
      </c>
      <c r="B3306" t="s">
        <v>950</v>
      </c>
      <c r="C3306">
        <v>2</v>
      </c>
      <c r="D3306" t="s">
        <v>17</v>
      </c>
      <c r="E3306" t="s">
        <v>95</v>
      </c>
      <c r="F3306" t="s">
        <v>113</v>
      </c>
      <c r="G3306" t="s">
        <v>113</v>
      </c>
      <c r="H3306" t="s">
        <v>103</v>
      </c>
      <c r="J3306">
        <v>0</v>
      </c>
      <c r="K3306">
        <v>2</v>
      </c>
      <c r="L3306">
        <v>83.757575759999995</v>
      </c>
      <c r="M3306">
        <v>22.60997987</v>
      </c>
      <c r="N3306">
        <v>0.72884000000000004</v>
      </c>
      <c r="O3306">
        <v>0.21301339999999999</v>
      </c>
      <c r="P3306">
        <v>98.291666669999998</v>
      </c>
      <c r="Q3306">
        <v>30.315130790000001</v>
      </c>
      <c r="R3306">
        <v>5.0803484000000003E-2</v>
      </c>
      <c r="S3306">
        <v>0.42866070000000001</v>
      </c>
      <c r="T3306" t="s">
        <v>1018</v>
      </c>
      <c r="U3306">
        <v>0.67803651600000003</v>
      </c>
    </row>
    <row r="3307" spans="1:21" x14ac:dyDescent="0.25">
      <c r="A3307" t="s">
        <v>40</v>
      </c>
      <c r="B3307" t="s">
        <v>950</v>
      </c>
      <c r="C3307">
        <v>2</v>
      </c>
      <c r="D3307" t="s">
        <v>17</v>
      </c>
      <c r="E3307" t="s">
        <v>95</v>
      </c>
      <c r="F3307" t="s">
        <v>113</v>
      </c>
      <c r="G3307" t="s">
        <v>113</v>
      </c>
      <c r="H3307" t="s">
        <v>103</v>
      </c>
      <c r="J3307">
        <v>0</v>
      </c>
      <c r="K3307">
        <v>2</v>
      </c>
      <c r="L3307">
        <v>83.757575759999995</v>
      </c>
      <c r="M3307">
        <v>22.60997987</v>
      </c>
      <c r="N3307">
        <v>0.72884000000000004</v>
      </c>
      <c r="O3307">
        <v>0.21301339999999999</v>
      </c>
      <c r="P3307">
        <v>98.291666669999998</v>
      </c>
      <c r="Q3307">
        <v>30.315130790000001</v>
      </c>
      <c r="R3307">
        <v>5.0803484000000003E-2</v>
      </c>
      <c r="S3307">
        <v>0.42866070000000001</v>
      </c>
      <c r="T3307" t="s">
        <v>1018</v>
      </c>
      <c r="U3307">
        <v>0.67803651600000003</v>
      </c>
    </row>
    <row r="3308" spans="1:21" x14ac:dyDescent="0.25">
      <c r="A3308" t="s">
        <v>40</v>
      </c>
      <c r="B3308" t="s">
        <v>951</v>
      </c>
      <c r="C3308">
        <v>2</v>
      </c>
      <c r="D3308" t="s">
        <v>17</v>
      </c>
      <c r="E3308" t="s">
        <v>95</v>
      </c>
      <c r="F3308" t="s">
        <v>103</v>
      </c>
      <c r="G3308" t="s">
        <v>103</v>
      </c>
      <c r="H3308" t="s">
        <v>103</v>
      </c>
      <c r="J3308">
        <v>0</v>
      </c>
      <c r="K3308">
        <v>6</v>
      </c>
      <c r="L3308">
        <v>98.291666669999998</v>
      </c>
      <c r="M3308">
        <v>30.315130790000001</v>
      </c>
      <c r="N3308">
        <v>5.0803484000000003E-2</v>
      </c>
      <c r="O3308">
        <v>0.42866070000000001</v>
      </c>
      <c r="P3308">
        <v>98.291666669999998</v>
      </c>
      <c r="Q3308">
        <v>30.315130790000001</v>
      </c>
      <c r="R3308">
        <v>5.0803484000000003E-2</v>
      </c>
      <c r="S3308">
        <v>0.42866070000000001</v>
      </c>
      <c r="T3308" t="s">
        <v>1018</v>
      </c>
      <c r="U3308">
        <v>0</v>
      </c>
    </row>
    <row r="3309" spans="1:21" x14ac:dyDescent="0.25">
      <c r="A3309" t="s">
        <v>40</v>
      </c>
      <c r="B3309" t="s">
        <v>951</v>
      </c>
      <c r="C3309">
        <v>2</v>
      </c>
      <c r="D3309" t="s">
        <v>17</v>
      </c>
      <c r="E3309" t="s">
        <v>95</v>
      </c>
      <c r="F3309" t="s">
        <v>103</v>
      </c>
      <c r="G3309" t="s">
        <v>103</v>
      </c>
      <c r="H3309" t="s">
        <v>103</v>
      </c>
      <c r="J3309">
        <v>0</v>
      </c>
      <c r="K3309">
        <v>6</v>
      </c>
      <c r="L3309">
        <v>98.291666669999998</v>
      </c>
      <c r="M3309">
        <v>30.315130790000001</v>
      </c>
      <c r="N3309">
        <v>5.0803484000000003E-2</v>
      </c>
      <c r="O3309">
        <v>0.42866070000000001</v>
      </c>
      <c r="P3309">
        <v>98.291666669999998</v>
      </c>
      <c r="Q3309">
        <v>30.315130790000001</v>
      </c>
      <c r="R3309">
        <v>5.0803484000000003E-2</v>
      </c>
      <c r="S3309">
        <v>0.42866070000000001</v>
      </c>
      <c r="T3309" t="s">
        <v>1018</v>
      </c>
      <c r="U3309">
        <v>0</v>
      </c>
    </row>
    <row r="3310" spans="1:21" x14ac:dyDescent="0.25">
      <c r="A3310" t="s">
        <v>40</v>
      </c>
      <c r="B3310" t="s">
        <v>951</v>
      </c>
      <c r="C3310">
        <v>2</v>
      </c>
      <c r="D3310" t="s">
        <v>17</v>
      </c>
      <c r="E3310" t="s">
        <v>95</v>
      </c>
      <c r="F3310" t="s">
        <v>103</v>
      </c>
      <c r="G3310" t="s">
        <v>103</v>
      </c>
      <c r="H3310" t="s">
        <v>103</v>
      </c>
      <c r="J3310">
        <v>0</v>
      </c>
      <c r="K3310">
        <v>6</v>
      </c>
      <c r="L3310">
        <v>98.291666669999998</v>
      </c>
      <c r="M3310">
        <v>30.315130790000001</v>
      </c>
      <c r="N3310">
        <v>5.0803484000000003E-2</v>
      </c>
      <c r="O3310">
        <v>0.42866070000000001</v>
      </c>
      <c r="P3310">
        <v>98.291666669999998</v>
      </c>
      <c r="Q3310">
        <v>30.315130790000001</v>
      </c>
      <c r="R3310">
        <v>5.0803484000000003E-2</v>
      </c>
      <c r="S3310">
        <v>0.42866070000000001</v>
      </c>
      <c r="T3310" t="s">
        <v>1018</v>
      </c>
      <c r="U3310">
        <v>0</v>
      </c>
    </row>
    <row r="3311" spans="1:21" x14ac:dyDescent="0.25">
      <c r="A3311" t="s">
        <v>40</v>
      </c>
      <c r="B3311" t="s">
        <v>951</v>
      </c>
      <c r="C3311">
        <v>2</v>
      </c>
      <c r="D3311" t="s">
        <v>17</v>
      </c>
      <c r="E3311" t="s">
        <v>95</v>
      </c>
      <c r="F3311" t="s">
        <v>103</v>
      </c>
      <c r="G3311" t="s">
        <v>103</v>
      </c>
      <c r="H3311" t="s">
        <v>103</v>
      </c>
      <c r="J3311">
        <v>0</v>
      </c>
      <c r="K3311">
        <v>6</v>
      </c>
      <c r="L3311">
        <v>98.291666669999998</v>
      </c>
      <c r="M3311">
        <v>30.315130790000001</v>
      </c>
      <c r="N3311">
        <v>5.0803484000000003E-2</v>
      </c>
      <c r="O3311">
        <v>0.42866070000000001</v>
      </c>
      <c r="P3311">
        <v>98.291666669999998</v>
      </c>
      <c r="Q3311">
        <v>30.315130790000001</v>
      </c>
      <c r="R3311">
        <v>5.0803484000000003E-2</v>
      </c>
      <c r="S3311">
        <v>0.42866070000000001</v>
      </c>
      <c r="T3311" t="s">
        <v>1018</v>
      </c>
      <c r="U3311">
        <v>0</v>
      </c>
    </row>
    <row r="3312" spans="1:21" x14ac:dyDescent="0.25">
      <c r="A3312" t="s">
        <v>40</v>
      </c>
      <c r="B3312" t="s">
        <v>951</v>
      </c>
      <c r="C3312">
        <v>2</v>
      </c>
      <c r="D3312" t="s">
        <v>17</v>
      </c>
      <c r="E3312" t="s">
        <v>95</v>
      </c>
      <c r="F3312" t="s">
        <v>103</v>
      </c>
      <c r="G3312" t="s">
        <v>103</v>
      </c>
      <c r="H3312" t="s">
        <v>103</v>
      </c>
      <c r="J3312">
        <v>0</v>
      </c>
      <c r="K3312">
        <v>6</v>
      </c>
      <c r="L3312">
        <v>98.291666669999998</v>
      </c>
      <c r="M3312">
        <v>30.315130790000001</v>
      </c>
      <c r="N3312">
        <v>5.0803484000000003E-2</v>
      </c>
      <c r="O3312">
        <v>0.42866070000000001</v>
      </c>
      <c r="P3312">
        <v>98.291666669999998</v>
      </c>
      <c r="Q3312">
        <v>30.315130790000001</v>
      </c>
      <c r="R3312">
        <v>5.0803484000000003E-2</v>
      </c>
      <c r="S3312">
        <v>0.42866070000000001</v>
      </c>
      <c r="T3312" t="s">
        <v>1018</v>
      </c>
      <c r="U3312">
        <v>0</v>
      </c>
    </row>
    <row r="3313" spans="1:21" x14ac:dyDescent="0.25">
      <c r="A3313" t="s">
        <v>40</v>
      </c>
      <c r="B3313" t="s">
        <v>951</v>
      </c>
      <c r="C3313">
        <v>2</v>
      </c>
      <c r="D3313" t="s">
        <v>17</v>
      </c>
      <c r="E3313" t="s">
        <v>95</v>
      </c>
      <c r="F3313" t="s">
        <v>103</v>
      </c>
      <c r="G3313" t="s">
        <v>103</v>
      </c>
      <c r="H3313" t="s">
        <v>103</v>
      </c>
      <c r="J3313">
        <v>0</v>
      </c>
      <c r="K3313">
        <v>6</v>
      </c>
      <c r="L3313">
        <v>98.291666669999998</v>
      </c>
      <c r="M3313">
        <v>30.315130790000001</v>
      </c>
      <c r="N3313">
        <v>5.0803484000000003E-2</v>
      </c>
      <c r="O3313">
        <v>0.42866070000000001</v>
      </c>
      <c r="P3313">
        <v>98.291666669999998</v>
      </c>
      <c r="Q3313">
        <v>30.315130790000001</v>
      </c>
      <c r="R3313">
        <v>5.0803484000000003E-2</v>
      </c>
      <c r="S3313">
        <v>0.42866070000000001</v>
      </c>
      <c r="T3313" t="s">
        <v>1018</v>
      </c>
      <c r="U3313">
        <v>0</v>
      </c>
    </row>
    <row r="3314" spans="1:21" x14ac:dyDescent="0.25">
      <c r="A3314" t="s">
        <v>40</v>
      </c>
      <c r="B3314" t="s">
        <v>952</v>
      </c>
      <c r="C3314">
        <v>2</v>
      </c>
      <c r="D3314" t="s">
        <v>17</v>
      </c>
      <c r="E3314" t="s">
        <v>95</v>
      </c>
      <c r="F3314" t="s">
        <v>112</v>
      </c>
      <c r="G3314" t="s">
        <v>103</v>
      </c>
      <c r="H3314" t="s">
        <v>103</v>
      </c>
      <c r="I3314" t="s">
        <v>243</v>
      </c>
      <c r="J3314">
        <v>1</v>
      </c>
      <c r="K3314">
        <v>7</v>
      </c>
      <c r="L3314">
        <v>65.09375</v>
      </c>
      <c r="M3314">
        <v>37.895352600000002</v>
      </c>
      <c r="N3314">
        <v>2.2882677779999998</v>
      </c>
      <c r="O3314">
        <v>2.2111774</v>
      </c>
      <c r="P3314">
        <v>98.291666669999998</v>
      </c>
      <c r="Q3314">
        <v>30.315130790000001</v>
      </c>
      <c r="R3314">
        <v>5.0803484000000003E-2</v>
      </c>
      <c r="S3314">
        <v>0.42866070000000001</v>
      </c>
      <c r="T3314" t="s">
        <v>1018</v>
      </c>
      <c r="U3314">
        <v>2.237464294</v>
      </c>
    </row>
    <row r="3315" spans="1:21" x14ac:dyDescent="0.25">
      <c r="A3315" t="s">
        <v>40</v>
      </c>
      <c r="B3315" t="s">
        <v>952</v>
      </c>
      <c r="C3315">
        <v>2</v>
      </c>
      <c r="D3315" t="s">
        <v>17</v>
      </c>
      <c r="E3315" t="s">
        <v>95</v>
      </c>
      <c r="F3315" t="s">
        <v>112</v>
      </c>
      <c r="G3315" t="s">
        <v>103</v>
      </c>
      <c r="H3315" t="s">
        <v>103</v>
      </c>
      <c r="I3315" t="s">
        <v>243</v>
      </c>
      <c r="J3315">
        <v>1</v>
      </c>
      <c r="K3315">
        <v>7</v>
      </c>
      <c r="L3315">
        <v>65.09375</v>
      </c>
      <c r="M3315">
        <v>37.895352600000002</v>
      </c>
      <c r="N3315">
        <v>2.2882677779999998</v>
      </c>
      <c r="O3315">
        <v>2.2111774</v>
      </c>
      <c r="P3315">
        <v>98.291666669999998</v>
      </c>
      <c r="Q3315">
        <v>30.315130790000001</v>
      </c>
      <c r="R3315">
        <v>5.0803484000000003E-2</v>
      </c>
      <c r="S3315">
        <v>0.42866070000000001</v>
      </c>
      <c r="T3315" t="s">
        <v>1018</v>
      </c>
      <c r="U3315">
        <v>2.237464294</v>
      </c>
    </row>
    <row r="3316" spans="1:21" x14ac:dyDescent="0.25">
      <c r="A3316" t="s">
        <v>40</v>
      </c>
      <c r="B3316" t="s">
        <v>952</v>
      </c>
      <c r="C3316">
        <v>2</v>
      </c>
      <c r="D3316" t="s">
        <v>17</v>
      </c>
      <c r="E3316" t="s">
        <v>95</v>
      </c>
      <c r="F3316" t="s">
        <v>112</v>
      </c>
      <c r="G3316" t="s">
        <v>103</v>
      </c>
      <c r="H3316" t="s">
        <v>103</v>
      </c>
      <c r="I3316" t="s">
        <v>243</v>
      </c>
      <c r="J3316">
        <v>1</v>
      </c>
      <c r="K3316">
        <v>7</v>
      </c>
      <c r="L3316">
        <v>65.09375</v>
      </c>
      <c r="M3316">
        <v>37.895352600000002</v>
      </c>
      <c r="N3316">
        <v>2.2882677779999998</v>
      </c>
      <c r="O3316">
        <v>2.2111774</v>
      </c>
      <c r="P3316">
        <v>98.291666669999998</v>
      </c>
      <c r="Q3316">
        <v>30.315130790000001</v>
      </c>
      <c r="R3316">
        <v>5.0803484000000003E-2</v>
      </c>
      <c r="S3316">
        <v>0.42866070000000001</v>
      </c>
      <c r="T3316" t="s">
        <v>1018</v>
      </c>
      <c r="U3316">
        <v>2.237464294</v>
      </c>
    </row>
    <row r="3317" spans="1:21" x14ac:dyDescent="0.25">
      <c r="A3317" t="s">
        <v>40</v>
      </c>
      <c r="B3317" t="s">
        <v>952</v>
      </c>
      <c r="C3317">
        <v>2</v>
      </c>
      <c r="D3317" t="s">
        <v>17</v>
      </c>
      <c r="E3317" t="s">
        <v>95</v>
      </c>
      <c r="F3317" t="s">
        <v>112</v>
      </c>
      <c r="G3317" t="s">
        <v>103</v>
      </c>
      <c r="H3317" t="s">
        <v>103</v>
      </c>
      <c r="I3317" t="s">
        <v>243</v>
      </c>
      <c r="J3317">
        <v>1</v>
      </c>
      <c r="K3317">
        <v>7</v>
      </c>
      <c r="L3317">
        <v>65.09375</v>
      </c>
      <c r="M3317">
        <v>37.895352600000002</v>
      </c>
      <c r="N3317">
        <v>2.2882677779999998</v>
      </c>
      <c r="O3317">
        <v>2.2111774</v>
      </c>
      <c r="P3317">
        <v>98.291666669999998</v>
      </c>
      <c r="Q3317">
        <v>30.315130790000001</v>
      </c>
      <c r="R3317">
        <v>5.0803484000000003E-2</v>
      </c>
      <c r="S3317">
        <v>0.42866070000000001</v>
      </c>
      <c r="T3317" t="s">
        <v>1018</v>
      </c>
      <c r="U3317">
        <v>2.237464294</v>
      </c>
    </row>
    <row r="3318" spans="1:21" x14ac:dyDescent="0.25">
      <c r="A3318" t="s">
        <v>40</v>
      </c>
      <c r="B3318" t="s">
        <v>952</v>
      </c>
      <c r="C3318">
        <v>2</v>
      </c>
      <c r="D3318" t="s">
        <v>17</v>
      </c>
      <c r="E3318" t="s">
        <v>95</v>
      </c>
      <c r="F3318" t="s">
        <v>112</v>
      </c>
      <c r="G3318" t="s">
        <v>103</v>
      </c>
      <c r="H3318" t="s">
        <v>103</v>
      </c>
      <c r="I3318" t="s">
        <v>243</v>
      </c>
      <c r="J3318">
        <v>1</v>
      </c>
      <c r="K3318">
        <v>7</v>
      </c>
      <c r="L3318">
        <v>65.09375</v>
      </c>
      <c r="M3318">
        <v>37.895352600000002</v>
      </c>
      <c r="N3318">
        <v>2.2882677779999998</v>
      </c>
      <c r="O3318">
        <v>2.2111774</v>
      </c>
      <c r="P3318">
        <v>98.291666669999998</v>
      </c>
      <c r="Q3318">
        <v>30.315130790000001</v>
      </c>
      <c r="R3318">
        <v>5.0803484000000003E-2</v>
      </c>
      <c r="S3318">
        <v>0.42866070000000001</v>
      </c>
      <c r="T3318" t="s">
        <v>1018</v>
      </c>
      <c r="U3318">
        <v>2.237464294</v>
      </c>
    </row>
    <row r="3319" spans="1:21" x14ac:dyDescent="0.25">
      <c r="A3319" t="s">
        <v>40</v>
      </c>
      <c r="B3319" t="s">
        <v>952</v>
      </c>
      <c r="C3319">
        <v>2</v>
      </c>
      <c r="D3319" t="s">
        <v>17</v>
      </c>
      <c r="E3319" t="s">
        <v>95</v>
      </c>
      <c r="F3319" t="s">
        <v>112</v>
      </c>
      <c r="G3319" t="s">
        <v>103</v>
      </c>
      <c r="H3319" t="s">
        <v>103</v>
      </c>
      <c r="I3319" t="s">
        <v>243</v>
      </c>
      <c r="J3319">
        <v>1</v>
      </c>
      <c r="K3319">
        <v>7</v>
      </c>
      <c r="L3319">
        <v>65.09375</v>
      </c>
      <c r="M3319">
        <v>37.895352600000002</v>
      </c>
      <c r="N3319">
        <v>2.2882677779999998</v>
      </c>
      <c r="O3319">
        <v>2.2111774</v>
      </c>
      <c r="P3319">
        <v>98.291666669999998</v>
      </c>
      <c r="Q3319">
        <v>30.315130790000001</v>
      </c>
      <c r="R3319">
        <v>5.0803484000000003E-2</v>
      </c>
      <c r="S3319">
        <v>0.42866070000000001</v>
      </c>
      <c r="T3319" t="s">
        <v>1018</v>
      </c>
      <c r="U3319">
        <v>2.237464294</v>
      </c>
    </row>
    <row r="3320" spans="1:21" x14ac:dyDescent="0.25">
      <c r="A3320" t="s">
        <v>40</v>
      </c>
      <c r="B3320" t="s">
        <v>952</v>
      </c>
      <c r="C3320">
        <v>2</v>
      </c>
      <c r="D3320" t="s">
        <v>17</v>
      </c>
      <c r="E3320" t="s">
        <v>95</v>
      </c>
      <c r="F3320" t="s">
        <v>112</v>
      </c>
      <c r="G3320" t="s">
        <v>103</v>
      </c>
      <c r="H3320" t="s">
        <v>103</v>
      </c>
      <c r="I3320" t="s">
        <v>243</v>
      </c>
      <c r="J3320">
        <v>1</v>
      </c>
      <c r="K3320">
        <v>7</v>
      </c>
      <c r="L3320">
        <v>65.09375</v>
      </c>
      <c r="M3320">
        <v>37.895352600000002</v>
      </c>
      <c r="N3320">
        <v>2.2882677779999998</v>
      </c>
      <c r="O3320">
        <v>2.2111774</v>
      </c>
      <c r="P3320">
        <v>98.291666669999998</v>
      </c>
      <c r="Q3320">
        <v>30.315130790000001</v>
      </c>
      <c r="R3320">
        <v>5.0803484000000003E-2</v>
      </c>
      <c r="S3320">
        <v>0.42866070000000001</v>
      </c>
      <c r="T3320" t="s">
        <v>1018</v>
      </c>
      <c r="U3320">
        <v>2.237464294</v>
      </c>
    </row>
    <row r="3321" spans="1:21" x14ac:dyDescent="0.25">
      <c r="A3321" t="s">
        <v>40</v>
      </c>
      <c r="B3321" t="s">
        <v>952</v>
      </c>
      <c r="C3321">
        <v>2</v>
      </c>
      <c r="D3321" t="s">
        <v>17</v>
      </c>
      <c r="E3321" t="s">
        <v>95</v>
      </c>
      <c r="F3321" t="s">
        <v>112</v>
      </c>
      <c r="G3321" t="s">
        <v>103</v>
      </c>
      <c r="H3321" t="s">
        <v>113</v>
      </c>
      <c r="J3321">
        <v>1</v>
      </c>
      <c r="K3321">
        <v>5</v>
      </c>
      <c r="L3321">
        <v>65.09375</v>
      </c>
      <c r="M3321">
        <v>37.895352600000002</v>
      </c>
      <c r="N3321">
        <v>2.2882677779999998</v>
      </c>
      <c r="O3321">
        <v>2.2111774</v>
      </c>
      <c r="P3321">
        <v>83.757575759999995</v>
      </c>
      <c r="Q3321">
        <v>22.60997987</v>
      </c>
      <c r="R3321">
        <v>0.72884000000000004</v>
      </c>
      <c r="S3321">
        <v>0.21301339999999999</v>
      </c>
      <c r="T3321" t="s">
        <v>1018</v>
      </c>
      <c r="U3321">
        <v>1.5594277780000001</v>
      </c>
    </row>
    <row r="3322" spans="1:21" x14ac:dyDescent="0.25">
      <c r="A3322" t="s">
        <v>40</v>
      </c>
      <c r="B3322" t="s">
        <v>952</v>
      </c>
      <c r="C3322">
        <v>2</v>
      </c>
      <c r="D3322" t="s">
        <v>17</v>
      </c>
      <c r="E3322" t="s">
        <v>95</v>
      </c>
      <c r="F3322" t="s">
        <v>112</v>
      </c>
      <c r="G3322" t="s">
        <v>103</v>
      </c>
      <c r="H3322" t="s">
        <v>113</v>
      </c>
      <c r="J3322">
        <v>1</v>
      </c>
      <c r="K3322">
        <v>5</v>
      </c>
      <c r="L3322">
        <v>65.09375</v>
      </c>
      <c r="M3322">
        <v>37.895352600000002</v>
      </c>
      <c r="N3322">
        <v>2.2882677779999998</v>
      </c>
      <c r="O3322">
        <v>2.2111774</v>
      </c>
      <c r="P3322">
        <v>83.757575759999995</v>
      </c>
      <c r="Q3322">
        <v>22.60997987</v>
      </c>
      <c r="R3322">
        <v>0.72884000000000004</v>
      </c>
      <c r="S3322">
        <v>0.21301339999999999</v>
      </c>
      <c r="T3322" t="s">
        <v>1018</v>
      </c>
      <c r="U3322">
        <v>1.5594277780000001</v>
      </c>
    </row>
    <row r="3323" spans="1:21" x14ac:dyDescent="0.25">
      <c r="A3323" t="s">
        <v>40</v>
      </c>
      <c r="B3323" t="s">
        <v>952</v>
      </c>
      <c r="C3323">
        <v>2</v>
      </c>
      <c r="D3323" t="s">
        <v>17</v>
      </c>
      <c r="E3323" t="s">
        <v>95</v>
      </c>
      <c r="F3323" t="s">
        <v>112</v>
      </c>
      <c r="G3323" t="s">
        <v>103</v>
      </c>
      <c r="H3323" t="s">
        <v>113</v>
      </c>
      <c r="J3323">
        <v>1</v>
      </c>
      <c r="K3323">
        <v>5</v>
      </c>
      <c r="L3323">
        <v>65.09375</v>
      </c>
      <c r="M3323">
        <v>37.895352600000002</v>
      </c>
      <c r="N3323">
        <v>2.2882677779999998</v>
      </c>
      <c r="O3323">
        <v>2.2111774</v>
      </c>
      <c r="P3323">
        <v>83.757575759999995</v>
      </c>
      <c r="Q3323">
        <v>22.60997987</v>
      </c>
      <c r="R3323">
        <v>0.72884000000000004</v>
      </c>
      <c r="S3323">
        <v>0.21301339999999999</v>
      </c>
      <c r="T3323" t="s">
        <v>1018</v>
      </c>
      <c r="U3323">
        <v>1.5594277780000001</v>
      </c>
    </row>
    <row r="3324" spans="1:21" x14ac:dyDescent="0.25">
      <c r="A3324" t="s">
        <v>40</v>
      </c>
      <c r="B3324" t="s">
        <v>952</v>
      </c>
      <c r="C3324">
        <v>2</v>
      </c>
      <c r="D3324" t="s">
        <v>17</v>
      </c>
      <c r="E3324" t="s">
        <v>95</v>
      </c>
      <c r="F3324" t="s">
        <v>112</v>
      </c>
      <c r="G3324" t="s">
        <v>103</v>
      </c>
      <c r="H3324" t="s">
        <v>113</v>
      </c>
      <c r="J3324">
        <v>1</v>
      </c>
      <c r="K3324">
        <v>5</v>
      </c>
      <c r="L3324">
        <v>65.09375</v>
      </c>
      <c r="M3324">
        <v>37.895352600000002</v>
      </c>
      <c r="N3324">
        <v>2.2882677779999998</v>
      </c>
      <c r="O3324">
        <v>2.2111774</v>
      </c>
      <c r="P3324">
        <v>83.757575759999995</v>
      </c>
      <c r="Q3324">
        <v>22.60997987</v>
      </c>
      <c r="R3324">
        <v>0.72884000000000004</v>
      </c>
      <c r="S3324">
        <v>0.21301339999999999</v>
      </c>
      <c r="T3324" t="s">
        <v>1018</v>
      </c>
      <c r="U3324">
        <v>1.5594277780000001</v>
      </c>
    </row>
    <row r="3325" spans="1:21" x14ac:dyDescent="0.25">
      <c r="A3325" t="s">
        <v>40</v>
      </c>
      <c r="B3325" t="s">
        <v>952</v>
      </c>
      <c r="C3325">
        <v>2</v>
      </c>
      <c r="D3325" t="s">
        <v>17</v>
      </c>
      <c r="E3325" t="s">
        <v>95</v>
      </c>
      <c r="F3325" t="s">
        <v>112</v>
      </c>
      <c r="G3325" t="s">
        <v>103</v>
      </c>
      <c r="H3325" t="s">
        <v>113</v>
      </c>
      <c r="J3325">
        <v>1</v>
      </c>
      <c r="K3325">
        <v>5</v>
      </c>
      <c r="L3325">
        <v>65.09375</v>
      </c>
      <c r="M3325">
        <v>37.895352600000002</v>
      </c>
      <c r="N3325">
        <v>2.2882677779999998</v>
      </c>
      <c r="O3325">
        <v>2.2111774</v>
      </c>
      <c r="P3325">
        <v>83.757575759999995</v>
      </c>
      <c r="Q3325">
        <v>22.60997987</v>
      </c>
      <c r="R3325">
        <v>0.72884000000000004</v>
      </c>
      <c r="S3325">
        <v>0.21301339999999999</v>
      </c>
      <c r="T3325" t="s">
        <v>1018</v>
      </c>
      <c r="U3325">
        <v>1.5594277780000001</v>
      </c>
    </row>
    <row r="3326" spans="1:21" x14ac:dyDescent="0.25">
      <c r="A3326" t="s">
        <v>41</v>
      </c>
      <c r="B3326" t="s">
        <v>953</v>
      </c>
      <c r="C3326">
        <v>2</v>
      </c>
      <c r="D3326" t="s">
        <v>19</v>
      </c>
      <c r="E3326" t="s">
        <v>94</v>
      </c>
      <c r="F3326" t="s">
        <v>105</v>
      </c>
      <c r="G3326" t="s">
        <v>104</v>
      </c>
      <c r="H3326" t="s">
        <v>104</v>
      </c>
      <c r="J3326">
        <v>0</v>
      </c>
      <c r="K3326">
        <v>3</v>
      </c>
      <c r="L3326">
        <v>67.5</v>
      </c>
      <c r="M3326">
        <v>47.937235809999997</v>
      </c>
      <c r="N3326">
        <v>0.41599678000000001</v>
      </c>
      <c r="O3326">
        <v>2.0950346999999998</v>
      </c>
      <c r="P3326">
        <v>113.9375</v>
      </c>
      <c r="Q3326">
        <v>33.375507550000002</v>
      </c>
      <c r="R3326">
        <v>2.4262999999999999</v>
      </c>
      <c r="S3326">
        <v>0.40692159999999999</v>
      </c>
      <c r="T3326" t="s">
        <v>1018</v>
      </c>
      <c r="U3326">
        <v>-2.0103032199999999</v>
      </c>
    </row>
    <row r="3327" spans="1:21" x14ac:dyDescent="0.25">
      <c r="A3327" t="s">
        <v>41</v>
      </c>
      <c r="B3327" t="s">
        <v>953</v>
      </c>
      <c r="C3327">
        <v>2</v>
      </c>
      <c r="D3327" t="s">
        <v>19</v>
      </c>
      <c r="E3327" t="s">
        <v>94</v>
      </c>
      <c r="F3327" t="s">
        <v>105</v>
      </c>
      <c r="G3327" t="s">
        <v>104</v>
      </c>
      <c r="H3327" t="s">
        <v>104</v>
      </c>
      <c r="J3327">
        <v>0</v>
      </c>
      <c r="K3327">
        <v>3</v>
      </c>
      <c r="L3327">
        <v>67.5</v>
      </c>
      <c r="M3327">
        <v>47.937235809999997</v>
      </c>
      <c r="N3327">
        <v>0.41599678000000001</v>
      </c>
      <c r="O3327">
        <v>2.0950346999999998</v>
      </c>
      <c r="P3327">
        <v>113.9375</v>
      </c>
      <c r="Q3327">
        <v>33.375507550000002</v>
      </c>
      <c r="R3327">
        <v>2.4262999999999999</v>
      </c>
      <c r="S3327">
        <v>0.40692159999999999</v>
      </c>
      <c r="T3327" t="s">
        <v>1018</v>
      </c>
      <c r="U3327">
        <v>-2.0103032199999999</v>
      </c>
    </row>
    <row r="3328" spans="1:21" x14ac:dyDescent="0.25">
      <c r="A3328" t="s">
        <v>41</v>
      </c>
      <c r="B3328" t="s">
        <v>953</v>
      </c>
      <c r="C3328">
        <v>2</v>
      </c>
      <c r="D3328" t="s">
        <v>19</v>
      </c>
      <c r="E3328" t="s">
        <v>94</v>
      </c>
      <c r="F3328" t="s">
        <v>105</v>
      </c>
      <c r="G3328" t="s">
        <v>104</v>
      </c>
      <c r="H3328" t="s">
        <v>104</v>
      </c>
      <c r="J3328">
        <v>0</v>
      </c>
      <c r="K3328">
        <v>3</v>
      </c>
      <c r="L3328">
        <v>67.5</v>
      </c>
      <c r="M3328">
        <v>47.937235809999997</v>
      </c>
      <c r="N3328">
        <v>0.41599678000000001</v>
      </c>
      <c r="O3328">
        <v>2.0950346999999998</v>
      </c>
      <c r="P3328">
        <v>113.9375</v>
      </c>
      <c r="Q3328">
        <v>33.375507550000002</v>
      </c>
      <c r="R3328">
        <v>2.4262999999999999</v>
      </c>
      <c r="S3328">
        <v>0.40692159999999999</v>
      </c>
      <c r="T3328" t="s">
        <v>1018</v>
      </c>
      <c r="U3328">
        <v>-2.0103032199999999</v>
      </c>
    </row>
    <row r="3329" spans="1:21" x14ac:dyDescent="0.25">
      <c r="A3329" t="s">
        <v>41</v>
      </c>
      <c r="B3329" t="s">
        <v>953</v>
      </c>
      <c r="C3329">
        <v>2</v>
      </c>
      <c r="D3329" t="s">
        <v>19</v>
      </c>
      <c r="E3329" t="s">
        <v>94</v>
      </c>
      <c r="F3329" t="s">
        <v>105</v>
      </c>
      <c r="G3329" t="s">
        <v>104</v>
      </c>
      <c r="H3329" t="s">
        <v>113</v>
      </c>
      <c r="J3329">
        <v>0</v>
      </c>
      <c r="K3329">
        <v>1</v>
      </c>
      <c r="L3329">
        <v>67.5</v>
      </c>
      <c r="M3329">
        <v>47.937235809999997</v>
      </c>
      <c r="N3329">
        <v>0.41599678000000001</v>
      </c>
      <c r="O3329">
        <v>2.0950346999999998</v>
      </c>
      <c r="P3329">
        <v>83.757575759999995</v>
      </c>
      <c r="Q3329">
        <v>22.60997987</v>
      </c>
      <c r="R3329">
        <v>0.72884000000000004</v>
      </c>
      <c r="S3329">
        <v>0.21301339999999999</v>
      </c>
      <c r="T3329" t="s">
        <v>1018</v>
      </c>
      <c r="U3329">
        <v>-0.31284321999999998</v>
      </c>
    </row>
    <row r="3330" spans="1:21" x14ac:dyDescent="0.25">
      <c r="A3330" t="s">
        <v>41</v>
      </c>
      <c r="B3330" t="s">
        <v>953</v>
      </c>
      <c r="C3330">
        <v>2</v>
      </c>
      <c r="D3330" t="s">
        <v>19</v>
      </c>
      <c r="E3330" t="s">
        <v>94</v>
      </c>
      <c r="F3330" t="s">
        <v>105</v>
      </c>
      <c r="G3330" t="s">
        <v>104</v>
      </c>
      <c r="H3330" t="s">
        <v>237</v>
      </c>
      <c r="J3330">
        <v>0</v>
      </c>
      <c r="K3330">
        <v>1</v>
      </c>
      <c r="L3330">
        <v>67.5</v>
      </c>
      <c r="M3330">
        <v>47.937235809999997</v>
      </c>
      <c r="N3330">
        <v>0.41599678000000001</v>
      </c>
      <c r="O3330">
        <v>2.0950346999999998</v>
      </c>
      <c r="P3330">
        <v>83.888888890000004</v>
      </c>
      <c r="Q3330">
        <v>31.026943280000001</v>
      </c>
      <c r="R3330">
        <v>0.53083999999999998</v>
      </c>
      <c r="S3330">
        <v>0.24845418999999999</v>
      </c>
      <c r="T3330" t="s">
        <v>1018</v>
      </c>
      <c r="U3330">
        <v>-0.11484322</v>
      </c>
    </row>
    <row r="3331" spans="1:21" x14ac:dyDescent="0.25">
      <c r="A3331" t="s">
        <v>41</v>
      </c>
      <c r="B3331" t="s">
        <v>953</v>
      </c>
      <c r="C3331">
        <v>2</v>
      </c>
      <c r="D3331" t="s">
        <v>19</v>
      </c>
      <c r="E3331" t="s">
        <v>94</v>
      </c>
      <c r="F3331" t="s">
        <v>105</v>
      </c>
      <c r="G3331" t="s">
        <v>104</v>
      </c>
      <c r="H3331" t="s">
        <v>239</v>
      </c>
      <c r="J3331">
        <v>0</v>
      </c>
      <c r="K3331">
        <v>1</v>
      </c>
      <c r="L3331">
        <v>67.5</v>
      </c>
      <c r="M3331">
        <v>47.937235809999997</v>
      </c>
      <c r="N3331">
        <v>0.41599678000000001</v>
      </c>
      <c r="O3331">
        <v>2.0950346999999998</v>
      </c>
      <c r="P3331">
        <v>100.45454549999999</v>
      </c>
      <c r="Q3331">
        <v>26.754810689999999</v>
      </c>
      <c r="R3331">
        <v>0.75829999999999997</v>
      </c>
      <c r="S3331">
        <v>0.40907861000000001</v>
      </c>
      <c r="T3331" t="s">
        <v>1018</v>
      </c>
      <c r="U3331">
        <v>-0.34230322000000002</v>
      </c>
    </row>
    <row r="3332" spans="1:21" x14ac:dyDescent="0.25">
      <c r="A3332" t="s">
        <v>41</v>
      </c>
      <c r="B3332" t="s">
        <v>954</v>
      </c>
      <c r="C3332">
        <v>2</v>
      </c>
      <c r="D3332" t="s">
        <v>19</v>
      </c>
      <c r="E3332" t="s">
        <v>94</v>
      </c>
      <c r="F3332" t="s">
        <v>113</v>
      </c>
      <c r="G3332" t="s">
        <v>104</v>
      </c>
      <c r="H3332" t="s">
        <v>237</v>
      </c>
      <c r="J3332">
        <v>0</v>
      </c>
      <c r="K3332">
        <v>1</v>
      </c>
      <c r="L3332">
        <v>83.757575759999995</v>
      </c>
      <c r="M3332">
        <v>22.60997987</v>
      </c>
      <c r="N3332">
        <v>0.72884000000000004</v>
      </c>
      <c r="O3332">
        <v>0.21301339999999999</v>
      </c>
      <c r="P3332">
        <v>83.888888890000004</v>
      </c>
      <c r="Q3332">
        <v>31.026943280000001</v>
      </c>
      <c r="R3332">
        <v>0.53083999999999998</v>
      </c>
      <c r="S3332">
        <v>0.24845418999999999</v>
      </c>
      <c r="T3332" t="s">
        <v>1018</v>
      </c>
      <c r="U3332">
        <v>0.19800000000000001</v>
      </c>
    </row>
    <row r="3333" spans="1:21" x14ac:dyDescent="0.25">
      <c r="A3333" t="s">
        <v>41</v>
      </c>
      <c r="B3333" t="s">
        <v>954</v>
      </c>
      <c r="C3333">
        <v>2</v>
      </c>
      <c r="D3333" t="s">
        <v>19</v>
      </c>
      <c r="E3333" t="s">
        <v>94</v>
      </c>
      <c r="F3333" t="s">
        <v>113</v>
      </c>
      <c r="G3333" t="s">
        <v>104</v>
      </c>
      <c r="H3333" t="s">
        <v>113</v>
      </c>
      <c r="J3333">
        <v>0</v>
      </c>
      <c r="K3333">
        <v>7</v>
      </c>
      <c r="L3333">
        <v>83.757575759999995</v>
      </c>
      <c r="M3333">
        <v>22.60997987</v>
      </c>
      <c r="N3333">
        <v>0.72884000000000004</v>
      </c>
      <c r="O3333">
        <v>0.21301339999999999</v>
      </c>
      <c r="P3333">
        <v>83.757575759999995</v>
      </c>
      <c r="Q3333">
        <v>22.60997987</v>
      </c>
      <c r="R3333">
        <v>0.72884000000000004</v>
      </c>
      <c r="S3333">
        <v>0.21301339999999999</v>
      </c>
      <c r="T3333" t="s">
        <v>1018</v>
      </c>
      <c r="U3333">
        <v>0</v>
      </c>
    </row>
    <row r="3334" spans="1:21" x14ac:dyDescent="0.25">
      <c r="A3334" t="s">
        <v>41</v>
      </c>
      <c r="B3334" t="s">
        <v>954</v>
      </c>
      <c r="C3334">
        <v>2</v>
      </c>
      <c r="D3334" t="s">
        <v>19</v>
      </c>
      <c r="E3334" t="s">
        <v>94</v>
      </c>
      <c r="F3334" t="s">
        <v>113</v>
      </c>
      <c r="G3334" t="s">
        <v>104</v>
      </c>
      <c r="H3334" t="s">
        <v>113</v>
      </c>
      <c r="J3334">
        <v>0</v>
      </c>
      <c r="K3334">
        <v>7</v>
      </c>
      <c r="L3334">
        <v>83.757575759999995</v>
      </c>
      <c r="M3334">
        <v>22.60997987</v>
      </c>
      <c r="N3334">
        <v>0.72884000000000004</v>
      </c>
      <c r="O3334">
        <v>0.21301339999999999</v>
      </c>
      <c r="P3334">
        <v>83.757575759999995</v>
      </c>
      <c r="Q3334">
        <v>22.60997987</v>
      </c>
      <c r="R3334">
        <v>0.72884000000000004</v>
      </c>
      <c r="S3334">
        <v>0.21301339999999999</v>
      </c>
      <c r="T3334" t="s">
        <v>1018</v>
      </c>
      <c r="U3334">
        <v>0</v>
      </c>
    </row>
    <row r="3335" spans="1:21" x14ac:dyDescent="0.25">
      <c r="A3335" t="s">
        <v>41</v>
      </c>
      <c r="B3335" t="s">
        <v>954</v>
      </c>
      <c r="C3335">
        <v>2</v>
      </c>
      <c r="D3335" t="s">
        <v>19</v>
      </c>
      <c r="E3335" t="s">
        <v>94</v>
      </c>
      <c r="F3335" t="s">
        <v>113</v>
      </c>
      <c r="G3335" t="s">
        <v>104</v>
      </c>
      <c r="H3335" t="s">
        <v>113</v>
      </c>
      <c r="J3335">
        <v>0</v>
      </c>
      <c r="K3335">
        <v>7</v>
      </c>
      <c r="L3335">
        <v>83.757575759999995</v>
      </c>
      <c r="M3335">
        <v>22.60997987</v>
      </c>
      <c r="N3335">
        <v>0.72884000000000004</v>
      </c>
      <c r="O3335">
        <v>0.21301339999999999</v>
      </c>
      <c r="P3335">
        <v>83.757575759999995</v>
      </c>
      <c r="Q3335">
        <v>22.60997987</v>
      </c>
      <c r="R3335">
        <v>0.72884000000000004</v>
      </c>
      <c r="S3335">
        <v>0.21301339999999999</v>
      </c>
      <c r="T3335" t="s">
        <v>1018</v>
      </c>
      <c r="U3335">
        <v>0</v>
      </c>
    </row>
    <row r="3336" spans="1:21" x14ac:dyDescent="0.25">
      <c r="A3336" t="s">
        <v>41</v>
      </c>
      <c r="B3336" t="s">
        <v>954</v>
      </c>
      <c r="C3336">
        <v>2</v>
      </c>
      <c r="D3336" t="s">
        <v>19</v>
      </c>
      <c r="E3336" t="s">
        <v>94</v>
      </c>
      <c r="F3336" t="s">
        <v>113</v>
      </c>
      <c r="G3336" t="s">
        <v>104</v>
      </c>
      <c r="H3336" t="s">
        <v>113</v>
      </c>
      <c r="J3336">
        <v>0</v>
      </c>
      <c r="K3336">
        <v>7</v>
      </c>
      <c r="L3336">
        <v>83.757575759999995</v>
      </c>
      <c r="M3336">
        <v>22.60997987</v>
      </c>
      <c r="N3336">
        <v>0.72884000000000004</v>
      </c>
      <c r="O3336">
        <v>0.21301339999999999</v>
      </c>
      <c r="P3336">
        <v>83.757575759999995</v>
      </c>
      <c r="Q3336">
        <v>22.60997987</v>
      </c>
      <c r="R3336">
        <v>0.72884000000000004</v>
      </c>
      <c r="S3336">
        <v>0.21301339999999999</v>
      </c>
      <c r="T3336" t="s">
        <v>1018</v>
      </c>
      <c r="U3336">
        <v>0</v>
      </c>
    </row>
    <row r="3337" spans="1:21" x14ac:dyDescent="0.25">
      <c r="A3337" t="s">
        <v>41</v>
      </c>
      <c r="B3337" t="s">
        <v>954</v>
      </c>
      <c r="C3337">
        <v>2</v>
      </c>
      <c r="D3337" t="s">
        <v>19</v>
      </c>
      <c r="E3337" t="s">
        <v>94</v>
      </c>
      <c r="F3337" t="s">
        <v>113</v>
      </c>
      <c r="G3337" t="s">
        <v>104</v>
      </c>
      <c r="H3337" t="s">
        <v>113</v>
      </c>
      <c r="J3337">
        <v>0</v>
      </c>
      <c r="K3337">
        <v>7</v>
      </c>
      <c r="L3337">
        <v>83.757575759999995</v>
      </c>
      <c r="M3337">
        <v>22.60997987</v>
      </c>
      <c r="N3337">
        <v>0.72884000000000004</v>
      </c>
      <c r="O3337">
        <v>0.21301339999999999</v>
      </c>
      <c r="P3337">
        <v>83.757575759999995</v>
      </c>
      <c r="Q3337">
        <v>22.60997987</v>
      </c>
      <c r="R3337">
        <v>0.72884000000000004</v>
      </c>
      <c r="S3337">
        <v>0.21301339999999999</v>
      </c>
      <c r="T3337" t="s">
        <v>1018</v>
      </c>
      <c r="U3337">
        <v>0</v>
      </c>
    </row>
    <row r="3338" spans="1:21" x14ac:dyDescent="0.25">
      <c r="A3338" t="s">
        <v>41</v>
      </c>
      <c r="B3338" t="s">
        <v>954</v>
      </c>
      <c r="C3338">
        <v>2</v>
      </c>
      <c r="D3338" t="s">
        <v>19</v>
      </c>
      <c r="E3338" t="s">
        <v>94</v>
      </c>
      <c r="F3338" t="s">
        <v>113</v>
      </c>
      <c r="G3338" t="s">
        <v>104</v>
      </c>
      <c r="H3338" t="s">
        <v>113</v>
      </c>
      <c r="J3338">
        <v>0</v>
      </c>
      <c r="K3338">
        <v>7</v>
      </c>
      <c r="L3338">
        <v>83.757575759999995</v>
      </c>
      <c r="M3338">
        <v>22.60997987</v>
      </c>
      <c r="N3338">
        <v>0.72884000000000004</v>
      </c>
      <c r="O3338">
        <v>0.21301339999999999</v>
      </c>
      <c r="P3338">
        <v>83.757575759999995</v>
      </c>
      <c r="Q3338">
        <v>22.60997987</v>
      </c>
      <c r="R3338">
        <v>0.72884000000000004</v>
      </c>
      <c r="S3338">
        <v>0.21301339999999999</v>
      </c>
      <c r="T3338" t="s">
        <v>1018</v>
      </c>
      <c r="U3338">
        <v>0</v>
      </c>
    </row>
    <row r="3339" spans="1:21" x14ac:dyDescent="0.25">
      <c r="A3339" t="s">
        <v>41</v>
      </c>
      <c r="B3339" t="s">
        <v>954</v>
      </c>
      <c r="C3339">
        <v>2</v>
      </c>
      <c r="D3339" t="s">
        <v>19</v>
      </c>
      <c r="E3339" t="s">
        <v>94</v>
      </c>
      <c r="F3339" t="s">
        <v>113</v>
      </c>
      <c r="G3339" t="s">
        <v>104</v>
      </c>
      <c r="H3339" t="s">
        <v>113</v>
      </c>
      <c r="J3339">
        <v>0</v>
      </c>
      <c r="K3339">
        <v>7</v>
      </c>
      <c r="L3339">
        <v>83.757575759999995</v>
      </c>
      <c r="M3339">
        <v>22.60997987</v>
      </c>
      <c r="N3339">
        <v>0.72884000000000004</v>
      </c>
      <c r="O3339">
        <v>0.21301339999999999</v>
      </c>
      <c r="P3339">
        <v>83.757575759999995</v>
      </c>
      <c r="Q3339">
        <v>22.60997987</v>
      </c>
      <c r="R3339">
        <v>0.72884000000000004</v>
      </c>
      <c r="S3339">
        <v>0.21301339999999999</v>
      </c>
      <c r="T3339" t="s">
        <v>1018</v>
      </c>
      <c r="U3339">
        <v>0</v>
      </c>
    </row>
    <row r="3340" spans="1:21" x14ac:dyDescent="0.25">
      <c r="A3340" t="s">
        <v>41</v>
      </c>
      <c r="B3340" t="s">
        <v>954</v>
      </c>
      <c r="C3340">
        <v>2</v>
      </c>
      <c r="D3340" t="s">
        <v>19</v>
      </c>
      <c r="E3340" t="s">
        <v>94</v>
      </c>
      <c r="F3340" t="s">
        <v>113</v>
      </c>
      <c r="G3340" t="s">
        <v>104</v>
      </c>
      <c r="H3340" t="s">
        <v>104</v>
      </c>
      <c r="J3340">
        <v>0</v>
      </c>
      <c r="K3340">
        <v>1</v>
      </c>
      <c r="L3340">
        <v>83.757575759999995</v>
      </c>
      <c r="M3340">
        <v>22.60997987</v>
      </c>
      <c r="N3340">
        <v>0.72884000000000004</v>
      </c>
      <c r="O3340">
        <v>0.21301339999999999</v>
      </c>
      <c r="P3340">
        <v>113.9375</v>
      </c>
      <c r="Q3340">
        <v>33.375507550000002</v>
      </c>
      <c r="R3340">
        <v>2.4262999999999999</v>
      </c>
      <c r="S3340">
        <v>0.40692159999999999</v>
      </c>
      <c r="T3340" t="s">
        <v>1018</v>
      </c>
      <c r="U3340">
        <v>-1.69746</v>
      </c>
    </row>
    <row r="3341" spans="1:21" x14ac:dyDescent="0.25">
      <c r="A3341" t="s">
        <v>41</v>
      </c>
      <c r="B3341" t="s">
        <v>954</v>
      </c>
      <c r="C3341">
        <v>2</v>
      </c>
      <c r="D3341" t="s">
        <v>19</v>
      </c>
      <c r="E3341" t="s">
        <v>94</v>
      </c>
      <c r="F3341" t="s">
        <v>113</v>
      </c>
      <c r="G3341" t="s">
        <v>104</v>
      </c>
      <c r="H3341" t="s">
        <v>238</v>
      </c>
      <c r="J3341">
        <v>0</v>
      </c>
      <c r="K3341">
        <v>1</v>
      </c>
      <c r="L3341">
        <v>83.757575759999995</v>
      </c>
      <c r="M3341">
        <v>22.60997987</v>
      </c>
      <c r="N3341">
        <v>0.72884000000000004</v>
      </c>
      <c r="O3341">
        <v>0.21301339999999999</v>
      </c>
      <c r="P3341">
        <v>87.5</v>
      </c>
      <c r="Q3341">
        <v>29.478311600000001</v>
      </c>
      <c r="R3341">
        <v>3.0797751000000002E-2</v>
      </c>
      <c r="S3341">
        <v>0.12931835</v>
      </c>
      <c r="T3341" t="s">
        <v>1018</v>
      </c>
      <c r="U3341">
        <v>0.698042249</v>
      </c>
    </row>
    <row r="3342" spans="1:21" x14ac:dyDescent="0.25">
      <c r="A3342" t="s">
        <v>41</v>
      </c>
      <c r="B3342" t="s">
        <v>955</v>
      </c>
      <c r="C3342">
        <v>2</v>
      </c>
      <c r="D3342" t="s">
        <v>19</v>
      </c>
      <c r="E3342" t="s">
        <v>94</v>
      </c>
      <c r="F3342" t="s">
        <v>103</v>
      </c>
      <c r="G3342" t="s">
        <v>113</v>
      </c>
      <c r="H3342" t="s">
        <v>103</v>
      </c>
      <c r="J3342">
        <v>0</v>
      </c>
      <c r="K3342">
        <v>2</v>
      </c>
      <c r="L3342">
        <v>98.291666669999998</v>
      </c>
      <c r="M3342">
        <v>30.315130790000001</v>
      </c>
      <c r="N3342">
        <v>5.0803484000000003E-2</v>
      </c>
      <c r="O3342">
        <v>0.42866070000000001</v>
      </c>
      <c r="P3342">
        <v>98.291666669999998</v>
      </c>
      <c r="Q3342">
        <v>30.315130790000001</v>
      </c>
      <c r="R3342">
        <v>5.0803484000000003E-2</v>
      </c>
      <c r="S3342">
        <v>0.42866070000000001</v>
      </c>
      <c r="T3342" t="s">
        <v>1018</v>
      </c>
      <c r="U3342">
        <v>0</v>
      </c>
    </row>
    <row r="3343" spans="1:21" x14ac:dyDescent="0.25">
      <c r="A3343" t="s">
        <v>41</v>
      </c>
      <c r="B3343" t="s">
        <v>955</v>
      </c>
      <c r="C3343">
        <v>2</v>
      </c>
      <c r="D3343" t="s">
        <v>19</v>
      </c>
      <c r="E3343" t="s">
        <v>94</v>
      </c>
      <c r="F3343" t="s">
        <v>103</v>
      </c>
      <c r="G3343" t="s">
        <v>113</v>
      </c>
      <c r="H3343" t="s">
        <v>103</v>
      </c>
      <c r="J3343">
        <v>0</v>
      </c>
      <c r="K3343">
        <v>2</v>
      </c>
      <c r="L3343">
        <v>98.291666669999998</v>
      </c>
      <c r="M3343">
        <v>30.315130790000001</v>
      </c>
      <c r="N3343">
        <v>5.0803484000000003E-2</v>
      </c>
      <c r="O3343">
        <v>0.42866070000000001</v>
      </c>
      <c r="P3343">
        <v>98.291666669999998</v>
      </c>
      <c r="Q3343">
        <v>30.315130790000001</v>
      </c>
      <c r="R3343">
        <v>5.0803484000000003E-2</v>
      </c>
      <c r="S3343">
        <v>0.42866070000000001</v>
      </c>
      <c r="T3343" t="s">
        <v>1018</v>
      </c>
      <c r="U3343">
        <v>0</v>
      </c>
    </row>
    <row r="3344" spans="1:21" x14ac:dyDescent="0.25">
      <c r="A3344" t="s">
        <v>41</v>
      </c>
      <c r="B3344" t="s">
        <v>955</v>
      </c>
      <c r="C3344">
        <v>2</v>
      </c>
      <c r="D3344" t="s">
        <v>19</v>
      </c>
      <c r="E3344" t="s">
        <v>94</v>
      </c>
      <c r="F3344" t="s">
        <v>103</v>
      </c>
      <c r="G3344" t="s">
        <v>113</v>
      </c>
      <c r="H3344" t="s">
        <v>113</v>
      </c>
      <c r="J3344">
        <v>0</v>
      </c>
      <c r="K3344">
        <v>3</v>
      </c>
      <c r="L3344">
        <v>98.291666669999998</v>
      </c>
      <c r="M3344">
        <v>30.315130790000001</v>
      </c>
      <c r="N3344">
        <v>5.0803484000000003E-2</v>
      </c>
      <c r="O3344">
        <v>0.42866070000000001</v>
      </c>
      <c r="P3344">
        <v>83.757575759999995</v>
      </c>
      <c r="Q3344">
        <v>22.60997987</v>
      </c>
      <c r="R3344">
        <v>0.72884000000000004</v>
      </c>
      <c r="S3344">
        <v>0.21301339999999999</v>
      </c>
      <c r="T3344" t="s">
        <v>1018</v>
      </c>
      <c r="U3344">
        <v>-0.67803651600000003</v>
      </c>
    </row>
    <row r="3345" spans="1:21" x14ac:dyDescent="0.25">
      <c r="A3345" t="s">
        <v>41</v>
      </c>
      <c r="B3345" t="s">
        <v>955</v>
      </c>
      <c r="C3345">
        <v>2</v>
      </c>
      <c r="D3345" t="s">
        <v>19</v>
      </c>
      <c r="E3345" t="s">
        <v>94</v>
      </c>
      <c r="F3345" t="s">
        <v>103</v>
      </c>
      <c r="G3345" t="s">
        <v>113</v>
      </c>
      <c r="H3345" t="s">
        <v>113</v>
      </c>
      <c r="J3345">
        <v>0</v>
      </c>
      <c r="K3345">
        <v>3</v>
      </c>
      <c r="L3345">
        <v>98.291666669999998</v>
      </c>
      <c r="M3345">
        <v>30.315130790000001</v>
      </c>
      <c r="N3345">
        <v>5.0803484000000003E-2</v>
      </c>
      <c r="O3345">
        <v>0.42866070000000001</v>
      </c>
      <c r="P3345">
        <v>83.757575759999995</v>
      </c>
      <c r="Q3345">
        <v>22.60997987</v>
      </c>
      <c r="R3345">
        <v>0.72884000000000004</v>
      </c>
      <c r="S3345">
        <v>0.21301339999999999</v>
      </c>
      <c r="T3345" t="s">
        <v>1018</v>
      </c>
      <c r="U3345">
        <v>-0.67803651600000003</v>
      </c>
    </row>
    <row r="3346" spans="1:21" x14ac:dyDescent="0.25">
      <c r="A3346" t="s">
        <v>41</v>
      </c>
      <c r="B3346" t="s">
        <v>955</v>
      </c>
      <c r="C3346">
        <v>2</v>
      </c>
      <c r="D3346" t="s">
        <v>19</v>
      </c>
      <c r="E3346" t="s">
        <v>94</v>
      </c>
      <c r="F3346" t="s">
        <v>103</v>
      </c>
      <c r="G3346" t="s">
        <v>113</v>
      </c>
      <c r="H3346" t="s">
        <v>113</v>
      </c>
      <c r="J3346">
        <v>0</v>
      </c>
      <c r="K3346">
        <v>3</v>
      </c>
      <c r="L3346">
        <v>98.291666669999998</v>
      </c>
      <c r="M3346">
        <v>30.315130790000001</v>
      </c>
      <c r="N3346">
        <v>5.0803484000000003E-2</v>
      </c>
      <c r="O3346">
        <v>0.42866070000000001</v>
      </c>
      <c r="P3346">
        <v>83.757575759999995</v>
      </c>
      <c r="Q3346">
        <v>22.60997987</v>
      </c>
      <c r="R3346">
        <v>0.72884000000000004</v>
      </c>
      <c r="S3346">
        <v>0.21301339999999999</v>
      </c>
      <c r="T3346" t="s">
        <v>1018</v>
      </c>
      <c r="U3346">
        <v>-0.67803651600000003</v>
      </c>
    </row>
    <row r="3347" spans="1:21" x14ac:dyDescent="0.25">
      <c r="A3347" t="s">
        <v>42</v>
      </c>
      <c r="B3347" t="s">
        <v>956</v>
      </c>
      <c r="C3347">
        <v>2</v>
      </c>
      <c r="D3347" t="s">
        <v>21</v>
      </c>
      <c r="E3347" t="s">
        <v>94</v>
      </c>
      <c r="F3347" t="s">
        <v>105</v>
      </c>
      <c r="G3347" t="s">
        <v>121</v>
      </c>
      <c r="H3347" t="s">
        <v>242</v>
      </c>
      <c r="J3347">
        <v>0</v>
      </c>
      <c r="K3347">
        <v>6</v>
      </c>
      <c r="L3347">
        <v>67.5</v>
      </c>
      <c r="M3347">
        <v>47.937235809999997</v>
      </c>
      <c r="N3347">
        <v>0.41599678000000001</v>
      </c>
      <c r="O3347">
        <v>2.0950346999999998</v>
      </c>
      <c r="P3347">
        <v>139.375</v>
      </c>
      <c r="Q3347">
        <v>23.713465920000001</v>
      </c>
      <c r="R3347" t="s">
        <v>114</v>
      </c>
      <c r="S3347" t="s">
        <v>114</v>
      </c>
      <c r="T3347" t="s">
        <v>1018</v>
      </c>
      <c r="U3347" t="s">
        <v>114</v>
      </c>
    </row>
    <row r="3348" spans="1:21" x14ac:dyDescent="0.25">
      <c r="A3348" t="s">
        <v>42</v>
      </c>
      <c r="B3348" t="s">
        <v>956</v>
      </c>
      <c r="C3348">
        <v>2</v>
      </c>
      <c r="D3348" t="s">
        <v>21</v>
      </c>
      <c r="E3348" t="s">
        <v>94</v>
      </c>
      <c r="F3348" t="s">
        <v>105</v>
      </c>
      <c r="G3348" t="s">
        <v>121</v>
      </c>
      <c r="H3348" t="s">
        <v>242</v>
      </c>
      <c r="J3348">
        <v>0</v>
      </c>
      <c r="K3348">
        <v>6</v>
      </c>
      <c r="L3348">
        <v>67.5</v>
      </c>
      <c r="M3348">
        <v>47.937235809999997</v>
      </c>
      <c r="N3348">
        <v>0.41599678000000001</v>
      </c>
      <c r="O3348">
        <v>2.0950346999999998</v>
      </c>
      <c r="P3348">
        <v>139.375</v>
      </c>
      <c r="Q3348">
        <v>23.713465920000001</v>
      </c>
      <c r="R3348" t="s">
        <v>114</v>
      </c>
      <c r="S3348" t="s">
        <v>114</v>
      </c>
      <c r="T3348" t="s">
        <v>1018</v>
      </c>
      <c r="U3348" t="s">
        <v>114</v>
      </c>
    </row>
    <row r="3349" spans="1:21" x14ac:dyDescent="0.25">
      <c r="A3349" t="s">
        <v>42</v>
      </c>
      <c r="B3349" t="s">
        <v>956</v>
      </c>
      <c r="C3349">
        <v>2</v>
      </c>
      <c r="D3349" t="s">
        <v>21</v>
      </c>
      <c r="E3349" t="s">
        <v>94</v>
      </c>
      <c r="F3349" t="s">
        <v>105</v>
      </c>
      <c r="G3349" t="s">
        <v>121</v>
      </c>
      <c r="H3349" t="s">
        <v>242</v>
      </c>
      <c r="J3349">
        <v>0</v>
      </c>
      <c r="K3349">
        <v>6</v>
      </c>
      <c r="L3349">
        <v>67.5</v>
      </c>
      <c r="M3349">
        <v>47.937235809999997</v>
      </c>
      <c r="N3349">
        <v>0.41599678000000001</v>
      </c>
      <c r="O3349">
        <v>2.0950346999999998</v>
      </c>
      <c r="P3349">
        <v>139.375</v>
      </c>
      <c r="Q3349">
        <v>23.713465920000001</v>
      </c>
      <c r="R3349" t="s">
        <v>114</v>
      </c>
      <c r="S3349" t="s">
        <v>114</v>
      </c>
      <c r="T3349" t="s">
        <v>1018</v>
      </c>
      <c r="U3349" t="s">
        <v>114</v>
      </c>
    </row>
    <row r="3350" spans="1:21" x14ac:dyDescent="0.25">
      <c r="A3350" t="s">
        <v>42</v>
      </c>
      <c r="B3350" t="s">
        <v>956</v>
      </c>
      <c r="C3350">
        <v>2</v>
      </c>
      <c r="D3350" t="s">
        <v>21</v>
      </c>
      <c r="E3350" t="s">
        <v>94</v>
      </c>
      <c r="F3350" t="s">
        <v>105</v>
      </c>
      <c r="G3350" t="s">
        <v>121</v>
      </c>
      <c r="H3350" t="s">
        <v>242</v>
      </c>
      <c r="J3350">
        <v>0</v>
      </c>
      <c r="K3350">
        <v>6</v>
      </c>
      <c r="L3350">
        <v>67.5</v>
      </c>
      <c r="M3350">
        <v>47.937235809999997</v>
      </c>
      <c r="N3350">
        <v>0.41599678000000001</v>
      </c>
      <c r="O3350">
        <v>2.0950346999999998</v>
      </c>
      <c r="P3350">
        <v>139.375</v>
      </c>
      <c r="Q3350">
        <v>23.713465920000001</v>
      </c>
      <c r="R3350" t="s">
        <v>114</v>
      </c>
      <c r="S3350" t="s">
        <v>114</v>
      </c>
      <c r="T3350" t="s">
        <v>1018</v>
      </c>
      <c r="U3350" t="s">
        <v>114</v>
      </c>
    </row>
    <row r="3351" spans="1:21" x14ac:dyDescent="0.25">
      <c r="A3351" t="s">
        <v>42</v>
      </c>
      <c r="B3351" t="s">
        <v>956</v>
      </c>
      <c r="C3351">
        <v>2</v>
      </c>
      <c r="D3351" t="s">
        <v>21</v>
      </c>
      <c r="E3351" t="s">
        <v>94</v>
      </c>
      <c r="F3351" t="s">
        <v>105</v>
      </c>
      <c r="G3351" t="s">
        <v>121</v>
      </c>
      <c r="H3351" t="s">
        <v>242</v>
      </c>
      <c r="J3351">
        <v>0</v>
      </c>
      <c r="K3351">
        <v>6</v>
      </c>
      <c r="L3351">
        <v>67.5</v>
      </c>
      <c r="M3351">
        <v>47.937235809999997</v>
      </c>
      <c r="N3351">
        <v>0.41599678000000001</v>
      </c>
      <c r="O3351">
        <v>2.0950346999999998</v>
      </c>
      <c r="P3351">
        <v>139.375</v>
      </c>
      <c r="Q3351">
        <v>23.713465920000001</v>
      </c>
      <c r="R3351" t="s">
        <v>114</v>
      </c>
      <c r="S3351" t="s">
        <v>114</v>
      </c>
      <c r="T3351" t="s">
        <v>1018</v>
      </c>
      <c r="U3351" t="s">
        <v>114</v>
      </c>
    </row>
    <row r="3352" spans="1:21" x14ac:dyDescent="0.25">
      <c r="A3352" t="s">
        <v>42</v>
      </c>
      <c r="B3352" t="s">
        <v>956</v>
      </c>
      <c r="C3352">
        <v>2</v>
      </c>
      <c r="D3352" t="s">
        <v>21</v>
      </c>
      <c r="E3352" t="s">
        <v>94</v>
      </c>
      <c r="F3352" t="s">
        <v>105</v>
      </c>
      <c r="G3352" t="s">
        <v>121</v>
      </c>
      <c r="H3352" t="s">
        <v>242</v>
      </c>
      <c r="J3352">
        <v>0</v>
      </c>
      <c r="K3352">
        <v>6</v>
      </c>
      <c r="L3352">
        <v>67.5</v>
      </c>
      <c r="M3352">
        <v>47.937235809999997</v>
      </c>
      <c r="N3352">
        <v>0.41599678000000001</v>
      </c>
      <c r="O3352">
        <v>2.0950346999999998</v>
      </c>
      <c r="P3352">
        <v>139.375</v>
      </c>
      <c r="Q3352">
        <v>23.713465920000001</v>
      </c>
      <c r="R3352" t="s">
        <v>114</v>
      </c>
      <c r="S3352" t="s">
        <v>114</v>
      </c>
      <c r="T3352" t="s">
        <v>1018</v>
      </c>
      <c r="U3352" t="s">
        <v>114</v>
      </c>
    </row>
    <row r="3353" spans="1:21" x14ac:dyDescent="0.25">
      <c r="A3353" t="s">
        <v>42</v>
      </c>
      <c r="B3353" t="s">
        <v>957</v>
      </c>
      <c r="C3353">
        <v>2</v>
      </c>
      <c r="D3353" t="s">
        <v>21</v>
      </c>
      <c r="E3353" t="s">
        <v>94</v>
      </c>
      <c r="F3353" t="s">
        <v>110</v>
      </c>
      <c r="G3353" t="s">
        <v>113</v>
      </c>
      <c r="H3353" t="s">
        <v>104</v>
      </c>
      <c r="J3353">
        <v>0</v>
      </c>
      <c r="K3353">
        <v>2</v>
      </c>
      <c r="L3353">
        <v>73.260869569999997</v>
      </c>
      <c r="M3353">
        <v>34.453830549999999</v>
      </c>
      <c r="N3353">
        <v>1.058333333</v>
      </c>
      <c r="O3353">
        <v>0.90897070000000002</v>
      </c>
      <c r="P3353">
        <v>113.9375</v>
      </c>
      <c r="Q3353">
        <v>33.375507550000002</v>
      </c>
      <c r="R3353">
        <v>2.4262999999999999</v>
      </c>
      <c r="S3353">
        <v>0.40692159999999999</v>
      </c>
      <c r="T3353" t="s">
        <v>1018</v>
      </c>
      <c r="U3353">
        <v>-1.3679666669999999</v>
      </c>
    </row>
    <row r="3354" spans="1:21" x14ac:dyDescent="0.25">
      <c r="A3354" t="s">
        <v>42</v>
      </c>
      <c r="B3354" t="s">
        <v>957</v>
      </c>
      <c r="C3354">
        <v>2</v>
      </c>
      <c r="D3354" t="s">
        <v>21</v>
      </c>
      <c r="E3354" t="s">
        <v>94</v>
      </c>
      <c r="F3354" t="s">
        <v>110</v>
      </c>
      <c r="G3354" t="s">
        <v>113</v>
      </c>
      <c r="H3354" t="s">
        <v>104</v>
      </c>
      <c r="J3354">
        <v>0</v>
      </c>
      <c r="K3354">
        <v>2</v>
      </c>
      <c r="L3354">
        <v>73.260869569999997</v>
      </c>
      <c r="M3354">
        <v>34.453830549999999</v>
      </c>
      <c r="N3354">
        <v>1.058333333</v>
      </c>
      <c r="O3354">
        <v>0.90897070000000002</v>
      </c>
      <c r="P3354">
        <v>113.9375</v>
      </c>
      <c r="Q3354">
        <v>33.375507550000002</v>
      </c>
      <c r="R3354">
        <v>2.4262999999999999</v>
      </c>
      <c r="S3354">
        <v>0.40692159999999999</v>
      </c>
      <c r="T3354" t="s">
        <v>1018</v>
      </c>
      <c r="U3354">
        <v>-1.3679666669999999</v>
      </c>
    </row>
    <row r="3355" spans="1:21" x14ac:dyDescent="0.25">
      <c r="A3355" t="s">
        <v>42</v>
      </c>
      <c r="B3355" t="s">
        <v>957</v>
      </c>
      <c r="C3355">
        <v>2</v>
      </c>
      <c r="D3355" t="s">
        <v>21</v>
      </c>
      <c r="E3355" t="s">
        <v>94</v>
      </c>
      <c r="F3355" t="s">
        <v>110</v>
      </c>
      <c r="G3355" t="s">
        <v>113</v>
      </c>
      <c r="H3355" t="s">
        <v>242</v>
      </c>
      <c r="J3355">
        <v>0</v>
      </c>
      <c r="K3355">
        <v>5</v>
      </c>
      <c r="L3355">
        <v>73.260869569999997</v>
      </c>
      <c r="M3355">
        <v>34.453830549999999</v>
      </c>
      <c r="N3355">
        <v>1.058333333</v>
      </c>
      <c r="O3355">
        <v>0.90897070000000002</v>
      </c>
      <c r="P3355">
        <v>139.375</v>
      </c>
      <c r="Q3355">
        <v>23.713465920000001</v>
      </c>
      <c r="R3355" t="s">
        <v>114</v>
      </c>
      <c r="S3355" t="s">
        <v>114</v>
      </c>
      <c r="T3355" t="s">
        <v>1018</v>
      </c>
      <c r="U3355" t="s">
        <v>114</v>
      </c>
    </row>
    <row r="3356" spans="1:21" x14ac:dyDescent="0.25">
      <c r="A3356" t="s">
        <v>42</v>
      </c>
      <c r="B3356" t="s">
        <v>957</v>
      </c>
      <c r="C3356">
        <v>2</v>
      </c>
      <c r="D3356" t="s">
        <v>21</v>
      </c>
      <c r="E3356" t="s">
        <v>94</v>
      </c>
      <c r="F3356" t="s">
        <v>110</v>
      </c>
      <c r="G3356" t="s">
        <v>113</v>
      </c>
      <c r="H3356" t="s">
        <v>242</v>
      </c>
      <c r="J3356">
        <v>0</v>
      </c>
      <c r="K3356">
        <v>5</v>
      </c>
      <c r="L3356">
        <v>73.260869569999997</v>
      </c>
      <c r="M3356">
        <v>34.453830549999999</v>
      </c>
      <c r="N3356">
        <v>1.058333333</v>
      </c>
      <c r="O3356">
        <v>0.90897070000000002</v>
      </c>
      <c r="P3356">
        <v>139.375</v>
      </c>
      <c r="Q3356">
        <v>23.713465920000001</v>
      </c>
      <c r="R3356" t="s">
        <v>114</v>
      </c>
      <c r="S3356" t="s">
        <v>114</v>
      </c>
      <c r="T3356" t="s">
        <v>1018</v>
      </c>
      <c r="U3356" t="s">
        <v>114</v>
      </c>
    </row>
    <row r="3357" spans="1:21" x14ac:dyDescent="0.25">
      <c r="A3357" t="s">
        <v>42</v>
      </c>
      <c r="B3357" t="s">
        <v>957</v>
      </c>
      <c r="C3357">
        <v>2</v>
      </c>
      <c r="D3357" t="s">
        <v>21</v>
      </c>
      <c r="E3357" t="s">
        <v>94</v>
      </c>
      <c r="F3357" t="s">
        <v>110</v>
      </c>
      <c r="G3357" t="s">
        <v>113</v>
      </c>
      <c r="H3357" t="s">
        <v>242</v>
      </c>
      <c r="J3357">
        <v>0</v>
      </c>
      <c r="K3357">
        <v>5</v>
      </c>
      <c r="L3357">
        <v>73.260869569999997</v>
      </c>
      <c r="M3357">
        <v>34.453830549999999</v>
      </c>
      <c r="N3357">
        <v>1.058333333</v>
      </c>
      <c r="O3357">
        <v>0.90897070000000002</v>
      </c>
      <c r="P3357">
        <v>139.375</v>
      </c>
      <c r="Q3357">
        <v>23.713465920000001</v>
      </c>
      <c r="R3357" t="s">
        <v>114</v>
      </c>
      <c r="S3357" t="s">
        <v>114</v>
      </c>
      <c r="T3357" t="s">
        <v>1018</v>
      </c>
      <c r="U3357" t="s">
        <v>114</v>
      </c>
    </row>
    <row r="3358" spans="1:21" x14ac:dyDescent="0.25">
      <c r="A3358" t="s">
        <v>42</v>
      </c>
      <c r="B3358" t="s">
        <v>957</v>
      </c>
      <c r="C3358">
        <v>2</v>
      </c>
      <c r="D3358" t="s">
        <v>21</v>
      </c>
      <c r="E3358" t="s">
        <v>94</v>
      </c>
      <c r="F3358" t="s">
        <v>110</v>
      </c>
      <c r="G3358" t="s">
        <v>113</v>
      </c>
      <c r="H3358" t="s">
        <v>242</v>
      </c>
      <c r="J3358">
        <v>0</v>
      </c>
      <c r="K3358">
        <v>5</v>
      </c>
      <c r="L3358">
        <v>73.260869569999997</v>
      </c>
      <c r="M3358">
        <v>34.453830549999999</v>
      </c>
      <c r="N3358">
        <v>1.058333333</v>
      </c>
      <c r="O3358">
        <v>0.90897070000000002</v>
      </c>
      <c r="P3358">
        <v>139.375</v>
      </c>
      <c r="Q3358">
        <v>23.713465920000001</v>
      </c>
      <c r="R3358" t="s">
        <v>114</v>
      </c>
      <c r="S3358" t="s">
        <v>114</v>
      </c>
      <c r="T3358" t="s">
        <v>1018</v>
      </c>
      <c r="U3358" t="s">
        <v>114</v>
      </c>
    </row>
    <row r="3359" spans="1:21" x14ac:dyDescent="0.25">
      <c r="A3359" t="s">
        <v>42</v>
      </c>
      <c r="B3359" t="s">
        <v>957</v>
      </c>
      <c r="C3359">
        <v>2</v>
      </c>
      <c r="D3359" t="s">
        <v>21</v>
      </c>
      <c r="E3359" t="s">
        <v>94</v>
      </c>
      <c r="F3359" t="s">
        <v>110</v>
      </c>
      <c r="G3359" t="s">
        <v>113</v>
      </c>
      <c r="H3359" t="s">
        <v>242</v>
      </c>
      <c r="J3359">
        <v>0</v>
      </c>
      <c r="K3359">
        <v>5</v>
      </c>
      <c r="L3359">
        <v>73.260869569999997</v>
      </c>
      <c r="M3359">
        <v>34.453830549999999</v>
      </c>
      <c r="N3359">
        <v>1.058333333</v>
      </c>
      <c r="O3359">
        <v>0.90897070000000002</v>
      </c>
      <c r="P3359">
        <v>139.375</v>
      </c>
      <c r="Q3359">
        <v>23.713465920000001</v>
      </c>
      <c r="R3359" t="s">
        <v>114</v>
      </c>
      <c r="S3359" t="s">
        <v>114</v>
      </c>
      <c r="T3359" t="s">
        <v>1018</v>
      </c>
      <c r="U3359" t="s">
        <v>114</v>
      </c>
    </row>
    <row r="3360" spans="1:21" x14ac:dyDescent="0.25">
      <c r="A3360" t="s">
        <v>42</v>
      </c>
      <c r="B3360" t="s">
        <v>957</v>
      </c>
      <c r="C3360">
        <v>2</v>
      </c>
      <c r="D3360" t="s">
        <v>21</v>
      </c>
      <c r="E3360" t="s">
        <v>94</v>
      </c>
      <c r="F3360" t="s">
        <v>110</v>
      </c>
      <c r="G3360" t="s">
        <v>113</v>
      </c>
      <c r="H3360" t="s">
        <v>113</v>
      </c>
      <c r="J3360">
        <v>0</v>
      </c>
      <c r="K3360">
        <v>2</v>
      </c>
      <c r="L3360">
        <v>73.260869569999997</v>
      </c>
      <c r="M3360">
        <v>34.453830549999999</v>
      </c>
      <c r="N3360">
        <v>1.058333333</v>
      </c>
      <c r="O3360">
        <v>0.90897070000000002</v>
      </c>
      <c r="P3360">
        <v>83.757575759999995</v>
      </c>
      <c r="Q3360">
        <v>22.60997987</v>
      </c>
      <c r="R3360">
        <v>0.72884000000000004</v>
      </c>
      <c r="S3360">
        <v>0.21301339999999999</v>
      </c>
      <c r="T3360" t="s">
        <v>1018</v>
      </c>
      <c r="U3360">
        <v>0.329493333</v>
      </c>
    </row>
    <row r="3361" spans="1:21" x14ac:dyDescent="0.25">
      <c r="A3361" t="s">
        <v>42</v>
      </c>
      <c r="B3361" t="s">
        <v>957</v>
      </c>
      <c r="C3361">
        <v>2</v>
      </c>
      <c r="D3361" t="s">
        <v>21</v>
      </c>
      <c r="E3361" t="s">
        <v>94</v>
      </c>
      <c r="F3361" t="s">
        <v>110</v>
      </c>
      <c r="G3361" t="s">
        <v>113</v>
      </c>
      <c r="H3361" t="s">
        <v>113</v>
      </c>
      <c r="J3361">
        <v>0</v>
      </c>
      <c r="K3361">
        <v>2</v>
      </c>
      <c r="L3361">
        <v>73.260869569999997</v>
      </c>
      <c r="M3361">
        <v>34.453830549999999</v>
      </c>
      <c r="N3361">
        <v>1.058333333</v>
      </c>
      <c r="O3361">
        <v>0.90897070000000002</v>
      </c>
      <c r="P3361">
        <v>83.757575759999995</v>
      </c>
      <c r="Q3361">
        <v>22.60997987</v>
      </c>
      <c r="R3361">
        <v>0.72884000000000004</v>
      </c>
      <c r="S3361">
        <v>0.21301339999999999</v>
      </c>
      <c r="T3361" t="s">
        <v>1018</v>
      </c>
      <c r="U3361">
        <v>0.329493333</v>
      </c>
    </row>
    <row r="3362" spans="1:21" x14ac:dyDescent="0.25">
      <c r="A3362" t="s">
        <v>42</v>
      </c>
      <c r="B3362" t="s">
        <v>958</v>
      </c>
      <c r="C3362">
        <v>2</v>
      </c>
      <c r="D3362" t="s">
        <v>21</v>
      </c>
      <c r="E3362" t="s">
        <v>94</v>
      </c>
      <c r="F3362" t="s">
        <v>111</v>
      </c>
      <c r="G3362" t="s">
        <v>110</v>
      </c>
      <c r="H3362" t="s">
        <v>113</v>
      </c>
      <c r="J3362">
        <v>0</v>
      </c>
      <c r="K3362">
        <v>1</v>
      </c>
      <c r="L3362">
        <v>94.97142857</v>
      </c>
      <c r="M3362">
        <v>24.31591813</v>
      </c>
      <c r="N3362">
        <v>0.122951111</v>
      </c>
      <c r="O3362">
        <v>0.39050790000000002</v>
      </c>
      <c r="P3362">
        <v>83.757575759999995</v>
      </c>
      <c r="Q3362">
        <v>22.60997987</v>
      </c>
      <c r="R3362">
        <v>0.72884000000000004</v>
      </c>
      <c r="S3362">
        <v>0.21301339999999999</v>
      </c>
      <c r="T3362" t="s">
        <v>1018</v>
      </c>
      <c r="U3362">
        <v>-0.60588888900000004</v>
      </c>
    </row>
    <row r="3363" spans="1:21" x14ac:dyDescent="0.25">
      <c r="A3363" t="s">
        <v>42</v>
      </c>
      <c r="B3363" t="s">
        <v>958</v>
      </c>
      <c r="C3363">
        <v>2</v>
      </c>
      <c r="D3363" t="s">
        <v>21</v>
      </c>
      <c r="E3363" t="s">
        <v>94</v>
      </c>
      <c r="F3363" t="s">
        <v>111</v>
      </c>
      <c r="G3363" t="s">
        <v>110</v>
      </c>
      <c r="H3363" t="s">
        <v>110</v>
      </c>
      <c r="J3363">
        <v>0</v>
      </c>
      <c r="K3363">
        <v>1</v>
      </c>
      <c r="L3363">
        <v>94.97142857</v>
      </c>
      <c r="M3363">
        <v>24.31591813</v>
      </c>
      <c r="N3363">
        <v>0.122951111</v>
      </c>
      <c r="O3363">
        <v>0.39050790000000002</v>
      </c>
      <c r="P3363">
        <v>73.260869569999997</v>
      </c>
      <c r="Q3363">
        <v>34.453830549999999</v>
      </c>
      <c r="R3363">
        <v>1.058333333</v>
      </c>
      <c r="S3363">
        <v>0.90897070000000002</v>
      </c>
      <c r="T3363" t="s">
        <v>1018</v>
      </c>
      <c r="U3363">
        <v>-0.93538222199999999</v>
      </c>
    </row>
    <row r="3364" spans="1:21" x14ac:dyDescent="0.25">
      <c r="A3364" t="s">
        <v>42</v>
      </c>
      <c r="B3364" t="s">
        <v>959</v>
      </c>
      <c r="C3364">
        <v>2</v>
      </c>
      <c r="D3364" t="s">
        <v>21</v>
      </c>
      <c r="E3364" t="s">
        <v>94</v>
      </c>
      <c r="F3364" t="s">
        <v>104</v>
      </c>
      <c r="G3364" t="s">
        <v>121</v>
      </c>
      <c r="H3364" t="s">
        <v>110</v>
      </c>
      <c r="J3364">
        <v>1</v>
      </c>
      <c r="K3364">
        <v>2</v>
      </c>
      <c r="L3364">
        <v>113.9375</v>
      </c>
      <c r="M3364">
        <v>33.375507550000002</v>
      </c>
      <c r="N3364">
        <v>2.4262999999999999</v>
      </c>
      <c r="O3364">
        <v>0.40692159999999999</v>
      </c>
      <c r="P3364">
        <v>73.260869569999997</v>
      </c>
      <c r="Q3364">
        <v>34.453830549999999</v>
      </c>
      <c r="R3364">
        <v>1.058333333</v>
      </c>
      <c r="S3364">
        <v>0.90897070000000002</v>
      </c>
      <c r="T3364" t="s">
        <v>1018</v>
      </c>
      <c r="U3364">
        <v>1.3679666669999999</v>
      </c>
    </row>
    <row r="3365" spans="1:21" x14ac:dyDescent="0.25">
      <c r="A3365" t="s">
        <v>42</v>
      </c>
      <c r="B3365" t="s">
        <v>959</v>
      </c>
      <c r="C3365">
        <v>2</v>
      </c>
      <c r="D3365" t="s">
        <v>21</v>
      </c>
      <c r="E3365" t="s">
        <v>94</v>
      </c>
      <c r="F3365" t="s">
        <v>104</v>
      </c>
      <c r="G3365" t="s">
        <v>121</v>
      </c>
      <c r="H3365" t="s">
        <v>110</v>
      </c>
      <c r="J3365">
        <v>1</v>
      </c>
      <c r="K3365">
        <v>2</v>
      </c>
      <c r="L3365">
        <v>113.9375</v>
      </c>
      <c r="M3365">
        <v>33.375507550000002</v>
      </c>
      <c r="N3365">
        <v>2.4262999999999999</v>
      </c>
      <c r="O3365">
        <v>0.40692159999999999</v>
      </c>
      <c r="P3365">
        <v>73.260869569999997</v>
      </c>
      <c r="Q3365">
        <v>34.453830549999999</v>
      </c>
      <c r="R3365">
        <v>1.058333333</v>
      </c>
      <c r="S3365">
        <v>0.90897070000000002</v>
      </c>
      <c r="T3365" t="s">
        <v>1018</v>
      </c>
      <c r="U3365">
        <v>1.3679666669999999</v>
      </c>
    </row>
    <row r="3366" spans="1:21" x14ac:dyDescent="0.25">
      <c r="A3366" t="s">
        <v>42</v>
      </c>
      <c r="B3366" t="s">
        <v>959</v>
      </c>
      <c r="C3366">
        <v>2</v>
      </c>
      <c r="D3366" t="s">
        <v>21</v>
      </c>
      <c r="E3366" t="s">
        <v>94</v>
      </c>
      <c r="F3366" t="s">
        <v>104</v>
      </c>
      <c r="G3366" t="s">
        <v>121</v>
      </c>
      <c r="H3366" t="s">
        <v>240</v>
      </c>
      <c r="J3366">
        <v>1</v>
      </c>
      <c r="K3366">
        <v>2</v>
      </c>
      <c r="L3366">
        <v>113.9375</v>
      </c>
      <c r="M3366">
        <v>33.375507550000002</v>
      </c>
      <c r="N3366">
        <v>2.4262999999999999</v>
      </c>
      <c r="O3366">
        <v>0.40692159999999999</v>
      </c>
      <c r="P3366">
        <v>104.83333330000001</v>
      </c>
      <c r="Q3366">
        <v>43.798647680000002</v>
      </c>
      <c r="R3366">
        <v>7.7741939999999999E-3</v>
      </c>
      <c r="S3366" t="s">
        <v>114</v>
      </c>
      <c r="T3366" t="s">
        <v>1018</v>
      </c>
      <c r="U3366">
        <v>2.4185258059999999</v>
      </c>
    </row>
    <row r="3367" spans="1:21" x14ac:dyDescent="0.25">
      <c r="A3367" t="s">
        <v>42</v>
      </c>
      <c r="B3367" t="s">
        <v>959</v>
      </c>
      <c r="C3367">
        <v>2</v>
      </c>
      <c r="D3367" t="s">
        <v>21</v>
      </c>
      <c r="E3367" t="s">
        <v>94</v>
      </c>
      <c r="F3367" t="s">
        <v>104</v>
      </c>
      <c r="G3367" t="s">
        <v>121</v>
      </c>
      <c r="H3367" t="s">
        <v>240</v>
      </c>
      <c r="J3367">
        <v>1</v>
      </c>
      <c r="K3367">
        <v>2</v>
      </c>
      <c r="L3367">
        <v>113.9375</v>
      </c>
      <c r="M3367">
        <v>33.375507550000002</v>
      </c>
      <c r="N3367">
        <v>2.4262999999999999</v>
      </c>
      <c r="O3367">
        <v>0.40692159999999999</v>
      </c>
      <c r="P3367">
        <v>104.83333330000001</v>
      </c>
      <c r="Q3367">
        <v>43.798647680000002</v>
      </c>
      <c r="R3367">
        <v>7.7741939999999999E-3</v>
      </c>
      <c r="S3367" t="s">
        <v>114</v>
      </c>
      <c r="T3367" t="s">
        <v>1018</v>
      </c>
      <c r="U3367">
        <v>2.4185258059999999</v>
      </c>
    </row>
    <row r="3368" spans="1:21" x14ac:dyDescent="0.25">
      <c r="A3368" t="s">
        <v>42</v>
      </c>
      <c r="B3368" t="s">
        <v>959</v>
      </c>
      <c r="C3368">
        <v>2</v>
      </c>
      <c r="D3368" t="s">
        <v>21</v>
      </c>
      <c r="E3368" t="s">
        <v>94</v>
      </c>
      <c r="F3368" t="s">
        <v>104</v>
      </c>
      <c r="G3368" t="s">
        <v>121</v>
      </c>
      <c r="H3368" t="s">
        <v>241</v>
      </c>
      <c r="J3368">
        <v>1</v>
      </c>
      <c r="K3368">
        <v>1</v>
      </c>
      <c r="L3368">
        <v>113.9375</v>
      </c>
      <c r="M3368">
        <v>33.375507550000002</v>
      </c>
      <c r="N3368">
        <v>2.4262999999999999</v>
      </c>
      <c r="O3368">
        <v>0.40692159999999999</v>
      </c>
      <c r="P3368">
        <v>114</v>
      </c>
      <c r="Q3368">
        <v>30.43077242</v>
      </c>
      <c r="R3368">
        <v>0.53383111100000002</v>
      </c>
      <c r="S3368">
        <v>0.28333332999999999</v>
      </c>
      <c r="T3368" t="s">
        <v>1018</v>
      </c>
      <c r="U3368">
        <v>1.8924688890000001</v>
      </c>
    </row>
    <row r="3369" spans="1:21" x14ac:dyDescent="0.25">
      <c r="A3369" t="s">
        <v>43</v>
      </c>
      <c r="B3369" t="s">
        <v>960</v>
      </c>
      <c r="C3369">
        <v>2</v>
      </c>
      <c r="D3369" t="s">
        <v>23</v>
      </c>
      <c r="E3369" t="s">
        <v>94</v>
      </c>
      <c r="F3369" t="s">
        <v>105</v>
      </c>
      <c r="G3369" t="s">
        <v>104</v>
      </c>
      <c r="H3369" t="s">
        <v>104</v>
      </c>
      <c r="J3369">
        <v>0</v>
      </c>
      <c r="K3369">
        <v>1</v>
      </c>
      <c r="L3369">
        <v>67.5</v>
      </c>
      <c r="M3369">
        <v>47.937235809999997</v>
      </c>
      <c r="N3369">
        <v>0.41599678000000001</v>
      </c>
      <c r="O3369">
        <v>2.0950346999999998</v>
      </c>
      <c r="P3369">
        <v>113.9375</v>
      </c>
      <c r="Q3369">
        <v>33.375507550000002</v>
      </c>
      <c r="R3369">
        <v>2.4262999999999999</v>
      </c>
      <c r="S3369">
        <v>0.40692159999999999</v>
      </c>
      <c r="T3369" t="s">
        <v>1018</v>
      </c>
      <c r="U3369">
        <v>-2.0103032199999999</v>
      </c>
    </row>
    <row r="3370" spans="1:21" x14ac:dyDescent="0.25">
      <c r="A3370" t="s">
        <v>43</v>
      </c>
      <c r="B3370" t="s">
        <v>961</v>
      </c>
      <c r="C3370">
        <v>2</v>
      </c>
      <c r="D3370" t="s">
        <v>23</v>
      </c>
      <c r="E3370" t="s">
        <v>94</v>
      </c>
      <c r="F3370" t="s">
        <v>110</v>
      </c>
      <c r="G3370" t="s">
        <v>110</v>
      </c>
      <c r="H3370" t="s">
        <v>110</v>
      </c>
      <c r="J3370">
        <v>0</v>
      </c>
      <c r="K3370">
        <v>1</v>
      </c>
      <c r="L3370">
        <v>73.260869569999997</v>
      </c>
      <c r="M3370">
        <v>34.453830549999999</v>
      </c>
      <c r="N3370">
        <v>1.058333333</v>
      </c>
      <c r="O3370">
        <v>0.90897070000000002</v>
      </c>
      <c r="P3370">
        <v>73.260869569999997</v>
      </c>
      <c r="Q3370">
        <v>34.453830549999999</v>
      </c>
      <c r="R3370">
        <v>1.058333333</v>
      </c>
      <c r="S3370">
        <v>0.90897070000000002</v>
      </c>
      <c r="T3370" t="s">
        <v>1018</v>
      </c>
      <c r="U3370">
        <v>0</v>
      </c>
    </row>
    <row r="3371" spans="1:21" x14ac:dyDescent="0.25">
      <c r="A3371" t="s">
        <v>43</v>
      </c>
      <c r="B3371" t="s">
        <v>962</v>
      </c>
      <c r="C3371">
        <v>2</v>
      </c>
      <c r="D3371" t="s">
        <v>23</v>
      </c>
      <c r="E3371" t="s">
        <v>94</v>
      </c>
      <c r="F3371" t="s">
        <v>111</v>
      </c>
      <c r="G3371" t="s">
        <v>121</v>
      </c>
      <c r="H3371" t="s">
        <v>114</v>
      </c>
      <c r="J3371">
        <v>0</v>
      </c>
      <c r="K3371" t="s">
        <v>114</v>
      </c>
      <c r="L3371">
        <v>94.97142857</v>
      </c>
      <c r="M3371">
        <v>24.31591813</v>
      </c>
      <c r="N3371">
        <v>0.122951111</v>
      </c>
      <c r="O3371">
        <v>0.39050790000000002</v>
      </c>
      <c r="P3371" t="s">
        <v>114</v>
      </c>
      <c r="Q3371" t="s">
        <v>114</v>
      </c>
      <c r="R3371" t="s">
        <v>114</v>
      </c>
      <c r="S3371" t="s">
        <v>114</v>
      </c>
      <c r="T3371" t="s">
        <v>1018</v>
      </c>
      <c r="U3371" t="s">
        <v>114</v>
      </c>
    </row>
    <row r="3372" spans="1:21" x14ac:dyDescent="0.25">
      <c r="A3372" t="s">
        <v>43</v>
      </c>
      <c r="B3372" t="s">
        <v>963</v>
      </c>
      <c r="C3372">
        <v>2</v>
      </c>
      <c r="D3372" t="s">
        <v>23</v>
      </c>
      <c r="E3372" t="s">
        <v>94</v>
      </c>
      <c r="F3372" t="s">
        <v>104</v>
      </c>
      <c r="G3372" t="s">
        <v>104</v>
      </c>
      <c r="H3372" t="s">
        <v>104</v>
      </c>
      <c r="J3372">
        <v>0</v>
      </c>
      <c r="K3372">
        <v>1</v>
      </c>
      <c r="L3372">
        <v>113.9375</v>
      </c>
      <c r="M3372">
        <v>33.375507550000002</v>
      </c>
      <c r="N3372">
        <v>2.4262999999999999</v>
      </c>
      <c r="O3372">
        <v>0.40692159999999999</v>
      </c>
      <c r="P3372">
        <v>113.9375</v>
      </c>
      <c r="Q3372">
        <v>33.375507550000002</v>
      </c>
      <c r="R3372">
        <v>2.4262999999999999</v>
      </c>
      <c r="S3372">
        <v>0.40692159999999999</v>
      </c>
      <c r="T3372" t="s">
        <v>1018</v>
      </c>
      <c r="U3372">
        <v>0</v>
      </c>
    </row>
    <row r="3373" spans="1:21" x14ac:dyDescent="0.25">
      <c r="A3373" t="s">
        <v>43</v>
      </c>
      <c r="B3373" t="s">
        <v>963</v>
      </c>
      <c r="C3373">
        <v>2</v>
      </c>
      <c r="D3373" t="s">
        <v>23</v>
      </c>
      <c r="E3373" t="s">
        <v>94</v>
      </c>
      <c r="F3373" t="s">
        <v>104</v>
      </c>
      <c r="G3373" t="s">
        <v>104</v>
      </c>
      <c r="H3373" t="s">
        <v>808</v>
      </c>
      <c r="J3373">
        <v>0</v>
      </c>
      <c r="K3373">
        <v>1</v>
      </c>
      <c r="L3373">
        <v>113.9375</v>
      </c>
      <c r="M3373">
        <v>33.375507550000002</v>
      </c>
      <c r="N3373">
        <v>2.4262999999999999</v>
      </c>
      <c r="O3373">
        <v>0.40692159999999999</v>
      </c>
      <c r="P3373">
        <v>102.79166669999999</v>
      </c>
      <c r="Q3373">
        <v>27.057373470000002</v>
      </c>
      <c r="R3373">
        <v>6.3567849939999999</v>
      </c>
      <c r="S3373" t="s">
        <v>114</v>
      </c>
      <c r="T3373" t="s">
        <v>1018</v>
      </c>
      <c r="U3373">
        <v>-3.930484994</v>
      </c>
    </row>
    <row r="3374" spans="1:21" x14ac:dyDescent="0.25">
      <c r="A3374" t="s">
        <v>44</v>
      </c>
      <c r="B3374" t="s">
        <v>964</v>
      </c>
      <c r="C3374">
        <v>2</v>
      </c>
      <c r="D3374" t="s">
        <v>25</v>
      </c>
      <c r="E3374" t="s">
        <v>95</v>
      </c>
      <c r="F3374" t="s">
        <v>102</v>
      </c>
      <c r="G3374" t="s">
        <v>102</v>
      </c>
      <c r="H3374" t="s">
        <v>102</v>
      </c>
      <c r="J3374">
        <v>0</v>
      </c>
      <c r="K3374">
        <v>1</v>
      </c>
      <c r="L3374">
        <v>84.740740740000007</v>
      </c>
      <c r="M3374">
        <v>29.167014049999999</v>
      </c>
      <c r="N3374">
        <v>1.1169849999999999</v>
      </c>
      <c r="O3374">
        <v>1.1571499000000001</v>
      </c>
      <c r="P3374">
        <v>84.740740740000007</v>
      </c>
      <c r="Q3374">
        <v>29.167014049999999</v>
      </c>
      <c r="R3374">
        <v>1.1169849999999999</v>
      </c>
      <c r="S3374">
        <v>1.1571499000000001</v>
      </c>
      <c r="T3374" t="s">
        <v>1018</v>
      </c>
      <c r="U3374">
        <v>0</v>
      </c>
    </row>
    <row r="3375" spans="1:21" x14ac:dyDescent="0.25">
      <c r="A3375" t="s">
        <v>44</v>
      </c>
      <c r="B3375" t="s">
        <v>965</v>
      </c>
      <c r="C3375">
        <v>2</v>
      </c>
      <c r="D3375" t="s">
        <v>25</v>
      </c>
      <c r="E3375" t="s">
        <v>95</v>
      </c>
      <c r="F3375" t="s">
        <v>110</v>
      </c>
      <c r="G3375" t="s">
        <v>121</v>
      </c>
      <c r="H3375" t="s">
        <v>114</v>
      </c>
      <c r="I3375" t="s">
        <v>162</v>
      </c>
      <c r="J3375">
        <v>1</v>
      </c>
      <c r="K3375">
        <v>0</v>
      </c>
      <c r="L3375">
        <v>73.260869569999997</v>
      </c>
      <c r="M3375">
        <v>34.453830549999999</v>
      </c>
      <c r="N3375">
        <v>1.058333333</v>
      </c>
      <c r="O3375">
        <v>0.90897070000000002</v>
      </c>
      <c r="P3375" t="s">
        <v>114</v>
      </c>
      <c r="Q3375" t="s">
        <v>114</v>
      </c>
      <c r="R3375" t="s">
        <v>114</v>
      </c>
      <c r="S3375" t="s">
        <v>114</v>
      </c>
      <c r="T3375" t="s">
        <v>1018</v>
      </c>
      <c r="U3375" t="s">
        <v>114</v>
      </c>
    </row>
    <row r="3376" spans="1:21" x14ac:dyDescent="0.25">
      <c r="A3376" t="s">
        <v>44</v>
      </c>
      <c r="B3376" t="s">
        <v>966</v>
      </c>
      <c r="C3376">
        <v>2</v>
      </c>
      <c r="D3376" t="s">
        <v>25</v>
      </c>
      <c r="E3376" t="s">
        <v>95</v>
      </c>
      <c r="F3376" t="s">
        <v>104</v>
      </c>
      <c r="G3376" t="s">
        <v>112</v>
      </c>
      <c r="H3376" t="s">
        <v>112</v>
      </c>
      <c r="J3376">
        <v>0</v>
      </c>
      <c r="K3376">
        <v>1</v>
      </c>
      <c r="L3376">
        <v>113.9375</v>
      </c>
      <c r="M3376">
        <v>33.375507550000002</v>
      </c>
      <c r="N3376">
        <v>2.4262999999999999</v>
      </c>
      <c r="O3376">
        <v>0.40692159999999999</v>
      </c>
      <c r="P3376">
        <v>65.09375</v>
      </c>
      <c r="Q3376">
        <v>37.895352600000002</v>
      </c>
      <c r="R3376">
        <v>2.2882677779999998</v>
      </c>
      <c r="S3376">
        <v>2.2111774</v>
      </c>
      <c r="T3376" t="s">
        <v>1018</v>
      </c>
      <c r="U3376">
        <v>0.13803222200000001</v>
      </c>
    </row>
    <row r="3377" spans="1:21" x14ac:dyDescent="0.25">
      <c r="A3377" t="s">
        <v>44</v>
      </c>
      <c r="B3377" t="s">
        <v>966</v>
      </c>
      <c r="C3377">
        <v>2</v>
      </c>
      <c r="D3377" t="s">
        <v>25</v>
      </c>
      <c r="E3377" t="s">
        <v>95</v>
      </c>
      <c r="F3377" t="s">
        <v>104</v>
      </c>
      <c r="G3377" t="s">
        <v>112</v>
      </c>
      <c r="H3377" t="s">
        <v>162</v>
      </c>
      <c r="J3377">
        <v>0</v>
      </c>
      <c r="K3377">
        <v>1</v>
      </c>
      <c r="L3377">
        <v>113.9375</v>
      </c>
      <c r="M3377">
        <v>33.375507550000002</v>
      </c>
      <c r="N3377">
        <v>2.4262999999999999</v>
      </c>
      <c r="O3377">
        <v>0.40692159999999999</v>
      </c>
      <c r="P3377">
        <v>82.53846154</v>
      </c>
      <c r="Q3377">
        <v>35.660530039999998</v>
      </c>
      <c r="R3377">
        <v>3.3754499999999998</v>
      </c>
      <c r="S3377" t="s">
        <v>114</v>
      </c>
      <c r="T3377" t="s">
        <v>1018</v>
      </c>
      <c r="U3377">
        <v>-0.94915000000000005</v>
      </c>
    </row>
    <row r="3378" spans="1:21" x14ac:dyDescent="0.25">
      <c r="A3378" t="s">
        <v>44</v>
      </c>
      <c r="B3378" t="s">
        <v>966</v>
      </c>
      <c r="C3378">
        <v>2</v>
      </c>
      <c r="D3378" t="s">
        <v>25</v>
      </c>
      <c r="E3378" t="s">
        <v>95</v>
      </c>
      <c r="F3378" t="s">
        <v>104</v>
      </c>
      <c r="G3378" t="s">
        <v>112</v>
      </c>
      <c r="H3378" t="s">
        <v>113</v>
      </c>
      <c r="J3378">
        <v>0</v>
      </c>
      <c r="K3378">
        <v>1</v>
      </c>
      <c r="L3378">
        <v>113.9375</v>
      </c>
      <c r="M3378">
        <v>33.375507550000002</v>
      </c>
      <c r="N3378">
        <v>2.4262999999999999</v>
      </c>
      <c r="O3378">
        <v>0.40692159999999999</v>
      </c>
      <c r="P3378">
        <v>83.757575759999995</v>
      </c>
      <c r="Q3378">
        <v>22.60997987</v>
      </c>
      <c r="R3378">
        <v>0.72884000000000004</v>
      </c>
      <c r="S3378">
        <v>0.21301339999999999</v>
      </c>
      <c r="T3378" t="s">
        <v>1018</v>
      </c>
      <c r="U3378">
        <v>1.69746</v>
      </c>
    </row>
    <row r="3379" spans="1:21" x14ac:dyDescent="0.25">
      <c r="A3379" t="s">
        <v>44</v>
      </c>
      <c r="B3379" t="s">
        <v>967</v>
      </c>
      <c r="C3379">
        <v>2</v>
      </c>
      <c r="D3379" t="s">
        <v>25</v>
      </c>
      <c r="E3379" t="s">
        <v>95</v>
      </c>
      <c r="F3379" t="s">
        <v>112</v>
      </c>
      <c r="G3379" t="s">
        <v>121</v>
      </c>
      <c r="H3379" t="s">
        <v>114</v>
      </c>
      <c r="J3379">
        <v>0</v>
      </c>
      <c r="K3379" t="s">
        <v>114</v>
      </c>
      <c r="L3379">
        <v>65.09375</v>
      </c>
      <c r="M3379">
        <v>37.895352600000002</v>
      </c>
      <c r="N3379">
        <v>2.2882677779999998</v>
      </c>
      <c r="O3379">
        <v>2.2111774</v>
      </c>
      <c r="P3379" t="s">
        <v>114</v>
      </c>
      <c r="Q3379" t="s">
        <v>114</v>
      </c>
      <c r="R3379" t="s">
        <v>114</v>
      </c>
      <c r="S3379" t="s">
        <v>114</v>
      </c>
      <c r="T3379" t="s">
        <v>1018</v>
      </c>
      <c r="U3379" t="s">
        <v>114</v>
      </c>
    </row>
    <row r="3380" spans="1:21" x14ac:dyDescent="0.25">
      <c r="A3380" t="s">
        <v>45</v>
      </c>
      <c r="B3380" t="s">
        <v>968</v>
      </c>
      <c r="C3380">
        <v>2</v>
      </c>
      <c r="D3380" t="s">
        <v>27</v>
      </c>
      <c r="E3380" t="s">
        <v>95</v>
      </c>
      <c r="F3380" t="s">
        <v>102</v>
      </c>
      <c r="G3380" t="s">
        <v>113</v>
      </c>
      <c r="H3380" t="s">
        <v>113</v>
      </c>
      <c r="J3380">
        <v>0</v>
      </c>
      <c r="K3380">
        <v>2</v>
      </c>
      <c r="L3380">
        <v>84.740740740000007</v>
      </c>
      <c r="M3380">
        <v>29.167014049999999</v>
      </c>
      <c r="N3380">
        <v>1.1169849999999999</v>
      </c>
      <c r="O3380">
        <v>1.1571499000000001</v>
      </c>
      <c r="P3380">
        <v>83.757575759999995</v>
      </c>
      <c r="Q3380">
        <v>22.60997987</v>
      </c>
      <c r="R3380">
        <v>0.72884000000000004</v>
      </c>
      <c r="S3380">
        <v>0.21301339999999999</v>
      </c>
      <c r="T3380" t="s">
        <v>1018</v>
      </c>
      <c r="U3380">
        <v>0.38814500000000002</v>
      </c>
    </row>
    <row r="3381" spans="1:21" x14ac:dyDescent="0.25">
      <c r="A3381" t="s">
        <v>45</v>
      </c>
      <c r="B3381" t="s">
        <v>968</v>
      </c>
      <c r="C3381">
        <v>2</v>
      </c>
      <c r="D3381" t="s">
        <v>27</v>
      </c>
      <c r="E3381" t="s">
        <v>95</v>
      </c>
      <c r="F3381" t="s">
        <v>102</v>
      </c>
      <c r="G3381" t="s">
        <v>113</v>
      </c>
      <c r="H3381" t="s">
        <v>113</v>
      </c>
      <c r="J3381">
        <v>0</v>
      </c>
      <c r="K3381">
        <v>2</v>
      </c>
      <c r="L3381">
        <v>84.740740740000007</v>
      </c>
      <c r="M3381">
        <v>29.167014049999999</v>
      </c>
      <c r="N3381">
        <v>1.1169849999999999</v>
      </c>
      <c r="O3381">
        <v>1.1571499000000001</v>
      </c>
      <c r="P3381">
        <v>83.757575759999995</v>
      </c>
      <c r="Q3381">
        <v>22.60997987</v>
      </c>
      <c r="R3381">
        <v>0.72884000000000004</v>
      </c>
      <c r="S3381">
        <v>0.21301339999999999</v>
      </c>
      <c r="T3381" t="s">
        <v>1018</v>
      </c>
      <c r="U3381">
        <v>0.38814500000000002</v>
      </c>
    </row>
    <row r="3382" spans="1:21" x14ac:dyDescent="0.25">
      <c r="A3382" t="s">
        <v>45</v>
      </c>
      <c r="B3382" t="s">
        <v>969</v>
      </c>
      <c r="C3382">
        <v>2</v>
      </c>
      <c r="D3382" t="s">
        <v>27</v>
      </c>
      <c r="E3382" t="s">
        <v>95</v>
      </c>
      <c r="F3382" t="s">
        <v>105</v>
      </c>
      <c r="G3382" t="s">
        <v>113</v>
      </c>
      <c r="H3382" t="s">
        <v>113</v>
      </c>
      <c r="J3382">
        <v>0</v>
      </c>
      <c r="K3382">
        <v>6</v>
      </c>
      <c r="L3382">
        <v>67.5</v>
      </c>
      <c r="M3382">
        <v>47.937235809999997</v>
      </c>
      <c r="N3382">
        <v>0.41599678000000001</v>
      </c>
      <c r="O3382">
        <v>2.0950346999999998</v>
      </c>
      <c r="P3382">
        <v>83.757575759999995</v>
      </c>
      <c r="Q3382">
        <v>22.60997987</v>
      </c>
      <c r="R3382">
        <v>0.72884000000000004</v>
      </c>
      <c r="S3382">
        <v>0.21301339999999999</v>
      </c>
      <c r="T3382" t="s">
        <v>1018</v>
      </c>
      <c r="U3382">
        <v>-0.31284321999999998</v>
      </c>
    </row>
    <row r="3383" spans="1:21" x14ac:dyDescent="0.25">
      <c r="A3383" t="s">
        <v>45</v>
      </c>
      <c r="B3383" t="s">
        <v>969</v>
      </c>
      <c r="C3383">
        <v>2</v>
      </c>
      <c r="D3383" t="s">
        <v>27</v>
      </c>
      <c r="E3383" t="s">
        <v>95</v>
      </c>
      <c r="F3383" t="s">
        <v>105</v>
      </c>
      <c r="G3383" t="s">
        <v>113</v>
      </c>
      <c r="H3383" t="s">
        <v>113</v>
      </c>
      <c r="J3383">
        <v>0</v>
      </c>
      <c r="K3383">
        <v>6</v>
      </c>
      <c r="L3383">
        <v>67.5</v>
      </c>
      <c r="M3383">
        <v>47.937235809999997</v>
      </c>
      <c r="N3383">
        <v>0.41599678000000001</v>
      </c>
      <c r="O3383">
        <v>2.0950346999999998</v>
      </c>
      <c r="P3383">
        <v>83.757575759999995</v>
      </c>
      <c r="Q3383">
        <v>22.60997987</v>
      </c>
      <c r="R3383">
        <v>0.72884000000000004</v>
      </c>
      <c r="S3383">
        <v>0.21301339999999999</v>
      </c>
      <c r="T3383" t="s">
        <v>1018</v>
      </c>
      <c r="U3383">
        <v>-0.31284321999999998</v>
      </c>
    </row>
    <row r="3384" spans="1:21" x14ac:dyDescent="0.25">
      <c r="A3384" t="s">
        <v>45</v>
      </c>
      <c r="B3384" t="s">
        <v>969</v>
      </c>
      <c r="C3384">
        <v>2</v>
      </c>
      <c r="D3384" t="s">
        <v>27</v>
      </c>
      <c r="E3384" t="s">
        <v>95</v>
      </c>
      <c r="F3384" t="s">
        <v>105</v>
      </c>
      <c r="G3384" t="s">
        <v>113</v>
      </c>
      <c r="H3384" t="s">
        <v>113</v>
      </c>
      <c r="J3384">
        <v>0</v>
      </c>
      <c r="K3384">
        <v>6</v>
      </c>
      <c r="L3384">
        <v>67.5</v>
      </c>
      <c r="M3384">
        <v>47.937235809999997</v>
      </c>
      <c r="N3384">
        <v>0.41599678000000001</v>
      </c>
      <c r="O3384">
        <v>2.0950346999999998</v>
      </c>
      <c r="P3384">
        <v>83.757575759999995</v>
      </c>
      <c r="Q3384">
        <v>22.60997987</v>
      </c>
      <c r="R3384">
        <v>0.72884000000000004</v>
      </c>
      <c r="S3384">
        <v>0.21301339999999999</v>
      </c>
      <c r="T3384" t="s">
        <v>1018</v>
      </c>
      <c r="U3384">
        <v>-0.31284321999999998</v>
      </c>
    </row>
    <row r="3385" spans="1:21" x14ac:dyDescent="0.25">
      <c r="A3385" t="s">
        <v>45</v>
      </c>
      <c r="B3385" t="s">
        <v>969</v>
      </c>
      <c r="C3385">
        <v>2</v>
      </c>
      <c r="D3385" t="s">
        <v>27</v>
      </c>
      <c r="E3385" t="s">
        <v>95</v>
      </c>
      <c r="F3385" t="s">
        <v>105</v>
      </c>
      <c r="G3385" t="s">
        <v>113</v>
      </c>
      <c r="H3385" t="s">
        <v>113</v>
      </c>
      <c r="J3385">
        <v>0</v>
      </c>
      <c r="K3385">
        <v>6</v>
      </c>
      <c r="L3385">
        <v>67.5</v>
      </c>
      <c r="M3385">
        <v>47.937235809999997</v>
      </c>
      <c r="N3385">
        <v>0.41599678000000001</v>
      </c>
      <c r="O3385">
        <v>2.0950346999999998</v>
      </c>
      <c r="P3385">
        <v>83.757575759999995</v>
      </c>
      <c r="Q3385">
        <v>22.60997987</v>
      </c>
      <c r="R3385">
        <v>0.72884000000000004</v>
      </c>
      <c r="S3385">
        <v>0.21301339999999999</v>
      </c>
      <c r="T3385" t="s">
        <v>1018</v>
      </c>
      <c r="U3385">
        <v>-0.31284321999999998</v>
      </c>
    </row>
    <row r="3386" spans="1:21" x14ac:dyDescent="0.25">
      <c r="A3386" t="s">
        <v>45</v>
      </c>
      <c r="B3386" t="s">
        <v>969</v>
      </c>
      <c r="C3386">
        <v>2</v>
      </c>
      <c r="D3386" t="s">
        <v>27</v>
      </c>
      <c r="E3386" t="s">
        <v>95</v>
      </c>
      <c r="F3386" t="s">
        <v>105</v>
      </c>
      <c r="G3386" t="s">
        <v>113</v>
      </c>
      <c r="H3386" t="s">
        <v>113</v>
      </c>
      <c r="J3386">
        <v>0</v>
      </c>
      <c r="K3386">
        <v>6</v>
      </c>
      <c r="L3386">
        <v>67.5</v>
      </c>
      <c r="M3386">
        <v>47.937235809999997</v>
      </c>
      <c r="N3386">
        <v>0.41599678000000001</v>
      </c>
      <c r="O3386">
        <v>2.0950346999999998</v>
      </c>
      <c r="P3386">
        <v>83.757575759999995</v>
      </c>
      <c r="Q3386">
        <v>22.60997987</v>
      </c>
      <c r="R3386">
        <v>0.72884000000000004</v>
      </c>
      <c r="S3386">
        <v>0.21301339999999999</v>
      </c>
      <c r="T3386" t="s">
        <v>1018</v>
      </c>
      <c r="U3386">
        <v>-0.31284321999999998</v>
      </c>
    </row>
    <row r="3387" spans="1:21" x14ac:dyDescent="0.25">
      <c r="A3387" t="s">
        <v>45</v>
      </c>
      <c r="B3387" t="s">
        <v>969</v>
      </c>
      <c r="C3387">
        <v>2</v>
      </c>
      <c r="D3387" t="s">
        <v>27</v>
      </c>
      <c r="E3387" t="s">
        <v>95</v>
      </c>
      <c r="F3387" t="s">
        <v>105</v>
      </c>
      <c r="G3387" t="s">
        <v>113</v>
      </c>
      <c r="H3387" t="s">
        <v>113</v>
      </c>
      <c r="J3387">
        <v>0</v>
      </c>
      <c r="K3387">
        <v>6</v>
      </c>
      <c r="L3387">
        <v>67.5</v>
      </c>
      <c r="M3387">
        <v>47.937235809999997</v>
      </c>
      <c r="N3387">
        <v>0.41599678000000001</v>
      </c>
      <c r="O3387">
        <v>2.0950346999999998</v>
      </c>
      <c r="P3387">
        <v>83.757575759999995</v>
      </c>
      <c r="Q3387">
        <v>22.60997987</v>
      </c>
      <c r="R3387">
        <v>0.72884000000000004</v>
      </c>
      <c r="S3387">
        <v>0.21301339999999999</v>
      </c>
      <c r="T3387" t="s">
        <v>1018</v>
      </c>
      <c r="U3387">
        <v>-0.31284321999999998</v>
      </c>
    </row>
    <row r="3388" spans="1:21" x14ac:dyDescent="0.25">
      <c r="A3388" t="s">
        <v>45</v>
      </c>
      <c r="B3388" t="s">
        <v>970</v>
      </c>
      <c r="C3388">
        <v>2</v>
      </c>
      <c r="D3388" t="s">
        <v>27</v>
      </c>
      <c r="E3388" t="s">
        <v>95</v>
      </c>
      <c r="F3388" t="s">
        <v>112</v>
      </c>
      <c r="G3388" t="s">
        <v>121</v>
      </c>
      <c r="H3388" t="s">
        <v>113</v>
      </c>
      <c r="J3388">
        <v>0</v>
      </c>
      <c r="K3388">
        <v>8</v>
      </c>
      <c r="L3388">
        <v>65.09375</v>
      </c>
      <c r="M3388">
        <v>37.895352600000002</v>
      </c>
      <c r="N3388">
        <v>2.2882677779999998</v>
      </c>
      <c r="O3388">
        <v>2.2111774</v>
      </c>
      <c r="P3388">
        <v>83.757575759999995</v>
      </c>
      <c r="Q3388">
        <v>22.60997987</v>
      </c>
      <c r="R3388">
        <v>0.72884000000000004</v>
      </c>
      <c r="S3388">
        <v>0.21301339999999999</v>
      </c>
      <c r="T3388" t="s">
        <v>1018</v>
      </c>
      <c r="U3388">
        <v>1.5594277780000001</v>
      </c>
    </row>
    <row r="3389" spans="1:21" x14ac:dyDescent="0.25">
      <c r="A3389" t="s">
        <v>45</v>
      </c>
      <c r="B3389" t="s">
        <v>970</v>
      </c>
      <c r="C3389">
        <v>2</v>
      </c>
      <c r="D3389" t="s">
        <v>27</v>
      </c>
      <c r="E3389" t="s">
        <v>95</v>
      </c>
      <c r="F3389" t="s">
        <v>112</v>
      </c>
      <c r="G3389" t="s">
        <v>121</v>
      </c>
      <c r="H3389" t="s">
        <v>113</v>
      </c>
      <c r="J3389">
        <v>0</v>
      </c>
      <c r="K3389">
        <v>8</v>
      </c>
      <c r="L3389">
        <v>65.09375</v>
      </c>
      <c r="M3389">
        <v>37.895352600000002</v>
      </c>
      <c r="N3389">
        <v>2.2882677779999998</v>
      </c>
      <c r="O3389">
        <v>2.2111774</v>
      </c>
      <c r="P3389">
        <v>83.757575759999995</v>
      </c>
      <c r="Q3389">
        <v>22.60997987</v>
      </c>
      <c r="R3389">
        <v>0.72884000000000004</v>
      </c>
      <c r="S3389">
        <v>0.21301339999999999</v>
      </c>
      <c r="T3389" t="s">
        <v>1018</v>
      </c>
      <c r="U3389">
        <v>1.5594277780000001</v>
      </c>
    </row>
    <row r="3390" spans="1:21" x14ac:dyDescent="0.25">
      <c r="A3390" t="s">
        <v>45</v>
      </c>
      <c r="B3390" t="s">
        <v>970</v>
      </c>
      <c r="C3390">
        <v>2</v>
      </c>
      <c r="D3390" t="s">
        <v>27</v>
      </c>
      <c r="E3390" t="s">
        <v>95</v>
      </c>
      <c r="F3390" t="s">
        <v>112</v>
      </c>
      <c r="G3390" t="s">
        <v>121</v>
      </c>
      <c r="H3390" t="s">
        <v>113</v>
      </c>
      <c r="J3390">
        <v>0</v>
      </c>
      <c r="K3390">
        <v>8</v>
      </c>
      <c r="L3390">
        <v>65.09375</v>
      </c>
      <c r="M3390">
        <v>37.895352600000002</v>
      </c>
      <c r="N3390">
        <v>2.2882677779999998</v>
      </c>
      <c r="O3390">
        <v>2.2111774</v>
      </c>
      <c r="P3390">
        <v>83.757575759999995</v>
      </c>
      <c r="Q3390">
        <v>22.60997987</v>
      </c>
      <c r="R3390">
        <v>0.72884000000000004</v>
      </c>
      <c r="S3390">
        <v>0.21301339999999999</v>
      </c>
      <c r="T3390" t="s">
        <v>1018</v>
      </c>
      <c r="U3390">
        <v>1.5594277780000001</v>
      </c>
    </row>
    <row r="3391" spans="1:21" x14ac:dyDescent="0.25">
      <c r="A3391" t="s">
        <v>45</v>
      </c>
      <c r="B3391" t="s">
        <v>970</v>
      </c>
      <c r="C3391">
        <v>2</v>
      </c>
      <c r="D3391" t="s">
        <v>27</v>
      </c>
      <c r="E3391" t="s">
        <v>95</v>
      </c>
      <c r="F3391" t="s">
        <v>112</v>
      </c>
      <c r="G3391" t="s">
        <v>121</v>
      </c>
      <c r="H3391" t="s">
        <v>113</v>
      </c>
      <c r="J3391">
        <v>0</v>
      </c>
      <c r="K3391">
        <v>8</v>
      </c>
      <c r="L3391">
        <v>65.09375</v>
      </c>
      <c r="M3391">
        <v>37.895352600000002</v>
      </c>
      <c r="N3391">
        <v>2.2882677779999998</v>
      </c>
      <c r="O3391">
        <v>2.2111774</v>
      </c>
      <c r="P3391">
        <v>83.757575759999995</v>
      </c>
      <c r="Q3391">
        <v>22.60997987</v>
      </c>
      <c r="R3391">
        <v>0.72884000000000004</v>
      </c>
      <c r="S3391">
        <v>0.21301339999999999</v>
      </c>
      <c r="T3391" t="s">
        <v>1018</v>
      </c>
      <c r="U3391">
        <v>1.5594277780000001</v>
      </c>
    </row>
    <row r="3392" spans="1:21" x14ac:dyDescent="0.25">
      <c r="A3392" t="s">
        <v>45</v>
      </c>
      <c r="B3392" t="s">
        <v>970</v>
      </c>
      <c r="C3392">
        <v>2</v>
      </c>
      <c r="D3392" t="s">
        <v>27</v>
      </c>
      <c r="E3392" t="s">
        <v>95</v>
      </c>
      <c r="F3392" t="s">
        <v>112</v>
      </c>
      <c r="G3392" t="s">
        <v>121</v>
      </c>
      <c r="H3392" t="s">
        <v>113</v>
      </c>
      <c r="J3392">
        <v>0</v>
      </c>
      <c r="K3392">
        <v>8</v>
      </c>
      <c r="L3392">
        <v>65.09375</v>
      </c>
      <c r="M3392">
        <v>37.895352600000002</v>
      </c>
      <c r="N3392">
        <v>2.2882677779999998</v>
      </c>
      <c r="O3392">
        <v>2.2111774</v>
      </c>
      <c r="P3392">
        <v>83.757575759999995</v>
      </c>
      <c r="Q3392">
        <v>22.60997987</v>
      </c>
      <c r="R3392">
        <v>0.72884000000000004</v>
      </c>
      <c r="S3392">
        <v>0.21301339999999999</v>
      </c>
      <c r="T3392" t="s">
        <v>1018</v>
      </c>
      <c r="U3392">
        <v>1.5594277780000001</v>
      </c>
    </row>
    <row r="3393" spans="1:21" x14ac:dyDescent="0.25">
      <c r="A3393" t="s">
        <v>45</v>
      </c>
      <c r="B3393" t="s">
        <v>970</v>
      </c>
      <c r="C3393">
        <v>2</v>
      </c>
      <c r="D3393" t="s">
        <v>27</v>
      </c>
      <c r="E3393" t="s">
        <v>95</v>
      </c>
      <c r="F3393" t="s">
        <v>112</v>
      </c>
      <c r="G3393" t="s">
        <v>121</v>
      </c>
      <c r="H3393" t="s">
        <v>113</v>
      </c>
      <c r="J3393">
        <v>0</v>
      </c>
      <c r="K3393">
        <v>8</v>
      </c>
      <c r="L3393">
        <v>65.09375</v>
      </c>
      <c r="M3393">
        <v>37.895352600000002</v>
      </c>
      <c r="N3393">
        <v>2.2882677779999998</v>
      </c>
      <c r="O3393">
        <v>2.2111774</v>
      </c>
      <c r="P3393">
        <v>83.757575759999995</v>
      </c>
      <c r="Q3393">
        <v>22.60997987</v>
      </c>
      <c r="R3393">
        <v>0.72884000000000004</v>
      </c>
      <c r="S3393">
        <v>0.21301339999999999</v>
      </c>
      <c r="T3393" t="s">
        <v>1018</v>
      </c>
      <c r="U3393">
        <v>1.5594277780000001</v>
      </c>
    </row>
    <row r="3394" spans="1:21" x14ac:dyDescent="0.25">
      <c r="A3394" t="s">
        <v>45</v>
      </c>
      <c r="B3394" t="s">
        <v>970</v>
      </c>
      <c r="C3394">
        <v>2</v>
      </c>
      <c r="D3394" t="s">
        <v>27</v>
      </c>
      <c r="E3394" t="s">
        <v>95</v>
      </c>
      <c r="F3394" t="s">
        <v>112</v>
      </c>
      <c r="G3394" t="s">
        <v>121</v>
      </c>
      <c r="H3394" t="s">
        <v>113</v>
      </c>
      <c r="J3394">
        <v>0</v>
      </c>
      <c r="K3394">
        <v>8</v>
      </c>
      <c r="L3394">
        <v>65.09375</v>
      </c>
      <c r="M3394">
        <v>37.895352600000002</v>
      </c>
      <c r="N3394">
        <v>2.2882677779999998</v>
      </c>
      <c r="O3394">
        <v>2.2111774</v>
      </c>
      <c r="P3394">
        <v>83.757575759999995</v>
      </c>
      <c r="Q3394">
        <v>22.60997987</v>
      </c>
      <c r="R3394">
        <v>0.72884000000000004</v>
      </c>
      <c r="S3394">
        <v>0.21301339999999999</v>
      </c>
      <c r="T3394" t="s">
        <v>1018</v>
      </c>
      <c r="U3394">
        <v>1.5594277780000001</v>
      </c>
    </row>
    <row r="3395" spans="1:21" x14ac:dyDescent="0.25">
      <c r="A3395" t="s">
        <v>45</v>
      </c>
      <c r="B3395" t="s">
        <v>970</v>
      </c>
      <c r="C3395">
        <v>2</v>
      </c>
      <c r="D3395" t="s">
        <v>27</v>
      </c>
      <c r="E3395" t="s">
        <v>95</v>
      </c>
      <c r="F3395" t="s">
        <v>112</v>
      </c>
      <c r="G3395" t="s">
        <v>121</v>
      </c>
      <c r="H3395" t="s">
        <v>113</v>
      </c>
      <c r="J3395">
        <v>0</v>
      </c>
      <c r="K3395">
        <v>8</v>
      </c>
      <c r="L3395">
        <v>65.09375</v>
      </c>
      <c r="M3395">
        <v>37.895352600000002</v>
      </c>
      <c r="N3395">
        <v>2.2882677779999998</v>
      </c>
      <c r="O3395">
        <v>2.2111774</v>
      </c>
      <c r="P3395">
        <v>83.757575759999995</v>
      </c>
      <c r="Q3395">
        <v>22.60997987</v>
      </c>
      <c r="R3395">
        <v>0.72884000000000004</v>
      </c>
      <c r="S3395">
        <v>0.21301339999999999</v>
      </c>
      <c r="T3395" t="s">
        <v>1018</v>
      </c>
      <c r="U3395">
        <v>1.5594277780000001</v>
      </c>
    </row>
    <row r="3396" spans="1:21" x14ac:dyDescent="0.25">
      <c r="A3396" t="s">
        <v>45</v>
      </c>
      <c r="B3396" t="s">
        <v>970</v>
      </c>
      <c r="C3396">
        <v>2</v>
      </c>
      <c r="D3396" t="s">
        <v>27</v>
      </c>
      <c r="E3396" t="s">
        <v>95</v>
      </c>
      <c r="F3396" t="s">
        <v>112</v>
      </c>
      <c r="G3396" t="s">
        <v>121</v>
      </c>
      <c r="H3396" t="s">
        <v>103</v>
      </c>
      <c r="J3396">
        <v>0</v>
      </c>
      <c r="K3396">
        <v>1</v>
      </c>
      <c r="L3396">
        <v>65.09375</v>
      </c>
      <c r="M3396">
        <v>37.895352600000002</v>
      </c>
      <c r="N3396">
        <v>2.2882677779999998</v>
      </c>
      <c r="O3396">
        <v>2.2111774</v>
      </c>
      <c r="P3396">
        <v>98.291666669999998</v>
      </c>
      <c r="Q3396">
        <v>30.315130790000001</v>
      </c>
      <c r="R3396">
        <v>5.0803484000000003E-2</v>
      </c>
      <c r="S3396">
        <v>0.42866070000000001</v>
      </c>
      <c r="T3396" t="s">
        <v>1018</v>
      </c>
      <c r="U3396">
        <v>2.237464294</v>
      </c>
    </row>
    <row r="3397" spans="1:21" x14ac:dyDescent="0.25">
      <c r="A3397" t="s">
        <v>46</v>
      </c>
      <c r="B3397" t="s">
        <v>971</v>
      </c>
      <c r="C3397">
        <v>2</v>
      </c>
      <c r="D3397" t="s">
        <v>29</v>
      </c>
      <c r="E3397" t="s">
        <v>95</v>
      </c>
      <c r="F3397" t="s">
        <v>102</v>
      </c>
      <c r="G3397" t="s">
        <v>121</v>
      </c>
      <c r="H3397" t="s">
        <v>114</v>
      </c>
      <c r="J3397">
        <v>0</v>
      </c>
      <c r="K3397" t="s">
        <v>114</v>
      </c>
      <c r="L3397">
        <v>84.740740740000007</v>
      </c>
      <c r="M3397">
        <v>29.167014049999999</v>
      </c>
      <c r="N3397">
        <v>1.1169849999999999</v>
      </c>
      <c r="O3397">
        <v>1.1571499000000001</v>
      </c>
      <c r="P3397" t="s">
        <v>114</v>
      </c>
      <c r="Q3397" t="s">
        <v>114</v>
      </c>
      <c r="R3397" t="s">
        <v>114</v>
      </c>
      <c r="S3397" t="s">
        <v>114</v>
      </c>
      <c r="T3397" t="s">
        <v>1018</v>
      </c>
      <c r="U3397" t="s">
        <v>114</v>
      </c>
    </row>
    <row r="3398" spans="1:21" x14ac:dyDescent="0.25">
      <c r="A3398" t="s">
        <v>46</v>
      </c>
      <c r="B3398" t="s">
        <v>972</v>
      </c>
      <c r="C3398">
        <v>2</v>
      </c>
      <c r="D3398" t="s">
        <v>29</v>
      </c>
      <c r="E3398" t="s">
        <v>95</v>
      </c>
      <c r="F3398" t="s">
        <v>110</v>
      </c>
      <c r="G3398" t="s">
        <v>113</v>
      </c>
      <c r="H3398" t="s">
        <v>113</v>
      </c>
      <c r="J3398">
        <v>0</v>
      </c>
      <c r="K3398">
        <v>3</v>
      </c>
      <c r="L3398">
        <v>73.260869569999997</v>
      </c>
      <c r="M3398">
        <v>34.453830549999999</v>
      </c>
      <c r="N3398">
        <v>1.058333333</v>
      </c>
      <c r="O3398">
        <v>0.90897070000000002</v>
      </c>
      <c r="P3398">
        <v>83.757575759999995</v>
      </c>
      <c r="Q3398">
        <v>22.60997987</v>
      </c>
      <c r="R3398">
        <v>0.72884000000000004</v>
      </c>
      <c r="S3398">
        <v>0.21301339999999999</v>
      </c>
      <c r="T3398" t="s">
        <v>1018</v>
      </c>
      <c r="U3398">
        <v>0.329493333</v>
      </c>
    </row>
    <row r="3399" spans="1:21" x14ac:dyDescent="0.25">
      <c r="A3399" t="s">
        <v>46</v>
      </c>
      <c r="B3399" t="s">
        <v>972</v>
      </c>
      <c r="C3399">
        <v>2</v>
      </c>
      <c r="D3399" t="s">
        <v>29</v>
      </c>
      <c r="E3399" t="s">
        <v>95</v>
      </c>
      <c r="F3399" t="s">
        <v>110</v>
      </c>
      <c r="G3399" t="s">
        <v>113</v>
      </c>
      <c r="H3399" t="s">
        <v>113</v>
      </c>
      <c r="J3399">
        <v>0</v>
      </c>
      <c r="K3399">
        <v>3</v>
      </c>
      <c r="L3399">
        <v>73.260869569999997</v>
      </c>
      <c r="M3399">
        <v>34.453830549999999</v>
      </c>
      <c r="N3399">
        <v>1.058333333</v>
      </c>
      <c r="O3399">
        <v>0.90897070000000002</v>
      </c>
      <c r="P3399">
        <v>83.757575759999995</v>
      </c>
      <c r="Q3399">
        <v>22.60997987</v>
      </c>
      <c r="R3399">
        <v>0.72884000000000004</v>
      </c>
      <c r="S3399">
        <v>0.21301339999999999</v>
      </c>
      <c r="T3399" t="s">
        <v>1018</v>
      </c>
      <c r="U3399">
        <v>0.329493333</v>
      </c>
    </row>
    <row r="3400" spans="1:21" x14ac:dyDescent="0.25">
      <c r="A3400" t="s">
        <v>46</v>
      </c>
      <c r="B3400" t="s">
        <v>972</v>
      </c>
      <c r="C3400">
        <v>2</v>
      </c>
      <c r="D3400" t="s">
        <v>29</v>
      </c>
      <c r="E3400" t="s">
        <v>95</v>
      </c>
      <c r="F3400" t="s">
        <v>110</v>
      </c>
      <c r="G3400" t="s">
        <v>113</v>
      </c>
      <c r="H3400" t="s">
        <v>113</v>
      </c>
      <c r="J3400">
        <v>0</v>
      </c>
      <c r="K3400">
        <v>3</v>
      </c>
      <c r="L3400">
        <v>73.260869569999997</v>
      </c>
      <c r="M3400">
        <v>34.453830549999999</v>
      </c>
      <c r="N3400">
        <v>1.058333333</v>
      </c>
      <c r="O3400">
        <v>0.90897070000000002</v>
      </c>
      <c r="P3400">
        <v>83.757575759999995</v>
      </c>
      <c r="Q3400">
        <v>22.60997987</v>
      </c>
      <c r="R3400">
        <v>0.72884000000000004</v>
      </c>
      <c r="S3400">
        <v>0.21301339999999999</v>
      </c>
      <c r="T3400" t="s">
        <v>1018</v>
      </c>
      <c r="U3400">
        <v>0.329493333</v>
      </c>
    </row>
    <row r="3401" spans="1:21" x14ac:dyDescent="0.25">
      <c r="A3401" t="s">
        <v>46</v>
      </c>
      <c r="B3401" t="s">
        <v>973</v>
      </c>
      <c r="C3401">
        <v>2</v>
      </c>
      <c r="D3401" t="s">
        <v>29</v>
      </c>
      <c r="E3401" t="s">
        <v>95</v>
      </c>
      <c r="F3401" t="s">
        <v>112</v>
      </c>
      <c r="G3401" t="s">
        <v>121</v>
      </c>
      <c r="H3401" t="s">
        <v>114</v>
      </c>
      <c r="J3401">
        <v>0</v>
      </c>
      <c r="K3401" t="s">
        <v>114</v>
      </c>
      <c r="L3401">
        <v>65.09375</v>
      </c>
      <c r="M3401">
        <v>37.895352600000002</v>
      </c>
      <c r="N3401">
        <v>2.2882677779999998</v>
      </c>
      <c r="O3401">
        <v>2.2111774</v>
      </c>
      <c r="P3401" t="s">
        <v>114</v>
      </c>
      <c r="Q3401" t="s">
        <v>114</v>
      </c>
      <c r="R3401" t="s">
        <v>114</v>
      </c>
      <c r="S3401" t="s">
        <v>114</v>
      </c>
      <c r="T3401" t="s">
        <v>1018</v>
      </c>
      <c r="U3401" t="s">
        <v>114</v>
      </c>
    </row>
    <row r="3402" spans="1:21" x14ac:dyDescent="0.25">
      <c r="A3402" t="s">
        <v>47</v>
      </c>
      <c r="B3402" t="s">
        <v>974</v>
      </c>
      <c r="C3402">
        <v>2</v>
      </c>
      <c r="D3402" t="s">
        <v>31</v>
      </c>
      <c r="E3402" t="s">
        <v>94</v>
      </c>
      <c r="F3402" t="s">
        <v>112</v>
      </c>
      <c r="G3402" t="s">
        <v>112</v>
      </c>
      <c r="H3402" t="s">
        <v>112</v>
      </c>
      <c r="J3402">
        <v>0</v>
      </c>
      <c r="K3402">
        <v>1</v>
      </c>
      <c r="L3402">
        <v>65.09375</v>
      </c>
      <c r="M3402">
        <v>37.895352600000002</v>
      </c>
      <c r="N3402">
        <v>2.2882677779999998</v>
      </c>
      <c r="O3402">
        <v>2.2111774</v>
      </c>
      <c r="P3402">
        <v>65.09375</v>
      </c>
      <c r="Q3402">
        <v>37.895352600000002</v>
      </c>
      <c r="R3402">
        <v>2.2882677779999998</v>
      </c>
      <c r="S3402">
        <v>2.2111774</v>
      </c>
      <c r="T3402" t="s">
        <v>1018</v>
      </c>
      <c r="U3402">
        <v>0</v>
      </c>
    </row>
    <row r="3403" spans="1:21" x14ac:dyDescent="0.25">
      <c r="A3403" t="s">
        <v>47</v>
      </c>
      <c r="B3403" t="s">
        <v>974</v>
      </c>
      <c r="C3403">
        <v>2</v>
      </c>
      <c r="D3403" t="s">
        <v>31</v>
      </c>
      <c r="E3403" t="s">
        <v>94</v>
      </c>
      <c r="F3403" t="s">
        <v>112</v>
      </c>
      <c r="G3403" t="s">
        <v>112</v>
      </c>
      <c r="H3403" t="s">
        <v>113</v>
      </c>
      <c r="J3403">
        <v>0</v>
      </c>
      <c r="K3403">
        <v>1</v>
      </c>
      <c r="L3403">
        <v>65.09375</v>
      </c>
      <c r="M3403">
        <v>37.895352600000002</v>
      </c>
      <c r="N3403">
        <v>2.2882677779999998</v>
      </c>
      <c r="O3403">
        <v>2.2111774</v>
      </c>
      <c r="P3403">
        <v>83.757575759999995</v>
      </c>
      <c r="Q3403">
        <v>22.60997987</v>
      </c>
      <c r="R3403">
        <v>0.72884000000000004</v>
      </c>
      <c r="S3403">
        <v>0.21301339999999999</v>
      </c>
      <c r="T3403" t="s">
        <v>1018</v>
      </c>
      <c r="U3403">
        <v>1.5594277780000001</v>
      </c>
    </row>
    <row r="3404" spans="1:21" x14ac:dyDescent="0.25">
      <c r="A3404" t="s">
        <v>48</v>
      </c>
      <c r="B3404" t="s">
        <v>975</v>
      </c>
      <c r="C3404">
        <v>2</v>
      </c>
      <c r="D3404" t="s">
        <v>33</v>
      </c>
      <c r="E3404" t="s">
        <v>95</v>
      </c>
      <c r="F3404" t="s">
        <v>105</v>
      </c>
      <c r="G3404" t="s">
        <v>104</v>
      </c>
      <c r="H3404" t="s">
        <v>103</v>
      </c>
      <c r="J3404">
        <v>0</v>
      </c>
      <c r="K3404">
        <v>1</v>
      </c>
      <c r="L3404">
        <v>67.5</v>
      </c>
      <c r="M3404">
        <v>47.937235809999997</v>
      </c>
      <c r="N3404">
        <v>0.41599678000000001</v>
      </c>
      <c r="O3404">
        <v>2.0950346999999998</v>
      </c>
      <c r="P3404">
        <v>98.291666669999998</v>
      </c>
      <c r="Q3404">
        <v>30.315130790000001</v>
      </c>
      <c r="R3404">
        <v>5.0803484000000003E-2</v>
      </c>
      <c r="S3404">
        <v>0.42866070000000001</v>
      </c>
      <c r="T3404" t="s">
        <v>1018</v>
      </c>
      <c r="U3404">
        <v>0.365193296</v>
      </c>
    </row>
    <row r="3405" spans="1:21" x14ac:dyDescent="0.25">
      <c r="A3405" t="s">
        <v>48</v>
      </c>
      <c r="B3405" t="s">
        <v>975</v>
      </c>
      <c r="C3405">
        <v>2</v>
      </c>
      <c r="D3405" t="s">
        <v>33</v>
      </c>
      <c r="E3405" t="s">
        <v>95</v>
      </c>
      <c r="F3405" t="s">
        <v>105</v>
      </c>
      <c r="G3405" t="s">
        <v>104</v>
      </c>
      <c r="H3405" t="s">
        <v>104</v>
      </c>
      <c r="J3405">
        <v>0</v>
      </c>
      <c r="K3405">
        <v>2</v>
      </c>
      <c r="L3405">
        <v>67.5</v>
      </c>
      <c r="M3405">
        <v>47.937235809999997</v>
      </c>
      <c r="N3405">
        <v>0.41599678000000001</v>
      </c>
      <c r="O3405">
        <v>2.0950346999999998</v>
      </c>
      <c r="P3405">
        <v>113.9375</v>
      </c>
      <c r="Q3405">
        <v>33.375507550000002</v>
      </c>
      <c r="R3405">
        <v>2.4262999999999999</v>
      </c>
      <c r="S3405">
        <v>0.40692159999999999</v>
      </c>
      <c r="T3405" t="s">
        <v>1018</v>
      </c>
      <c r="U3405">
        <v>-2.0103032199999999</v>
      </c>
    </row>
    <row r="3406" spans="1:21" x14ac:dyDescent="0.25">
      <c r="A3406" t="s">
        <v>48</v>
      </c>
      <c r="B3406" t="s">
        <v>975</v>
      </c>
      <c r="C3406">
        <v>2</v>
      </c>
      <c r="D3406" t="s">
        <v>33</v>
      </c>
      <c r="E3406" t="s">
        <v>95</v>
      </c>
      <c r="F3406" t="s">
        <v>105</v>
      </c>
      <c r="G3406" t="s">
        <v>104</v>
      </c>
      <c r="H3406" t="s">
        <v>104</v>
      </c>
      <c r="J3406">
        <v>0</v>
      </c>
      <c r="K3406">
        <v>2</v>
      </c>
      <c r="L3406">
        <v>67.5</v>
      </c>
      <c r="M3406">
        <v>47.937235809999997</v>
      </c>
      <c r="N3406">
        <v>0.41599678000000001</v>
      </c>
      <c r="O3406">
        <v>2.0950346999999998</v>
      </c>
      <c r="P3406">
        <v>113.9375</v>
      </c>
      <c r="Q3406">
        <v>33.375507550000002</v>
      </c>
      <c r="R3406">
        <v>2.4262999999999999</v>
      </c>
      <c r="S3406">
        <v>0.40692159999999999</v>
      </c>
      <c r="T3406" t="s">
        <v>1018</v>
      </c>
      <c r="U3406">
        <v>-2.0103032199999999</v>
      </c>
    </row>
    <row r="3407" spans="1:21" x14ac:dyDescent="0.25">
      <c r="A3407" t="s">
        <v>48</v>
      </c>
      <c r="B3407" t="s">
        <v>976</v>
      </c>
      <c r="C3407">
        <v>2</v>
      </c>
      <c r="D3407" t="s">
        <v>33</v>
      </c>
      <c r="E3407" t="s">
        <v>95</v>
      </c>
      <c r="F3407" t="s">
        <v>111</v>
      </c>
      <c r="G3407" t="s">
        <v>113</v>
      </c>
      <c r="H3407" t="s">
        <v>113</v>
      </c>
      <c r="J3407">
        <v>0</v>
      </c>
      <c r="K3407">
        <v>1</v>
      </c>
      <c r="L3407">
        <v>94.97142857</v>
      </c>
      <c r="M3407">
        <v>24.31591813</v>
      </c>
      <c r="N3407">
        <v>0.122951111</v>
      </c>
      <c r="O3407">
        <v>0.39050790000000002</v>
      </c>
      <c r="P3407">
        <v>83.757575759999995</v>
      </c>
      <c r="Q3407">
        <v>22.60997987</v>
      </c>
      <c r="R3407">
        <v>0.72884000000000004</v>
      </c>
      <c r="S3407">
        <v>0.21301339999999999</v>
      </c>
      <c r="T3407" t="s">
        <v>1018</v>
      </c>
      <c r="U3407">
        <v>-0.60588888900000004</v>
      </c>
    </row>
    <row r="3408" spans="1:21" x14ac:dyDescent="0.25">
      <c r="A3408" t="s">
        <v>48</v>
      </c>
      <c r="B3408" t="s">
        <v>976</v>
      </c>
      <c r="C3408">
        <v>2</v>
      </c>
      <c r="D3408" t="s">
        <v>33</v>
      </c>
      <c r="E3408" t="s">
        <v>95</v>
      </c>
      <c r="F3408" t="s">
        <v>111</v>
      </c>
      <c r="G3408" t="s">
        <v>113</v>
      </c>
      <c r="H3408" t="s">
        <v>241</v>
      </c>
      <c r="J3408">
        <v>0</v>
      </c>
      <c r="K3408">
        <v>1</v>
      </c>
      <c r="L3408">
        <v>94.97142857</v>
      </c>
      <c r="M3408">
        <v>24.31591813</v>
      </c>
      <c r="N3408">
        <v>0.122951111</v>
      </c>
      <c r="O3408">
        <v>0.39050790000000002</v>
      </c>
      <c r="P3408">
        <v>114</v>
      </c>
      <c r="Q3408">
        <v>30.43077242</v>
      </c>
      <c r="R3408">
        <v>0.53383111100000002</v>
      </c>
      <c r="S3408">
        <v>0.28333332999999999</v>
      </c>
      <c r="T3408" t="s">
        <v>1018</v>
      </c>
      <c r="U3408">
        <v>-0.41088000000000002</v>
      </c>
    </row>
    <row r="3409" spans="1:21" x14ac:dyDescent="0.25">
      <c r="A3409" t="s">
        <v>48</v>
      </c>
      <c r="B3409" t="s">
        <v>977</v>
      </c>
      <c r="C3409">
        <v>2</v>
      </c>
      <c r="D3409" t="s">
        <v>33</v>
      </c>
      <c r="E3409" t="s">
        <v>95</v>
      </c>
      <c r="F3409" t="s">
        <v>104</v>
      </c>
      <c r="G3409" t="s">
        <v>121</v>
      </c>
      <c r="H3409" t="s">
        <v>113</v>
      </c>
      <c r="J3409">
        <v>0</v>
      </c>
      <c r="K3409">
        <v>5</v>
      </c>
      <c r="L3409">
        <v>113.9375</v>
      </c>
      <c r="M3409">
        <v>33.375507550000002</v>
      </c>
      <c r="N3409">
        <v>2.4262999999999999</v>
      </c>
      <c r="O3409">
        <v>0.40692159999999999</v>
      </c>
      <c r="P3409">
        <v>83.757575759999995</v>
      </c>
      <c r="Q3409">
        <v>22.60997987</v>
      </c>
      <c r="R3409">
        <v>0.72884000000000004</v>
      </c>
      <c r="S3409">
        <v>0.21301339999999999</v>
      </c>
      <c r="T3409" t="s">
        <v>1018</v>
      </c>
      <c r="U3409">
        <v>1.69746</v>
      </c>
    </row>
    <row r="3410" spans="1:21" x14ac:dyDescent="0.25">
      <c r="A3410" t="s">
        <v>48</v>
      </c>
      <c r="B3410" t="s">
        <v>977</v>
      </c>
      <c r="C3410">
        <v>2</v>
      </c>
      <c r="D3410" t="s">
        <v>33</v>
      </c>
      <c r="E3410" t="s">
        <v>95</v>
      </c>
      <c r="F3410" t="s">
        <v>104</v>
      </c>
      <c r="G3410" t="s">
        <v>121</v>
      </c>
      <c r="H3410" t="s">
        <v>113</v>
      </c>
      <c r="J3410">
        <v>0</v>
      </c>
      <c r="K3410">
        <v>5</v>
      </c>
      <c r="L3410">
        <v>113.9375</v>
      </c>
      <c r="M3410">
        <v>33.375507550000002</v>
      </c>
      <c r="N3410">
        <v>2.4262999999999999</v>
      </c>
      <c r="O3410">
        <v>0.40692159999999999</v>
      </c>
      <c r="P3410">
        <v>83.757575759999995</v>
      </c>
      <c r="Q3410">
        <v>22.60997987</v>
      </c>
      <c r="R3410">
        <v>0.72884000000000004</v>
      </c>
      <c r="S3410">
        <v>0.21301339999999999</v>
      </c>
      <c r="T3410" t="s">
        <v>1018</v>
      </c>
      <c r="U3410">
        <v>1.69746</v>
      </c>
    </row>
    <row r="3411" spans="1:21" x14ac:dyDescent="0.25">
      <c r="A3411" t="s">
        <v>48</v>
      </c>
      <c r="B3411" t="s">
        <v>977</v>
      </c>
      <c r="C3411">
        <v>2</v>
      </c>
      <c r="D3411" t="s">
        <v>33</v>
      </c>
      <c r="E3411" t="s">
        <v>95</v>
      </c>
      <c r="F3411" t="s">
        <v>104</v>
      </c>
      <c r="G3411" t="s">
        <v>121</v>
      </c>
      <c r="H3411" t="s">
        <v>113</v>
      </c>
      <c r="J3411">
        <v>0</v>
      </c>
      <c r="K3411">
        <v>5</v>
      </c>
      <c r="L3411">
        <v>113.9375</v>
      </c>
      <c r="M3411">
        <v>33.375507550000002</v>
      </c>
      <c r="N3411">
        <v>2.4262999999999999</v>
      </c>
      <c r="O3411">
        <v>0.40692159999999999</v>
      </c>
      <c r="P3411">
        <v>83.757575759999995</v>
      </c>
      <c r="Q3411">
        <v>22.60997987</v>
      </c>
      <c r="R3411">
        <v>0.72884000000000004</v>
      </c>
      <c r="S3411">
        <v>0.21301339999999999</v>
      </c>
      <c r="T3411" t="s">
        <v>1018</v>
      </c>
      <c r="U3411">
        <v>1.69746</v>
      </c>
    </row>
    <row r="3412" spans="1:21" x14ac:dyDescent="0.25">
      <c r="A3412" t="s">
        <v>48</v>
      </c>
      <c r="B3412" t="s">
        <v>977</v>
      </c>
      <c r="C3412">
        <v>2</v>
      </c>
      <c r="D3412" t="s">
        <v>33</v>
      </c>
      <c r="E3412" t="s">
        <v>95</v>
      </c>
      <c r="F3412" t="s">
        <v>104</v>
      </c>
      <c r="G3412" t="s">
        <v>121</v>
      </c>
      <c r="H3412" t="s">
        <v>113</v>
      </c>
      <c r="J3412">
        <v>0</v>
      </c>
      <c r="K3412">
        <v>5</v>
      </c>
      <c r="L3412">
        <v>113.9375</v>
      </c>
      <c r="M3412">
        <v>33.375507550000002</v>
      </c>
      <c r="N3412">
        <v>2.4262999999999999</v>
      </c>
      <c r="O3412">
        <v>0.40692159999999999</v>
      </c>
      <c r="P3412">
        <v>83.757575759999995</v>
      </c>
      <c r="Q3412">
        <v>22.60997987</v>
      </c>
      <c r="R3412">
        <v>0.72884000000000004</v>
      </c>
      <c r="S3412">
        <v>0.21301339999999999</v>
      </c>
      <c r="T3412" t="s">
        <v>1018</v>
      </c>
      <c r="U3412">
        <v>1.69746</v>
      </c>
    </row>
    <row r="3413" spans="1:21" x14ac:dyDescent="0.25">
      <c r="A3413" t="s">
        <v>48</v>
      </c>
      <c r="B3413" t="s">
        <v>977</v>
      </c>
      <c r="C3413">
        <v>2</v>
      </c>
      <c r="D3413" t="s">
        <v>33</v>
      </c>
      <c r="E3413" t="s">
        <v>95</v>
      </c>
      <c r="F3413" t="s">
        <v>104</v>
      </c>
      <c r="G3413" t="s">
        <v>121</v>
      </c>
      <c r="H3413" t="s">
        <v>113</v>
      </c>
      <c r="J3413">
        <v>0</v>
      </c>
      <c r="K3413">
        <v>5</v>
      </c>
      <c r="L3413">
        <v>113.9375</v>
      </c>
      <c r="M3413">
        <v>33.375507550000002</v>
      </c>
      <c r="N3413">
        <v>2.4262999999999999</v>
      </c>
      <c r="O3413">
        <v>0.40692159999999999</v>
      </c>
      <c r="P3413">
        <v>83.757575759999995</v>
      </c>
      <c r="Q3413">
        <v>22.60997987</v>
      </c>
      <c r="R3413">
        <v>0.72884000000000004</v>
      </c>
      <c r="S3413">
        <v>0.21301339999999999</v>
      </c>
      <c r="T3413" t="s">
        <v>1018</v>
      </c>
      <c r="U3413">
        <v>1.69746</v>
      </c>
    </row>
    <row r="3414" spans="1:21" x14ac:dyDescent="0.25">
      <c r="A3414" t="s">
        <v>48</v>
      </c>
      <c r="B3414" t="s">
        <v>977</v>
      </c>
      <c r="C3414">
        <v>2</v>
      </c>
      <c r="D3414" t="s">
        <v>33</v>
      </c>
      <c r="E3414" t="s">
        <v>95</v>
      </c>
      <c r="F3414" t="s">
        <v>104</v>
      </c>
      <c r="G3414" t="s">
        <v>121</v>
      </c>
      <c r="H3414" t="s">
        <v>104</v>
      </c>
      <c r="J3414">
        <v>0</v>
      </c>
      <c r="K3414">
        <v>2</v>
      </c>
      <c r="L3414">
        <v>113.9375</v>
      </c>
      <c r="M3414">
        <v>33.375507550000002</v>
      </c>
      <c r="N3414">
        <v>2.4262999999999999</v>
      </c>
      <c r="O3414">
        <v>0.40692159999999999</v>
      </c>
      <c r="P3414">
        <v>113.9375</v>
      </c>
      <c r="Q3414">
        <v>33.375507550000002</v>
      </c>
      <c r="R3414">
        <v>2.4262999999999999</v>
      </c>
      <c r="S3414">
        <v>0.40692159999999999</v>
      </c>
      <c r="T3414" t="s">
        <v>1018</v>
      </c>
      <c r="U3414">
        <v>0</v>
      </c>
    </row>
    <row r="3415" spans="1:21" x14ac:dyDescent="0.25">
      <c r="A3415" t="s">
        <v>48</v>
      </c>
      <c r="B3415" t="s">
        <v>977</v>
      </c>
      <c r="C3415">
        <v>2</v>
      </c>
      <c r="D3415" t="s">
        <v>33</v>
      </c>
      <c r="E3415" t="s">
        <v>95</v>
      </c>
      <c r="F3415" t="s">
        <v>104</v>
      </c>
      <c r="G3415" t="s">
        <v>121</v>
      </c>
      <c r="H3415" t="s">
        <v>104</v>
      </c>
      <c r="J3415">
        <v>0</v>
      </c>
      <c r="K3415">
        <v>2</v>
      </c>
      <c r="L3415">
        <v>113.9375</v>
      </c>
      <c r="M3415">
        <v>33.375507550000002</v>
      </c>
      <c r="N3415">
        <v>2.4262999999999999</v>
      </c>
      <c r="O3415">
        <v>0.40692159999999999</v>
      </c>
      <c r="P3415">
        <v>113.9375</v>
      </c>
      <c r="Q3415">
        <v>33.375507550000002</v>
      </c>
      <c r="R3415">
        <v>2.4262999999999999</v>
      </c>
      <c r="S3415">
        <v>0.40692159999999999</v>
      </c>
      <c r="T3415" t="s">
        <v>1018</v>
      </c>
      <c r="U3415">
        <v>0</v>
      </c>
    </row>
    <row r="3416" spans="1:21" x14ac:dyDescent="0.25">
      <c r="A3416" t="s">
        <v>48</v>
      </c>
      <c r="B3416" t="s">
        <v>977</v>
      </c>
      <c r="C3416">
        <v>2</v>
      </c>
      <c r="D3416" t="s">
        <v>33</v>
      </c>
      <c r="E3416" t="s">
        <v>95</v>
      </c>
      <c r="F3416" t="s">
        <v>104</v>
      </c>
      <c r="G3416" t="s">
        <v>121</v>
      </c>
      <c r="H3416" t="s">
        <v>103</v>
      </c>
      <c r="J3416">
        <v>0</v>
      </c>
      <c r="K3416">
        <v>1</v>
      </c>
      <c r="L3416">
        <v>113.9375</v>
      </c>
      <c r="M3416">
        <v>33.375507550000002</v>
      </c>
      <c r="N3416">
        <v>2.4262999999999999</v>
      </c>
      <c r="O3416">
        <v>0.40692159999999999</v>
      </c>
      <c r="P3416">
        <v>98.291666669999998</v>
      </c>
      <c r="Q3416">
        <v>30.315130790000001</v>
      </c>
      <c r="R3416">
        <v>5.0803484000000003E-2</v>
      </c>
      <c r="S3416">
        <v>0.42866070000000001</v>
      </c>
      <c r="T3416" t="s">
        <v>1018</v>
      </c>
      <c r="U3416">
        <v>2.3754965160000001</v>
      </c>
    </row>
    <row r="3417" spans="1:21" x14ac:dyDescent="0.25">
      <c r="A3417" t="s">
        <v>49</v>
      </c>
      <c r="B3417" t="s">
        <v>978</v>
      </c>
      <c r="C3417">
        <v>2</v>
      </c>
      <c r="D3417" t="s">
        <v>35</v>
      </c>
      <c r="E3417" t="s">
        <v>94</v>
      </c>
      <c r="F3417" t="s">
        <v>102</v>
      </c>
      <c r="G3417" t="s">
        <v>112</v>
      </c>
      <c r="H3417" t="s">
        <v>112</v>
      </c>
      <c r="J3417">
        <v>0</v>
      </c>
      <c r="K3417">
        <v>1</v>
      </c>
      <c r="L3417">
        <v>84.740740740000007</v>
      </c>
      <c r="M3417">
        <v>29.167014049999999</v>
      </c>
      <c r="N3417">
        <v>1.1169849999999999</v>
      </c>
      <c r="O3417">
        <v>1.1571499000000001</v>
      </c>
      <c r="P3417">
        <v>65.09375</v>
      </c>
      <c r="Q3417">
        <v>37.895352600000002</v>
      </c>
      <c r="R3417">
        <v>2.2882677779999998</v>
      </c>
      <c r="S3417">
        <v>2.2111774</v>
      </c>
      <c r="T3417" t="s">
        <v>1018</v>
      </c>
      <c r="U3417">
        <v>-1.1712827779999999</v>
      </c>
    </row>
    <row r="3418" spans="1:21" x14ac:dyDescent="0.25">
      <c r="A3418" t="s">
        <v>49</v>
      </c>
      <c r="B3418" t="s">
        <v>978</v>
      </c>
      <c r="C3418">
        <v>2</v>
      </c>
      <c r="D3418" t="s">
        <v>35</v>
      </c>
      <c r="E3418" t="s">
        <v>94</v>
      </c>
      <c r="F3418" t="s">
        <v>102</v>
      </c>
      <c r="G3418" t="s">
        <v>112</v>
      </c>
      <c r="H3418" t="s">
        <v>104</v>
      </c>
      <c r="J3418">
        <v>0</v>
      </c>
      <c r="K3418">
        <v>5</v>
      </c>
      <c r="L3418">
        <v>84.740740740000007</v>
      </c>
      <c r="M3418">
        <v>29.167014049999999</v>
      </c>
      <c r="N3418">
        <v>1.1169849999999999</v>
      </c>
      <c r="O3418">
        <v>1.1571499000000001</v>
      </c>
      <c r="P3418">
        <v>113.9375</v>
      </c>
      <c r="Q3418">
        <v>33.375507550000002</v>
      </c>
      <c r="R3418">
        <v>2.4262999999999999</v>
      </c>
      <c r="S3418">
        <v>0.40692159999999999</v>
      </c>
      <c r="T3418" t="s">
        <v>1018</v>
      </c>
      <c r="U3418">
        <v>-1.309315</v>
      </c>
    </row>
    <row r="3419" spans="1:21" x14ac:dyDescent="0.25">
      <c r="A3419" t="s">
        <v>49</v>
      </c>
      <c r="B3419" t="s">
        <v>978</v>
      </c>
      <c r="C3419">
        <v>2</v>
      </c>
      <c r="D3419" t="s">
        <v>35</v>
      </c>
      <c r="E3419" t="s">
        <v>94</v>
      </c>
      <c r="F3419" t="s">
        <v>102</v>
      </c>
      <c r="G3419" t="s">
        <v>112</v>
      </c>
      <c r="H3419" t="s">
        <v>104</v>
      </c>
      <c r="J3419">
        <v>0</v>
      </c>
      <c r="K3419">
        <v>5</v>
      </c>
      <c r="L3419">
        <v>84.740740740000007</v>
      </c>
      <c r="M3419">
        <v>29.167014049999999</v>
      </c>
      <c r="N3419">
        <v>1.1169849999999999</v>
      </c>
      <c r="O3419">
        <v>1.1571499000000001</v>
      </c>
      <c r="P3419">
        <v>113.9375</v>
      </c>
      <c r="Q3419">
        <v>33.375507550000002</v>
      </c>
      <c r="R3419">
        <v>2.4262999999999999</v>
      </c>
      <c r="S3419">
        <v>0.40692159999999999</v>
      </c>
      <c r="T3419" t="s">
        <v>1018</v>
      </c>
      <c r="U3419">
        <v>-1.309315</v>
      </c>
    </row>
    <row r="3420" spans="1:21" x14ac:dyDescent="0.25">
      <c r="A3420" t="s">
        <v>49</v>
      </c>
      <c r="B3420" t="s">
        <v>978</v>
      </c>
      <c r="C3420">
        <v>2</v>
      </c>
      <c r="D3420" t="s">
        <v>35</v>
      </c>
      <c r="E3420" t="s">
        <v>94</v>
      </c>
      <c r="F3420" t="s">
        <v>102</v>
      </c>
      <c r="G3420" t="s">
        <v>112</v>
      </c>
      <c r="H3420" t="s">
        <v>104</v>
      </c>
      <c r="J3420">
        <v>0</v>
      </c>
      <c r="K3420">
        <v>5</v>
      </c>
      <c r="L3420">
        <v>84.740740740000007</v>
      </c>
      <c r="M3420">
        <v>29.167014049999999</v>
      </c>
      <c r="N3420">
        <v>1.1169849999999999</v>
      </c>
      <c r="O3420">
        <v>1.1571499000000001</v>
      </c>
      <c r="P3420">
        <v>113.9375</v>
      </c>
      <c r="Q3420">
        <v>33.375507550000002</v>
      </c>
      <c r="R3420">
        <v>2.4262999999999999</v>
      </c>
      <c r="S3420">
        <v>0.40692159999999999</v>
      </c>
      <c r="T3420" t="s">
        <v>1018</v>
      </c>
      <c r="U3420">
        <v>-1.309315</v>
      </c>
    </row>
    <row r="3421" spans="1:21" x14ac:dyDescent="0.25">
      <c r="A3421" t="s">
        <v>49</v>
      </c>
      <c r="B3421" t="s">
        <v>978</v>
      </c>
      <c r="C3421">
        <v>2</v>
      </c>
      <c r="D3421" t="s">
        <v>35</v>
      </c>
      <c r="E3421" t="s">
        <v>94</v>
      </c>
      <c r="F3421" t="s">
        <v>102</v>
      </c>
      <c r="G3421" t="s">
        <v>112</v>
      </c>
      <c r="H3421" t="s">
        <v>104</v>
      </c>
      <c r="J3421">
        <v>0</v>
      </c>
      <c r="K3421">
        <v>5</v>
      </c>
      <c r="L3421">
        <v>84.740740740000007</v>
      </c>
      <c r="M3421">
        <v>29.167014049999999</v>
      </c>
      <c r="N3421">
        <v>1.1169849999999999</v>
      </c>
      <c r="O3421">
        <v>1.1571499000000001</v>
      </c>
      <c r="P3421">
        <v>113.9375</v>
      </c>
      <c r="Q3421">
        <v>33.375507550000002</v>
      </c>
      <c r="R3421">
        <v>2.4262999999999999</v>
      </c>
      <c r="S3421">
        <v>0.40692159999999999</v>
      </c>
      <c r="T3421" t="s">
        <v>1018</v>
      </c>
      <c r="U3421">
        <v>-1.309315</v>
      </c>
    </row>
    <row r="3422" spans="1:21" x14ac:dyDescent="0.25">
      <c r="A3422" t="s">
        <v>49</v>
      </c>
      <c r="B3422" t="s">
        <v>978</v>
      </c>
      <c r="C3422">
        <v>2</v>
      </c>
      <c r="D3422" t="s">
        <v>35</v>
      </c>
      <c r="E3422" t="s">
        <v>94</v>
      </c>
      <c r="F3422" t="s">
        <v>102</v>
      </c>
      <c r="G3422" t="s">
        <v>112</v>
      </c>
      <c r="H3422" t="s">
        <v>104</v>
      </c>
      <c r="J3422">
        <v>0</v>
      </c>
      <c r="K3422">
        <v>5</v>
      </c>
      <c r="L3422">
        <v>84.740740740000007</v>
      </c>
      <c r="M3422">
        <v>29.167014049999999</v>
      </c>
      <c r="N3422">
        <v>1.1169849999999999</v>
      </c>
      <c r="O3422">
        <v>1.1571499000000001</v>
      </c>
      <c r="P3422">
        <v>113.9375</v>
      </c>
      <c r="Q3422">
        <v>33.375507550000002</v>
      </c>
      <c r="R3422">
        <v>2.4262999999999999</v>
      </c>
      <c r="S3422">
        <v>0.40692159999999999</v>
      </c>
      <c r="T3422" t="s">
        <v>1018</v>
      </c>
      <c r="U3422">
        <v>-1.309315</v>
      </c>
    </row>
    <row r="3423" spans="1:21" x14ac:dyDescent="0.25">
      <c r="A3423" t="s">
        <v>49</v>
      </c>
      <c r="B3423" t="s">
        <v>979</v>
      </c>
      <c r="C3423">
        <v>2</v>
      </c>
      <c r="D3423" t="s">
        <v>35</v>
      </c>
      <c r="E3423" t="s">
        <v>94</v>
      </c>
      <c r="F3423" t="s">
        <v>112</v>
      </c>
      <c r="G3423" t="s">
        <v>112</v>
      </c>
      <c r="H3423" t="s">
        <v>112</v>
      </c>
      <c r="J3423">
        <v>0</v>
      </c>
      <c r="K3423">
        <v>1</v>
      </c>
      <c r="L3423">
        <v>65.09375</v>
      </c>
      <c r="M3423">
        <v>37.895352600000002</v>
      </c>
      <c r="N3423">
        <v>2.2882677779999998</v>
      </c>
      <c r="O3423">
        <v>2.2111774</v>
      </c>
      <c r="P3423">
        <v>65.09375</v>
      </c>
      <c r="Q3423">
        <v>37.895352600000002</v>
      </c>
      <c r="R3423">
        <v>2.2882677779999998</v>
      </c>
      <c r="S3423">
        <v>2.2111774</v>
      </c>
      <c r="T3423" t="s">
        <v>1018</v>
      </c>
      <c r="U3423">
        <v>0</v>
      </c>
    </row>
    <row r="3424" spans="1:21" x14ac:dyDescent="0.25">
      <c r="A3424" t="s">
        <v>49</v>
      </c>
      <c r="B3424" t="s">
        <v>979</v>
      </c>
      <c r="C3424">
        <v>2</v>
      </c>
      <c r="D3424" t="s">
        <v>35</v>
      </c>
      <c r="E3424" t="s">
        <v>94</v>
      </c>
      <c r="F3424" t="s">
        <v>112</v>
      </c>
      <c r="G3424" t="s">
        <v>112</v>
      </c>
      <c r="H3424" t="s">
        <v>103</v>
      </c>
      <c r="J3424">
        <v>0</v>
      </c>
      <c r="K3424">
        <v>1</v>
      </c>
      <c r="L3424">
        <v>65.09375</v>
      </c>
      <c r="M3424">
        <v>37.895352600000002</v>
      </c>
      <c r="N3424">
        <v>2.2882677779999998</v>
      </c>
      <c r="O3424">
        <v>2.2111774</v>
      </c>
      <c r="P3424">
        <v>98.291666669999998</v>
      </c>
      <c r="Q3424">
        <v>30.315130790000001</v>
      </c>
      <c r="R3424">
        <v>5.0803484000000003E-2</v>
      </c>
      <c r="S3424">
        <v>0.42866070000000001</v>
      </c>
      <c r="T3424" t="s">
        <v>1018</v>
      </c>
      <c r="U3424">
        <v>2.237464294</v>
      </c>
    </row>
    <row r="3425" spans="1:21" x14ac:dyDescent="0.25">
      <c r="A3425" t="s">
        <v>79</v>
      </c>
      <c r="B3425" t="s">
        <v>980</v>
      </c>
      <c r="C3425">
        <v>6</v>
      </c>
      <c r="D3425" t="s">
        <v>11</v>
      </c>
      <c r="E3425" t="s">
        <v>95</v>
      </c>
      <c r="F3425" t="s">
        <v>113</v>
      </c>
      <c r="G3425" t="s">
        <v>113</v>
      </c>
      <c r="H3425" t="s">
        <v>113</v>
      </c>
      <c r="J3425">
        <v>0</v>
      </c>
      <c r="K3425">
        <v>4</v>
      </c>
      <c r="L3425">
        <v>83.757575759999995</v>
      </c>
      <c r="M3425">
        <v>22.60997987</v>
      </c>
      <c r="N3425">
        <v>0.72884000000000004</v>
      </c>
      <c r="O3425">
        <v>0.21301339999999999</v>
      </c>
      <c r="P3425">
        <v>83.757575759999995</v>
      </c>
      <c r="Q3425">
        <v>22.60997987</v>
      </c>
      <c r="R3425">
        <v>0.72884000000000004</v>
      </c>
      <c r="S3425">
        <v>0.21301339999999999</v>
      </c>
      <c r="T3425" t="s">
        <v>1018</v>
      </c>
      <c r="U3425">
        <v>0</v>
      </c>
    </row>
    <row r="3426" spans="1:21" x14ac:dyDescent="0.25">
      <c r="A3426" t="s">
        <v>79</v>
      </c>
      <c r="B3426" t="s">
        <v>980</v>
      </c>
      <c r="C3426">
        <v>6</v>
      </c>
      <c r="D3426" t="s">
        <v>11</v>
      </c>
      <c r="E3426" t="s">
        <v>95</v>
      </c>
      <c r="F3426" t="s">
        <v>113</v>
      </c>
      <c r="G3426" t="s">
        <v>113</v>
      </c>
      <c r="H3426" t="s">
        <v>113</v>
      </c>
      <c r="J3426">
        <v>0</v>
      </c>
      <c r="K3426">
        <v>4</v>
      </c>
      <c r="L3426">
        <v>83.757575759999995</v>
      </c>
      <c r="M3426">
        <v>22.60997987</v>
      </c>
      <c r="N3426">
        <v>0.72884000000000004</v>
      </c>
      <c r="O3426">
        <v>0.21301339999999999</v>
      </c>
      <c r="P3426">
        <v>83.757575759999995</v>
      </c>
      <c r="Q3426">
        <v>22.60997987</v>
      </c>
      <c r="R3426">
        <v>0.72884000000000004</v>
      </c>
      <c r="S3426">
        <v>0.21301339999999999</v>
      </c>
      <c r="T3426" t="s">
        <v>1018</v>
      </c>
      <c r="U3426">
        <v>0</v>
      </c>
    </row>
    <row r="3427" spans="1:21" x14ac:dyDescent="0.25">
      <c r="A3427" t="s">
        <v>79</v>
      </c>
      <c r="B3427" t="s">
        <v>980</v>
      </c>
      <c r="C3427">
        <v>6</v>
      </c>
      <c r="D3427" t="s">
        <v>11</v>
      </c>
      <c r="E3427" t="s">
        <v>95</v>
      </c>
      <c r="F3427" t="s">
        <v>113</v>
      </c>
      <c r="G3427" t="s">
        <v>113</v>
      </c>
      <c r="H3427" t="s">
        <v>113</v>
      </c>
      <c r="J3427">
        <v>0</v>
      </c>
      <c r="K3427">
        <v>4</v>
      </c>
      <c r="L3427">
        <v>83.757575759999995</v>
      </c>
      <c r="M3427">
        <v>22.60997987</v>
      </c>
      <c r="N3427">
        <v>0.72884000000000004</v>
      </c>
      <c r="O3427">
        <v>0.21301339999999999</v>
      </c>
      <c r="P3427">
        <v>83.757575759999995</v>
      </c>
      <c r="Q3427">
        <v>22.60997987</v>
      </c>
      <c r="R3427">
        <v>0.72884000000000004</v>
      </c>
      <c r="S3427">
        <v>0.21301339999999999</v>
      </c>
      <c r="T3427" t="s">
        <v>1018</v>
      </c>
      <c r="U3427">
        <v>0</v>
      </c>
    </row>
    <row r="3428" spans="1:21" x14ac:dyDescent="0.25">
      <c r="A3428" t="s">
        <v>79</v>
      </c>
      <c r="B3428" t="s">
        <v>980</v>
      </c>
      <c r="C3428">
        <v>6</v>
      </c>
      <c r="D3428" t="s">
        <v>11</v>
      </c>
      <c r="E3428" t="s">
        <v>95</v>
      </c>
      <c r="F3428" t="s">
        <v>113</v>
      </c>
      <c r="G3428" t="s">
        <v>113</v>
      </c>
      <c r="H3428" t="s">
        <v>113</v>
      </c>
      <c r="J3428">
        <v>0</v>
      </c>
      <c r="K3428">
        <v>4</v>
      </c>
      <c r="L3428">
        <v>83.757575759999995</v>
      </c>
      <c r="M3428">
        <v>22.60997987</v>
      </c>
      <c r="N3428">
        <v>0.72884000000000004</v>
      </c>
      <c r="O3428">
        <v>0.21301339999999999</v>
      </c>
      <c r="P3428">
        <v>83.757575759999995</v>
      </c>
      <c r="Q3428">
        <v>22.60997987</v>
      </c>
      <c r="R3428">
        <v>0.72884000000000004</v>
      </c>
      <c r="S3428">
        <v>0.21301339999999999</v>
      </c>
      <c r="T3428" t="s">
        <v>1018</v>
      </c>
      <c r="U3428">
        <v>0</v>
      </c>
    </row>
    <row r="3429" spans="1:21" x14ac:dyDescent="0.25">
      <c r="A3429" t="s">
        <v>79</v>
      </c>
      <c r="B3429" t="s">
        <v>981</v>
      </c>
      <c r="C3429">
        <v>6</v>
      </c>
      <c r="D3429" t="s">
        <v>11</v>
      </c>
      <c r="E3429" t="s">
        <v>95</v>
      </c>
      <c r="F3429" t="s">
        <v>103</v>
      </c>
      <c r="G3429" t="s">
        <v>113</v>
      </c>
      <c r="H3429" t="s">
        <v>113</v>
      </c>
      <c r="J3429">
        <v>0</v>
      </c>
      <c r="K3429">
        <v>7</v>
      </c>
      <c r="L3429">
        <v>98.291666669999998</v>
      </c>
      <c r="M3429">
        <v>30.315130790000001</v>
      </c>
      <c r="N3429">
        <v>5.0803484000000003E-2</v>
      </c>
      <c r="O3429">
        <v>0.42866070000000001</v>
      </c>
      <c r="P3429">
        <v>83.757575759999995</v>
      </c>
      <c r="Q3429">
        <v>22.60997987</v>
      </c>
      <c r="R3429">
        <v>0.72884000000000004</v>
      </c>
      <c r="S3429">
        <v>0.21301339999999999</v>
      </c>
      <c r="T3429" t="s">
        <v>1018</v>
      </c>
      <c r="U3429">
        <v>-0.67803651600000003</v>
      </c>
    </row>
    <row r="3430" spans="1:21" x14ac:dyDescent="0.25">
      <c r="A3430" t="s">
        <v>79</v>
      </c>
      <c r="B3430" t="s">
        <v>981</v>
      </c>
      <c r="C3430">
        <v>6</v>
      </c>
      <c r="D3430" t="s">
        <v>11</v>
      </c>
      <c r="E3430" t="s">
        <v>95</v>
      </c>
      <c r="F3430" t="s">
        <v>103</v>
      </c>
      <c r="G3430" t="s">
        <v>113</v>
      </c>
      <c r="H3430" t="s">
        <v>113</v>
      </c>
      <c r="J3430">
        <v>0</v>
      </c>
      <c r="K3430">
        <v>7</v>
      </c>
      <c r="L3430">
        <v>98.291666669999998</v>
      </c>
      <c r="M3430">
        <v>30.315130790000001</v>
      </c>
      <c r="N3430">
        <v>5.0803484000000003E-2</v>
      </c>
      <c r="O3430">
        <v>0.42866070000000001</v>
      </c>
      <c r="P3430">
        <v>83.757575759999995</v>
      </c>
      <c r="Q3430">
        <v>22.60997987</v>
      </c>
      <c r="R3430">
        <v>0.72884000000000004</v>
      </c>
      <c r="S3430">
        <v>0.21301339999999999</v>
      </c>
      <c r="T3430" t="s">
        <v>1018</v>
      </c>
      <c r="U3430">
        <v>-0.67803651600000003</v>
      </c>
    </row>
    <row r="3431" spans="1:21" x14ac:dyDescent="0.25">
      <c r="A3431" t="s">
        <v>79</v>
      </c>
      <c r="B3431" t="s">
        <v>981</v>
      </c>
      <c r="C3431">
        <v>6</v>
      </c>
      <c r="D3431" t="s">
        <v>11</v>
      </c>
      <c r="E3431" t="s">
        <v>95</v>
      </c>
      <c r="F3431" t="s">
        <v>103</v>
      </c>
      <c r="G3431" t="s">
        <v>113</v>
      </c>
      <c r="H3431" t="s">
        <v>113</v>
      </c>
      <c r="J3431">
        <v>0</v>
      </c>
      <c r="K3431">
        <v>7</v>
      </c>
      <c r="L3431">
        <v>98.291666669999998</v>
      </c>
      <c r="M3431">
        <v>30.315130790000001</v>
      </c>
      <c r="N3431">
        <v>5.0803484000000003E-2</v>
      </c>
      <c r="O3431">
        <v>0.42866070000000001</v>
      </c>
      <c r="P3431">
        <v>83.757575759999995</v>
      </c>
      <c r="Q3431">
        <v>22.60997987</v>
      </c>
      <c r="R3431">
        <v>0.72884000000000004</v>
      </c>
      <c r="S3431">
        <v>0.21301339999999999</v>
      </c>
      <c r="T3431" t="s">
        <v>1018</v>
      </c>
      <c r="U3431">
        <v>-0.67803651600000003</v>
      </c>
    </row>
    <row r="3432" spans="1:21" x14ac:dyDescent="0.25">
      <c r="A3432" t="s">
        <v>79</v>
      </c>
      <c r="B3432" t="s">
        <v>981</v>
      </c>
      <c r="C3432">
        <v>6</v>
      </c>
      <c r="D3432" t="s">
        <v>11</v>
      </c>
      <c r="E3432" t="s">
        <v>95</v>
      </c>
      <c r="F3432" t="s">
        <v>103</v>
      </c>
      <c r="G3432" t="s">
        <v>113</v>
      </c>
      <c r="H3432" t="s">
        <v>113</v>
      </c>
      <c r="J3432">
        <v>0</v>
      </c>
      <c r="K3432">
        <v>7</v>
      </c>
      <c r="L3432">
        <v>98.291666669999998</v>
      </c>
      <c r="M3432">
        <v>30.315130790000001</v>
      </c>
      <c r="N3432">
        <v>5.0803484000000003E-2</v>
      </c>
      <c r="O3432">
        <v>0.42866070000000001</v>
      </c>
      <c r="P3432">
        <v>83.757575759999995</v>
      </c>
      <c r="Q3432">
        <v>22.60997987</v>
      </c>
      <c r="R3432">
        <v>0.72884000000000004</v>
      </c>
      <c r="S3432">
        <v>0.21301339999999999</v>
      </c>
      <c r="T3432" t="s">
        <v>1018</v>
      </c>
      <c r="U3432">
        <v>-0.67803651600000003</v>
      </c>
    </row>
    <row r="3433" spans="1:21" x14ac:dyDescent="0.25">
      <c r="A3433" t="s">
        <v>79</v>
      </c>
      <c r="B3433" t="s">
        <v>981</v>
      </c>
      <c r="C3433">
        <v>6</v>
      </c>
      <c r="D3433" t="s">
        <v>11</v>
      </c>
      <c r="E3433" t="s">
        <v>95</v>
      </c>
      <c r="F3433" t="s">
        <v>103</v>
      </c>
      <c r="G3433" t="s">
        <v>113</v>
      </c>
      <c r="H3433" t="s">
        <v>113</v>
      </c>
      <c r="J3433">
        <v>0</v>
      </c>
      <c r="K3433">
        <v>7</v>
      </c>
      <c r="L3433">
        <v>98.291666669999998</v>
      </c>
      <c r="M3433">
        <v>30.315130790000001</v>
      </c>
      <c r="N3433">
        <v>5.0803484000000003E-2</v>
      </c>
      <c r="O3433">
        <v>0.42866070000000001</v>
      </c>
      <c r="P3433">
        <v>83.757575759999995</v>
      </c>
      <c r="Q3433">
        <v>22.60997987</v>
      </c>
      <c r="R3433">
        <v>0.72884000000000004</v>
      </c>
      <c r="S3433">
        <v>0.21301339999999999</v>
      </c>
      <c r="T3433" t="s">
        <v>1018</v>
      </c>
      <c r="U3433">
        <v>-0.67803651600000003</v>
      </c>
    </row>
    <row r="3434" spans="1:21" x14ac:dyDescent="0.25">
      <c r="A3434" t="s">
        <v>79</v>
      </c>
      <c r="B3434" t="s">
        <v>981</v>
      </c>
      <c r="C3434">
        <v>6</v>
      </c>
      <c r="D3434" t="s">
        <v>11</v>
      </c>
      <c r="E3434" t="s">
        <v>95</v>
      </c>
      <c r="F3434" t="s">
        <v>103</v>
      </c>
      <c r="G3434" t="s">
        <v>113</v>
      </c>
      <c r="H3434" t="s">
        <v>113</v>
      </c>
      <c r="J3434">
        <v>0</v>
      </c>
      <c r="K3434">
        <v>7</v>
      </c>
      <c r="L3434">
        <v>98.291666669999998</v>
      </c>
      <c r="M3434">
        <v>30.315130790000001</v>
      </c>
      <c r="N3434">
        <v>5.0803484000000003E-2</v>
      </c>
      <c r="O3434">
        <v>0.42866070000000001</v>
      </c>
      <c r="P3434">
        <v>83.757575759999995</v>
      </c>
      <c r="Q3434">
        <v>22.60997987</v>
      </c>
      <c r="R3434">
        <v>0.72884000000000004</v>
      </c>
      <c r="S3434">
        <v>0.21301339999999999</v>
      </c>
      <c r="T3434" t="s">
        <v>1018</v>
      </c>
      <c r="U3434">
        <v>-0.67803651600000003</v>
      </c>
    </row>
    <row r="3435" spans="1:21" x14ac:dyDescent="0.25">
      <c r="A3435" t="s">
        <v>79</v>
      </c>
      <c r="B3435" t="s">
        <v>981</v>
      </c>
      <c r="C3435">
        <v>6</v>
      </c>
      <c r="D3435" t="s">
        <v>11</v>
      </c>
      <c r="E3435" t="s">
        <v>95</v>
      </c>
      <c r="F3435" t="s">
        <v>103</v>
      </c>
      <c r="G3435" t="s">
        <v>113</v>
      </c>
      <c r="H3435" t="s">
        <v>113</v>
      </c>
      <c r="J3435">
        <v>0</v>
      </c>
      <c r="K3435">
        <v>7</v>
      </c>
      <c r="L3435">
        <v>98.291666669999998</v>
      </c>
      <c r="M3435">
        <v>30.315130790000001</v>
      </c>
      <c r="N3435">
        <v>5.0803484000000003E-2</v>
      </c>
      <c r="O3435">
        <v>0.42866070000000001</v>
      </c>
      <c r="P3435">
        <v>83.757575759999995</v>
      </c>
      <c r="Q3435">
        <v>22.60997987</v>
      </c>
      <c r="R3435">
        <v>0.72884000000000004</v>
      </c>
      <c r="S3435">
        <v>0.21301339999999999</v>
      </c>
      <c r="T3435" t="s">
        <v>1018</v>
      </c>
      <c r="U3435">
        <v>-0.67803651600000003</v>
      </c>
    </row>
    <row r="3436" spans="1:21" x14ac:dyDescent="0.25">
      <c r="A3436" t="s">
        <v>79</v>
      </c>
      <c r="B3436" t="s">
        <v>981</v>
      </c>
      <c r="C3436">
        <v>6</v>
      </c>
      <c r="D3436" t="s">
        <v>11</v>
      </c>
      <c r="E3436" t="s">
        <v>95</v>
      </c>
      <c r="F3436" t="s">
        <v>103</v>
      </c>
      <c r="G3436" t="s">
        <v>113</v>
      </c>
      <c r="H3436" t="s">
        <v>103</v>
      </c>
      <c r="J3436">
        <v>0</v>
      </c>
      <c r="K3436">
        <v>4</v>
      </c>
      <c r="L3436">
        <v>98.291666669999998</v>
      </c>
      <c r="M3436">
        <v>30.315130790000001</v>
      </c>
      <c r="N3436">
        <v>5.0803484000000003E-2</v>
      </c>
      <c r="O3436">
        <v>0.42866070000000001</v>
      </c>
      <c r="P3436">
        <v>98.291666669999998</v>
      </c>
      <c r="Q3436">
        <v>30.315130790000001</v>
      </c>
      <c r="R3436">
        <v>5.0803484000000003E-2</v>
      </c>
      <c r="S3436">
        <v>0.42866070000000001</v>
      </c>
      <c r="T3436" t="s">
        <v>1018</v>
      </c>
      <c r="U3436">
        <v>0</v>
      </c>
    </row>
    <row r="3437" spans="1:21" x14ac:dyDescent="0.25">
      <c r="A3437" t="s">
        <v>79</v>
      </c>
      <c r="B3437" t="s">
        <v>981</v>
      </c>
      <c r="C3437">
        <v>6</v>
      </c>
      <c r="D3437" t="s">
        <v>11</v>
      </c>
      <c r="E3437" t="s">
        <v>95</v>
      </c>
      <c r="F3437" t="s">
        <v>103</v>
      </c>
      <c r="G3437" t="s">
        <v>113</v>
      </c>
      <c r="H3437" t="s">
        <v>103</v>
      </c>
      <c r="J3437">
        <v>0</v>
      </c>
      <c r="K3437">
        <v>4</v>
      </c>
      <c r="L3437">
        <v>98.291666669999998</v>
      </c>
      <c r="M3437">
        <v>30.315130790000001</v>
      </c>
      <c r="N3437">
        <v>5.0803484000000003E-2</v>
      </c>
      <c r="O3437">
        <v>0.42866070000000001</v>
      </c>
      <c r="P3437">
        <v>98.291666669999998</v>
      </c>
      <c r="Q3437">
        <v>30.315130790000001</v>
      </c>
      <c r="R3437">
        <v>5.0803484000000003E-2</v>
      </c>
      <c r="S3437">
        <v>0.42866070000000001</v>
      </c>
      <c r="T3437" t="s">
        <v>1018</v>
      </c>
      <c r="U3437">
        <v>0</v>
      </c>
    </row>
    <row r="3438" spans="1:21" x14ac:dyDescent="0.25">
      <c r="A3438" t="s">
        <v>79</v>
      </c>
      <c r="B3438" t="s">
        <v>981</v>
      </c>
      <c r="C3438">
        <v>6</v>
      </c>
      <c r="D3438" t="s">
        <v>11</v>
      </c>
      <c r="E3438" t="s">
        <v>95</v>
      </c>
      <c r="F3438" t="s">
        <v>103</v>
      </c>
      <c r="G3438" t="s">
        <v>113</v>
      </c>
      <c r="H3438" t="s">
        <v>103</v>
      </c>
      <c r="J3438">
        <v>0</v>
      </c>
      <c r="K3438">
        <v>4</v>
      </c>
      <c r="L3438">
        <v>98.291666669999998</v>
      </c>
      <c r="M3438">
        <v>30.315130790000001</v>
      </c>
      <c r="N3438">
        <v>5.0803484000000003E-2</v>
      </c>
      <c r="O3438">
        <v>0.42866070000000001</v>
      </c>
      <c r="P3438">
        <v>98.291666669999998</v>
      </c>
      <c r="Q3438">
        <v>30.315130790000001</v>
      </c>
      <c r="R3438">
        <v>5.0803484000000003E-2</v>
      </c>
      <c r="S3438">
        <v>0.42866070000000001</v>
      </c>
      <c r="T3438" t="s">
        <v>1018</v>
      </c>
      <c r="U3438">
        <v>0</v>
      </c>
    </row>
    <row r="3439" spans="1:21" x14ac:dyDescent="0.25">
      <c r="A3439" t="s">
        <v>79</v>
      </c>
      <c r="B3439" t="s">
        <v>981</v>
      </c>
      <c r="C3439">
        <v>6</v>
      </c>
      <c r="D3439" t="s">
        <v>11</v>
      </c>
      <c r="E3439" t="s">
        <v>95</v>
      </c>
      <c r="F3439" t="s">
        <v>103</v>
      </c>
      <c r="G3439" t="s">
        <v>113</v>
      </c>
      <c r="H3439" t="s">
        <v>103</v>
      </c>
      <c r="J3439">
        <v>0</v>
      </c>
      <c r="K3439">
        <v>4</v>
      </c>
      <c r="L3439">
        <v>98.291666669999998</v>
      </c>
      <c r="M3439">
        <v>30.315130790000001</v>
      </c>
      <c r="N3439">
        <v>5.0803484000000003E-2</v>
      </c>
      <c r="O3439">
        <v>0.42866070000000001</v>
      </c>
      <c r="P3439">
        <v>98.291666669999998</v>
      </c>
      <c r="Q3439">
        <v>30.315130790000001</v>
      </c>
      <c r="R3439">
        <v>5.0803484000000003E-2</v>
      </c>
      <c r="S3439">
        <v>0.42866070000000001</v>
      </c>
      <c r="T3439" t="s">
        <v>1018</v>
      </c>
      <c r="U3439">
        <v>0</v>
      </c>
    </row>
    <row r="3440" spans="1:21" x14ac:dyDescent="0.25">
      <c r="A3440" t="s">
        <v>79</v>
      </c>
      <c r="B3440" t="s">
        <v>982</v>
      </c>
      <c r="C3440">
        <v>6</v>
      </c>
      <c r="D3440" t="s">
        <v>11</v>
      </c>
      <c r="E3440" t="s">
        <v>95</v>
      </c>
      <c r="F3440" t="s">
        <v>111</v>
      </c>
      <c r="G3440" t="s">
        <v>113</v>
      </c>
      <c r="H3440" t="s">
        <v>234</v>
      </c>
      <c r="J3440">
        <v>0</v>
      </c>
      <c r="K3440">
        <v>1</v>
      </c>
      <c r="L3440">
        <v>94.97142857</v>
      </c>
      <c r="M3440">
        <v>24.31591813</v>
      </c>
      <c r="N3440">
        <v>0.122951111</v>
      </c>
      <c r="O3440">
        <v>0.39050790000000002</v>
      </c>
      <c r="P3440">
        <v>89.8125</v>
      </c>
      <c r="Q3440">
        <v>34.754706650000003</v>
      </c>
      <c r="R3440">
        <v>2.3065078999999999E-2</v>
      </c>
      <c r="S3440">
        <v>2.4791666700000001</v>
      </c>
      <c r="T3440" t="s">
        <v>1018</v>
      </c>
      <c r="U3440">
        <v>9.9886032E-2</v>
      </c>
    </row>
    <row r="3441" spans="1:21" x14ac:dyDescent="0.25">
      <c r="A3441" t="s">
        <v>79</v>
      </c>
      <c r="B3441" t="s">
        <v>982</v>
      </c>
      <c r="C3441">
        <v>6</v>
      </c>
      <c r="D3441" t="s">
        <v>11</v>
      </c>
      <c r="E3441" t="s">
        <v>95</v>
      </c>
      <c r="F3441" t="s">
        <v>111</v>
      </c>
      <c r="G3441" t="s">
        <v>113</v>
      </c>
      <c r="H3441" t="s">
        <v>113</v>
      </c>
      <c r="J3441">
        <v>0</v>
      </c>
      <c r="K3441">
        <v>5</v>
      </c>
      <c r="L3441">
        <v>94.97142857</v>
      </c>
      <c r="M3441">
        <v>24.31591813</v>
      </c>
      <c r="N3441">
        <v>0.122951111</v>
      </c>
      <c r="O3441">
        <v>0.39050790000000002</v>
      </c>
      <c r="P3441">
        <v>83.757575759999995</v>
      </c>
      <c r="Q3441">
        <v>22.60997987</v>
      </c>
      <c r="R3441">
        <v>0.72884000000000004</v>
      </c>
      <c r="S3441">
        <v>0.21301339999999999</v>
      </c>
      <c r="T3441" t="s">
        <v>1018</v>
      </c>
      <c r="U3441">
        <v>-0.60588888900000004</v>
      </c>
    </row>
    <row r="3442" spans="1:21" x14ac:dyDescent="0.25">
      <c r="A3442" t="s">
        <v>79</v>
      </c>
      <c r="B3442" t="s">
        <v>982</v>
      </c>
      <c r="C3442">
        <v>6</v>
      </c>
      <c r="D3442" t="s">
        <v>11</v>
      </c>
      <c r="E3442" t="s">
        <v>95</v>
      </c>
      <c r="F3442" t="s">
        <v>111</v>
      </c>
      <c r="G3442" t="s">
        <v>113</v>
      </c>
      <c r="H3442" t="s">
        <v>113</v>
      </c>
      <c r="J3442">
        <v>0</v>
      </c>
      <c r="K3442">
        <v>5</v>
      </c>
      <c r="L3442">
        <v>94.97142857</v>
      </c>
      <c r="M3442">
        <v>24.31591813</v>
      </c>
      <c r="N3442">
        <v>0.122951111</v>
      </c>
      <c r="O3442">
        <v>0.39050790000000002</v>
      </c>
      <c r="P3442">
        <v>83.757575759999995</v>
      </c>
      <c r="Q3442">
        <v>22.60997987</v>
      </c>
      <c r="R3442">
        <v>0.72884000000000004</v>
      </c>
      <c r="S3442">
        <v>0.21301339999999999</v>
      </c>
      <c r="T3442" t="s">
        <v>1018</v>
      </c>
      <c r="U3442">
        <v>-0.60588888900000004</v>
      </c>
    </row>
    <row r="3443" spans="1:21" x14ac:dyDescent="0.25">
      <c r="A3443" t="s">
        <v>79</v>
      </c>
      <c r="B3443" t="s">
        <v>982</v>
      </c>
      <c r="C3443">
        <v>6</v>
      </c>
      <c r="D3443" t="s">
        <v>11</v>
      </c>
      <c r="E3443" t="s">
        <v>95</v>
      </c>
      <c r="F3443" t="s">
        <v>111</v>
      </c>
      <c r="G3443" t="s">
        <v>113</v>
      </c>
      <c r="H3443" t="s">
        <v>113</v>
      </c>
      <c r="J3443">
        <v>0</v>
      </c>
      <c r="K3443">
        <v>5</v>
      </c>
      <c r="L3443">
        <v>94.97142857</v>
      </c>
      <c r="M3443">
        <v>24.31591813</v>
      </c>
      <c r="N3443">
        <v>0.122951111</v>
      </c>
      <c r="O3443">
        <v>0.39050790000000002</v>
      </c>
      <c r="P3443">
        <v>83.757575759999995</v>
      </c>
      <c r="Q3443">
        <v>22.60997987</v>
      </c>
      <c r="R3443">
        <v>0.72884000000000004</v>
      </c>
      <c r="S3443">
        <v>0.21301339999999999</v>
      </c>
      <c r="T3443" t="s">
        <v>1018</v>
      </c>
      <c r="U3443">
        <v>-0.60588888900000004</v>
      </c>
    </row>
    <row r="3444" spans="1:21" x14ac:dyDescent="0.25">
      <c r="A3444" t="s">
        <v>79</v>
      </c>
      <c r="B3444" t="s">
        <v>982</v>
      </c>
      <c r="C3444">
        <v>6</v>
      </c>
      <c r="D3444" t="s">
        <v>11</v>
      </c>
      <c r="E3444" t="s">
        <v>95</v>
      </c>
      <c r="F3444" t="s">
        <v>111</v>
      </c>
      <c r="G3444" t="s">
        <v>113</v>
      </c>
      <c r="H3444" t="s">
        <v>113</v>
      </c>
      <c r="J3444">
        <v>0</v>
      </c>
      <c r="K3444">
        <v>5</v>
      </c>
      <c r="L3444">
        <v>94.97142857</v>
      </c>
      <c r="M3444">
        <v>24.31591813</v>
      </c>
      <c r="N3444">
        <v>0.122951111</v>
      </c>
      <c r="O3444">
        <v>0.39050790000000002</v>
      </c>
      <c r="P3444">
        <v>83.757575759999995</v>
      </c>
      <c r="Q3444">
        <v>22.60997987</v>
      </c>
      <c r="R3444">
        <v>0.72884000000000004</v>
      </c>
      <c r="S3444">
        <v>0.21301339999999999</v>
      </c>
      <c r="T3444" t="s">
        <v>1018</v>
      </c>
      <c r="U3444">
        <v>-0.60588888900000004</v>
      </c>
    </row>
    <row r="3445" spans="1:21" x14ac:dyDescent="0.25">
      <c r="A3445" t="s">
        <v>79</v>
      </c>
      <c r="B3445" t="s">
        <v>982</v>
      </c>
      <c r="C3445">
        <v>6</v>
      </c>
      <c r="D3445" t="s">
        <v>11</v>
      </c>
      <c r="E3445" t="s">
        <v>95</v>
      </c>
      <c r="F3445" t="s">
        <v>111</v>
      </c>
      <c r="G3445" t="s">
        <v>113</v>
      </c>
      <c r="H3445" t="s">
        <v>113</v>
      </c>
      <c r="J3445">
        <v>0</v>
      </c>
      <c r="K3445">
        <v>5</v>
      </c>
      <c r="L3445">
        <v>94.97142857</v>
      </c>
      <c r="M3445">
        <v>24.31591813</v>
      </c>
      <c r="N3445">
        <v>0.122951111</v>
      </c>
      <c r="O3445">
        <v>0.39050790000000002</v>
      </c>
      <c r="P3445">
        <v>83.757575759999995</v>
      </c>
      <c r="Q3445">
        <v>22.60997987</v>
      </c>
      <c r="R3445">
        <v>0.72884000000000004</v>
      </c>
      <c r="S3445">
        <v>0.21301339999999999</v>
      </c>
      <c r="T3445" t="s">
        <v>1018</v>
      </c>
      <c r="U3445">
        <v>-0.60588888900000004</v>
      </c>
    </row>
    <row r="3446" spans="1:21" x14ac:dyDescent="0.25">
      <c r="A3446" t="s">
        <v>79</v>
      </c>
      <c r="B3446" t="s">
        <v>982</v>
      </c>
      <c r="C3446">
        <v>6</v>
      </c>
      <c r="D3446" t="s">
        <v>11</v>
      </c>
      <c r="E3446" t="s">
        <v>95</v>
      </c>
      <c r="F3446" t="s">
        <v>111</v>
      </c>
      <c r="G3446" t="s">
        <v>113</v>
      </c>
      <c r="H3446" t="s">
        <v>103</v>
      </c>
      <c r="J3446">
        <v>0</v>
      </c>
      <c r="K3446">
        <v>1</v>
      </c>
      <c r="L3446">
        <v>94.97142857</v>
      </c>
      <c r="M3446">
        <v>24.31591813</v>
      </c>
      <c r="N3446">
        <v>0.122951111</v>
      </c>
      <c r="O3446">
        <v>0.39050790000000002</v>
      </c>
      <c r="P3446">
        <v>98.291666669999998</v>
      </c>
      <c r="Q3446">
        <v>30.315130790000001</v>
      </c>
      <c r="R3446">
        <v>5.0803484000000003E-2</v>
      </c>
      <c r="S3446">
        <v>0.42866070000000001</v>
      </c>
      <c r="T3446" t="s">
        <v>1018</v>
      </c>
      <c r="U3446">
        <v>7.2147627000000006E-2</v>
      </c>
    </row>
    <row r="3447" spans="1:21" x14ac:dyDescent="0.25">
      <c r="A3447" t="s">
        <v>80</v>
      </c>
      <c r="B3447" t="s">
        <v>983</v>
      </c>
      <c r="C3447">
        <v>6</v>
      </c>
      <c r="D3447" t="s">
        <v>15</v>
      </c>
      <c r="E3447" t="s">
        <v>95</v>
      </c>
      <c r="F3447" t="s">
        <v>105</v>
      </c>
      <c r="G3447" t="s">
        <v>121</v>
      </c>
      <c r="H3447" t="s">
        <v>113</v>
      </c>
      <c r="J3447">
        <v>0</v>
      </c>
      <c r="K3447">
        <v>1</v>
      </c>
      <c r="L3447">
        <v>67.5</v>
      </c>
      <c r="M3447">
        <v>47.937235809999997</v>
      </c>
      <c r="N3447">
        <v>0.41599678000000001</v>
      </c>
      <c r="O3447">
        <v>2.0950346999999998</v>
      </c>
      <c r="P3447">
        <v>83.757575759999995</v>
      </c>
      <c r="Q3447">
        <v>22.60997987</v>
      </c>
      <c r="R3447">
        <v>0.72884000000000004</v>
      </c>
      <c r="S3447">
        <v>0.21301339999999999</v>
      </c>
      <c r="T3447" t="s">
        <v>1018</v>
      </c>
      <c r="U3447">
        <v>-0.31284321999999998</v>
      </c>
    </row>
    <row r="3448" spans="1:21" x14ac:dyDescent="0.25">
      <c r="A3448" t="s">
        <v>80</v>
      </c>
      <c r="B3448" t="s">
        <v>983</v>
      </c>
      <c r="C3448">
        <v>6</v>
      </c>
      <c r="D3448" t="s">
        <v>15</v>
      </c>
      <c r="E3448" t="s">
        <v>95</v>
      </c>
      <c r="F3448" t="s">
        <v>105</v>
      </c>
      <c r="G3448" t="s">
        <v>121</v>
      </c>
      <c r="H3448" t="s">
        <v>103</v>
      </c>
      <c r="J3448">
        <v>0</v>
      </c>
      <c r="K3448">
        <v>9</v>
      </c>
      <c r="L3448">
        <v>67.5</v>
      </c>
      <c r="M3448">
        <v>47.937235809999997</v>
      </c>
      <c r="N3448">
        <v>0.41599678000000001</v>
      </c>
      <c r="O3448">
        <v>2.0950346999999998</v>
      </c>
      <c r="P3448">
        <v>98.291666669999998</v>
      </c>
      <c r="Q3448">
        <v>30.315130790000001</v>
      </c>
      <c r="R3448">
        <v>5.0803484000000003E-2</v>
      </c>
      <c r="S3448">
        <v>0.42866070000000001</v>
      </c>
      <c r="T3448" t="s">
        <v>1018</v>
      </c>
      <c r="U3448">
        <v>0.365193296</v>
      </c>
    </row>
    <row r="3449" spans="1:21" x14ac:dyDescent="0.25">
      <c r="A3449" t="s">
        <v>80</v>
      </c>
      <c r="B3449" t="s">
        <v>983</v>
      </c>
      <c r="C3449">
        <v>6</v>
      </c>
      <c r="D3449" t="s">
        <v>15</v>
      </c>
      <c r="E3449" t="s">
        <v>95</v>
      </c>
      <c r="F3449" t="s">
        <v>105</v>
      </c>
      <c r="G3449" t="s">
        <v>121</v>
      </c>
      <c r="H3449" t="s">
        <v>103</v>
      </c>
      <c r="J3449">
        <v>0</v>
      </c>
      <c r="K3449">
        <v>9</v>
      </c>
      <c r="L3449">
        <v>67.5</v>
      </c>
      <c r="M3449">
        <v>47.937235809999997</v>
      </c>
      <c r="N3449">
        <v>0.41599678000000001</v>
      </c>
      <c r="O3449">
        <v>2.0950346999999998</v>
      </c>
      <c r="P3449">
        <v>98.291666669999998</v>
      </c>
      <c r="Q3449">
        <v>30.315130790000001</v>
      </c>
      <c r="R3449">
        <v>5.0803484000000003E-2</v>
      </c>
      <c r="S3449">
        <v>0.42866070000000001</v>
      </c>
      <c r="T3449" t="s">
        <v>1018</v>
      </c>
      <c r="U3449">
        <v>0.365193296</v>
      </c>
    </row>
    <row r="3450" spans="1:21" x14ac:dyDescent="0.25">
      <c r="A3450" t="s">
        <v>80</v>
      </c>
      <c r="B3450" t="s">
        <v>983</v>
      </c>
      <c r="C3450">
        <v>6</v>
      </c>
      <c r="D3450" t="s">
        <v>15</v>
      </c>
      <c r="E3450" t="s">
        <v>95</v>
      </c>
      <c r="F3450" t="s">
        <v>105</v>
      </c>
      <c r="G3450" t="s">
        <v>121</v>
      </c>
      <c r="H3450" t="s">
        <v>103</v>
      </c>
      <c r="J3450">
        <v>0</v>
      </c>
      <c r="K3450">
        <v>9</v>
      </c>
      <c r="L3450">
        <v>67.5</v>
      </c>
      <c r="M3450">
        <v>47.937235809999997</v>
      </c>
      <c r="N3450">
        <v>0.41599678000000001</v>
      </c>
      <c r="O3450">
        <v>2.0950346999999998</v>
      </c>
      <c r="P3450">
        <v>98.291666669999998</v>
      </c>
      <c r="Q3450">
        <v>30.315130790000001</v>
      </c>
      <c r="R3450">
        <v>5.0803484000000003E-2</v>
      </c>
      <c r="S3450">
        <v>0.42866070000000001</v>
      </c>
      <c r="T3450" t="s">
        <v>1018</v>
      </c>
      <c r="U3450">
        <v>0.365193296</v>
      </c>
    </row>
    <row r="3451" spans="1:21" x14ac:dyDescent="0.25">
      <c r="A3451" t="s">
        <v>80</v>
      </c>
      <c r="B3451" t="s">
        <v>983</v>
      </c>
      <c r="C3451">
        <v>6</v>
      </c>
      <c r="D3451" t="s">
        <v>15</v>
      </c>
      <c r="E3451" t="s">
        <v>95</v>
      </c>
      <c r="F3451" t="s">
        <v>105</v>
      </c>
      <c r="G3451" t="s">
        <v>121</v>
      </c>
      <c r="H3451" t="s">
        <v>103</v>
      </c>
      <c r="J3451">
        <v>0</v>
      </c>
      <c r="K3451">
        <v>9</v>
      </c>
      <c r="L3451">
        <v>67.5</v>
      </c>
      <c r="M3451">
        <v>47.937235809999997</v>
      </c>
      <c r="N3451">
        <v>0.41599678000000001</v>
      </c>
      <c r="O3451">
        <v>2.0950346999999998</v>
      </c>
      <c r="P3451">
        <v>98.291666669999998</v>
      </c>
      <c r="Q3451">
        <v>30.315130790000001</v>
      </c>
      <c r="R3451">
        <v>5.0803484000000003E-2</v>
      </c>
      <c r="S3451">
        <v>0.42866070000000001</v>
      </c>
      <c r="T3451" t="s">
        <v>1018</v>
      </c>
      <c r="U3451">
        <v>0.365193296</v>
      </c>
    </row>
    <row r="3452" spans="1:21" x14ac:dyDescent="0.25">
      <c r="A3452" t="s">
        <v>80</v>
      </c>
      <c r="B3452" t="s">
        <v>983</v>
      </c>
      <c r="C3452">
        <v>6</v>
      </c>
      <c r="D3452" t="s">
        <v>15</v>
      </c>
      <c r="E3452" t="s">
        <v>95</v>
      </c>
      <c r="F3452" t="s">
        <v>105</v>
      </c>
      <c r="G3452" t="s">
        <v>121</v>
      </c>
      <c r="H3452" t="s">
        <v>103</v>
      </c>
      <c r="J3452">
        <v>0</v>
      </c>
      <c r="K3452">
        <v>9</v>
      </c>
      <c r="L3452">
        <v>67.5</v>
      </c>
      <c r="M3452">
        <v>47.937235809999997</v>
      </c>
      <c r="N3452">
        <v>0.41599678000000001</v>
      </c>
      <c r="O3452">
        <v>2.0950346999999998</v>
      </c>
      <c r="P3452">
        <v>98.291666669999998</v>
      </c>
      <c r="Q3452">
        <v>30.315130790000001</v>
      </c>
      <c r="R3452">
        <v>5.0803484000000003E-2</v>
      </c>
      <c r="S3452">
        <v>0.42866070000000001</v>
      </c>
      <c r="T3452" t="s">
        <v>1018</v>
      </c>
      <c r="U3452">
        <v>0.365193296</v>
      </c>
    </row>
    <row r="3453" spans="1:21" x14ac:dyDescent="0.25">
      <c r="A3453" t="s">
        <v>80</v>
      </c>
      <c r="B3453" t="s">
        <v>983</v>
      </c>
      <c r="C3453">
        <v>6</v>
      </c>
      <c r="D3453" t="s">
        <v>15</v>
      </c>
      <c r="E3453" t="s">
        <v>95</v>
      </c>
      <c r="F3453" t="s">
        <v>105</v>
      </c>
      <c r="G3453" t="s">
        <v>121</v>
      </c>
      <c r="H3453" t="s">
        <v>103</v>
      </c>
      <c r="J3453">
        <v>0</v>
      </c>
      <c r="K3453">
        <v>9</v>
      </c>
      <c r="L3453">
        <v>67.5</v>
      </c>
      <c r="M3453">
        <v>47.937235809999997</v>
      </c>
      <c r="N3453">
        <v>0.41599678000000001</v>
      </c>
      <c r="O3453">
        <v>2.0950346999999998</v>
      </c>
      <c r="P3453">
        <v>98.291666669999998</v>
      </c>
      <c r="Q3453">
        <v>30.315130790000001</v>
      </c>
      <c r="R3453">
        <v>5.0803484000000003E-2</v>
      </c>
      <c r="S3453">
        <v>0.42866070000000001</v>
      </c>
      <c r="T3453" t="s">
        <v>1018</v>
      </c>
      <c r="U3453">
        <v>0.365193296</v>
      </c>
    </row>
    <row r="3454" spans="1:21" x14ac:dyDescent="0.25">
      <c r="A3454" t="s">
        <v>80</v>
      </c>
      <c r="B3454" t="s">
        <v>983</v>
      </c>
      <c r="C3454">
        <v>6</v>
      </c>
      <c r="D3454" t="s">
        <v>15</v>
      </c>
      <c r="E3454" t="s">
        <v>95</v>
      </c>
      <c r="F3454" t="s">
        <v>105</v>
      </c>
      <c r="G3454" t="s">
        <v>121</v>
      </c>
      <c r="H3454" t="s">
        <v>103</v>
      </c>
      <c r="J3454">
        <v>0</v>
      </c>
      <c r="K3454">
        <v>9</v>
      </c>
      <c r="L3454">
        <v>67.5</v>
      </c>
      <c r="M3454">
        <v>47.937235809999997</v>
      </c>
      <c r="N3454">
        <v>0.41599678000000001</v>
      </c>
      <c r="O3454">
        <v>2.0950346999999998</v>
      </c>
      <c r="P3454">
        <v>98.291666669999998</v>
      </c>
      <c r="Q3454">
        <v>30.315130790000001</v>
      </c>
      <c r="R3454">
        <v>5.0803484000000003E-2</v>
      </c>
      <c r="S3454">
        <v>0.42866070000000001</v>
      </c>
      <c r="T3454" t="s">
        <v>1018</v>
      </c>
      <c r="U3454">
        <v>0.365193296</v>
      </c>
    </row>
    <row r="3455" spans="1:21" x14ac:dyDescent="0.25">
      <c r="A3455" t="s">
        <v>80</v>
      </c>
      <c r="B3455" t="s">
        <v>983</v>
      </c>
      <c r="C3455">
        <v>6</v>
      </c>
      <c r="D3455" t="s">
        <v>15</v>
      </c>
      <c r="E3455" t="s">
        <v>95</v>
      </c>
      <c r="F3455" t="s">
        <v>105</v>
      </c>
      <c r="G3455" t="s">
        <v>121</v>
      </c>
      <c r="H3455" t="s">
        <v>103</v>
      </c>
      <c r="J3455">
        <v>0</v>
      </c>
      <c r="K3455">
        <v>9</v>
      </c>
      <c r="L3455">
        <v>67.5</v>
      </c>
      <c r="M3455">
        <v>47.937235809999997</v>
      </c>
      <c r="N3455">
        <v>0.41599678000000001</v>
      </c>
      <c r="O3455">
        <v>2.0950346999999998</v>
      </c>
      <c r="P3455">
        <v>98.291666669999998</v>
      </c>
      <c r="Q3455">
        <v>30.315130790000001</v>
      </c>
      <c r="R3455">
        <v>5.0803484000000003E-2</v>
      </c>
      <c r="S3455">
        <v>0.42866070000000001</v>
      </c>
      <c r="T3455" t="s">
        <v>1018</v>
      </c>
      <c r="U3455">
        <v>0.365193296</v>
      </c>
    </row>
    <row r="3456" spans="1:21" x14ac:dyDescent="0.25">
      <c r="A3456" t="s">
        <v>80</v>
      </c>
      <c r="B3456" t="s">
        <v>983</v>
      </c>
      <c r="C3456">
        <v>6</v>
      </c>
      <c r="D3456" t="s">
        <v>15</v>
      </c>
      <c r="E3456" t="s">
        <v>95</v>
      </c>
      <c r="F3456" t="s">
        <v>105</v>
      </c>
      <c r="G3456" t="s">
        <v>121</v>
      </c>
      <c r="H3456" t="s">
        <v>103</v>
      </c>
      <c r="J3456">
        <v>0</v>
      </c>
      <c r="K3456">
        <v>9</v>
      </c>
      <c r="L3456">
        <v>67.5</v>
      </c>
      <c r="M3456">
        <v>47.937235809999997</v>
      </c>
      <c r="N3456">
        <v>0.41599678000000001</v>
      </c>
      <c r="O3456">
        <v>2.0950346999999998</v>
      </c>
      <c r="P3456">
        <v>98.291666669999998</v>
      </c>
      <c r="Q3456">
        <v>30.315130790000001</v>
      </c>
      <c r="R3456">
        <v>5.0803484000000003E-2</v>
      </c>
      <c r="S3456">
        <v>0.42866070000000001</v>
      </c>
      <c r="T3456" t="s">
        <v>1018</v>
      </c>
      <c r="U3456">
        <v>0.365193296</v>
      </c>
    </row>
    <row r="3457" spans="1:21" x14ac:dyDescent="0.25">
      <c r="A3457" t="s">
        <v>80</v>
      </c>
      <c r="B3457" t="s">
        <v>984</v>
      </c>
      <c r="C3457">
        <v>6</v>
      </c>
      <c r="D3457" t="s">
        <v>15</v>
      </c>
      <c r="E3457" t="s">
        <v>95</v>
      </c>
      <c r="F3457" t="s">
        <v>113</v>
      </c>
      <c r="G3457" t="s">
        <v>113</v>
      </c>
      <c r="H3457" t="s">
        <v>113</v>
      </c>
      <c r="J3457">
        <v>0</v>
      </c>
      <c r="K3457">
        <v>6</v>
      </c>
      <c r="L3457">
        <v>83.757575759999995</v>
      </c>
      <c r="M3457">
        <v>22.60997987</v>
      </c>
      <c r="N3457">
        <v>0.72884000000000004</v>
      </c>
      <c r="O3457">
        <v>0.21301339999999999</v>
      </c>
      <c r="P3457">
        <v>83.757575759999995</v>
      </c>
      <c r="Q3457">
        <v>22.60997987</v>
      </c>
      <c r="R3457">
        <v>0.72884000000000004</v>
      </c>
      <c r="S3457">
        <v>0.21301339999999999</v>
      </c>
      <c r="T3457" t="s">
        <v>1018</v>
      </c>
      <c r="U3457">
        <v>0</v>
      </c>
    </row>
    <row r="3458" spans="1:21" x14ac:dyDescent="0.25">
      <c r="A3458" t="s">
        <v>80</v>
      </c>
      <c r="B3458" t="s">
        <v>984</v>
      </c>
      <c r="C3458">
        <v>6</v>
      </c>
      <c r="D3458" t="s">
        <v>15</v>
      </c>
      <c r="E3458" t="s">
        <v>95</v>
      </c>
      <c r="F3458" t="s">
        <v>113</v>
      </c>
      <c r="G3458" t="s">
        <v>113</v>
      </c>
      <c r="H3458" t="s">
        <v>113</v>
      </c>
      <c r="J3458">
        <v>0</v>
      </c>
      <c r="K3458">
        <v>6</v>
      </c>
      <c r="L3458">
        <v>83.757575759999995</v>
      </c>
      <c r="M3458">
        <v>22.60997987</v>
      </c>
      <c r="N3458">
        <v>0.72884000000000004</v>
      </c>
      <c r="O3458">
        <v>0.21301339999999999</v>
      </c>
      <c r="P3458">
        <v>83.757575759999995</v>
      </c>
      <c r="Q3458">
        <v>22.60997987</v>
      </c>
      <c r="R3458">
        <v>0.72884000000000004</v>
      </c>
      <c r="S3458">
        <v>0.21301339999999999</v>
      </c>
      <c r="T3458" t="s">
        <v>1018</v>
      </c>
      <c r="U3458">
        <v>0</v>
      </c>
    </row>
    <row r="3459" spans="1:21" x14ac:dyDescent="0.25">
      <c r="A3459" t="s">
        <v>80</v>
      </c>
      <c r="B3459" t="s">
        <v>984</v>
      </c>
      <c r="C3459">
        <v>6</v>
      </c>
      <c r="D3459" t="s">
        <v>15</v>
      </c>
      <c r="E3459" t="s">
        <v>95</v>
      </c>
      <c r="F3459" t="s">
        <v>113</v>
      </c>
      <c r="G3459" t="s">
        <v>113</v>
      </c>
      <c r="H3459" t="s">
        <v>113</v>
      </c>
      <c r="J3459">
        <v>0</v>
      </c>
      <c r="K3459">
        <v>6</v>
      </c>
      <c r="L3459">
        <v>83.757575759999995</v>
      </c>
      <c r="M3459">
        <v>22.60997987</v>
      </c>
      <c r="N3459">
        <v>0.72884000000000004</v>
      </c>
      <c r="O3459">
        <v>0.21301339999999999</v>
      </c>
      <c r="P3459">
        <v>83.757575759999995</v>
      </c>
      <c r="Q3459">
        <v>22.60997987</v>
      </c>
      <c r="R3459">
        <v>0.72884000000000004</v>
      </c>
      <c r="S3459">
        <v>0.21301339999999999</v>
      </c>
      <c r="T3459" t="s">
        <v>1018</v>
      </c>
      <c r="U3459">
        <v>0</v>
      </c>
    </row>
    <row r="3460" spans="1:21" x14ac:dyDescent="0.25">
      <c r="A3460" t="s">
        <v>80</v>
      </c>
      <c r="B3460" t="s">
        <v>984</v>
      </c>
      <c r="C3460">
        <v>6</v>
      </c>
      <c r="D3460" t="s">
        <v>15</v>
      </c>
      <c r="E3460" t="s">
        <v>95</v>
      </c>
      <c r="F3460" t="s">
        <v>113</v>
      </c>
      <c r="G3460" t="s">
        <v>113</v>
      </c>
      <c r="H3460" t="s">
        <v>113</v>
      </c>
      <c r="J3460">
        <v>0</v>
      </c>
      <c r="K3460">
        <v>6</v>
      </c>
      <c r="L3460">
        <v>83.757575759999995</v>
      </c>
      <c r="M3460">
        <v>22.60997987</v>
      </c>
      <c r="N3460">
        <v>0.72884000000000004</v>
      </c>
      <c r="O3460">
        <v>0.21301339999999999</v>
      </c>
      <c r="P3460">
        <v>83.757575759999995</v>
      </c>
      <c r="Q3460">
        <v>22.60997987</v>
      </c>
      <c r="R3460">
        <v>0.72884000000000004</v>
      </c>
      <c r="S3460">
        <v>0.21301339999999999</v>
      </c>
      <c r="T3460" t="s">
        <v>1018</v>
      </c>
      <c r="U3460">
        <v>0</v>
      </c>
    </row>
    <row r="3461" spans="1:21" x14ac:dyDescent="0.25">
      <c r="A3461" t="s">
        <v>80</v>
      </c>
      <c r="B3461" t="s">
        <v>984</v>
      </c>
      <c r="C3461">
        <v>6</v>
      </c>
      <c r="D3461" t="s">
        <v>15</v>
      </c>
      <c r="E3461" t="s">
        <v>95</v>
      </c>
      <c r="F3461" t="s">
        <v>113</v>
      </c>
      <c r="G3461" t="s">
        <v>113</v>
      </c>
      <c r="H3461" t="s">
        <v>113</v>
      </c>
      <c r="J3461">
        <v>0</v>
      </c>
      <c r="K3461">
        <v>6</v>
      </c>
      <c r="L3461">
        <v>83.757575759999995</v>
      </c>
      <c r="M3461">
        <v>22.60997987</v>
      </c>
      <c r="N3461">
        <v>0.72884000000000004</v>
      </c>
      <c r="O3461">
        <v>0.21301339999999999</v>
      </c>
      <c r="P3461">
        <v>83.757575759999995</v>
      </c>
      <c r="Q3461">
        <v>22.60997987</v>
      </c>
      <c r="R3461">
        <v>0.72884000000000004</v>
      </c>
      <c r="S3461">
        <v>0.21301339999999999</v>
      </c>
      <c r="T3461" t="s">
        <v>1018</v>
      </c>
      <c r="U3461">
        <v>0</v>
      </c>
    </row>
    <row r="3462" spans="1:21" x14ac:dyDescent="0.25">
      <c r="A3462" t="s">
        <v>80</v>
      </c>
      <c r="B3462" t="s">
        <v>984</v>
      </c>
      <c r="C3462">
        <v>6</v>
      </c>
      <c r="D3462" t="s">
        <v>15</v>
      </c>
      <c r="E3462" t="s">
        <v>95</v>
      </c>
      <c r="F3462" t="s">
        <v>113</v>
      </c>
      <c r="G3462" t="s">
        <v>113</v>
      </c>
      <c r="H3462" t="s">
        <v>113</v>
      </c>
      <c r="J3462">
        <v>0</v>
      </c>
      <c r="K3462">
        <v>6</v>
      </c>
      <c r="L3462">
        <v>83.757575759999995</v>
      </c>
      <c r="M3462">
        <v>22.60997987</v>
      </c>
      <c r="N3462">
        <v>0.72884000000000004</v>
      </c>
      <c r="O3462">
        <v>0.21301339999999999</v>
      </c>
      <c r="P3462">
        <v>83.757575759999995</v>
      </c>
      <c r="Q3462">
        <v>22.60997987</v>
      </c>
      <c r="R3462">
        <v>0.72884000000000004</v>
      </c>
      <c r="S3462">
        <v>0.21301339999999999</v>
      </c>
      <c r="T3462" t="s">
        <v>1018</v>
      </c>
      <c r="U3462">
        <v>0</v>
      </c>
    </row>
    <row r="3463" spans="1:21" x14ac:dyDescent="0.25">
      <c r="A3463" t="s">
        <v>80</v>
      </c>
      <c r="B3463" t="s">
        <v>985</v>
      </c>
      <c r="C3463">
        <v>6</v>
      </c>
      <c r="D3463" t="s">
        <v>15</v>
      </c>
      <c r="E3463" t="s">
        <v>95</v>
      </c>
      <c r="F3463" t="s">
        <v>103</v>
      </c>
      <c r="G3463" t="s">
        <v>113</v>
      </c>
      <c r="H3463" t="s">
        <v>113</v>
      </c>
      <c r="J3463">
        <v>0</v>
      </c>
      <c r="K3463">
        <v>1</v>
      </c>
      <c r="L3463">
        <v>98.291666669999998</v>
      </c>
      <c r="M3463">
        <v>30.315130790000001</v>
      </c>
      <c r="N3463">
        <v>5.0803484000000003E-2</v>
      </c>
      <c r="O3463">
        <v>0.42866070000000001</v>
      </c>
      <c r="P3463">
        <v>83.757575759999995</v>
      </c>
      <c r="Q3463">
        <v>22.60997987</v>
      </c>
      <c r="R3463">
        <v>0.72884000000000004</v>
      </c>
      <c r="S3463">
        <v>0.21301339999999999</v>
      </c>
      <c r="T3463" t="s">
        <v>1018</v>
      </c>
      <c r="U3463">
        <v>-0.67803651600000003</v>
      </c>
    </row>
    <row r="3464" spans="1:21" x14ac:dyDescent="0.25">
      <c r="A3464" t="s">
        <v>80</v>
      </c>
      <c r="B3464" t="s">
        <v>985</v>
      </c>
      <c r="C3464">
        <v>6</v>
      </c>
      <c r="D3464" t="s">
        <v>15</v>
      </c>
      <c r="E3464" t="s">
        <v>95</v>
      </c>
      <c r="F3464" t="s">
        <v>103</v>
      </c>
      <c r="G3464" t="s">
        <v>113</v>
      </c>
      <c r="H3464" t="s">
        <v>103</v>
      </c>
      <c r="J3464">
        <v>0</v>
      </c>
      <c r="K3464">
        <v>2</v>
      </c>
      <c r="L3464">
        <v>98.291666669999998</v>
      </c>
      <c r="M3464">
        <v>30.315130790000001</v>
      </c>
      <c r="N3464">
        <v>5.0803484000000003E-2</v>
      </c>
      <c r="O3464">
        <v>0.42866070000000001</v>
      </c>
      <c r="P3464">
        <v>98.291666669999998</v>
      </c>
      <c r="Q3464">
        <v>30.315130790000001</v>
      </c>
      <c r="R3464">
        <v>5.0803484000000003E-2</v>
      </c>
      <c r="S3464">
        <v>0.42866070000000001</v>
      </c>
      <c r="T3464" t="s">
        <v>1018</v>
      </c>
      <c r="U3464">
        <v>0</v>
      </c>
    </row>
    <row r="3465" spans="1:21" x14ac:dyDescent="0.25">
      <c r="A3465" t="s">
        <v>80</v>
      </c>
      <c r="B3465" t="s">
        <v>985</v>
      </c>
      <c r="C3465">
        <v>6</v>
      </c>
      <c r="D3465" t="s">
        <v>15</v>
      </c>
      <c r="E3465" t="s">
        <v>95</v>
      </c>
      <c r="F3465" t="s">
        <v>103</v>
      </c>
      <c r="G3465" t="s">
        <v>113</v>
      </c>
      <c r="H3465" t="s">
        <v>103</v>
      </c>
      <c r="J3465">
        <v>0</v>
      </c>
      <c r="K3465">
        <v>2</v>
      </c>
      <c r="L3465">
        <v>98.291666669999998</v>
      </c>
      <c r="M3465">
        <v>30.315130790000001</v>
      </c>
      <c r="N3465">
        <v>5.0803484000000003E-2</v>
      </c>
      <c r="O3465">
        <v>0.42866070000000001</v>
      </c>
      <c r="P3465">
        <v>98.291666669999998</v>
      </c>
      <c r="Q3465">
        <v>30.315130790000001</v>
      </c>
      <c r="R3465">
        <v>5.0803484000000003E-2</v>
      </c>
      <c r="S3465">
        <v>0.42866070000000001</v>
      </c>
      <c r="T3465" t="s">
        <v>1018</v>
      </c>
      <c r="U3465">
        <v>0</v>
      </c>
    </row>
    <row r="3466" spans="1:21" x14ac:dyDescent="0.25">
      <c r="A3466" t="s">
        <v>81</v>
      </c>
      <c r="B3466" t="s">
        <v>986</v>
      </c>
      <c r="C3466">
        <v>6</v>
      </c>
      <c r="D3466" t="s">
        <v>17</v>
      </c>
      <c r="E3466" t="s">
        <v>94</v>
      </c>
      <c r="F3466" t="s">
        <v>105</v>
      </c>
      <c r="G3466" t="s">
        <v>113</v>
      </c>
      <c r="H3466" t="s">
        <v>113</v>
      </c>
      <c r="J3466">
        <v>0</v>
      </c>
      <c r="K3466">
        <v>6</v>
      </c>
      <c r="L3466">
        <v>67.5</v>
      </c>
      <c r="M3466">
        <v>47.937235809999997</v>
      </c>
      <c r="N3466">
        <v>0.41599678000000001</v>
      </c>
      <c r="O3466">
        <v>2.0950346999999998</v>
      </c>
      <c r="P3466">
        <v>83.757575759999995</v>
      </c>
      <c r="Q3466">
        <v>22.60997987</v>
      </c>
      <c r="R3466">
        <v>0.72884000000000004</v>
      </c>
      <c r="S3466">
        <v>0.21301339999999999</v>
      </c>
      <c r="T3466" t="s">
        <v>1018</v>
      </c>
      <c r="U3466">
        <v>-0.31284321999999998</v>
      </c>
    </row>
    <row r="3467" spans="1:21" x14ac:dyDescent="0.25">
      <c r="A3467" t="s">
        <v>81</v>
      </c>
      <c r="B3467" t="s">
        <v>986</v>
      </c>
      <c r="C3467">
        <v>6</v>
      </c>
      <c r="D3467" t="s">
        <v>17</v>
      </c>
      <c r="E3467" t="s">
        <v>94</v>
      </c>
      <c r="F3467" t="s">
        <v>105</v>
      </c>
      <c r="G3467" t="s">
        <v>113</v>
      </c>
      <c r="H3467" t="s">
        <v>113</v>
      </c>
      <c r="J3467">
        <v>0</v>
      </c>
      <c r="K3467">
        <v>6</v>
      </c>
      <c r="L3467">
        <v>67.5</v>
      </c>
      <c r="M3467">
        <v>47.937235809999997</v>
      </c>
      <c r="N3467">
        <v>0.41599678000000001</v>
      </c>
      <c r="O3467">
        <v>2.0950346999999998</v>
      </c>
      <c r="P3467">
        <v>83.757575759999995</v>
      </c>
      <c r="Q3467">
        <v>22.60997987</v>
      </c>
      <c r="R3467">
        <v>0.72884000000000004</v>
      </c>
      <c r="S3467">
        <v>0.21301339999999999</v>
      </c>
      <c r="T3467" t="s">
        <v>1018</v>
      </c>
      <c r="U3467">
        <v>-0.31284321999999998</v>
      </c>
    </row>
    <row r="3468" spans="1:21" x14ac:dyDescent="0.25">
      <c r="A3468" t="s">
        <v>81</v>
      </c>
      <c r="B3468" t="s">
        <v>986</v>
      </c>
      <c r="C3468">
        <v>6</v>
      </c>
      <c r="D3468" t="s">
        <v>17</v>
      </c>
      <c r="E3468" t="s">
        <v>94</v>
      </c>
      <c r="F3468" t="s">
        <v>105</v>
      </c>
      <c r="G3468" t="s">
        <v>113</v>
      </c>
      <c r="H3468" t="s">
        <v>113</v>
      </c>
      <c r="J3468">
        <v>0</v>
      </c>
      <c r="K3468">
        <v>6</v>
      </c>
      <c r="L3468">
        <v>67.5</v>
      </c>
      <c r="M3468">
        <v>47.937235809999997</v>
      </c>
      <c r="N3468">
        <v>0.41599678000000001</v>
      </c>
      <c r="O3468">
        <v>2.0950346999999998</v>
      </c>
      <c r="P3468">
        <v>83.757575759999995</v>
      </c>
      <c r="Q3468">
        <v>22.60997987</v>
      </c>
      <c r="R3468">
        <v>0.72884000000000004</v>
      </c>
      <c r="S3468">
        <v>0.21301339999999999</v>
      </c>
      <c r="T3468" t="s">
        <v>1018</v>
      </c>
      <c r="U3468">
        <v>-0.31284321999999998</v>
      </c>
    </row>
    <row r="3469" spans="1:21" x14ac:dyDescent="0.25">
      <c r="A3469" t="s">
        <v>81</v>
      </c>
      <c r="B3469" t="s">
        <v>986</v>
      </c>
      <c r="C3469">
        <v>6</v>
      </c>
      <c r="D3469" t="s">
        <v>17</v>
      </c>
      <c r="E3469" t="s">
        <v>94</v>
      </c>
      <c r="F3469" t="s">
        <v>105</v>
      </c>
      <c r="G3469" t="s">
        <v>113</v>
      </c>
      <c r="H3469" t="s">
        <v>113</v>
      </c>
      <c r="J3469">
        <v>0</v>
      </c>
      <c r="K3469">
        <v>6</v>
      </c>
      <c r="L3469">
        <v>67.5</v>
      </c>
      <c r="M3469">
        <v>47.937235809999997</v>
      </c>
      <c r="N3469">
        <v>0.41599678000000001</v>
      </c>
      <c r="O3469">
        <v>2.0950346999999998</v>
      </c>
      <c r="P3469">
        <v>83.757575759999995</v>
      </c>
      <c r="Q3469">
        <v>22.60997987</v>
      </c>
      <c r="R3469">
        <v>0.72884000000000004</v>
      </c>
      <c r="S3469">
        <v>0.21301339999999999</v>
      </c>
      <c r="T3469" t="s">
        <v>1018</v>
      </c>
      <c r="U3469">
        <v>-0.31284321999999998</v>
      </c>
    </row>
    <row r="3470" spans="1:21" x14ac:dyDescent="0.25">
      <c r="A3470" t="s">
        <v>81</v>
      </c>
      <c r="B3470" t="s">
        <v>986</v>
      </c>
      <c r="C3470">
        <v>6</v>
      </c>
      <c r="D3470" t="s">
        <v>17</v>
      </c>
      <c r="E3470" t="s">
        <v>94</v>
      </c>
      <c r="F3470" t="s">
        <v>105</v>
      </c>
      <c r="G3470" t="s">
        <v>113</v>
      </c>
      <c r="H3470" t="s">
        <v>113</v>
      </c>
      <c r="J3470">
        <v>0</v>
      </c>
      <c r="K3470">
        <v>6</v>
      </c>
      <c r="L3470">
        <v>67.5</v>
      </c>
      <c r="M3470">
        <v>47.937235809999997</v>
      </c>
      <c r="N3470">
        <v>0.41599678000000001</v>
      </c>
      <c r="O3470">
        <v>2.0950346999999998</v>
      </c>
      <c r="P3470">
        <v>83.757575759999995</v>
      </c>
      <c r="Q3470">
        <v>22.60997987</v>
      </c>
      <c r="R3470">
        <v>0.72884000000000004</v>
      </c>
      <c r="S3470">
        <v>0.21301339999999999</v>
      </c>
      <c r="T3470" t="s">
        <v>1018</v>
      </c>
      <c r="U3470">
        <v>-0.31284321999999998</v>
      </c>
    </row>
    <row r="3471" spans="1:21" x14ac:dyDescent="0.25">
      <c r="A3471" t="s">
        <v>81</v>
      </c>
      <c r="B3471" t="s">
        <v>986</v>
      </c>
      <c r="C3471">
        <v>6</v>
      </c>
      <c r="D3471" t="s">
        <v>17</v>
      </c>
      <c r="E3471" t="s">
        <v>94</v>
      </c>
      <c r="F3471" t="s">
        <v>105</v>
      </c>
      <c r="G3471" t="s">
        <v>113</v>
      </c>
      <c r="H3471" t="s">
        <v>113</v>
      </c>
      <c r="J3471">
        <v>0</v>
      </c>
      <c r="K3471">
        <v>6</v>
      </c>
      <c r="L3471">
        <v>67.5</v>
      </c>
      <c r="M3471">
        <v>47.937235809999997</v>
      </c>
      <c r="N3471">
        <v>0.41599678000000001</v>
      </c>
      <c r="O3471">
        <v>2.0950346999999998</v>
      </c>
      <c r="P3471">
        <v>83.757575759999995</v>
      </c>
      <c r="Q3471">
        <v>22.60997987</v>
      </c>
      <c r="R3471">
        <v>0.72884000000000004</v>
      </c>
      <c r="S3471">
        <v>0.21301339999999999</v>
      </c>
      <c r="T3471" t="s">
        <v>1018</v>
      </c>
      <c r="U3471">
        <v>-0.31284321999999998</v>
      </c>
    </row>
    <row r="3472" spans="1:21" x14ac:dyDescent="0.25">
      <c r="A3472" t="s">
        <v>81</v>
      </c>
      <c r="B3472" t="s">
        <v>987</v>
      </c>
      <c r="C3472">
        <v>6</v>
      </c>
      <c r="D3472" t="s">
        <v>17</v>
      </c>
      <c r="E3472" t="s">
        <v>94</v>
      </c>
      <c r="F3472" t="s">
        <v>113</v>
      </c>
      <c r="G3472" t="s">
        <v>113</v>
      </c>
      <c r="H3472" t="s">
        <v>113</v>
      </c>
      <c r="J3472">
        <v>0</v>
      </c>
      <c r="K3472">
        <v>6</v>
      </c>
      <c r="L3472">
        <v>83.757575759999995</v>
      </c>
      <c r="M3472">
        <v>22.60997987</v>
      </c>
      <c r="N3472">
        <v>0.72884000000000004</v>
      </c>
      <c r="O3472">
        <v>0.21301339999999999</v>
      </c>
      <c r="P3472">
        <v>83.757575759999995</v>
      </c>
      <c r="Q3472">
        <v>22.60997987</v>
      </c>
      <c r="R3472">
        <v>0.72884000000000004</v>
      </c>
      <c r="S3472">
        <v>0.21301339999999999</v>
      </c>
      <c r="T3472" t="s">
        <v>1018</v>
      </c>
      <c r="U3472">
        <v>0</v>
      </c>
    </row>
    <row r="3473" spans="1:21" x14ac:dyDescent="0.25">
      <c r="A3473" t="s">
        <v>81</v>
      </c>
      <c r="B3473" t="s">
        <v>987</v>
      </c>
      <c r="C3473">
        <v>6</v>
      </c>
      <c r="D3473" t="s">
        <v>17</v>
      </c>
      <c r="E3473" t="s">
        <v>94</v>
      </c>
      <c r="F3473" t="s">
        <v>113</v>
      </c>
      <c r="G3473" t="s">
        <v>113</v>
      </c>
      <c r="H3473" t="s">
        <v>113</v>
      </c>
      <c r="J3473">
        <v>0</v>
      </c>
      <c r="K3473">
        <v>6</v>
      </c>
      <c r="L3473">
        <v>83.757575759999995</v>
      </c>
      <c r="M3473">
        <v>22.60997987</v>
      </c>
      <c r="N3473">
        <v>0.72884000000000004</v>
      </c>
      <c r="O3473">
        <v>0.21301339999999999</v>
      </c>
      <c r="P3473">
        <v>83.757575759999995</v>
      </c>
      <c r="Q3473">
        <v>22.60997987</v>
      </c>
      <c r="R3473">
        <v>0.72884000000000004</v>
      </c>
      <c r="S3473">
        <v>0.21301339999999999</v>
      </c>
      <c r="T3473" t="s">
        <v>1018</v>
      </c>
      <c r="U3473">
        <v>0</v>
      </c>
    </row>
    <row r="3474" spans="1:21" x14ac:dyDescent="0.25">
      <c r="A3474" t="s">
        <v>81</v>
      </c>
      <c r="B3474" t="s">
        <v>987</v>
      </c>
      <c r="C3474">
        <v>6</v>
      </c>
      <c r="D3474" t="s">
        <v>17</v>
      </c>
      <c r="E3474" t="s">
        <v>94</v>
      </c>
      <c r="F3474" t="s">
        <v>113</v>
      </c>
      <c r="G3474" t="s">
        <v>113</v>
      </c>
      <c r="H3474" t="s">
        <v>113</v>
      </c>
      <c r="J3474">
        <v>0</v>
      </c>
      <c r="K3474">
        <v>6</v>
      </c>
      <c r="L3474">
        <v>83.757575759999995</v>
      </c>
      <c r="M3474">
        <v>22.60997987</v>
      </c>
      <c r="N3474">
        <v>0.72884000000000004</v>
      </c>
      <c r="O3474">
        <v>0.21301339999999999</v>
      </c>
      <c r="P3474">
        <v>83.757575759999995</v>
      </c>
      <c r="Q3474">
        <v>22.60997987</v>
      </c>
      <c r="R3474">
        <v>0.72884000000000004</v>
      </c>
      <c r="S3474">
        <v>0.21301339999999999</v>
      </c>
      <c r="T3474" t="s">
        <v>1018</v>
      </c>
      <c r="U3474">
        <v>0</v>
      </c>
    </row>
    <row r="3475" spans="1:21" x14ac:dyDescent="0.25">
      <c r="A3475" t="s">
        <v>81</v>
      </c>
      <c r="B3475" t="s">
        <v>987</v>
      </c>
      <c r="C3475">
        <v>6</v>
      </c>
      <c r="D3475" t="s">
        <v>17</v>
      </c>
      <c r="E3475" t="s">
        <v>94</v>
      </c>
      <c r="F3475" t="s">
        <v>113</v>
      </c>
      <c r="G3475" t="s">
        <v>113</v>
      </c>
      <c r="H3475" t="s">
        <v>113</v>
      </c>
      <c r="J3475">
        <v>0</v>
      </c>
      <c r="K3475">
        <v>6</v>
      </c>
      <c r="L3475">
        <v>83.757575759999995</v>
      </c>
      <c r="M3475">
        <v>22.60997987</v>
      </c>
      <c r="N3475">
        <v>0.72884000000000004</v>
      </c>
      <c r="O3475">
        <v>0.21301339999999999</v>
      </c>
      <c r="P3475">
        <v>83.757575759999995</v>
      </c>
      <c r="Q3475">
        <v>22.60997987</v>
      </c>
      <c r="R3475">
        <v>0.72884000000000004</v>
      </c>
      <c r="S3475">
        <v>0.21301339999999999</v>
      </c>
      <c r="T3475" t="s">
        <v>1018</v>
      </c>
      <c r="U3475">
        <v>0</v>
      </c>
    </row>
    <row r="3476" spans="1:21" x14ac:dyDescent="0.25">
      <c r="A3476" t="s">
        <v>81</v>
      </c>
      <c r="B3476" t="s">
        <v>987</v>
      </c>
      <c r="C3476">
        <v>6</v>
      </c>
      <c r="D3476" t="s">
        <v>17</v>
      </c>
      <c r="E3476" t="s">
        <v>94</v>
      </c>
      <c r="F3476" t="s">
        <v>113</v>
      </c>
      <c r="G3476" t="s">
        <v>113</v>
      </c>
      <c r="H3476" t="s">
        <v>113</v>
      </c>
      <c r="J3476">
        <v>0</v>
      </c>
      <c r="K3476">
        <v>6</v>
      </c>
      <c r="L3476">
        <v>83.757575759999995</v>
      </c>
      <c r="M3476">
        <v>22.60997987</v>
      </c>
      <c r="N3476">
        <v>0.72884000000000004</v>
      </c>
      <c r="O3476">
        <v>0.21301339999999999</v>
      </c>
      <c r="P3476">
        <v>83.757575759999995</v>
      </c>
      <c r="Q3476">
        <v>22.60997987</v>
      </c>
      <c r="R3476">
        <v>0.72884000000000004</v>
      </c>
      <c r="S3476">
        <v>0.21301339999999999</v>
      </c>
      <c r="T3476" t="s">
        <v>1018</v>
      </c>
      <c r="U3476">
        <v>0</v>
      </c>
    </row>
    <row r="3477" spans="1:21" x14ac:dyDescent="0.25">
      <c r="A3477" t="s">
        <v>81</v>
      </c>
      <c r="B3477" t="s">
        <v>987</v>
      </c>
      <c r="C3477">
        <v>6</v>
      </c>
      <c r="D3477" t="s">
        <v>17</v>
      </c>
      <c r="E3477" t="s">
        <v>94</v>
      </c>
      <c r="F3477" t="s">
        <v>113</v>
      </c>
      <c r="G3477" t="s">
        <v>113</v>
      </c>
      <c r="H3477" t="s">
        <v>113</v>
      </c>
      <c r="J3477">
        <v>0</v>
      </c>
      <c r="K3477">
        <v>6</v>
      </c>
      <c r="L3477">
        <v>83.757575759999995</v>
      </c>
      <c r="M3477">
        <v>22.60997987</v>
      </c>
      <c r="N3477">
        <v>0.72884000000000004</v>
      </c>
      <c r="O3477">
        <v>0.21301339999999999</v>
      </c>
      <c r="P3477">
        <v>83.757575759999995</v>
      </c>
      <c r="Q3477">
        <v>22.60997987</v>
      </c>
      <c r="R3477">
        <v>0.72884000000000004</v>
      </c>
      <c r="S3477">
        <v>0.21301339999999999</v>
      </c>
      <c r="T3477" t="s">
        <v>1018</v>
      </c>
      <c r="U3477">
        <v>0</v>
      </c>
    </row>
    <row r="3478" spans="1:21" x14ac:dyDescent="0.25">
      <c r="A3478" t="s">
        <v>81</v>
      </c>
      <c r="B3478" t="s">
        <v>988</v>
      </c>
      <c r="C3478">
        <v>6</v>
      </c>
      <c r="D3478" t="s">
        <v>17</v>
      </c>
      <c r="E3478" t="s">
        <v>94</v>
      </c>
      <c r="F3478" t="s">
        <v>103</v>
      </c>
      <c r="G3478" t="s">
        <v>113</v>
      </c>
      <c r="H3478" t="s">
        <v>113</v>
      </c>
      <c r="J3478">
        <v>0</v>
      </c>
      <c r="K3478">
        <v>5</v>
      </c>
      <c r="L3478">
        <v>98.291666669999998</v>
      </c>
      <c r="M3478">
        <v>30.315130790000001</v>
      </c>
      <c r="N3478">
        <v>5.0803484000000003E-2</v>
      </c>
      <c r="O3478">
        <v>0.42866070000000001</v>
      </c>
      <c r="P3478">
        <v>83.757575759999995</v>
      </c>
      <c r="Q3478">
        <v>22.60997987</v>
      </c>
      <c r="R3478">
        <v>0.72884000000000004</v>
      </c>
      <c r="S3478">
        <v>0.21301339999999999</v>
      </c>
      <c r="T3478" t="s">
        <v>1018</v>
      </c>
      <c r="U3478">
        <v>-0.67803651600000003</v>
      </c>
    </row>
    <row r="3479" spans="1:21" x14ac:dyDescent="0.25">
      <c r="A3479" t="s">
        <v>81</v>
      </c>
      <c r="B3479" t="s">
        <v>988</v>
      </c>
      <c r="C3479">
        <v>6</v>
      </c>
      <c r="D3479" t="s">
        <v>17</v>
      </c>
      <c r="E3479" t="s">
        <v>94</v>
      </c>
      <c r="F3479" t="s">
        <v>103</v>
      </c>
      <c r="G3479" t="s">
        <v>113</v>
      </c>
      <c r="H3479" t="s">
        <v>113</v>
      </c>
      <c r="J3479">
        <v>0</v>
      </c>
      <c r="K3479">
        <v>5</v>
      </c>
      <c r="L3479">
        <v>98.291666669999998</v>
      </c>
      <c r="M3479">
        <v>30.315130790000001</v>
      </c>
      <c r="N3479">
        <v>5.0803484000000003E-2</v>
      </c>
      <c r="O3479">
        <v>0.42866070000000001</v>
      </c>
      <c r="P3479">
        <v>83.757575759999995</v>
      </c>
      <c r="Q3479">
        <v>22.60997987</v>
      </c>
      <c r="R3479">
        <v>0.72884000000000004</v>
      </c>
      <c r="S3479">
        <v>0.21301339999999999</v>
      </c>
      <c r="T3479" t="s">
        <v>1018</v>
      </c>
      <c r="U3479">
        <v>-0.67803651600000003</v>
      </c>
    </row>
    <row r="3480" spans="1:21" x14ac:dyDescent="0.25">
      <c r="A3480" t="s">
        <v>81</v>
      </c>
      <c r="B3480" t="s">
        <v>988</v>
      </c>
      <c r="C3480">
        <v>6</v>
      </c>
      <c r="D3480" t="s">
        <v>17</v>
      </c>
      <c r="E3480" t="s">
        <v>94</v>
      </c>
      <c r="F3480" t="s">
        <v>103</v>
      </c>
      <c r="G3480" t="s">
        <v>113</v>
      </c>
      <c r="H3480" t="s">
        <v>113</v>
      </c>
      <c r="J3480">
        <v>0</v>
      </c>
      <c r="K3480">
        <v>5</v>
      </c>
      <c r="L3480">
        <v>98.291666669999998</v>
      </c>
      <c r="M3480">
        <v>30.315130790000001</v>
      </c>
      <c r="N3480">
        <v>5.0803484000000003E-2</v>
      </c>
      <c r="O3480">
        <v>0.42866070000000001</v>
      </c>
      <c r="P3480">
        <v>83.757575759999995</v>
      </c>
      <c r="Q3480">
        <v>22.60997987</v>
      </c>
      <c r="R3480">
        <v>0.72884000000000004</v>
      </c>
      <c r="S3480">
        <v>0.21301339999999999</v>
      </c>
      <c r="T3480" t="s">
        <v>1018</v>
      </c>
      <c r="U3480">
        <v>-0.67803651600000003</v>
      </c>
    </row>
    <row r="3481" spans="1:21" x14ac:dyDescent="0.25">
      <c r="A3481" t="s">
        <v>81</v>
      </c>
      <c r="B3481" t="s">
        <v>988</v>
      </c>
      <c r="C3481">
        <v>6</v>
      </c>
      <c r="D3481" t="s">
        <v>17</v>
      </c>
      <c r="E3481" t="s">
        <v>94</v>
      </c>
      <c r="F3481" t="s">
        <v>103</v>
      </c>
      <c r="G3481" t="s">
        <v>113</v>
      </c>
      <c r="H3481" t="s">
        <v>113</v>
      </c>
      <c r="J3481">
        <v>0</v>
      </c>
      <c r="K3481">
        <v>5</v>
      </c>
      <c r="L3481">
        <v>98.291666669999998</v>
      </c>
      <c r="M3481">
        <v>30.315130790000001</v>
      </c>
      <c r="N3481">
        <v>5.0803484000000003E-2</v>
      </c>
      <c r="O3481">
        <v>0.42866070000000001</v>
      </c>
      <c r="P3481">
        <v>83.757575759999995</v>
      </c>
      <c r="Q3481">
        <v>22.60997987</v>
      </c>
      <c r="R3481">
        <v>0.72884000000000004</v>
      </c>
      <c r="S3481">
        <v>0.21301339999999999</v>
      </c>
      <c r="T3481" t="s">
        <v>1018</v>
      </c>
      <c r="U3481">
        <v>-0.67803651600000003</v>
      </c>
    </row>
    <row r="3482" spans="1:21" x14ac:dyDescent="0.25">
      <c r="A3482" t="s">
        <v>81</v>
      </c>
      <c r="B3482" t="s">
        <v>988</v>
      </c>
      <c r="C3482">
        <v>6</v>
      </c>
      <c r="D3482" t="s">
        <v>17</v>
      </c>
      <c r="E3482" t="s">
        <v>94</v>
      </c>
      <c r="F3482" t="s">
        <v>103</v>
      </c>
      <c r="G3482" t="s">
        <v>113</v>
      </c>
      <c r="H3482" t="s">
        <v>113</v>
      </c>
      <c r="J3482">
        <v>0</v>
      </c>
      <c r="K3482">
        <v>5</v>
      </c>
      <c r="L3482">
        <v>98.291666669999998</v>
      </c>
      <c r="M3482">
        <v>30.315130790000001</v>
      </c>
      <c r="N3482">
        <v>5.0803484000000003E-2</v>
      </c>
      <c r="O3482">
        <v>0.42866070000000001</v>
      </c>
      <c r="P3482">
        <v>83.757575759999995</v>
      </c>
      <c r="Q3482">
        <v>22.60997987</v>
      </c>
      <c r="R3482">
        <v>0.72884000000000004</v>
      </c>
      <c r="S3482">
        <v>0.21301339999999999</v>
      </c>
      <c r="T3482" t="s">
        <v>1018</v>
      </c>
      <c r="U3482">
        <v>-0.67803651600000003</v>
      </c>
    </row>
    <row r="3483" spans="1:21" x14ac:dyDescent="0.25">
      <c r="A3483" t="s">
        <v>81</v>
      </c>
      <c r="B3483" t="s">
        <v>988</v>
      </c>
      <c r="C3483">
        <v>6</v>
      </c>
      <c r="D3483" t="s">
        <v>17</v>
      </c>
      <c r="E3483" t="s">
        <v>94</v>
      </c>
      <c r="F3483" t="s">
        <v>103</v>
      </c>
      <c r="G3483" t="s">
        <v>113</v>
      </c>
      <c r="H3483" t="s">
        <v>103</v>
      </c>
      <c r="J3483">
        <v>0</v>
      </c>
      <c r="K3483">
        <v>1</v>
      </c>
      <c r="L3483">
        <v>98.291666669999998</v>
      </c>
      <c r="M3483">
        <v>30.315130790000001</v>
      </c>
      <c r="N3483">
        <v>5.0803484000000003E-2</v>
      </c>
      <c r="O3483">
        <v>0.42866070000000001</v>
      </c>
      <c r="P3483">
        <v>98.291666669999998</v>
      </c>
      <c r="Q3483">
        <v>30.315130790000001</v>
      </c>
      <c r="R3483">
        <v>5.0803484000000003E-2</v>
      </c>
      <c r="S3483">
        <v>0.42866070000000001</v>
      </c>
      <c r="T3483" t="s">
        <v>1018</v>
      </c>
      <c r="U3483">
        <v>0</v>
      </c>
    </row>
    <row r="3484" spans="1:21" x14ac:dyDescent="0.25">
      <c r="A3484" t="s">
        <v>82</v>
      </c>
      <c r="B3484" t="s">
        <v>989</v>
      </c>
      <c r="C3484">
        <v>6</v>
      </c>
      <c r="D3484" t="s">
        <v>19</v>
      </c>
      <c r="E3484" t="s">
        <v>94</v>
      </c>
      <c r="F3484" t="s">
        <v>102</v>
      </c>
      <c r="G3484" t="s">
        <v>102</v>
      </c>
      <c r="H3484" t="s">
        <v>102</v>
      </c>
      <c r="J3484">
        <v>0</v>
      </c>
      <c r="K3484">
        <v>1</v>
      </c>
      <c r="L3484">
        <v>84.740740740000007</v>
      </c>
      <c r="M3484">
        <v>29.167014049999999</v>
      </c>
      <c r="N3484">
        <v>1.1169849999999999</v>
      </c>
      <c r="O3484">
        <v>1.1571499000000001</v>
      </c>
      <c r="P3484">
        <v>84.740740740000007</v>
      </c>
      <c r="Q3484">
        <v>29.167014049999999</v>
      </c>
      <c r="R3484">
        <v>1.1169849999999999</v>
      </c>
      <c r="S3484">
        <v>1.1571499000000001</v>
      </c>
      <c r="T3484" t="s">
        <v>1018</v>
      </c>
      <c r="U3484">
        <v>0</v>
      </c>
    </row>
    <row r="3485" spans="1:21" x14ac:dyDescent="0.25">
      <c r="A3485" t="s">
        <v>82</v>
      </c>
      <c r="B3485" t="s">
        <v>990</v>
      </c>
      <c r="C3485">
        <v>6</v>
      </c>
      <c r="D3485" t="s">
        <v>19</v>
      </c>
      <c r="E3485" t="s">
        <v>94</v>
      </c>
      <c r="F3485" t="s">
        <v>113</v>
      </c>
      <c r="G3485" t="s">
        <v>113</v>
      </c>
      <c r="H3485" t="s">
        <v>113</v>
      </c>
      <c r="J3485">
        <v>0</v>
      </c>
      <c r="K3485">
        <v>4</v>
      </c>
      <c r="L3485">
        <v>83.757575759999995</v>
      </c>
      <c r="M3485">
        <v>22.60997987</v>
      </c>
      <c r="N3485">
        <v>0.72884000000000004</v>
      </c>
      <c r="O3485">
        <v>0.21301339999999999</v>
      </c>
      <c r="P3485">
        <v>83.757575759999995</v>
      </c>
      <c r="Q3485">
        <v>22.60997987</v>
      </c>
      <c r="R3485">
        <v>0.72884000000000004</v>
      </c>
      <c r="S3485">
        <v>0.21301339999999999</v>
      </c>
      <c r="T3485" t="s">
        <v>1018</v>
      </c>
      <c r="U3485">
        <v>0</v>
      </c>
    </row>
    <row r="3486" spans="1:21" x14ac:dyDescent="0.25">
      <c r="A3486" t="s">
        <v>82</v>
      </c>
      <c r="B3486" t="s">
        <v>990</v>
      </c>
      <c r="C3486">
        <v>6</v>
      </c>
      <c r="D3486" t="s">
        <v>19</v>
      </c>
      <c r="E3486" t="s">
        <v>94</v>
      </c>
      <c r="F3486" t="s">
        <v>113</v>
      </c>
      <c r="G3486" t="s">
        <v>113</v>
      </c>
      <c r="H3486" t="s">
        <v>113</v>
      </c>
      <c r="J3486">
        <v>0</v>
      </c>
      <c r="K3486">
        <v>4</v>
      </c>
      <c r="L3486">
        <v>83.757575759999995</v>
      </c>
      <c r="M3486">
        <v>22.60997987</v>
      </c>
      <c r="N3486">
        <v>0.72884000000000004</v>
      </c>
      <c r="O3486">
        <v>0.21301339999999999</v>
      </c>
      <c r="P3486">
        <v>83.757575759999995</v>
      </c>
      <c r="Q3486">
        <v>22.60997987</v>
      </c>
      <c r="R3486">
        <v>0.72884000000000004</v>
      </c>
      <c r="S3486">
        <v>0.21301339999999999</v>
      </c>
      <c r="T3486" t="s">
        <v>1018</v>
      </c>
      <c r="U3486">
        <v>0</v>
      </c>
    </row>
    <row r="3487" spans="1:21" x14ac:dyDescent="0.25">
      <c r="A3487" t="s">
        <v>82</v>
      </c>
      <c r="B3487" t="s">
        <v>990</v>
      </c>
      <c r="C3487">
        <v>6</v>
      </c>
      <c r="D3487" t="s">
        <v>19</v>
      </c>
      <c r="E3487" t="s">
        <v>94</v>
      </c>
      <c r="F3487" t="s">
        <v>113</v>
      </c>
      <c r="G3487" t="s">
        <v>113</v>
      </c>
      <c r="H3487" t="s">
        <v>113</v>
      </c>
      <c r="J3487">
        <v>0</v>
      </c>
      <c r="K3487">
        <v>4</v>
      </c>
      <c r="L3487">
        <v>83.757575759999995</v>
      </c>
      <c r="M3487">
        <v>22.60997987</v>
      </c>
      <c r="N3487">
        <v>0.72884000000000004</v>
      </c>
      <c r="O3487">
        <v>0.21301339999999999</v>
      </c>
      <c r="P3487">
        <v>83.757575759999995</v>
      </c>
      <c r="Q3487">
        <v>22.60997987</v>
      </c>
      <c r="R3487">
        <v>0.72884000000000004</v>
      </c>
      <c r="S3487">
        <v>0.21301339999999999</v>
      </c>
      <c r="T3487" t="s">
        <v>1018</v>
      </c>
      <c r="U3487">
        <v>0</v>
      </c>
    </row>
    <row r="3488" spans="1:21" x14ac:dyDescent="0.25">
      <c r="A3488" t="s">
        <v>82</v>
      </c>
      <c r="B3488" t="s">
        <v>990</v>
      </c>
      <c r="C3488">
        <v>6</v>
      </c>
      <c r="D3488" t="s">
        <v>19</v>
      </c>
      <c r="E3488" t="s">
        <v>94</v>
      </c>
      <c r="F3488" t="s">
        <v>113</v>
      </c>
      <c r="G3488" t="s">
        <v>113</v>
      </c>
      <c r="H3488" t="s">
        <v>113</v>
      </c>
      <c r="J3488">
        <v>0</v>
      </c>
      <c r="K3488">
        <v>4</v>
      </c>
      <c r="L3488">
        <v>83.757575759999995</v>
      </c>
      <c r="M3488">
        <v>22.60997987</v>
      </c>
      <c r="N3488">
        <v>0.72884000000000004</v>
      </c>
      <c r="O3488">
        <v>0.21301339999999999</v>
      </c>
      <c r="P3488">
        <v>83.757575759999995</v>
      </c>
      <c r="Q3488">
        <v>22.60997987</v>
      </c>
      <c r="R3488">
        <v>0.72884000000000004</v>
      </c>
      <c r="S3488">
        <v>0.21301339999999999</v>
      </c>
      <c r="T3488" t="s">
        <v>1018</v>
      </c>
      <c r="U3488">
        <v>0</v>
      </c>
    </row>
    <row r="3489" spans="1:21" x14ac:dyDescent="0.25">
      <c r="A3489" t="s">
        <v>82</v>
      </c>
      <c r="B3489" t="s">
        <v>990</v>
      </c>
      <c r="C3489">
        <v>6</v>
      </c>
      <c r="D3489" t="s">
        <v>19</v>
      </c>
      <c r="E3489" t="s">
        <v>94</v>
      </c>
      <c r="F3489" t="s">
        <v>113</v>
      </c>
      <c r="G3489" t="s">
        <v>113</v>
      </c>
      <c r="H3489" t="s">
        <v>241</v>
      </c>
      <c r="J3489">
        <v>0</v>
      </c>
      <c r="K3489">
        <v>1</v>
      </c>
      <c r="L3489">
        <v>83.757575759999995</v>
      </c>
      <c r="M3489">
        <v>22.60997987</v>
      </c>
      <c r="N3489">
        <v>0.72884000000000004</v>
      </c>
      <c r="O3489">
        <v>0.21301339999999999</v>
      </c>
      <c r="P3489">
        <v>114</v>
      </c>
      <c r="Q3489">
        <v>30.43077242</v>
      </c>
      <c r="R3489">
        <v>0.53383111100000002</v>
      </c>
      <c r="S3489">
        <v>0.28333332999999999</v>
      </c>
      <c r="T3489" t="s">
        <v>1018</v>
      </c>
      <c r="U3489">
        <v>0.19500888899999999</v>
      </c>
    </row>
    <row r="3490" spans="1:21" x14ac:dyDescent="0.25">
      <c r="A3490" t="s">
        <v>82</v>
      </c>
      <c r="B3490" t="s">
        <v>990</v>
      </c>
      <c r="C3490">
        <v>6</v>
      </c>
      <c r="D3490" t="s">
        <v>19</v>
      </c>
      <c r="E3490" t="s">
        <v>94</v>
      </c>
      <c r="F3490" t="s">
        <v>113</v>
      </c>
      <c r="G3490" t="s">
        <v>113</v>
      </c>
      <c r="H3490" t="s">
        <v>808</v>
      </c>
      <c r="J3490">
        <v>0</v>
      </c>
      <c r="K3490">
        <v>1</v>
      </c>
      <c r="L3490">
        <v>83.757575759999995</v>
      </c>
      <c r="M3490">
        <v>22.60997987</v>
      </c>
      <c r="N3490">
        <v>0.72884000000000004</v>
      </c>
      <c r="O3490">
        <v>0.21301339999999999</v>
      </c>
      <c r="P3490">
        <v>102.79166669999999</v>
      </c>
      <c r="Q3490">
        <v>27.057373470000002</v>
      </c>
      <c r="R3490">
        <v>6.3567849939999999</v>
      </c>
      <c r="S3490" t="s">
        <v>114</v>
      </c>
      <c r="T3490" t="s">
        <v>1018</v>
      </c>
      <c r="U3490">
        <v>-5.6279449939999999</v>
      </c>
    </row>
    <row r="3491" spans="1:21" x14ac:dyDescent="0.25">
      <c r="A3491" t="s">
        <v>82</v>
      </c>
      <c r="B3491" t="s">
        <v>990</v>
      </c>
      <c r="C3491">
        <v>6</v>
      </c>
      <c r="D3491" t="s">
        <v>19</v>
      </c>
      <c r="E3491" t="s">
        <v>94</v>
      </c>
      <c r="F3491" t="s">
        <v>113</v>
      </c>
      <c r="G3491" t="s">
        <v>113</v>
      </c>
      <c r="H3491" t="s">
        <v>103</v>
      </c>
      <c r="J3491">
        <v>0</v>
      </c>
      <c r="K3491">
        <v>1</v>
      </c>
      <c r="L3491">
        <v>83.757575759999995</v>
      </c>
      <c r="M3491">
        <v>22.60997987</v>
      </c>
      <c r="N3491">
        <v>0.72884000000000004</v>
      </c>
      <c r="O3491">
        <v>0.21301339999999999</v>
      </c>
      <c r="P3491">
        <v>98.291666669999998</v>
      </c>
      <c r="Q3491">
        <v>30.315130790000001</v>
      </c>
      <c r="R3491">
        <v>5.0803484000000003E-2</v>
      </c>
      <c r="S3491">
        <v>0.42866070000000001</v>
      </c>
      <c r="T3491" t="s">
        <v>1018</v>
      </c>
      <c r="U3491">
        <v>0.67803651600000003</v>
      </c>
    </row>
    <row r="3492" spans="1:21" x14ac:dyDescent="0.25">
      <c r="A3492" t="s">
        <v>82</v>
      </c>
      <c r="B3492" t="s">
        <v>991</v>
      </c>
      <c r="C3492">
        <v>6</v>
      </c>
      <c r="D3492" t="s">
        <v>19</v>
      </c>
      <c r="E3492" t="s">
        <v>94</v>
      </c>
      <c r="F3492" t="s">
        <v>104</v>
      </c>
      <c r="G3492" t="s">
        <v>113</v>
      </c>
      <c r="H3492" t="s">
        <v>113</v>
      </c>
      <c r="J3492">
        <v>0</v>
      </c>
      <c r="K3492">
        <v>3</v>
      </c>
      <c r="L3492">
        <v>113.9375</v>
      </c>
      <c r="M3492">
        <v>33.375507550000002</v>
      </c>
      <c r="N3492">
        <v>2.4262999999999999</v>
      </c>
      <c r="O3492">
        <v>0.40692159999999999</v>
      </c>
      <c r="P3492">
        <v>83.757575759999995</v>
      </c>
      <c r="Q3492">
        <v>22.60997987</v>
      </c>
      <c r="R3492">
        <v>0.72884000000000004</v>
      </c>
      <c r="S3492">
        <v>0.21301339999999999</v>
      </c>
      <c r="T3492" t="s">
        <v>1018</v>
      </c>
      <c r="U3492">
        <v>1.69746</v>
      </c>
    </row>
    <row r="3493" spans="1:21" x14ac:dyDescent="0.25">
      <c r="A3493" t="s">
        <v>82</v>
      </c>
      <c r="B3493" t="s">
        <v>991</v>
      </c>
      <c r="C3493">
        <v>6</v>
      </c>
      <c r="D3493" t="s">
        <v>19</v>
      </c>
      <c r="E3493" t="s">
        <v>94</v>
      </c>
      <c r="F3493" t="s">
        <v>104</v>
      </c>
      <c r="G3493" t="s">
        <v>113</v>
      </c>
      <c r="H3493" t="s">
        <v>113</v>
      </c>
      <c r="J3493">
        <v>0</v>
      </c>
      <c r="K3493">
        <v>3</v>
      </c>
      <c r="L3493">
        <v>113.9375</v>
      </c>
      <c r="M3493">
        <v>33.375507550000002</v>
      </c>
      <c r="N3493">
        <v>2.4262999999999999</v>
      </c>
      <c r="O3493">
        <v>0.40692159999999999</v>
      </c>
      <c r="P3493">
        <v>83.757575759999995</v>
      </c>
      <c r="Q3493">
        <v>22.60997987</v>
      </c>
      <c r="R3493">
        <v>0.72884000000000004</v>
      </c>
      <c r="S3493">
        <v>0.21301339999999999</v>
      </c>
      <c r="T3493" t="s">
        <v>1018</v>
      </c>
      <c r="U3493">
        <v>1.69746</v>
      </c>
    </row>
    <row r="3494" spans="1:21" x14ac:dyDescent="0.25">
      <c r="A3494" t="s">
        <v>82</v>
      </c>
      <c r="B3494" t="s">
        <v>991</v>
      </c>
      <c r="C3494">
        <v>6</v>
      </c>
      <c r="D3494" t="s">
        <v>19</v>
      </c>
      <c r="E3494" t="s">
        <v>94</v>
      </c>
      <c r="F3494" t="s">
        <v>104</v>
      </c>
      <c r="G3494" t="s">
        <v>113</v>
      </c>
      <c r="H3494" t="s">
        <v>113</v>
      </c>
      <c r="J3494">
        <v>0</v>
      </c>
      <c r="K3494">
        <v>3</v>
      </c>
      <c r="L3494">
        <v>113.9375</v>
      </c>
      <c r="M3494">
        <v>33.375507550000002</v>
      </c>
      <c r="N3494">
        <v>2.4262999999999999</v>
      </c>
      <c r="O3494">
        <v>0.40692159999999999</v>
      </c>
      <c r="P3494">
        <v>83.757575759999995</v>
      </c>
      <c r="Q3494">
        <v>22.60997987</v>
      </c>
      <c r="R3494">
        <v>0.72884000000000004</v>
      </c>
      <c r="S3494">
        <v>0.21301339999999999</v>
      </c>
      <c r="T3494" t="s">
        <v>1018</v>
      </c>
      <c r="U3494">
        <v>1.69746</v>
      </c>
    </row>
    <row r="3495" spans="1:21" x14ac:dyDescent="0.25">
      <c r="A3495" t="s">
        <v>83</v>
      </c>
      <c r="B3495" t="s">
        <v>992</v>
      </c>
      <c r="C3495">
        <v>6</v>
      </c>
      <c r="D3495" t="s">
        <v>21</v>
      </c>
      <c r="E3495" t="s">
        <v>94</v>
      </c>
      <c r="F3495" t="s">
        <v>102</v>
      </c>
      <c r="G3495" t="s">
        <v>121</v>
      </c>
      <c r="H3495" t="s">
        <v>114</v>
      </c>
      <c r="J3495">
        <v>0</v>
      </c>
      <c r="K3495">
        <v>0</v>
      </c>
      <c r="L3495">
        <v>84.740740740000007</v>
      </c>
      <c r="M3495">
        <v>29.167014049999999</v>
      </c>
      <c r="N3495">
        <v>1.1169849999999999</v>
      </c>
      <c r="O3495">
        <v>1.1571499000000001</v>
      </c>
      <c r="P3495" t="s">
        <v>114</v>
      </c>
      <c r="Q3495" t="s">
        <v>114</v>
      </c>
      <c r="R3495" t="s">
        <v>114</v>
      </c>
      <c r="S3495" t="s">
        <v>114</v>
      </c>
      <c r="T3495" t="s">
        <v>1018</v>
      </c>
      <c r="U3495" t="s">
        <v>114</v>
      </c>
    </row>
    <row r="3496" spans="1:21" x14ac:dyDescent="0.25">
      <c r="A3496" t="s">
        <v>83</v>
      </c>
      <c r="B3496" t="s">
        <v>993</v>
      </c>
      <c r="C3496">
        <v>6</v>
      </c>
      <c r="D3496" t="s">
        <v>21</v>
      </c>
      <c r="E3496" t="s">
        <v>94</v>
      </c>
      <c r="F3496" t="s">
        <v>103</v>
      </c>
      <c r="G3496" t="s">
        <v>103</v>
      </c>
      <c r="H3496" t="s">
        <v>103</v>
      </c>
      <c r="J3496">
        <v>0</v>
      </c>
      <c r="K3496">
        <v>2</v>
      </c>
      <c r="L3496">
        <v>98.291666669999998</v>
      </c>
      <c r="M3496">
        <v>30.315130790000001</v>
      </c>
      <c r="N3496">
        <v>5.0803484000000003E-2</v>
      </c>
      <c r="O3496">
        <v>0.42866070000000001</v>
      </c>
      <c r="P3496">
        <v>98.291666669999998</v>
      </c>
      <c r="Q3496">
        <v>30.315130790000001</v>
      </c>
      <c r="R3496">
        <v>5.0803484000000003E-2</v>
      </c>
      <c r="S3496">
        <v>0.42866070000000001</v>
      </c>
      <c r="T3496" t="s">
        <v>1018</v>
      </c>
      <c r="U3496">
        <v>0</v>
      </c>
    </row>
    <row r="3497" spans="1:21" x14ac:dyDescent="0.25">
      <c r="A3497" t="s">
        <v>83</v>
      </c>
      <c r="B3497" t="s">
        <v>993</v>
      </c>
      <c r="C3497">
        <v>6</v>
      </c>
      <c r="D3497" t="s">
        <v>21</v>
      </c>
      <c r="E3497" t="s">
        <v>94</v>
      </c>
      <c r="F3497" t="s">
        <v>103</v>
      </c>
      <c r="G3497" t="s">
        <v>103</v>
      </c>
      <c r="H3497" t="s">
        <v>103</v>
      </c>
      <c r="J3497">
        <v>0</v>
      </c>
      <c r="K3497">
        <v>2</v>
      </c>
      <c r="L3497">
        <v>98.291666669999998</v>
      </c>
      <c r="M3497">
        <v>30.315130790000001</v>
      </c>
      <c r="N3497">
        <v>5.0803484000000003E-2</v>
      </c>
      <c r="O3497">
        <v>0.42866070000000001</v>
      </c>
      <c r="P3497">
        <v>98.291666669999998</v>
      </c>
      <c r="Q3497">
        <v>30.315130790000001</v>
      </c>
      <c r="R3497">
        <v>5.0803484000000003E-2</v>
      </c>
      <c r="S3497">
        <v>0.42866070000000001</v>
      </c>
      <c r="T3497" t="s">
        <v>1018</v>
      </c>
      <c r="U3497">
        <v>0</v>
      </c>
    </row>
    <row r="3498" spans="1:21" x14ac:dyDescent="0.25">
      <c r="A3498" t="s">
        <v>83</v>
      </c>
      <c r="B3498" t="s">
        <v>993</v>
      </c>
      <c r="C3498">
        <v>6</v>
      </c>
      <c r="D3498" t="s">
        <v>21</v>
      </c>
      <c r="E3498" t="s">
        <v>94</v>
      </c>
      <c r="F3498" t="s">
        <v>103</v>
      </c>
      <c r="G3498" t="s">
        <v>103</v>
      </c>
      <c r="H3498" t="s">
        <v>246</v>
      </c>
      <c r="J3498">
        <v>0</v>
      </c>
      <c r="K3498">
        <v>1</v>
      </c>
      <c r="L3498">
        <v>98.291666669999998</v>
      </c>
      <c r="M3498">
        <v>30.315130790000001</v>
      </c>
      <c r="N3498">
        <v>5.0803484000000003E-2</v>
      </c>
      <c r="O3498">
        <v>0.42866070000000001</v>
      </c>
      <c r="P3498">
        <v>120.25</v>
      </c>
      <c r="Q3498">
        <v>30.670450110000001</v>
      </c>
      <c r="R3498">
        <v>0.91037498500000003</v>
      </c>
      <c r="S3498" t="s">
        <v>114</v>
      </c>
      <c r="T3498" t="s">
        <v>1018</v>
      </c>
      <c r="U3498">
        <v>-0.85957150100000002</v>
      </c>
    </row>
    <row r="3499" spans="1:21" x14ac:dyDescent="0.25">
      <c r="A3499" t="s">
        <v>83</v>
      </c>
      <c r="B3499" t="s">
        <v>993</v>
      </c>
      <c r="C3499">
        <v>6</v>
      </c>
      <c r="D3499" t="s">
        <v>21</v>
      </c>
      <c r="E3499" t="s">
        <v>94</v>
      </c>
      <c r="F3499" t="s">
        <v>103</v>
      </c>
      <c r="G3499" t="s">
        <v>103</v>
      </c>
      <c r="H3499" t="s">
        <v>239</v>
      </c>
      <c r="J3499">
        <v>0</v>
      </c>
      <c r="K3499">
        <v>1</v>
      </c>
      <c r="L3499">
        <v>98.291666669999998</v>
      </c>
      <c r="M3499">
        <v>30.315130790000001</v>
      </c>
      <c r="N3499">
        <v>5.0803484000000003E-2</v>
      </c>
      <c r="O3499">
        <v>0.42866070000000001</v>
      </c>
      <c r="P3499">
        <v>100.45454549999999</v>
      </c>
      <c r="Q3499">
        <v>26.754810689999999</v>
      </c>
      <c r="R3499">
        <v>0.75829999999999997</v>
      </c>
      <c r="S3499">
        <v>0.40907861000000001</v>
      </c>
      <c r="T3499" t="s">
        <v>1018</v>
      </c>
      <c r="U3499">
        <v>-0.70749651599999996</v>
      </c>
    </row>
    <row r="3500" spans="1:21" x14ac:dyDescent="0.25">
      <c r="A3500" t="s">
        <v>83</v>
      </c>
      <c r="B3500" t="s">
        <v>994</v>
      </c>
      <c r="C3500">
        <v>6</v>
      </c>
      <c r="D3500" t="s">
        <v>21</v>
      </c>
      <c r="E3500" t="s">
        <v>94</v>
      </c>
      <c r="F3500" t="s">
        <v>111</v>
      </c>
      <c r="G3500" t="s">
        <v>121</v>
      </c>
      <c r="H3500" t="s">
        <v>114</v>
      </c>
      <c r="J3500">
        <v>0</v>
      </c>
      <c r="K3500">
        <v>0</v>
      </c>
      <c r="L3500">
        <v>94.97142857</v>
      </c>
      <c r="M3500">
        <v>24.31591813</v>
      </c>
      <c r="N3500">
        <v>0.122951111</v>
      </c>
      <c r="O3500">
        <v>0.39050790000000002</v>
      </c>
      <c r="P3500" t="s">
        <v>114</v>
      </c>
      <c r="Q3500" t="s">
        <v>114</v>
      </c>
      <c r="R3500" t="s">
        <v>114</v>
      </c>
      <c r="S3500" t="s">
        <v>114</v>
      </c>
      <c r="T3500" t="s">
        <v>1018</v>
      </c>
      <c r="U3500" t="s">
        <v>114</v>
      </c>
    </row>
    <row r="3501" spans="1:21" x14ac:dyDescent="0.25">
      <c r="A3501" t="s">
        <v>84</v>
      </c>
      <c r="B3501" t="s">
        <v>995</v>
      </c>
      <c r="C3501">
        <v>6</v>
      </c>
      <c r="D3501" t="s">
        <v>23</v>
      </c>
      <c r="E3501" t="s">
        <v>95</v>
      </c>
      <c r="F3501" t="s">
        <v>102</v>
      </c>
      <c r="G3501" t="s">
        <v>121</v>
      </c>
      <c r="H3501" t="s">
        <v>254</v>
      </c>
      <c r="J3501">
        <v>0</v>
      </c>
      <c r="K3501">
        <v>3</v>
      </c>
      <c r="L3501">
        <v>84.740740740000007</v>
      </c>
      <c r="M3501">
        <v>29.167014049999999</v>
      </c>
      <c r="N3501">
        <v>1.1169849999999999</v>
      </c>
      <c r="O3501">
        <v>1.1571499000000001</v>
      </c>
      <c r="P3501" t="s">
        <v>114</v>
      </c>
      <c r="Q3501" t="s">
        <v>114</v>
      </c>
      <c r="R3501" t="s">
        <v>114</v>
      </c>
      <c r="S3501" t="s">
        <v>114</v>
      </c>
      <c r="T3501" t="s">
        <v>1018</v>
      </c>
      <c r="U3501" t="s">
        <v>114</v>
      </c>
    </row>
    <row r="3502" spans="1:21" x14ac:dyDescent="0.25">
      <c r="A3502" t="s">
        <v>84</v>
      </c>
      <c r="B3502" t="s">
        <v>995</v>
      </c>
      <c r="C3502">
        <v>6</v>
      </c>
      <c r="D3502" t="s">
        <v>23</v>
      </c>
      <c r="E3502" t="s">
        <v>95</v>
      </c>
      <c r="F3502" t="s">
        <v>102</v>
      </c>
      <c r="G3502" t="s">
        <v>121</v>
      </c>
      <c r="H3502" t="s">
        <v>254</v>
      </c>
      <c r="J3502">
        <v>0</v>
      </c>
      <c r="K3502">
        <v>3</v>
      </c>
      <c r="L3502">
        <v>84.740740740000007</v>
      </c>
      <c r="M3502">
        <v>29.167014049999999</v>
      </c>
      <c r="N3502">
        <v>1.1169849999999999</v>
      </c>
      <c r="O3502">
        <v>1.1571499000000001</v>
      </c>
      <c r="P3502" t="s">
        <v>114</v>
      </c>
      <c r="Q3502" t="s">
        <v>114</v>
      </c>
      <c r="R3502" t="s">
        <v>114</v>
      </c>
      <c r="S3502" t="s">
        <v>114</v>
      </c>
      <c r="T3502" t="s">
        <v>1018</v>
      </c>
      <c r="U3502" t="s">
        <v>114</v>
      </c>
    </row>
    <row r="3503" spans="1:21" x14ac:dyDescent="0.25">
      <c r="A3503" t="s">
        <v>84</v>
      </c>
      <c r="B3503" t="s">
        <v>995</v>
      </c>
      <c r="C3503">
        <v>6</v>
      </c>
      <c r="D3503" t="s">
        <v>23</v>
      </c>
      <c r="E3503" t="s">
        <v>95</v>
      </c>
      <c r="F3503" t="s">
        <v>102</v>
      </c>
      <c r="G3503" t="s">
        <v>121</v>
      </c>
      <c r="H3503" t="s">
        <v>254</v>
      </c>
      <c r="J3503">
        <v>0</v>
      </c>
      <c r="K3503">
        <v>3</v>
      </c>
      <c r="L3503">
        <v>84.740740740000007</v>
      </c>
      <c r="M3503">
        <v>29.167014049999999</v>
      </c>
      <c r="N3503">
        <v>1.1169849999999999</v>
      </c>
      <c r="O3503">
        <v>1.1571499000000001</v>
      </c>
      <c r="P3503" t="s">
        <v>114</v>
      </c>
      <c r="Q3503" t="s">
        <v>114</v>
      </c>
      <c r="R3503" t="s">
        <v>114</v>
      </c>
      <c r="S3503" t="s">
        <v>114</v>
      </c>
      <c r="T3503" t="s">
        <v>1018</v>
      </c>
      <c r="U3503" t="s">
        <v>114</v>
      </c>
    </row>
    <row r="3504" spans="1:21" x14ac:dyDescent="0.25">
      <c r="A3504" t="s">
        <v>84</v>
      </c>
      <c r="B3504" t="s">
        <v>995</v>
      </c>
      <c r="C3504">
        <v>6</v>
      </c>
      <c r="D3504" t="s">
        <v>23</v>
      </c>
      <c r="E3504" t="s">
        <v>95</v>
      </c>
      <c r="F3504" t="s">
        <v>102</v>
      </c>
      <c r="G3504" t="s">
        <v>121</v>
      </c>
      <c r="H3504" t="s">
        <v>248</v>
      </c>
      <c r="J3504">
        <v>0</v>
      </c>
      <c r="K3504">
        <v>1</v>
      </c>
      <c r="L3504">
        <v>84.740740740000007</v>
      </c>
      <c r="M3504">
        <v>29.167014049999999</v>
      </c>
      <c r="N3504">
        <v>1.1169849999999999</v>
      </c>
      <c r="O3504">
        <v>1.1571499000000001</v>
      </c>
      <c r="P3504">
        <v>83.92307692</v>
      </c>
      <c r="Q3504">
        <v>44.319135699999997</v>
      </c>
      <c r="R3504">
        <v>5.9548609999999997E-3</v>
      </c>
      <c r="S3504">
        <v>0.18017928</v>
      </c>
      <c r="T3504" t="s">
        <v>1018</v>
      </c>
      <c r="U3504">
        <v>1.1110301389999999</v>
      </c>
    </row>
    <row r="3505" spans="1:21" x14ac:dyDescent="0.25">
      <c r="A3505" t="s">
        <v>84</v>
      </c>
      <c r="B3505" t="s">
        <v>995</v>
      </c>
      <c r="C3505">
        <v>6</v>
      </c>
      <c r="D3505" t="s">
        <v>23</v>
      </c>
      <c r="E3505" t="s">
        <v>95</v>
      </c>
      <c r="F3505" t="s">
        <v>102</v>
      </c>
      <c r="G3505" t="s">
        <v>121</v>
      </c>
      <c r="H3505" t="s">
        <v>233</v>
      </c>
      <c r="J3505">
        <v>0</v>
      </c>
      <c r="K3505">
        <v>1</v>
      </c>
      <c r="L3505">
        <v>84.740740740000007</v>
      </c>
      <c r="M3505">
        <v>29.167014049999999</v>
      </c>
      <c r="N3505">
        <v>1.1169849999999999</v>
      </c>
      <c r="O3505">
        <v>1.1571499000000001</v>
      </c>
      <c r="P3505">
        <v>106.0540541</v>
      </c>
      <c r="Q3505">
        <v>52.690533369999997</v>
      </c>
      <c r="R3505">
        <v>7.6058968000000005E-2</v>
      </c>
      <c r="S3505">
        <v>0.44888888999999998</v>
      </c>
      <c r="T3505" t="s">
        <v>1018</v>
      </c>
      <c r="U3505">
        <v>1.040926032</v>
      </c>
    </row>
    <row r="3506" spans="1:21" x14ac:dyDescent="0.25">
      <c r="A3506" t="s">
        <v>84</v>
      </c>
      <c r="B3506" t="s">
        <v>995</v>
      </c>
      <c r="C3506">
        <v>6</v>
      </c>
      <c r="D3506" t="s">
        <v>23</v>
      </c>
      <c r="E3506" t="s">
        <v>95</v>
      </c>
      <c r="F3506" t="s">
        <v>102</v>
      </c>
      <c r="G3506" t="s">
        <v>121</v>
      </c>
      <c r="H3506" t="s">
        <v>103</v>
      </c>
      <c r="J3506">
        <v>0</v>
      </c>
      <c r="K3506">
        <v>5</v>
      </c>
      <c r="L3506">
        <v>84.740740740000007</v>
      </c>
      <c r="M3506">
        <v>29.167014049999999</v>
      </c>
      <c r="N3506">
        <v>1.1169849999999999</v>
      </c>
      <c r="O3506">
        <v>1.1571499000000001</v>
      </c>
      <c r="P3506">
        <v>98.291666669999998</v>
      </c>
      <c r="Q3506">
        <v>30.315130790000001</v>
      </c>
      <c r="R3506">
        <v>5.0803484000000003E-2</v>
      </c>
      <c r="S3506">
        <v>0.42866070000000001</v>
      </c>
      <c r="T3506" t="s">
        <v>1018</v>
      </c>
      <c r="U3506">
        <v>1.0661815160000001</v>
      </c>
    </row>
    <row r="3507" spans="1:21" x14ac:dyDescent="0.25">
      <c r="A3507" t="s">
        <v>84</v>
      </c>
      <c r="B3507" t="s">
        <v>995</v>
      </c>
      <c r="C3507">
        <v>6</v>
      </c>
      <c r="D3507" t="s">
        <v>23</v>
      </c>
      <c r="E3507" t="s">
        <v>95</v>
      </c>
      <c r="F3507" t="s">
        <v>102</v>
      </c>
      <c r="G3507" t="s">
        <v>121</v>
      </c>
      <c r="H3507" t="s">
        <v>103</v>
      </c>
      <c r="J3507">
        <v>0</v>
      </c>
      <c r="K3507">
        <v>5</v>
      </c>
      <c r="L3507">
        <v>84.740740740000007</v>
      </c>
      <c r="M3507">
        <v>29.167014049999999</v>
      </c>
      <c r="N3507">
        <v>1.1169849999999999</v>
      </c>
      <c r="O3507">
        <v>1.1571499000000001</v>
      </c>
      <c r="P3507">
        <v>98.291666669999998</v>
      </c>
      <c r="Q3507">
        <v>30.315130790000001</v>
      </c>
      <c r="R3507">
        <v>5.0803484000000003E-2</v>
      </c>
      <c r="S3507">
        <v>0.42866070000000001</v>
      </c>
      <c r="T3507" t="s">
        <v>1018</v>
      </c>
      <c r="U3507">
        <v>1.0661815160000001</v>
      </c>
    </row>
    <row r="3508" spans="1:21" x14ac:dyDescent="0.25">
      <c r="A3508" t="s">
        <v>84</v>
      </c>
      <c r="B3508" t="s">
        <v>995</v>
      </c>
      <c r="C3508">
        <v>6</v>
      </c>
      <c r="D3508" t="s">
        <v>23</v>
      </c>
      <c r="E3508" t="s">
        <v>95</v>
      </c>
      <c r="F3508" t="s">
        <v>102</v>
      </c>
      <c r="G3508" t="s">
        <v>121</v>
      </c>
      <c r="H3508" t="s">
        <v>103</v>
      </c>
      <c r="J3508">
        <v>0</v>
      </c>
      <c r="K3508">
        <v>5</v>
      </c>
      <c r="L3508">
        <v>84.740740740000007</v>
      </c>
      <c r="M3508">
        <v>29.167014049999999</v>
      </c>
      <c r="N3508">
        <v>1.1169849999999999</v>
      </c>
      <c r="O3508">
        <v>1.1571499000000001</v>
      </c>
      <c r="P3508">
        <v>98.291666669999998</v>
      </c>
      <c r="Q3508">
        <v>30.315130790000001</v>
      </c>
      <c r="R3508">
        <v>5.0803484000000003E-2</v>
      </c>
      <c r="S3508">
        <v>0.42866070000000001</v>
      </c>
      <c r="T3508" t="s">
        <v>1018</v>
      </c>
      <c r="U3508">
        <v>1.0661815160000001</v>
      </c>
    </row>
    <row r="3509" spans="1:21" x14ac:dyDescent="0.25">
      <c r="A3509" t="s">
        <v>84</v>
      </c>
      <c r="B3509" t="s">
        <v>995</v>
      </c>
      <c r="C3509">
        <v>6</v>
      </c>
      <c r="D3509" t="s">
        <v>23</v>
      </c>
      <c r="E3509" t="s">
        <v>95</v>
      </c>
      <c r="F3509" t="s">
        <v>102</v>
      </c>
      <c r="G3509" t="s">
        <v>121</v>
      </c>
      <c r="H3509" t="s">
        <v>103</v>
      </c>
      <c r="J3509">
        <v>0</v>
      </c>
      <c r="K3509">
        <v>5</v>
      </c>
      <c r="L3509">
        <v>84.740740740000007</v>
      </c>
      <c r="M3509">
        <v>29.167014049999999</v>
      </c>
      <c r="N3509">
        <v>1.1169849999999999</v>
      </c>
      <c r="O3509">
        <v>1.1571499000000001</v>
      </c>
      <c r="P3509">
        <v>98.291666669999998</v>
      </c>
      <c r="Q3509">
        <v>30.315130790000001</v>
      </c>
      <c r="R3509">
        <v>5.0803484000000003E-2</v>
      </c>
      <c r="S3509">
        <v>0.42866070000000001</v>
      </c>
      <c r="T3509" t="s">
        <v>1018</v>
      </c>
      <c r="U3509">
        <v>1.0661815160000001</v>
      </c>
    </row>
    <row r="3510" spans="1:21" x14ac:dyDescent="0.25">
      <c r="A3510" t="s">
        <v>84</v>
      </c>
      <c r="B3510" t="s">
        <v>995</v>
      </c>
      <c r="C3510">
        <v>6</v>
      </c>
      <c r="D3510" t="s">
        <v>23</v>
      </c>
      <c r="E3510" t="s">
        <v>95</v>
      </c>
      <c r="F3510" t="s">
        <v>102</v>
      </c>
      <c r="G3510" t="s">
        <v>121</v>
      </c>
      <c r="H3510" t="s">
        <v>103</v>
      </c>
      <c r="J3510">
        <v>0</v>
      </c>
      <c r="K3510">
        <v>5</v>
      </c>
      <c r="L3510">
        <v>84.740740740000007</v>
      </c>
      <c r="M3510">
        <v>29.167014049999999</v>
      </c>
      <c r="N3510">
        <v>1.1169849999999999</v>
      </c>
      <c r="O3510">
        <v>1.1571499000000001</v>
      </c>
      <c r="P3510">
        <v>98.291666669999998</v>
      </c>
      <c r="Q3510">
        <v>30.315130790000001</v>
      </c>
      <c r="R3510">
        <v>5.0803484000000003E-2</v>
      </c>
      <c r="S3510">
        <v>0.42866070000000001</v>
      </c>
      <c r="T3510" t="s">
        <v>1018</v>
      </c>
      <c r="U3510">
        <v>1.0661815160000001</v>
      </c>
    </row>
    <row r="3511" spans="1:21" x14ac:dyDescent="0.25">
      <c r="A3511" t="s">
        <v>84</v>
      </c>
      <c r="B3511" t="s">
        <v>996</v>
      </c>
      <c r="C3511">
        <v>6</v>
      </c>
      <c r="D3511" t="s">
        <v>23</v>
      </c>
      <c r="E3511" t="s">
        <v>95</v>
      </c>
      <c r="F3511" t="s">
        <v>105</v>
      </c>
      <c r="G3511" t="s">
        <v>103</v>
      </c>
      <c r="H3511" t="s">
        <v>114</v>
      </c>
      <c r="J3511">
        <v>0</v>
      </c>
      <c r="K3511" t="s">
        <v>114</v>
      </c>
      <c r="L3511">
        <v>67.5</v>
      </c>
      <c r="M3511">
        <v>47.937235809999997</v>
      </c>
      <c r="N3511">
        <v>0.41599678000000001</v>
      </c>
      <c r="O3511">
        <v>2.0950346999999998</v>
      </c>
      <c r="P3511" t="s">
        <v>114</v>
      </c>
      <c r="Q3511" t="s">
        <v>114</v>
      </c>
      <c r="R3511" t="s">
        <v>114</v>
      </c>
      <c r="S3511" t="s">
        <v>114</v>
      </c>
      <c r="T3511" t="s">
        <v>1018</v>
      </c>
      <c r="U3511" t="s">
        <v>114</v>
      </c>
    </row>
    <row r="3512" spans="1:21" x14ac:dyDescent="0.25">
      <c r="A3512" t="s">
        <v>84</v>
      </c>
      <c r="B3512" t="s">
        <v>997</v>
      </c>
      <c r="C3512">
        <v>6</v>
      </c>
      <c r="D3512" t="s">
        <v>23</v>
      </c>
      <c r="E3512" t="s">
        <v>95</v>
      </c>
      <c r="F3512" t="s">
        <v>111</v>
      </c>
      <c r="G3512" t="s">
        <v>103</v>
      </c>
      <c r="H3512" t="s">
        <v>103</v>
      </c>
      <c r="J3512">
        <v>0</v>
      </c>
      <c r="K3512">
        <v>2</v>
      </c>
      <c r="L3512">
        <v>94.97142857</v>
      </c>
      <c r="M3512">
        <v>24.31591813</v>
      </c>
      <c r="N3512">
        <v>0.122951111</v>
      </c>
      <c r="O3512">
        <v>0.39050790000000002</v>
      </c>
      <c r="P3512">
        <v>98.291666669999998</v>
      </c>
      <c r="Q3512">
        <v>30.315130790000001</v>
      </c>
      <c r="R3512">
        <v>5.0803484000000003E-2</v>
      </c>
      <c r="S3512">
        <v>0.42866070000000001</v>
      </c>
      <c r="T3512" t="s">
        <v>1018</v>
      </c>
      <c r="U3512">
        <v>7.2147627000000006E-2</v>
      </c>
    </row>
    <row r="3513" spans="1:21" x14ac:dyDescent="0.25">
      <c r="A3513" t="s">
        <v>84</v>
      </c>
      <c r="B3513" t="s">
        <v>997</v>
      </c>
      <c r="C3513">
        <v>6</v>
      </c>
      <c r="D3513" t="s">
        <v>23</v>
      </c>
      <c r="E3513" t="s">
        <v>95</v>
      </c>
      <c r="F3513" t="s">
        <v>111</v>
      </c>
      <c r="G3513" t="s">
        <v>103</v>
      </c>
      <c r="H3513" t="s">
        <v>103</v>
      </c>
      <c r="J3513">
        <v>0</v>
      </c>
      <c r="K3513">
        <v>2</v>
      </c>
      <c r="L3513">
        <v>94.97142857</v>
      </c>
      <c r="M3513">
        <v>24.31591813</v>
      </c>
      <c r="N3513">
        <v>0.122951111</v>
      </c>
      <c r="O3513">
        <v>0.39050790000000002</v>
      </c>
      <c r="P3513">
        <v>98.291666669999998</v>
      </c>
      <c r="Q3513">
        <v>30.315130790000001</v>
      </c>
      <c r="R3513">
        <v>5.0803484000000003E-2</v>
      </c>
      <c r="S3513">
        <v>0.42866070000000001</v>
      </c>
      <c r="T3513" t="s">
        <v>1018</v>
      </c>
      <c r="U3513">
        <v>7.2147627000000006E-2</v>
      </c>
    </row>
    <row r="3514" spans="1:21" x14ac:dyDescent="0.25">
      <c r="A3514" t="s">
        <v>84</v>
      </c>
      <c r="B3514" t="s">
        <v>997</v>
      </c>
      <c r="C3514">
        <v>6</v>
      </c>
      <c r="D3514" t="s">
        <v>23</v>
      </c>
      <c r="E3514" t="s">
        <v>95</v>
      </c>
      <c r="F3514" t="s">
        <v>111</v>
      </c>
      <c r="G3514" t="s">
        <v>103</v>
      </c>
      <c r="H3514" t="s">
        <v>247</v>
      </c>
      <c r="J3514">
        <v>0</v>
      </c>
      <c r="K3514">
        <v>1</v>
      </c>
      <c r="L3514">
        <v>94.97142857</v>
      </c>
      <c r="M3514">
        <v>24.31591813</v>
      </c>
      <c r="N3514">
        <v>0.122951111</v>
      </c>
      <c r="O3514">
        <v>0.39050790000000002</v>
      </c>
      <c r="P3514">
        <v>65.791044779999993</v>
      </c>
      <c r="Q3514">
        <v>22.94519201</v>
      </c>
      <c r="R3514">
        <v>8.1320334999999994E-2</v>
      </c>
      <c r="S3514">
        <v>0.17285655</v>
      </c>
      <c r="T3514" t="s">
        <v>1018</v>
      </c>
      <c r="U3514">
        <v>4.1630776000000001E-2</v>
      </c>
    </row>
    <row r="3515" spans="1:21" x14ac:dyDescent="0.25">
      <c r="A3515" t="s">
        <v>84</v>
      </c>
      <c r="B3515" t="s">
        <v>997</v>
      </c>
      <c r="C3515">
        <v>6</v>
      </c>
      <c r="D3515" t="s">
        <v>23</v>
      </c>
      <c r="E3515" t="s">
        <v>95</v>
      </c>
      <c r="F3515" t="s">
        <v>111</v>
      </c>
      <c r="G3515" t="s">
        <v>103</v>
      </c>
      <c r="H3515" t="s">
        <v>233</v>
      </c>
      <c r="J3515">
        <v>0</v>
      </c>
      <c r="K3515">
        <v>1</v>
      </c>
      <c r="L3515">
        <v>94.97142857</v>
      </c>
      <c r="M3515">
        <v>24.31591813</v>
      </c>
      <c r="N3515">
        <v>0.122951111</v>
      </c>
      <c r="O3515">
        <v>0.39050790000000002</v>
      </c>
      <c r="P3515">
        <v>106.0540541</v>
      </c>
      <c r="Q3515">
        <v>52.690533369999997</v>
      </c>
      <c r="R3515">
        <v>7.6058968000000005E-2</v>
      </c>
      <c r="S3515">
        <v>0.44888888999999998</v>
      </c>
      <c r="T3515" t="s">
        <v>1018</v>
      </c>
      <c r="U3515">
        <v>4.6892142999999997E-2</v>
      </c>
    </row>
    <row r="3516" spans="1:21" x14ac:dyDescent="0.25">
      <c r="A3516" t="s">
        <v>84</v>
      </c>
      <c r="B3516" t="s">
        <v>997</v>
      </c>
      <c r="C3516">
        <v>6</v>
      </c>
      <c r="D3516" t="s">
        <v>23</v>
      </c>
      <c r="E3516" t="s">
        <v>95</v>
      </c>
      <c r="F3516" t="s">
        <v>111</v>
      </c>
      <c r="G3516" t="s">
        <v>103</v>
      </c>
      <c r="H3516" t="s">
        <v>808</v>
      </c>
      <c r="J3516">
        <v>0</v>
      </c>
      <c r="K3516">
        <v>1</v>
      </c>
      <c r="L3516">
        <v>94.97142857</v>
      </c>
      <c r="M3516">
        <v>24.31591813</v>
      </c>
      <c r="N3516">
        <v>0.122951111</v>
      </c>
      <c r="O3516">
        <v>0.39050790000000002</v>
      </c>
      <c r="P3516">
        <v>102.79166669999999</v>
      </c>
      <c r="Q3516">
        <v>27.057373470000002</v>
      </c>
      <c r="R3516">
        <v>6.3567849939999999</v>
      </c>
      <c r="S3516" t="s">
        <v>114</v>
      </c>
      <c r="T3516" t="s">
        <v>1018</v>
      </c>
      <c r="U3516">
        <v>-6.233833883</v>
      </c>
    </row>
    <row r="3517" spans="1:21" x14ac:dyDescent="0.25">
      <c r="A3517" t="s">
        <v>84</v>
      </c>
      <c r="B3517" t="s">
        <v>998</v>
      </c>
      <c r="C3517">
        <v>6</v>
      </c>
      <c r="D3517" t="s">
        <v>23</v>
      </c>
      <c r="E3517" t="s">
        <v>95</v>
      </c>
      <c r="F3517" t="s">
        <v>112</v>
      </c>
      <c r="G3517" t="s">
        <v>103</v>
      </c>
      <c r="H3517" t="s">
        <v>236</v>
      </c>
      <c r="J3517">
        <v>0</v>
      </c>
      <c r="K3517">
        <v>1</v>
      </c>
      <c r="L3517">
        <v>65.09375</v>
      </c>
      <c r="M3517">
        <v>37.895352600000002</v>
      </c>
      <c r="N3517">
        <v>2.2882677779999998</v>
      </c>
      <c r="O3517">
        <v>2.2111774</v>
      </c>
      <c r="P3517">
        <v>113.33333330000001</v>
      </c>
      <c r="Q3517">
        <v>26.41632581</v>
      </c>
      <c r="R3517">
        <v>1.6844570160000001</v>
      </c>
      <c r="S3517">
        <v>8.9285710000000004E-2</v>
      </c>
      <c r="T3517" t="s">
        <v>1018</v>
      </c>
      <c r="U3517">
        <v>0.60381076199999995</v>
      </c>
    </row>
    <row r="3518" spans="1:21" x14ac:dyDescent="0.25">
      <c r="A3518" t="s">
        <v>84</v>
      </c>
      <c r="B3518" t="s">
        <v>998</v>
      </c>
      <c r="C3518">
        <v>6</v>
      </c>
      <c r="D3518" t="s">
        <v>23</v>
      </c>
      <c r="E3518" t="s">
        <v>95</v>
      </c>
      <c r="F3518" t="s">
        <v>112</v>
      </c>
      <c r="G3518" t="s">
        <v>103</v>
      </c>
      <c r="H3518" t="s">
        <v>103</v>
      </c>
      <c r="J3518">
        <v>0</v>
      </c>
      <c r="K3518">
        <v>2</v>
      </c>
      <c r="L3518">
        <v>65.09375</v>
      </c>
      <c r="M3518">
        <v>37.895352600000002</v>
      </c>
      <c r="N3518">
        <v>2.2882677779999998</v>
      </c>
      <c r="O3518">
        <v>2.2111774</v>
      </c>
      <c r="P3518">
        <v>98.291666669999998</v>
      </c>
      <c r="Q3518">
        <v>30.315130790000001</v>
      </c>
      <c r="R3518">
        <v>5.0803484000000003E-2</v>
      </c>
      <c r="S3518">
        <v>0.42866070000000001</v>
      </c>
      <c r="T3518" t="s">
        <v>1018</v>
      </c>
      <c r="U3518">
        <v>2.237464294</v>
      </c>
    </row>
    <row r="3519" spans="1:21" x14ac:dyDescent="0.25">
      <c r="A3519" t="s">
        <v>84</v>
      </c>
      <c r="B3519" t="s">
        <v>998</v>
      </c>
      <c r="C3519">
        <v>6</v>
      </c>
      <c r="D3519" t="s">
        <v>23</v>
      </c>
      <c r="E3519" t="s">
        <v>95</v>
      </c>
      <c r="F3519" t="s">
        <v>112</v>
      </c>
      <c r="G3519" t="s">
        <v>103</v>
      </c>
      <c r="H3519" t="s">
        <v>103</v>
      </c>
      <c r="J3519">
        <v>0</v>
      </c>
      <c r="K3519">
        <v>2</v>
      </c>
      <c r="L3519">
        <v>65.09375</v>
      </c>
      <c r="M3519">
        <v>37.895352600000002</v>
      </c>
      <c r="N3519">
        <v>2.2882677779999998</v>
      </c>
      <c r="O3519">
        <v>2.2111774</v>
      </c>
      <c r="P3519">
        <v>98.291666669999998</v>
      </c>
      <c r="Q3519">
        <v>30.315130790000001</v>
      </c>
      <c r="R3519">
        <v>5.0803484000000003E-2</v>
      </c>
      <c r="S3519">
        <v>0.42866070000000001</v>
      </c>
      <c r="T3519" t="s">
        <v>1018</v>
      </c>
      <c r="U3519">
        <v>2.237464294</v>
      </c>
    </row>
    <row r="3520" spans="1:21" x14ac:dyDescent="0.25">
      <c r="A3520" t="s">
        <v>84</v>
      </c>
      <c r="B3520" t="s">
        <v>998</v>
      </c>
      <c r="C3520">
        <v>6</v>
      </c>
      <c r="D3520" t="s">
        <v>23</v>
      </c>
      <c r="E3520" t="s">
        <v>95</v>
      </c>
      <c r="F3520" t="s">
        <v>112</v>
      </c>
      <c r="G3520" t="s">
        <v>103</v>
      </c>
      <c r="H3520" t="s">
        <v>808</v>
      </c>
      <c r="J3520">
        <v>0</v>
      </c>
      <c r="K3520">
        <v>1</v>
      </c>
      <c r="L3520">
        <v>65.09375</v>
      </c>
      <c r="M3520">
        <v>37.895352600000002</v>
      </c>
      <c r="N3520">
        <v>2.2882677779999998</v>
      </c>
      <c r="O3520">
        <v>2.2111774</v>
      </c>
      <c r="P3520">
        <v>102.79166669999999</v>
      </c>
      <c r="Q3520">
        <v>27.057373470000002</v>
      </c>
      <c r="R3520">
        <v>6.3567849939999999</v>
      </c>
      <c r="S3520" t="s">
        <v>114</v>
      </c>
      <c r="T3520" t="s">
        <v>1018</v>
      </c>
      <c r="U3520">
        <v>-4.068517216</v>
      </c>
    </row>
    <row r="3521" spans="1:21" x14ac:dyDescent="0.25">
      <c r="A3521" t="s">
        <v>84</v>
      </c>
      <c r="B3521" t="s">
        <v>998</v>
      </c>
      <c r="C3521">
        <v>6</v>
      </c>
      <c r="D3521" t="s">
        <v>23</v>
      </c>
      <c r="E3521" t="s">
        <v>95</v>
      </c>
      <c r="F3521" t="s">
        <v>112</v>
      </c>
      <c r="G3521" t="s">
        <v>103</v>
      </c>
      <c r="H3521" t="s">
        <v>239</v>
      </c>
      <c r="J3521">
        <v>0</v>
      </c>
      <c r="K3521">
        <v>2</v>
      </c>
      <c r="L3521">
        <v>65.09375</v>
      </c>
      <c r="M3521">
        <v>37.895352600000002</v>
      </c>
      <c r="N3521">
        <v>2.2882677779999998</v>
      </c>
      <c r="O3521">
        <v>2.2111774</v>
      </c>
      <c r="P3521">
        <v>100.45454549999999</v>
      </c>
      <c r="Q3521">
        <v>26.754810689999999</v>
      </c>
      <c r="R3521">
        <v>0.75829999999999997</v>
      </c>
      <c r="S3521">
        <v>0.40907861000000001</v>
      </c>
      <c r="T3521" t="s">
        <v>1018</v>
      </c>
      <c r="U3521">
        <v>1.5299677780000001</v>
      </c>
    </row>
    <row r="3522" spans="1:21" x14ac:dyDescent="0.25">
      <c r="A3522" t="s">
        <v>84</v>
      </c>
      <c r="B3522" t="s">
        <v>998</v>
      </c>
      <c r="C3522">
        <v>6</v>
      </c>
      <c r="D3522" t="s">
        <v>23</v>
      </c>
      <c r="E3522" t="s">
        <v>95</v>
      </c>
      <c r="F3522" t="s">
        <v>112</v>
      </c>
      <c r="G3522" t="s">
        <v>103</v>
      </c>
      <c r="H3522" t="s">
        <v>239</v>
      </c>
      <c r="J3522">
        <v>0</v>
      </c>
      <c r="K3522">
        <v>2</v>
      </c>
      <c r="L3522">
        <v>65.09375</v>
      </c>
      <c r="M3522">
        <v>37.895352600000002</v>
      </c>
      <c r="N3522">
        <v>2.2882677779999998</v>
      </c>
      <c r="O3522">
        <v>2.2111774</v>
      </c>
      <c r="P3522">
        <v>100.45454549999999</v>
      </c>
      <c r="Q3522">
        <v>26.754810689999999</v>
      </c>
      <c r="R3522">
        <v>0.75829999999999997</v>
      </c>
      <c r="S3522">
        <v>0.40907861000000001</v>
      </c>
      <c r="T3522" t="s">
        <v>1018</v>
      </c>
      <c r="U3522">
        <v>1.5299677780000001</v>
      </c>
    </row>
    <row r="3523" spans="1:21" x14ac:dyDescent="0.25">
      <c r="A3523" t="s">
        <v>85</v>
      </c>
      <c r="B3523" t="s">
        <v>999</v>
      </c>
      <c r="C3523">
        <v>6</v>
      </c>
      <c r="D3523" t="s">
        <v>25</v>
      </c>
      <c r="E3523" t="s">
        <v>94</v>
      </c>
      <c r="F3523" t="s">
        <v>105</v>
      </c>
      <c r="G3523" t="s">
        <v>103</v>
      </c>
      <c r="H3523" t="s">
        <v>810</v>
      </c>
      <c r="J3523">
        <v>0</v>
      </c>
      <c r="K3523">
        <v>1</v>
      </c>
      <c r="L3523">
        <v>67.5</v>
      </c>
      <c r="M3523">
        <v>47.937235809999997</v>
      </c>
      <c r="N3523">
        <v>0.41599678000000001</v>
      </c>
      <c r="O3523">
        <v>2.0950346999999998</v>
      </c>
      <c r="P3523">
        <v>77.055555560000002</v>
      </c>
      <c r="Q3523">
        <v>18.389110710000001</v>
      </c>
      <c r="R3523">
        <v>1.5559800079999999</v>
      </c>
      <c r="S3523" t="s">
        <v>114</v>
      </c>
      <c r="T3523" t="s">
        <v>1018</v>
      </c>
      <c r="U3523">
        <v>-1.139983228</v>
      </c>
    </row>
    <row r="3524" spans="1:21" x14ac:dyDescent="0.25">
      <c r="A3524" t="s">
        <v>85</v>
      </c>
      <c r="B3524" t="s">
        <v>999</v>
      </c>
      <c r="C3524">
        <v>6</v>
      </c>
      <c r="D3524" t="s">
        <v>25</v>
      </c>
      <c r="E3524" t="s">
        <v>94</v>
      </c>
      <c r="F3524" t="s">
        <v>105</v>
      </c>
      <c r="G3524" t="s">
        <v>103</v>
      </c>
      <c r="H3524" t="s">
        <v>104</v>
      </c>
      <c r="J3524">
        <v>0</v>
      </c>
      <c r="K3524">
        <v>1</v>
      </c>
      <c r="L3524">
        <v>67.5</v>
      </c>
      <c r="M3524">
        <v>47.937235809999997</v>
      </c>
      <c r="N3524">
        <v>0.41599678000000001</v>
      </c>
      <c r="O3524">
        <v>2.0950346999999998</v>
      </c>
      <c r="P3524">
        <v>113.9375</v>
      </c>
      <c r="Q3524">
        <v>33.375507550000002</v>
      </c>
      <c r="R3524">
        <v>2.4262999999999999</v>
      </c>
      <c r="S3524">
        <v>0.40692159999999999</v>
      </c>
      <c r="T3524" t="s">
        <v>1018</v>
      </c>
      <c r="U3524">
        <v>-2.0103032199999999</v>
      </c>
    </row>
    <row r="3525" spans="1:21" x14ac:dyDescent="0.25">
      <c r="A3525" t="s">
        <v>85</v>
      </c>
      <c r="B3525" t="s">
        <v>999</v>
      </c>
      <c r="C3525">
        <v>6</v>
      </c>
      <c r="D3525" t="s">
        <v>25</v>
      </c>
      <c r="E3525" t="s">
        <v>94</v>
      </c>
      <c r="F3525" t="s">
        <v>105</v>
      </c>
      <c r="G3525" t="s">
        <v>103</v>
      </c>
      <c r="H3525" t="s">
        <v>110</v>
      </c>
      <c r="J3525">
        <v>0</v>
      </c>
      <c r="K3525">
        <v>1</v>
      </c>
      <c r="L3525">
        <v>67.5</v>
      </c>
      <c r="M3525">
        <v>47.937235809999997</v>
      </c>
      <c r="N3525">
        <v>0.41599678000000001</v>
      </c>
      <c r="O3525">
        <v>2.0950346999999998</v>
      </c>
      <c r="P3525">
        <v>73.260869569999997</v>
      </c>
      <c r="Q3525">
        <v>34.453830549999999</v>
      </c>
      <c r="R3525">
        <v>1.058333333</v>
      </c>
      <c r="S3525">
        <v>0.90897070000000002</v>
      </c>
      <c r="T3525" t="s">
        <v>1018</v>
      </c>
      <c r="U3525">
        <v>-0.64233655300000003</v>
      </c>
    </row>
    <row r="3526" spans="1:21" x14ac:dyDescent="0.25">
      <c r="A3526" t="s">
        <v>85</v>
      </c>
      <c r="B3526" t="s">
        <v>999</v>
      </c>
      <c r="C3526">
        <v>6</v>
      </c>
      <c r="D3526" t="s">
        <v>25</v>
      </c>
      <c r="E3526" t="s">
        <v>94</v>
      </c>
      <c r="F3526" t="s">
        <v>105</v>
      </c>
      <c r="G3526" t="s">
        <v>103</v>
      </c>
      <c r="H3526" t="s">
        <v>103</v>
      </c>
      <c r="J3526">
        <v>0</v>
      </c>
      <c r="K3526">
        <v>4</v>
      </c>
      <c r="L3526">
        <v>67.5</v>
      </c>
      <c r="M3526">
        <v>47.937235809999997</v>
      </c>
      <c r="N3526">
        <v>0.41599678000000001</v>
      </c>
      <c r="O3526">
        <v>2.0950346999999998</v>
      </c>
      <c r="P3526">
        <v>98.291666669999998</v>
      </c>
      <c r="Q3526">
        <v>30.315130790000001</v>
      </c>
      <c r="R3526">
        <v>5.0803484000000003E-2</v>
      </c>
      <c r="S3526">
        <v>0.42866070000000001</v>
      </c>
      <c r="T3526" t="s">
        <v>1018</v>
      </c>
      <c r="U3526">
        <v>0.365193296</v>
      </c>
    </row>
    <row r="3527" spans="1:21" x14ac:dyDescent="0.25">
      <c r="A3527" t="s">
        <v>85</v>
      </c>
      <c r="B3527" t="s">
        <v>999</v>
      </c>
      <c r="C3527">
        <v>6</v>
      </c>
      <c r="D3527" t="s">
        <v>25</v>
      </c>
      <c r="E3527" t="s">
        <v>94</v>
      </c>
      <c r="F3527" t="s">
        <v>105</v>
      </c>
      <c r="G3527" t="s">
        <v>103</v>
      </c>
      <c r="H3527" t="s">
        <v>103</v>
      </c>
      <c r="J3527">
        <v>0</v>
      </c>
      <c r="K3527">
        <v>4</v>
      </c>
      <c r="L3527">
        <v>67.5</v>
      </c>
      <c r="M3527">
        <v>47.937235809999997</v>
      </c>
      <c r="N3527">
        <v>0.41599678000000001</v>
      </c>
      <c r="O3527">
        <v>2.0950346999999998</v>
      </c>
      <c r="P3527">
        <v>98.291666669999998</v>
      </c>
      <c r="Q3527">
        <v>30.315130790000001</v>
      </c>
      <c r="R3527">
        <v>5.0803484000000003E-2</v>
      </c>
      <c r="S3527">
        <v>0.42866070000000001</v>
      </c>
      <c r="T3527" t="s">
        <v>1018</v>
      </c>
      <c r="U3527">
        <v>0.365193296</v>
      </c>
    </row>
    <row r="3528" spans="1:21" x14ac:dyDescent="0.25">
      <c r="A3528" t="s">
        <v>85</v>
      </c>
      <c r="B3528" t="s">
        <v>999</v>
      </c>
      <c r="C3528">
        <v>6</v>
      </c>
      <c r="D3528" t="s">
        <v>25</v>
      </c>
      <c r="E3528" t="s">
        <v>94</v>
      </c>
      <c r="F3528" t="s">
        <v>105</v>
      </c>
      <c r="G3528" t="s">
        <v>103</v>
      </c>
      <c r="H3528" t="s">
        <v>103</v>
      </c>
      <c r="J3528">
        <v>0</v>
      </c>
      <c r="K3528">
        <v>4</v>
      </c>
      <c r="L3528">
        <v>67.5</v>
      </c>
      <c r="M3528">
        <v>47.937235809999997</v>
      </c>
      <c r="N3528">
        <v>0.41599678000000001</v>
      </c>
      <c r="O3528">
        <v>2.0950346999999998</v>
      </c>
      <c r="P3528">
        <v>98.291666669999998</v>
      </c>
      <c r="Q3528">
        <v>30.315130790000001</v>
      </c>
      <c r="R3528">
        <v>5.0803484000000003E-2</v>
      </c>
      <c r="S3528">
        <v>0.42866070000000001</v>
      </c>
      <c r="T3528" t="s">
        <v>1018</v>
      </c>
      <c r="U3528">
        <v>0.365193296</v>
      </c>
    </row>
    <row r="3529" spans="1:21" x14ac:dyDescent="0.25">
      <c r="A3529" t="s">
        <v>85</v>
      </c>
      <c r="B3529" t="s">
        <v>999</v>
      </c>
      <c r="C3529">
        <v>6</v>
      </c>
      <c r="D3529" t="s">
        <v>25</v>
      </c>
      <c r="E3529" t="s">
        <v>94</v>
      </c>
      <c r="F3529" t="s">
        <v>105</v>
      </c>
      <c r="G3529" t="s">
        <v>103</v>
      </c>
      <c r="H3529" t="s">
        <v>103</v>
      </c>
      <c r="J3529">
        <v>0</v>
      </c>
      <c r="K3529">
        <v>4</v>
      </c>
      <c r="L3529">
        <v>67.5</v>
      </c>
      <c r="M3529">
        <v>47.937235809999997</v>
      </c>
      <c r="N3529">
        <v>0.41599678000000001</v>
      </c>
      <c r="O3529">
        <v>2.0950346999999998</v>
      </c>
      <c r="P3529">
        <v>98.291666669999998</v>
      </c>
      <c r="Q3529">
        <v>30.315130790000001</v>
      </c>
      <c r="R3529">
        <v>5.0803484000000003E-2</v>
      </c>
      <c r="S3529">
        <v>0.42866070000000001</v>
      </c>
      <c r="T3529" t="s">
        <v>1018</v>
      </c>
      <c r="U3529">
        <v>0.365193296</v>
      </c>
    </row>
    <row r="3530" spans="1:21" x14ac:dyDescent="0.25">
      <c r="A3530" t="s">
        <v>85</v>
      </c>
      <c r="B3530" t="s">
        <v>1000</v>
      </c>
      <c r="C3530">
        <v>6</v>
      </c>
      <c r="D3530" t="s">
        <v>25</v>
      </c>
      <c r="E3530" t="s">
        <v>94</v>
      </c>
      <c r="F3530" t="s">
        <v>110</v>
      </c>
      <c r="G3530" t="s">
        <v>103</v>
      </c>
      <c r="H3530" t="s">
        <v>103</v>
      </c>
      <c r="J3530">
        <v>0</v>
      </c>
      <c r="K3530">
        <v>9</v>
      </c>
      <c r="L3530">
        <v>73.260869569999997</v>
      </c>
      <c r="M3530">
        <v>34.453830549999999</v>
      </c>
      <c r="N3530">
        <v>1.058333333</v>
      </c>
      <c r="O3530">
        <v>0.90897070000000002</v>
      </c>
      <c r="P3530">
        <v>98.291666669999998</v>
      </c>
      <c r="Q3530">
        <v>30.315130790000001</v>
      </c>
      <c r="R3530">
        <v>5.0803484000000003E-2</v>
      </c>
      <c r="S3530">
        <v>0.42866070000000001</v>
      </c>
      <c r="T3530" t="s">
        <v>1018</v>
      </c>
      <c r="U3530">
        <v>1.007529849</v>
      </c>
    </row>
    <row r="3531" spans="1:21" x14ac:dyDescent="0.25">
      <c r="A3531" t="s">
        <v>85</v>
      </c>
      <c r="B3531" t="s">
        <v>1000</v>
      </c>
      <c r="C3531">
        <v>6</v>
      </c>
      <c r="D3531" t="s">
        <v>25</v>
      </c>
      <c r="E3531" t="s">
        <v>94</v>
      </c>
      <c r="F3531" t="s">
        <v>110</v>
      </c>
      <c r="G3531" t="s">
        <v>103</v>
      </c>
      <c r="H3531" t="s">
        <v>103</v>
      </c>
      <c r="J3531">
        <v>0</v>
      </c>
      <c r="K3531">
        <v>9</v>
      </c>
      <c r="L3531">
        <v>73.260869569999997</v>
      </c>
      <c r="M3531">
        <v>34.453830549999999</v>
      </c>
      <c r="N3531">
        <v>1.058333333</v>
      </c>
      <c r="O3531">
        <v>0.90897070000000002</v>
      </c>
      <c r="P3531">
        <v>98.291666669999998</v>
      </c>
      <c r="Q3531">
        <v>30.315130790000001</v>
      </c>
      <c r="R3531">
        <v>5.0803484000000003E-2</v>
      </c>
      <c r="S3531">
        <v>0.42866070000000001</v>
      </c>
      <c r="T3531" t="s">
        <v>1018</v>
      </c>
      <c r="U3531">
        <v>1.007529849</v>
      </c>
    </row>
    <row r="3532" spans="1:21" x14ac:dyDescent="0.25">
      <c r="A3532" t="s">
        <v>85</v>
      </c>
      <c r="B3532" t="s">
        <v>1000</v>
      </c>
      <c r="C3532">
        <v>6</v>
      </c>
      <c r="D3532" t="s">
        <v>25</v>
      </c>
      <c r="E3532" t="s">
        <v>94</v>
      </c>
      <c r="F3532" t="s">
        <v>110</v>
      </c>
      <c r="G3532" t="s">
        <v>103</v>
      </c>
      <c r="H3532" t="s">
        <v>103</v>
      </c>
      <c r="J3532">
        <v>0</v>
      </c>
      <c r="K3532">
        <v>9</v>
      </c>
      <c r="L3532">
        <v>73.260869569999997</v>
      </c>
      <c r="M3532">
        <v>34.453830549999999</v>
      </c>
      <c r="N3532">
        <v>1.058333333</v>
      </c>
      <c r="O3532">
        <v>0.90897070000000002</v>
      </c>
      <c r="P3532">
        <v>98.291666669999998</v>
      </c>
      <c r="Q3532">
        <v>30.315130790000001</v>
      </c>
      <c r="R3532">
        <v>5.0803484000000003E-2</v>
      </c>
      <c r="S3532">
        <v>0.42866070000000001</v>
      </c>
      <c r="T3532" t="s">
        <v>1018</v>
      </c>
      <c r="U3532">
        <v>1.007529849</v>
      </c>
    </row>
    <row r="3533" spans="1:21" x14ac:dyDescent="0.25">
      <c r="A3533" t="s">
        <v>85</v>
      </c>
      <c r="B3533" t="s">
        <v>1000</v>
      </c>
      <c r="C3533">
        <v>6</v>
      </c>
      <c r="D3533" t="s">
        <v>25</v>
      </c>
      <c r="E3533" t="s">
        <v>94</v>
      </c>
      <c r="F3533" t="s">
        <v>110</v>
      </c>
      <c r="G3533" t="s">
        <v>103</v>
      </c>
      <c r="H3533" t="s">
        <v>103</v>
      </c>
      <c r="J3533">
        <v>0</v>
      </c>
      <c r="K3533">
        <v>9</v>
      </c>
      <c r="L3533">
        <v>73.260869569999997</v>
      </c>
      <c r="M3533">
        <v>34.453830549999999</v>
      </c>
      <c r="N3533">
        <v>1.058333333</v>
      </c>
      <c r="O3533">
        <v>0.90897070000000002</v>
      </c>
      <c r="P3533">
        <v>98.291666669999998</v>
      </c>
      <c r="Q3533">
        <v>30.315130790000001</v>
      </c>
      <c r="R3533">
        <v>5.0803484000000003E-2</v>
      </c>
      <c r="S3533">
        <v>0.42866070000000001</v>
      </c>
      <c r="T3533" t="s">
        <v>1018</v>
      </c>
      <c r="U3533">
        <v>1.007529849</v>
      </c>
    </row>
    <row r="3534" spans="1:21" x14ac:dyDescent="0.25">
      <c r="A3534" t="s">
        <v>85</v>
      </c>
      <c r="B3534" t="s">
        <v>1000</v>
      </c>
      <c r="C3534">
        <v>6</v>
      </c>
      <c r="D3534" t="s">
        <v>25</v>
      </c>
      <c r="E3534" t="s">
        <v>94</v>
      </c>
      <c r="F3534" t="s">
        <v>110</v>
      </c>
      <c r="G3534" t="s">
        <v>103</v>
      </c>
      <c r="H3534" t="s">
        <v>103</v>
      </c>
      <c r="J3534">
        <v>0</v>
      </c>
      <c r="K3534">
        <v>9</v>
      </c>
      <c r="L3534">
        <v>73.260869569999997</v>
      </c>
      <c r="M3534">
        <v>34.453830549999999</v>
      </c>
      <c r="N3534">
        <v>1.058333333</v>
      </c>
      <c r="O3534">
        <v>0.90897070000000002</v>
      </c>
      <c r="P3534">
        <v>98.291666669999998</v>
      </c>
      <c r="Q3534">
        <v>30.315130790000001</v>
      </c>
      <c r="R3534">
        <v>5.0803484000000003E-2</v>
      </c>
      <c r="S3534">
        <v>0.42866070000000001</v>
      </c>
      <c r="T3534" t="s">
        <v>1018</v>
      </c>
      <c r="U3534">
        <v>1.007529849</v>
      </c>
    </row>
    <row r="3535" spans="1:21" x14ac:dyDescent="0.25">
      <c r="A3535" t="s">
        <v>85</v>
      </c>
      <c r="B3535" t="s">
        <v>1000</v>
      </c>
      <c r="C3535">
        <v>6</v>
      </c>
      <c r="D3535" t="s">
        <v>25</v>
      </c>
      <c r="E3535" t="s">
        <v>94</v>
      </c>
      <c r="F3535" t="s">
        <v>110</v>
      </c>
      <c r="G3535" t="s">
        <v>103</v>
      </c>
      <c r="H3535" t="s">
        <v>103</v>
      </c>
      <c r="J3535">
        <v>0</v>
      </c>
      <c r="K3535">
        <v>9</v>
      </c>
      <c r="L3535">
        <v>73.260869569999997</v>
      </c>
      <c r="M3535">
        <v>34.453830549999999</v>
      </c>
      <c r="N3535">
        <v>1.058333333</v>
      </c>
      <c r="O3535">
        <v>0.90897070000000002</v>
      </c>
      <c r="P3535">
        <v>98.291666669999998</v>
      </c>
      <c r="Q3535">
        <v>30.315130790000001</v>
      </c>
      <c r="R3535">
        <v>5.0803484000000003E-2</v>
      </c>
      <c r="S3535">
        <v>0.42866070000000001</v>
      </c>
      <c r="T3535" t="s">
        <v>1018</v>
      </c>
      <c r="U3535">
        <v>1.007529849</v>
      </c>
    </row>
    <row r="3536" spans="1:21" x14ac:dyDescent="0.25">
      <c r="A3536" t="s">
        <v>85</v>
      </c>
      <c r="B3536" t="s">
        <v>1000</v>
      </c>
      <c r="C3536">
        <v>6</v>
      </c>
      <c r="D3536" t="s">
        <v>25</v>
      </c>
      <c r="E3536" t="s">
        <v>94</v>
      </c>
      <c r="F3536" t="s">
        <v>110</v>
      </c>
      <c r="G3536" t="s">
        <v>103</v>
      </c>
      <c r="H3536" t="s">
        <v>103</v>
      </c>
      <c r="J3536">
        <v>0</v>
      </c>
      <c r="K3536">
        <v>9</v>
      </c>
      <c r="L3536">
        <v>73.260869569999997</v>
      </c>
      <c r="M3536">
        <v>34.453830549999999</v>
      </c>
      <c r="N3536">
        <v>1.058333333</v>
      </c>
      <c r="O3536">
        <v>0.90897070000000002</v>
      </c>
      <c r="P3536">
        <v>98.291666669999998</v>
      </c>
      <c r="Q3536">
        <v>30.315130790000001</v>
      </c>
      <c r="R3536">
        <v>5.0803484000000003E-2</v>
      </c>
      <c r="S3536">
        <v>0.42866070000000001</v>
      </c>
      <c r="T3536" t="s">
        <v>1018</v>
      </c>
      <c r="U3536">
        <v>1.007529849</v>
      </c>
    </row>
    <row r="3537" spans="1:21" x14ac:dyDescent="0.25">
      <c r="A3537" t="s">
        <v>85</v>
      </c>
      <c r="B3537" t="s">
        <v>1000</v>
      </c>
      <c r="C3537">
        <v>6</v>
      </c>
      <c r="D3537" t="s">
        <v>25</v>
      </c>
      <c r="E3537" t="s">
        <v>94</v>
      </c>
      <c r="F3537" t="s">
        <v>110</v>
      </c>
      <c r="G3537" t="s">
        <v>103</v>
      </c>
      <c r="H3537" t="s">
        <v>103</v>
      </c>
      <c r="J3537">
        <v>0</v>
      </c>
      <c r="K3537">
        <v>9</v>
      </c>
      <c r="L3537">
        <v>73.260869569999997</v>
      </c>
      <c r="M3537">
        <v>34.453830549999999</v>
      </c>
      <c r="N3537">
        <v>1.058333333</v>
      </c>
      <c r="O3537">
        <v>0.90897070000000002</v>
      </c>
      <c r="P3537">
        <v>98.291666669999998</v>
      </c>
      <c r="Q3537">
        <v>30.315130790000001</v>
      </c>
      <c r="R3537">
        <v>5.0803484000000003E-2</v>
      </c>
      <c r="S3537">
        <v>0.42866070000000001</v>
      </c>
      <c r="T3537" t="s">
        <v>1018</v>
      </c>
      <c r="U3537">
        <v>1.007529849</v>
      </c>
    </row>
    <row r="3538" spans="1:21" x14ac:dyDescent="0.25">
      <c r="A3538" t="s">
        <v>85</v>
      </c>
      <c r="B3538" t="s">
        <v>1000</v>
      </c>
      <c r="C3538">
        <v>6</v>
      </c>
      <c r="D3538" t="s">
        <v>25</v>
      </c>
      <c r="E3538" t="s">
        <v>94</v>
      </c>
      <c r="F3538" t="s">
        <v>110</v>
      </c>
      <c r="G3538" t="s">
        <v>103</v>
      </c>
      <c r="H3538" t="s">
        <v>103</v>
      </c>
      <c r="J3538">
        <v>0</v>
      </c>
      <c r="K3538">
        <v>9</v>
      </c>
      <c r="L3538">
        <v>73.260869569999997</v>
      </c>
      <c r="M3538">
        <v>34.453830549999999</v>
      </c>
      <c r="N3538">
        <v>1.058333333</v>
      </c>
      <c r="O3538">
        <v>0.90897070000000002</v>
      </c>
      <c r="P3538">
        <v>98.291666669999998</v>
      </c>
      <c r="Q3538">
        <v>30.315130790000001</v>
      </c>
      <c r="R3538">
        <v>5.0803484000000003E-2</v>
      </c>
      <c r="S3538">
        <v>0.42866070000000001</v>
      </c>
      <c r="T3538" t="s">
        <v>1018</v>
      </c>
      <c r="U3538">
        <v>1.007529849</v>
      </c>
    </row>
    <row r="3539" spans="1:21" x14ac:dyDescent="0.25">
      <c r="A3539" t="s">
        <v>85</v>
      </c>
      <c r="B3539" t="s">
        <v>1000</v>
      </c>
      <c r="C3539">
        <v>6</v>
      </c>
      <c r="D3539" t="s">
        <v>25</v>
      </c>
      <c r="E3539" t="s">
        <v>94</v>
      </c>
      <c r="F3539" t="s">
        <v>110</v>
      </c>
      <c r="G3539" t="s">
        <v>103</v>
      </c>
      <c r="H3539" t="s">
        <v>248</v>
      </c>
      <c r="J3539">
        <v>0</v>
      </c>
      <c r="K3539">
        <v>4</v>
      </c>
      <c r="L3539">
        <v>73.260869569999997</v>
      </c>
      <c r="M3539">
        <v>34.453830549999999</v>
      </c>
      <c r="N3539">
        <v>1.058333333</v>
      </c>
      <c r="O3539">
        <v>0.90897070000000002</v>
      </c>
      <c r="P3539">
        <v>83.92307692</v>
      </c>
      <c r="Q3539">
        <v>44.319135699999997</v>
      </c>
      <c r="R3539">
        <v>5.9548609999999997E-3</v>
      </c>
      <c r="S3539">
        <v>0.18017928</v>
      </c>
      <c r="T3539" t="s">
        <v>1018</v>
      </c>
      <c r="U3539">
        <v>1.052378472</v>
      </c>
    </row>
    <row r="3540" spans="1:21" x14ac:dyDescent="0.25">
      <c r="A3540" t="s">
        <v>85</v>
      </c>
      <c r="B3540" t="s">
        <v>1000</v>
      </c>
      <c r="C3540">
        <v>6</v>
      </c>
      <c r="D3540" t="s">
        <v>25</v>
      </c>
      <c r="E3540" t="s">
        <v>94</v>
      </c>
      <c r="F3540" t="s">
        <v>110</v>
      </c>
      <c r="G3540" t="s">
        <v>103</v>
      </c>
      <c r="H3540" t="s">
        <v>248</v>
      </c>
      <c r="J3540">
        <v>0</v>
      </c>
      <c r="K3540">
        <v>4</v>
      </c>
      <c r="L3540">
        <v>73.260869569999997</v>
      </c>
      <c r="M3540">
        <v>34.453830549999999</v>
      </c>
      <c r="N3540">
        <v>1.058333333</v>
      </c>
      <c r="O3540">
        <v>0.90897070000000002</v>
      </c>
      <c r="P3540">
        <v>83.92307692</v>
      </c>
      <c r="Q3540">
        <v>44.319135699999997</v>
      </c>
      <c r="R3540">
        <v>5.9548609999999997E-3</v>
      </c>
      <c r="S3540">
        <v>0.18017928</v>
      </c>
      <c r="T3540" t="s">
        <v>1018</v>
      </c>
      <c r="U3540">
        <v>1.052378472</v>
      </c>
    </row>
    <row r="3541" spans="1:21" x14ac:dyDescent="0.25">
      <c r="A3541" t="s">
        <v>85</v>
      </c>
      <c r="B3541" t="s">
        <v>1000</v>
      </c>
      <c r="C3541">
        <v>6</v>
      </c>
      <c r="D3541" t="s">
        <v>25</v>
      </c>
      <c r="E3541" t="s">
        <v>94</v>
      </c>
      <c r="F3541" t="s">
        <v>110</v>
      </c>
      <c r="G3541" t="s">
        <v>103</v>
      </c>
      <c r="H3541" t="s">
        <v>248</v>
      </c>
      <c r="J3541">
        <v>0</v>
      </c>
      <c r="K3541">
        <v>4</v>
      </c>
      <c r="L3541">
        <v>73.260869569999997</v>
      </c>
      <c r="M3541">
        <v>34.453830549999999</v>
      </c>
      <c r="N3541">
        <v>1.058333333</v>
      </c>
      <c r="O3541">
        <v>0.90897070000000002</v>
      </c>
      <c r="P3541">
        <v>83.92307692</v>
      </c>
      <c r="Q3541">
        <v>44.319135699999997</v>
      </c>
      <c r="R3541">
        <v>5.9548609999999997E-3</v>
      </c>
      <c r="S3541">
        <v>0.18017928</v>
      </c>
      <c r="T3541" t="s">
        <v>1018</v>
      </c>
      <c r="U3541">
        <v>1.052378472</v>
      </c>
    </row>
    <row r="3542" spans="1:21" x14ac:dyDescent="0.25">
      <c r="A3542" t="s">
        <v>85</v>
      </c>
      <c r="B3542" t="s">
        <v>1000</v>
      </c>
      <c r="C3542">
        <v>6</v>
      </c>
      <c r="D3542" t="s">
        <v>25</v>
      </c>
      <c r="E3542" t="s">
        <v>94</v>
      </c>
      <c r="F3542" t="s">
        <v>110</v>
      </c>
      <c r="G3542" t="s">
        <v>103</v>
      </c>
      <c r="H3542" t="s">
        <v>248</v>
      </c>
      <c r="J3542">
        <v>0</v>
      </c>
      <c r="K3542">
        <v>4</v>
      </c>
      <c r="L3542">
        <v>73.260869569999997</v>
      </c>
      <c r="M3542">
        <v>34.453830549999999</v>
      </c>
      <c r="N3542">
        <v>1.058333333</v>
      </c>
      <c r="O3542">
        <v>0.90897070000000002</v>
      </c>
      <c r="P3542">
        <v>83.92307692</v>
      </c>
      <c r="Q3542">
        <v>44.319135699999997</v>
      </c>
      <c r="R3542">
        <v>5.9548609999999997E-3</v>
      </c>
      <c r="S3542">
        <v>0.18017928</v>
      </c>
      <c r="T3542" t="s">
        <v>1018</v>
      </c>
      <c r="U3542">
        <v>1.052378472</v>
      </c>
    </row>
    <row r="3543" spans="1:21" x14ac:dyDescent="0.25">
      <c r="A3543" t="s">
        <v>85</v>
      </c>
      <c r="B3543" t="s">
        <v>1000</v>
      </c>
      <c r="C3543">
        <v>6</v>
      </c>
      <c r="D3543" t="s">
        <v>25</v>
      </c>
      <c r="E3543" t="s">
        <v>94</v>
      </c>
      <c r="F3543" t="s">
        <v>110</v>
      </c>
      <c r="G3543" t="s">
        <v>103</v>
      </c>
      <c r="H3543" t="s">
        <v>233</v>
      </c>
      <c r="J3543">
        <v>0</v>
      </c>
      <c r="K3543">
        <v>3</v>
      </c>
      <c r="L3543">
        <v>73.260869569999997</v>
      </c>
      <c r="M3543">
        <v>34.453830549999999</v>
      </c>
      <c r="N3543">
        <v>1.058333333</v>
      </c>
      <c r="O3543">
        <v>0.90897070000000002</v>
      </c>
      <c r="P3543">
        <v>106.0540541</v>
      </c>
      <c r="Q3543">
        <v>52.690533369999997</v>
      </c>
      <c r="R3543">
        <v>7.6058968000000005E-2</v>
      </c>
      <c r="S3543">
        <v>0.44888888999999998</v>
      </c>
      <c r="T3543" t="s">
        <v>1018</v>
      </c>
      <c r="U3543">
        <v>0.98227436499999998</v>
      </c>
    </row>
    <row r="3544" spans="1:21" x14ac:dyDescent="0.25">
      <c r="A3544" t="s">
        <v>85</v>
      </c>
      <c r="B3544" t="s">
        <v>1000</v>
      </c>
      <c r="C3544">
        <v>6</v>
      </c>
      <c r="D3544" t="s">
        <v>25</v>
      </c>
      <c r="E3544" t="s">
        <v>94</v>
      </c>
      <c r="F3544" t="s">
        <v>110</v>
      </c>
      <c r="G3544" t="s">
        <v>103</v>
      </c>
      <c r="H3544" t="s">
        <v>233</v>
      </c>
      <c r="J3544">
        <v>0</v>
      </c>
      <c r="K3544">
        <v>3</v>
      </c>
      <c r="L3544">
        <v>73.260869569999997</v>
      </c>
      <c r="M3544">
        <v>34.453830549999999</v>
      </c>
      <c r="N3544">
        <v>1.058333333</v>
      </c>
      <c r="O3544">
        <v>0.90897070000000002</v>
      </c>
      <c r="P3544">
        <v>106.0540541</v>
      </c>
      <c r="Q3544">
        <v>52.690533369999997</v>
      </c>
      <c r="R3544">
        <v>7.6058968000000005E-2</v>
      </c>
      <c r="S3544">
        <v>0.44888888999999998</v>
      </c>
      <c r="T3544" t="s">
        <v>1018</v>
      </c>
      <c r="U3544">
        <v>0.98227436499999998</v>
      </c>
    </row>
    <row r="3545" spans="1:21" x14ac:dyDescent="0.25">
      <c r="A3545" t="s">
        <v>85</v>
      </c>
      <c r="B3545" t="s">
        <v>1000</v>
      </c>
      <c r="C3545">
        <v>6</v>
      </c>
      <c r="D3545" t="s">
        <v>25</v>
      </c>
      <c r="E3545" t="s">
        <v>94</v>
      </c>
      <c r="F3545" t="s">
        <v>110</v>
      </c>
      <c r="G3545" t="s">
        <v>103</v>
      </c>
      <c r="H3545" t="s">
        <v>233</v>
      </c>
      <c r="J3545">
        <v>0</v>
      </c>
      <c r="K3545">
        <v>3</v>
      </c>
      <c r="L3545">
        <v>73.260869569999997</v>
      </c>
      <c r="M3545">
        <v>34.453830549999999</v>
      </c>
      <c r="N3545">
        <v>1.058333333</v>
      </c>
      <c r="O3545">
        <v>0.90897070000000002</v>
      </c>
      <c r="P3545">
        <v>106.0540541</v>
      </c>
      <c r="Q3545">
        <v>52.690533369999997</v>
      </c>
      <c r="R3545">
        <v>7.6058968000000005E-2</v>
      </c>
      <c r="S3545">
        <v>0.44888888999999998</v>
      </c>
      <c r="T3545" t="s">
        <v>1018</v>
      </c>
      <c r="U3545">
        <v>0.98227436499999998</v>
      </c>
    </row>
    <row r="3546" spans="1:21" x14ac:dyDescent="0.25">
      <c r="A3546" t="s">
        <v>85</v>
      </c>
      <c r="B3546" t="s">
        <v>1000</v>
      </c>
      <c r="C3546">
        <v>6</v>
      </c>
      <c r="D3546" t="s">
        <v>25</v>
      </c>
      <c r="E3546" t="s">
        <v>94</v>
      </c>
      <c r="F3546" t="s">
        <v>110</v>
      </c>
      <c r="G3546" t="s">
        <v>103</v>
      </c>
      <c r="H3546" t="s">
        <v>110</v>
      </c>
      <c r="J3546">
        <v>0</v>
      </c>
      <c r="K3546">
        <v>1</v>
      </c>
      <c r="L3546">
        <v>73.260869569999997</v>
      </c>
      <c r="M3546">
        <v>34.453830549999999</v>
      </c>
      <c r="N3546">
        <v>1.058333333</v>
      </c>
      <c r="O3546">
        <v>0.90897070000000002</v>
      </c>
      <c r="P3546">
        <v>73.260869569999997</v>
      </c>
      <c r="Q3546">
        <v>34.453830549999999</v>
      </c>
      <c r="R3546">
        <v>1.058333333</v>
      </c>
      <c r="S3546">
        <v>0.90897070000000002</v>
      </c>
      <c r="T3546" t="s">
        <v>1018</v>
      </c>
      <c r="U3546">
        <v>0</v>
      </c>
    </row>
    <row r="3547" spans="1:21" x14ac:dyDescent="0.25">
      <c r="A3547" t="s">
        <v>86</v>
      </c>
      <c r="B3547" t="s">
        <v>1001</v>
      </c>
      <c r="C3547">
        <v>6</v>
      </c>
      <c r="D3547" t="s">
        <v>27</v>
      </c>
      <c r="E3547" t="s">
        <v>94</v>
      </c>
      <c r="F3547" t="s">
        <v>110</v>
      </c>
      <c r="G3547" t="s">
        <v>121</v>
      </c>
      <c r="H3547" t="s">
        <v>246</v>
      </c>
      <c r="J3547">
        <v>0</v>
      </c>
      <c r="K3547">
        <v>1</v>
      </c>
      <c r="L3547">
        <v>73.260869569999997</v>
      </c>
      <c r="M3547">
        <v>34.453830549999999</v>
      </c>
      <c r="N3547">
        <v>1.058333333</v>
      </c>
      <c r="O3547">
        <v>0.90897070000000002</v>
      </c>
      <c r="P3547">
        <v>120.25</v>
      </c>
      <c r="Q3547">
        <v>30.670450110000001</v>
      </c>
      <c r="R3547">
        <v>0.91037498500000003</v>
      </c>
      <c r="S3547" t="s">
        <v>114</v>
      </c>
      <c r="T3547" t="s">
        <v>1018</v>
      </c>
      <c r="U3547">
        <v>0.14795834799999999</v>
      </c>
    </row>
    <row r="3548" spans="1:21" x14ac:dyDescent="0.25">
      <c r="A3548" t="s">
        <v>86</v>
      </c>
      <c r="B3548" t="s">
        <v>1001</v>
      </c>
      <c r="C3548">
        <v>6</v>
      </c>
      <c r="D3548" t="s">
        <v>27</v>
      </c>
      <c r="E3548" t="s">
        <v>94</v>
      </c>
      <c r="F3548" t="s">
        <v>110</v>
      </c>
      <c r="G3548" t="s">
        <v>121</v>
      </c>
      <c r="H3548" t="s">
        <v>242</v>
      </c>
      <c r="J3548">
        <v>0</v>
      </c>
      <c r="K3548">
        <v>2</v>
      </c>
      <c r="L3548">
        <v>73.260869569999997</v>
      </c>
      <c r="M3548">
        <v>34.453830549999999</v>
      </c>
      <c r="N3548">
        <v>1.058333333</v>
      </c>
      <c r="O3548">
        <v>0.90897070000000002</v>
      </c>
      <c r="P3548">
        <v>139.375</v>
      </c>
      <c r="Q3548">
        <v>23.713465920000001</v>
      </c>
      <c r="R3548" t="s">
        <v>114</v>
      </c>
      <c r="S3548" t="s">
        <v>114</v>
      </c>
      <c r="T3548" t="s">
        <v>1018</v>
      </c>
      <c r="U3548" t="s">
        <v>114</v>
      </c>
    </row>
    <row r="3549" spans="1:21" x14ac:dyDescent="0.25">
      <c r="A3549" t="s">
        <v>86</v>
      </c>
      <c r="B3549" t="s">
        <v>1001</v>
      </c>
      <c r="C3549">
        <v>6</v>
      </c>
      <c r="D3549" t="s">
        <v>27</v>
      </c>
      <c r="E3549" t="s">
        <v>94</v>
      </c>
      <c r="F3549" t="s">
        <v>110</v>
      </c>
      <c r="G3549" t="s">
        <v>121</v>
      </c>
      <c r="H3549" t="s">
        <v>242</v>
      </c>
      <c r="J3549">
        <v>0</v>
      </c>
      <c r="K3549">
        <v>2</v>
      </c>
      <c r="L3549">
        <v>73.260869569999997</v>
      </c>
      <c r="M3549">
        <v>34.453830549999999</v>
      </c>
      <c r="N3549">
        <v>1.058333333</v>
      </c>
      <c r="O3549">
        <v>0.90897070000000002</v>
      </c>
      <c r="P3549">
        <v>139.375</v>
      </c>
      <c r="Q3549">
        <v>23.713465920000001</v>
      </c>
      <c r="R3549" t="s">
        <v>114</v>
      </c>
      <c r="S3549" t="s">
        <v>114</v>
      </c>
      <c r="T3549" t="s">
        <v>1018</v>
      </c>
      <c r="U3549" t="s">
        <v>114</v>
      </c>
    </row>
    <row r="3550" spans="1:21" x14ac:dyDescent="0.25">
      <c r="A3550" t="s">
        <v>86</v>
      </c>
      <c r="B3550" t="s">
        <v>1002</v>
      </c>
      <c r="C3550">
        <v>6</v>
      </c>
      <c r="D3550" t="s">
        <v>27</v>
      </c>
      <c r="E3550" t="s">
        <v>94</v>
      </c>
      <c r="F3550" t="s">
        <v>112</v>
      </c>
      <c r="G3550" t="s">
        <v>110</v>
      </c>
      <c r="H3550" t="s">
        <v>110</v>
      </c>
      <c r="J3550">
        <v>0</v>
      </c>
      <c r="K3550">
        <v>1</v>
      </c>
      <c r="L3550">
        <v>65.09375</v>
      </c>
      <c r="M3550">
        <v>37.895352600000002</v>
      </c>
      <c r="N3550">
        <v>2.2882677779999998</v>
      </c>
      <c r="O3550">
        <v>2.2111774</v>
      </c>
      <c r="P3550">
        <v>73.260869569999997</v>
      </c>
      <c r="Q3550">
        <v>34.453830549999999</v>
      </c>
      <c r="R3550">
        <v>1.058333333</v>
      </c>
      <c r="S3550">
        <v>0.90897070000000002</v>
      </c>
      <c r="T3550" t="s">
        <v>1018</v>
      </c>
      <c r="U3550">
        <v>1.229934445</v>
      </c>
    </row>
    <row r="3551" spans="1:21" x14ac:dyDescent="0.25">
      <c r="A3551" t="s">
        <v>86</v>
      </c>
      <c r="B3551" t="s">
        <v>1002</v>
      </c>
      <c r="C3551">
        <v>6</v>
      </c>
      <c r="D3551" t="s">
        <v>27</v>
      </c>
      <c r="E3551" t="s">
        <v>94</v>
      </c>
      <c r="F3551" t="s">
        <v>112</v>
      </c>
      <c r="G3551" t="s">
        <v>110</v>
      </c>
      <c r="H3551" t="s">
        <v>246</v>
      </c>
      <c r="J3551">
        <v>0</v>
      </c>
      <c r="K3551">
        <v>1</v>
      </c>
      <c r="L3551">
        <v>65.09375</v>
      </c>
      <c r="M3551">
        <v>37.895352600000002</v>
      </c>
      <c r="N3551">
        <v>2.2882677779999998</v>
      </c>
      <c r="O3551">
        <v>2.2111774</v>
      </c>
      <c r="P3551">
        <v>120.25</v>
      </c>
      <c r="Q3551">
        <v>30.670450110000001</v>
      </c>
      <c r="R3551">
        <v>0.91037498500000003</v>
      </c>
      <c r="S3551" t="s">
        <v>114</v>
      </c>
      <c r="T3551" t="s">
        <v>1018</v>
      </c>
      <c r="U3551">
        <v>1.377892793</v>
      </c>
    </row>
    <row r="3552" spans="1:21" x14ac:dyDescent="0.25">
      <c r="A3552" t="s">
        <v>87</v>
      </c>
      <c r="B3552" t="s">
        <v>1003</v>
      </c>
      <c r="C3552">
        <v>6</v>
      </c>
      <c r="D3552" t="s">
        <v>29</v>
      </c>
      <c r="E3552" t="s">
        <v>95</v>
      </c>
      <c r="F3552" t="s">
        <v>102</v>
      </c>
      <c r="G3552" t="s">
        <v>110</v>
      </c>
      <c r="H3552" t="s">
        <v>110</v>
      </c>
      <c r="J3552">
        <v>0</v>
      </c>
      <c r="K3552">
        <v>3</v>
      </c>
      <c r="L3552">
        <v>84.740740740000007</v>
      </c>
      <c r="M3552">
        <v>29.167014049999999</v>
      </c>
      <c r="N3552">
        <v>1.1169849999999999</v>
      </c>
      <c r="O3552">
        <v>1.1571499000000001</v>
      </c>
      <c r="P3552">
        <v>73.260869569999997</v>
      </c>
      <c r="Q3552">
        <v>34.453830549999999</v>
      </c>
      <c r="R3552">
        <v>1.058333333</v>
      </c>
      <c r="S3552">
        <v>0.90897070000000002</v>
      </c>
      <c r="T3552" t="s">
        <v>1018</v>
      </c>
      <c r="U3552">
        <v>5.8651666999999998E-2</v>
      </c>
    </row>
    <row r="3553" spans="1:21" x14ac:dyDescent="0.25">
      <c r="A3553" t="s">
        <v>87</v>
      </c>
      <c r="B3553" t="s">
        <v>1003</v>
      </c>
      <c r="C3553">
        <v>6</v>
      </c>
      <c r="D3553" t="s">
        <v>29</v>
      </c>
      <c r="E3553" t="s">
        <v>95</v>
      </c>
      <c r="F3553" t="s">
        <v>102</v>
      </c>
      <c r="G3553" t="s">
        <v>110</v>
      </c>
      <c r="H3553" t="s">
        <v>110</v>
      </c>
      <c r="J3553">
        <v>0</v>
      </c>
      <c r="K3553">
        <v>3</v>
      </c>
      <c r="L3553">
        <v>84.740740740000007</v>
      </c>
      <c r="M3553">
        <v>29.167014049999999</v>
      </c>
      <c r="N3553">
        <v>1.1169849999999999</v>
      </c>
      <c r="O3553">
        <v>1.1571499000000001</v>
      </c>
      <c r="P3553">
        <v>73.260869569999997</v>
      </c>
      <c r="Q3553">
        <v>34.453830549999999</v>
      </c>
      <c r="R3553">
        <v>1.058333333</v>
      </c>
      <c r="S3553">
        <v>0.90897070000000002</v>
      </c>
      <c r="T3553" t="s">
        <v>1018</v>
      </c>
      <c r="U3553">
        <v>5.8651666999999998E-2</v>
      </c>
    </row>
    <row r="3554" spans="1:21" x14ac:dyDescent="0.25">
      <c r="A3554" t="s">
        <v>87</v>
      </c>
      <c r="B3554" t="s">
        <v>1003</v>
      </c>
      <c r="C3554">
        <v>6</v>
      </c>
      <c r="D3554" t="s">
        <v>29</v>
      </c>
      <c r="E3554" t="s">
        <v>95</v>
      </c>
      <c r="F3554" t="s">
        <v>102</v>
      </c>
      <c r="G3554" t="s">
        <v>110</v>
      </c>
      <c r="H3554" t="s">
        <v>110</v>
      </c>
      <c r="J3554">
        <v>0</v>
      </c>
      <c r="K3554">
        <v>3</v>
      </c>
      <c r="L3554">
        <v>84.740740740000007</v>
      </c>
      <c r="M3554">
        <v>29.167014049999999</v>
      </c>
      <c r="N3554">
        <v>1.1169849999999999</v>
      </c>
      <c r="O3554">
        <v>1.1571499000000001</v>
      </c>
      <c r="P3554">
        <v>73.260869569999997</v>
      </c>
      <c r="Q3554">
        <v>34.453830549999999</v>
      </c>
      <c r="R3554">
        <v>1.058333333</v>
      </c>
      <c r="S3554">
        <v>0.90897070000000002</v>
      </c>
      <c r="T3554" t="s">
        <v>1018</v>
      </c>
      <c r="U3554">
        <v>5.8651666999999998E-2</v>
      </c>
    </row>
    <row r="3555" spans="1:21" x14ac:dyDescent="0.25">
      <c r="A3555" t="s">
        <v>87</v>
      </c>
      <c r="B3555" t="s">
        <v>1003</v>
      </c>
      <c r="C3555">
        <v>6</v>
      </c>
      <c r="D3555" t="s">
        <v>29</v>
      </c>
      <c r="E3555" t="s">
        <v>95</v>
      </c>
      <c r="F3555" t="s">
        <v>102</v>
      </c>
      <c r="G3555" t="s">
        <v>110</v>
      </c>
      <c r="H3555" t="s">
        <v>246</v>
      </c>
      <c r="J3555">
        <v>0</v>
      </c>
      <c r="K3555">
        <v>1</v>
      </c>
      <c r="L3555">
        <v>84.740740740000007</v>
      </c>
      <c r="M3555">
        <v>29.167014049999999</v>
      </c>
      <c r="N3555">
        <v>1.1169849999999999</v>
      </c>
      <c r="O3555">
        <v>1.1571499000000001</v>
      </c>
      <c r="P3555">
        <v>120.25</v>
      </c>
      <c r="Q3555">
        <v>30.670450110000001</v>
      </c>
      <c r="R3555">
        <v>0.91037498500000003</v>
      </c>
      <c r="S3555" t="s">
        <v>114</v>
      </c>
      <c r="T3555" t="s">
        <v>1018</v>
      </c>
      <c r="U3555">
        <v>0.20661001500000001</v>
      </c>
    </row>
    <row r="3556" spans="1:21" x14ac:dyDescent="0.25">
      <c r="A3556" t="s">
        <v>87</v>
      </c>
      <c r="B3556" t="s">
        <v>1003</v>
      </c>
      <c r="C3556">
        <v>6</v>
      </c>
      <c r="D3556" t="s">
        <v>29</v>
      </c>
      <c r="E3556" t="s">
        <v>95</v>
      </c>
      <c r="F3556" t="s">
        <v>102</v>
      </c>
      <c r="G3556" t="s">
        <v>110</v>
      </c>
      <c r="H3556" t="s">
        <v>242</v>
      </c>
      <c r="J3556">
        <v>0</v>
      </c>
      <c r="K3556">
        <v>2</v>
      </c>
      <c r="L3556">
        <v>84.740740740000007</v>
      </c>
      <c r="M3556">
        <v>29.167014049999999</v>
      </c>
      <c r="N3556">
        <v>1.1169849999999999</v>
      </c>
      <c r="O3556">
        <v>1.1571499000000001</v>
      </c>
      <c r="P3556">
        <v>139.375</v>
      </c>
      <c r="Q3556">
        <v>23.713465920000001</v>
      </c>
      <c r="R3556" t="s">
        <v>114</v>
      </c>
      <c r="S3556" t="s">
        <v>114</v>
      </c>
      <c r="T3556" t="s">
        <v>1018</v>
      </c>
      <c r="U3556" t="s">
        <v>114</v>
      </c>
    </row>
    <row r="3557" spans="1:21" x14ac:dyDescent="0.25">
      <c r="A3557" t="s">
        <v>87</v>
      </c>
      <c r="B3557" t="s">
        <v>1003</v>
      </c>
      <c r="C3557">
        <v>6</v>
      </c>
      <c r="D3557" t="s">
        <v>29</v>
      </c>
      <c r="E3557" t="s">
        <v>95</v>
      </c>
      <c r="F3557" t="s">
        <v>102</v>
      </c>
      <c r="G3557" t="s">
        <v>110</v>
      </c>
      <c r="H3557" t="s">
        <v>242</v>
      </c>
      <c r="J3557">
        <v>0</v>
      </c>
      <c r="K3557">
        <v>2</v>
      </c>
      <c r="L3557">
        <v>84.740740740000007</v>
      </c>
      <c r="M3557">
        <v>29.167014049999999</v>
      </c>
      <c r="N3557">
        <v>1.1169849999999999</v>
      </c>
      <c r="O3557">
        <v>1.1571499000000001</v>
      </c>
      <c r="P3557">
        <v>139.375</v>
      </c>
      <c r="Q3557">
        <v>23.713465920000001</v>
      </c>
      <c r="R3557" t="s">
        <v>114</v>
      </c>
      <c r="S3557" t="s">
        <v>114</v>
      </c>
      <c r="T3557" t="s">
        <v>1018</v>
      </c>
      <c r="U3557" t="s">
        <v>114</v>
      </c>
    </row>
    <row r="3558" spans="1:21" x14ac:dyDescent="0.25">
      <c r="A3558" t="s">
        <v>87</v>
      </c>
      <c r="B3558" t="s">
        <v>1004</v>
      </c>
      <c r="C3558">
        <v>6</v>
      </c>
      <c r="D3558" t="s">
        <v>29</v>
      </c>
      <c r="E3558" t="s">
        <v>95</v>
      </c>
      <c r="F3558" t="s">
        <v>110</v>
      </c>
      <c r="G3558" t="s">
        <v>110</v>
      </c>
      <c r="H3558" t="s">
        <v>110</v>
      </c>
      <c r="J3558">
        <v>0</v>
      </c>
      <c r="K3558">
        <v>1</v>
      </c>
      <c r="L3558">
        <v>73.260869569999997</v>
      </c>
      <c r="M3558">
        <v>34.453830549999999</v>
      </c>
      <c r="N3558">
        <v>1.058333333</v>
      </c>
      <c r="O3558">
        <v>0.90897070000000002</v>
      </c>
      <c r="P3558">
        <v>73.260869569999997</v>
      </c>
      <c r="Q3558">
        <v>34.453830549999999</v>
      </c>
      <c r="R3558">
        <v>1.058333333</v>
      </c>
      <c r="S3558">
        <v>0.90897070000000002</v>
      </c>
      <c r="T3558" t="s">
        <v>1018</v>
      </c>
      <c r="U3558">
        <v>0</v>
      </c>
    </row>
    <row r="3559" spans="1:21" x14ac:dyDescent="0.25">
      <c r="A3559" t="s">
        <v>88</v>
      </c>
      <c r="B3559" t="s">
        <v>1005</v>
      </c>
      <c r="C3559">
        <v>6</v>
      </c>
      <c r="D3559" t="s">
        <v>31</v>
      </c>
      <c r="E3559" t="s">
        <v>95</v>
      </c>
      <c r="F3559" t="s">
        <v>110</v>
      </c>
      <c r="G3559" t="s">
        <v>113</v>
      </c>
      <c r="H3559" t="s">
        <v>113</v>
      </c>
      <c r="J3559">
        <v>0</v>
      </c>
      <c r="K3559">
        <v>3</v>
      </c>
      <c r="L3559">
        <v>73.260869569999997</v>
      </c>
      <c r="M3559">
        <v>34.453830549999999</v>
      </c>
      <c r="N3559">
        <v>1.058333333</v>
      </c>
      <c r="O3559">
        <v>0.90897070000000002</v>
      </c>
      <c r="P3559">
        <v>83.757575759999995</v>
      </c>
      <c r="Q3559">
        <v>22.60997987</v>
      </c>
      <c r="R3559">
        <v>0.72884000000000004</v>
      </c>
      <c r="S3559">
        <v>0.21301339999999999</v>
      </c>
      <c r="T3559" t="s">
        <v>1018</v>
      </c>
      <c r="U3559">
        <v>0.329493333</v>
      </c>
    </row>
    <row r="3560" spans="1:21" x14ac:dyDescent="0.25">
      <c r="A3560" t="s">
        <v>88</v>
      </c>
      <c r="B3560" t="s">
        <v>1005</v>
      </c>
      <c r="C3560">
        <v>6</v>
      </c>
      <c r="D3560" t="s">
        <v>31</v>
      </c>
      <c r="E3560" t="s">
        <v>95</v>
      </c>
      <c r="F3560" t="s">
        <v>110</v>
      </c>
      <c r="G3560" t="s">
        <v>113</v>
      </c>
      <c r="H3560" t="s">
        <v>113</v>
      </c>
      <c r="J3560">
        <v>0</v>
      </c>
      <c r="K3560">
        <v>3</v>
      </c>
      <c r="L3560">
        <v>73.260869569999997</v>
      </c>
      <c r="M3560">
        <v>34.453830549999999</v>
      </c>
      <c r="N3560">
        <v>1.058333333</v>
      </c>
      <c r="O3560">
        <v>0.90897070000000002</v>
      </c>
      <c r="P3560">
        <v>83.757575759999995</v>
      </c>
      <c r="Q3560">
        <v>22.60997987</v>
      </c>
      <c r="R3560">
        <v>0.72884000000000004</v>
      </c>
      <c r="S3560">
        <v>0.21301339999999999</v>
      </c>
      <c r="T3560" t="s">
        <v>1018</v>
      </c>
      <c r="U3560">
        <v>0.329493333</v>
      </c>
    </row>
    <row r="3561" spans="1:21" x14ac:dyDescent="0.25">
      <c r="A3561" t="s">
        <v>88</v>
      </c>
      <c r="B3561" t="s">
        <v>1005</v>
      </c>
      <c r="C3561">
        <v>6</v>
      </c>
      <c r="D3561" t="s">
        <v>31</v>
      </c>
      <c r="E3561" t="s">
        <v>95</v>
      </c>
      <c r="F3561" t="s">
        <v>110</v>
      </c>
      <c r="G3561" t="s">
        <v>113</v>
      </c>
      <c r="H3561" t="s">
        <v>113</v>
      </c>
      <c r="J3561">
        <v>0</v>
      </c>
      <c r="K3561">
        <v>3</v>
      </c>
      <c r="L3561">
        <v>73.260869569999997</v>
      </c>
      <c r="M3561">
        <v>34.453830549999999</v>
      </c>
      <c r="N3561">
        <v>1.058333333</v>
      </c>
      <c r="O3561">
        <v>0.90897070000000002</v>
      </c>
      <c r="P3561">
        <v>83.757575759999995</v>
      </c>
      <c r="Q3561">
        <v>22.60997987</v>
      </c>
      <c r="R3561">
        <v>0.72884000000000004</v>
      </c>
      <c r="S3561">
        <v>0.21301339999999999</v>
      </c>
      <c r="T3561" t="s">
        <v>1018</v>
      </c>
      <c r="U3561">
        <v>0.329493333</v>
      </c>
    </row>
    <row r="3562" spans="1:21" x14ac:dyDescent="0.25">
      <c r="A3562" t="s">
        <v>88</v>
      </c>
      <c r="B3562" t="s">
        <v>1005</v>
      </c>
      <c r="C3562">
        <v>6</v>
      </c>
      <c r="D3562" t="s">
        <v>31</v>
      </c>
      <c r="E3562" t="s">
        <v>95</v>
      </c>
      <c r="F3562" t="s">
        <v>110</v>
      </c>
      <c r="G3562" t="s">
        <v>113</v>
      </c>
      <c r="H3562" t="s">
        <v>103</v>
      </c>
      <c r="J3562">
        <v>0</v>
      </c>
      <c r="K3562">
        <v>1</v>
      </c>
      <c r="L3562">
        <v>73.260869569999997</v>
      </c>
      <c r="M3562">
        <v>34.453830549999999</v>
      </c>
      <c r="N3562">
        <v>1.058333333</v>
      </c>
      <c r="O3562">
        <v>0.90897070000000002</v>
      </c>
      <c r="P3562">
        <v>98.291666669999998</v>
      </c>
      <c r="Q3562">
        <v>30.315130790000001</v>
      </c>
      <c r="R3562">
        <v>5.0803484000000003E-2</v>
      </c>
      <c r="S3562">
        <v>0.42866070000000001</v>
      </c>
      <c r="T3562" t="s">
        <v>1018</v>
      </c>
      <c r="U3562">
        <v>1.007529849</v>
      </c>
    </row>
    <row r="3563" spans="1:21" x14ac:dyDescent="0.25">
      <c r="A3563" t="s">
        <v>88</v>
      </c>
      <c r="B3563" t="s">
        <v>1006</v>
      </c>
      <c r="C3563">
        <v>6</v>
      </c>
      <c r="D3563" t="s">
        <v>31</v>
      </c>
      <c r="E3563" t="s">
        <v>95</v>
      </c>
      <c r="F3563" t="s">
        <v>112</v>
      </c>
      <c r="G3563" t="s">
        <v>113</v>
      </c>
      <c r="H3563" t="s">
        <v>113</v>
      </c>
      <c r="J3563">
        <v>0</v>
      </c>
      <c r="K3563">
        <v>2</v>
      </c>
      <c r="L3563">
        <v>65.09375</v>
      </c>
      <c r="M3563">
        <v>37.895352600000002</v>
      </c>
      <c r="N3563">
        <v>2.2882677779999998</v>
      </c>
      <c r="O3563">
        <v>2.2111774</v>
      </c>
      <c r="P3563">
        <v>83.757575759999995</v>
      </c>
      <c r="Q3563">
        <v>22.60997987</v>
      </c>
      <c r="R3563">
        <v>0.72884000000000004</v>
      </c>
      <c r="S3563">
        <v>0.21301339999999999</v>
      </c>
      <c r="T3563" t="s">
        <v>1018</v>
      </c>
      <c r="U3563">
        <v>1.5594277780000001</v>
      </c>
    </row>
    <row r="3564" spans="1:21" x14ac:dyDescent="0.25">
      <c r="A3564" t="s">
        <v>88</v>
      </c>
      <c r="B3564" t="s">
        <v>1006</v>
      </c>
      <c r="C3564">
        <v>6</v>
      </c>
      <c r="D3564" t="s">
        <v>31</v>
      </c>
      <c r="E3564" t="s">
        <v>95</v>
      </c>
      <c r="F3564" t="s">
        <v>112</v>
      </c>
      <c r="G3564" t="s">
        <v>113</v>
      </c>
      <c r="H3564" t="s">
        <v>113</v>
      </c>
      <c r="J3564">
        <v>0</v>
      </c>
      <c r="K3564">
        <v>2</v>
      </c>
      <c r="L3564">
        <v>65.09375</v>
      </c>
      <c r="M3564">
        <v>37.895352600000002</v>
      </c>
      <c r="N3564">
        <v>2.2882677779999998</v>
      </c>
      <c r="O3564">
        <v>2.2111774</v>
      </c>
      <c r="P3564">
        <v>83.757575759999995</v>
      </c>
      <c r="Q3564">
        <v>22.60997987</v>
      </c>
      <c r="R3564">
        <v>0.72884000000000004</v>
      </c>
      <c r="S3564">
        <v>0.21301339999999999</v>
      </c>
      <c r="T3564" t="s">
        <v>1018</v>
      </c>
      <c r="U3564">
        <v>1.5594277780000001</v>
      </c>
    </row>
    <row r="3565" spans="1:21" x14ac:dyDescent="0.25">
      <c r="A3565" t="s">
        <v>89</v>
      </c>
      <c r="B3565" t="s">
        <v>1007</v>
      </c>
      <c r="C3565">
        <v>6</v>
      </c>
      <c r="D3565" t="s">
        <v>33</v>
      </c>
      <c r="E3565" t="s">
        <v>95</v>
      </c>
      <c r="F3565" t="s">
        <v>104</v>
      </c>
      <c r="G3565" t="s">
        <v>104</v>
      </c>
      <c r="H3565" t="s">
        <v>104</v>
      </c>
      <c r="J3565">
        <v>1</v>
      </c>
      <c r="K3565">
        <v>1</v>
      </c>
      <c r="L3565">
        <v>113.9375</v>
      </c>
      <c r="M3565">
        <v>33.375507550000002</v>
      </c>
      <c r="N3565">
        <v>2.4262999999999999</v>
      </c>
      <c r="O3565">
        <v>0.40692159999999999</v>
      </c>
      <c r="P3565">
        <v>113.9375</v>
      </c>
      <c r="Q3565">
        <v>33.375507550000002</v>
      </c>
      <c r="R3565">
        <v>2.4262999999999999</v>
      </c>
      <c r="S3565">
        <v>0.40692159999999999</v>
      </c>
      <c r="T3565" t="s">
        <v>1018</v>
      </c>
      <c r="U3565">
        <v>0</v>
      </c>
    </row>
    <row r="3566" spans="1:21" x14ac:dyDescent="0.25">
      <c r="A3566" t="s">
        <v>89</v>
      </c>
      <c r="B3566" t="s">
        <v>1007</v>
      </c>
      <c r="C3566">
        <v>6</v>
      </c>
      <c r="D3566" t="s">
        <v>33</v>
      </c>
      <c r="E3566" t="s">
        <v>95</v>
      </c>
      <c r="F3566" t="s">
        <v>104</v>
      </c>
      <c r="G3566" t="s">
        <v>104</v>
      </c>
      <c r="H3566" t="s">
        <v>103</v>
      </c>
      <c r="J3566">
        <v>1</v>
      </c>
      <c r="K3566">
        <v>1</v>
      </c>
      <c r="L3566">
        <v>113.9375</v>
      </c>
      <c r="M3566">
        <v>33.375507550000002</v>
      </c>
      <c r="N3566">
        <v>2.4262999999999999</v>
      </c>
      <c r="O3566">
        <v>0.40692159999999999</v>
      </c>
      <c r="P3566">
        <v>98.291666669999998</v>
      </c>
      <c r="Q3566">
        <v>30.315130790000001</v>
      </c>
      <c r="R3566">
        <v>5.0803484000000003E-2</v>
      </c>
      <c r="S3566">
        <v>0.42866070000000001</v>
      </c>
      <c r="T3566" t="s">
        <v>1018</v>
      </c>
      <c r="U3566">
        <v>2.3754965160000001</v>
      </c>
    </row>
    <row r="3567" spans="1:21" x14ac:dyDescent="0.25">
      <c r="A3567" t="s">
        <v>89</v>
      </c>
      <c r="B3567" t="s">
        <v>1007</v>
      </c>
      <c r="C3567">
        <v>6</v>
      </c>
      <c r="D3567" t="s">
        <v>33</v>
      </c>
      <c r="E3567" t="s">
        <v>95</v>
      </c>
      <c r="F3567" t="s">
        <v>104</v>
      </c>
      <c r="G3567" t="s">
        <v>104</v>
      </c>
      <c r="H3567" t="s">
        <v>246</v>
      </c>
      <c r="J3567">
        <v>1</v>
      </c>
      <c r="K3567">
        <v>1</v>
      </c>
      <c r="L3567">
        <v>113.9375</v>
      </c>
      <c r="M3567">
        <v>33.375507550000002</v>
      </c>
      <c r="N3567">
        <v>2.4262999999999999</v>
      </c>
      <c r="O3567">
        <v>0.40692159999999999</v>
      </c>
      <c r="P3567">
        <v>120.25</v>
      </c>
      <c r="Q3567">
        <v>30.670450110000001</v>
      </c>
      <c r="R3567">
        <v>0.91037498500000003</v>
      </c>
      <c r="S3567" t="s">
        <v>114</v>
      </c>
      <c r="T3567" t="s">
        <v>1018</v>
      </c>
      <c r="U3567">
        <v>1.5159250150000001</v>
      </c>
    </row>
    <row r="3568" spans="1:21" x14ac:dyDescent="0.25">
      <c r="A3568" t="s">
        <v>89</v>
      </c>
      <c r="B3568" t="s">
        <v>1008</v>
      </c>
      <c r="C3568">
        <v>6</v>
      </c>
      <c r="D3568" t="s">
        <v>33</v>
      </c>
      <c r="E3568" t="s">
        <v>95</v>
      </c>
      <c r="F3568" t="s">
        <v>112</v>
      </c>
      <c r="G3568" t="s">
        <v>113</v>
      </c>
      <c r="H3568" t="s">
        <v>113</v>
      </c>
      <c r="I3568" t="s">
        <v>255</v>
      </c>
      <c r="J3568">
        <v>0</v>
      </c>
      <c r="K3568">
        <v>4</v>
      </c>
      <c r="L3568">
        <v>65.09375</v>
      </c>
      <c r="M3568">
        <v>37.895352600000002</v>
      </c>
      <c r="N3568">
        <v>2.2882677779999998</v>
      </c>
      <c r="O3568">
        <v>2.2111774</v>
      </c>
      <c r="P3568">
        <v>83.757575759999995</v>
      </c>
      <c r="Q3568">
        <v>22.60997987</v>
      </c>
      <c r="R3568">
        <v>0.72884000000000004</v>
      </c>
      <c r="S3568">
        <v>0.21301339999999999</v>
      </c>
      <c r="T3568" t="s">
        <v>1018</v>
      </c>
      <c r="U3568">
        <v>1.5594277780000001</v>
      </c>
    </row>
    <row r="3569" spans="1:21" x14ac:dyDescent="0.25">
      <c r="A3569" t="s">
        <v>89</v>
      </c>
      <c r="B3569" t="s">
        <v>1008</v>
      </c>
      <c r="C3569">
        <v>6</v>
      </c>
      <c r="D3569" t="s">
        <v>33</v>
      </c>
      <c r="E3569" t="s">
        <v>95</v>
      </c>
      <c r="F3569" t="s">
        <v>112</v>
      </c>
      <c r="G3569" t="s">
        <v>113</v>
      </c>
      <c r="H3569" t="s">
        <v>113</v>
      </c>
      <c r="I3569" t="s">
        <v>255</v>
      </c>
      <c r="J3569">
        <v>0</v>
      </c>
      <c r="K3569">
        <v>4</v>
      </c>
      <c r="L3569">
        <v>65.09375</v>
      </c>
      <c r="M3569">
        <v>37.895352600000002</v>
      </c>
      <c r="N3569">
        <v>2.2882677779999998</v>
      </c>
      <c r="O3569">
        <v>2.2111774</v>
      </c>
      <c r="P3569">
        <v>83.757575759999995</v>
      </c>
      <c r="Q3569">
        <v>22.60997987</v>
      </c>
      <c r="R3569">
        <v>0.72884000000000004</v>
      </c>
      <c r="S3569">
        <v>0.21301339999999999</v>
      </c>
      <c r="T3569" t="s">
        <v>1018</v>
      </c>
      <c r="U3569">
        <v>1.5594277780000001</v>
      </c>
    </row>
    <row r="3570" spans="1:21" x14ac:dyDescent="0.25">
      <c r="A3570" t="s">
        <v>89</v>
      </c>
      <c r="B3570" t="s">
        <v>1008</v>
      </c>
      <c r="C3570">
        <v>6</v>
      </c>
      <c r="D3570" t="s">
        <v>33</v>
      </c>
      <c r="E3570" t="s">
        <v>95</v>
      </c>
      <c r="F3570" t="s">
        <v>112</v>
      </c>
      <c r="G3570" t="s">
        <v>113</v>
      </c>
      <c r="H3570" t="s">
        <v>113</v>
      </c>
      <c r="I3570" t="s">
        <v>255</v>
      </c>
      <c r="J3570">
        <v>0</v>
      </c>
      <c r="K3570">
        <v>4</v>
      </c>
      <c r="L3570">
        <v>65.09375</v>
      </c>
      <c r="M3570">
        <v>37.895352600000002</v>
      </c>
      <c r="N3570">
        <v>2.2882677779999998</v>
      </c>
      <c r="O3570">
        <v>2.2111774</v>
      </c>
      <c r="P3570">
        <v>83.757575759999995</v>
      </c>
      <c r="Q3570">
        <v>22.60997987</v>
      </c>
      <c r="R3570">
        <v>0.72884000000000004</v>
      </c>
      <c r="S3570">
        <v>0.21301339999999999</v>
      </c>
      <c r="T3570" t="s">
        <v>1018</v>
      </c>
      <c r="U3570">
        <v>1.5594277780000001</v>
      </c>
    </row>
    <row r="3571" spans="1:21" x14ac:dyDescent="0.25">
      <c r="A3571" t="s">
        <v>89</v>
      </c>
      <c r="B3571" t="s">
        <v>1008</v>
      </c>
      <c r="C3571">
        <v>6</v>
      </c>
      <c r="D3571" t="s">
        <v>33</v>
      </c>
      <c r="E3571" t="s">
        <v>95</v>
      </c>
      <c r="F3571" t="s">
        <v>112</v>
      </c>
      <c r="G3571" t="s">
        <v>113</v>
      </c>
      <c r="H3571" t="s">
        <v>113</v>
      </c>
      <c r="I3571" t="s">
        <v>255</v>
      </c>
      <c r="J3571">
        <v>0</v>
      </c>
      <c r="K3571">
        <v>4</v>
      </c>
      <c r="L3571">
        <v>65.09375</v>
      </c>
      <c r="M3571">
        <v>37.895352600000002</v>
      </c>
      <c r="N3571">
        <v>2.2882677779999998</v>
      </c>
      <c r="O3571">
        <v>2.2111774</v>
      </c>
      <c r="P3571">
        <v>83.757575759999995</v>
      </c>
      <c r="Q3571">
        <v>22.60997987</v>
      </c>
      <c r="R3571">
        <v>0.72884000000000004</v>
      </c>
      <c r="S3571">
        <v>0.21301339999999999</v>
      </c>
      <c r="T3571" t="s">
        <v>1018</v>
      </c>
      <c r="U3571">
        <v>1.5594277780000001</v>
      </c>
    </row>
    <row r="3572" spans="1:21" x14ac:dyDescent="0.25">
      <c r="A3572" t="s">
        <v>90</v>
      </c>
      <c r="B3572" t="s">
        <v>1009</v>
      </c>
      <c r="C3572">
        <v>6</v>
      </c>
      <c r="D3572" t="s">
        <v>35</v>
      </c>
      <c r="E3572" t="s">
        <v>94</v>
      </c>
      <c r="F3572" t="s">
        <v>111</v>
      </c>
      <c r="G3572" t="s">
        <v>121</v>
      </c>
      <c r="H3572" t="s">
        <v>253</v>
      </c>
      <c r="J3572">
        <v>0</v>
      </c>
      <c r="K3572">
        <v>3</v>
      </c>
      <c r="L3572">
        <v>94.97142857</v>
      </c>
      <c r="M3572">
        <v>24.31591813</v>
      </c>
      <c r="N3572">
        <v>0.122951111</v>
      </c>
      <c r="O3572">
        <v>0.39050790000000002</v>
      </c>
      <c r="P3572">
        <v>172.08823530000001</v>
      </c>
      <c r="Q3572">
        <v>29.581605960000001</v>
      </c>
      <c r="R3572">
        <v>0.24280444400000001</v>
      </c>
      <c r="S3572" t="s">
        <v>114</v>
      </c>
      <c r="T3572" t="s">
        <v>1018</v>
      </c>
      <c r="U3572">
        <v>-0.11985333300000001</v>
      </c>
    </row>
    <row r="3573" spans="1:21" x14ac:dyDescent="0.25">
      <c r="A3573" t="s">
        <v>90</v>
      </c>
      <c r="B3573" t="s">
        <v>1009</v>
      </c>
      <c r="C3573">
        <v>6</v>
      </c>
      <c r="D3573" t="s">
        <v>35</v>
      </c>
      <c r="E3573" t="s">
        <v>94</v>
      </c>
      <c r="F3573" t="s">
        <v>111</v>
      </c>
      <c r="G3573" t="s">
        <v>121</v>
      </c>
      <c r="H3573" t="s">
        <v>253</v>
      </c>
      <c r="J3573">
        <v>0</v>
      </c>
      <c r="K3573">
        <v>3</v>
      </c>
      <c r="L3573">
        <v>94.97142857</v>
      </c>
      <c r="M3573">
        <v>24.31591813</v>
      </c>
      <c r="N3573">
        <v>0.122951111</v>
      </c>
      <c r="O3573">
        <v>0.39050790000000002</v>
      </c>
      <c r="P3573">
        <v>172.08823530000001</v>
      </c>
      <c r="Q3573">
        <v>29.581605960000001</v>
      </c>
      <c r="R3573">
        <v>0.24280444400000001</v>
      </c>
      <c r="S3573" t="s">
        <v>114</v>
      </c>
      <c r="T3573" t="s">
        <v>1018</v>
      </c>
      <c r="U3573">
        <v>-0.11985333300000001</v>
      </c>
    </row>
    <row r="3574" spans="1:21" x14ac:dyDescent="0.25">
      <c r="A3574" t="s">
        <v>90</v>
      </c>
      <c r="B3574" t="s">
        <v>1009</v>
      </c>
      <c r="C3574">
        <v>6</v>
      </c>
      <c r="D3574" t="s">
        <v>35</v>
      </c>
      <c r="E3574" t="s">
        <v>94</v>
      </c>
      <c r="F3574" t="s">
        <v>111</v>
      </c>
      <c r="G3574" t="s">
        <v>121</v>
      </c>
      <c r="H3574" t="s">
        <v>253</v>
      </c>
      <c r="J3574">
        <v>0</v>
      </c>
      <c r="K3574">
        <v>3</v>
      </c>
      <c r="L3574">
        <v>94.97142857</v>
      </c>
      <c r="M3574">
        <v>24.31591813</v>
      </c>
      <c r="N3574">
        <v>0.122951111</v>
      </c>
      <c r="O3574">
        <v>0.39050790000000002</v>
      </c>
      <c r="P3574">
        <v>172.08823530000001</v>
      </c>
      <c r="Q3574">
        <v>29.581605960000001</v>
      </c>
      <c r="R3574">
        <v>0.24280444400000001</v>
      </c>
      <c r="S3574" t="s">
        <v>114</v>
      </c>
      <c r="T3574" t="s">
        <v>1018</v>
      </c>
      <c r="U3574">
        <v>-0.11985333300000001</v>
      </c>
    </row>
    <row r="3575" spans="1:21" x14ac:dyDescent="0.25">
      <c r="A3575" t="s">
        <v>90</v>
      </c>
      <c r="B3575" t="s">
        <v>1009</v>
      </c>
      <c r="C3575">
        <v>6</v>
      </c>
      <c r="D3575" t="s">
        <v>35</v>
      </c>
      <c r="E3575" t="s">
        <v>94</v>
      </c>
      <c r="F3575" t="s">
        <v>111</v>
      </c>
      <c r="G3575" t="s">
        <v>121</v>
      </c>
      <c r="H3575" t="s">
        <v>162</v>
      </c>
      <c r="J3575">
        <v>0</v>
      </c>
      <c r="K3575">
        <v>1</v>
      </c>
      <c r="L3575">
        <v>94.97142857</v>
      </c>
      <c r="M3575">
        <v>24.31591813</v>
      </c>
      <c r="N3575">
        <v>0.122951111</v>
      </c>
      <c r="O3575">
        <v>0.39050790000000002</v>
      </c>
      <c r="P3575">
        <v>82.53846154</v>
      </c>
      <c r="Q3575">
        <v>35.660530039999998</v>
      </c>
      <c r="R3575">
        <v>3.3754499999999998</v>
      </c>
      <c r="S3575" t="s">
        <v>114</v>
      </c>
      <c r="T3575" t="s">
        <v>1018</v>
      </c>
      <c r="U3575">
        <v>-3.2524988889999999</v>
      </c>
    </row>
    <row r="3576" spans="1:21" x14ac:dyDescent="0.25">
      <c r="A3576" t="s">
        <v>90</v>
      </c>
      <c r="B3576" t="s">
        <v>1010</v>
      </c>
      <c r="C3576">
        <v>6</v>
      </c>
      <c r="D3576" t="s">
        <v>35</v>
      </c>
      <c r="E3576" t="s">
        <v>94</v>
      </c>
      <c r="F3576" t="s">
        <v>104</v>
      </c>
      <c r="G3576" t="s">
        <v>111</v>
      </c>
      <c r="H3576" t="s">
        <v>111</v>
      </c>
      <c r="J3576">
        <v>1</v>
      </c>
      <c r="K3576">
        <v>1</v>
      </c>
      <c r="L3576">
        <v>113.9375</v>
      </c>
      <c r="M3576">
        <v>33.375507550000002</v>
      </c>
      <c r="N3576">
        <v>2.4262999999999999</v>
      </c>
      <c r="O3576">
        <v>0.40692159999999999</v>
      </c>
      <c r="P3576">
        <v>94.97142857</v>
      </c>
      <c r="Q3576">
        <v>24.31591813</v>
      </c>
      <c r="R3576">
        <v>0.122951111</v>
      </c>
      <c r="S3576">
        <v>0.39050790000000002</v>
      </c>
      <c r="T3576" t="s">
        <v>1018</v>
      </c>
      <c r="U3576">
        <v>2.303348889</v>
      </c>
    </row>
    <row r="3577" spans="1:21" x14ac:dyDescent="0.25">
      <c r="A3577" t="s">
        <v>90</v>
      </c>
      <c r="B3577" t="s">
        <v>1010</v>
      </c>
      <c r="C3577">
        <v>6</v>
      </c>
      <c r="D3577" t="s">
        <v>35</v>
      </c>
      <c r="E3577" t="s">
        <v>94</v>
      </c>
      <c r="F3577" t="s">
        <v>104</v>
      </c>
      <c r="G3577" t="s">
        <v>111</v>
      </c>
      <c r="H3577" t="s">
        <v>253</v>
      </c>
      <c r="J3577">
        <v>1</v>
      </c>
      <c r="K3577">
        <v>2</v>
      </c>
      <c r="L3577">
        <v>113.9375</v>
      </c>
      <c r="M3577">
        <v>33.375507550000002</v>
      </c>
      <c r="N3577">
        <v>2.4262999999999999</v>
      </c>
      <c r="O3577">
        <v>0.40692159999999999</v>
      </c>
      <c r="P3577">
        <v>172.08823530000001</v>
      </c>
      <c r="Q3577">
        <v>29.581605960000001</v>
      </c>
      <c r="R3577">
        <v>0.24280444400000001</v>
      </c>
      <c r="S3577" t="s">
        <v>114</v>
      </c>
      <c r="T3577" t="s">
        <v>1018</v>
      </c>
      <c r="U3577">
        <v>2.183495556</v>
      </c>
    </row>
    <row r="3578" spans="1:21" x14ac:dyDescent="0.25">
      <c r="A3578" t="s">
        <v>90</v>
      </c>
      <c r="B3578" t="s">
        <v>1010</v>
      </c>
      <c r="C3578">
        <v>6</v>
      </c>
      <c r="D3578" t="s">
        <v>35</v>
      </c>
      <c r="E3578" t="s">
        <v>94</v>
      </c>
      <c r="F3578" t="s">
        <v>104</v>
      </c>
      <c r="G3578" t="s">
        <v>111</v>
      </c>
      <c r="H3578" t="s">
        <v>253</v>
      </c>
      <c r="J3578">
        <v>1</v>
      </c>
      <c r="K3578">
        <v>2</v>
      </c>
      <c r="L3578">
        <v>113.9375</v>
      </c>
      <c r="M3578">
        <v>33.375507550000002</v>
      </c>
      <c r="N3578">
        <v>2.4262999999999999</v>
      </c>
      <c r="O3578">
        <v>0.40692159999999999</v>
      </c>
      <c r="P3578">
        <v>172.08823530000001</v>
      </c>
      <c r="Q3578">
        <v>29.581605960000001</v>
      </c>
      <c r="R3578">
        <v>0.24280444400000001</v>
      </c>
      <c r="S3578" t="s">
        <v>114</v>
      </c>
      <c r="T3578" t="s">
        <v>1018</v>
      </c>
      <c r="U3578">
        <v>2.183495556</v>
      </c>
    </row>
    <row r="3579" spans="1:21" x14ac:dyDescent="0.25">
      <c r="A3579" t="s">
        <v>91</v>
      </c>
      <c r="B3579" t="s">
        <v>1011</v>
      </c>
      <c r="C3579">
        <v>6</v>
      </c>
      <c r="D3579" t="s">
        <v>37</v>
      </c>
      <c r="E3579" t="s">
        <v>94</v>
      </c>
      <c r="F3579" t="s">
        <v>112</v>
      </c>
      <c r="G3579" t="s">
        <v>112</v>
      </c>
      <c r="H3579" t="s">
        <v>112</v>
      </c>
      <c r="J3579">
        <v>0</v>
      </c>
      <c r="K3579">
        <v>1</v>
      </c>
      <c r="L3579">
        <v>65.09375</v>
      </c>
      <c r="M3579">
        <v>37.895352600000002</v>
      </c>
      <c r="N3579">
        <v>2.2882677779999998</v>
      </c>
      <c r="O3579">
        <v>2.2111774</v>
      </c>
      <c r="P3579">
        <v>65.09375</v>
      </c>
      <c r="Q3579">
        <v>37.895352600000002</v>
      </c>
      <c r="R3579">
        <v>2.2882677779999998</v>
      </c>
      <c r="S3579">
        <v>2.2111774</v>
      </c>
      <c r="T3579" t="s">
        <v>1018</v>
      </c>
      <c r="U3579">
        <v>0</v>
      </c>
    </row>
    <row r="3580" spans="1:21" x14ac:dyDescent="0.25">
      <c r="A3580" t="s">
        <v>92</v>
      </c>
      <c r="B3580" t="s">
        <v>1012</v>
      </c>
      <c r="C3580">
        <v>6</v>
      </c>
      <c r="D3580" t="s">
        <v>64</v>
      </c>
      <c r="E3580" t="s">
        <v>94</v>
      </c>
      <c r="F3580" t="s">
        <v>112</v>
      </c>
      <c r="G3580" t="s">
        <v>102</v>
      </c>
      <c r="H3580" t="s">
        <v>102</v>
      </c>
      <c r="J3580">
        <v>0</v>
      </c>
      <c r="K3580">
        <v>2</v>
      </c>
      <c r="L3580">
        <v>65.09375</v>
      </c>
      <c r="M3580">
        <v>37.895352600000002</v>
      </c>
      <c r="N3580">
        <v>2.2882677779999998</v>
      </c>
      <c r="O3580">
        <v>2.2111774</v>
      </c>
      <c r="P3580">
        <v>84.740740740000007</v>
      </c>
      <c r="Q3580">
        <v>29.167014049999999</v>
      </c>
      <c r="R3580">
        <v>1.1169849999999999</v>
      </c>
      <c r="S3580">
        <v>1.1571499000000001</v>
      </c>
      <c r="T3580" t="s">
        <v>1018</v>
      </c>
      <c r="U3580">
        <v>1.1712827779999999</v>
      </c>
    </row>
    <row r="3581" spans="1:21" x14ac:dyDescent="0.25">
      <c r="A3581" t="s">
        <v>92</v>
      </c>
      <c r="B3581" t="s">
        <v>1012</v>
      </c>
      <c r="C3581">
        <v>6</v>
      </c>
      <c r="D3581" t="s">
        <v>64</v>
      </c>
      <c r="E3581" t="s">
        <v>94</v>
      </c>
      <c r="F3581" t="s">
        <v>112</v>
      </c>
      <c r="G3581" t="s">
        <v>102</v>
      </c>
      <c r="H3581" t="s">
        <v>102</v>
      </c>
      <c r="J3581">
        <v>0</v>
      </c>
      <c r="K3581">
        <v>2</v>
      </c>
      <c r="L3581">
        <v>65.09375</v>
      </c>
      <c r="M3581">
        <v>37.895352600000002</v>
      </c>
      <c r="N3581">
        <v>2.2882677779999998</v>
      </c>
      <c r="O3581">
        <v>2.2111774</v>
      </c>
      <c r="P3581">
        <v>84.740740740000007</v>
      </c>
      <c r="Q3581">
        <v>29.167014049999999</v>
      </c>
      <c r="R3581">
        <v>1.1169849999999999</v>
      </c>
      <c r="S3581">
        <v>1.1571499000000001</v>
      </c>
      <c r="T3581" t="s">
        <v>1018</v>
      </c>
      <c r="U3581">
        <v>1.1712827779999999</v>
      </c>
    </row>
    <row r="3582" spans="1:21" x14ac:dyDescent="0.25">
      <c r="A3582" t="s">
        <v>92</v>
      </c>
      <c r="B3582" t="s">
        <v>1012</v>
      </c>
      <c r="C3582">
        <v>6</v>
      </c>
      <c r="D3582" t="s">
        <v>64</v>
      </c>
      <c r="E3582" t="s">
        <v>94</v>
      </c>
      <c r="F3582" t="s">
        <v>112</v>
      </c>
      <c r="G3582" t="s">
        <v>102</v>
      </c>
      <c r="H3582" t="s">
        <v>241</v>
      </c>
      <c r="J3582">
        <v>0</v>
      </c>
      <c r="K3582">
        <v>1</v>
      </c>
      <c r="L3582">
        <v>65.09375</v>
      </c>
      <c r="M3582">
        <v>37.895352600000002</v>
      </c>
      <c r="N3582">
        <v>2.2882677779999998</v>
      </c>
      <c r="O3582">
        <v>2.2111774</v>
      </c>
      <c r="P3582">
        <v>114</v>
      </c>
      <c r="Q3582">
        <v>30.43077242</v>
      </c>
      <c r="R3582">
        <v>0.53383111100000002</v>
      </c>
      <c r="S3582">
        <v>0.28333332999999999</v>
      </c>
      <c r="T3582" t="s">
        <v>1018</v>
      </c>
      <c r="U3582">
        <v>1.754436667</v>
      </c>
    </row>
    <row r="3583" spans="1:21" x14ac:dyDescent="0.25">
      <c r="A3583" t="s">
        <v>93</v>
      </c>
      <c r="B3583" t="s">
        <v>1013</v>
      </c>
      <c r="C3583">
        <v>6</v>
      </c>
      <c r="D3583" t="s">
        <v>66</v>
      </c>
      <c r="E3583" t="s">
        <v>95</v>
      </c>
      <c r="F3583" t="s">
        <v>104</v>
      </c>
      <c r="G3583" t="s">
        <v>103</v>
      </c>
      <c r="H3583" t="s">
        <v>104</v>
      </c>
      <c r="J3583">
        <v>0</v>
      </c>
      <c r="K3583">
        <v>1</v>
      </c>
      <c r="L3583">
        <v>113.9375</v>
      </c>
      <c r="M3583">
        <v>33.375507550000002</v>
      </c>
      <c r="N3583">
        <v>2.4262999999999999</v>
      </c>
      <c r="O3583">
        <v>0.40692159999999999</v>
      </c>
      <c r="P3583">
        <v>113.9375</v>
      </c>
      <c r="Q3583">
        <v>33.375507550000002</v>
      </c>
      <c r="R3583">
        <v>2.4262999999999999</v>
      </c>
      <c r="S3583">
        <v>0.40692159999999999</v>
      </c>
      <c r="T3583" t="s">
        <v>1018</v>
      </c>
      <c r="U3583">
        <v>0</v>
      </c>
    </row>
    <row r="3584" spans="1:21" x14ac:dyDescent="0.25">
      <c r="A3584" t="s">
        <v>93</v>
      </c>
      <c r="B3584" t="s">
        <v>1013</v>
      </c>
      <c r="C3584">
        <v>6</v>
      </c>
      <c r="D3584" t="s">
        <v>66</v>
      </c>
      <c r="E3584" t="s">
        <v>95</v>
      </c>
      <c r="F3584" t="s">
        <v>104</v>
      </c>
      <c r="G3584" t="s">
        <v>103</v>
      </c>
      <c r="H3584" t="s">
        <v>111</v>
      </c>
      <c r="J3584">
        <v>0</v>
      </c>
      <c r="K3584">
        <v>1</v>
      </c>
      <c r="L3584">
        <v>113.9375</v>
      </c>
      <c r="M3584">
        <v>33.375507550000002</v>
      </c>
      <c r="N3584">
        <v>2.4262999999999999</v>
      </c>
      <c r="O3584">
        <v>0.40692159999999999</v>
      </c>
      <c r="P3584">
        <v>94.97142857</v>
      </c>
      <c r="Q3584">
        <v>24.31591813</v>
      </c>
      <c r="R3584">
        <v>0.122951111</v>
      </c>
      <c r="S3584">
        <v>0.39050790000000002</v>
      </c>
      <c r="T3584" t="s">
        <v>1018</v>
      </c>
      <c r="U3584">
        <v>2.303348889</v>
      </c>
    </row>
    <row r="3585" spans="1:21" x14ac:dyDescent="0.25">
      <c r="A3585" t="s">
        <v>93</v>
      </c>
      <c r="B3585" t="s">
        <v>1013</v>
      </c>
      <c r="C3585">
        <v>6</v>
      </c>
      <c r="D3585" t="s">
        <v>66</v>
      </c>
      <c r="E3585" t="s">
        <v>95</v>
      </c>
      <c r="F3585" t="s">
        <v>104</v>
      </c>
      <c r="G3585" t="s">
        <v>103</v>
      </c>
      <c r="H3585" t="s">
        <v>103</v>
      </c>
      <c r="J3585">
        <v>0</v>
      </c>
      <c r="K3585">
        <v>4</v>
      </c>
      <c r="L3585">
        <v>113.9375</v>
      </c>
      <c r="M3585">
        <v>33.375507550000002</v>
      </c>
      <c r="N3585">
        <v>2.4262999999999999</v>
      </c>
      <c r="O3585">
        <v>0.40692159999999999</v>
      </c>
      <c r="P3585">
        <v>98.291666669999998</v>
      </c>
      <c r="Q3585">
        <v>30.315130790000001</v>
      </c>
      <c r="R3585">
        <v>5.0803484000000003E-2</v>
      </c>
      <c r="S3585">
        <v>0.42866070000000001</v>
      </c>
      <c r="T3585" t="s">
        <v>1018</v>
      </c>
      <c r="U3585">
        <v>2.3754965160000001</v>
      </c>
    </row>
    <row r="3586" spans="1:21" x14ac:dyDescent="0.25">
      <c r="A3586" t="s">
        <v>93</v>
      </c>
      <c r="B3586" t="s">
        <v>1013</v>
      </c>
      <c r="C3586">
        <v>6</v>
      </c>
      <c r="D3586" t="s">
        <v>66</v>
      </c>
      <c r="E3586" t="s">
        <v>95</v>
      </c>
      <c r="F3586" t="s">
        <v>104</v>
      </c>
      <c r="G3586" t="s">
        <v>103</v>
      </c>
      <c r="H3586" t="s">
        <v>103</v>
      </c>
      <c r="J3586">
        <v>0</v>
      </c>
      <c r="K3586">
        <v>4</v>
      </c>
      <c r="L3586">
        <v>113.9375</v>
      </c>
      <c r="M3586">
        <v>33.375507550000002</v>
      </c>
      <c r="N3586">
        <v>2.4262999999999999</v>
      </c>
      <c r="O3586">
        <v>0.40692159999999999</v>
      </c>
      <c r="P3586">
        <v>98.291666669999998</v>
      </c>
      <c r="Q3586">
        <v>30.315130790000001</v>
      </c>
      <c r="R3586">
        <v>5.0803484000000003E-2</v>
      </c>
      <c r="S3586">
        <v>0.42866070000000001</v>
      </c>
      <c r="T3586" t="s">
        <v>1018</v>
      </c>
      <c r="U3586">
        <v>2.3754965160000001</v>
      </c>
    </row>
    <row r="3587" spans="1:21" x14ac:dyDescent="0.25">
      <c r="A3587" t="s">
        <v>93</v>
      </c>
      <c r="B3587" t="s">
        <v>1013</v>
      </c>
      <c r="C3587">
        <v>6</v>
      </c>
      <c r="D3587" t="s">
        <v>66</v>
      </c>
      <c r="E3587" t="s">
        <v>95</v>
      </c>
      <c r="F3587" t="s">
        <v>104</v>
      </c>
      <c r="G3587" t="s">
        <v>103</v>
      </c>
      <c r="H3587" t="s">
        <v>103</v>
      </c>
      <c r="J3587">
        <v>0</v>
      </c>
      <c r="K3587">
        <v>4</v>
      </c>
      <c r="L3587">
        <v>113.9375</v>
      </c>
      <c r="M3587">
        <v>33.375507550000002</v>
      </c>
      <c r="N3587">
        <v>2.4262999999999999</v>
      </c>
      <c r="O3587">
        <v>0.40692159999999999</v>
      </c>
      <c r="P3587">
        <v>98.291666669999998</v>
      </c>
      <c r="Q3587">
        <v>30.315130790000001</v>
      </c>
      <c r="R3587">
        <v>5.0803484000000003E-2</v>
      </c>
      <c r="S3587">
        <v>0.42866070000000001</v>
      </c>
      <c r="T3587" t="s">
        <v>1018</v>
      </c>
      <c r="U3587">
        <v>2.3754965160000001</v>
      </c>
    </row>
    <row r="3588" spans="1:21" x14ac:dyDescent="0.25">
      <c r="A3588" t="s">
        <v>93</v>
      </c>
      <c r="B3588" t="s">
        <v>1013</v>
      </c>
      <c r="C3588">
        <v>6</v>
      </c>
      <c r="D3588" t="s">
        <v>66</v>
      </c>
      <c r="E3588" t="s">
        <v>95</v>
      </c>
      <c r="F3588" t="s">
        <v>104</v>
      </c>
      <c r="G3588" t="s">
        <v>103</v>
      </c>
      <c r="H3588" t="s">
        <v>103</v>
      </c>
      <c r="J3588">
        <v>0</v>
      </c>
      <c r="K3588">
        <v>4</v>
      </c>
      <c r="L3588">
        <v>113.9375</v>
      </c>
      <c r="M3588">
        <v>33.375507550000002</v>
      </c>
      <c r="N3588">
        <v>2.4262999999999999</v>
      </c>
      <c r="O3588">
        <v>0.40692159999999999</v>
      </c>
      <c r="P3588">
        <v>98.291666669999998</v>
      </c>
      <c r="Q3588">
        <v>30.315130790000001</v>
      </c>
      <c r="R3588">
        <v>5.0803484000000003E-2</v>
      </c>
      <c r="S3588">
        <v>0.42866070000000001</v>
      </c>
      <c r="T3588" t="s">
        <v>1018</v>
      </c>
      <c r="U3588">
        <v>2.3754965160000001</v>
      </c>
    </row>
    <row r="3589" spans="1:21" x14ac:dyDescent="0.25">
      <c r="A3589" t="s">
        <v>93</v>
      </c>
      <c r="B3589" t="s">
        <v>1013</v>
      </c>
      <c r="C3589">
        <v>6</v>
      </c>
      <c r="D3589" t="s">
        <v>66</v>
      </c>
      <c r="E3589" t="s">
        <v>95</v>
      </c>
      <c r="F3589" t="s">
        <v>104</v>
      </c>
      <c r="G3589" t="s">
        <v>103</v>
      </c>
      <c r="H3589" t="s">
        <v>238</v>
      </c>
      <c r="J3589">
        <v>0</v>
      </c>
      <c r="K3589">
        <v>2</v>
      </c>
      <c r="L3589">
        <v>113.9375</v>
      </c>
      <c r="M3589">
        <v>33.375507550000002</v>
      </c>
      <c r="N3589">
        <v>2.4262999999999999</v>
      </c>
      <c r="O3589">
        <v>0.40692159999999999</v>
      </c>
      <c r="P3589">
        <v>87.5</v>
      </c>
      <c r="Q3589">
        <v>29.478311600000001</v>
      </c>
      <c r="R3589">
        <v>3.0797751000000002E-2</v>
      </c>
      <c r="S3589">
        <v>0.12931835</v>
      </c>
      <c r="T3589" t="s">
        <v>1018</v>
      </c>
      <c r="U3589">
        <v>2.3955022490000002</v>
      </c>
    </row>
    <row r="3590" spans="1:21" x14ac:dyDescent="0.25">
      <c r="A3590" t="s">
        <v>93</v>
      </c>
      <c r="B3590" t="s">
        <v>1013</v>
      </c>
      <c r="C3590">
        <v>6</v>
      </c>
      <c r="D3590" t="s">
        <v>66</v>
      </c>
      <c r="E3590" t="s">
        <v>95</v>
      </c>
      <c r="F3590" t="s">
        <v>104</v>
      </c>
      <c r="G3590" t="s">
        <v>103</v>
      </c>
      <c r="H3590" t="s">
        <v>238</v>
      </c>
      <c r="J3590">
        <v>0</v>
      </c>
      <c r="K3590">
        <v>2</v>
      </c>
      <c r="L3590">
        <v>113.9375</v>
      </c>
      <c r="M3590">
        <v>33.375507550000002</v>
      </c>
      <c r="N3590">
        <v>2.4262999999999999</v>
      </c>
      <c r="O3590">
        <v>0.40692159999999999</v>
      </c>
      <c r="P3590">
        <v>87.5</v>
      </c>
      <c r="Q3590">
        <v>29.478311600000001</v>
      </c>
      <c r="R3590">
        <v>3.0797751000000002E-2</v>
      </c>
      <c r="S3590">
        <v>0.12931835</v>
      </c>
      <c r="T3590" t="s">
        <v>1018</v>
      </c>
      <c r="U3590">
        <v>2.3955022490000002</v>
      </c>
    </row>
    <row r="3591" spans="1:21" x14ac:dyDescent="0.25">
      <c r="A3591" t="s">
        <v>93</v>
      </c>
      <c r="B3591" t="s">
        <v>1013</v>
      </c>
      <c r="C3591">
        <v>6</v>
      </c>
      <c r="D3591" t="s">
        <v>66</v>
      </c>
      <c r="E3591" t="s">
        <v>95</v>
      </c>
      <c r="F3591" t="s">
        <v>104</v>
      </c>
      <c r="G3591" t="s">
        <v>103</v>
      </c>
      <c r="H3591" t="s">
        <v>246</v>
      </c>
      <c r="J3591">
        <v>0</v>
      </c>
      <c r="K3591">
        <v>1</v>
      </c>
      <c r="L3591">
        <v>113.9375</v>
      </c>
      <c r="M3591">
        <v>33.375507550000002</v>
      </c>
      <c r="N3591">
        <v>2.4262999999999999</v>
      </c>
      <c r="O3591">
        <v>0.40692159999999999</v>
      </c>
      <c r="P3591">
        <v>120.25</v>
      </c>
      <c r="Q3591">
        <v>30.670450110000001</v>
      </c>
      <c r="R3591">
        <v>0.91037498500000003</v>
      </c>
      <c r="S3591" t="s">
        <v>114</v>
      </c>
      <c r="T3591" t="s">
        <v>1018</v>
      </c>
      <c r="U3591">
        <v>1.5159250150000001</v>
      </c>
    </row>
    <row r="3592" spans="1:21" x14ac:dyDescent="0.25">
      <c r="A3592" t="s">
        <v>67</v>
      </c>
      <c r="B3592" t="s">
        <v>820</v>
      </c>
      <c r="C3592">
        <v>10</v>
      </c>
      <c r="D3592" t="s">
        <v>11</v>
      </c>
      <c r="E3592" t="s">
        <v>94</v>
      </c>
      <c r="F3592" t="s">
        <v>113</v>
      </c>
      <c r="G3592" t="s">
        <v>121</v>
      </c>
      <c r="H3592" t="s">
        <v>113</v>
      </c>
      <c r="J3592">
        <v>0</v>
      </c>
      <c r="K3592">
        <v>2</v>
      </c>
      <c r="L3592">
        <v>83.757575759999995</v>
      </c>
      <c r="M3592">
        <v>22.60997987</v>
      </c>
      <c r="N3592">
        <v>0.72884000000000004</v>
      </c>
      <c r="O3592">
        <v>0.21301339999999999</v>
      </c>
      <c r="P3592">
        <v>83.757575759999995</v>
      </c>
      <c r="Q3592">
        <v>22.60997987</v>
      </c>
      <c r="R3592">
        <v>0.72884000000000004</v>
      </c>
      <c r="S3592">
        <v>0.21301339999999999</v>
      </c>
      <c r="T3592" t="s">
        <v>1019</v>
      </c>
      <c r="U3592">
        <v>0</v>
      </c>
    </row>
    <row r="3593" spans="1:21" x14ac:dyDescent="0.25">
      <c r="A3593" t="s">
        <v>67</v>
      </c>
      <c r="B3593" t="s">
        <v>820</v>
      </c>
      <c r="C3593">
        <v>10</v>
      </c>
      <c r="D3593" t="s">
        <v>11</v>
      </c>
      <c r="E3593" t="s">
        <v>94</v>
      </c>
      <c r="F3593" t="s">
        <v>113</v>
      </c>
      <c r="G3593" t="s">
        <v>121</v>
      </c>
      <c r="H3593" t="s">
        <v>113</v>
      </c>
      <c r="J3593">
        <v>0</v>
      </c>
      <c r="K3593">
        <v>2</v>
      </c>
      <c r="L3593">
        <v>83.757575759999995</v>
      </c>
      <c r="M3593">
        <v>22.60997987</v>
      </c>
      <c r="N3593">
        <v>0.72884000000000004</v>
      </c>
      <c r="O3593">
        <v>0.21301339999999999</v>
      </c>
      <c r="P3593">
        <v>83.757575759999995</v>
      </c>
      <c r="Q3593">
        <v>22.60997987</v>
      </c>
      <c r="R3593">
        <v>0.72884000000000004</v>
      </c>
      <c r="S3593">
        <v>0.21301339999999999</v>
      </c>
      <c r="T3593" t="s">
        <v>1019</v>
      </c>
      <c r="U3593">
        <v>0</v>
      </c>
    </row>
    <row r="3594" spans="1:21" x14ac:dyDescent="0.25">
      <c r="A3594" t="s">
        <v>67</v>
      </c>
      <c r="B3594" t="s">
        <v>820</v>
      </c>
      <c r="C3594">
        <v>10</v>
      </c>
      <c r="D3594" t="s">
        <v>11</v>
      </c>
      <c r="E3594" t="s">
        <v>94</v>
      </c>
      <c r="F3594" t="s">
        <v>113</v>
      </c>
      <c r="G3594" t="s">
        <v>121</v>
      </c>
      <c r="H3594" t="s">
        <v>248</v>
      </c>
      <c r="J3594">
        <v>0</v>
      </c>
      <c r="K3594">
        <v>1</v>
      </c>
      <c r="L3594">
        <v>83.757575759999995</v>
      </c>
      <c r="M3594">
        <v>22.60997987</v>
      </c>
      <c r="N3594">
        <v>0.72884000000000004</v>
      </c>
      <c r="O3594">
        <v>0.21301339999999999</v>
      </c>
      <c r="P3594">
        <v>83.92307692</v>
      </c>
      <c r="Q3594">
        <v>44.319135699999997</v>
      </c>
      <c r="R3594">
        <v>5.9548609999999997E-3</v>
      </c>
      <c r="S3594">
        <v>0.18017928</v>
      </c>
      <c r="T3594" t="s">
        <v>1019</v>
      </c>
      <c r="U3594">
        <v>0.72288513899999995</v>
      </c>
    </row>
    <row r="3595" spans="1:21" x14ac:dyDescent="0.25">
      <c r="A3595" t="s">
        <v>67</v>
      </c>
      <c r="B3595" t="s">
        <v>821</v>
      </c>
      <c r="C3595">
        <v>10</v>
      </c>
      <c r="D3595" t="s">
        <v>11</v>
      </c>
      <c r="E3595" t="s">
        <v>94</v>
      </c>
      <c r="F3595" t="s">
        <v>103</v>
      </c>
      <c r="G3595" t="s">
        <v>121</v>
      </c>
      <c r="H3595" t="s">
        <v>103</v>
      </c>
      <c r="J3595">
        <v>0</v>
      </c>
      <c r="K3595">
        <v>1</v>
      </c>
      <c r="L3595">
        <v>98.291666669999998</v>
      </c>
      <c r="M3595">
        <v>30.315130790000001</v>
      </c>
      <c r="N3595">
        <v>5.0803484000000003E-2</v>
      </c>
      <c r="O3595">
        <v>0.42866070000000001</v>
      </c>
      <c r="P3595">
        <v>98.291666669999998</v>
      </c>
      <c r="Q3595">
        <v>30.315130790000001</v>
      </c>
      <c r="R3595">
        <v>5.0803484000000003E-2</v>
      </c>
      <c r="S3595">
        <v>0.42866070000000001</v>
      </c>
      <c r="T3595" t="s">
        <v>1019</v>
      </c>
      <c r="U3595">
        <v>0</v>
      </c>
    </row>
    <row r="3596" spans="1:21" x14ac:dyDescent="0.25">
      <c r="A3596" t="s">
        <v>67</v>
      </c>
      <c r="B3596" t="s">
        <v>822</v>
      </c>
      <c r="C3596">
        <v>10</v>
      </c>
      <c r="D3596" t="s">
        <v>11</v>
      </c>
      <c r="E3596" t="s">
        <v>94</v>
      </c>
      <c r="F3596" t="s">
        <v>112</v>
      </c>
      <c r="G3596" t="s">
        <v>121</v>
      </c>
      <c r="H3596" t="s">
        <v>235</v>
      </c>
      <c r="J3596">
        <v>0</v>
      </c>
      <c r="K3596">
        <v>1</v>
      </c>
      <c r="L3596">
        <v>65.09375</v>
      </c>
      <c r="M3596">
        <v>37.895352600000002</v>
      </c>
      <c r="N3596">
        <v>2.2882677779999998</v>
      </c>
      <c r="O3596">
        <v>2.2111774</v>
      </c>
      <c r="P3596">
        <v>132.27272730000001</v>
      </c>
      <c r="Q3596">
        <v>20.180448590000001</v>
      </c>
      <c r="R3596">
        <v>3.7813451999999997E-2</v>
      </c>
      <c r="S3596">
        <v>0.41404401000000002</v>
      </c>
      <c r="T3596" t="s">
        <v>1019</v>
      </c>
      <c r="U3596">
        <v>2.2504543259999998</v>
      </c>
    </row>
    <row r="3597" spans="1:21" x14ac:dyDescent="0.25">
      <c r="A3597" t="s">
        <v>67</v>
      </c>
      <c r="B3597" t="s">
        <v>822</v>
      </c>
      <c r="C3597">
        <v>10</v>
      </c>
      <c r="D3597" t="s">
        <v>11</v>
      </c>
      <c r="E3597" t="s">
        <v>94</v>
      </c>
      <c r="F3597" t="s">
        <v>112</v>
      </c>
      <c r="G3597" t="s">
        <v>121</v>
      </c>
      <c r="H3597" t="s">
        <v>248</v>
      </c>
      <c r="J3597">
        <v>0</v>
      </c>
      <c r="K3597">
        <v>2</v>
      </c>
      <c r="L3597">
        <v>65.09375</v>
      </c>
      <c r="M3597">
        <v>37.895352600000002</v>
      </c>
      <c r="N3597">
        <v>2.2882677779999998</v>
      </c>
      <c r="O3597">
        <v>2.2111774</v>
      </c>
      <c r="P3597">
        <v>83.92307692</v>
      </c>
      <c r="Q3597">
        <v>44.319135699999997</v>
      </c>
      <c r="R3597">
        <v>5.9548609999999997E-3</v>
      </c>
      <c r="S3597">
        <v>0.18017928</v>
      </c>
      <c r="T3597" t="s">
        <v>1019</v>
      </c>
      <c r="U3597">
        <v>2.2823129170000001</v>
      </c>
    </row>
    <row r="3598" spans="1:21" x14ac:dyDescent="0.25">
      <c r="A3598" t="s">
        <v>67</v>
      </c>
      <c r="B3598" t="s">
        <v>822</v>
      </c>
      <c r="C3598">
        <v>10</v>
      </c>
      <c r="D3598" t="s">
        <v>11</v>
      </c>
      <c r="E3598" t="s">
        <v>94</v>
      </c>
      <c r="F3598" t="s">
        <v>112</v>
      </c>
      <c r="G3598" t="s">
        <v>121</v>
      </c>
      <c r="H3598" t="s">
        <v>248</v>
      </c>
      <c r="J3598">
        <v>0</v>
      </c>
      <c r="K3598">
        <v>2</v>
      </c>
      <c r="L3598">
        <v>65.09375</v>
      </c>
      <c r="M3598">
        <v>37.895352600000002</v>
      </c>
      <c r="N3598">
        <v>2.2882677779999998</v>
      </c>
      <c r="O3598">
        <v>2.2111774</v>
      </c>
      <c r="P3598">
        <v>83.92307692</v>
      </c>
      <c r="Q3598">
        <v>44.319135699999997</v>
      </c>
      <c r="R3598">
        <v>5.9548609999999997E-3</v>
      </c>
      <c r="S3598">
        <v>0.18017928</v>
      </c>
      <c r="T3598" t="s">
        <v>1019</v>
      </c>
      <c r="U3598">
        <v>2.2823129170000001</v>
      </c>
    </row>
    <row r="3599" spans="1:21" x14ac:dyDescent="0.25">
      <c r="A3599" t="s">
        <v>68</v>
      </c>
      <c r="B3599" t="s">
        <v>823</v>
      </c>
      <c r="C3599">
        <v>10</v>
      </c>
      <c r="D3599" t="s">
        <v>15</v>
      </c>
      <c r="E3599" t="s">
        <v>95</v>
      </c>
      <c r="F3599" t="s">
        <v>113</v>
      </c>
      <c r="G3599" t="s">
        <v>121</v>
      </c>
      <c r="H3599" t="s">
        <v>113</v>
      </c>
      <c r="J3599">
        <v>0</v>
      </c>
      <c r="K3599">
        <v>1</v>
      </c>
      <c r="L3599">
        <v>83.757575759999995</v>
      </c>
      <c r="M3599">
        <v>22.60997987</v>
      </c>
      <c r="N3599">
        <v>0.72884000000000004</v>
      </c>
      <c r="O3599">
        <v>0.21301339999999999</v>
      </c>
      <c r="P3599">
        <v>83.757575759999995</v>
      </c>
      <c r="Q3599">
        <v>22.60997987</v>
      </c>
      <c r="R3599">
        <v>0.72884000000000004</v>
      </c>
      <c r="S3599">
        <v>0.21301339999999999</v>
      </c>
      <c r="T3599" t="s">
        <v>1019</v>
      </c>
      <c r="U3599">
        <v>0</v>
      </c>
    </row>
    <row r="3600" spans="1:21" x14ac:dyDescent="0.25">
      <c r="A3600" t="s">
        <v>68</v>
      </c>
      <c r="B3600" t="s">
        <v>824</v>
      </c>
      <c r="C3600">
        <v>10</v>
      </c>
      <c r="D3600" t="s">
        <v>15</v>
      </c>
      <c r="E3600" t="s">
        <v>95</v>
      </c>
      <c r="F3600" t="s">
        <v>110</v>
      </c>
      <c r="G3600" t="s">
        <v>113</v>
      </c>
      <c r="H3600" t="s">
        <v>113</v>
      </c>
      <c r="J3600">
        <v>0</v>
      </c>
      <c r="K3600">
        <v>2</v>
      </c>
      <c r="L3600">
        <v>73.260869569999997</v>
      </c>
      <c r="M3600">
        <v>34.453830549999999</v>
      </c>
      <c r="N3600">
        <v>1.058333333</v>
      </c>
      <c r="O3600">
        <v>0.90897070000000002</v>
      </c>
      <c r="P3600">
        <v>83.757575759999995</v>
      </c>
      <c r="Q3600">
        <v>22.60997987</v>
      </c>
      <c r="R3600">
        <v>0.72884000000000004</v>
      </c>
      <c r="S3600">
        <v>0.21301339999999999</v>
      </c>
      <c r="T3600" t="s">
        <v>1019</v>
      </c>
      <c r="U3600">
        <v>0.329493333</v>
      </c>
    </row>
    <row r="3601" spans="1:21" x14ac:dyDescent="0.25">
      <c r="A3601" t="s">
        <v>68</v>
      </c>
      <c r="B3601" t="s">
        <v>824</v>
      </c>
      <c r="C3601">
        <v>10</v>
      </c>
      <c r="D3601" t="s">
        <v>15</v>
      </c>
      <c r="E3601" t="s">
        <v>95</v>
      </c>
      <c r="F3601" t="s">
        <v>110</v>
      </c>
      <c r="G3601" t="s">
        <v>113</v>
      </c>
      <c r="H3601" t="s">
        <v>113</v>
      </c>
      <c r="J3601">
        <v>0</v>
      </c>
      <c r="K3601">
        <v>2</v>
      </c>
      <c r="L3601">
        <v>73.260869569999997</v>
      </c>
      <c r="M3601">
        <v>34.453830549999999</v>
      </c>
      <c r="N3601">
        <v>1.058333333</v>
      </c>
      <c r="O3601">
        <v>0.90897070000000002</v>
      </c>
      <c r="P3601">
        <v>83.757575759999995</v>
      </c>
      <c r="Q3601">
        <v>22.60997987</v>
      </c>
      <c r="R3601">
        <v>0.72884000000000004</v>
      </c>
      <c r="S3601">
        <v>0.21301339999999999</v>
      </c>
      <c r="T3601" t="s">
        <v>1019</v>
      </c>
      <c r="U3601">
        <v>0.329493333</v>
      </c>
    </row>
    <row r="3602" spans="1:21" x14ac:dyDescent="0.25">
      <c r="A3602" t="s">
        <v>68</v>
      </c>
      <c r="B3602" t="s">
        <v>825</v>
      </c>
      <c r="C3602">
        <v>10</v>
      </c>
      <c r="D3602" t="s">
        <v>15</v>
      </c>
      <c r="E3602" t="s">
        <v>95</v>
      </c>
      <c r="F3602" t="s">
        <v>111</v>
      </c>
      <c r="G3602" t="s">
        <v>121</v>
      </c>
      <c r="H3602" t="s">
        <v>239</v>
      </c>
      <c r="J3602">
        <v>0</v>
      </c>
      <c r="K3602">
        <v>1</v>
      </c>
      <c r="L3602">
        <v>94.97142857</v>
      </c>
      <c r="M3602">
        <v>24.31591813</v>
      </c>
      <c r="N3602">
        <v>0.122951111</v>
      </c>
      <c r="O3602">
        <v>0.39050790000000002</v>
      </c>
      <c r="P3602">
        <v>100.45454549999999</v>
      </c>
      <c r="Q3602">
        <v>26.754810689999999</v>
      </c>
      <c r="R3602">
        <v>0.75829999999999997</v>
      </c>
      <c r="S3602">
        <v>0.40907861000000001</v>
      </c>
      <c r="T3602" t="s">
        <v>1019</v>
      </c>
      <c r="U3602">
        <v>0.63534888899999997</v>
      </c>
    </row>
    <row r="3603" spans="1:21" x14ac:dyDescent="0.25">
      <c r="A3603" t="s">
        <v>68</v>
      </c>
      <c r="B3603" t="s">
        <v>826</v>
      </c>
      <c r="C3603">
        <v>10</v>
      </c>
      <c r="D3603" t="s">
        <v>15</v>
      </c>
      <c r="E3603" t="s">
        <v>95</v>
      </c>
      <c r="F3603" t="s">
        <v>104</v>
      </c>
      <c r="G3603" t="s">
        <v>121</v>
      </c>
      <c r="H3603" t="s">
        <v>114</v>
      </c>
      <c r="I3603" t="s">
        <v>161</v>
      </c>
      <c r="J3603">
        <v>1</v>
      </c>
      <c r="K3603">
        <v>0</v>
      </c>
      <c r="L3603">
        <v>113.9375</v>
      </c>
      <c r="M3603">
        <v>33.375507550000002</v>
      </c>
      <c r="N3603">
        <v>2.4262999999999999</v>
      </c>
      <c r="O3603">
        <v>0.40692159999999999</v>
      </c>
      <c r="P3603" t="s">
        <v>114</v>
      </c>
      <c r="Q3603" t="s">
        <v>114</v>
      </c>
      <c r="R3603" t="s">
        <v>114</v>
      </c>
      <c r="S3603" t="s">
        <v>114</v>
      </c>
      <c r="T3603" t="s">
        <v>1019</v>
      </c>
      <c r="U3603" t="s">
        <v>114</v>
      </c>
    </row>
    <row r="3604" spans="1:21" x14ac:dyDescent="0.25">
      <c r="A3604" t="s">
        <v>69</v>
      </c>
      <c r="B3604" t="s">
        <v>827</v>
      </c>
      <c r="C3604">
        <v>10</v>
      </c>
      <c r="D3604" t="s">
        <v>17</v>
      </c>
      <c r="E3604" t="s">
        <v>95</v>
      </c>
      <c r="F3604" t="s">
        <v>102</v>
      </c>
      <c r="G3604" t="s">
        <v>102</v>
      </c>
      <c r="H3604" t="s">
        <v>102</v>
      </c>
      <c r="J3604">
        <v>0</v>
      </c>
      <c r="K3604">
        <v>1</v>
      </c>
      <c r="L3604">
        <v>84.740740740000007</v>
      </c>
      <c r="M3604">
        <v>29.167014049999999</v>
      </c>
      <c r="N3604">
        <v>1.1169849999999999</v>
      </c>
      <c r="O3604">
        <v>1.1571499000000001</v>
      </c>
      <c r="P3604">
        <v>84.740740740000007</v>
      </c>
      <c r="Q3604">
        <v>29.167014049999999</v>
      </c>
      <c r="R3604">
        <v>1.1169849999999999</v>
      </c>
      <c r="S3604">
        <v>1.1571499000000001</v>
      </c>
      <c r="T3604" t="s">
        <v>1019</v>
      </c>
      <c r="U3604">
        <v>0</v>
      </c>
    </row>
    <row r="3605" spans="1:21" x14ac:dyDescent="0.25">
      <c r="A3605" t="s">
        <v>69</v>
      </c>
      <c r="B3605" t="s">
        <v>827</v>
      </c>
      <c r="C3605">
        <v>10</v>
      </c>
      <c r="D3605" t="s">
        <v>17</v>
      </c>
      <c r="E3605" t="s">
        <v>95</v>
      </c>
      <c r="F3605" t="s">
        <v>102</v>
      </c>
      <c r="G3605" t="s">
        <v>102</v>
      </c>
      <c r="H3605" t="s">
        <v>235</v>
      </c>
      <c r="J3605">
        <v>0</v>
      </c>
      <c r="K3605">
        <v>2</v>
      </c>
      <c r="L3605">
        <v>84.740740740000007</v>
      </c>
      <c r="M3605">
        <v>29.167014049999999</v>
      </c>
      <c r="N3605">
        <v>1.1169849999999999</v>
      </c>
      <c r="O3605">
        <v>1.1571499000000001</v>
      </c>
      <c r="P3605">
        <v>132.27272730000001</v>
      </c>
      <c r="Q3605">
        <v>20.180448590000001</v>
      </c>
      <c r="R3605">
        <v>3.7813451999999997E-2</v>
      </c>
      <c r="S3605">
        <v>0.41404401000000002</v>
      </c>
      <c r="T3605" t="s">
        <v>1019</v>
      </c>
      <c r="U3605">
        <v>1.0791715479999999</v>
      </c>
    </row>
    <row r="3606" spans="1:21" x14ac:dyDescent="0.25">
      <c r="A3606" t="s">
        <v>69</v>
      </c>
      <c r="B3606" t="s">
        <v>827</v>
      </c>
      <c r="C3606">
        <v>10</v>
      </c>
      <c r="D3606" t="s">
        <v>17</v>
      </c>
      <c r="E3606" t="s">
        <v>95</v>
      </c>
      <c r="F3606" t="s">
        <v>102</v>
      </c>
      <c r="G3606" t="s">
        <v>102</v>
      </c>
      <c r="H3606" t="s">
        <v>235</v>
      </c>
      <c r="J3606">
        <v>0</v>
      </c>
      <c r="K3606">
        <v>2</v>
      </c>
      <c r="L3606">
        <v>84.740740740000007</v>
      </c>
      <c r="M3606">
        <v>29.167014049999999</v>
      </c>
      <c r="N3606">
        <v>1.1169849999999999</v>
      </c>
      <c r="O3606">
        <v>1.1571499000000001</v>
      </c>
      <c r="P3606">
        <v>132.27272730000001</v>
      </c>
      <c r="Q3606">
        <v>20.180448590000001</v>
      </c>
      <c r="R3606">
        <v>3.7813451999999997E-2</v>
      </c>
      <c r="S3606">
        <v>0.41404401000000002</v>
      </c>
      <c r="T3606" t="s">
        <v>1019</v>
      </c>
      <c r="U3606">
        <v>1.0791715479999999</v>
      </c>
    </row>
    <row r="3607" spans="1:21" x14ac:dyDescent="0.25">
      <c r="A3607" t="s">
        <v>69</v>
      </c>
      <c r="B3607" t="s">
        <v>828</v>
      </c>
      <c r="C3607">
        <v>10</v>
      </c>
      <c r="D3607" t="s">
        <v>17</v>
      </c>
      <c r="E3607" t="s">
        <v>95</v>
      </c>
      <c r="F3607" t="s">
        <v>113</v>
      </c>
      <c r="G3607" t="s">
        <v>113</v>
      </c>
      <c r="H3607" t="s">
        <v>113</v>
      </c>
      <c r="J3607">
        <v>0</v>
      </c>
      <c r="K3607">
        <v>1</v>
      </c>
      <c r="L3607">
        <v>83.757575759999995</v>
      </c>
      <c r="M3607">
        <v>22.60997987</v>
      </c>
      <c r="N3607">
        <v>0.72884000000000004</v>
      </c>
      <c r="O3607">
        <v>0.21301339999999999</v>
      </c>
      <c r="P3607">
        <v>83.757575759999995</v>
      </c>
      <c r="Q3607">
        <v>22.60997987</v>
      </c>
      <c r="R3607">
        <v>0.72884000000000004</v>
      </c>
      <c r="S3607">
        <v>0.21301339999999999</v>
      </c>
      <c r="T3607" t="s">
        <v>1019</v>
      </c>
      <c r="U3607">
        <v>0</v>
      </c>
    </row>
    <row r="3608" spans="1:21" x14ac:dyDescent="0.25">
      <c r="A3608" t="s">
        <v>69</v>
      </c>
      <c r="B3608" t="s">
        <v>828</v>
      </c>
      <c r="C3608">
        <v>10</v>
      </c>
      <c r="D3608" t="s">
        <v>17</v>
      </c>
      <c r="E3608" t="s">
        <v>95</v>
      </c>
      <c r="F3608" t="s">
        <v>113</v>
      </c>
      <c r="G3608" t="s">
        <v>113</v>
      </c>
      <c r="H3608" t="s">
        <v>235</v>
      </c>
      <c r="J3608">
        <v>0</v>
      </c>
      <c r="K3608">
        <v>2</v>
      </c>
      <c r="L3608">
        <v>83.757575759999995</v>
      </c>
      <c r="M3608">
        <v>22.60997987</v>
      </c>
      <c r="N3608">
        <v>0.72884000000000004</v>
      </c>
      <c r="O3608">
        <v>0.21301339999999999</v>
      </c>
      <c r="P3608">
        <v>132.27272730000001</v>
      </c>
      <c r="Q3608">
        <v>20.180448590000001</v>
      </c>
      <c r="R3608">
        <v>3.7813451999999997E-2</v>
      </c>
      <c r="S3608">
        <v>0.41404401000000002</v>
      </c>
      <c r="T3608" t="s">
        <v>1019</v>
      </c>
      <c r="U3608">
        <v>0.69102654799999996</v>
      </c>
    </row>
    <row r="3609" spans="1:21" x14ac:dyDescent="0.25">
      <c r="A3609" t="s">
        <v>69</v>
      </c>
      <c r="B3609" t="s">
        <v>828</v>
      </c>
      <c r="C3609">
        <v>10</v>
      </c>
      <c r="D3609" t="s">
        <v>17</v>
      </c>
      <c r="E3609" t="s">
        <v>95</v>
      </c>
      <c r="F3609" t="s">
        <v>113</v>
      </c>
      <c r="G3609" t="s">
        <v>113</v>
      </c>
      <c r="H3609" t="s">
        <v>235</v>
      </c>
      <c r="J3609">
        <v>0</v>
      </c>
      <c r="K3609">
        <v>2</v>
      </c>
      <c r="L3609">
        <v>83.757575759999995</v>
      </c>
      <c r="M3609">
        <v>22.60997987</v>
      </c>
      <c r="N3609">
        <v>0.72884000000000004</v>
      </c>
      <c r="O3609">
        <v>0.21301339999999999</v>
      </c>
      <c r="P3609">
        <v>132.27272730000001</v>
      </c>
      <c r="Q3609">
        <v>20.180448590000001</v>
      </c>
      <c r="R3609">
        <v>3.7813451999999997E-2</v>
      </c>
      <c r="S3609">
        <v>0.41404401000000002</v>
      </c>
      <c r="T3609" t="s">
        <v>1019</v>
      </c>
      <c r="U3609">
        <v>0.69102654799999996</v>
      </c>
    </row>
    <row r="3610" spans="1:21" x14ac:dyDescent="0.25">
      <c r="A3610" t="s">
        <v>69</v>
      </c>
      <c r="B3610" t="s">
        <v>829</v>
      </c>
      <c r="C3610">
        <v>10</v>
      </c>
      <c r="D3610" t="s">
        <v>17</v>
      </c>
      <c r="E3610" t="s">
        <v>95</v>
      </c>
      <c r="F3610" t="s">
        <v>103</v>
      </c>
      <c r="G3610" t="s">
        <v>103</v>
      </c>
      <c r="H3610" t="s">
        <v>103</v>
      </c>
      <c r="J3610">
        <v>0</v>
      </c>
      <c r="K3610">
        <v>1</v>
      </c>
      <c r="L3610">
        <v>98.291666669999998</v>
      </c>
      <c r="M3610">
        <v>30.315130790000001</v>
      </c>
      <c r="N3610">
        <v>5.0803484000000003E-2</v>
      </c>
      <c r="O3610">
        <v>0.42866070000000001</v>
      </c>
      <c r="P3610">
        <v>98.291666669999998</v>
      </c>
      <c r="Q3610">
        <v>30.315130790000001</v>
      </c>
      <c r="R3610">
        <v>5.0803484000000003E-2</v>
      </c>
      <c r="S3610">
        <v>0.42866070000000001</v>
      </c>
      <c r="T3610" t="s">
        <v>1019</v>
      </c>
      <c r="U3610">
        <v>0</v>
      </c>
    </row>
    <row r="3611" spans="1:21" x14ac:dyDescent="0.25">
      <c r="A3611" t="s">
        <v>69</v>
      </c>
      <c r="B3611" t="s">
        <v>829</v>
      </c>
      <c r="C3611">
        <v>10</v>
      </c>
      <c r="D3611" t="s">
        <v>17</v>
      </c>
      <c r="E3611" t="s">
        <v>95</v>
      </c>
      <c r="F3611" t="s">
        <v>103</v>
      </c>
      <c r="G3611" t="s">
        <v>103</v>
      </c>
      <c r="H3611" t="s">
        <v>241</v>
      </c>
      <c r="J3611">
        <v>0</v>
      </c>
      <c r="K3611">
        <v>1</v>
      </c>
      <c r="L3611">
        <v>98.291666669999998</v>
      </c>
      <c r="M3611">
        <v>30.315130790000001</v>
      </c>
      <c r="N3611">
        <v>5.0803484000000003E-2</v>
      </c>
      <c r="O3611">
        <v>0.42866070000000001</v>
      </c>
      <c r="P3611">
        <v>114</v>
      </c>
      <c r="Q3611">
        <v>30.43077242</v>
      </c>
      <c r="R3611">
        <v>0.53383111100000002</v>
      </c>
      <c r="S3611">
        <v>0.28333332999999999</v>
      </c>
      <c r="T3611" t="s">
        <v>1019</v>
      </c>
      <c r="U3611">
        <v>0.48302762700000001</v>
      </c>
    </row>
    <row r="3612" spans="1:21" x14ac:dyDescent="0.25">
      <c r="A3612" t="s">
        <v>69</v>
      </c>
      <c r="B3612" t="s">
        <v>829</v>
      </c>
      <c r="C3612">
        <v>10</v>
      </c>
      <c r="D3612" t="s">
        <v>17</v>
      </c>
      <c r="E3612" t="s">
        <v>95</v>
      </c>
      <c r="F3612" t="s">
        <v>103</v>
      </c>
      <c r="G3612" t="s">
        <v>103</v>
      </c>
      <c r="H3612" t="s">
        <v>235</v>
      </c>
      <c r="J3612">
        <v>0</v>
      </c>
      <c r="K3612">
        <v>1</v>
      </c>
      <c r="L3612">
        <v>98.291666669999998</v>
      </c>
      <c r="M3612">
        <v>30.315130790000001</v>
      </c>
      <c r="N3612">
        <v>5.0803484000000003E-2</v>
      </c>
      <c r="O3612">
        <v>0.42866070000000001</v>
      </c>
      <c r="P3612">
        <v>132.27272730000001</v>
      </c>
      <c r="Q3612">
        <v>20.180448590000001</v>
      </c>
      <c r="R3612">
        <v>3.7813451999999997E-2</v>
      </c>
      <c r="S3612">
        <v>0.41404401000000002</v>
      </c>
      <c r="T3612" t="s">
        <v>1019</v>
      </c>
      <c r="U3612">
        <v>1.2990032E-2</v>
      </c>
    </row>
    <row r="3613" spans="1:21" x14ac:dyDescent="0.25">
      <c r="A3613" t="s">
        <v>69</v>
      </c>
      <c r="B3613" t="s">
        <v>830</v>
      </c>
      <c r="C3613">
        <v>10</v>
      </c>
      <c r="D3613" t="s">
        <v>17</v>
      </c>
      <c r="E3613" t="s">
        <v>95</v>
      </c>
      <c r="F3613" t="s">
        <v>111</v>
      </c>
      <c r="G3613" t="s">
        <v>121</v>
      </c>
      <c r="H3613" t="s">
        <v>235</v>
      </c>
      <c r="J3613">
        <v>0</v>
      </c>
      <c r="K3613">
        <v>3</v>
      </c>
      <c r="L3613">
        <v>94.97142857</v>
      </c>
      <c r="M3613">
        <v>24.31591813</v>
      </c>
      <c r="N3613">
        <v>0.122951111</v>
      </c>
      <c r="O3613">
        <v>0.39050790000000002</v>
      </c>
      <c r="P3613">
        <v>132.27272730000001</v>
      </c>
      <c r="Q3613">
        <v>20.180448590000001</v>
      </c>
      <c r="R3613">
        <v>3.7813451999999997E-2</v>
      </c>
      <c r="S3613">
        <v>0.41404401000000002</v>
      </c>
      <c r="T3613" t="s">
        <v>1019</v>
      </c>
      <c r="U3613">
        <v>8.5137659000000004E-2</v>
      </c>
    </row>
    <row r="3614" spans="1:21" x14ac:dyDescent="0.25">
      <c r="A3614" t="s">
        <v>69</v>
      </c>
      <c r="B3614" t="s">
        <v>830</v>
      </c>
      <c r="C3614">
        <v>10</v>
      </c>
      <c r="D3614" t="s">
        <v>17</v>
      </c>
      <c r="E3614" t="s">
        <v>95</v>
      </c>
      <c r="F3614" t="s">
        <v>111</v>
      </c>
      <c r="G3614" t="s">
        <v>121</v>
      </c>
      <c r="H3614" t="s">
        <v>235</v>
      </c>
      <c r="J3614">
        <v>0</v>
      </c>
      <c r="K3614">
        <v>3</v>
      </c>
      <c r="L3614">
        <v>94.97142857</v>
      </c>
      <c r="M3614">
        <v>24.31591813</v>
      </c>
      <c r="N3614">
        <v>0.122951111</v>
      </c>
      <c r="O3614">
        <v>0.39050790000000002</v>
      </c>
      <c r="P3614">
        <v>132.27272730000001</v>
      </c>
      <c r="Q3614">
        <v>20.180448590000001</v>
      </c>
      <c r="R3614">
        <v>3.7813451999999997E-2</v>
      </c>
      <c r="S3614">
        <v>0.41404401000000002</v>
      </c>
      <c r="T3614" t="s">
        <v>1019</v>
      </c>
      <c r="U3614">
        <v>8.5137659000000004E-2</v>
      </c>
    </row>
    <row r="3615" spans="1:21" x14ac:dyDescent="0.25">
      <c r="A3615" t="s">
        <v>69</v>
      </c>
      <c r="B3615" t="s">
        <v>830</v>
      </c>
      <c r="C3615">
        <v>10</v>
      </c>
      <c r="D3615" t="s">
        <v>17</v>
      </c>
      <c r="E3615" t="s">
        <v>95</v>
      </c>
      <c r="F3615" t="s">
        <v>111</v>
      </c>
      <c r="G3615" t="s">
        <v>121</v>
      </c>
      <c r="H3615" t="s">
        <v>235</v>
      </c>
      <c r="J3615">
        <v>0</v>
      </c>
      <c r="K3615">
        <v>3</v>
      </c>
      <c r="L3615">
        <v>94.97142857</v>
      </c>
      <c r="M3615">
        <v>24.31591813</v>
      </c>
      <c r="N3615">
        <v>0.122951111</v>
      </c>
      <c r="O3615">
        <v>0.39050790000000002</v>
      </c>
      <c r="P3615">
        <v>132.27272730000001</v>
      </c>
      <c r="Q3615">
        <v>20.180448590000001</v>
      </c>
      <c r="R3615">
        <v>3.7813451999999997E-2</v>
      </c>
      <c r="S3615">
        <v>0.41404401000000002</v>
      </c>
      <c r="T3615" t="s">
        <v>1019</v>
      </c>
      <c r="U3615">
        <v>8.5137659000000004E-2</v>
      </c>
    </row>
    <row r="3616" spans="1:21" x14ac:dyDescent="0.25">
      <c r="A3616" t="s">
        <v>69</v>
      </c>
      <c r="B3616" t="s">
        <v>831</v>
      </c>
      <c r="C3616">
        <v>10</v>
      </c>
      <c r="D3616" t="s">
        <v>17</v>
      </c>
      <c r="E3616" t="s">
        <v>95</v>
      </c>
      <c r="F3616" t="s">
        <v>112</v>
      </c>
      <c r="G3616" t="s">
        <v>121</v>
      </c>
      <c r="H3616" t="s">
        <v>235</v>
      </c>
      <c r="I3616" t="s">
        <v>252</v>
      </c>
      <c r="J3616">
        <v>1</v>
      </c>
      <c r="K3616">
        <v>2</v>
      </c>
      <c r="L3616">
        <v>65.09375</v>
      </c>
      <c r="M3616">
        <v>37.895352600000002</v>
      </c>
      <c r="N3616">
        <v>2.2882677779999998</v>
      </c>
      <c r="O3616">
        <v>2.2111774</v>
      </c>
      <c r="P3616">
        <v>132.27272730000001</v>
      </c>
      <c r="Q3616">
        <v>20.180448590000001</v>
      </c>
      <c r="R3616">
        <v>3.7813451999999997E-2</v>
      </c>
      <c r="S3616">
        <v>0.41404401000000002</v>
      </c>
      <c r="T3616" t="s">
        <v>1019</v>
      </c>
      <c r="U3616">
        <v>2.2504543259999998</v>
      </c>
    </row>
    <row r="3617" spans="1:21" x14ac:dyDescent="0.25">
      <c r="A3617" t="s">
        <v>69</v>
      </c>
      <c r="B3617" t="s">
        <v>831</v>
      </c>
      <c r="C3617">
        <v>10</v>
      </c>
      <c r="D3617" t="s">
        <v>17</v>
      </c>
      <c r="E3617" t="s">
        <v>95</v>
      </c>
      <c r="F3617" t="s">
        <v>112</v>
      </c>
      <c r="G3617" t="s">
        <v>121</v>
      </c>
      <c r="H3617" t="s">
        <v>235</v>
      </c>
      <c r="I3617" t="s">
        <v>252</v>
      </c>
      <c r="J3617">
        <v>1</v>
      </c>
      <c r="K3617">
        <v>2</v>
      </c>
      <c r="L3617">
        <v>65.09375</v>
      </c>
      <c r="M3617">
        <v>37.895352600000002</v>
      </c>
      <c r="N3617">
        <v>2.2882677779999998</v>
      </c>
      <c r="O3617">
        <v>2.2111774</v>
      </c>
      <c r="P3617">
        <v>132.27272730000001</v>
      </c>
      <c r="Q3617">
        <v>20.180448590000001</v>
      </c>
      <c r="R3617">
        <v>3.7813451999999997E-2</v>
      </c>
      <c r="S3617">
        <v>0.41404401000000002</v>
      </c>
      <c r="T3617" t="s">
        <v>1019</v>
      </c>
      <c r="U3617">
        <v>2.2504543259999998</v>
      </c>
    </row>
    <row r="3618" spans="1:21" x14ac:dyDescent="0.25">
      <c r="A3618" t="s">
        <v>70</v>
      </c>
      <c r="B3618" t="s">
        <v>832</v>
      </c>
      <c r="C3618">
        <v>10</v>
      </c>
      <c r="D3618" t="s">
        <v>19</v>
      </c>
      <c r="E3618" t="s">
        <v>95</v>
      </c>
      <c r="F3618" t="s">
        <v>102</v>
      </c>
      <c r="G3618" t="s">
        <v>121</v>
      </c>
      <c r="H3618" t="s">
        <v>102</v>
      </c>
      <c r="J3618">
        <v>0</v>
      </c>
      <c r="K3618">
        <v>1</v>
      </c>
      <c r="L3618">
        <v>84.740740740000007</v>
      </c>
      <c r="M3618">
        <v>29.167014049999999</v>
      </c>
      <c r="N3618">
        <v>1.1169849999999999</v>
      </c>
      <c r="O3618">
        <v>1.1571499000000001</v>
      </c>
      <c r="P3618">
        <v>84.740740740000007</v>
      </c>
      <c r="Q3618">
        <v>29.167014049999999</v>
      </c>
      <c r="R3618">
        <v>1.1169849999999999</v>
      </c>
      <c r="S3618">
        <v>1.1571499000000001</v>
      </c>
      <c r="T3618" t="s">
        <v>1019</v>
      </c>
      <c r="U3618">
        <v>0</v>
      </c>
    </row>
    <row r="3619" spans="1:21" x14ac:dyDescent="0.25">
      <c r="A3619" t="s">
        <v>70</v>
      </c>
      <c r="B3619" t="s">
        <v>832</v>
      </c>
      <c r="C3619">
        <v>10</v>
      </c>
      <c r="D3619" t="s">
        <v>19</v>
      </c>
      <c r="E3619" t="s">
        <v>95</v>
      </c>
      <c r="F3619" t="s">
        <v>102</v>
      </c>
      <c r="G3619" t="s">
        <v>121</v>
      </c>
      <c r="H3619" t="s">
        <v>236</v>
      </c>
      <c r="J3619">
        <v>0</v>
      </c>
      <c r="K3619">
        <v>1</v>
      </c>
      <c r="L3619">
        <v>84.740740740000007</v>
      </c>
      <c r="M3619">
        <v>29.167014049999999</v>
      </c>
      <c r="N3619">
        <v>1.1169849999999999</v>
      </c>
      <c r="O3619">
        <v>1.1571499000000001</v>
      </c>
      <c r="P3619">
        <v>113.33333330000001</v>
      </c>
      <c r="Q3619">
        <v>26.41632581</v>
      </c>
      <c r="R3619">
        <v>1.6844570160000001</v>
      </c>
      <c r="S3619">
        <v>8.9285710000000004E-2</v>
      </c>
      <c r="T3619" t="s">
        <v>1019</v>
      </c>
      <c r="U3619">
        <v>0.56747201599999997</v>
      </c>
    </row>
    <row r="3620" spans="1:21" x14ac:dyDescent="0.25">
      <c r="A3620" t="s">
        <v>70</v>
      </c>
      <c r="B3620" t="s">
        <v>833</v>
      </c>
      <c r="C3620">
        <v>10</v>
      </c>
      <c r="D3620" t="s">
        <v>19</v>
      </c>
      <c r="E3620" t="s">
        <v>95</v>
      </c>
      <c r="F3620" t="s">
        <v>105</v>
      </c>
      <c r="G3620" t="s">
        <v>121</v>
      </c>
      <c r="H3620" t="s">
        <v>235</v>
      </c>
      <c r="J3620">
        <v>0</v>
      </c>
      <c r="K3620">
        <v>1</v>
      </c>
      <c r="L3620">
        <v>67.5</v>
      </c>
      <c r="M3620">
        <v>47.937235809999997</v>
      </c>
      <c r="N3620">
        <v>0.41599678000000001</v>
      </c>
      <c r="O3620">
        <v>2.0950346999999998</v>
      </c>
      <c r="P3620">
        <v>132.27272730000001</v>
      </c>
      <c r="Q3620">
        <v>20.180448590000001</v>
      </c>
      <c r="R3620">
        <v>3.7813451999999997E-2</v>
      </c>
      <c r="S3620">
        <v>0.41404401000000002</v>
      </c>
      <c r="T3620" t="s">
        <v>1019</v>
      </c>
      <c r="U3620">
        <v>0.37818332799999999</v>
      </c>
    </row>
    <row r="3621" spans="1:21" x14ac:dyDescent="0.25">
      <c r="A3621" t="s">
        <v>70</v>
      </c>
      <c r="B3621" t="s">
        <v>833</v>
      </c>
      <c r="C3621">
        <v>10</v>
      </c>
      <c r="D3621" t="s">
        <v>19</v>
      </c>
      <c r="E3621" t="s">
        <v>95</v>
      </c>
      <c r="F3621" t="s">
        <v>105</v>
      </c>
      <c r="G3621" t="s">
        <v>121</v>
      </c>
      <c r="H3621" t="s">
        <v>236</v>
      </c>
      <c r="J3621">
        <v>0</v>
      </c>
      <c r="K3621">
        <v>2</v>
      </c>
      <c r="L3621">
        <v>67.5</v>
      </c>
      <c r="M3621">
        <v>47.937235809999997</v>
      </c>
      <c r="N3621">
        <v>0.41599678000000001</v>
      </c>
      <c r="O3621">
        <v>2.0950346999999998</v>
      </c>
      <c r="P3621">
        <v>113.33333330000001</v>
      </c>
      <c r="Q3621">
        <v>26.41632581</v>
      </c>
      <c r="R3621">
        <v>1.6844570160000001</v>
      </c>
      <c r="S3621">
        <v>8.9285710000000004E-2</v>
      </c>
      <c r="T3621" t="s">
        <v>1019</v>
      </c>
      <c r="U3621">
        <v>1.2684602359999999</v>
      </c>
    </row>
    <row r="3622" spans="1:21" x14ac:dyDescent="0.25">
      <c r="A3622" t="s">
        <v>70</v>
      </c>
      <c r="B3622" t="s">
        <v>833</v>
      </c>
      <c r="C3622">
        <v>10</v>
      </c>
      <c r="D3622" t="s">
        <v>19</v>
      </c>
      <c r="E3622" t="s">
        <v>95</v>
      </c>
      <c r="F3622" t="s">
        <v>105</v>
      </c>
      <c r="G3622" t="s">
        <v>121</v>
      </c>
      <c r="H3622" t="s">
        <v>236</v>
      </c>
      <c r="J3622">
        <v>0</v>
      </c>
      <c r="K3622">
        <v>2</v>
      </c>
      <c r="L3622">
        <v>67.5</v>
      </c>
      <c r="M3622">
        <v>47.937235809999997</v>
      </c>
      <c r="N3622">
        <v>0.41599678000000001</v>
      </c>
      <c r="O3622">
        <v>2.0950346999999998</v>
      </c>
      <c r="P3622">
        <v>113.33333330000001</v>
      </c>
      <c r="Q3622">
        <v>26.41632581</v>
      </c>
      <c r="R3622">
        <v>1.6844570160000001</v>
      </c>
      <c r="S3622">
        <v>8.9285710000000004E-2</v>
      </c>
      <c r="T3622" t="s">
        <v>1019</v>
      </c>
      <c r="U3622">
        <v>1.2684602359999999</v>
      </c>
    </row>
    <row r="3623" spans="1:21" x14ac:dyDescent="0.25">
      <c r="A3623" t="s">
        <v>70</v>
      </c>
      <c r="B3623" t="s">
        <v>833</v>
      </c>
      <c r="C3623">
        <v>10</v>
      </c>
      <c r="D3623" t="s">
        <v>19</v>
      </c>
      <c r="E3623" t="s">
        <v>95</v>
      </c>
      <c r="F3623" t="s">
        <v>105</v>
      </c>
      <c r="G3623" t="s">
        <v>121</v>
      </c>
      <c r="H3623" t="s">
        <v>162</v>
      </c>
      <c r="J3623">
        <v>0</v>
      </c>
      <c r="K3623">
        <v>1</v>
      </c>
      <c r="L3623">
        <v>67.5</v>
      </c>
      <c r="M3623">
        <v>47.937235809999997</v>
      </c>
      <c r="N3623">
        <v>0.41599678000000001</v>
      </c>
      <c r="O3623">
        <v>2.0950346999999998</v>
      </c>
      <c r="P3623">
        <v>82.53846154</v>
      </c>
      <c r="Q3623">
        <v>35.660530039999998</v>
      </c>
      <c r="R3623">
        <v>3.3754499999999998</v>
      </c>
      <c r="S3623" t="s">
        <v>114</v>
      </c>
      <c r="T3623" t="s">
        <v>1019</v>
      </c>
      <c r="U3623">
        <v>2.9594532199999999</v>
      </c>
    </row>
    <row r="3624" spans="1:21" x14ac:dyDescent="0.25">
      <c r="A3624" t="s">
        <v>70</v>
      </c>
      <c r="B3624" t="s">
        <v>834</v>
      </c>
      <c r="C3624">
        <v>10</v>
      </c>
      <c r="D3624" t="s">
        <v>19</v>
      </c>
      <c r="E3624" t="s">
        <v>95</v>
      </c>
      <c r="F3624" t="s">
        <v>111</v>
      </c>
      <c r="G3624" t="s">
        <v>121</v>
      </c>
      <c r="H3624" t="s">
        <v>235</v>
      </c>
      <c r="J3624">
        <v>0</v>
      </c>
      <c r="K3624">
        <v>1</v>
      </c>
      <c r="L3624">
        <v>94.97142857</v>
      </c>
      <c r="M3624">
        <v>24.31591813</v>
      </c>
      <c r="N3624">
        <v>0.122951111</v>
      </c>
      <c r="O3624">
        <v>0.39050790000000002</v>
      </c>
      <c r="P3624">
        <v>132.27272730000001</v>
      </c>
      <c r="Q3624">
        <v>20.180448590000001</v>
      </c>
      <c r="R3624">
        <v>3.7813451999999997E-2</v>
      </c>
      <c r="S3624">
        <v>0.41404401000000002</v>
      </c>
      <c r="T3624" t="s">
        <v>1019</v>
      </c>
      <c r="U3624">
        <v>8.5137659000000004E-2</v>
      </c>
    </row>
    <row r="3625" spans="1:21" x14ac:dyDescent="0.25">
      <c r="A3625" t="s">
        <v>71</v>
      </c>
      <c r="B3625" t="s">
        <v>835</v>
      </c>
      <c r="C3625">
        <v>10</v>
      </c>
      <c r="D3625" t="s">
        <v>21</v>
      </c>
      <c r="E3625" t="s">
        <v>94</v>
      </c>
      <c r="F3625" t="s">
        <v>102</v>
      </c>
      <c r="G3625" t="s">
        <v>121</v>
      </c>
      <c r="H3625" t="s">
        <v>114</v>
      </c>
      <c r="J3625">
        <v>0</v>
      </c>
      <c r="K3625" t="s">
        <v>114</v>
      </c>
      <c r="L3625">
        <v>84.740740740000007</v>
      </c>
      <c r="M3625">
        <v>29.167014049999999</v>
      </c>
      <c r="N3625">
        <v>1.1169849999999999</v>
      </c>
      <c r="O3625">
        <v>1.1571499000000001</v>
      </c>
      <c r="P3625" t="s">
        <v>114</v>
      </c>
      <c r="Q3625" t="s">
        <v>114</v>
      </c>
      <c r="R3625" t="s">
        <v>114</v>
      </c>
      <c r="S3625" t="s">
        <v>114</v>
      </c>
      <c r="T3625" t="s">
        <v>1019</v>
      </c>
      <c r="U3625" t="s">
        <v>114</v>
      </c>
    </row>
    <row r="3626" spans="1:21" x14ac:dyDescent="0.25">
      <c r="A3626" t="s">
        <v>71</v>
      </c>
      <c r="B3626" t="s">
        <v>836</v>
      </c>
      <c r="C3626">
        <v>10</v>
      </c>
      <c r="D3626" t="s">
        <v>21</v>
      </c>
      <c r="E3626" t="s">
        <v>94</v>
      </c>
      <c r="F3626" t="s">
        <v>111</v>
      </c>
      <c r="G3626" t="s">
        <v>111</v>
      </c>
      <c r="H3626" t="s">
        <v>111</v>
      </c>
      <c r="J3626">
        <v>0</v>
      </c>
      <c r="K3626">
        <v>1</v>
      </c>
      <c r="L3626">
        <v>94.97142857</v>
      </c>
      <c r="M3626">
        <v>24.31591813</v>
      </c>
      <c r="N3626">
        <v>0.122951111</v>
      </c>
      <c r="O3626">
        <v>0.39050790000000002</v>
      </c>
      <c r="P3626">
        <v>94.97142857</v>
      </c>
      <c r="Q3626">
        <v>24.31591813</v>
      </c>
      <c r="R3626">
        <v>0.122951111</v>
      </c>
      <c r="S3626">
        <v>0.39050790000000002</v>
      </c>
      <c r="T3626" t="s">
        <v>1019</v>
      </c>
      <c r="U3626">
        <v>0</v>
      </c>
    </row>
    <row r="3627" spans="1:21" x14ac:dyDescent="0.25">
      <c r="A3627" t="s">
        <v>71</v>
      </c>
      <c r="B3627" t="s">
        <v>836</v>
      </c>
      <c r="C3627">
        <v>10</v>
      </c>
      <c r="D3627" t="s">
        <v>21</v>
      </c>
      <c r="E3627" t="s">
        <v>94</v>
      </c>
      <c r="F3627" t="s">
        <v>111</v>
      </c>
      <c r="G3627" t="s">
        <v>111</v>
      </c>
      <c r="H3627" t="s">
        <v>250</v>
      </c>
      <c r="J3627">
        <v>0</v>
      </c>
      <c r="K3627">
        <v>1</v>
      </c>
      <c r="L3627">
        <v>94.97142857</v>
      </c>
      <c r="M3627">
        <v>24.31591813</v>
      </c>
      <c r="N3627">
        <v>0.122951111</v>
      </c>
      <c r="O3627">
        <v>0.39050790000000002</v>
      </c>
      <c r="P3627">
        <v>157.14285709999999</v>
      </c>
      <c r="Q3627">
        <v>28.969081320000001</v>
      </c>
      <c r="R3627">
        <v>0.55164111100000002</v>
      </c>
      <c r="S3627" t="s">
        <v>114</v>
      </c>
      <c r="T3627" t="s">
        <v>1019</v>
      </c>
      <c r="U3627">
        <v>0.42869000000000002</v>
      </c>
    </row>
    <row r="3628" spans="1:21" x14ac:dyDescent="0.25">
      <c r="A3628" t="s">
        <v>71</v>
      </c>
      <c r="B3628" t="s">
        <v>837</v>
      </c>
      <c r="C3628">
        <v>10</v>
      </c>
      <c r="D3628" t="s">
        <v>21</v>
      </c>
      <c r="E3628" t="s">
        <v>94</v>
      </c>
      <c r="F3628" t="s">
        <v>104</v>
      </c>
      <c r="G3628" t="s">
        <v>104</v>
      </c>
      <c r="H3628" t="s">
        <v>104</v>
      </c>
      <c r="J3628">
        <v>0</v>
      </c>
      <c r="K3628">
        <v>1</v>
      </c>
      <c r="L3628">
        <v>113.9375</v>
      </c>
      <c r="M3628">
        <v>33.375507550000002</v>
      </c>
      <c r="N3628">
        <v>2.4262999999999999</v>
      </c>
      <c r="O3628">
        <v>0.40692159999999999</v>
      </c>
      <c r="P3628">
        <v>113.9375</v>
      </c>
      <c r="Q3628">
        <v>33.375507550000002</v>
      </c>
      <c r="R3628">
        <v>2.4262999999999999</v>
      </c>
      <c r="S3628">
        <v>0.40692159999999999</v>
      </c>
      <c r="T3628" t="s">
        <v>1019</v>
      </c>
      <c r="U3628">
        <v>0</v>
      </c>
    </row>
    <row r="3629" spans="1:21" x14ac:dyDescent="0.25">
      <c r="A3629" t="s">
        <v>72</v>
      </c>
      <c r="B3629" t="s">
        <v>838</v>
      </c>
      <c r="C3629">
        <v>10</v>
      </c>
      <c r="D3629" t="s">
        <v>23</v>
      </c>
      <c r="E3629" t="s">
        <v>95</v>
      </c>
      <c r="F3629" t="s">
        <v>105</v>
      </c>
      <c r="G3629" t="s">
        <v>121</v>
      </c>
      <c r="H3629" t="s">
        <v>238</v>
      </c>
      <c r="J3629">
        <v>0</v>
      </c>
      <c r="K3629">
        <v>1</v>
      </c>
      <c r="L3629">
        <v>67.5</v>
      </c>
      <c r="M3629">
        <v>47.937235809999997</v>
      </c>
      <c r="N3629">
        <v>0.41599678000000001</v>
      </c>
      <c r="O3629">
        <v>2.0950346999999998</v>
      </c>
      <c r="P3629">
        <v>87.5</v>
      </c>
      <c r="Q3629">
        <v>29.478311600000001</v>
      </c>
      <c r="R3629">
        <v>3.0797751000000002E-2</v>
      </c>
      <c r="S3629">
        <v>0.12931835</v>
      </c>
      <c r="T3629" t="s">
        <v>1019</v>
      </c>
      <c r="U3629">
        <v>0.38519902900000003</v>
      </c>
    </row>
    <row r="3630" spans="1:21" x14ac:dyDescent="0.25">
      <c r="A3630" t="s">
        <v>72</v>
      </c>
      <c r="B3630" t="s">
        <v>839</v>
      </c>
      <c r="C3630">
        <v>10</v>
      </c>
      <c r="D3630" t="s">
        <v>23</v>
      </c>
      <c r="E3630" t="s">
        <v>95</v>
      </c>
      <c r="F3630" t="s">
        <v>111</v>
      </c>
      <c r="G3630" t="s">
        <v>121</v>
      </c>
      <c r="H3630" t="s">
        <v>114</v>
      </c>
      <c r="J3630">
        <v>0</v>
      </c>
      <c r="K3630">
        <v>0</v>
      </c>
      <c r="L3630">
        <v>94.97142857</v>
      </c>
      <c r="M3630">
        <v>24.31591813</v>
      </c>
      <c r="N3630">
        <v>0.122951111</v>
      </c>
      <c r="O3630">
        <v>0.39050790000000002</v>
      </c>
      <c r="P3630" t="s">
        <v>114</v>
      </c>
      <c r="Q3630" t="s">
        <v>114</v>
      </c>
      <c r="R3630" t="s">
        <v>114</v>
      </c>
      <c r="S3630" t="s">
        <v>114</v>
      </c>
      <c r="T3630" t="s">
        <v>1019</v>
      </c>
      <c r="U3630" t="s">
        <v>114</v>
      </c>
    </row>
    <row r="3631" spans="1:21" x14ac:dyDescent="0.25">
      <c r="A3631" t="s">
        <v>72</v>
      </c>
      <c r="B3631" t="s">
        <v>840</v>
      </c>
      <c r="C3631">
        <v>10</v>
      </c>
      <c r="D3631" t="s">
        <v>23</v>
      </c>
      <c r="E3631" t="s">
        <v>95</v>
      </c>
      <c r="F3631" t="s">
        <v>104</v>
      </c>
      <c r="G3631" t="s">
        <v>104</v>
      </c>
      <c r="H3631" t="s">
        <v>104</v>
      </c>
      <c r="J3631">
        <v>0</v>
      </c>
      <c r="K3631">
        <v>1</v>
      </c>
      <c r="L3631">
        <v>113.9375</v>
      </c>
      <c r="M3631">
        <v>33.375507550000002</v>
      </c>
      <c r="N3631">
        <v>2.4262999999999999</v>
      </c>
      <c r="O3631">
        <v>0.40692159999999999</v>
      </c>
      <c r="P3631">
        <v>113.9375</v>
      </c>
      <c r="Q3631">
        <v>33.375507550000002</v>
      </c>
      <c r="R3631">
        <v>2.4262999999999999</v>
      </c>
      <c r="S3631">
        <v>0.40692159999999999</v>
      </c>
      <c r="T3631" t="s">
        <v>1019</v>
      </c>
      <c r="U3631">
        <v>0</v>
      </c>
    </row>
    <row r="3632" spans="1:21" x14ac:dyDescent="0.25">
      <c r="A3632" t="s">
        <v>72</v>
      </c>
      <c r="B3632" t="s">
        <v>840</v>
      </c>
      <c r="C3632">
        <v>10</v>
      </c>
      <c r="D3632" t="s">
        <v>23</v>
      </c>
      <c r="E3632" t="s">
        <v>95</v>
      </c>
      <c r="F3632" t="s">
        <v>104</v>
      </c>
      <c r="G3632" t="s">
        <v>104</v>
      </c>
      <c r="H3632" t="s">
        <v>244</v>
      </c>
      <c r="J3632">
        <v>0</v>
      </c>
      <c r="K3632">
        <v>1</v>
      </c>
      <c r="L3632">
        <v>113.9375</v>
      </c>
      <c r="M3632">
        <v>33.375507550000002</v>
      </c>
      <c r="N3632">
        <v>2.4262999999999999</v>
      </c>
      <c r="O3632">
        <v>0.40692159999999999</v>
      </c>
      <c r="P3632">
        <v>75</v>
      </c>
      <c r="Q3632">
        <v>28.80614499</v>
      </c>
      <c r="R3632">
        <v>2.3860428570000001</v>
      </c>
      <c r="S3632">
        <v>0.26400832000000002</v>
      </c>
      <c r="T3632" t="s">
        <v>1019</v>
      </c>
      <c r="U3632">
        <v>4.0257143000000002E-2</v>
      </c>
    </row>
    <row r="3633" spans="1:21" x14ac:dyDescent="0.25">
      <c r="A3633" t="s">
        <v>72</v>
      </c>
      <c r="B3633" t="s">
        <v>841</v>
      </c>
      <c r="C3633">
        <v>10</v>
      </c>
      <c r="D3633" t="s">
        <v>23</v>
      </c>
      <c r="E3633" t="s">
        <v>95</v>
      </c>
      <c r="F3633" t="s">
        <v>112</v>
      </c>
      <c r="G3633" t="s">
        <v>121</v>
      </c>
      <c r="H3633" t="s">
        <v>238</v>
      </c>
      <c r="J3633">
        <v>0</v>
      </c>
      <c r="K3633">
        <v>1</v>
      </c>
      <c r="L3633">
        <v>65.09375</v>
      </c>
      <c r="M3633">
        <v>37.895352600000002</v>
      </c>
      <c r="N3633">
        <v>2.2882677779999998</v>
      </c>
      <c r="O3633">
        <v>2.2111774</v>
      </c>
      <c r="P3633">
        <v>87.5</v>
      </c>
      <c r="Q3633">
        <v>29.478311600000001</v>
      </c>
      <c r="R3633">
        <v>3.0797751000000002E-2</v>
      </c>
      <c r="S3633">
        <v>0.12931835</v>
      </c>
      <c r="T3633" t="s">
        <v>1019</v>
      </c>
      <c r="U3633">
        <v>2.2574700270000001</v>
      </c>
    </row>
    <row r="3634" spans="1:21" x14ac:dyDescent="0.25">
      <c r="A3634" t="s">
        <v>73</v>
      </c>
      <c r="B3634" t="s">
        <v>842</v>
      </c>
      <c r="C3634">
        <v>10</v>
      </c>
      <c r="D3634" t="s">
        <v>25</v>
      </c>
      <c r="E3634" t="s">
        <v>94</v>
      </c>
      <c r="F3634" t="s">
        <v>105</v>
      </c>
      <c r="G3634" t="s">
        <v>112</v>
      </c>
      <c r="H3634" t="s">
        <v>112</v>
      </c>
      <c r="J3634">
        <v>0</v>
      </c>
      <c r="K3634">
        <v>1</v>
      </c>
      <c r="L3634">
        <v>67.5</v>
      </c>
      <c r="M3634">
        <v>47.937235809999997</v>
      </c>
      <c r="N3634">
        <v>0.41599678000000001</v>
      </c>
      <c r="O3634">
        <v>2.0950346999999998</v>
      </c>
      <c r="P3634">
        <v>65.09375</v>
      </c>
      <c r="Q3634">
        <v>37.895352600000002</v>
      </c>
      <c r="R3634">
        <v>2.2882677779999998</v>
      </c>
      <c r="S3634">
        <v>2.2111774</v>
      </c>
      <c r="T3634" t="s">
        <v>1019</v>
      </c>
      <c r="U3634">
        <v>1.8722709980000001</v>
      </c>
    </row>
    <row r="3635" spans="1:21" x14ac:dyDescent="0.25">
      <c r="A3635" t="s">
        <v>73</v>
      </c>
      <c r="B3635" t="s">
        <v>843</v>
      </c>
      <c r="C3635">
        <v>10</v>
      </c>
      <c r="D3635" t="s">
        <v>25</v>
      </c>
      <c r="E3635" t="s">
        <v>94</v>
      </c>
      <c r="F3635" t="s">
        <v>110</v>
      </c>
      <c r="G3635" t="s">
        <v>110</v>
      </c>
      <c r="H3635" t="s">
        <v>110</v>
      </c>
      <c r="J3635">
        <v>0</v>
      </c>
      <c r="K3635">
        <v>3</v>
      </c>
      <c r="L3635">
        <v>73.260869569999997</v>
      </c>
      <c r="M3635">
        <v>34.453830549999999</v>
      </c>
      <c r="N3635">
        <v>1.058333333</v>
      </c>
      <c r="O3635">
        <v>0.90897070000000002</v>
      </c>
      <c r="P3635">
        <v>73.260869569999997</v>
      </c>
      <c r="Q3635">
        <v>34.453830549999999</v>
      </c>
      <c r="R3635">
        <v>1.058333333</v>
      </c>
      <c r="S3635">
        <v>0.90897070000000002</v>
      </c>
      <c r="T3635" t="s">
        <v>1019</v>
      </c>
      <c r="U3635">
        <v>0</v>
      </c>
    </row>
    <row r="3636" spans="1:21" x14ac:dyDescent="0.25">
      <c r="A3636" t="s">
        <v>73</v>
      </c>
      <c r="B3636" t="s">
        <v>843</v>
      </c>
      <c r="C3636">
        <v>10</v>
      </c>
      <c r="D3636" t="s">
        <v>25</v>
      </c>
      <c r="E3636" t="s">
        <v>94</v>
      </c>
      <c r="F3636" t="s">
        <v>110</v>
      </c>
      <c r="G3636" t="s">
        <v>110</v>
      </c>
      <c r="H3636" t="s">
        <v>110</v>
      </c>
      <c r="J3636">
        <v>0</v>
      </c>
      <c r="K3636">
        <v>3</v>
      </c>
      <c r="L3636">
        <v>73.260869569999997</v>
      </c>
      <c r="M3636">
        <v>34.453830549999999</v>
      </c>
      <c r="N3636">
        <v>1.058333333</v>
      </c>
      <c r="O3636">
        <v>0.90897070000000002</v>
      </c>
      <c r="P3636">
        <v>73.260869569999997</v>
      </c>
      <c r="Q3636">
        <v>34.453830549999999</v>
      </c>
      <c r="R3636">
        <v>1.058333333</v>
      </c>
      <c r="S3636">
        <v>0.90897070000000002</v>
      </c>
      <c r="T3636" t="s">
        <v>1019</v>
      </c>
      <c r="U3636">
        <v>0</v>
      </c>
    </row>
    <row r="3637" spans="1:21" x14ac:dyDescent="0.25">
      <c r="A3637" t="s">
        <v>73</v>
      </c>
      <c r="B3637" t="s">
        <v>843</v>
      </c>
      <c r="C3637">
        <v>10</v>
      </c>
      <c r="D3637" t="s">
        <v>25</v>
      </c>
      <c r="E3637" t="s">
        <v>94</v>
      </c>
      <c r="F3637" t="s">
        <v>110</v>
      </c>
      <c r="G3637" t="s">
        <v>110</v>
      </c>
      <c r="H3637" t="s">
        <v>110</v>
      </c>
      <c r="J3637">
        <v>0</v>
      </c>
      <c r="K3637">
        <v>3</v>
      </c>
      <c r="L3637">
        <v>73.260869569999997</v>
      </c>
      <c r="M3637">
        <v>34.453830549999999</v>
      </c>
      <c r="N3637">
        <v>1.058333333</v>
      </c>
      <c r="O3637">
        <v>0.90897070000000002</v>
      </c>
      <c r="P3637">
        <v>73.260869569999997</v>
      </c>
      <c r="Q3637">
        <v>34.453830549999999</v>
      </c>
      <c r="R3637">
        <v>1.058333333</v>
      </c>
      <c r="S3637">
        <v>0.90897070000000002</v>
      </c>
      <c r="T3637" t="s">
        <v>1019</v>
      </c>
      <c r="U3637">
        <v>0</v>
      </c>
    </row>
    <row r="3638" spans="1:21" x14ac:dyDescent="0.25">
      <c r="A3638" t="s">
        <v>73</v>
      </c>
      <c r="B3638" t="s">
        <v>843</v>
      </c>
      <c r="C3638">
        <v>10</v>
      </c>
      <c r="D3638" t="s">
        <v>25</v>
      </c>
      <c r="E3638" t="s">
        <v>94</v>
      </c>
      <c r="F3638" t="s">
        <v>110</v>
      </c>
      <c r="G3638" t="s">
        <v>110</v>
      </c>
      <c r="H3638" t="s">
        <v>251</v>
      </c>
      <c r="J3638">
        <v>0</v>
      </c>
      <c r="K3638">
        <v>1</v>
      </c>
      <c r="L3638">
        <v>73.260869569999997</v>
      </c>
      <c r="M3638">
        <v>34.453830549999999</v>
      </c>
      <c r="N3638">
        <v>1.058333333</v>
      </c>
      <c r="O3638">
        <v>0.90897070000000002</v>
      </c>
      <c r="P3638">
        <v>85</v>
      </c>
      <c r="Q3638">
        <v>37.099157669999997</v>
      </c>
      <c r="R3638">
        <v>0.65291888899999995</v>
      </c>
      <c r="S3638" t="s">
        <v>114</v>
      </c>
      <c r="T3638" t="s">
        <v>1019</v>
      </c>
      <c r="U3638">
        <v>0.40541444399999998</v>
      </c>
    </row>
    <row r="3639" spans="1:21" x14ac:dyDescent="0.25">
      <c r="A3639" t="s">
        <v>73</v>
      </c>
      <c r="B3639" t="s">
        <v>843</v>
      </c>
      <c r="C3639">
        <v>10</v>
      </c>
      <c r="D3639" t="s">
        <v>25</v>
      </c>
      <c r="E3639" t="s">
        <v>94</v>
      </c>
      <c r="F3639" t="s">
        <v>110</v>
      </c>
      <c r="G3639" t="s">
        <v>110</v>
      </c>
      <c r="H3639" t="s">
        <v>246</v>
      </c>
      <c r="J3639">
        <v>0</v>
      </c>
      <c r="K3639">
        <v>1</v>
      </c>
      <c r="L3639">
        <v>73.260869569999997</v>
      </c>
      <c r="M3639">
        <v>34.453830549999999</v>
      </c>
      <c r="N3639">
        <v>1.058333333</v>
      </c>
      <c r="O3639">
        <v>0.90897070000000002</v>
      </c>
      <c r="P3639">
        <v>120.25</v>
      </c>
      <c r="Q3639">
        <v>30.670450110000001</v>
      </c>
      <c r="R3639">
        <v>0.91037498500000003</v>
      </c>
      <c r="S3639" t="s">
        <v>114</v>
      </c>
      <c r="T3639" t="s">
        <v>1019</v>
      </c>
      <c r="U3639">
        <v>0.14795834799999999</v>
      </c>
    </row>
    <row r="3640" spans="1:21" x14ac:dyDescent="0.25">
      <c r="A3640" t="s">
        <v>73</v>
      </c>
      <c r="B3640" t="s">
        <v>844</v>
      </c>
      <c r="C3640">
        <v>10</v>
      </c>
      <c r="D3640" t="s">
        <v>25</v>
      </c>
      <c r="E3640" t="s">
        <v>94</v>
      </c>
      <c r="F3640" t="s">
        <v>104</v>
      </c>
      <c r="G3640" t="s">
        <v>104</v>
      </c>
      <c r="H3640" t="s">
        <v>104</v>
      </c>
      <c r="J3640">
        <v>0</v>
      </c>
      <c r="K3640">
        <v>1</v>
      </c>
      <c r="L3640">
        <v>113.9375</v>
      </c>
      <c r="M3640">
        <v>33.375507550000002</v>
      </c>
      <c r="N3640">
        <v>2.4262999999999999</v>
      </c>
      <c r="O3640">
        <v>0.40692159999999999</v>
      </c>
      <c r="P3640">
        <v>113.9375</v>
      </c>
      <c r="Q3640">
        <v>33.375507550000002</v>
      </c>
      <c r="R3640">
        <v>2.4262999999999999</v>
      </c>
      <c r="S3640">
        <v>0.40692159999999999</v>
      </c>
      <c r="T3640" t="s">
        <v>1019</v>
      </c>
      <c r="U3640">
        <v>0</v>
      </c>
    </row>
    <row r="3641" spans="1:21" x14ac:dyDescent="0.25">
      <c r="A3641" t="s">
        <v>73</v>
      </c>
      <c r="B3641" t="s">
        <v>845</v>
      </c>
      <c r="C3641">
        <v>10</v>
      </c>
      <c r="D3641" t="s">
        <v>25</v>
      </c>
      <c r="E3641" t="s">
        <v>94</v>
      </c>
      <c r="F3641" t="s">
        <v>112</v>
      </c>
      <c r="G3641" t="s">
        <v>121</v>
      </c>
      <c r="H3641" t="s">
        <v>114</v>
      </c>
      <c r="J3641">
        <v>0</v>
      </c>
      <c r="K3641" t="s">
        <v>114</v>
      </c>
      <c r="L3641">
        <v>65.09375</v>
      </c>
      <c r="M3641">
        <v>37.895352600000002</v>
      </c>
      <c r="N3641">
        <v>2.2882677779999998</v>
      </c>
      <c r="O3641">
        <v>2.2111774</v>
      </c>
      <c r="P3641" t="s">
        <v>114</v>
      </c>
      <c r="Q3641" t="s">
        <v>114</v>
      </c>
      <c r="R3641" t="s">
        <v>114</v>
      </c>
      <c r="S3641" t="s">
        <v>114</v>
      </c>
      <c r="T3641" t="s">
        <v>1019</v>
      </c>
      <c r="U3641" t="s">
        <v>114</v>
      </c>
    </row>
    <row r="3642" spans="1:21" x14ac:dyDescent="0.25">
      <c r="A3642" t="s">
        <v>74</v>
      </c>
      <c r="B3642" t="s">
        <v>846</v>
      </c>
      <c r="C3642">
        <v>10</v>
      </c>
      <c r="D3642" t="s">
        <v>27</v>
      </c>
      <c r="E3642" t="s">
        <v>95</v>
      </c>
      <c r="F3642" t="s">
        <v>102</v>
      </c>
      <c r="G3642" t="s">
        <v>113</v>
      </c>
      <c r="H3642" t="s">
        <v>113</v>
      </c>
      <c r="J3642">
        <v>0</v>
      </c>
      <c r="K3642">
        <v>3</v>
      </c>
      <c r="L3642">
        <v>84.740740740000007</v>
      </c>
      <c r="M3642">
        <v>29.167014049999999</v>
      </c>
      <c r="N3642">
        <v>1.1169849999999999</v>
      </c>
      <c r="O3642">
        <v>1.1571499000000001</v>
      </c>
      <c r="P3642">
        <v>83.757575759999995</v>
      </c>
      <c r="Q3642">
        <v>22.60997987</v>
      </c>
      <c r="R3642">
        <v>0.72884000000000004</v>
      </c>
      <c r="S3642">
        <v>0.21301339999999999</v>
      </c>
      <c r="T3642" t="s">
        <v>1019</v>
      </c>
      <c r="U3642">
        <v>0.38814500000000002</v>
      </c>
    </row>
    <row r="3643" spans="1:21" x14ac:dyDescent="0.25">
      <c r="A3643" t="s">
        <v>74</v>
      </c>
      <c r="B3643" t="s">
        <v>846</v>
      </c>
      <c r="C3643">
        <v>10</v>
      </c>
      <c r="D3643" t="s">
        <v>27</v>
      </c>
      <c r="E3643" t="s">
        <v>95</v>
      </c>
      <c r="F3643" t="s">
        <v>102</v>
      </c>
      <c r="G3643" t="s">
        <v>113</v>
      </c>
      <c r="H3643" t="s">
        <v>113</v>
      </c>
      <c r="J3643">
        <v>0</v>
      </c>
      <c r="K3643">
        <v>3</v>
      </c>
      <c r="L3643">
        <v>84.740740740000007</v>
      </c>
      <c r="M3643">
        <v>29.167014049999999</v>
      </c>
      <c r="N3643">
        <v>1.1169849999999999</v>
      </c>
      <c r="O3643">
        <v>1.1571499000000001</v>
      </c>
      <c r="P3643">
        <v>83.757575759999995</v>
      </c>
      <c r="Q3643">
        <v>22.60997987</v>
      </c>
      <c r="R3643">
        <v>0.72884000000000004</v>
      </c>
      <c r="S3643">
        <v>0.21301339999999999</v>
      </c>
      <c r="T3643" t="s">
        <v>1019</v>
      </c>
      <c r="U3643">
        <v>0.38814500000000002</v>
      </c>
    </row>
    <row r="3644" spans="1:21" x14ac:dyDescent="0.25">
      <c r="A3644" t="s">
        <v>74</v>
      </c>
      <c r="B3644" t="s">
        <v>846</v>
      </c>
      <c r="C3644">
        <v>10</v>
      </c>
      <c r="D3644" t="s">
        <v>27</v>
      </c>
      <c r="E3644" t="s">
        <v>95</v>
      </c>
      <c r="F3644" t="s">
        <v>102</v>
      </c>
      <c r="G3644" t="s">
        <v>113</v>
      </c>
      <c r="H3644" t="s">
        <v>113</v>
      </c>
      <c r="J3644">
        <v>0</v>
      </c>
      <c r="K3644">
        <v>3</v>
      </c>
      <c r="L3644">
        <v>84.740740740000007</v>
      </c>
      <c r="M3644">
        <v>29.167014049999999</v>
      </c>
      <c r="N3644">
        <v>1.1169849999999999</v>
      </c>
      <c r="O3644">
        <v>1.1571499000000001</v>
      </c>
      <c r="P3644">
        <v>83.757575759999995</v>
      </c>
      <c r="Q3644">
        <v>22.60997987</v>
      </c>
      <c r="R3644">
        <v>0.72884000000000004</v>
      </c>
      <c r="S3644">
        <v>0.21301339999999999</v>
      </c>
      <c r="T3644" t="s">
        <v>1019</v>
      </c>
      <c r="U3644">
        <v>0.38814500000000002</v>
      </c>
    </row>
    <row r="3645" spans="1:21" x14ac:dyDescent="0.25">
      <c r="A3645" t="s">
        <v>74</v>
      </c>
      <c r="B3645" t="s">
        <v>846</v>
      </c>
      <c r="C3645">
        <v>10</v>
      </c>
      <c r="D3645" t="s">
        <v>27</v>
      </c>
      <c r="E3645" t="s">
        <v>95</v>
      </c>
      <c r="F3645" t="s">
        <v>102</v>
      </c>
      <c r="G3645" t="s">
        <v>113</v>
      </c>
      <c r="H3645" t="s">
        <v>103</v>
      </c>
      <c r="J3645">
        <v>0</v>
      </c>
      <c r="K3645">
        <v>1</v>
      </c>
      <c r="L3645">
        <v>84.740740740000007</v>
      </c>
      <c r="M3645">
        <v>29.167014049999999</v>
      </c>
      <c r="N3645">
        <v>1.1169849999999999</v>
      </c>
      <c r="O3645">
        <v>1.1571499000000001</v>
      </c>
      <c r="P3645">
        <v>98.291666669999998</v>
      </c>
      <c r="Q3645">
        <v>30.315130790000001</v>
      </c>
      <c r="R3645">
        <v>5.0803484000000003E-2</v>
      </c>
      <c r="S3645">
        <v>0.42866070000000001</v>
      </c>
      <c r="T3645" t="s">
        <v>1019</v>
      </c>
      <c r="U3645">
        <v>1.0661815160000001</v>
      </c>
    </row>
    <row r="3646" spans="1:21" x14ac:dyDescent="0.25">
      <c r="A3646" t="s">
        <v>74</v>
      </c>
      <c r="B3646" t="s">
        <v>847</v>
      </c>
      <c r="C3646">
        <v>10</v>
      </c>
      <c r="D3646" t="s">
        <v>27</v>
      </c>
      <c r="E3646" t="s">
        <v>95</v>
      </c>
      <c r="F3646" t="s">
        <v>113</v>
      </c>
      <c r="G3646" t="s">
        <v>113</v>
      </c>
      <c r="H3646" t="s">
        <v>113</v>
      </c>
      <c r="J3646">
        <v>0</v>
      </c>
      <c r="K3646">
        <v>1</v>
      </c>
      <c r="L3646">
        <v>83.757575759999995</v>
      </c>
      <c r="M3646">
        <v>22.60997987</v>
      </c>
      <c r="N3646">
        <v>0.72884000000000004</v>
      </c>
      <c r="O3646">
        <v>0.21301339999999999</v>
      </c>
      <c r="P3646">
        <v>83.757575759999995</v>
      </c>
      <c r="Q3646">
        <v>22.60997987</v>
      </c>
      <c r="R3646">
        <v>0.72884000000000004</v>
      </c>
      <c r="S3646">
        <v>0.21301339999999999</v>
      </c>
      <c r="T3646" t="s">
        <v>1019</v>
      </c>
      <c r="U3646">
        <v>0</v>
      </c>
    </row>
    <row r="3647" spans="1:21" x14ac:dyDescent="0.25">
      <c r="A3647" t="s">
        <v>74</v>
      </c>
      <c r="B3647" t="s">
        <v>847</v>
      </c>
      <c r="C3647">
        <v>10</v>
      </c>
      <c r="D3647" t="s">
        <v>27</v>
      </c>
      <c r="E3647" t="s">
        <v>95</v>
      </c>
      <c r="F3647" t="s">
        <v>113</v>
      </c>
      <c r="G3647" t="s">
        <v>113</v>
      </c>
      <c r="H3647" t="s">
        <v>248</v>
      </c>
      <c r="J3647">
        <v>0</v>
      </c>
      <c r="K3647">
        <v>2</v>
      </c>
      <c r="L3647">
        <v>83.757575759999995</v>
      </c>
      <c r="M3647">
        <v>22.60997987</v>
      </c>
      <c r="N3647">
        <v>0.72884000000000004</v>
      </c>
      <c r="O3647">
        <v>0.21301339999999999</v>
      </c>
      <c r="P3647">
        <v>83.92307692</v>
      </c>
      <c r="Q3647">
        <v>44.319135699999997</v>
      </c>
      <c r="R3647">
        <v>5.9548609999999997E-3</v>
      </c>
      <c r="S3647">
        <v>0.18017928</v>
      </c>
      <c r="T3647" t="s">
        <v>1019</v>
      </c>
      <c r="U3647">
        <v>0.72288513899999995</v>
      </c>
    </row>
    <row r="3648" spans="1:21" x14ac:dyDescent="0.25">
      <c r="A3648" t="s">
        <v>74</v>
      </c>
      <c r="B3648" t="s">
        <v>847</v>
      </c>
      <c r="C3648">
        <v>10</v>
      </c>
      <c r="D3648" t="s">
        <v>27</v>
      </c>
      <c r="E3648" t="s">
        <v>95</v>
      </c>
      <c r="F3648" t="s">
        <v>113</v>
      </c>
      <c r="G3648" t="s">
        <v>113</v>
      </c>
      <c r="H3648" t="s">
        <v>248</v>
      </c>
      <c r="J3648">
        <v>0</v>
      </c>
      <c r="K3648">
        <v>2</v>
      </c>
      <c r="L3648">
        <v>83.757575759999995</v>
      </c>
      <c r="M3648">
        <v>22.60997987</v>
      </c>
      <c r="N3648">
        <v>0.72884000000000004</v>
      </c>
      <c r="O3648">
        <v>0.21301339999999999</v>
      </c>
      <c r="P3648">
        <v>83.92307692</v>
      </c>
      <c r="Q3648">
        <v>44.319135699999997</v>
      </c>
      <c r="R3648">
        <v>5.9548609999999997E-3</v>
      </c>
      <c r="S3648">
        <v>0.18017928</v>
      </c>
      <c r="T3648" t="s">
        <v>1019</v>
      </c>
      <c r="U3648">
        <v>0.72288513899999995</v>
      </c>
    </row>
    <row r="3649" spans="1:21" x14ac:dyDescent="0.25">
      <c r="A3649" t="s">
        <v>74</v>
      </c>
      <c r="B3649" t="s">
        <v>848</v>
      </c>
      <c r="C3649">
        <v>10</v>
      </c>
      <c r="D3649" t="s">
        <v>27</v>
      </c>
      <c r="E3649" t="s">
        <v>95</v>
      </c>
      <c r="F3649" t="s">
        <v>103</v>
      </c>
      <c r="G3649" t="s">
        <v>113</v>
      </c>
      <c r="H3649" t="s">
        <v>113</v>
      </c>
      <c r="J3649">
        <v>0</v>
      </c>
      <c r="K3649">
        <v>1</v>
      </c>
      <c r="L3649">
        <v>98.291666669999998</v>
      </c>
      <c r="M3649">
        <v>30.315130790000001</v>
      </c>
      <c r="N3649">
        <v>5.0803484000000003E-2</v>
      </c>
      <c r="O3649">
        <v>0.42866070000000001</v>
      </c>
      <c r="P3649">
        <v>83.757575759999995</v>
      </c>
      <c r="Q3649">
        <v>22.60997987</v>
      </c>
      <c r="R3649">
        <v>0.72884000000000004</v>
      </c>
      <c r="S3649">
        <v>0.21301339999999999</v>
      </c>
      <c r="T3649" t="s">
        <v>1019</v>
      </c>
      <c r="U3649">
        <v>0.67803651600000003</v>
      </c>
    </row>
    <row r="3650" spans="1:21" x14ac:dyDescent="0.25">
      <c r="A3650" t="s">
        <v>75</v>
      </c>
      <c r="B3650" t="s">
        <v>849</v>
      </c>
      <c r="C3650">
        <v>10</v>
      </c>
      <c r="D3650" t="s">
        <v>29</v>
      </c>
      <c r="E3650" t="s">
        <v>94</v>
      </c>
      <c r="F3650" t="s">
        <v>105</v>
      </c>
      <c r="G3650" t="s">
        <v>121</v>
      </c>
      <c r="H3650" t="s">
        <v>251</v>
      </c>
      <c r="J3650">
        <v>0</v>
      </c>
      <c r="K3650">
        <v>1</v>
      </c>
      <c r="L3650">
        <v>67.5</v>
      </c>
      <c r="M3650">
        <v>47.937235809999997</v>
      </c>
      <c r="N3650">
        <v>0.41599678000000001</v>
      </c>
      <c r="O3650">
        <v>2.0950346999999998</v>
      </c>
      <c r="P3650">
        <v>85</v>
      </c>
      <c r="Q3650">
        <v>37.099157669999997</v>
      </c>
      <c r="R3650">
        <v>0.65291888899999995</v>
      </c>
      <c r="S3650" t="s">
        <v>114</v>
      </c>
      <c r="T3650" t="s">
        <v>1019</v>
      </c>
      <c r="U3650">
        <v>0.23692210899999999</v>
      </c>
    </row>
    <row r="3651" spans="1:21" x14ac:dyDescent="0.25">
      <c r="A3651" t="s">
        <v>75</v>
      </c>
      <c r="B3651" t="s">
        <v>849</v>
      </c>
      <c r="C3651">
        <v>10</v>
      </c>
      <c r="D3651" t="s">
        <v>29</v>
      </c>
      <c r="E3651" t="s">
        <v>94</v>
      </c>
      <c r="F3651" t="s">
        <v>105</v>
      </c>
      <c r="G3651" t="s">
        <v>121</v>
      </c>
      <c r="H3651" t="s">
        <v>244</v>
      </c>
      <c r="J3651">
        <v>0</v>
      </c>
      <c r="K3651">
        <v>1</v>
      </c>
      <c r="L3651">
        <v>67.5</v>
      </c>
      <c r="M3651">
        <v>47.937235809999997</v>
      </c>
      <c r="N3651">
        <v>0.41599678000000001</v>
      </c>
      <c r="O3651">
        <v>2.0950346999999998</v>
      </c>
      <c r="P3651">
        <v>75</v>
      </c>
      <c r="Q3651">
        <v>28.80614499</v>
      </c>
      <c r="R3651">
        <v>2.3860428570000001</v>
      </c>
      <c r="S3651">
        <v>0.26400832000000002</v>
      </c>
      <c r="T3651" t="s">
        <v>1019</v>
      </c>
      <c r="U3651">
        <v>1.9700460769999999</v>
      </c>
    </row>
    <row r="3652" spans="1:21" x14ac:dyDescent="0.25">
      <c r="A3652" t="s">
        <v>75</v>
      </c>
      <c r="B3652" t="s">
        <v>850</v>
      </c>
      <c r="C3652">
        <v>10</v>
      </c>
      <c r="D3652" t="s">
        <v>29</v>
      </c>
      <c r="E3652" t="s">
        <v>94</v>
      </c>
      <c r="F3652" t="s">
        <v>110</v>
      </c>
      <c r="G3652" t="s">
        <v>104</v>
      </c>
      <c r="H3652" t="s">
        <v>104</v>
      </c>
      <c r="J3652">
        <v>0</v>
      </c>
      <c r="K3652">
        <v>2</v>
      </c>
      <c r="L3652">
        <v>73.260869569999997</v>
      </c>
      <c r="M3652">
        <v>34.453830549999999</v>
      </c>
      <c r="N3652">
        <v>1.058333333</v>
      </c>
      <c r="O3652">
        <v>0.90897070000000002</v>
      </c>
      <c r="P3652">
        <v>113.9375</v>
      </c>
      <c r="Q3652">
        <v>33.375507550000002</v>
      </c>
      <c r="R3652">
        <v>2.4262999999999999</v>
      </c>
      <c r="S3652">
        <v>0.40692159999999999</v>
      </c>
      <c r="T3652" t="s">
        <v>1019</v>
      </c>
      <c r="U3652">
        <v>1.3679666669999999</v>
      </c>
    </row>
    <row r="3653" spans="1:21" x14ac:dyDescent="0.25">
      <c r="A3653" t="s">
        <v>75</v>
      </c>
      <c r="B3653" t="s">
        <v>850</v>
      </c>
      <c r="C3653">
        <v>10</v>
      </c>
      <c r="D3653" t="s">
        <v>29</v>
      </c>
      <c r="E3653" t="s">
        <v>94</v>
      </c>
      <c r="F3653" t="s">
        <v>110</v>
      </c>
      <c r="G3653" t="s">
        <v>104</v>
      </c>
      <c r="H3653" t="s">
        <v>104</v>
      </c>
      <c r="J3653">
        <v>0</v>
      </c>
      <c r="K3653">
        <v>2</v>
      </c>
      <c r="L3653">
        <v>73.260869569999997</v>
      </c>
      <c r="M3653">
        <v>34.453830549999999</v>
      </c>
      <c r="N3653">
        <v>1.058333333</v>
      </c>
      <c r="O3653">
        <v>0.90897070000000002</v>
      </c>
      <c r="P3653">
        <v>113.9375</v>
      </c>
      <c r="Q3653">
        <v>33.375507550000002</v>
      </c>
      <c r="R3653">
        <v>2.4262999999999999</v>
      </c>
      <c r="S3653">
        <v>0.40692159999999999</v>
      </c>
      <c r="T3653" t="s">
        <v>1019</v>
      </c>
      <c r="U3653">
        <v>1.3679666669999999</v>
      </c>
    </row>
    <row r="3654" spans="1:21" x14ac:dyDescent="0.25">
      <c r="A3654" t="s">
        <v>75</v>
      </c>
      <c r="B3654" t="s">
        <v>851</v>
      </c>
      <c r="C3654">
        <v>10</v>
      </c>
      <c r="D3654" t="s">
        <v>29</v>
      </c>
      <c r="E3654" t="s">
        <v>94</v>
      </c>
      <c r="F3654" t="s">
        <v>103</v>
      </c>
      <c r="G3654" t="s">
        <v>121</v>
      </c>
      <c r="H3654" t="s">
        <v>251</v>
      </c>
      <c r="J3654">
        <v>0</v>
      </c>
      <c r="K3654">
        <v>1</v>
      </c>
      <c r="L3654">
        <v>98.291666669999998</v>
      </c>
      <c r="M3654">
        <v>30.315130790000001</v>
      </c>
      <c r="N3654">
        <v>5.0803484000000003E-2</v>
      </c>
      <c r="O3654">
        <v>0.42866070000000001</v>
      </c>
      <c r="P3654">
        <v>85</v>
      </c>
      <c r="Q3654">
        <v>37.099157669999997</v>
      </c>
      <c r="R3654">
        <v>0.65291888899999995</v>
      </c>
      <c r="S3654" t="s">
        <v>114</v>
      </c>
      <c r="T3654" t="s">
        <v>1019</v>
      </c>
      <c r="U3654">
        <v>0.60211540500000005</v>
      </c>
    </row>
    <row r="3655" spans="1:21" x14ac:dyDescent="0.25">
      <c r="A3655" t="s">
        <v>75</v>
      </c>
      <c r="B3655" t="s">
        <v>851</v>
      </c>
      <c r="C3655">
        <v>10</v>
      </c>
      <c r="D3655" t="s">
        <v>29</v>
      </c>
      <c r="E3655" t="s">
        <v>94</v>
      </c>
      <c r="F3655" t="s">
        <v>103</v>
      </c>
      <c r="G3655" t="s">
        <v>121</v>
      </c>
      <c r="H3655" t="s">
        <v>233</v>
      </c>
      <c r="J3655">
        <v>0</v>
      </c>
      <c r="K3655">
        <v>1</v>
      </c>
      <c r="L3655">
        <v>98.291666669999998</v>
      </c>
      <c r="M3655">
        <v>30.315130790000001</v>
      </c>
      <c r="N3655">
        <v>5.0803484000000003E-2</v>
      </c>
      <c r="O3655">
        <v>0.42866070000000001</v>
      </c>
      <c r="P3655">
        <v>106.0540541</v>
      </c>
      <c r="Q3655">
        <v>52.690533369999997</v>
      </c>
      <c r="R3655">
        <v>7.6058968000000005E-2</v>
      </c>
      <c r="S3655">
        <v>0.44888888999999998</v>
      </c>
      <c r="T3655" t="s">
        <v>1019</v>
      </c>
      <c r="U3655">
        <v>2.5255484000000002E-2</v>
      </c>
    </row>
    <row r="3656" spans="1:21" x14ac:dyDescent="0.25">
      <c r="A3656" t="s">
        <v>75</v>
      </c>
      <c r="B3656" t="s">
        <v>851</v>
      </c>
      <c r="C3656">
        <v>10</v>
      </c>
      <c r="D3656" t="s">
        <v>29</v>
      </c>
      <c r="E3656" t="s">
        <v>94</v>
      </c>
      <c r="F3656" t="s">
        <v>103</v>
      </c>
      <c r="G3656" t="s">
        <v>121</v>
      </c>
      <c r="H3656" t="s">
        <v>105</v>
      </c>
      <c r="J3656">
        <v>0</v>
      </c>
      <c r="K3656">
        <v>1</v>
      </c>
      <c r="L3656">
        <v>98.291666669999998</v>
      </c>
      <c r="M3656">
        <v>30.315130790000001</v>
      </c>
      <c r="N3656">
        <v>5.0803484000000003E-2</v>
      </c>
      <c r="O3656">
        <v>0.42866070000000001</v>
      </c>
      <c r="P3656">
        <v>67.5</v>
      </c>
      <c r="Q3656">
        <v>47.937235809999997</v>
      </c>
      <c r="R3656">
        <v>0.41599678000000001</v>
      </c>
      <c r="S3656">
        <v>2.0950346999999998</v>
      </c>
      <c r="T3656" t="s">
        <v>1019</v>
      </c>
      <c r="U3656">
        <v>0.365193296</v>
      </c>
    </row>
    <row r="3657" spans="1:21" x14ac:dyDescent="0.25">
      <c r="A3657" t="s">
        <v>76</v>
      </c>
      <c r="B3657" t="s">
        <v>852</v>
      </c>
      <c r="C3657">
        <v>10</v>
      </c>
      <c r="D3657" t="s">
        <v>31</v>
      </c>
      <c r="E3657" t="s">
        <v>94</v>
      </c>
      <c r="F3657" t="s">
        <v>113</v>
      </c>
      <c r="G3657" t="s">
        <v>113</v>
      </c>
      <c r="H3657" t="s">
        <v>113</v>
      </c>
      <c r="J3657">
        <v>0</v>
      </c>
      <c r="K3657">
        <v>2</v>
      </c>
      <c r="L3657">
        <v>83.757575759999995</v>
      </c>
      <c r="M3657">
        <v>22.60997987</v>
      </c>
      <c r="N3657">
        <v>0.72884000000000004</v>
      </c>
      <c r="O3657">
        <v>0.21301339999999999</v>
      </c>
      <c r="P3657">
        <v>83.757575759999995</v>
      </c>
      <c r="Q3657">
        <v>22.60997987</v>
      </c>
      <c r="R3657">
        <v>0.72884000000000004</v>
      </c>
      <c r="S3657">
        <v>0.21301339999999999</v>
      </c>
      <c r="T3657" t="s">
        <v>1019</v>
      </c>
      <c r="U3657">
        <v>0</v>
      </c>
    </row>
    <row r="3658" spans="1:21" x14ac:dyDescent="0.25">
      <c r="A3658" t="s">
        <v>76</v>
      </c>
      <c r="B3658" t="s">
        <v>852</v>
      </c>
      <c r="C3658">
        <v>10</v>
      </c>
      <c r="D3658" t="s">
        <v>31</v>
      </c>
      <c r="E3658" t="s">
        <v>94</v>
      </c>
      <c r="F3658" t="s">
        <v>113</v>
      </c>
      <c r="G3658" t="s">
        <v>113</v>
      </c>
      <c r="H3658" t="s">
        <v>113</v>
      </c>
      <c r="J3658">
        <v>0</v>
      </c>
      <c r="K3658">
        <v>2</v>
      </c>
      <c r="L3658">
        <v>83.757575759999995</v>
      </c>
      <c r="M3658">
        <v>22.60997987</v>
      </c>
      <c r="N3658">
        <v>0.72884000000000004</v>
      </c>
      <c r="O3658">
        <v>0.21301339999999999</v>
      </c>
      <c r="P3658">
        <v>83.757575759999995</v>
      </c>
      <c r="Q3658">
        <v>22.60997987</v>
      </c>
      <c r="R3658">
        <v>0.72884000000000004</v>
      </c>
      <c r="S3658">
        <v>0.21301339999999999</v>
      </c>
      <c r="T3658" t="s">
        <v>1019</v>
      </c>
      <c r="U3658">
        <v>0</v>
      </c>
    </row>
    <row r="3659" spans="1:21" x14ac:dyDescent="0.25">
      <c r="A3659" t="s">
        <v>76</v>
      </c>
      <c r="B3659" t="s">
        <v>852</v>
      </c>
      <c r="C3659">
        <v>10</v>
      </c>
      <c r="D3659" t="s">
        <v>31</v>
      </c>
      <c r="E3659" t="s">
        <v>94</v>
      </c>
      <c r="F3659" t="s">
        <v>113</v>
      </c>
      <c r="G3659" t="s">
        <v>113</v>
      </c>
      <c r="H3659" t="s">
        <v>238</v>
      </c>
      <c r="J3659">
        <v>0</v>
      </c>
      <c r="K3659">
        <v>1</v>
      </c>
      <c r="L3659">
        <v>83.757575759999995</v>
      </c>
      <c r="M3659">
        <v>22.60997987</v>
      </c>
      <c r="N3659">
        <v>0.72884000000000004</v>
      </c>
      <c r="O3659">
        <v>0.21301339999999999</v>
      </c>
      <c r="P3659">
        <v>87.5</v>
      </c>
      <c r="Q3659">
        <v>29.478311600000001</v>
      </c>
      <c r="R3659">
        <v>3.0797751000000002E-2</v>
      </c>
      <c r="S3659">
        <v>0.12931835</v>
      </c>
      <c r="T3659" t="s">
        <v>1019</v>
      </c>
      <c r="U3659">
        <v>0.698042249</v>
      </c>
    </row>
    <row r="3660" spans="1:21" x14ac:dyDescent="0.25">
      <c r="A3660" t="s">
        <v>76</v>
      </c>
      <c r="B3660" t="s">
        <v>852</v>
      </c>
      <c r="C3660">
        <v>10</v>
      </c>
      <c r="D3660" t="s">
        <v>31</v>
      </c>
      <c r="E3660" t="s">
        <v>94</v>
      </c>
      <c r="F3660" t="s">
        <v>113</v>
      </c>
      <c r="G3660" t="s">
        <v>113</v>
      </c>
      <c r="H3660" t="s">
        <v>235</v>
      </c>
      <c r="J3660">
        <v>0</v>
      </c>
      <c r="K3660">
        <v>5</v>
      </c>
      <c r="L3660">
        <v>83.757575759999995</v>
      </c>
      <c r="M3660">
        <v>22.60997987</v>
      </c>
      <c r="N3660">
        <v>0.72884000000000004</v>
      </c>
      <c r="O3660">
        <v>0.21301339999999999</v>
      </c>
      <c r="P3660">
        <v>132.27272730000001</v>
      </c>
      <c r="Q3660">
        <v>20.180448590000001</v>
      </c>
      <c r="R3660">
        <v>3.7813451999999997E-2</v>
      </c>
      <c r="S3660">
        <v>0.41404401000000002</v>
      </c>
      <c r="T3660" t="s">
        <v>1019</v>
      </c>
      <c r="U3660">
        <v>0.69102654799999996</v>
      </c>
    </row>
    <row r="3661" spans="1:21" x14ac:dyDescent="0.25">
      <c r="A3661" t="s">
        <v>76</v>
      </c>
      <c r="B3661" t="s">
        <v>852</v>
      </c>
      <c r="C3661">
        <v>10</v>
      </c>
      <c r="D3661" t="s">
        <v>31</v>
      </c>
      <c r="E3661" t="s">
        <v>94</v>
      </c>
      <c r="F3661" t="s">
        <v>113</v>
      </c>
      <c r="G3661" t="s">
        <v>113</v>
      </c>
      <c r="H3661" t="s">
        <v>235</v>
      </c>
      <c r="J3661">
        <v>0</v>
      </c>
      <c r="K3661">
        <v>5</v>
      </c>
      <c r="L3661">
        <v>83.757575759999995</v>
      </c>
      <c r="M3661">
        <v>22.60997987</v>
      </c>
      <c r="N3661">
        <v>0.72884000000000004</v>
      </c>
      <c r="O3661">
        <v>0.21301339999999999</v>
      </c>
      <c r="P3661">
        <v>132.27272730000001</v>
      </c>
      <c r="Q3661">
        <v>20.180448590000001</v>
      </c>
      <c r="R3661">
        <v>3.7813451999999997E-2</v>
      </c>
      <c r="S3661">
        <v>0.41404401000000002</v>
      </c>
      <c r="T3661" t="s">
        <v>1019</v>
      </c>
      <c r="U3661">
        <v>0.69102654799999996</v>
      </c>
    </row>
    <row r="3662" spans="1:21" x14ac:dyDescent="0.25">
      <c r="A3662" t="s">
        <v>76</v>
      </c>
      <c r="B3662" t="s">
        <v>852</v>
      </c>
      <c r="C3662">
        <v>10</v>
      </c>
      <c r="D3662" t="s">
        <v>31</v>
      </c>
      <c r="E3662" t="s">
        <v>94</v>
      </c>
      <c r="F3662" t="s">
        <v>113</v>
      </c>
      <c r="G3662" t="s">
        <v>113</v>
      </c>
      <c r="H3662" t="s">
        <v>235</v>
      </c>
      <c r="J3662">
        <v>0</v>
      </c>
      <c r="K3662">
        <v>5</v>
      </c>
      <c r="L3662">
        <v>83.757575759999995</v>
      </c>
      <c r="M3662">
        <v>22.60997987</v>
      </c>
      <c r="N3662">
        <v>0.72884000000000004</v>
      </c>
      <c r="O3662">
        <v>0.21301339999999999</v>
      </c>
      <c r="P3662">
        <v>132.27272730000001</v>
      </c>
      <c r="Q3662">
        <v>20.180448590000001</v>
      </c>
      <c r="R3662">
        <v>3.7813451999999997E-2</v>
      </c>
      <c r="S3662">
        <v>0.41404401000000002</v>
      </c>
      <c r="T3662" t="s">
        <v>1019</v>
      </c>
      <c r="U3662">
        <v>0.69102654799999996</v>
      </c>
    </row>
    <row r="3663" spans="1:21" x14ac:dyDescent="0.25">
      <c r="A3663" t="s">
        <v>76</v>
      </c>
      <c r="B3663" t="s">
        <v>852</v>
      </c>
      <c r="C3663">
        <v>10</v>
      </c>
      <c r="D3663" t="s">
        <v>31</v>
      </c>
      <c r="E3663" t="s">
        <v>94</v>
      </c>
      <c r="F3663" t="s">
        <v>113</v>
      </c>
      <c r="G3663" t="s">
        <v>113</v>
      </c>
      <c r="H3663" t="s">
        <v>235</v>
      </c>
      <c r="J3663">
        <v>0</v>
      </c>
      <c r="K3663">
        <v>5</v>
      </c>
      <c r="L3663">
        <v>83.757575759999995</v>
      </c>
      <c r="M3663">
        <v>22.60997987</v>
      </c>
      <c r="N3663">
        <v>0.72884000000000004</v>
      </c>
      <c r="O3663">
        <v>0.21301339999999999</v>
      </c>
      <c r="P3663">
        <v>132.27272730000001</v>
      </c>
      <c r="Q3663">
        <v>20.180448590000001</v>
      </c>
      <c r="R3663">
        <v>3.7813451999999997E-2</v>
      </c>
      <c r="S3663">
        <v>0.41404401000000002</v>
      </c>
      <c r="T3663" t="s">
        <v>1019</v>
      </c>
      <c r="U3663">
        <v>0.69102654799999996</v>
      </c>
    </row>
    <row r="3664" spans="1:21" x14ac:dyDescent="0.25">
      <c r="A3664" t="s">
        <v>76</v>
      </c>
      <c r="B3664" t="s">
        <v>852</v>
      </c>
      <c r="C3664">
        <v>10</v>
      </c>
      <c r="D3664" t="s">
        <v>31</v>
      </c>
      <c r="E3664" t="s">
        <v>94</v>
      </c>
      <c r="F3664" t="s">
        <v>113</v>
      </c>
      <c r="G3664" t="s">
        <v>113</v>
      </c>
      <c r="H3664" t="s">
        <v>235</v>
      </c>
      <c r="J3664">
        <v>0</v>
      </c>
      <c r="K3664">
        <v>5</v>
      </c>
      <c r="L3664">
        <v>83.757575759999995</v>
      </c>
      <c r="M3664">
        <v>22.60997987</v>
      </c>
      <c r="N3664">
        <v>0.72884000000000004</v>
      </c>
      <c r="O3664">
        <v>0.21301339999999999</v>
      </c>
      <c r="P3664">
        <v>132.27272730000001</v>
      </c>
      <c r="Q3664">
        <v>20.180448590000001</v>
      </c>
      <c r="R3664">
        <v>3.7813451999999997E-2</v>
      </c>
      <c r="S3664">
        <v>0.41404401000000002</v>
      </c>
      <c r="T3664" t="s">
        <v>1019</v>
      </c>
      <c r="U3664">
        <v>0.69102654799999996</v>
      </c>
    </row>
    <row r="3665" spans="1:21" x14ac:dyDescent="0.25">
      <c r="A3665" t="s">
        <v>77</v>
      </c>
      <c r="B3665" t="s">
        <v>853</v>
      </c>
      <c r="C3665">
        <v>10</v>
      </c>
      <c r="D3665" t="s">
        <v>33</v>
      </c>
      <c r="E3665" t="s">
        <v>94</v>
      </c>
      <c r="F3665" t="s">
        <v>102</v>
      </c>
      <c r="G3665" t="s">
        <v>110</v>
      </c>
      <c r="H3665" t="s">
        <v>110</v>
      </c>
      <c r="J3665">
        <v>0</v>
      </c>
      <c r="K3665">
        <v>1</v>
      </c>
      <c r="L3665">
        <v>84.740740740000007</v>
      </c>
      <c r="M3665">
        <v>29.167014049999999</v>
      </c>
      <c r="N3665">
        <v>1.1169849999999999</v>
      </c>
      <c r="O3665">
        <v>1.1571499000000001</v>
      </c>
      <c r="P3665">
        <v>73.260869569999997</v>
      </c>
      <c r="Q3665">
        <v>34.453830549999999</v>
      </c>
      <c r="R3665">
        <v>1.058333333</v>
      </c>
      <c r="S3665">
        <v>0.90897070000000002</v>
      </c>
      <c r="T3665" t="s">
        <v>1019</v>
      </c>
      <c r="U3665">
        <v>5.8651666999999998E-2</v>
      </c>
    </row>
    <row r="3666" spans="1:21" x14ac:dyDescent="0.25">
      <c r="A3666" t="s">
        <v>77</v>
      </c>
      <c r="B3666" t="s">
        <v>853</v>
      </c>
      <c r="C3666">
        <v>10</v>
      </c>
      <c r="D3666" t="s">
        <v>33</v>
      </c>
      <c r="E3666" t="s">
        <v>94</v>
      </c>
      <c r="F3666" t="s">
        <v>102</v>
      </c>
      <c r="G3666" t="s">
        <v>110</v>
      </c>
      <c r="H3666" t="s">
        <v>162</v>
      </c>
      <c r="J3666">
        <v>0</v>
      </c>
      <c r="K3666">
        <v>1</v>
      </c>
      <c r="L3666">
        <v>84.740740740000007</v>
      </c>
      <c r="M3666">
        <v>29.167014049999999</v>
      </c>
      <c r="N3666">
        <v>1.1169849999999999</v>
      </c>
      <c r="O3666">
        <v>1.1571499000000001</v>
      </c>
      <c r="P3666">
        <v>82.53846154</v>
      </c>
      <c r="Q3666">
        <v>35.660530039999998</v>
      </c>
      <c r="R3666">
        <v>3.3754499999999998</v>
      </c>
      <c r="S3666" t="s">
        <v>114</v>
      </c>
      <c r="T3666" t="s">
        <v>1019</v>
      </c>
      <c r="U3666">
        <v>2.2584650000000002</v>
      </c>
    </row>
    <row r="3667" spans="1:21" x14ac:dyDescent="0.25">
      <c r="A3667" t="s">
        <v>77</v>
      </c>
      <c r="B3667" t="s">
        <v>854</v>
      </c>
      <c r="C3667">
        <v>10</v>
      </c>
      <c r="D3667" t="s">
        <v>33</v>
      </c>
      <c r="E3667" t="s">
        <v>94</v>
      </c>
      <c r="F3667" t="s">
        <v>110</v>
      </c>
      <c r="G3667" t="s">
        <v>110</v>
      </c>
      <c r="H3667" t="s">
        <v>110</v>
      </c>
      <c r="J3667">
        <v>0</v>
      </c>
      <c r="K3667">
        <v>3</v>
      </c>
      <c r="L3667">
        <v>73.260869569999997</v>
      </c>
      <c r="M3667">
        <v>34.453830549999999</v>
      </c>
      <c r="N3667">
        <v>1.058333333</v>
      </c>
      <c r="O3667">
        <v>0.90897070000000002</v>
      </c>
      <c r="P3667">
        <v>73.260869569999997</v>
      </c>
      <c r="Q3667">
        <v>34.453830549999999</v>
      </c>
      <c r="R3667">
        <v>1.058333333</v>
      </c>
      <c r="S3667">
        <v>0.90897070000000002</v>
      </c>
      <c r="T3667" t="s">
        <v>1019</v>
      </c>
      <c r="U3667">
        <v>0</v>
      </c>
    </row>
    <row r="3668" spans="1:21" x14ac:dyDescent="0.25">
      <c r="A3668" t="s">
        <v>77</v>
      </c>
      <c r="B3668" t="s">
        <v>854</v>
      </c>
      <c r="C3668">
        <v>10</v>
      </c>
      <c r="D3668" t="s">
        <v>33</v>
      </c>
      <c r="E3668" t="s">
        <v>94</v>
      </c>
      <c r="F3668" t="s">
        <v>110</v>
      </c>
      <c r="G3668" t="s">
        <v>110</v>
      </c>
      <c r="H3668" t="s">
        <v>110</v>
      </c>
      <c r="J3668">
        <v>0</v>
      </c>
      <c r="K3668">
        <v>3</v>
      </c>
      <c r="L3668">
        <v>73.260869569999997</v>
      </c>
      <c r="M3668">
        <v>34.453830549999999</v>
      </c>
      <c r="N3668">
        <v>1.058333333</v>
      </c>
      <c r="O3668">
        <v>0.90897070000000002</v>
      </c>
      <c r="P3668">
        <v>73.260869569999997</v>
      </c>
      <c r="Q3668">
        <v>34.453830549999999</v>
      </c>
      <c r="R3668">
        <v>1.058333333</v>
      </c>
      <c r="S3668">
        <v>0.90897070000000002</v>
      </c>
      <c r="T3668" t="s">
        <v>1019</v>
      </c>
      <c r="U3668">
        <v>0</v>
      </c>
    </row>
    <row r="3669" spans="1:21" x14ac:dyDescent="0.25">
      <c r="A3669" t="s">
        <v>77</v>
      </c>
      <c r="B3669" t="s">
        <v>854</v>
      </c>
      <c r="C3669">
        <v>10</v>
      </c>
      <c r="D3669" t="s">
        <v>33</v>
      </c>
      <c r="E3669" t="s">
        <v>94</v>
      </c>
      <c r="F3669" t="s">
        <v>110</v>
      </c>
      <c r="G3669" t="s">
        <v>110</v>
      </c>
      <c r="H3669" t="s">
        <v>110</v>
      </c>
      <c r="J3669">
        <v>0</v>
      </c>
      <c r="K3669">
        <v>3</v>
      </c>
      <c r="L3669">
        <v>73.260869569999997</v>
      </c>
      <c r="M3669">
        <v>34.453830549999999</v>
      </c>
      <c r="N3669">
        <v>1.058333333</v>
      </c>
      <c r="O3669">
        <v>0.90897070000000002</v>
      </c>
      <c r="P3669">
        <v>73.260869569999997</v>
      </c>
      <c r="Q3669">
        <v>34.453830549999999</v>
      </c>
      <c r="R3669">
        <v>1.058333333</v>
      </c>
      <c r="S3669">
        <v>0.90897070000000002</v>
      </c>
      <c r="T3669" t="s">
        <v>1019</v>
      </c>
      <c r="U3669">
        <v>0</v>
      </c>
    </row>
    <row r="3670" spans="1:21" x14ac:dyDescent="0.25">
      <c r="A3670" t="s">
        <v>78</v>
      </c>
      <c r="B3670" t="s">
        <v>855</v>
      </c>
      <c r="C3670">
        <v>10</v>
      </c>
      <c r="D3670" t="s">
        <v>35</v>
      </c>
      <c r="E3670" t="s">
        <v>94</v>
      </c>
      <c r="F3670" t="s">
        <v>111</v>
      </c>
      <c r="G3670" t="s">
        <v>121</v>
      </c>
      <c r="H3670" t="s">
        <v>114</v>
      </c>
      <c r="J3670">
        <v>0</v>
      </c>
      <c r="K3670">
        <v>0</v>
      </c>
      <c r="L3670">
        <v>94.97142857</v>
      </c>
      <c r="M3670">
        <v>24.31591813</v>
      </c>
      <c r="N3670">
        <v>0.122951111</v>
      </c>
      <c r="O3670">
        <v>0.39050790000000002</v>
      </c>
      <c r="P3670" t="s">
        <v>114</v>
      </c>
      <c r="Q3670" t="s">
        <v>114</v>
      </c>
      <c r="R3670" t="s">
        <v>114</v>
      </c>
      <c r="S3670" t="s">
        <v>114</v>
      </c>
      <c r="T3670" t="s">
        <v>1019</v>
      </c>
      <c r="U3670" t="s">
        <v>114</v>
      </c>
    </row>
    <row r="3671" spans="1:21" x14ac:dyDescent="0.25">
      <c r="A3671" t="s">
        <v>50</v>
      </c>
      <c r="B3671" t="s">
        <v>856</v>
      </c>
      <c r="C3671">
        <v>12</v>
      </c>
      <c r="D3671" t="s">
        <v>11</v>
      </c>
      <c r="E3671" t="s">
        <v>95</v>
      </c>
      <c r="F3671" t="s">
        <v>113</v>
      </c>
      <c r="G3671" t="s">
        <v>113</v>
      </c>
      <c r="H3671" t="s">
        <v>113</v>
      </c>
      <c r="J3671">
        <v>0</v>
      </c>
      <c r="K3671">
        <v>6</v>
      </c>
      <c r="L3671">
        <v>83.757575759999995</v>
      </c>
      <c r="M3671">
        <v>22.60997987</v>
      </c>
      <c r="N3671">
        <v>0.72884000000000004</v>
      </c>
      <c r="O3671">
        <v>0.21301339999999999</v>
      </c>
      <c r="P3671">
        <v>83.757575759999995</v>
      </c>
      <c r="Q3671">
        <v>22.60997987</v>
      </c>
      <c r="R3671">
        <v>0.72884000000000004</v>
      </c>
      <c r="S3671">
        <v>0.21301339999999999</v>
      </c>
      <c r="T3671" t="s">
        <v>1019</v>
      </c>
      <c r="U3671">
        <v>0</v>
      </c>
    </row>
    <row r="3672" spans="1:21" x14ac:dyDescent="0.25">
      <c r="A3672" t="s">
        <v>50</v>
      </c>
      <c r="B3672" t="s">
        <v>856</v>
      </c>
      <c r="C3672">
        <v>12</v>
      </c>
      <c r="D3672" t="s">
        <v>11</v>
      </c>
      <c r="E3672" t="s">
        <v>95</v>
      </c>
      <c r="F3672" t="s">
        <v>113</v>
      </c>
      <c r="G3672" t="s">
        <v>113</v>
      </c>
      <c r="H3672" t="s">
        <v>113</v>
      </c>
      <c r="J3672">
        <v>0</v>
      </c>
      <c r="K3672">
        <v>6</v>
      </c>
      <c r="L3672">
        <v>83.757575759999995</v>
      </c>
      <c r="M3672">
        <v>22.60997987</v>
      </c>
      <c r="N3672">
        <v>0.72884000000000004</v>
      </c>
      <c r="O3672">
        <v>0.21301339999999999</v>
      </c>
      <c r="P3672">
        <v>83.757575759999995</v>
      </c>
      <c r="Q3672">
        <v>22.60997987</v>
      </c>
      <c r="R3672">
        <v>0.72884000000000004</v>
      </c>
      <c r="S3672">
        <v>0.21301339999999999</v>
      </c>
      <c r="T3672" t="s">
        <v>1019</v>
      </c>
      <c r="U3672">
        <v>0</v>
      </c>
    </row>
    <row r="3673" spans="1:21" x14ac:dyDescent="0.25">
      <c r="A3673" t="s">
        <v>50</v>
      </c>
      <c r="B3673" t="s">
        <v>856</v>
      </c>
      <c r="C3673">
        <v>12</v>
      </c>
      <c r="D3673" t="s">
        <v>11</v>
      </c>
      <c r="E3673" t="s">
        <v>95</v>
      </c>
      <c r="F3673" t="s">
        <v>113</v>
      </c>
      <c r="G3673" t="s">
        <v>113</v>
      </c>
      <c r="H3673" t="s">
        <v>113</v>
      </c>
      <c r="J3673">
        <v>0</v>
      </c>
      <c r="K3673">
        <v>6</v>
      </c>
      <c r="L3673">
        <v>83.757575759999995</v>
      </c>
      <c r="M3673">
        <v>22.60997987</v>
      </c>
      <c r="N3673">
        <v>0.72884000000000004</v>
      </c>
      <c r="O3673">
        <v>0.21301339999999999</v>
      </c>
      <c r="P3673">
        <v>83.757575759999995</v>
      </c>
      <c r="Q3673">
        <v>22.60997987</v>
      </c>
      <c r="R3673">
        <v>0.72884000000000004</v>
      </c>
      <c r="S3673">
        <v>0.21301339999999999</v>
      </c>
      <c r="T3673" t="s">
        <v>1019</v>
      </c>
      <c r="U3673">
        <v>0</v>
      </c>
    </row>
    <row r="3674" spans="1:21" x14ac:dyDescent="0.25">
      <c r="A3674" t="s">
        <v>50</v>
      </c>
      <c r="B3674" t="s">
        <v>856</v>
      </c>
      <c r="C3674">
        <v>12</v>
      </c>
      <c r="D3674" t="s">
        <v>11</v>
      </c>
      <c r="E3674" t="s">
        <v>95</v>
      </c>
      <c r="F3674" t="s">
        <v>113</v>
      </c>
      <c r="G3674" t="s">
        <v>113</v>
      </c>
      <c r="H3674" t="s">
        <v>113</v>
      </c>
      <c r="J3674">
        <v>0</v>
      </c>
      <c r="K3674">
        <v>6</v>
      </c>
      <c r="L3674">
        <v>83.757575759999995</v>
      </c>
      <c r="M3674">
        <v>22.60997987</v>
      </c>
      <c r="N3674">
        <v>0.72884000000000004</v>
      </c>
      <c r="O3674">
        <v>0.21301339999999999</v>
      </c>
      <c r="P3674">
        <v>83.757575759999995</v>
      </c>
      <c r="Q3674">
        <v>22.60997987</v>
      </c>
      <c r="R3674">
        <v>0.72884000000000004</v>
      </c>
      <c r="S3674">
        <v>0.21301339999999999</v>
      </c>
      <c r="T3674" t="s">
        <v>1019</v>
      </c>
      <c r="U3674">
        <v>0</v>
      </c>
    </row>
    <row r="3675" spans="1:21" x14ac:dyDescent="0.25">
      <c r="A3675" t="s">
        <v>50</v>
      </c>
      <c r="B3675" t="s">
        <v>856</v>
      </c>
      <c r="C3675">
        <v>12</v>
      </c>
      <c r="D3675" t="s">
        <v>11</v>
      </c>
      <c r="E3675" t="s">
        <v>95</v>
      </c>
      <c r="F3675" t="s">
        <v>113</v>
      </c>
      <c r="G3675" t="s">
        <v>113</v>
      </c>
      <c r="H3675" t="s">
        <v>113</v>
      </c>
      <c r="J3675">
        <v>0</v>
      </c>
      <c r="K3675">
        <v>6</v>
      </c>
      <c r="L3675">
        <v>83.757575759999995</v>
      </c>
      <c r="M3675">
        <v>22.60997987</v>
      </c>
      <c r="N3675">
        <v>0.72884000000000004</v>
      </c>
      <c r="O3675">
        <v>0.21301339999999999</v>
      </c>
      <c r="P3675">
        <v>83.757575759999995</v>
      </c>
      <c r="Q3675">
        <v>22.60997987</v>
      </c>
      <c r="R3675">
        <v>0.72884000000000004</v>
      </c>
      <c r="S3675">
        <v>0.21301339999999999</v>
      </c>
      <c r="T3675" t="s">
        <v>1019</v>
      </c>
      <c r="U3675">
        <v>0</v>
      </c>
    </row>
    <row r="3676" spans="1:21" x14ac:dyDescent="0.25">
      <c r="A3676" t="s">
        <v>50</v>
      </c>
      <c r="B3676" t="s">
        <v>856</v>
      </c>
      <c r="C3676">
        <v>12</v>
      </c>
      <c r="D3676" t="s">
        <v>11</v>
      </c>
      <c r="E3676" t="s">
        <v>95</v>
      </c>
      <c r="F3676" t="s">
        <v>113</v>
      </c>
      <c r="G3676" t="s">
        <v>113</v>
      </c>
      <c r="H3676" t="s">
        <v>113</v>
      </c>
      <c r="J3676">
        <v>0</v>
      </c>
      <c r="K3676">
        <v>6</v>
      </c>
      <c r="L3676">
        <v>83.757575759999995</v>
      </c>
      <c r="M3676">
        <v>22.60997987</v>
      </c>
      <c r="N3676">
        <v>0.72884000000000004</v>
      </c>
      <c r="O3676">
        <v>0.21301339999999999</v>
      </c>
      <c r="P3676">
        <v>83.757575759999995</v>
      </c>
      <c r="Q3676">
        <v>22.60997987</v>
      </c>
      <c r="R3676">
        <v>0.72884000000000004</v>
      </c>
      <c r="S3676">
        <v>0.21301339999999999</v>
      </c>
      <c r="T3676" t="s">
        <v>1019</v>
      </c>
      <c r="U3676">
        <v>0</v>
      </c>
    </row>
    <row r="3677" spans="1:21" x14ac:dyDescent="0.25">
      <c r="A3677" t="s">
        <v>50</v>
      </c>
      <c r="B3677" t="s">
        <v>856</v>
      </c>
      <c r="C3677">
        <v>12</v>
      </c>
      <c r="D3677" t="s">
        <v>11</v>
      </c>
      <c r="E3677" t="s">
        <v>95</v>
      </c>
      <c r="F3677" t="s">
        <v>113</v>
      </c>
      <c r="G3677" t="s">
        <v>113</v>
      </c>
      <c r="H3677" t="s">
        <v>238</v>
      </c>
      <c r="J3677">
        <v>0</v>
      </c>
      <c r="K3677">
        <v>1</v>
      </c>
      <c r="L3677">
        <v>83.757575759999995</v>
      </c>
      <c r="M3677">
        <v>22.60997987</v>
      </c>
      <c r="N3677">
        <v>0.72884000000000004</v>
      </c>
      <c r="O3677">
        <v>0.21301339999999999</v>
      </c>
      <c r="P3677">
        <v>87.5</v>
      </c>
      <c r="Q3677">
        <v>29.478311600000001</v>
      </c>
      <c r="R3677">
        <v>3.0797751000000002E-2</v>
      </c>
      <c r="S3677">
        <v>0.12931835</v>
      </c>
      <c r="T3677" t="s">
        <v>1019</v>
      </c>
      <c r="U3677">
        <v>0.698042249</v>
      </c>
    </row>
    <row r="3678" spans="1:21" x14ac:dyDescent="0.25">
      <c r="A3678" t="s">
        <v>50</v>
      </c>
      <c r="B3678" t="s">
        <v>857</v>
      </c>
      <c r="C3678">
        <v>12</v>
      </c>
      <c r="D3678" t="s">
        <v>11</v>
      </c>
      <c r="E3678" t="s">
        <v>95</v>
      </c>
      <c r="F3678" t="s">
        <v>103</v>
      </c>
      <c r="G3678" t="s">
        <v>113</v>
      </c>
      <c r="H3678" t="s">
        <v>113</v>
      </c>
      <c r="J3678">
        <v>0</v>
      </c>
      <c r="K3678">
        <v>4</v>
      </c>
      <c r="L3678">
        <v>98.291666669999998</v>
      </c>
      <c r="M3678">
        <v>30.315130790000001</v>
      </c>
      <c r="N3678">
        <v>5.0803484000000003E-2</v>
      </c>
      <c r="O3678">
        <v>0.42866070000000001</v>
      </c>
      <c r="P3678">
        <v>83.757575759999995</v>
      </c>
      <c r="Q3678">
        <v>22.60997987</v>
      </c>
      <c r="R3678">
        <v>0.72884000000000004</v>
      </c>
      <c r="S3678">
        <v>0.21301339999999999</v>
      </c>
      <c r="T3678" t="s">
        <v>1019</v>
      </c>
      <c r="U3678">
        <v>0.67803651600000003</v>
      </c>
    </row>
    <row r="3679" spans="1:21" x14ac:dyDescent="0.25">
      <c r="A3679" t="s">
        <v>50</v>
      </c>
      <c r="B3679" t="s">
        <v>857</v>
      </c>
      <c r="C3679">
        <v>12</v>
      </c>
      <c r="D3679" t="s">
        <v>11</v>
      </c>
      <c r="E3679" t="s">
        <v>95</v>
      </c>
      <c r="F3679" t="s">
        <v>103</v>
      </c>
      <c r="G3679" t="s">
        <v>113</v>
      </c>
      <c r="H3679" t="s">
        <v>113</v>
      </c>
      <c r="J3679">
        <v>0</v>
      </c>
      <c r="K3679">
        <v>4</v>
      </c>
      <c r="L3679">
        <v>98.291666669999998</v>
      </c>
      <c r="M3679">
        <v>30.315130790000001</v>
      </c>
      <c r="N3679">
        <v>5.0803484000000003E-2</v>
      </c>
      <c r="O3679">
        <v>0.42866070000000001</v>
      </c>
      <c r="P3679">
        <v>83.757575759999995</v>
      </c>
      <c r="Q3679">
        <v>22.60997987</v>
      </c>
      <c r="R3679">
        <v>0.72884000000000004</v>
      </c>
      <c r="S3679">
        <v>0.21301339999999999</v>
      </c>
      <c r="T3679" t="s">
        <v>1019</v>
      </c>
      <c r="U3679">
        <v>0.67803651600000003</v>
      </c>
    </row>
    <row r="3680" spans="1:21" x14ac:dyDescent="0.25">
      <c r="A3680" t="s">
        <v>50</v>
      </c>
      <c r="B3680" t="s">
        <v>857</v>
      </c>
      <c r="C3680">
        <v>12</v>
      </c>
      <c r="D3680" t="s">
        <v>11</v>
      </c>
      <c r="E3680" t="s">
        <v>95</v>
      </c>
      <c r="F3680" t="s">
        <v>103</v>
      </c>
      <c r="G3680" t="s">
        <v>113</v>
      </c>
      <c r="H3680" t="s">
        <v>113</v>
      </c>
      <c r="J3680">
        <v>0</v>
      </c>
      <c r="K3680">
        <v>4</v>
      </c>
      <c r="L3680">
        <v>98.291666669999998</v>
      </c>
      <c r="M3680">
        <v>30.315130790000001</v>
      </c>
      <c r="N3680">
        <v>5.0803484000000003E-2</v>
      </c>
      <c r="O3680">
        <v>0.42866070000000001</v>
      </c>
      <c r="P3680">
        <v>83.757575759999995</v>
      </c>
      <c r="Q3680">
        <v>22.60997987</v>
      </c>
      <c r="R3680">
        <v>0.72884000000000004</v>
      </c>
      <c r="S3680">
        <v>0.21301339999999999</v>
      </c>
      <c r="T3680" t="s">
        <v>1019</v>
      </c>
      <c r="U3680">
        <v>0.67803651600000003</v>
      </c>
    </row>
    <row r="3681" spans="1:21" x14ac:dyDescent="0.25">
      <c r="A3681" t="s">
        <v>50</v>
      </c>
      <c r="B3681" t="s">
        <v>857</v>
      </c>
      <c r="C3681">
        <v>12</v>
      </c>
      <c r="D3681" t="s">
        <v>11</v>
      </c>
      <c r="E3681" t="s">
        <v>95</v>
      </c>
      <c r="F3681" t="s">
        <v>103</v>
      </c>
      <c r="G3681" t="s">
        <v>113</v>
      </c>
      <c r="H3681" t="s">
        <v>113</v>
      </c>
      <c r="J3681">
        <v>0</v>
      </c>
      <c r="K3681">
        <v>4</v>
      </c>
      <c r="L3681">
        <v>98.291666669999998</v>
      </c>
      <c r="M3681">
        <v>30.315130790000001</v>
      </c>
      <c r="N3681">
        <v>5.0803484000000003E-2</v>
      </c>
      <c r="O3681">
        <v>0.42866070000000001</v>
      </c>
      <c r="P3681">
        <v>83.757575759999995</v>
      </c>
      <c r="Q3681">
        <v>22.60997987</v>
      </c>
      <c r="R3681">
        <v>0.72884000000000004</v>
      </c>
      <c r="S3681">
        <v>0.21301339999999999</v>
      </c>
      <c r="T3681" t="s">
        <v>1019</v>
      </c>
      <c r="U3681">
        <v>0.67803651600000003</v>
      </c>
    </row>
    <row r="3682" spans="1:21" x14ac:dyDescent="0.25">
      <c r="A3682" t="s">
        <v>50</v>
      </c>
      <c r="B3682" t="s">
        <v>857</v>
      </c>
      <c r="C3682">
        <v>12</v>
      </c>
      <c r="D3682" t="s">
        <v>11</v>
      </c>
      <c r="E3682" t="s">
        <v>95</v>
      </c>
      <c r="F3682" t="s">
        <v>103</v>
      </c>
      <c r="G3682" t="s">
        <v>113</v>
      </c>
      <c r="H3682" t="s">
        <v>242</v>
      </c>
      <c r="J3682">
        <v>0</v>
      </c>
      <c r="K3682">
        <v>3</v>
      </c>
      <c r="L3682">
        <v>98.291666669999998</v>
      </c>
      <c r="M3682">
        <v>30.315130790000001</v>
      </c>
      <c r="N3682">
        <v>5.0803484000000003E-2</v>
      </c>
      <c r="O3682">
        <v>0.42866070000000001</v>
      </c>
      <c r="P3682">
        <v>139.375</v>
      </c>
      <c r="Q3682">
        <v>23.713465920000001</v>
      </c>
      <c r="R3682" t="s">
        <v>114</v>
      </c>
      <c r="S3682" t="s">
        <v>114</v>
      </c>
      <c r="T3682" t="s">
        <v>1019</v>
      </c>
      <c r="U3682" t="s">
        <v>114</v>
      </c>
    </row>
    <row r="3683" spans="1:21" x14ac:dyDescent="0.25">
      <c r="A3683" t="s">
        <v>50</v>
      </c>
      <c r="B3683" t="s">
        <v>857</v>
      </c>
      <c r="C3683">
        <v>12</v>
      </c>
      <c r="D3683" t="s">
        <v>11</v>
      </c>
      <c r="E3683" t="s">
        <v>95</v>
      </c>
      <c r="F3683" t="s">
        <v>103</v>
      </c>
      <c r="G3683" t="s">
        <v>113</v>
      </c>
      <c r="H3683" t="s">
        <v>242</v>
      </c>
      <c r="J3683">
        <v>0</v>
      </c>
      <c r="K3683">
        <v>3</v>
      </c>
      <c r="L3683">
        <v>98.291666669999998</v>
      </c>
      <c r="M3683">
        <v>30.315130790000001</v>
      </c>
      <c r="N3683">
        <v>5.0803484000000003E-2</v>
      </c>
      <c r="O3683">
        <v>0.42866070000000001</v>
      </c>
      <c r="P3683">
        <v>139.375</v>
      </c>
      <c r="Q3683">
        <v>23.713465920000001</v>
      </c>
      <c r="R3683" t="s">
        <v>114</v>
      </c>
      <c r="S3683" t="s">
        <v>114</v>
      </c>
      <c r="T3683" t="s">
        <v>1019</v>
      </c>
      <c r="U3683" t="s">
        <v>114</v>
      </c>
    </row>
    <row r="3684" spans="1:21" x14ac:dyDescent="0.25">
      <c r="A3684" t="s">
        <v>50</v>
      </c>
      <c r="B3684" t="s">
        <v>857</v>
      </c>
      <c r="C3684">
        <v>12</v>
      </c>
      <c r="D3684" t="s">
        <v>11</v>
      </c>
      <c r="E3684" t="s">
        <v>95</v>
      </c>
      <c r="F3684" t="s">
        <v>103</v>
      </c>
      <c r="G3684" t="s">
        <v>113</v>
      </c>
      <c r="H3684" t="s">
        <v>242</v>
      </c>
      <c r="J3684">
        <v>0</v>
      </c>
      <c r="K3684">
        <v>3</v>
      </c>
      <c r="L3684">
        <v>98.291666669999998</v>
      </c>
      <c r="M3684">
        <v>30.315130790000001</v>
      </c>
      <c r="N3684">
        <v>5.0803484000000003E-2</v>
      </c>
      <c r="O3684">
        <v>0.42866070000000001</v>
      </c>
      <c r="P3684">
        <v>139.375</v>
      </c>
      <c r="Q3684">
        <v>23.713465920000001</v>
      </c>
      <c r="R3684" t="s">
        <v>114</v>
      </c>
      <c r="S3684" t="s">
        <v>114</v>
      </c>
      <c r="T3684" t="s">
        <v>1019</v>
      </c>
      <c r="U3684" t="s">
        <v>114</v>
      </c>
    </row>
    <row r="3685" spans="1:21" x14ac:dyDescent="0.25">
      <c r="A3685" t="s">
        <v>50</v>
      </c>
      <c r="B3685" t="s">
        <v>858</v>
      </c>
      <c r="C3685">
        <v>12</v>
      </c>
      <c r="D3685" t="s">
        <v>11</v>
      </c>
      <c r="E3685" t="s">
        <v>95</v>
      </c>
      <c r="F3685" t="s">
        <v>111</v>
      </c>
      <c r="G3685" t="s">
        <v>113</v>
      </c>
      <c r="H3685" t="s">
        <v>113</v>
      </c>
      <c r="J3685">
        <v>0</v>
      </c>
      <c r="K3685">
        <v>3</v>
      </c>
      <c r="L3685">
        <v>94.97142857</v>
      </c>
      <c r="M3685">
        <v>24.31591813</v>
      </c>
      <c r="N3685">
        <v>0.122951111</v>
      </c>
      <c r="O3685">
        <v>0.39050790000000002</v>
      </c>
      <c r="P3685">
        <v>83.757575759999995</v>
      </c>
      <c r="Q3685">
        <v>22.60997987</v>
      </c>
      <c r="R3685">
        <v>0.72884000000000004</v>
      </c>
      <c r="S3685">
        <v>0.21301339999999999</v>
      </c>
      <c r="T3685" t="s">
        <v>1019</v>
      </c>
      <c r="U3685">
        <v>0.60588888900000004</v>
      </c>
    </row>
    <row r="3686" spans="1:21" x14ac:dyDescent="0.25">
      <c r="A3686" t="s">
        <v>50</v>
      </c>
      <c r="B3686" t="s">
        <v>858</v>
      </c>
      <c r="C3686">
        <v>12</v>
      </c>
      <c r="D3686" t="s">
        <v>11</v>
      </c>
      <c r="E3686" t="s">
        <v>95</v>
      </c>
      <c r="F3686" t="s">
        <v>111</v>
      </c>
      <c r="G3686" t="s">
        <v>113</v>
      </c>
      <c r="H3686" t="s">
        <v>113</v>
      </c>
      <c r="J3686">
        <v>0</v>
      </c>
      <c r="K3686">
        <v>3</v>
      </c>
      <c r="L3686">
        <v>94.97142857</v>
      </c>
      <c r="M3686">
        <v>24.31591813</v>
      </c>
      <c r="N3686">
        <v>0.122951111</v>
      </c>
      <c r="O3686">
        <v>0.39050790000000002</v>
      </c>
      <c r="P3686">
        <v>83.757575759999995</v>
      </c>
      <c r="Q3686">
        <v>22.60997987</v>
      </c>
      <c r="R3686">
        <v>0.72884000000000004</v>
      </c>
      <c r="S3686">
        <v>0.21301339999999999</v>
      </c>
      <c r="T3686" t="s">
        <v>1019</v>
      </c>
      <c r="U3686">
        <v>0.60588888900000004</v>
      </c>
    </row>
    <row r="3687" spans="1:21" x14ac:dyDescent="0.25">
      <c r="A3687" t="s">
        <v>50</v>
      </c>
      <c r="B3687" t="s">
        <v>858</v>
      </c>
      <c r="C3687">
        <v>12</v>
      </c>
      <c r="D3687" t="s">
        <v>11</v>
      </c>
      <c r="E3687" t="s">
        <v>95</v>
      </c>
      <c r="F3687" t="s">
        <v>111</v>
      </c>
      <c r="G3687" t="s">
        <v>113</v>
      </c>
      <c r="H3687" t="s">
        <v>113</v>
      </c>
      <c r="J3687">
        <v>0</v>
      </c>
      <c r="K3687">
        <v>3</v>
      </c>
      <c r="L3687">
        <v>94.97142857</v>
      </c>
      <c r="M3687">
        <v>24.31591813</v>
      </c>
      <c r="N3687">
        <v>0.122951111</v>
      </c>
      <c r="O3687">
        <v>0.39050790000000002</v>
      </c>
      <c r="P3687">
        <v>83.757575759999995</v>
      </c>
      <c r="Q3687">
        <v>22.60997987</v>
      </c>
      <c r="R3687">
        <v>0.72884000000000004</v>
      </c>
      <c r="S3687">
        <v>0.21301339999999999</v>
      </c>
      <c r="T3687" t="s">
        <v>1019</v>
      </c>
      <c r="U3687">
        <v>0.60588888900000004</v>
      </c>
    </row>
    <row r="3688" spans="1:21" x14ac:dyDescent="0.25">
      <c r="A3688" t="s">
        <v>50</v>
      </c>
      <c r="B3688" t="s">
        <v>858</v>
      </c>
      <c r="C3688">
        <v>12</v>
      </c>
      <c r="D3688" t="s">
        <v>11</v>
      </c>
      <c r="E3688" t="s">
        <v>95</v>
      </c>
      <c r="F3688" t="s">
        <v>111</v>
      </c>
      <c r="G3688" t="s">
        <v>113</v>
      </c>
      <c r="H3688" t="s">
        <v>242</v>
      </c>
      <c r="J3688">
        <v>0</v>
      </c>
      <c r="K3688">
        <v>2</v>
      </c>
      <c r="L3688">
        <v>94.97142857</v>
      </c>
      <c r="M3688">
        <v>24.31591813</v>
      </c>
      <c r="N3688">
        <v>0.122951111</v>
      </c>
      <c r="O3688">
        <v>0.39050790000000002</v>
      </c>
      <c r="P3688">
        <v>139.375</v>
      </c>
      <c r="Q3688">
        <v>23.713465920000001</v>
      </c>
      <c r="R3688" t="s">
        <v>114</v>
      </c>
      <c r="S3688" t="s">
        <v>114</v>
      </c>
      <c r="T3688" t="s">
        <v>1019</v>
      </c>
      <c r="U3688" t="s">
        <v>114</v>
      </c>
    </row>
    <row r="3689" spans="1:21" x14ac:dyDescent="0.25">
      <c r="A3689" t="s">
        <v>50</v>
      </c>
      <c r="B3689" t="s">
        <v>858</v>
      </c>
      <c r="C3689">
        <v>12</v>
      </c>
      <c r="D3689" t="s">
        <v>11</v>
      </c>
      <c r="E3689" t="s">
        <v>95</v>
      </c>
      <c r="F3689" t="s">
        <v>111</v>
      </c>
      <c r="G3689" t="s">
        <v>113</v>
      </c>
      <c r="H3689" t="s">
        <v>242</v>
      </c>
      <c r="J3689">
        <v>0</v>
      </c>
      <c r="K3689">
        <v>2</v>
      </c>
      <c r="L3689">
        <v>94.97142857</v>
      </c>
      <c r="M3689">
        <v>24.31591813</v>
      </c>
      <c r="N3689">
        <v>0.122951111</v>
      </c>
      <c r="O3689">
        <v>0.39050790000000002</v>
      </c>
      <c r="P3689">
        <v>139.375</v>
      </c>
      <c r="Q3689">
        <v>23.713465920000001</v>
      </c>
      <c r="R3689" t="s">
        <v>114</v>
      </c>
      <c r="S3689" t="s">
        <v>114</v>
      </c>
      <c r="T3689" t="s">
        <v>1019</v>
      </c>
      <c r="U3689" t="s">
        <v>114</v>
      </c>
    </row>
    <row r="3690" spans="1:21" x14ac:dyDescent="0.25">
      <c r="A3690" t="s">
        <v>50</v>
      </c>
      <c r="B3690" t="s">
        <v>859</v>
      </c>
      <c r="C3690">
        <v>12</v>
      </c>
      <c r="D3690" t="s">
        <v>11</v>
      </c>
      <c r="E3690" t="s">
        <v>95</v>
      </c>
      <c r="F3690" t="s">
        <v>104</v>
      </c>
      <c r="G3690" t="s">
        <v>121</v>
      </c>
      <c r="H3690" t="s">
        <v>103</v>
      </c>
      <c r="J3690">
        <v>0</v>
      </c>
      <c r="K3690">
        <v>1</v>
      </c>
      <c r="L3690">
        <v>113.9375</v>
      </c>
      <c r="M3690">
        <v>33.375507550000002</v>
      </c>
      <c r="N3690">
        <v>2.4262999999999999</v>
      </c>
      <c r="O3690">
        <v>0.40692159999999999</v>
      </c>
      <c r="P3690">
        <v>98.291666669999998</v>
      </c>
      <c r="Q3690">
        <v>30.315130790000001</v>
      </c>
      <c r="R3690">
        <v>5.0803484000000003E-2</v>
      </c>
      <c r="S3690">
        <v>0.42866070000000001</v>
      </c>
      <c r="T3690" t="s">
        <v>1019</v>
      </c>
      <c r="U3690">
        <v>2.3754965160000001</v>
      </c>
    </row>
    <row r="3691" spans="1:21" x14ac:dyDescent="0.25">
      <c r="A3691" t="s">
        <v>50</v>
      </c>
      <c r="B3691" t="s">
        <v>859</v>
      </c>
      <c r="C3691">
        <v>12</v>
      </c>
      <c r="D3691" t="s">
        <v>11</v>
      </c>
      <c r="E3691" t="s">
        <v>95</v>
      </c>
      <c r="F3691" t="s">
        <v>104</v>
      </c>
      <c r="G3691" t="s">
        <v>121</v>
      </c>
      <c r="H3691" t="s">
        <v>238</v>
      </c>
      <c r="J3691">
        <v>0</v>
      </c>
      <c r="K3691">
        <v>1</v>
      </c>
      <c r="L3691">
        <v>113.9375</v>
      </c>
      <c r="M3691">
        <v>33.375507550000002</v>
      </c>
      <c r="N3691">
        <v>2.4262999999999999</v>
      </c>
      <c r="O3691">
        <v>0.40692159999999999</v>
      </c>
      <c r="P3691">
        <v>87.5</v>
      </c>
      <c r="Q3691">
        <v>29.478311600000001</v>
      </c>
      <c r="R3691">
        <v>3.0797751000000002E-2</v>
      </c>
      <c r="S3691">
        <v>0.12931835</v>
      </c>
      <c r="T3691" t="s">
        <v>1019</v>
      </c>
      <c r="U3691">
        <v>2.3955022490000002</v>
      </c>
    </row>
    <row r="3692" spans="1:21" x14ac:dyDescent="0.25">
      <c r="A3692" t="s">
        <v>51</v>
      </c>
      <c r="B3692" t="s">
        <v>860</v>
      </c>
      <c r="C3692">
        <v>12</v>
      </c>
      <c r="D3692" t="s">
        <v>15</v>
      </c>
      <c r="E3692" t="s">
        <v>94</v>
      </c>
      <c r="F3692" t="s">
        <v>105</v>
      </c>
      <c r="G3692" t="s">
        <v>104</v>
      </c>
      <c r="H3692" t="s">
        <v>104</v>
      </c>
      <c r="J3692">
        <v>0</v>
      </c>
      <c r="K3692">
        <v>2</v>
      </c>
      <c r="L3692">
        <v>67.5</v>
      </c>
      <c r="M3692">
        <v>47.937235809999997</v>
      </c>
      <c r="N3692">
        <v>0.41599678000000001</v>
      </c>
      <c r="O3692">
        <v>2.0950346999999998</v>
      </c>
      <c r="P3692">
        <v>113.9375</v>
      </c>
      <c r="Q3692">
        <v>33.375507550000002</v>
      </c>
      <c r="R3692">
        <v>2.4262999999999999</v>
      </c>
      <c r="S3692">
        <v>0.40692159999999999</v>
      </c>
      <c r="T3692" t="s">
        <v>1019</v>
      </c>
      <c r="U3692">
        <v>2.0103032199999999</v>
      </c>
    </row>
    <row r="3693" spans="1:21" x14ac:dyDescent="0.25">
      <c r="A3693" t="s">
        <v>51</v>
      </c>
      <c r="B3693" t="s">
        <v>860</v>
      </c>
      <c r="C3693">
        <v>12</v>
      </c>
      <c r="D3693" t="s">
        <v>15</v>
      </c>
      <c r="E3693" t="s">
        <v>94</v>
      </c>
      <c r="F3693" t="s">
        <v>105</v>
      </c>
      <c r="G3693" t="s">
        <v>104</v>
      </c>
      <c r="H3693" t="s">
        <v>104</v>
      </c>
      <c r="J3693">
        <v>0</v>
      </c>
      <c r="K3693">
        <v>2</v>
      </c>
      <c r="L3693">
        <v>67.5</v>
      </c>
      <c r="M3693">
        <v>47.937235809999997</v>
      </c>
      <c r="N3693">
        <v>0.41599678000000001</v>
      </c>
      <c r="O3693">
        <v>2.0950346999999998</v>
      </c>
      <c r="P3693">
        <v>113.9375</v>
      </c>
      <c r="Q3693">
        <v>33.375507550000002</v>
      </c>
      <c r="R3693">
        <v>2.4262999999999999</v>
      </c>
      <c r="S3693">
        <v>0.40692159999999999</v>
      </c>
      <c r="T3693" t="s">
        <v>1019</v>
      </c>
      <c r="U3693">
        <v>2.0103032199999999</v>
      </c>
    </row>
    <row r="3694" spans="1:21" x14ac:dyDescent="0.25">
      <c r="A3694" t="s">
        <v>51</v>
      </c>
      <c r="B3694" t="s">
        <v>861</v>
      </c>
      <c r="C3694">
        <v>12</v>
      </c>
      <c r="D3694" t="s">
        <v>15</v>
      </c>
      <c r="E3694" t="s">
        <v>94</v>
      </c>
      <c r="F3694" t="s">
        <v>111</v>
      </c>
      <c r="G3694" t="s">
        <v>121</v>
      </c>
      <c r="H3694" t="s">
        <v>241</v>
      </c>
      <c r="J3694">
        <v>0</v>
      </c>
      <c r="K3694">
        <v>1</v>
      </c>
      <c r="L3694">
        <v>94.97142857</v>
      </c>
      <c r="M3694">
        <v>24.31591813</v>
      </c>
      <c r="N3694">
        <v>0.122951111</v>
      </c>
      <c r="O3694">
        <v>0.39050790000000002</v>
      </c>
      <c r="P3694">
        <v>114</v>
      </c>
      <c r="Q3694">
        <v>30.43077242</v>
      </c>
      <c r="R3694">
        <v>0.53383111100000002</v>
      </c>
      <c r="S3694">
        <v>0.28333332999999999</v>
      </c>
      <c r="T3694" t="s">
        <v>1019</v>
      </c>
      <c r="U3694">
        <v>0.41088000000000002</v>
      </c>
    </row>
    <row r="3695" spans="1:21" x14ac:dyDescent="0.25">
      <c r="A3695" t="s">
        <v>51</v>
      </c>
      <c r="B3695" t="s">
        <v>862</v>
      </c>
      <c r="C3695">
        <v>12</v>
      </c>
      <c r="D3695" t="s">
        <v>15</v>
      </c>
      <c r="E3695" t="s">
        <v>94</v>
      </c>
      <c r="F3695" t="s">
        <v>112</v>
      </c>
      <c r="G3695" t="s">
        <v>112</v>
      </c>
      <c r="H3695" t="s">
        <v>112</v>
      </c>
      <c r="J3695">
        <v>0</v>
      </c>
      <c r="K3695">
        <v>2</v>
      </c>
      <c r="L3695">
        <v>65.09375</v>
      </c>
      <c r="M3695">
        <v>37.895352600000002</v>
      </c>
      <c r="N3695">
        <v>2.2882677779999998</v>
      </c>
      <c r="O3695">
        <v>2.2111774</v>
      </c>
      <c r="P3695">
        <v>65.09375</v>
      </c>
      <c r="Q3695">
        <v>37.895352600000002</v>
      </c>
      <c r="R3695">
        <v>2.2882677779999998</v>
      </c>
      <c r="S3695">
        <v>2.2111774</v>
      </c>
      <c r="T3695" t="s">
        <v>1019</v>
      </c>
      <c r="U3695">
        <v>0</v>
      </c>
    </row>
    <row r="3696" spans="1:21" x14ac:dyDescent="0.25">
      <c r="A3696" t="s">
        <v>51</v>
      </c>
      <c r="B3696" t="s">
        <v>862</v>
      </c>
      <c r="C3696">
        <v>12</v>
      </c>
      <c r="D3696" t="s">
        <v>15</v>
      </c>
      <c r="E3696" t="s">
        <v>94</v>
      </c>
      <c r="F3696" t="s">
        <v>112</v>
      </c>
      <c r="G3696" t="s">
        <v>112</v>
      </c>
      <c r="H3696" t="s">
        <v>112</v>
      </c>
      <c r="J3696">
        <v>0</v>
      </c>
      <c r="K3696">
        <v>2</v>
      </c>
      <c r="L3696">
        <v>65.09375</v>
      </c>
      <c r="M3696">
        <v>37.895352600000002</v>
      </c>
      <c r="N3696">
        <v>2.2882677779999998</v>
      </c>
      <c r="O3696">
        <v>2.2111774</v>
      </c>
      <c r="P3696">
        <v>65.09375</v>
      </c>
      <c r="Q3696">
        <v>37.895352600000002</v>
      </c>
      <c r="R3696">
        <v>2.2882677779999998</v>
      </c>
      <c r="S3696">
        <v>2.2111774</v>
      </c>
      <c r="T3696" t="s">
        <v>1019</v>
      </c>
      <c r="U3696">
        <v>0</v>
      </c>
    </row>
    <row r="3697" spans="1:21" x14ac:dyDescent="0.25">
      <c r="A3697" t="s">
        <v>52</v>
      </c>
      <c r="B3697" t="s">
        <v>863</v>
      </c>
      <c r="C3697">
        <v>12</v>
      </c>
      <c r="D3697" t="s">
        <v>17</v>
      </c>
      <c r="E3697" t="s">
        <v>95</v>
      </c>
      <c r="F3697" t="s">
        <v>102</v>
      </c>
      <c r="G3697" t="s">
        <v>121</v>
      </c>
      <c r="H3697" t="s">
        <v>238</v>
      </c>
      <c r="J3697">
        <v>0</v>
      </c>
      <c r="K3697">
        <v>1</v>
      </c>
      <c r="L3697">
        <v>84.740740740000007</v>
      </c>
      <c r="M3697">
        <v>29.167014049999999</v>
      </c>
      <c r="N3697">
        <v>1.1169849999999999</v>
      </c>
      <c r="O3697">
        <v>1.1571499000000001</v>
      </c>
      <c r="P3697">
        <v>87.5</v>
      </c>
      <c r="Q3697">
        <v>29.478311600000001</v>
      </c>
      <c r="R3697">
        <v>3.0797751000000002E-2</v>
      </c>
      <c r="S3697">
        <v>0.12931835</v>
      </c>
      <c r="T3697" t="s">
        <v>1019</v>
      </c>
      <c r="U3697">
        <v>1.086187249</v>
      </c>
    </row>
    <row r="3698" spans="1:21" x14ac:dyDescent="0.25">
      <c r="A3698" t="s">
        <v>52</v>
      </c>
      <c r="B3698" t="s">
        <v>863</v>
      </c>
      <c r="C3698">
        <v>12</v>
      </c>
      <c r="D3698" t="s">
        <v>17</v>
      </c>
      <c r="E3698" t="s">
        <v>95</v>
      </c>
      <c r="F3698" t="s">
        <v>102</v>
      </c>
      <c r="G3698" t="s">
        <v>121</v>
      </c>
      <c r="H3698" t="s">
        <v>113</v>
      </c>
      <c r="J3698">
        <v>0</v>
      </c>
      <c r="K3698">
        <v>1</v>
      </c>
      <c r="L3698">
        <v>84.740740740000007</v>
      </c>
      <c r="M3698">
        <v>29.167014049999999</v>
      </c>
      <c r="N3698">
        <v>1.1169849999999999</v>
      </c>
      <c r="O3698">
        <v>1.1571499000000001</v>
      </c>
      <c r="P3698">
        <v>83.757575759999995</v>
      </c>
      <c r="Q3698">
        <v>22.60997987</v>
      </c>
      <c r="R3698">
        <v>0.72884000000000004</v>
      </c>
      <c r="S3698">
        <v>0.21301339999999999</v>
      </c>
      <c r="T3698" t="s">
        <v>1019</v>
      </c>
      <c r="U3698">
        <v>0.38814500000000002</v>
      </c>
    </row>
    <row r="3699" spans="1:21" x14ac:dyDescent="0.25">
      <c r="A3699" t="s">
        <v>52</v>
      </c>
      <c r="B3699" t="s">
        <v>864</v>
      </c>
      <c r="C3699">
        <v>12</v>
      </c>
      <c r="D3699" t="s">
        <v>17</v>
      </c>
      <c r="E3699" t="s">
        <v>95</v>
      </c>
      <c r="F3699" t="s">
        <v>103</v>
      </c>
      <c r="G3699" t="s">
        <v>121</v>
      </c>
      <c r="H3699" t="s">
        <v>234</v>
      </c>
      <c r="J3699">
        <v>0</v>
      </c>
      <c r="K3699">
        <v>5</v>
      </c>
      <c r="L3699">
        <v>98.291666669999998</v>
      </c>
      <c r="M3699">
        <v>30.315130790000001</v>
      </c>
      <c r="N3699">
        <v>5.0803484000000003E-2</v>
      </c>
      <c r="O3699">
        <v>0.42866070000000001</v>
      </c>
      <c r="P3699">
        <v>89.8125</v>
      </c>
      <c r="Q3699">
        <v>34.754706650000003</v>
      </c>
      <c r="R3699">
        <v>2.3065078999999999E-2</v>
      </c>
      <c r="S3699">
        <v>2.4791666700000001</v>
      </c>
      <c r="T3699" t="s">
        <v>1019</v>
      </c>
      <c r="U3699">
        <v>2.7738405000000001E-2</v>
      </c>
    </row>
    <row r="3700" spans="1:21" x14ac:dyDescent="0.25">
      <c r="A3700" t="s">
        <v>52</v>
      </c>
      <c r="B3700" t="s">
        <v>864</v>
      </c>
      <c r="C3700">
        <v>12</v>
      </c>
      <c r="D3700" t="s">
        <v>17</v>
      </c>
      <c r="E3700" t="s">
        <v>95</v>
      </c>
      <c r="F3700" t="s">
        <v>103</v>
      </c>
      <c r="G3700" t="s">
        <v>121</v>
      </c>
      <c r="H3700" t="s">
        <v>234</v>
      </c>
      <c r="J3700">
        <v>0</v>
      </c>
      <c r="K3700">
        <v>5</v>
      </c>
      <c r="L3700">
        <v>98.291666669999998</v>
      </c>
      <c r="M3700">
        <v>30.315130790000001</v>
      </c>
      <c r="N3700">
        <v>5.0803484000000003E-2</v>
      </c>
      <c r="O3700">
        <v>0.42866070000000001</v>
      </c>
      <c r="P3700">
        <v>89.8125</v>
      </c>
      <c r="Q3700">
        <v>34.754706650000003</v>
      </c>
      <c r="R3700">
        <v>2.3065078999999999E-2</v>
      </c>
      <c r="S3700">
        <v>2.4791666700000001</v>
      </c>
      <c r="T3700" t="s">
        <v>1019</v>
      </c>
      <c r="U3700">
        <v>2.7738405000000001E-2</v>
      </c>
    </row>
    <row r="3701" spans="1:21" x14ac:dyDescent="0.25">
      <c r="A3701" t="s">
        <v>52</v>
      </c>
      <c r="B3701" t="s">
        <v>864</v>
      </c>
      <c r="C3701">
        <v>12</v>
      </c>
      <c r="D3701" t="s">
        <v>17</v>
      </c>
      <c r="E3701" t="s">
        <v>95</v>
      </c>
      <c r="F3701" t="s">
        <v>103</v>
      </c>
      <c r="G3701" t="s">
        <v>121</v>
      </c>
      <c r="H3701" t="s">
        <v>234</v>
      </c>
      <c r="J3701">
        <v>0</v>
      </c>
      <c r="K3701">
        <v>5</v>
      </c>
      <c r="L3701">
        <v>98.291666669999998</v>
      </c>
      <c r="M3701">
        <v>30.315130790000001</v>
      </c>
      <c r="N3701">
        <v>5.0803484000000003E-2</v>
      </c>
      <c r="O3701">
        <v>0.42866070000000001</v>
      </c>
      <c r="P3701">
        <v>89.8125</v>
      </c>
      <c r="Q3701">
        <v>34.754706650000003</v>
      </c>
      <c r="R3701">
        <v>2.3065078999999999E-2</v>
      </c>
      <c r="S3701">
        <v>2.4791666700000001</v>
      </c>
      <c r="T3701" t="s">
        <v>1019</v>
      </c>
      <c r="U3701">
        <v>2.7738405000000001E-2</v>
      </c>
    </row>
    <row r="3702" spans="1:21" x14ac:dyDescent="0.25">
      <c r="A3702" t="s">
        <v>52</v>
      </c>
      <c r="B3702" t="s">
        <v>864</v>
      </c>
      <c r="C3702">
        <v>12</v>
      </c>
      <c r="D3702" t="s">
        <v>17</v>
      </c>
      <c r="E3702" t="s">
        <v>95</v>
      </c>
      <c r="F3702" t="s">
        <v>103</v>
      </c>
      <c r="G3702" t="s">
        <v>121</v>
      </c>
      <c r="H3702" t="s">
        <v>234</v>
      </c>
      <c r="J3702">
        <v>0</v>
      </c>
      <c r="K3702">
        <v>5</v>
      </c>
      <c r="L3702">
        <v>98.291666669999998</v>
      </c>
      <c r="M3702">
        <v>30.315130790000001</v>
      </c>
      <c r="N3702">
        <v>5.0803484000000003E-2</v>
      </c>
      <c r="O3702">
        <v>0.42866070000000001</v>
      </c>
      <c r="P3702">
        <v>89.8125</v>
      </c>
      <c r="Q3702">
        <v>34.754706650000003</v>
      </c>
      <c r="R3702">
        <v>2.3065078999999999E-2</v>
      </c>
      <c r="S3702">
        <v>2.4791666700000001</v>
      </c>
      <c r="T3702" t="s">
        <v>1019</v>
      </c>
      <c r="U3702">
        <v>2.7738405000000001E-2</v>
      </c>
    </row>
    <row r="3703" spans="1:21" x14ac:dyDescent="0.25">
      <c r="A3703" t="s">
        <v>52</v>
      </c>
      <c r="B3703" t="s">
        <v>864</v>
      </c>
      <c r="C3703">
        <v>12</v>
      </c>
      <c r="D3703" t="s">
        <v>17</v>
      </c>
      <c r="E3703" t="s">
        <v>95</v>
      </c>
      <c r="F3703" t="s">
        <v>103</v>
      </c>
      <c r="G3703" t="s">
        <v>121</v>
      </c>
      <c r="H3703" t="s">
        <v>234</v>
      </c>
      <c r="J3703">
        <v>0</v>
      </c>
      <c r="K3703">
        <v>5</v>
      </c>
      <c r="L3703">
        <v>98.291666669999998</v>
      </c>
      <c r="M3703">
        <v>30.315130790000001</v>
      </c>
      <c r="N3703">
        <v>5.0803484000000003E-2</v>
      </c>
      <c r="O3703">
        <v>0.42866070000000001</v>
      </c>
      <c r="P3703">
        <v>89.8125</v>
      </c>
      <c r="Q3703">
        <v>34.754706650000003</v>
      </c>
      <c r="R3703">
        <v>2.3065078999999999E-2</v>
      </c>
      <c r="S3703">
        <v>2.4791666700000001</v>
      </c>
      <c r="T3703" t="s">
        <v>1019</v>
      </c>
      <c r="U3703">
        <v>2.7738405000000001E-2</v>
      </c>
    </row>
    <row r="3704" spans="1:21" x14ac:dyDescent="0.25">
      <c r="A3704" t="s">
        <v>52</v>
      </c>
      <c r="B3704" t="s">
        <v>865</v>
      </c>
      <c r="C3704">
        <v>12</v>
      </c>
      <c r="D3704" t="s">
        <v>17</v>
      </c>
      <c r="E3704" t="s">
        <v>95</v>
      </c>
      <c r="F3704" t="s">
        <v>111</v>
      </c>
      <c r="G3704" t="s">
        <v>103</v>
      </c>
      <c r="H3704" t="s">
        <v>103</v>
      </c>
      <c r="J3704">
        <v>0</v>
      </c>
      <c r="K3704">
        <v>1</v>
      </c>
      <c r="L3704">
        <v>94.97142857</v>
      </c>
      <c r="M3704">
        <v>24.31591813</v>
      </c>
      <c r="N3704">
        <v>0.122951111</v>
      </c>
      <c r="O3704">
        <v>0.39050790000000002</v>
      </c>
      <c r="P3704">
        <v>98.291666669999998</v>
      </c>
      <c r="Q3704">
        <v>30.315130790000001</v>
      </c>
      <c r="R3704">
        <v>5.0803484000000003E-2</v>
      </c>
      <c r="S3704">
        <v>0.42866070000000001</v>
      </c>
      <c r="T3704" t="s">
        <v>1019</v>
      </c>
      <c r="U3704">
        <v>7.2147627000000006E-2</v>
      </c>
    </row>
    <row r="3705" spans="1:21" x14ac:dyDescent="0.25">
      <c r="A3705" t="s">
        <v>52</v>
      </c>
      <c r="B3705" t="s">
        <v>866</v>
      </c>
      <c r="C3705">
        <v>12</v>
      </c>
      <c r="D3705" t="s">
        <v>17</v>
      </c>
      <c r="E3705" t="s">
        <v>95</v>
      </c>
      <c r="F3705" t="s">
        <v>112</v>
      </c>
      <c r="G3705" t="s">
        <v>121</v>
      </c>
      <c r="H3705" t="s">
        <v>235</v>
      </c>
      <c r="J3705">
        <v>0</v>
      </c>
      <c r="K3705">
        <v>1</v>
      </c>
      <c r="L3705">
        <v>65.09375</v>
      </c>
      <c r="M3705">
        <v>37.895352600000002</v>
      </c>
      <c r="N3705">
        <v>2.2882677779999998</v>
      </c>
      <c r="O3705">
        <v>2.2111774</v>
      </c>
      <c r="P3705">
        <v>132.27272730000001</v>
      </c>
      <c r="Q3705">
        <v>20.180448590000001</v>
      </c>
      <c r="R3705">
        <v>3.7813451999999997E-2</v>
      </c>
      <c r="S3705">
        <v>0.41404401000000002</v>
      </c>
      <c r="T3705" t="s">
        <v>1019</v>
      </c>
      <c r="U3705">
        <v>2.2504543259999998</v>
      </c>
    </row>
    <row r="3706" spans="1:21" x14ac:dyDescent="0.25">
      <c r="A3706" t="s">
        <v>53</v>
      </c>
      <c r="B3706" t="s">
        <v>867</v>
      </c>
      <c r="C3706">
        <v>12</v>
      </c>
      <c r="D3706" t="s">
        <v>19</v>
      </c>
      <c r="E3706" t="s">
        <v>94</v>
      </c>
      <c r="F3706" t="s">
        <v>102</v>
      </c>
      <c r="G3706" t="s">
        <v>121</v>
      </c>
      <c r="H3706" t="s">
        <v>808</v>
      </c>
      <c r="J3706">
        <v>0</v>
      </c>
      <c r="K3706">
        <v>1</v>
      </c>
      <c r="L3706">
        <v>84.740740740000007</v>
      </c>
      <c r="M3706">
        <v>29.167014049999999</v>
      </c>
      <c r="N3706">
        <v>1.1169849999999999</v>
      </c>
      <c r="O3706">
        <v>1.1571499000000001</v>
      </c>
      <c r="P3706">
        <v>102.79166669999999</v>
      </c>
      <c r="Q3706">
        <v>27.057373470000002</v>
      </c>
      <c r="R3706">
        <v>6.3567849939999999</v>
      </c>
      <c r="S3706" t="s">
        <v>114</v>
      </c>
      <c r="T3706" t="s">
        <v>1019</v>
      </c>
      <c r="U3706">
        <v>5.2397999940000002</v>
      </c>
    </row>
    <row r="3707" spans="1:21" x14ac:dyDescent="0.25">
      <c r="A3707" t="s">
        <v>53</v>
      </c>
      <c r="B3707" t="s">
        <v>867</v>
      </c>
      <c r="C3707">
        <v>12</v>
      </c>
      <c r="D3707" t="s">
        <v>19</v>
      </c>
      <c r="E3707" t="s">
        <v>94</v>
      </c>
      <c r="F3707" t="s">
        <v>102</v>
      </c>
      <c r="G3707" t="s">
        <v>121</v>
      </c>
      <c r="H3707" t="s">
        <v>241</v>
      </c>
      <c r="J3707">
        <v>0</v>
      </c>
      <c r="K3707">
        <v>1</v>
      </c>
      <c r="L3707">
        <v>84.740740740000007</v>
      </c>
      <c r="M3707">
        <v>29.167014049999999</v>
      </c>
      <c r="N3707">
        <v>1.1169849999999999</v>
      </c>
      <c r="O3707">
        <v>1.1571499000000001</v>
      </c>
      <c r="P3707">
        <v>114</v>
      </c>
      <c r="Q3707">
        <v>30.43077242</v>
      </c>
      <c r="R3707">
        <v>0.53383111100000002</v>
      </c>
      <c r="S3707">
        <v>0.28333332999999999</v>
      </c>
      <c r="T3707" t="s">
        <v>1019</v>
      </c>
      <c r="U3707">
        <v>0.58315388899999998</v>
      </c>
    </row>
    <row r="3708" spans="1:21" x14ac:dyDescent="0.25">
      <c r="A3708" t="s">
        <v>53</v>
      </c>
      <c r="B3708" t="s">
        <v>868</v>
      </c>
      <c r="C3708">
        <v>12</v>
      </c>
      <c r="D3708" t="s">
        <v>19</v>
      </c>
      <c r="E3708" t="s">
        <v>94</v>
      </c>
      <c r="F3708" t="s">
        <v>113</v>
      </c>
      <c r="G3708" t="s">
        <v>121</v>
      </c>
      <c r="H3708" t="s">
        <v>103</v>
      </c>
      <c r="J3708">
        <v>0</v>
      </c>
      <c r="K3708">
        <v>1</v>
      </c>
      <c r="L3708">
        <v>83.757575759999995</v>
      </c>
      <c r="M3708">
        <v>22.60997987</v>
      </c>
      <c r="N3708">
        <v>0.72884000000000004</v>
      </c>
      <c r="O3708">
        <v>0.21301339999999999</v>
      </c>
      <c r="P3708">
        <v>98.291666669999998</v>
      </c>
      <c r="Q3708">
        <v>30.315130790000001</v>
      </c>
      <c r="R3708">
        <v>5.0803484000000003E-2</v>
      </c>
      <c r="S3708">
        <v>0.42866070000000001</v>
      </c>
      <c r="T3708" t="s">
        <v>1019</v>
      </c>
      <c r="U3708">
        <v>0.67803651600000003</v>
      </c>
    </row>
    <row r="3709" spans="1:21" x14ac:dyDescent="0.25">
      <c r="A3709" t="s">
        <v>53</v>
      </c>
      <c r="B3709" t="s">
        <v>868</v>
      </c>
      <c r="C3709">
        <v>12</v>
      </c>
      <c r="D3709" t="s">
        <v>19</v>
      </c>
      <c r="E3709" t="s">
        <v>94</v>
      </c>
      <c r="F3709" t="s">
        <v>113</v>
      </c>
      <c r="G3709" t="s">
        <v>121</v>
      </c>
      <c r="H3709" t="s">
        <v>238</v>
      </c>
      <c r="J3709">
        <v>0</v>
      </c>
      <c r="K3709">
        <v>1</v>
      </c>
      <c r="L3709">
        <v>83.757575759999995</v>
      </c>
      <c r="M3709">
        <v>22.60997987</v>
      </c>
      <c r="N3709">
        <v>0.72884000000000004</v>
      </c>
      <c r="O3709">
        <v>0.21301339999999999</v>
      </c>
      <c r="P3709">
        <v>87.5</v>
      </c>
      <c r="Q3709">
        <v>29.478311600000001</v>
      </c>
      <c r="R3709">
        <v>3.0797751000000002E-2</v>
      </c>
      <c r="S3709">
        <v>0.12931835</v>
      </c>
      <c r="T3709" t="s">
        <v>1019</v>
      </c>
      <c r="U3709">
        <v>0.698042249</v>
      </c>
    </row>
    <row r="3710" spans="1:21" x14ac:dyDescent="0.25">
      <c r="A3710" t="s">
        <v>53</v>
      </c>
      <c r="B3710" t="s">
        <v>868</v>
      </c>
      <c r="C3710">
        <v>12</v>
      </c>
      <c r="D3710" t="s">
        <v>19</v>
      </c>
      <c r="E3710" t="s">
        <v>94</v>
      </c>
      <c r="F3710" t="s">
        <v>113</v>
      </c>
      <c r="G3710" t="s">
        <v>121</v>
      </c>
      <c r="H3710" t="s">
        <v>235</v>
      </c>
      <c r="J3710">
        <v>0</v>
      </c>
      <c r="K3710">
        <v>1</v>
      </c>
      <c r="L3710">
        <v>83.757575759999995</v>
      </c>
      <c r="M3710">
        <v>22.60997987</v>
      </c>
      <c r="N3710">
        <v>0.72884000000000004</v>
      </c>
      <c r="O3710">
        <v>0.21301339999999999</v>
      </c>
      <c r="P3710">
        <v>132.27272730000001</v>
      </c>
      <c r="Q3710">
        <v>20.180448590000001</v>
      </c>
      <c r="R3710">
        <v>3.7813451999999997E-2</v>
      </c>
      <c r="S3710">
        <v>0.41404401000000002</v>
      </c>
      <c r="T3710" t="s">
        <v>1019</v>
      </c>
      <c r="U3710">
        <v>0.69102654799999996</v>
      </c>
    </row>
    <row r="3711" spans="1:21" x14ac:dyDescent="0.25">
      <c r="A3711" t="s">
        <v>53</v>
      </c>
      <c r="B3711" t="s">
        <v>868</v>
      </c>
      <c r="C3711">
        <v>12</v>
      </c>
      <c r="D3711" t="s">
        <v>19</v>
      </c>
      <c r="E3711" t="s">
        <v>94</v>
      </c>
      <c r="F3711" t="s">
        <v>113</v>
      </c>
      <c r="G3711" t="s">
        <v>121</v>
      </c>
      <c r="H3711" t="s">
        <v>241</v>
      </c>
      <c r="J3711">
        <v>0</v>
      </c>
      <c r="K3711">
        <v>2</v>
      </c>
      <c r="L3711">
        <v>83.757575759999995</v>
      </c>
      <c r="M3711">
        <v>22.60997987</v>
      </c>
      <c r="N3711">
        <v>0.72884000000000004</v>
      </c>
      <c r="O3711">
        <v>0.21301339999999999</v>
      </c>
      <c r="P3711">
        <v>114</v>
      </c>
      <c r="Q3711">
        <v>30.43077242</v>
      </c>
      <c r="R3711">
        <v>0.53383111100000002</v>
      </c>
      <c r="S3711">
        <v>0.28333332999999999</v>
      </c>
      <c r="T3711" t="s">
        <v>1019</v>
      </c>
      <c r="U3711">
        <v>0.19500888899999999</v>
      </c>
    </row>
    <row r="3712" spans="1:21" x14ac:dyDescent="0.25">
      <c r="A3712" t="s">
        <v>53</v>
      </c>
      <c r="B3712" t="s">
        <v>868</v>
      </c>
      <c r="C3712">
        <v>12</v>
      </c>
      <c r="D3712" t="s">
        <v>19</v>
      </c>
      <c r="E3712" t="s">
        <v>94</v>
      </c>
      <c r="F3712" t="s">
        <v>113</v>
      </c>
      <c r="G3712" t="s">
        <v>121</v>
      </c>
      <c r="H3712" t="s">
        <v>241</v>
      </c>
      <c r="J3712">
        <v>0</v>
      </c>
      <c r="K3712">
        <v>2</v>
      </c>
      <c r="L3712">
        <v>83.757575759999995</v>
      </c>
      <c r="M3712">
        <v>22.60997987</v>
      </c>
      <c r="N3712">
        <v>0.72884000000000004</v>
      </c>
      <c r="O3712">
        <v>0.21301339999999999</v>
      </c>
      <c r="P3712">
        <v>114</v>
      </c>
      <c r="Q3712">
        <v>30.43077242</v>
      </c>
      <c r="R3712">
        <v>0.53383111100000002</v>
      </c>
      <c r="S3712">
        <v>0.28333332999999999</v>
      </c>
      <c r="T3712" t="s">
        <v>1019</v>
      </c>
      <c r="U3712">
        <v>0.19500888899999999</v>
      </c>
    </row>
    <row r="3713" spans="1:21" x14ac:dyDescent="0.25">
      <c r="A3713" t="s">
        <v>53</v>
      </c>
      <c r="B3713" t="s">
        <v>868</v>
      </c>
      <c r="C3713">
        <v>12</v>
      </c>
      <c r="D3713" t="s">
        <v>19</v>
      </c>
      <c r="E3713" t="s">
        <v>94</v>
      </c>
      <c r="F3713" t="s">
        <v>113</v>
      </c>
      <c r="G3713" t="s">
        <v>121</v>
      </c>
      <c r="H3713" t="s">
        <v>242</v>
      </c>
      <c r="J3713">
        <v>0</v>
      </c>
      <c r="K3713">
        <v>1</v>
      </c>
      <c r="L3713">
        <v>83.757575759999995</v>
      </c>
      <c r="M3713">
        <v>22.60997987</v>
      </c>
      <c r="N3713">
        <v>0.72884000000000004</v>
      </c>
      <c r="O3713">
        <v>0.21301339999999999</v>
      </c>
      <c r="P3713">
        <v>139.375</v>
      </c>
      <c r="Q3713">
        <v>23.713465920000001</v>
      </c>
      <c r="R3713" t="s">
        <v>114</v>
      </c>
      <c r="S3713" t="s">
        <v>114</v>
      </c>
      <c r="T3713" t="s">
        <v>1019</v>
      </c>
      <c r="U3713" t="s">
        <v>114</v>
      </c>
    </row>
    <row r="3714" spans="1:21" x14ac:dyDescent="0.25">
      <c r="A3714" t="s">
        <v>53</v>
      </c>
      <c r="B3714" t="s">
        <v>868</v>
      </c>
      <c r="C3714">
        <v>12</v>
      </c>
      <c r="D3714" t="s">
        <v>19</v>
      </c>
      <c r="E3714" t="s">
        <v>94</v>
      </c>
      <c r="F3714" t="s">
        <v>113</v>
      </c>
      <c r="G3714" t="s">
        <v>121</v>
      </c>
      <c r="H3714" t="s">
        <v>112</v>
      </c>
      <c r="J3714">
        <v>0</v>
      </c>
      <c r="K3714">
        <v>1</v>
      </c>
      <c r="L3714">
        <v>83.757575759999995</v>
      </c>
      <c r="M3714">
        <v>22.60997987</v>
      </c>
      <c r="N3714">
        <v>0.72884000000000004</v>
      </c>
      <c r="O3714">
        <v>0.21301339999999999</v>
      </c>
      <c r="P3714">
        <v>65.09375</v>
      </c>
      <c r="Q3714">
        <v>37.895352600000002</v>
      </c>
      <c r="R3714">
        <v>2.2882677779999998</v>
      </c>
      <c r="S3714">
        <v>2.2111774</v>
      </c>
      <c r="T3714" t="s">
        <v>1019</v>
      </c>
      <c r="U3714">
        <v>1.5594277780000001</v>
      </c>
    </row>
    <row r="3715" spans="1:21" x14ac:dyDescent="0.25">
      <c r="A3715" t="s">
        <v>53</v>
      </c>
      <c r="B3715" t="s">
        <v>869</v>
      </c>
      <c r="C3715">
        <v>12</v>
      </c>
      <c r="D3715" t="s">
        <v>19</v>
      </c>
      <c r="E3715" t="s">
        <v>94</v>
      </c>
      <c r="F3715" t="s">
        <v>103</v>
      </c>
      <c r="G3715" t="s">
        <v>121</v>
      </c>
      <c r="H3715" t="s">
        <v>103</v>
      </c>
      <c r="J3715">
        <v>0</v>
      </c>
      <c r="K3715">
        <v>1</v>
      </c>
      <c r="L3715">
        <v>98.291666669999998</v>
      </c>
      <c r="M3715">
        <v>30.315130790000001</v>
      </c>
      <c r="N3715">
        <v>5.0803484000000003E-2</v>
      </c>
      <c r="O3715">
        <v>0.42866070000000001</v>
      </c>
      <c r="P3715">
        <v>98.291666669999998</v>
      </c>
      <c r="Q3715">
        <v>30.315130790000001</v>
      </c>
      <c r="R3715">
        <v>5.0803484000000003E-2</v>
      </c>
      <c r="S3715">
        <v>0.42866070000000001</v>
      </c>
      <c r="T3715" t="s">
        <v>1019</v>
      </c>
      <c r="U3715">
        <v>0</v>
      </c>
    </row>
    <row r="3716" spans="1:21" x14ac:dyDescent="0.25">
      <c r="A3716" t="s">
        <v>53</v>
      </c>
      <c r="B3716" t="s">
        <v>869</v>
      </c>
      <c r="C3716">
        <v>12</v>
      </c>
      <c r="D3716" t="s">
        <v>19</v>
      </c>
      <c r="E3716" t="s">
        <v>94</v>
      </c>
      <c r="F3716" t="s">
        <v>103</v>
      </c>
      <c r="G3716" t="s">
        <v>121</v>
      </c>
      <c r="H3716" t="s">
        <v>241</v>
      </c>
      <c r="J3716">
        <v>0</v>
      </c>
      <c r="K3716">
        <v>1</v>
      </c>
      <c r="L3716">
        <v>98.291666669999998</v>
      </c>
      <c r="M3716">
        <v>30.315130790000001</v>
      </c>
      <c r="N3716">
        <v>5.0803484000000003E-2</v>
      </c>
      <c r="O3716">
        <v>0.42866070000000001</v>
      </c>
      <c r="P3716">
        <v>114</v>
      </c>
      <c r="Q3716">
        <v>30.43077242</v>
      </c>
      <c r="R3716">
        <v>0.53383111100000002</v>
      </c>
      <c r="S3716">
        <v>0.28333332999999999</v>
      </c>
      <c r="T3716" t="s">
        <v>1019</v>
      </c>
      <c r="U3716">
        <v>0.48302762700000001</v>
      </c>
    </row>
    <row r="3717" spans="1:21" x14ac:dyDescent="0.25">
      <c r="A3717" t="s">
        <v>53</v>
      </c>
      <c r="B3717" t="s">
        <v>870</v>
      </c>
      <c r="C3717">
        <v>12</v>
      </c>
      <c r="D3717" t="s">
        <v>19</v>
      </c>
      <c r="E3717" t="s">
        <v>94</v>
      </c>
      <c r="F3717" t="s">
        <v>112</v>
      </c>
      <c r="G3717" t="s">
        <v>121</v>
      </c>
      <c r="H3717" t="s">
        <v>114</v>
      </c>
      <c r="J3717">
        <v>0</v>
      </c>
      <c r="K3717">
        <v>0</v>
      </c>
      <c r="L3717">
        <v>65.09375</v>
      </c>
      <c r="M3717">
        <v>37.895352600000002</v>
      </c>
      <c r="N3717">
        <v>2.2882677779999998</v>
      </c>
      <c r="O3717">
        <v>2.2111774</v>
      </c>
      <c r="P3717" t="s">
        <v>114</v>
      </c>
      <c r="Q3717" t="s">
        <v>114</v>
      </c>
      <c r="R3717" t="s">
        <v>114</v>
      </c>
      <c r="S3717" t="s">
        <v>114</v>
      </c>
      <c r="T3717" t="s">
        <v>1019</v>
      </c>
      <c r="U3717" t="s">
        <v>114</v>
      </c>
    </row>
    <row r="3718" spans="1:21" x14ac:dyDescent="0.25">
      <c r="A3718" t="s">
        <v>54</v>
      </c>
      <c r="B3718" t="s">
        <v>871</v>
      </c>
      <c r="C3718">
        <v>12</v>
      </c>
      <c r="D3718" t="s">
        <v>21</v>
      </c>
      <c r="E3718" t="s">
        <v>95</v>
      </c>
      <c r="F3718" t="s">
        <v>113</v>
      </c>
      <c r="G3718" t="s">
        <v>121</v>
      </c>
      <c r="H3718" t="s">
        <v>241</v>
      </c>
      <c r="J3718">
        <v>0</v>
      </c>
      <c r="K3718">
        <v>2</v>
      </c>
      <c r="L3718">
        <v>83.757575759999995</v>
      </c>
      <c r="M3718">
        <v>22.60997987</v>
      </c>
      <c r="N3718">
        <v>0.72884000000000004</v>
      </c>
      <c r="O3718">
        <v>0.21301339999999999</v>
      </c>
      <c r="P3718">
        <v>114</v>
      </c>
      <c r="Q3718">
        <v>30.43077242</v>
      </c>
      <c r="R3718">
        <v>0.53383111100000002</v>
      </c>
      <c r="S3718">
        <v>0.28333332999999999</v>
      </c>
      <c r="T3718" t="s">
        <v>1019</v>
      </c>
      <c r="U3718">
        <v>0.19500888899999999</v>
      </c>
    </row>
    <row r="3719" spans="1:21" x14ac:dyDescent="0.25">
      <c r="A3719" t="s">
        <v>54</v>
      </c>
      <c r="B3719" t="s">
        <v>871</v>
      </c>
      <c r="C3719">
        <v>12</v>
      </c>
      <c r="D3719" t="s">
        <v>21</v>
      </c>
      <c r="E3719" t="s">
        <v>95</v>
      </c>
      <c r="F3719" t="s">
        <v>113</v>
      </c>
      <c r="G3719" t="s">
        <v>121</v>
      </c>
      <c r="H3719" t="s">
        <v>241</v>
      </c>
      <c r="J3719">
        <v>0</v>
      </c>
      <c r="K3719">
        <v>2</v>
      </c>
      <c r="L3719">
        <v>83.757575759999995</v>
      </c>
      <c r="M3719">
        <v>22.60997987</v>
      </c>
      <c r="N3719">
        <v>0.72884000000000004</v>
      </c>
      <c r="O3719">
        <v>0.21301339999999999</v>
      </c>
      <c r="P3719">
        <v>114</v>
      </c>
      <c r="Q3719">
        <v>30.43077242</v>
      </c>
      <c r="R3719">
        <v>0.53383111100000002</v>
      </c>
      <c r="S3719">
        <v>0.28333332999999999</v>
      </c>
      <c r="T3719" t="s">
        <v>1019</v>
      </c>
      <c r="U3719">
        <v>0.19500888899999999</v>
      </c>
    </row>
    <row r="3720" spans="1:21" x14ac:dyDescent="0.25">
      <c r="A3720" t="s">
        <v>54</v>
      </c>
      <c r="B3720" t="s">
        <v>872</v>
      </c>
      <c r="C3720">
        <v>12</v>
      </c>
      <c r="D3720" t="s">
        <v>21</v>
      </c>
      <c r="E3720" t="s">
        <v>95</v>
      </c>
      <c r="F3720" t="s">
        <v>110</v>
      </c>
      <c r="G3720" t="s">
        <v>121</v>
      </c>
      <c r="H3720" t="s">
        <v>241</v>
      </c>
      <c r="I3720" t="s">
        <v>162</v>
      </c>
      <c r="J3720">
        <v>1</v>
      </c>
      <c r="K3720">
        <v>2</v>
      </c>
      <c r="L3720">
        <v>73.260869569999997</v>
      </c>
      <c r="M3720">
        <v>34.453830549999999</v>
      </c>
      <c r="N3720">
        <v>1.058333333</v>
      </c>
      <c r="O3720">
        <v>0.90897070000000002</v>
      </c>
      <c r="P3720">
        <v>114</v>
      </c>
      <c r="Q3720">
        <v>30.43077242</v>
      </c>
      <c r="R3720">
        <v>0.53383111100000002</v>
      </c>
      <c r="S3720">
        <v>0.28333332999999999</v>
      </c>
      <c r="T3720" t="s">
        <v>1019</v>
      </c>
      <c r="U3720">
        <v>0.52450222199999996</v>
      </c>
    </row>
    <row r="3721" spans="1:21" x14ac:dyDescent="0.25">
      <c r="A3721" t="s">
        <v>54</v>
      </c>
      <c r="B3721" t="s">
        <v>872</v>
      </c>
      <c r="C3721">
        <v>12</v>
      </c>
      <c r="D3721" t="s">
        <v>21</v>
      </c>
      <c r="E3721" t="s">
        <v>95</v>
      </c>
      <c r="F3721" t="s">
        <v>110</v>
      </c>
      <c r="G3721" t="s">
        <v>121</v>
      </c>
      <c r="H3721" t="s">
        <v>241</v>
      </c>
      <c r="I3721" t="s">
        <v>162</v>
      </c>
      <c r="J3721">
        <v>1</v>
      </c>
      <c r="K3721">
        <v>2</v>
      </c>
      <c r="L3721">
        <v>73.260869569999997</v>
      </c>
      <c r="M3721">
        <v>34.453830549999999</v>
      </c>
      <c r="N3721">
        <v>1.058333333</v>
      </c>
      <c r="O3721">
        <v>0.90897070000000002</v>
      </c>
      <c r="P3721">
        <v>114</v>
      </c>
      <c r="Q3721">
        <v>30.43077242</v>
      </c>
      <c r="R3721">
        <v>0.53383111100000002</v>
      </c>
      <c r="S3721">
        <v>0.28333332999999999</v>
      </c>
      <c r="T3721" t="s">
        <v>1019</v>
      </c>
      <c r="U3721">
        <v>0.52450222199999996</v>
      </c>
    </row>
    <row r="3722" spans="1:21" x14ac:dyDescent="0.25">
      <c r="A3722" t="s">
        <v>54</v>
      </c>
      <c r="B3722" t="s">
        <v>873</v>
      </c>
      <c r="C3722">
        <v>12</v>
      </c>
      <c r="D3722" t="s">
        <v>21</v>
      </c>
      <c r="E3722" t="s">
        <v>95</v>
      </c>
      <c r="F3722" t="s">
        <v>111</v>
      </c>
      <c r="G3722" t="s">
        <v>121</v>
      </c>
      <c r="H3722" t="s">
        <v>162</v>
      </c>
      <c r="J3722">
        <v>0</v>
      </c>
      <c r="K3722">
        <v>1</v>
      </c>
      <c r="L3722">
        <v>94.97142857</v>
      </c>
      <c r="M3722">
        <v>24.31591813</v>
      </c>
      <c r="N3722">
        <v>0.122951111</v>
      </c>
      <c r="O3722">
        <v>0.39050790000000002</v>
      </c>
      <c r="P3722">
        <v>82.53846154</v>
      </c>
      <c r="Q3722">
        <v>35.660530039999998</v>
      </c>
      <c r="R3722">
        <v>3.3754499999999998</v>
      </c>
      <c r="S3722" t="s">
        <v>114</v>
      </c>
      <c r="T3722" t="s">
        <v>1019</v>
      </c>
      <c r="U3722">
        <v>3.2524988889999999</v>
      </c>
    </row>
    <row r="3723" spans="1:21" x14ac:dyDescent="0.25">
      <c r="A3723" t="s">
        <v>55</v>
      </c>
      <c r="B3723" t="s">
        <v>874</v>
      </c>
      <c r="C3723">
        <v>12</v>
      </c>
      <c r="D3723" t="s">
        <v>23</v>
      </c>
      <c r="E3723" t="s">
        <v>94</v>
      </c>
      <c r="F3723" t="s">
        <v>113</v>
      </c>
      <c r="G3723" t="s">
        <v>110</v>
      </c>
      <c r="H3723" t="s">
        <v>238</v>
      </c>
      <c r="J3723">
        <v>0</v>
      </c>
      <c r="K3723">
        <v>1</v>
      </c>
      <c r="L3723">
        <v>83.757575759999995</v>
      </c>
      <c r="M3723">
        <v>22.60997987</v>
      </c>
      <c r="N3723">
        <v>0.72884000000000004</v>
      </c>
      <c r="O3723">
        <v>0.21301339999999999</v>
      </c>
      <c r="P3723">
        <v>87.5</v>
      </c>
      <c r="Q3723">
        <v>29.478311600000001</v>
      </c>
      <c r="R3723">
        <v>3.0797751000000002E-2</v>
      </c>
      <c r="S3723">
        <v>0.12931835</v>
      </c>
      <c r="T3723" t="s">
        <v>1019</v>
      </c>
      <c r="U3723">
        <v>0.698042249</v>
      </c>
    </row>
    <row r="3724" spans="1:21" x14ac:dyDescent="0.25">
      <c r="A3724" t="s">
        <v>55</v>
      </c>
      <c r="B3724" t="s">
        <v>874</v>
      </c>
      <c r="C3724">
        <v>12</v>
      </c>
      <c r="D3724" t="s">
        <v>23</v>
      </c>
      <c r="E3724" t="s">
        <v>94</v>
      </c>
      <c r="F3724" t="s">
        <v>113</v>
      </c>
      <c r="G3724" t="s">
        <v>110</v>
      </c>
      <c r="H3724" t="s">
        <v>103</v>
      </c>
      <c r="J3724">
        <v>0</v>
      </c>
      <c r="K3724">
        <v>1</v>
      </c>
      <c r="L3724">
        <v>83.757575759999995</v>
      </c>
      <c r="M3724">
        <v>22.60997987</v>
      </c>
      <c r="N3724">
        <v>0.72884000000000004</v>
      </c>
      <c r="O3724">
        <v>0.21301339999999999</v>
      </c>
      <c r="P3724">
        <v>98.291666669999998</v>
      </c>
      <c r="Q3724">
        <v>30.315130790000001</v>
      </c>
      <c r="R3724">
        <v>5.0803484000000003E-2</v>
      </c>
      <c r="S3724">
        <v>0.42866070000000001</v>
      </c>
      <c r="T3724" t="s">
        <v>1019</v>
      </c>
      <c r="U3724">
        <v>0.67803651600000003</v>
      </c>
    </row>
    <row r="3725" spans="1:21" x14ac:dyDescent="0.25">
      <c r="A3725" t="s">
        <v>55</v>
      </c>
      <c r="B3725" t="s">
        <v>874</v>
      </c>
      <c r="C3725">
        <v>12</v>
      </c>
      <c r="D3725" t="s">
        <v>23</v>
      </c>
      <c r="E3725" t="s">
        <v>94</v>
      </c>
      <c r="F3725" t="s">
        <v>113</v>
      </c>
      <c r="G3725" t="s">
        <v>110</v>
      </c>
      <c r="H3725" t="s">
        <v>808</v>
      </c>
      <c r="J3725">
        <v>0</v>
      </c>
      <c r="K3725">
        <v>1</v>
      </c>
      <c r="L3725">
        <v>83.757575759999995</v>
      </c>
      <c r="M3725">
        <v>22.60997987</v>
      </c>
      <c r="N3725">
        <v>0.72884000000000004</v>
      </c>
      <c r="O3725">
        <v>0.21301339999999999</v>
      </c>
      <c r="P3725">
        <v>102.79166669999999</v>
      </c>
      <c r="Q3725">
        <v>27.057373470000002</v>
      </c>
      <c r="R3725">
        <v>6.3567849939999999</v>
      </c>
      <c r="S3725" t="s">
        <v>114</v>
      </c>
      <c r="T3725" t="s">
        <v>1019</v>
      </c>
      <c r="U3725">
        <v>5.6279449939999999</v>
      </c>
    </row>
    <row r="3726" spans="1:21" x14ac:dyDescent="0.25">
      <c r="A3726" t="s">
        <v>55</v>
      </c>
      <c r="B3726" t="s">
        <v>874</v>
      </c>
      <c r="C3726">
        <v>12</v>
      </c>
      <c r="D3726" t="s">
        <v>23</v>
      </c>
      <c r="E3726" t="s">
        <v>94</v>
      </c>
      <c r="F3726" t="s">
        <v>113</v>
      </c>
      <c r="G3726" t="s">
        <v>110</v>
      </c>
      <c r="H3726" t="s">
        <v>113</v>
      </c>
      <c r="J3726">
        <v>0</v>
      </c>
      <c r="K3726">
        <v>1</v>
      </c>
      <c r="L3726">
        <v>83.757575759999995</v>
      </c>
      <c r="M3726">
        <v>22.60997987</v>
      </c>
      <c r="N3726">
        <v>0.72884000000000004</v>
      </c>
      <c r="O3726">
        <v>0.21301339999999999</v>
      </c>
      <c r="P3726">
        <v>83.757575759999995</v>
      </c>
      <c r="Q3726">
        <v>22.60997987</v>
      </c>
      <c r="R3726">
        <v>0.72884000000000004</v>
      </c>
      <c r="S3726">
        <v>0.21301339999999999</v>
      </c>
      <c r="T3726" t="s">
        <v>1019</v>
      </c>
      <c r="U3726">
        <v>0</v>
      </c>
    </row>
    <row r="3727" spans="1:21" x14ac:dyDescent="0.25">
      <c r="A3727" t="s">
        <v>55</v>
      </c>
      <c r="B3727" t="s">
        <v>875</v>
      </c>
      <c r="C3727">
        <v>12</v>
      </c>
      <c r="D3727" t="s">
        <v>23</v>
      </c>
      <c r="E3727" t="s">
        <v>94</v>
      </c>
      <c r="F3727" t="s">
        <v>110</v>
      </c>
      <c r="G3727" t="s">
        <v>103</v>
      </c>
      <c r="H3727" t="s">
        <v>114</v>
      </c>
      <c r="J3727">
        <v>0</v>
      </c>
      <c r="K3727" t="s">
        <v>114</v>
      </c>
      <c r="L3727">
        <v>73.260869569999997</v>
      </c>
      <c r="M3727">
        <v>34.453830549999999</v>
      </c>
      <c r="N3727">
        <v>1.058333333</v>
      </c>
      <c r="O3727">
        <v>0.90897070000000002</v>
      </c>
      <c r="P3727" t="s">
        <v>114</v>
      </c>
      <c r="Q3727" t="s">
        <v>114</v>
      </c>
      <c r="R3727" t="s">
        <v>114</v>
      </c>
      <c r="S3727" t="s">
        <v>114</v>
      </c>
      <c r="T3727" t="s">
        <v>1019</v>
      </c>
      <c r="U3727" t="s">
        <v>114</v>
      </c>
    </row>
    <row r="3728" spans="1:21" x14ac:dyDescent="0.25">
      <c r="A3728" t="s">
        <v>55</v>
      </c>
      <c r="B3728" t="s">
        <v>876</v>
      </c>
      <c r="C3728">
        <v>12</v>
      </c>
      <c r="D3728" t="s">
        <v>23</v>
      </c>
      <c r="E3728" t="s">
        <v>94</v>
      </c>
      <c r="F3728" t="s">
        <v>103</v>
      </c>
      <c r="G3728" t="s">
        <v>103</v>
      </c>
      <c r="H3728" t="s">
        <v>114</v>
      </c>
      <c r="J3728">
        <v>0</v>
      </c>
      <c r="K3728" t="s">
        <v>114</v>
      </c>
      <c r="L3728">
        <v>98.291666669999998</v>
      </c>
      <c r="M3728">
        <v>30.315130790000001</v>
      </c>
      <c r="N3728">
        <v>5.0803484000000003E-2</v>
      </c>
      <c r="O3728">
        <v>0.42866070000000001</v>
      </c>
      <c r="P3728" t="s">
        <v>114</v>
      </c>
      <c r="Q3728" t="s">
        <v>114</v>
      </c>
      <c r="R3728" t="s">
        <v>114</v>
      </c>
      <c r="S3728" t="s">
        <v>114</v>
      </c>
      <c r="T3728" t="s">
        <v>1019</v>
      </c>
      <c r="U3728" t="s">
        <v>114</v>
      </c>
    </row>
    <row r="3729" spans="1:21" x14ac:dyDescent="0.25">
      <c r="A3729" t="s">
        <v>55</v>
      </c>
      <c r="B3729" t="s">
        <v>877</v>
      </c>
      <c r="C3729">
        <v>12</v>
      </c>
      <c r="D3729" t="s">
        <v>23</v>
      </c>
      <c r="E3729" t="s">
        <v>94</v>
      </c>
      <c r="F3729" t="s">
        <v>111</v>
      </c>
      <c r="G3729" t="s">
        <v>113</v>
      </c>
      <c r="H3729" t="s">
        <v>113</v>
      </c>
      <c r="J3729">
        <v>0</v>
      </c>
      <c r="K3729">
        <v>2</v>
      </c>
      <c r="L3729">
        <v>94.97142857</v>
      </c>
      <c r="M3729">
        <v>24.31591813</v>
      </c>
      <c r="N3729">
        <v>0.122951111</v>
      </c>
      <c r="O3729">
        <v>0.39050790000000002</v>
      </c>
      <c r="P3729">
        <v>83.757575759999995</v>
      </c>
      <c r="Q3729">
        <v>22.60997987</v>
      </c>
      <c r="R3729">
        <v>0.72884000000000004</v>
      </c>
      <c r="S3729">
        <v>0.21301339999999999</v>
      </c>
      <c r="T3729" t="s">
        <v>1019</v>
      </c>
      <c r="U3729">
        <v>0.60588888900000004</v>
      </c>
    </row>
    <row r="3730" spans="1:21" x14ac:dyDescent="0.25">
      <c r="A3730" t="s">
        <v>55</v>
      </c>
      <c r="B3730" t="s">
        <v>877</v>
      </c>
      <c r="C3730">
        <v>12</v>
      </c>
      <c r="D3730" t="s">
        <v>23</v>
      </c>
      <c r="E3730" t="s">
        <v>94</v>
      </c>
      <c r="F3730" t="s">
        <v>111</v>
      </c>
      <c r="G3730" t="s">
        <v>113</v>
      </c>
      <c r="H3730" t="s">
        <v>113</v>
      </c>
      <c r="J3730">
        <v>0</v>
      </c>
      <c r="K3730">
        <v>2</v>
      </c>
      <c r="L3730">
        <v>94.97142857</v>
      </c>
      <c r="M3730">
        <v>24.31591813</v>
      </c>
      <c r="N3730">
        <v>0.122951111</v>
      </c>
      <c r="O3730">
        <v>0.39050790000000002</v>
      </c>
      <c r="P3730">
        <v>83.757575759999995</v>
      </c>
      <c r="Q3730">
        <v>22.60997987</v>
      </c>
      <c r="R3730">
        <v>0.72884000000000004</v>
      </c>
      <c r="S3730">
        <v>0.21301339999999999</v>
      </c>
      <c r="T3730" t="s">
        <v>1019</v>
      </c>
      <c r="U3730">
        <v>0.60588888900000004</v>
      </c>
    </row>
    <row r="3731" spans="1:21" x14ac:dyDescent="0.25">
      <c r="A3731" t="s">
        <v>55</v>
      </c>
      <c r="B3731" t="s">
        <v>877</v>
      </c>
      <c r="C3731">
        <v>12</v>
      </c>
      <c r="D3731" t="s">
        <v>23</v>
      </c>
      <c r="E3731" t="s">
        <v>94</v>
      </c>
      <c r="F3731" t="s">
        <v>111</v>
      </c>
      <c r="G3731" t="s">
        <v>113</v>
      </c>
      <c r="H3731" t="s">
        <v>797</v>
      </c>
      <c r="J3731">
        <v>0</v>
      </c>
      <c r="K3731">
        <v>1</v>
      </c>
      <c r="L3731">
        <v>94.97142857</v>
      </c>
      <c r="M3731">
        <v>24.31591813</v>
      </c>
      <c r="N3731">
        <v>0.122951111</v>
      </c>
      <c r="O3731">
        <v>0.39050790000000002</v>
      </c>
      <c r="P3731">
        <v>179.45454549999999</v>
      </c>
      <c r="Q3731">
        <v>26.326869609999999</v>
      </c>
      <c r="R3731">
        <v>2.3456094639999998</v>
      </c>
      <c r="S3731">
        <v>0.18833116</v>
      </c>
      <c r="T3731" t="s">
        <v>1019</v>
      </c>
      <c r="U3731">
        <v>2.2226583529999999</v>
      </c>
    </row>
    <row r="3732" spans="1:21" x14ac:dyDescent="0.25">
      <c r="A3732" t="s">
        <v>56</v>
      </c>
      <c r="B3732" t="s">
        <v>878</v>
      </c>
      <c r="C3732">
        <v>12</v>
      </c>
      <c r="D3732" t="s">
        <v>25</v>
      </c>
      <c r="E3732" t="s">
        <v>94</v>
      </c>
      <c r="F3732" t="s">
        <v>113</v>
      </c>
      <c r="G3732" t="s">
        <v>113</v>
      </c>
      <c r="H3732" t="s">
        <v>113</v>
      </c>
      <c r="J3732">
        <v>0</v>
      </c>
      <c r="K3732">
        <v>3</v>
      </c>
      <c r="L3732">
        <v>83.757575759999995</v>
      </c>
      <c r="M3732">
        <v>22.60997987</v>
      </c>
      <c r="N3732">
        <v>0.72884000000000004</v>
      </c>
      <c r="O3732">
        <v>0.21301339999999999</v>
      </c>
      <c r="P3732">
        <v>83.757575759999995</v>
      </c>
      <c r="Q3732">
        <v>22.60997987</v>
      </c>
      <c r="R3732">
        <v>0.72884000000000004</v>
      </c>
      <c r="S3732">
        <v>0.21301339999999999</v>
      </c>
      <c r="T3732" t="s">
        <v>1019</v>
      </c>
      <c r="U3732">
        <v>0</v>
      </c>
    </row>
    <row r="3733" spans="1:21" x14ac:dyDescent="0.25">
      <c r="A3733" t="s">
        <v>56</v>
      </c>
      <c r="B3733" t="s">
        <v>878</v>
      </c>
      <c r="C3733">
        <v>12</v>
      </c>
      <c r="D3733" t="s">
        <v>25</v>
      </c>
      <c r="E3733" t="s">
        <v>94</v>
      </c>
      <c r="F3733" t="s">
        <v>113</v>
      </c>
      <c r="G3733" t="s">
        <v>113</v>
      </c>
      <c r="H3733" t="s">
        <v>113</v>
      </c>
      <c r="J3733">
        <v>0</v>
      </c>
      <c r="K3733">
        <v>3</v>
      </c>
      <c r="L3733">
        <v>83.757575759999995</v>
      </c>
      <c r="M3733">
        <v>22.60997987</v>
      </c>
      <c r="N3733">
        <v>0.72884000000000004</v>
      </c>
      <c r="O3733">
        <v>0.21301339999999999</v>
      </c>
      <c r="P3733">
        <v>83.757575759999995</v>
      </c>
      <c r="Q3733">
        <v>22.60997987</v>
      </c>
      <c r="R3733">
        <v>0.72884000000000004</v>
      </c>
      <c r="S3733">
        <v>0.21301339999999999</v>
      </c>
      <c r="T3733" t="s">
        <v>1019</v>
      </c>
      <c r="U3733">
        <v>0</v>
      </c>
    </row>
    <row r="3734" spans="1:21" x14ac:dyDescent="0.25">
      <c r="A3734" t="s">
        <v>56</v>
      </c>
      <c r="B3734" t="s">
        <v>878</v>
      </c>
      <c r="C3734">
        <v>12</v>
      </c>
      <c r="D3734" t="s">
        <v>25</v>
      </c>
      <c r="E3734" t="s">
        <v>94</v>
      </c>
      <c r="F3734" t="s">
        <v>113</v>
      </c>
      <c r="G3734" t="s">
        <v>113</v>
      </c>
      <c r="H3734" t="s">
        <v>113</v>
      </c>
      <c r="J3734">
        <v>0</v>
      </c>
      <c r="K3734">
        <v>3</v>
      </c>
      <c r="L3734">
        <v>83.757575759999995</v>
      </c>
      <c r="M3734">
        <v>22.60997987</v>
      </c>
      <c r="N3734">
        <v>0.72884000000000004</v>
      </c>
      <c r="O3734">
        <v>0.21301339999999999</v>
      </c>
      <c r="P3734">
        <v>83.757575759999995</v>
      </c>
      <c r="Q3734">
        <v>22.60997987</v>
      </c>
      <c r="R3734">
        <v>0.72884000000000004</v>
      </c>
      <c r="S3734">
        <v>0.21301339999999999</v>
      </c>
      <c r="T3734" t="s">
        <v>1019</v>
      </c>
      <c r="U3734">
        <v>0</v>
      </c>
    </row>
    <row r="3735" spans="1:21" x14ac:dyDescent="0.25">
      <c r="A3735" t="s">
        <v>56</v>
      </c>
      <c r="B3735" t="s">
        <v>879</v>
      </c>
      <c r="C3735">
        <v>12</v>
      </c>
      <c r="D3735" t="s">
        <v>25</v>
      </c>
      <c r="E3735" t="s">
        <v>94</v>
      </c>
      <c r="F3735" t="s">
        <v>111</v>
      </c>
      <c r="G3735" t="s">
        <v>121</v>
      </c>
      <c r="H3735" t="s">
        <v>112</v>
      </c>
      <c r="J3735">
        <v>0</v>
      </c>
      <c r="K3735">
        <v>1</v>
      </c>
      <c r="L3735">
        <v>94.97142857</v>
      </c>
      <c r="M3735">
        <v>24.31591813</v>
      </c>
      <c r="N3735">
        <v>0.122951111</v>
      </c>
      <c r="O3735">
        <v>0.39050790000000002</v>
      </c>
      <c r="P3735">
        <v>65.09375</v>
      </c>
      <c r="Q3735">
        <v>37.895352600000002</v>
      </c>
      <c r="R3735">
        <v>2.2882677779999998</v>
      </c>
      <c r="S3735">
        <v>2.2111774</v>
      </c>
      <c r="T3735" t="s">
        <v>1019</v>
      </c>
      <c r="U3735">
        <v>2.1653166669999999</v>
      </c>
    </row>
    <row r="3736" spans="1:21" x14ac:dyDescent="0.25">
      <c r="A3736" t="s">
        <v>56</v>
      </c>
      <c r="B3736" t="s">
        <v>880</v>
      </c>
      <c r="C3736">
        <v>12</v>
      </c>
      <c r="D3736" t="s">
        <v>25</v>
      </c>
      <c r="E3736" t="s">
        <v>94</v>
      </c>
      <c r="F3736" t="s">
        <v>104</v>
      </c>
      <c r="G3736" t="s">
        <v>121</v>
      </c>
      <c r="H3736" t="s">
        <v>104</v>
      </c>
      <c r="J3736">
        <v>0</v>
      </c>
      <c r="K3736">
        <v>1</v>
      </c>
      <c r="L3736">
        <v>113.9375</v>
      </c>
      <c r="M3736">
        <v>33.375507550000002</v>
      </c>
      <c r="N3736">
        <v>2.4262999999999999</v>
      </c>
      <c r="O3736">
        <v>0.40692159999999999</v>
      </c>
      <c r="P3736">
        <v>113.9375</v>
      </c>
      <c r="Q3736">
        <v>33.375507550000002</v>
      </c>
      <c r="R3736">
        <v>2.4262999999999999</v>
      </c>
      <c r="S3736">
        <v>0.40692159999999999</v>
      </c>
      <c r="T3736" t="s">
        <v>1019</v>
      </c>
      <c r="U3736">
        <v>0</v>
      </c>
    </row>
    <row r="3737" spans="1:21" x14ac:dyDescent="0.25">
      <c r="A3737" t="s">
        <v>56</v>
      </c>
      <c r="B3737" t="s">
        <v>881</v>
      </c>
      <c r="C3737">
        <v>12</v>
      </c>
      <c r="D3737" t="s">
        <v>25</v>
      </c>
      <c r="E3737" t="s">
        <v>94</v>
      </c>
      <c r="F3737" t="s">
        <v>112</v>
      </c>
      <c r="G3737" t="s">
        <v>121</v>
      </c>
      <c r="H3737" t="s">
        <v>241</v>
      </c>
      <c r="J3737">
        <v>0</v>
      </c>
      <c r="K3737">
        <v>4</v>
      </c>
      <c r="L3737">
        <v>65.09375</v>
      </c>
      <c r="M3737">
        <v>37.895352600000002</v>
      </c>
      <c r="N3737">
        <v>2.2882677779999998</v>
      </c>
      <c r="O3737">
        <v>2.2111774</v>
      </c>
      <c r="P3737">
        <v>114</v>
      </c>
      <c r="Q3737">
        <v>30.43077242</v>
      </c>
      <c r="R3737">
        <v>0.53383111100000002</v>
      </c>
      <c r="S3737">
        <v>0.28333332999999999</v>
      </c>
      <c r="T3737" t="s">
        <v>1019</v>
      </c>
      <c r="U3737">
        <v>1.754436667</v>
      </c>
    </row>
    <row r="3738" spans="1:21" x14ac:dyDescent="0.25">
      <c r="A3738" t="s">
        <v>56</v>
      </c>
      <c r="B3738" t="s">
        <v>881</v>
      </c>
      <c r="C3738">
        <v>12</v>
      </c>
      <c r="D3738" t="s">
        <v>25</v>
      </c>
      <c r="E3738" t="s">
        <v>94</v>
      </c>
      <c r="F3738" t="s">
        <v>112</v>
      </c>
      <c r="G3738" t="s">
        <v>121</v>
      </c>
      <c r="H3738" t="s">
        <v>241</v>
      </c>
      <c r="J3738">
        <v>0</v>
      </c>
      <c r="K3738">
        <v>4</v>
      </c>
      <c r="L3738">
        <v>65.09375</v>
      </c>
      <c r="M3738">
        <v>37.895352600000002</v>
      </c>
      <c r="N3738">
        <v>2.2882677779999998</v>
      </c>
      <c r="O3738">
        <v>2.2111774</v>
      </c>
      <c r="P3738">
        <v>114</v>
      </c>
      <c r="Q3738">
        <v>30.43077242</v>
      </c>
      <c r="R3738">
        <v>0.53383111100000002</v>
      </c>
      <c r="S3738">
        <v>0.28333332999999999</v>
      </c>
      <c r="T3738" t="s">
        <v>1019</v>
      </c>
      <c r="U3738">
        <v>1.754436667</v>
      </c>
    </row>
    <row r="3739" spans="1:21" x14ac:dyDescent="0.25">
      <c r="A3739" t="s">
        <v>56</v>
      </c>
      <c r="B3739" t="s">
        <v>881</v>
      </c>
      <c r="C3739">
        <v>12</v>
      </c>
      <c r="D3739" t="s">
        <v>25</v>
      </c>
      <c r="E3739" t="s">
        <v>94</v>
      </c>
      <c r="F3739" t="s">
        <v>112</v>
      </c>
      <c r="G3739" t="s">
        <v>121</v>
      </c>
      <c r="H3739" t="s">
        <v>241</v>
      </c>
      <c r="J3739">
        <v>0</v>
      </c>
      <c r="K3739">
        <v>4</v>
      </c>
      <c r="L3739">
        <v>65.09375</v>
      </c>
      <c r="M3739">
        <v>37.895352600000002</v>
      </c>
      <c r="N3739">
        <v>2.2882677779999998</v>
      </c>
      <c r="O3739">
        <v>2.2111774</v>
      </c>
      <c r="P3739">
        <v>114</v>
      </c>
      <c r="Q3739">
        <v>30.43077242</v>
      </c>
      <c r="R3739">
        <v>0.53383111100000002</v>
      </c>
      <c r="S3739">
        <v>0.28333332999999999</v>
      </c>
      <c r="T3739" t="s">
        <v>1019</v>
      </c>
      <c r="U3739">
        <v>1.754436667</v>
      </c>
    </row>
    <row r="3740" spans="1:21" x14ac:dyDescent="0.25">
      <c r="A3740" t="s">
        <v>56</v>
      </c>
      <c r="B3740" t="s">
        <v>881</v>
      </c>
      <c r="C3740">
        <v>12</v>
      </c>
      <c r="D3740" t="s">
        <v>25</v>
      </c>
      <c r="E3740" t="s">
        <v>94</v>
      </c>
      <c r="F3740" t="s">
        <v>112</v>
      </c>
      <c r="G3740" t="s">
        <v>121</v>
      </c>
      <c r="H3740" t="s">
        <v>241</v>
      </c>
      <c r="J3740">
        <v>0</v>
      </c>
      <c r="K3740">
        <v>4</v>
      </c>
      <c r="L3740">
        <v>65.09375</v>
      </c>
      <c r="M3740">
        <v>37.895352600000002</v>
      </c>
      <c r="N3740">
        <v>2.2882677779999998</v>
      </c>
      <c r="O3740">
        <v>2.2111774</v>
      </c>
      <c r="P3740">
        <v>114</v>
      </c>
      <c r="Q3740">
        <v>30.43077242</v>
      </c>
      <c r="R3740">
        <v>0.53383111100000002</v>
      </c>
      <c r="S3740">
        <v>0.28333332999999999</v>
      </c>
      <c r="T3740" t="s">
        <v>1019</v>
      </c>
      <c r="U3740">
        <v>1.754436667</v>
      </c>
    </row>
    <row r="3741" spans="1:21" x14ac:dyDescent="0.25">
      <c r="A3741" t="s">
        <v>57</v>
      </c>
      <c r="B3741" t="s">
        <v>882</v>
      </c>
      <c r="C3741">
        <v>12</v>
      </c>
      <c r="D3741" t="s">
        <v>27</v>
      </c>
      <c r="E3741" t="s">
        <v>94</v>
      </c>
      <c r="F3741" t="s">
        <v>105</v>
      </c>
      <c r="G3741" t="s">
        <v>121</v>
      </c>
      <c r="H3741" t="s">
        <v>247</v>
      </c>
      <c r="J3741">
        <v>0</v>
      </c>
      <c r="K3741">
        <v>1</v>
      </c>
      <c r="L3741">
        <v>67.5</v>
      </c>
      <c r="M3741">
        <v>47.937235809999997</v>
      </c>
      <c r="N3741">
        <v>0.41599678000000001</v>
      </c>
      <c r="O3741">
        <v>2.0950346999999998</v>
      </c>
      <c r="P3741">
        <v>65.791044779999993</v>
      </c>
      <c r="Q3741">
        <v>22.94519201</v>
      </c>
      <c r="R3741">
        <v>8.1320334999999994E-2</v>
      </c>
      <c r="S3741">
        <v>0.17285655</v>
      </c>
      <c r="T3741" t="s">
        <v>1019</v>
      </c>
      <c r="U3741">
        <v>0.33467644499999999</v>
      </c>
    </row>
    <row r="3742" spans="1:21" x14ac:dyDescent="0.25">
      <c r="A3742" t="s">
        <v>57</v>
      </c>
      <c r="B3742" t="s">
        <v>882</v>
      </c>
      <c r="C3742">
        <v>12</v>
      </c>
      <c r="D3742" t="s">
        <v>27</v>
      </c>
      <c r="E3742" t="s">
        <v>94</v>
      </c>
      <c r="F3742" t="s">
        <v>105</v>
      </c>
      <c r="G3742" t="s">
        <v>121</v>
      </c>
      <c r="H3742" t="s">
        <v>103</v>
      </c>
      <c r="J3742">
        <v>0</v>
      </c>
      <c r="K3742">
        <v>1</v>
      </c>
      <c r="L3742">
        <v>67.5</v>
      </c>
      <c r="M3742">
        <v>47.937235809999997</v>
      </c>
      <c r="N3742">
        <v>0.41599678000000001</v>
      </c>
      <c r="O3742">
        <v>2.0950346999999998</v>
      </c>
      <c r="P3742">
        <v>98.291666669999998</v>
      </c>
      <c r="Q3742">
        <v>30.315130790000001</v>
      </c>
      <c r="R3742">
        <v>5.0803484000000003E-2</v>
      </c>
      <c r="S3742">
        <v>0.42866070000000001</v>
      </c>
      <c r="T3742" t="s">
        <v>1019</v>
      </c>
      <c r="U3742">
        <v>0.365193296</v>
      </c>
    </row>
    <row r="3743" spans="1:21" x14ac:dyDescent="0.25">
      <c r="A3743" t="s">
        <v>57</v>
      </c>
      <c r="B3743" t="s">
        <v>882</v>
      </c>
      <c r="C3743">
        <v>12</v>
      </c>
      <c r="D3743" t="s">
        <v>27</v>
      </c>
      <c r="E3743" t="s">
        <v>94</v>
      </c>
      <c r="F3743" t="s">
        <v>105</v>
      </c>
      <c r="G3743" t="s">
        <v>121</v>
      </c>
      <c r="H3743" t="s">
        <v>233</v>
      </c>
      <c r="J3743">
        <v>0</v>
      </c>
      <c r="K3743">
        <v>6</v>
      </c>
      <c r="L3743">
        <v>67.5</v>
      </c>
      <c r="M3743">
        <v>47.937235809999997</v>
      </c>
      <c r="N3743">
        <v>0.41599678000000001</v>
      </c>
      <c r="O3743">
        <v>2.0950346999999998</v>
      </c>
      <c r="P3743">
        <v>106.0540541</v>
      </c>
      <c r="Q3743">
        <v>52.690533369999997</v>
      </c>
      <c r="R3743">
        <v>7.6058968000000005E-2</v>
      </c>
      <c r="S3743">
        <v>0.44888888999999998</v>
      </c>
      <c r="T3743" t="s">
        <v>1019</v>
      </c>
      <c r="U3743">
        <v>0.33993781200000001</v>
      </c>
    </row>
    <row r="3744" spans="1:21" x14ac:dyDescent="0.25">
      <c r="A3744" t="s">
        <v>57</v>
      </c>
      <c r="B3744" t="s">
        <v>882</v>
      </c>
      <c r="C3744">
        <v>12</v>
      </c>
      <c r="D3744" t="s">
        <v>27</v>
      </c>
      <c r="E3744" t="s">
        <v>94</v>
      </c>
      <c r="F3744" t="s">
        <v>105</v>
      </c>
      <c r="G3744" t="s">
        <v>121</v>
      </c>
      <c r="H3744" t="s">
        <v>233</v>
      </c>
      <c r="J3744">
        <v>0</v>
      </c>
      <c r="K3744">
        <v>6</v>
      </c>
      <c r="L3744">
        <v>67.5</v>
      </c>
      <c r="M3744">
        <v>47.937235809999997</v>
      </c>
      <c r="N3744">
        <v>0.41599678000000001</v>
      </c>
      <c r="O3744">
        <v>2.0950346999999998</v>
      </c>
      <c r="P3744">
        <v>106.0540541</v>
      </c>
      <c r="Q3744">
        <v>52.690533369999997</v>
      </c>
      <c r="R3744">
        <v>7.6058968000000005E-2</v>
      </c>
      <c r="S3744">
        <v>0.44888888999999998</v>
      </c>
      <c r="T3744" t="s">
        <v>1019</v>
      </c>
      <c r="U3744">
        <v>0.33993781200000001</v>
      </c>
    </row>
    <row r="3745" spans="1:21" x14ac:dyDescent="0.25">
      <c r="A3745" t="s">
        <v>57</v>
      </c>
      <c r="B3745" t="s">
        <v>882</v>
      </c>
      <c r="C3745">
        <v>12</v>
      </c>
      <c r="D3745" t="s">
        <v>27</v>
      </c>
      <c r="E3745" t="s">
        <v>94</v>
      </c>
      <c r="F3745" t="s">
        <v>105</v>
      </c>
      <c r="G3745" t="s">
        <v>121</v>
      </c>
      <c r="H3745" t="s">
        <v>233</v>
      </c>
      <c r="J3745">
        <v>0</v>
      </c>
      <c r="K3745">
        <v>6</v>
      </c>
      <c r="L3745">
        <v>67.5</v>
      </c>
      <c r="M3745">
        <v>47.937235809999997</v>
      </c>
      <c r="N3745">
        <v>0.41599678000000001</v>
      </c>
      <c r="O3745">
        <v>2.0950346999999998</v>
      </c>
      <c r="P3745">
        <v>106.0540541</v>
      </c>
      <c r="Q3745">
        <v>52.690533369999997</v>
      </c>
      <c r="R3745">
        <v>7.6058968000000005E-2</v>
      </c>
      <c r="S3745">
        <v>0.44888888999999998</v>
      </c>
      <c r="T3745" t="s">
        <v>1019</v>
      </c>
      <c r="U3745">
        <v>0.33993781200000001</v>
      </c>
    </row>
    <row r="3746" spans="1:21" x14ac:dyDescent="0.25">
      <c r="A3746" t="s">
        <v>57</v>
      </c>
      <c r="B3746" t="s">
        <v>882</v>
      </c>
      <c r="C3746">
        <v>12</v>
      </c>
      <c r="D3746" t="s">
        <v>27</v>
      </c>
      <c r="E3746" t="s">
        <v>94</v>
      </c>
      <c r="F3746" t="s">
        <v>105</v>
      </c>
      <c r="G3746" t="s">
        <v>121</v>
      </c>
      <c r="H3746" t="s">
        <v>233</v>
      </c>
      <c r="J3746">
        <v>0</v>
      </c>
      <c r="K3746">
        <v>6</v>
      </c>
      <c r="L3746">
        <v>67.5</v>
      </c>
      <c r="M3746">
        <v>47.937235809999997</v>
      </c>
      <c r="N3746">
        <v>0.41599678000000001</v>
      </c>
      <c r="O3746">
        <v>2.0950346999999998</v>
      </c>
      <c r="P3746">
        <v>106.0540541</v>
      </c>
      <c r="Q3746">
        <v>52.690533369999997</v>
      </c>
      <c r="R3746">
        <v>7.6058968000000005E-2</v>
      </c>
      <c r="S3746">
        <v>0.44888888999999998</v>
      </c>
      <c r="T3746" t="s">
        <v>1019</v>
      </c>
      <c r="U3746">
        <v>0.33993781200000001</v>
      </c>
    </row>
    <row r="3747" spans="1:21" x14ac:dyDescent="0.25">
      <c r="A3747" t="s">
        <v>57</v>
      </c>
      <c r="B3747" t="s">
        <v>882</v>
      </c>
      <c r="C3747">
        <v>12</v>
      </c>
      <c r="D3747" t="s">
        <v>27</v>
      </c>
      <c r="E3747" t="s">
        <v>94</v>
      </c>
      <c r="F3747" t="s">
        <v>105</v>
      </c>
      <c r="G3747" t="s">
        <v>121</v>
      </c>
      <c r="H3747" t="s">
        <v>233</v>
      </c>
      <c r="J3747">
        <v>0</v>
      </c>
      <c r="K3747">
        <v>6</v>
      </c>
      <c r="L3747">
        <v>67.5</v>
      </c>
      <c r="M3747">
        <v>47.937235809999997</v>
      </c>
      <c r="N3747">
        <v>0.41599678000000001</v>
      </c>
      <c r="O3747">
        <v>2.0950346999999998</v>
      </c>
      <c r="P3747">
        <v>106.0540541</v>
      </c>
      <c r="Q3747">
        <v>52.690533369999997</v>
      </c>
      <c r="R3747">
        <v>7.6058968000000005E-2</v>
      </c>
      <c r="S3747">
        <v>0.44888888999999998</v>
      </c>
      <c r="T3747" t="s">
        <v>1019</v>
      </c>
      <c r="U3747">
        <v>0.33993781200000001</v>
      </c>
    </row>
    <row r="3748" spans="1:21" x14ac:dyDescent="0.25">
      <c r="A3748" t="s">
        <v>57</v>
      </c>
      <c r="B3748" t="s">
        <v>882</v>
      </c>
      <c r="C3748">
        <v>12</v>
      </c>
      <c r="D3748" t="s">
        <v>27</v>
      </c>
      <c r="E3748" t="s">
        <v>94</v>
      </c>
      <c r="F3748" t="s">
        <v>105</v>
      </c>
      <c r="G3748" t="s">
        <v>121</v>
      </c>
      <c r="H3748" t="s">
        <v>233</v>
      </c>
      <c r="J3748">
        <v>0</v>
      </c>
      <c r="K3748">
        <v>6</v>
      </c>
      <c r="L3748">
        <v>67.5</v>
      </c>
      <c r="M3748">
        <v>47.937235809999997</v>
      </c>
      <c r="N3748">
        <v>0.41599678000000001</v>
      </c>
      <c r="O3748">
        <v>2.0950346999999998</v>
      </c>
      <c r="P3748">
        <v>106.0540541</v>
      </c>
      <c r="Q3748">
        <v>52.690533369999997</v>
      </c>
      <c r="R3748">
        <v>7.6058968000000005E-2</v>
      </c>
      <c r="S3748">
        <v>0.44888888999999998</v>
      </c>
      <c r="T3748" t="s">
        <v>1019</v>
      </c>
      <c r="U3748">
        <v>0.33993781200000001</v>
      </c>
    </row>
    <row r="3749" spans="1:21" x14ac:dyDescent="0.25">
      <c r="A3749" t="s">
        <v>57</v>
      </c>
      <c r="B3749" t="s">
        <v>883</v>
      </c>
      <c r="C3749">
        <v>12</v>
      </c>
      <c r="D3749" t="s">
        <v>27</v>
      </c>
      <c r="E3749" t="s">
        <v>94</v>
      </c>
      <c r="F3749" t="s">
        <v>113</v>
      </c>
      <c r="G3749" t="s">
        <v>121</v>
      </c>
      <c r="H3749" t="s">
        <v>114</v>
      </c>
      <c r="J3749">
        <v>0</v>
      </c>
      <c r="K3749" t="s">
        <v>114</v>
      </c>
      <c r="L3749">
        <v>83.757575759999995</v>
      </c>
      <c r="M3749">
        <v>22.60997987</v>
      </c>
      <c r="N3749">
        <v>0.72884000000000004</v>
      </c>
      <c r="O3749">
        <v>0.21301339999999999</v>
      </c>
      <c r="P3749" t="s">
        <v>114</v>
      </c>
      <c r="Q3749" t="s">
        <v>114</v>
      </c>
      <c r="R3749" t="s">
        <v>114</v>
      </c>
      <c r="S3749" t="s">
        <v>114</v>
      </c>
      <c r="T3749" t="s">
        <v>1019</v>
      </c>
      <c r="U3749" t="s">
        <v>114</v>
      </c>
    </row>
    <row r="3750" spans="1:21" x14ac:dyDescent="0.25">
      <c r="A3750" t="s">
        <v>57</v>
      </c>
      <c r="B3750" t="s">
        <v>884</v>
      </c>
      <c r="C3750">
        <v>12</v>
      </c>
      <c r="D3750" t="s">
        <v>27</v>
      </c>
      <c r="E3750" t="s">
        <v>94</v>
      </c>
      <c r="F3750" t="s">
        <v>112</v>
      </c>
      <c r="G3750" t="s">
        <v>112</v>
      </c>
      <c r="H3750" t="s">
        <v>112</v>
      </c>
      <c r="J3750">
        <v>0</v>
      </c>
      <c r="K3750">
        <v>2</v>
      </c>
      <c r="L3750">
        <v>65.09375</v>
      </c>
      <c r="M3750">
        <v>37.895352600000002</v>
      </c>
      <c r="N3750">
        <v>2.2882677779999998</v>
      </c>
      <c r="O3750">
        <v>2.2111774</v>
      </c>
      <c r="P3750">
        <v>65.09375</v>
      </c>
      <c r="Q3750">
        <v>37.895352600000002</v>
      </c>
      <c r="R3750">
        <v>2.2882677779999998</v>
      </c>
      <c r="S3750">
        <v>2.2111774</v>
      </c>
      <c r="T3750" t="s">
        <v>1019</v>
      </c>
      <c r="U3750">
        <v>0</v>
      </c>
    </row>
    <row r="3751" spans="1:21" x14ac:dyDescent="0.25">
      <c r="A3751" t="s">
        <v>57</v>
      </c>
      <c r="B3751" t="s">
        <v>884</v>
      </c>
      <c r="C3751">
        <v>12</v>
      </c>
      <c r="D3751" t="s">
        <v>27</v>
      </c>
      <c r="E3751" t="s">
        <v>94</v>
      </c>
      <c r="F3751" t="s">
        <v>112</v>
      </c>
      <c r="G3751" t="s">
        <v>112</v>
      </c>
      <c r="H3751" t="s">
        <v>112</v>
      </c>
      <c r="J3751">
        <v>0</v>
      </c>
      <c r="K3751">
        <v>2</v>
      </c>
      <c r="L3751">
        <v>65.09375</v>
      </c>
      <c r="M3751">
        <v>37.895352600000002</v>
      </c>
      <c r="N3751">
        <v>2.2882677779999998</v>
      </c>
      <c r="O3751">
        <v>2.2111774</v>
      </c>
      <c r="P3751">
        <v>65.09375</v>
      </c>
      <c r="Q3751">
        <v>37.895352600000002</v>
      </c>
      <c r="R3751">
        <v>2.2882677779999998</v>
      </c>
      <c r="S3751">
        <v>2.2111774</v>
      </c>
      <c r="T3751" t="s">
        <v>1019</v>
      </c>
      <c r="U3751">
        <v>0</v>
      </c>
    </row>
    <row r="3752" spans="1:21" x14ac:dyDescent="0.25">
      <c r="A3752" t="s">
        <v>57</v>
      </c>
      <c r="B3752" t="s">
        <v>884</v>
      </c>
      <c r="C3752">
        <v>12</v>
      </c>
      <c r="D3752" t="s">
        <v>27</v>
      </c>
      <c r="E3752" t="s">
        <v>94</v>
      </c>
      <c r="F3752" t="s">
        <v>112</v>
      </c>
      <c r="G3752" t="s">
        <v>112</v>
      </c>
      <c r="H3752" t="s">
        <v>247</v>
      </c>
      <c r="J3752">
        <v>0</v>
      </c>
      <c r="K3752">
        <v>1</v>
      </c>
      <c r="L3752">
        <v>65.09375</v>
      </c>
      <c r="M3752">
        <v>37.895352600000002</v>
      </c>
      <c r="N3752">
        <v>2.2882677779999998</v>
      </c>
      <c r="O3752">
        <v>2.2111774</v>
      </c>
      <c r="P3752">
        <v>65.791044779999993</v>
      </c>
      <c r="Q3752">
        <v>22.94519201</v>
      </c>
      <c r="R3752">
        <v>8.1320334999999994E-2</v>
      </c>
      <c r="S3752">
        <v>0.17285655</v>
      </c>
      <c r="T3752" t="s">
        <v>1019</v>
      </c>
      <c r="U3752">
        <v>2.2069474429999998</v>
      </c>
    </row>
    <row r="3753" spans="1:21" x14ac:dyDescent="0.25">
      <c r="A3753" t="s">
        <v>58</v>
      </c>
      <c r="B3753" t="s">
        <v>885</v>
      </c>
      <c r="C3753">
        <v>12</v>
      </c>
      <c r="D3753" t="s">
        <v>29</v>
      </c>
      <c r="E3753" t="s">
        <v>95</v>
      </c>
      <c r="F3753" t="s">
        <v>102</v>
      </c>
      <c r="G3753" t="s">
        <v>104</v>
      </c>
      <c r="H3753" t="s">
        <v>104</v>
      </c>
      <c r="J3753">
        <v>0</v>
      </c>
      <c r="K3753">
        <v>1</v>
      </c>
      <c r="L3753">
        <v>84.740740740000007</v>
      </c>
      <c r="M3753">
        <v>29.167014049999999</v>
      </c>
      <c r="N3753">
        <v>1.1169849999999999</v>
      </c>
      <c r="O3753">
        <v>1.1571499000000001</v>
      </c>
      <c r="P3753">
        <v>113.9375</v>
      </c>
      <c r="Q3753">
        <v>33.375507550000002</v>
      </c>
      <c r="R3753">
        <v>2.4262999999999999</v>
      </c>
      <c r="S3753">
        <v>0.40692159999999999</v>
      </c>
      <c r="T3753" t="s">
        <v>1019</v>
      </c>
      <c r="U3753">
        <v>1.309315</v>
      </c>
    </row>
    <row r="3754" spans="1:21" x14ac:dyDescent="0.25">
      <c r="A3754" t="s">
        <v>58</v>
      </c>
      <c r="B3754" t="s">
        <v>885</v>
      </c>
      <c r="C3754">
        <v>12</v>
      </c>
      <c r="D3754" t="s">
        <v>29</v>
      </c>
      <c r="E3754" t="s">
        <v>95</v>
      </c>
      <c r="F3754" t="s">
        <v>102</v>
      </c>
      <c r="G3754" t="s">
        <v>104</v>
      </c>
      <c r="H3754" t="s">
        <v>246</v>
      </c>
      <c r="J3754">
        <v>0</v>
      </c>
      <c r="K3754">
        <v>1</v>
      </c>
      <c r="L3754">
        <v>84.740740740000007</v>
      </c>
      <c r="M3754">
        <v>29.167014049999999</v>
      </c>
      <c r="N3754">
        <v>1.1169849999999999</v>
      </c>
      <c r="O3754">
        <v>1.1571499000000001</v>
      </c>
      <c r="P3754">
        <v>120.25</v>
      </c>
      <c r="Q3754">
        <v>30.670450110000001</v>
      </c>
      <c r="R3754">
        <v>0.91037498500000003</v>
      </c>
      <c r="S3754" t="s">
        <v>114</v>
      </c>
      <c r="T3754" t="s">
        <v>1019</v>
      </c>
      <c r="U3754">
        <v>0.20661001500000001</v>
      </c>
    </row>
    <row r="3755" spans="1:21" x14ac:dyDescent="0.25">
      <c r="A3755" t="s">
        <v>58</v>
      </c>
      <c r="B3755" t="s">
        <v>886</v>
      </c>
      <c r="C3755">
        <v>12</v>
      </c>
      <c r="D3755" t="s">
        <v>29</v>
      </c>
      <c r="E3755" t="s">
        <v>95</v>
      </c>
      <c r="F3755" t="s">
        <v>110</v>
      </c>
      <c r="G3755" t="s">
        <v>121</v>
      </c>
      <c r="H3755" t="s">
        <v>246</v>
      </c>
      <c r="I3755" t="s">
        <v>162</v>
      </c>
      <c r="J3755">
        <v>1</v>
      </c>
      <c r="K3755">
        <v>1</v>
      </c>
      <c r="L3755">
        <v>73.260869569999997</v>
      </c>
      <c r="M3755">
        <v>34.453830549999999</v>
      </c>
      <c r="N3755">
        <v>1.058333333</v>
      </c>
      <c r="O3755">
        <v>0.90897070000000002</v>
      </c>
      <c r="P3755">
        <v>120.25</v>
      </c>
      <c r="Q3755">
        <v>30.670450110000001</v>
      </c>
      <c r="R3755">
        <v>0.91037498500000003</v>
      </c>
      <c r="S3755" t="s">
        <v>114</v>
      </c>
      <c r="T3755" t="s">
        <v>1019</v>
      </c>
      <c r="U3755">
        <v>0.14795834799999999</v>
      </c>
    </row>
    <row r="3756" spans="1:21" x14ac:dyDescent="0.25">
      <c r="A3756" t="s">
        <v>58</v>
      </c>
      <c r="B3756" t="s">
        <v>886</v>
      </c>
      <c r="C3756">
        <v>12</v>
      </c>
      <c r="D3756" t="s">
        <v>29</v>
      </c>
      <c r="E3756" t="s">
        <v>95</v>
      </c>
      <c r="F3756" t="s">
        <v>110</v>
      </c>
      <c r="G3756" t="s">
        <v>121</v>
      </c>
      <c r="H3756" t="s">
        <v>239</v>
      </c>
      <c r="J3756">
        <v>1</v>
      </c>
      <c r="K3756">
        <v>1</v>
      </c>
      <c r="L3756">
        <v>73.260869569999997</v>
      </c>
      <c r="M3756">
        <v>34.453830549999999</v>
      </c>
      <c r="N3756">
        <v>1.058333333</v>
      </c>
      <c r="O3756">
        <v>0.90897070000000002</v>
      </c>
      <c r="P3756">
        <v>100.45454549999999</v>
      </c>
      <c r="Q3756">
        <v>26.754810689999999</v>
      </c>
      <c r="R3756">
        <v>0.75829999999999997</v>
      </c>
      <c r="S3756">
        <v>0.40907861000000001</v>
      </c>
      <c r="T3756" t="s">
        <v>1019</v>
      </c>
      <c r="U3756">
        <v>0.30003333300000001</v>
      </c>
    </row>
    <row r="3757" spans="1:21" x14ac:dyDescent="0.25">
      <c r="A3757" t="s">
        <v>58</v>
      </c>
      <c r="B3757" t="s">
        <v>887</v>
      </c>
      <c r="C3757">
        <v>12</v>
      </c>
      <c r="D3757" t="s">
        <v>29</v>
      </c>
      <c r="E3757" t="s">
        <v>95</v>
      </c>
      <c r="F3757" t="s">
        <v>103</v>
      </c>
      <c r="G3757" t="s">
        <v>121</v>
      </c>
      <c r="H3757" t="s">
        <v>249</v>
      </c>
      <c r="J3757">
        <v>0</v>
      </c>
      <c r="K3757">
        <v>1</v>
      </c>
      <c r="L3757">
        <v>98.291666669999998</v>
      </c>
      <c r="M3757">
        <v>30.315130790000001</v>
      </c>
      <c r="N3757">
        <v>5.0803484000000003E-2</v>
      </c>
      <c r="O3757">
        <v>0.42866070000000001</v>
      </c>
      <c r="P3757">
        <v>81.666666669999998</v>
      </c>
      <c r="Q3757">
        <v>48.056268459999998</v>
      </c>
      <c r="R3757">
        <v>0.120291364</v>
      </c>
      <c r="S3757" t="s">
        <v>114</v>
      </c>
      <c r="T3757" t="s">
        <v>1019</v>
      </c>
      <c r="U3757">
        <v>6.9487880000000002E-2</v>
      </c>
    </row>
    <row r="3758" spans="1:21" x14ac:dyDescent="0.25">
      <c r="A3758" t="s">
        <v>58</v>
      </c>
      <c r="B3758" t="s">
        <v>887</v>
      </c>
      <c r="C3758">
        <v>12</v>
      </c>
      <c r="D3758" t="s">
        <v>29</v>
      </c>
      <c r="E3758" t="s">
        <v>95</v>
      </c>
      <c r="F3758" t="s">
        <v>103</v>
      </c>
      <c r="G3758" t="s">
        <v>121</v>
      </c>
      <c r="H3758" t="s">
        <v>238</v>
      </c>
      <c r="J3758">
        <v>0</v>
      </c>
      <c r="K3758">
        <v>1</v>
      </c>
      <c r="L3758">
        <v>98.291666669999998</v>
      </c>
      <c r="M3758">
        <v>30.315130790000001</v>
      </c>
      <c r="N3758">
        <v>5.0803484000000003E-2</v>
      </c>
      <c r="O3758">
        <v>0.42866070000000001</v>
      </c>
      <c r="P3758">
        <v>87.5</v>
      </c>
      <c r="Q3758">
        <v>29.478311600000001</v>
      </c>
      <c r="R3758">
        <v>3.0797751000000002E-2</v>
      </c>
      <c r="S3758">
        <v>0.12931835</v>
      </c>
      <c r="T3758" t="s">
        <v>1019</v>
      </c>
      <c r="U3758">
        <v>2.0005733000000001E-2</v>
      </c>
    </row>
    <row r="3759" spans="1:21" x14ac:dyDescent="0.25">
      <c r="A3759" t="s">
        <v>59</v>
      </c>
      <c r="B3759" t="s">
        <v>888</v>
      </c>
      <c r="C3759">
        <v>12</v>
      </c>
      <c r="D3759" t="s">
        <v>31</v>
      </c>
      <c r="E3759" t="s">
        <v>94</v>
      </c>
      <c r="F3759" t="s">
        <v>105</v>
      </c>
      <c r="G3759" t="s">
        <v>121</v>
      </c>
      <c r="H3759" t="s">
        <v>241</v>
      </c>
      <c r="J3759">
        <v>0</v>
      </c>
      <c r="K3759">
        <v>1</v>
      </c>
      <c r="L3759">
        <v>67.5</v>
      </c>
      <c r="M3759">
        <v>47.937235809999997</v>
      </c>
      <c r="N3759">
        <v>0.41599678000000001</v>
      </c>
      <c r="O3759">
        <v>2.0950346999999998</v>
      </c>
      <c r="P3759">
        <v>114</v>
      </c>
      <c r="Q3759">
        <v>30.43077242</v>
      </c>
      <c r="R3759">
        <v>0.53383111100000002</v>
      </c>
      <c r="S3759">
        <v>0.28333332999999999</v>
      </c>
      <c r="T3759" t="s">
        <v>1019</v>
      </c>
      <c r="U3759">
        <v>0.117834331</v>
      </c>
    </row>
    <row r="3760" spans="1:21" x14ac:dyDescent="0.25">
      <c r="A3760" t="s">
        <v>59</v>
      </c>
      <c r="B3760" t="s">
        <v>889</v>
      </c>
      <c r="C3760">
        <v>12</v>
      </c>
      <c r="D3760" t="s">
        <v>31</v>
      </c>
      <c r="E3760" t="s">
        <v>94</v>
      </c>
      <c r="F3760" t="s">
        <v>110</v>
      </c>
      <c r="G3760" t="s">
        <v>121</v>
      </c>
      <c r="H3760" t="s">
        <v>241</v>
      </c>
      <c r="J3760">
        <v>0</v>
      </c>
      <c r="K3760">
        <v>2</v>
      </c>
      <c r="L3760">
        <v>73.260869569999997</v>
      </c>
      <c r="M3760">
        <v>34.453830549999999</v>
      </c>
      <c r="N3760">
        <v>1.058333333</v>
      </c>
      <c r="O3760">
        <v>0.90897070000000002</v>
      </c>
      <c r="P3760">
        <v>114</v>
      </c>
      <c r="Q3760">
        <v>30.43077242</v>
      </c>
      <c r="R3760">
        <v>0.53383111100000002</v>
      </c>
      <c r="S3760">
        <v>0.28333332999999999</v>
      </c>
      <c r="T3760" t="s">
        <v>1019</v>
      </c>
      <c r="U3760">
        <v>0.52450222199999996</v>
      </c>
    </row>
    <row r="3761" spans="1:21" x14ac:dyDescent="0.25">
      <c r="A3761" t="s">
        <v>59</v>
      </c>
      <c r="B3761" t="s">
        <v>889</v>
      </c>
      <c r="C3761">
        <v>12</v>
      </c>
      <c r="D3761" t="s">
        <v>31</v>
      </c>
      <c r="E3761" t="s">
        <v>94</v>
      </c>
      <c r="F3761" t="s">
        <v>110</v>
      </c>
      <c r="G3761" t="s">
        <v>121</v>
      </c>
      <c r="H3761" t="s">
        <v>241</v>
      </c>
      <c r="J3761">
        <v>0</v>
      </c>
      <c r="K3761">
        <v>2</v>
      </c>
      <c r="L3761">
        <v>73.260869569999997</v>
      </c>
      <c r="M3761">
        <v>34.453830549999999</v>
      </c>
      <c r="N3761">
        <v>1.058333333</v>
      </c>
      <c r="O3761">
        <v>0.90897070000000002</v>
      </c>
      <c r="P3761">
        <v>114</v>
      </c>
      <c r="Q3761">
        <v>30.43077242</v>
      </c>
      <c r="R3761">
        <v>0.53383111100000002</v>
      </c>
      <c r="S3761">
        <v>0.28333332999999999</v>
      </c>
      <c r="T3761" t="s">
        <v>1019</v>
      </c>
      <c r="U3761">
        <v>0.52450222199999996</v>
      </c>
    </row>
    <row r="3762" spans="1:21" x14ac:dyDescent="0.25">
      <c r="A3762" t="s">
        <v>60</v>
      </c>
      <c r="B3762" t="s">
        <v>890</v>
      </c>
      <c r="C3762">
        <v>12</v>
      </c>
      <c r="D3762" t="s">
        <v>33</v>
      </c>
      <c r="E3762" t="s">
        <v>95</v>
      </c>
      <c r="F3762" t="s">
        <v>102</v>
      </c>
      <c r="G3762" t="s">
        <v>104</v>
      </c>
      <c r="H3762" t="s">
        <v>104</v>
      </c>
      <c r="J3762">
        <v>0</v>
      </c>
      <c r="K3762">
        <v>1</v>
      </c>
      <c r="L3762">
        <v>84.740740740000007</v>
      </c>
      <c r="M3762">
        <v>29.167014049999999</v>
      </c>
      <c r="N3762">
        <v>1.1169849999999999</v>
      </c>
      <c r="O3762">
        <v>1.1571499000000001</v>
      </c>
      <c r="P3762">
        <v>113.9375</v>
      </c>
      <c r="Q3762">
        <v>33.375507550000002</v>
      </c>
      <c r="R3762">
        <v>2.4262999999999999</v>
      </c>
      <c r="S3762">
        <v>0.40692159999999999</v>
      </c>
      <c r="T3762" t="s">
        <v>1019</v>
      </c>
      <c r="U3762">
        <v>1.309315</v>
      </c>
    </row>
    <row r="3763" spans="1:21" x14ac:dyDescent="0.25">
      <c r="A3763" t="s">
        <v>60</v>
      </c>
      <c r="B3763" t="s">
        <v>891</v>
      </c>
      <c r="C3763">
        <v>12</v>
      </c>
      <c r="D3763" t="s">
        <v>33</v>
      </c>
      <c r="E3763" t="s">
        <v>95</v>
      </c>
      <c r="F3763" t="s">
        <v>110</v>
      </c>
      <c r="G3763" t="s">
        <v>121</v>
      </c>
      <c r="H3763" t="s">
        <v>241</v>
      </c>
      <c r="J3763">
        <v>0</v>
      </c>
      <c r="K3763">
        <v>2</v>
      </c>
      <c r="L3763">
        <v>73.260869569999997</v>
      </c>
      <c r="M3763">
        <v>34.453830549999999</v>
      </c>
      <c r="N3763">
        <v>1.058333333</v>
      </c>
      <c r="O3763">
        <v>0.90897070000000002</v>
      </c>
      <c r="P3763">
        <v>114</v>
      </c>
      <c r="Q3763">
        <v>30.43077242</v>
      </c>
      <c r="R3763">
        <v>0.53383111100000002</v>
      </c>
      <c r="S3763">
        <v>0.28333332999999999</v>
      </c>
      <c r="T3763" t="s">
        <v>1019</v>
      </c>
      <c r="U3763">
        <v>0.52450222199999996</v>
      </c>
    </row>
    <row r="3764" spans="1:21" x14ac:dyDescent="0.25">
      <c r="A3764" t="s">
        <v>60</v>
      </c>
      <c r="B3764" t="s">
        <v>891</v>
      </c>
      <c r="C3764">
        <v>12</v>
      </c>
      <c r="D3764" t="s">
        <v>33</v>
      </c>
      <c r="E3764" t="s">
        <v>95</v>
      </c>
      <c r="F3764" t="s">
        <v>110</v>
      </c>
      <c r="G3764" t="s">
        <v>121</v>
      </c>
      <c r="H3764" t="s">
        <v>241</v>
      </c>
      <c r="J3764">
        <v>0</v>
      </c>
      <c r="K3764">
        <v>2</v>
      </c>
      <c r="L3764">
        <v>73.260869569999997</v>
      </c>
      <c r="M3764">
        <v>34.453830549999999</v>
      </c>
      <c r="N3764">
        <v>1.058333333</v>
      </c>
      <c r="O3764">
        <v>0.90897070000000002</v>
      </c>
      <c r="P3764">
        <v>114</v>
      </c>
      <c r="Q3764">
        <v>30.43077242</v>
      </c>
      <c r="R3764">
        <v>0.53383111100000002</v>
      </c>
      <c r="S3764">
        <v>0.28333332999999999</v>
      </c>
      <c r="T3764" t="s">
        <v>1019</v>
      </c>
      <c r="U3764">
        <v>0.52450222199999996</v>
      </c>
    </row>
    <row r="3765" spans="1:21" x14ac:dyDescent="0.25">
      <c r="A3765" t="s">
        <v>60</v>
      </c>
      <c r="B3765" t="s">
        <v>891</v>
      </c>
      <c r="C3765">
        <v>12</v>
      </c>
      <c r="D3765" t="s">
        <v>33</v>
      </c>
      <c r="E3765" t="s">
        <v>95</v>
      </c>
      <c r="F3765" t="s">
        <v>110</v>
      </c>
      <c r="G3765" t="s">
        <v>121</v>
      </c>
      <c r="H3765" t="s">
        <v>246</v>
      </c>
      <c r="J3765">
        <v>0</v>
      </c>
      <c r="K3765">
        <v>2</v>
      </c>
      <c r="L3765">
        <v>73.260869569999997</v>
      </c>
      <c r="M3765">
        <v>34.453830549999999</v>
      </c>
      <c r="N3765">
        <v>1.058333333</v>
      </c>
      <c r="O3765">
        <v>0.90897070000000002</v>
      </c>
      <c r="P3765">
        <v>120.25</v>
      </c>
      <c r="Q3765">
        <v>30.670450110000001</v>
      </c>
      <c r="R3765">
        <v>0.91037498500000003</v>
      </c>
      <c r="S3765" t="s">
        <v>114</v>
      </c>
      <c r="T3765" t="s">
        <v>1019</v>
      </c>
      <c r="U3765">
        <v>0.14795834799999999</v>
      </c>
    </row>
    <row r="3766" spans="1:21" x14ac:dyDescent="0.25">
      <c r="A3766" t="s">
        <v>60</v>
      </c>
      <c r="B3766" t="s">
        <v>891</v>
      </c>
      <c r="C3766">
        <v>12</v>
      </c>
      <c r="D3766" t="s">
        <v>33</v>
      </c>
      <c r="E3766" t="s">
        <v>95</v>
      </c>
      <c r="F3766" t="s">
        <v>110</v>
      </c>
      <c r="G3766" t="s">
        <v>121</v>
      </c>
      <c r="H3766" t="s">
        <v>246</v>
      </c>
      <c r="J3766">
        <v>0</v>
      </c>
      <c r="K3766">
        <v>2</v>
      </c>
      <c r="L3766">
        <v>73.260869569999997</v>
      </c>
      <c r="M3766">
        <v>34.453830549999999</v>
      </c>
      <c r="N3766">
        <v>1.058333333</v>
      </c>
      <c r="O3766">
        <v>0.90897070000000002</v>
      </c>
      <c r="P3766">
        <v>120.25</v>
      </c>
      <c r="Q3766">
        <v>30.670450110000001</v>
      </c>
      <c r="R3766">
        <v>0.91037498500000003</v>
      </c>
      <c r="S3766" t="s">
        <v>114</v>
      </c>
      <c r="T3766" t="s">
        <v>1019</v>
      </c>
      <c r="U3766">
        <v>0.14795834799999999</v>
      </c>
    </row>
    <row r="3767" spans="1:21" x14ac:dyDescent="0.25">
      <c r="A3767" t="s">
        <v>60</v>
      </c>
      <c r="B3767" t="s">
        <v>892</v>
      </c>
      <c r="C3767">
        <v>12</v>
      </c>
      <c r="D3767" t="s">
        <v>33</v>
      </c>
      <c r="E3767" t="s">
        <v>95</v>
      </c>
      <c r="F3767" t="s">
        <v>104</v>
      </c>
      <c r="G3767" t="s">
        <v>104</v>
      </c>
      <c r="H3767" t="s">
        <v>104</v>
      </c>
      <c r="J3767">
        <v>0</v>
      </c>
      <c r="K3767">
        <v>1</v>
      </c>
      <c r="L3767">
        <v>113.9375</v>
      </c>
      <c r="M3767">
        <v>33.375507550000002</v>
      </c>
      <c r="N3767">
        <v>2.4262999999999999</v>
      </c>
      <c r="O3767">
        <v>0.40692159999999999</v>
      </c>
      <c r="P3767">
        <v>113.9375</v>
      </c>
      <c r="Q3767">
        <v>33.375507550000002</v>
      </c>
      <c r="R3767">
        <v>2.4262999999999999</v>
      </c>
      <c r="S3767">
        <v>0.40692159999999999</v>
      </c>
      <c r="T3767" t="s">
        <v>1019</v>
      </c>
      <c r="U3767">
        <v>0</v>
      </c>
    </row>
    <row r="3768" spans="1:21" x14ac:dyDescent="0.25">
      <c r="A3768" t="s">
        <v>60</v>
      </c>
      <c r="B3768" t="s">
        <v>892</v>
      </c>
      <c r="C3768">
        <v>12</v>
      </c>
      <c r="D3768" t="s">
        <v>33</v>
      </c>
      <c r="E3768" t="s">
        <v>95</v>
      </c>
      <c r="F3768" t="s">
        <v>104</v>
      </c>
      <c r="G3768" t="s">
        <v>104</v>
      </c>
      <c r="H3768" t="s">
        <v>246</v>
      </c>
      <c r="J3768">
        <v>0</v>
      </c>
      <c r="K3768">
        <v>2</v>
      </c>
      <c r="L3768">
        <v>113.9375</v>
      </c>
      <c r="M3768">
        <v>33.375507550000002</v>
      </c>
      <c r="N3768">
        <v>2.4262999999999999</v>
      </c>
      <c r="O3768">
        <v>0.40692159999999999</v>
      </c>
      <c r="P3768">
        <v>120.25</v>
      </c>
      <c r="Q3768">
        <v>30.670450110000001</v>
      </c>
      <c r="R3768">
        <v>0.91037498500000003</v>
      </c>
      <c r="S3768" t="s">
        <v>114</v>
      </c>
      <c r="T3768" t="s">
        <v>1019</v>
      </c>
      <c r="U3768">
        <v>1.5159250150000001</v>
      </c>
    </row>
    <row r="3769" spans="1:21" x14ac:dyDescent="0.25">
      <c r="A3769" t="s">
        <v>60</v>
      </c>
      <c r="B3769" t="s">
        <v>892</v>
      </c>
      <c r="C3769">
        <v>12</v>
      </c>
      <c r="D3769" t="s">
        <v>33</v>
      </c>
      <c r="E3769" t="s">
        <v>95</v>
      </c>
      <c r="F3769" t="s">
        <v>104</v>
      </c>
      <c r="G3769" t="s">
        <v>104</v>
      </c>
      <c r="H3769" t="s">
        <v>246</v>
      </c>
      <c r="J3769">
        <v>0</v>
      </c>
      <c r="K3769">
        <v>2</v>
      </c>
      <c r="L3769">
        <v>113.9375</v>
      </c>
      <c r="M3769">
        <v>33.375507550000002</v>
      </c>
      <c r="N3769">
        <v>2.4262999999999999</v>
      </c>
      <c r="O3769">
        <v>0.40692159999999999</v>
      </c>
      <c r="P3769">
        <v>120.25</v>
      </c>
      <c r="Q3769">
        <v>30.670450110000001</v>
      </c>
      <c r="R3769">
        <v>0.91037498500000003</v>
      </c>
      <c r="S3769" t="s">
        <v>114</v>
      </c>
      <c r="T3769" t="s">
        <v>1019</v>
      </c>
      <c r="U3769">
        <v>1.5159250150000001</v>
      </c>
    </row>
    <row r="3770" spans="1:21" x14ac:dyDescent="0.25">
      <c r="A3770" t="s">
        <v>60</v>
      </c>
      <c r="B3770" t="s">
        <v>892</v>
      </c>
      <c r="C3770">
        <v>12</v>
      </c>
      <c r="D3770" t="s">
        <v>33</v>
      </c>
      <c r="E3770" t="s">
        <v>95</v>
      </c>
      <c r="F3770" t="s">
        <v>104</v>
      </c>
      <c r="G3770" t="s">
        <v>104</v>
      </c>
      <c r="H3770" t="s">
        <v>797</v>
      </c>
      <c r="J3770">
        <v>0</v>
      </c>
      <c r="K3770">
        <v>1</v>
      </c>
      <c r="L3770">
        <v>113.9375</v>
      </c>
      <c r="M3770">
        <v>33.375507550000002</v>
      </c>
      <c r="N3770">
        <v>2.4262999999999999</v>
      </c>
      <c r="O3770">
        <v>0.40692159999999999</v>
      </c>
      <c r="P3770">
        <v>179.45454549999999</v>
      </c>
      <c r="Q3770">
        <v>26.326869609999999</v>
      </c>
      <c r="R3770">
        <v>2.3456094639999998</v>
      </c>
      <c r="S3770">
        <v>0.18833116</v>
      </c>
      <c r="T3770" t="s">
        <v>1019</v>
      </c>
      <c r="U3770">
        <v>8.0690535999999993E-2</v>
      </c>
    </row>
    <row r="3771" spans="1:21" x14ac:dyDescent="0.25">
      <c r="A3771" t="s">
        <v>60</v>
      </c>
      <c r="B3771" t="s">
        <v>892</v>
      </c>
      <c r="C3771">
        <v>12</v>
      </c>
      <c r="D3771" t="s">
        <v>33</v>
      </c>
      <c r="E3771" t="s">
        <v>95</v>
      </c>
      <c r="F3771" t="s">
        <v>104</v>
      </c>
      <c r="G3771" t="s">
        <v>104</v>
      </c>
      <c r="H3771" t="s">
        <v>247</v>
      </c>
      <c r="J3771">
        <v>0</v>
      </c>
      <c r="K3771">
        <v>1</v>
      </c>
      <c r="L3771">
        <v>113.9375</v>
      </c>
      <c r="M3771">
        <v>33.375507550000002</v>
      </c>
      <c r="N3771">
        <v>2.4262999999999999</v>
      </c>
      <c r="O3771">
        <v>0.40692159999999999</v>
      </c>
      <c r="P3771">
        <v>65.791044779999993</v>
      </c>
      <c r="Q3771">
        <v>22.94519201</v>
      </c>
      <c r="R3771">
        <v>8.1320334999999994E-2</v>
      </c>
      <c r="S3771">
        <v>0.17285655</v>
      </c>
      <c r="T3771" t="s">
        <v>1019</v>
      </c>
      <c r="U3771">
        <v>2.3449796649999999</v>
      </c>
    </row>
    <row r="3772" spans="1:21" x14ac:dyDescent="0.25">
      <c r="A3772" t="s">
        <v>60</v>
      </c>
      <c r="B3772" t="s">
        <v>893</v>
      </c>
      <c r="C3772">
        <v>12</v>
      </c>
      <c r="D3772" t="s">
        <v>33</v>
      </c>
      <c r="E3772" t="s">
        <v>95</v>
      </c>
      <c r="F3772" t="s">
        <v>112</v>
      </c>
      <c r="G3772" t="s">
        <v>121</v>
      </c>
      <c r="H3772" t="s">
        <v>114</v>
      </c>
      <c r="J3772">
        <v>0</v>
      </c>
      <c r="K3772">
        <v>0</v>
      </c>
      <c r="L3772">
        <v>65.09375</v>
      </c>
      <c r="M3772">
        <v>37.895352600000002</v>
      </c>
      <c r="N3772">
        <v>2.2882677779999998</v>
      </c>
      <c r="O3772">
        <v>2.2111774</v>
      </c>
      <c r="P3772" t="s">
        <v>114</v>
      </c>
      <c r="Q3772" t="s">
        <v>114</v>
      </c>
      <c r="R3772" t="s">
        <v>114</v>
      </c>
      <c r="S3772" t="s">
        <v>114</v>
      </c>
      <c r="T3772" t="s">
        <v>1019</v>
      </c>
      <c r="U3772" t="s">
        <v>114</v>
      </c>
    </row>
    <row r="3773" spans="1:21" x14ac:dyDescent="0.25">
      <c r="A3773" t="s">
        <v>61</v>
      </c>
      <c r="B3773" t="s">
        <v>894</v>
      </c>
      <c r="C3773">
        <v>12</v>
      </c>
      <c r="D3773" t="s">
        <v>35</v>
      </c>
      <c r="E3773" t="s">
        <v>94</v>
      </c>
      <c r="F3773" t="s">
        <v>102</v>
      </c>
      <c r="G3773" t="s">
        <v>121</v>
      </c>
      <c r="H3773" t="s">
        <v>162</v>
      </c>
      <c r="J3773">
        <v>1</v>
      </c>
      <c r="K3773">
        <v>1</v>
      </c>
      <c r="L3773">
        <v>84.740740740000007</v>
      </c>
      <c r="M3773">
        <v>29.167014049999999</v>
      </c>
      <c r="N3773">
        <v>1.1169849999999999</v>
      </c>
      <c r="O3773">
        <v>1.1571499000000001</v>
      </c>
      <c r="P3773">
        <v>82.53846154</v>
      </c>
      <c r="Q3773">
        <v>35.660530039999998</v>
      </c>
      <c r="R3773">
        <v>3.3754499999999998</v>
      </c>
      <c r="S3773" t="s">
        <v>114</v>
      </c>
      <c r="T3773" t="s">
        <v>1019</v>
      </c>
      <c r="U3773">
        <v>2.2584650000000002</v>
      </c>
    </row>
    <row r="3774" spans="1:21" x14ac:dyDescent="0.25">
      <c r="A3774" t="s">
        <v>61</v>
      </c>
      <c r="B3774" t="s">
        <v>895</v>
      </c>
      <c r="C3774">
        <v>12</v>
      </c>
      <c r="D3774" t="s">
        <v>35</v>
      </c>
      <c r="E3774" t="s">
        <v>94</v>
      </c>
      <c r="F3774" t="s">
        <v>110</v>
      </c>
      <c r="G3774" t="s">
        <v>121</v>
      </c>
      <c r="H3774" t="s">
        <v>162</v>
      </c>
      <c r="J3774">
        <v>0</v>
      </c>
      <c r="K3774">
        <v>1</v>
      </c>
      <c r="L3774">
        <v>73.260869569999997</v>
      </c>
      <c r="M3774">
        <v>34.453830549999999</v>
      </c>
      <c r="N3774">
        <v>1.058333333</v>
      </c>
      <c r="O3774">
        <v>0.90897070000000002</v>
      </c>
      <c r="P3774">
        <v>82.53846154</v>
      </c>
      <c r="Q3774">
        <v>35.660530039999998</v>
      </c>
      <c r="R3774">
        <v>3.3754499999999998</v>
      </c>
      <c r="S3774" t="s">
        <v>114</v>
      </c>
      <c r="T3774" t="s">
        <v>1019</v>
      </c>
      <c r="U3774">
        <v>2.3171166670000001</v>
      </c>
    </row>
    <row r="3775" spans="1:21" x14ac:dyDescent="0.25">
      <c r="A3775" t="s">
        <v>61</v>
      </c>
      <c r="B3775" t="s">
        <v>895</v>
      </c>
      <c r="C3775">
        <v>12</v>
      </c>
      <c r="D3775" t="s">
        <v>35</v>
      </c>
      <c r="E3775" t="s">
        <v>94</v>
      </c>
      <c r="F3775" t="s">
        <v>110</v>
      </c>
      <c r="G3775" t="s">
        <v>121</v>
      </c>
      <c r="H3775" t="s">
        <v>102</v>
      </c>
      <c r="J3775">
        <v>0</v>
      </c>
      <c r="K3775">
        <v>1</v>
      </c>
      <c r="L3775">
        <v>73.260869569999997</v>
      </c>
      <c r="M3775">
        <v>34.453830549999999</v>
      </c>
      <c r="N3775">
        <v>1.058333333</v>
      </c>
      <c r="O3775">
        <v>0.90897070000000002</v>
      </c>
      <c r="P3775">
        <v>84.740740740000007</v>
      </c>
      <c r="Q3775">
        <v>29.167014049999999</v>
      </c>
      <c r="R3775">
        <v>1.1169849999999999</v>
      </c>
      <c r="S3775">
        <v>1.1571499000000001</v>
      </c>
      <c r="T3775" t="s">
        <v>1019</v>
      </c>
      <c r="U3775">
        <v>5.8651666999999998E-2</v>
      </c>
    </row>
    <row r="3776" spans="1:21" x14ac:dyDescent="0.25">
      <c r="A3776" t="s">
        <v>61</v>
      </c>
      <c r="B3776" t="s">
        <v>896</v>
      </c>
      <c r="C3776">
        <v>12</v>
      </c>
      <c r="D3776" t="s">
        <v>35</v>
      </c>
      <c r="E3776" t="s">
        <v>94</v>
      </c>
      <c r="F3776" t="s">
        <v>112</v>
      </c>
      <c r="G3776" t="s">
        <v>121</v>
      </c>
      <c r="H3776" t="s">
        <v>162</v>
      </c>
      <c r="J3776">
        <v>0</v>
      </c>
      <c r="K3776">
        <v>1</v>
      </c>
      <c r="L3776">
        <v>65.09375</v>
      </c>
      <c r="M3776">
        <v>37.895352600000002</v>
      </c>
      <c r="N3776">
        <v>2.2882677779999998</v>
      </c>
      <c r="O3776">
        <v>2.2111774</v>
      </c>
      <c r="P3776">
        <v>82.53846154</v>
      </c>
      <c r="Q3776">
        <v>35.660530039999998</v>
      </c>
      <c r="R3776">
        <v>3.3754499999999998</v>
      </c>
      <c r="S3776" t="s">
        <v>114</v>
      </c>
      <c r="T3776" t="s">
        <v>1019</v>
      </c>
      <c r="U3776">
        <v>1.087182222</v>
      </c>
    </row>
    <row r="3777" spans="1:21" x14ac:dyDescent="0.25">
      <c r="A3777" t="s">
        <v>62</v>
      </c>
      <c r="B3777" t="s">
        <v>897</v>
      </c>
      <c r="C3777">
        <v>12</v>
      </c>
      <c r="D3777" t="s">
        <v>37</v>
      </c>
      <c r="E3777" t="s">
        <v>95</v>
      </c>
      <c r="F3777" t="s">
        <v>102</v>
      </c>
      <c r="G3777" t="s">
        <v>121</v>
      </c>
      <c r="H3777" t="s">
        <v>114</v>
      </c>
      <c r="J3777">
        <v>0</v>
      </c>
      <c r="K3777">
        <v>0</v>
      </c>
      <c r="L3777">
        <v>84.740740740000007</v>
      </c>
      <c r="M3777">
        <v>29.167014049999999</v>
      </c>
      <c r="N3777">
        <v>1.1169849999999999</v>
      </c>
      <c r="O3777">
        <v>1.1571499000000001</v>
      </c>
      <c r="P3777" t="s">
        <v>114</v>
      </c>
      <c r="Q3777" t="s">
        <v>114</v>
      </c>
      <c r="R3777" t="s">
        <v>114</v>
      </c>
      <c r="S3777" t="s">
        <v>114</v>
      </c>
      <c r="T3777" t="s">
        <v>1019</v>
      </c>
      <c r="U3777" t="s">
        <v>114</v>
      </c>
    </row>
    <row r="3778" spans="1:21" x14ac:dyDescent="0.25">
      <c r="A3778" t="s">
        <v>62</v>
      </c>
      <c r="B3778" t="s">
        <v>898</v>
      </c>
      <c r="C3778">
        <v>12</v>
      </c>
      <c r="D3778" t="s">
        <v>37</v>
      </c>
      <c r="E3778" t="s">
        <v>95</v>
      </c>
      <c r="F3778" t="s">
        <v>103</v>
      </c>
      <c r="G3778" t="s">
        <v>121</v>
      </c>
      <c r="H3778" t="s">
        <v>233</v>
      </c>
      <c r="J3778">
        <v>0</v>
      </c>
      <c r="K3778">
        <v>1</v>
      </c>
      <c r="L3778">
        <v>98.291666669999998</v>
      </c>
      <c r="M3778">
        <v>30.315130790000001</v>
      </c>
      <c r="N3778">
        <v>5.0803484000000003E-2</v>
      </c>
      <c r="O3778">
        <v>0.42866070000000001</v>
      </c>
      <c r="P3778">
        <v>106.0540541</v>
      </c>
      <c r="Q3778">
        <v>52.690533369999997</v>
      </c>
      <c r="R3778">
        <v>7.6058968000000005E-2</v>
      </c>
      <c r="S3778">
        <v>0.44888888999999998</v>
      </c>
      <c r="T3778" t="s">
        <v>1019</v>
      </c>
      <c r="U3778">
        <v>2.5255484000000002E-2</v>
      </c>
    </row>
    <row r="3779" spans="1:21" x14ac:dyDescent="0.25">
      <c r="A3779" t="s">
        <v>62</v>
      </c>
      <c r="B3779" t="s">
        <v>898</v>
      </c>
      <c r="C3779">
        <v>12</v>
      </c>
      <c r="D3779" t="s">
        <v>37</v>
      </c>
      <c r="E3779" t="s">
        <v>95</v>
      </c>
      <c r="F3779" t="s">
        <v>103</v>
      </c>
      <c r="G3779" t="s">
        <v>121</v>
      </c>
      <c r="H3779" t="s">
        <v>234</v>
      </c>
      <c r="J3779">
        <v>0</v>
      </c>
      <c r="K3779">
        <v>1</v>
      </c>
      <c r="L3779">
        <v>98.291666669999998</v>
      </c>
      <c r="M3779">
        <v>30.315130790000001</v>
      </c>
      <c r="N3779">
        <v>5.0803484000000003E-2</v>
      </c>
      <c r="O3779">
        <v>0.42866070000000001</v>
      </c>
      <c r="P3779">
        <v>89.8125</v>
      </c>
      <c r="Q3779">
        <v>34.754706650000003</v>
      </c>
      <c r="R3779">
        <v>2.3065078999999999E-2</v>
      </c>
      <c r="S3779">
        <v>2.4791666700000001</v>
      </c>
      <c r="T3779" t="s">
        <v>1019</v>
      </c>
      <c r="U3779">
        <v>2.7738405000000001E-2</v>
      </c>
    </row>
    <row r="3780" spans="1:21" x14ac:dyDescent="0.25">
      <c r="A3780" t="s">
        <v>62</v>
      </c>
      <c r="B3780" t="s">
        <v>898</v>
      </c>
      <c r="C3780">
        <v>12</v>
      </c>
      <c r="D3780" t="s">
        <v>37</v>
      </c>
      <c r="E3780" t="s">
        <v>95</v>
      </c>
      <c r="F3780" t="s">
        <v>103</v>
      </c>
      <c r="G3780" t="s">
        <v>121</v>
      </c>
      <c r="H3780" t="s">
        <v>241</v>
      </c>
      <c r="J3780">
        <v>0</v>
      </c>
      <c r="K3780">
        <v>1</v>
      </c>
      <c r="L3780">
        <v>98.291666669999998</v>
      </c>
      <c r="M3780">
        <v>30.315130790000001</v>
      </c>
      <c r="N3780">
        <v>5.0803484000000003E-2</v>
      </c>
      <c r="O3780">
        <v>0.42866070000000001</v>
      </c>
      <c r="P3780">
        <v>114</v>
      </c>
      <c r="Q3780">
        <v>30.43077242</v>
      </c>
      <c r="R3780">
        <v>0.53383111100000002</v>
      </c>
      <c r="S3780">
        <v>0.28333332999999999</v>
      </c>
      <c r="T3780" t="s">
        <v>1019</v>
      </c>
      <c r="U3780">
        <v>0.48302762700000001</v>
      </c>
    </row>
    <row r="3781" spans="1:21" x14ac:dyDescent="0.25">
      <c r="A3781" t="s">
        <v>63</v>
      </c>
      <c r="B3781" t="s">
        <v>899</v>
      </c>
      <c r="C3781">
        <v>12</v>
      </c>
      <c r="D3781" t="s">
        <v>64</v>
      </c>
      <c r="E3781" t="s">
        <v>94</v>
      </c>
      <c r="F3781" t="s">
        <v>104</v>
      </c>
      <c r="G3781" t="s">
        <v>121</v>
      </c>
      <c r="H3781" t="s">
        <v>238</v>
      </c>
      <c r="J3781">
        <v>0</v>
      </c>
      <c r="K3781">
        <v>2</v>
      </c>
      <c r="L3781">
        <v>113.9375</v>
      </c>
      <c r="M3781">
        <v>33.375507550000002</v>
      </c>
      <c r="N3781">
        <v>2.4262999999999999</v>
      </c>
      <c r="O3781">
        <v>0.40692159999999999</v>
      </c>
      <c r="P3781">
        <v>87.5</v>
      </c>
      <c r="Q3781">
        <v>29.478311600000001</v>
      </c>
      <c r="R3781">
        <v>3.0797751000000002E-2</v>
      </c>
      <c r="S3781">
        <v>0.12931835</v>
      </c>
      <c r="T3781" t="s">
        <v>1019</v>
      </c>
      <c r="U3781">
        <v>2.3955022490000002</v>
      </c>
    </row>
    <row r="3782" spans="1:21" x14ac:dyDescent="0.25">
      <c r="A3782" t="s">
        <v>63</v>
      </c>
      <c r="B3782" t="s">
        <v>899</v>
      </c>
      <c r="C3782">
        <v>12</v>
      </c>
      <c r="D3782" t="s">
        <v>64</v>
      </c>
      <c r="E3782" t="s">
        <v>94</v>
      </c>
      <c r="F3782" t="s">
        <v>104</v>
      </c>
      <c r="G3782" t="s">
        <v>121</v>
      </c>
      <c r="H3782" t="s">
        <v>238</v>
      </c>
      <c r="J3782">
        <v>0</v>
      </c>
      <c r="K3782">
        <v>2</v>
      </c>
      <c r="L3782">
        <v>113.9375</v>
      </c>
      <c r="M3782">
        <v>33.375507550000002</v>
      </c>
      <c r="N3782">
        <v>2.4262999999999999</v>
      </c>
      <c r="O3782">
        <v>0.40692159999999999</v>
      </c>
      <c r="P3782">
        <v>87.5</v>
      </c>
      <c r="Q3782">
        <v>29.478311600000001</v>
      </c>
      <c r="R3782">
        <v>3.0797751000000002E-2</v>
      </c>
      <c r="S3782">
        <v>0.12931835</v>
      </c>
      <c r="T3782" t="s">
        <v>1019</v>
      </c>
      <c r="U3782">
        <v>2.3955022490000002</v>
      </c>
    </row>
    <row r="3783" spans="1:21" x14ac:dyDescent="0.25">
      <c r="A3783" t="s">
        <v>63</v>
      </c>
      <c r="B3783" t="s">
        <v>899</v>
      </c>
      <c r="C3783">
        <v>12</v>
      </c>
      <c r="D3783" t="s">
        <v>64</v>
      </c>
      <c r="E3783" t="s">
        <v>94</v>
      </c>
      <c r="F3783" t="s">
        <v>104</v>
      </c>
      <c r="G3783" t="s">
        <v>121</v>
      </c>
      <c r="H3783" t="s">
        <v>103</v>
      </c>
      <c r="J3783">
        <v>0</v>
      </c>
      <c r="K3783">
        <v>1</v>
      </c>
      <c r="L3783">
        <v>113.9375</v>
      </c>
      <c r="M3783">
        <v>33.375507550000002</v>
      </c>
      <c r="N3783">
        <v>2.4262999999999999</v>
      </c>
      <c r="O3783">
        <v>0.40692159999999999</v>
      </c>
      <c r="P3783">
        <v>98.291666669999998</v>
      </c>
      <c r="Q3783">
        <v>30.315130790000001</v>
      </c>
      <c r="R3783">
        <v>5.0803484000000003E-2</v>
      </c>
      <c r="S3783">
        <v>0.42866070000000001</v>
      </c>
      <c r="T3783" t="s">
        <v>1019</v>
      </c>
      <c r="U3783">
        <v>2.3754965160000001</v>
      </c>
    </row>
    <row r="3784" spans="1:21" x14ac:dyDescent="0.25">
      <c r="A3784" t="s">
        <v>63</v>
      </c>
      <c r="B3784" t="s">
        <v>899</v>
      </c>
      <c r="C3784">
        <v>12</v>
      </c>
      <c r="D3784" t="s">
        <v>64</v>
      </c>
      <c r="E3784" t="s">
        <v>94</v>
      </c>
      <c r="F3784" t="s">
        <v>104</v>
      </c>
      <c r="G3784" t="s">
        <v>121</v>
      </c>
      <c r="H3784" t="s">
        <v>248</v>
      </c>
      <c r="J3784">
        <v>0</v>
      </c>
      <c r="K3784">
        <v>2</v>
      </c>
      <c r="L3784">
        <v>113.9375</v>
      </c>
      <c r="M3784">
        <v>33.375507550000002</v>
      </c>
      <c r="N3784">
        <v>2.4262999999999999</v>
      </c>
      <c r="O3784">
        <v>0.40692159999999999</v>
      </c>
      <c r="P3784">
        <v>83.92307692</v>
      </c>
      <c r="Q3784">
        <v>44.319135699999997</v>
      </c>
      <c r="R3784">
        <v>5.9548609999999997E-3</v>
      </c>
      <c r="S3784">
        <v>0.18017928</v>
      </c>
      <c r="T3784" t="s">
        <v>1019</v>
      </c>
      <c r="U3784">
        <v>2.4203451390000001</v>
      </c>
    </row>
    <row r="3785" spans="1:21" x14ac:dyDescent="0.25">
      <c r="A3785" t="s">
        <v>63</v>
      </c>
      <c r="B3785" t="s">
        <v>899</v>
      </c>
      <c r="C3785">
        <v>12</v>
      </c>
      <c r="D3785" t="s">
        <v>64</v>
      </c>
      <c r="E3785" t="s">
        <v>94</v>
      </c>
      <c r="F3785" t="s">
        <v>104</v>
      </c>
      <c r="G3785" t="s">
        <v>121</v>
      </c>
      <c r="H3785" t="s">
        <v>248</v>
      </c>
      <c r="J3785">
        <v>0</v>
      </c>
      <c r="K3785">
        <v>2</v>
      </c>
      <c r="L3785">
        <v>113.9375</v>
      </c>
      <c r="M3785">
        <v>33.375507550000002</v>
      </c>
      <c r="N3785">
        <v>2.4262999999999999</v>
      </c>
      <c r="O3785">
        <v>0.40692159999999999</v>
      </c>
      <c r="P3785">
        <v>83.92307692</v>
      </c>
      <c r="Q3785">
        <v>44.319135699999997</v>
      </c>
      <c r="R3785">
        <v>5.9548609999999997E-3</v>
      </c>
      <c r="S3785">
        <v>0.18017928</v>
      </c>
      <c r="T3785" t="s">
        <v>1019</v>
      </c>
      <c r="U3785">
        <v>2.4203451390000001</v>
      </c>
    </row>
    <row r="3786" spans="1:21" x14ac:dyDescent="0.25">
      <c r="A3786" t="s">
        <v>65</v>
      </c>
      <c r="B3786" t="s">
        <v>900</v>
      </c>
      <c r="C3786">
        <v>12</v>
      </c>
      <c r="D3786" t="s">
        <v>66</v>
      </c>
      <c r="E3786" t="s">
        <v>95</v>
      </c>
      <c r="F3786" t="s">
        <v>105</v>
      </c>
      <c r="G3786" t="s">
        <v>121</v>
      </c>
      <c r="H3786" t="s">
        <v>111</v>
      </c>
      <c r="J3786">
        <v>0</v>
      </c>
      <c r="K3786">
        <v>1</v>
      </c>
      <c r="L3786">
        <v>67.5</v>
      </c>
      <c r="M3786">
        <v>47.937235809999997</v>
      </c>
      <c r="N3786">
        <v>0.41599678000000001</v>
      </c>
      <c r="O3786">
        <v>2.0950346999999998</v>
      </c>
      <c r="P3786">
        <v>94.97142857</v>
      </c>
      <c r="Q3786">
        <v>24.31591813</v>
      </c>
      <c r="R3786">
        <v>0.122951111</v>
      </c>
      <c r="S3786">
        <v>0.39050790000000002</v>
      </c>
      <c r="T3786" t="s">
        <v>1019</v>
      </c>
      <c r="U3786">
        <v>0.29304566900000001</v>
      </c>
    </row>
    <row r="3787" spans="1:21" x14ac:dyDescent="0.25">
      <c r="A3787" t="s">
        <v>65</v>
      </c>
      <c r="B3787" t="s">
        <v>900</v>
      </c>
      <c r="C3787">
        <v>12</v>
      </c>
      <c r="D3787" t="s">
        <v>66</v>
      </c>
      <c r="E3787" t="s">
        <v>95</v>
      </c>
      <c r="F3787" t="s">
        <v>105</v>
      </c>
      <c r="G3787" t="s">
        <v>121</v>
      </c>
      <c r="H3787" t="s">
        <v>808</v>
      </c>
      <c r="J3787">
        <v>0</v>
      </c>
      <c r="K3787">
        <v>1</v>
      </c>
      <c r="L3787">
        <v>67.5</v>
      </c>
      <c r="M3787">
        <v>47.937235809999997</v>
      </c>
      <c r="N3787">
        <v>0.41599678000000001</v>
      </c>
      <c r="O3787">
        <v>2.0950346999999998</v>
      </c>
      <c r="P3787">
        <v>102.79166669999999</v>
      </c>
      <c r="Q3787">
        <v>27.057373470000002</v>
      </c>
      <c r="R3787">
        <v>6.3567849939999999</v>
      </c>
      <c r="S3787" t="s">
        <v>114</v>
      </c>
      <c r="T3787" t="s">
        <v>1019</v>
      </c>
      <c r="U3787">
        <v>5.9407882140000003</v>
      </c>
    </row>
    <row r="3788" spans="1:21" x14ac:dyDescent="0.25">
      <c r="A3788" t="s">
        <v>65</v>
      </c>
      <c r="B3788" t="s">
        <v>900</v>
      </c>
      <c r="C3788">
        <v>12</v>
      </c>
      <c r="D3788" t="s">
        <v>66</v>
      </c>
      <c r="E3788" t="s">
        <v>95</v>
      </c>
      <c r="F3788" t="s">
        <v>105</v>
      </c>
      <c r="G3788" t="s">
        <v>121</v>
      </c>
      <c r="H3788" t="s">
        <v>247</v>
      </c>
      <c r="J3788">
        <v>0</v>
      </c>
      <c r="K3788">
        <v>1</v>
      </c>
      <c r="L3788">
        <v>67.5</v>
      </c>
      <c r="M3788">
        <v>47.937235809999997</v>
      </c>
      <c r="N3788">
        <v>0.41599678000000001</v>
      </c>
      <c r="O3788">
        <v>2.0950346999999998</v>
      </c>
      <c r="P3788">
        <v>65.791044779999993</v>
      </c>
      <c r="Q3788">
        <v>22.94519201</v>
      </c>
      <c r="R3788">
        <v>8.1320334999999994E-2</v>
      </c>
      <c r="S3788">
        <v>0.17285655</v>
      </c>
      <c r="T3788" t="s">
        <v>1019</v>
      </c>
      <c r="U3788">
        <v>0.33467644499999999</v>
      </c>
    </row>
    <row r="3789" spans="1:21" x14ac:dyDescent="0.25">
      <c r="A3789" t="s">
        <v>65</v>
      </c>
      <c r="B3789" t="s">
        <v>900</v>
      </c>
      <c r="C3789">
        <v>12</v>
      </c>
      <c r="D3789" t="s">
        <v>66</v>
      </c>
      <c r="E3789" t="s">
        <v>95</v>
      </c>
      <c r="F3789" t="s">
        <v>105</v>
      </c>
      <c r="G3789" t="s">
        <v>121</v>
      </c>
      <c r="H3789" t="s">
        <v>248</v>
      </c>
      <c r="J3789">
        <v>0</v>
      </c>
      <c r="K3789">
        <v>2</v>
      </c>
      <c r="L3789">
        <v>67.5</v>
      </c>
      <c r="M3789">
        <v>47.937235809999997</v>
      </c>
      <c r="N3789">
        <v>0.41599678000000001</v>
      </c>
      <c r="O3789">
        <v>2.0950346999999998</v>
      </c>
      <c r="P3789">
        <v>83.92307692</v>
      </c>
      <c r="Q3789">
        <v>44.319135699999997</v>
      </c>
      <c r="R3789">
        <v>5.9548609999999997E-3</v>
      </c>
      <c r="S3789">
        <v>0.18017928</v>
      </c>
      <c r="T3789" t="s">
        <v>1019</v>
      </c>
      <c r="U3789">
        <v>0.41004191899999998</v>
      </c>
    </row>
    <row r="3790" spans="1:21" x14ac:dyDescent="0.25">
      <c r="A3790" t="s">
        <v>65</v>
      </c>
      <c r="B3790" t="s">
        <v>900</v>
      </c>
      <c r="C3790">
        <v>12</v>
      </c>
      <c r="D3790" t="s">
        <v>66</v>
      </c>
      <c r="E3790" t="s">
        <v>95</v>
      </c>
      <c r="F3790" t="s">
        <v>105</v>
      </c>
      <c r="G3790" t="s">
        <v>121</v>
      </c>
      <c r="H3790" t="s">
        <v>248</v>
      </c>
      <c r="J3790">
        <v>0</v>
      </c>
      <c r="K3790">
        <v>2</v>
      </c>
      <c r="L3790">
        <v>67.5</v>
      </c>
      <c r="M3790">
        <v>47.937235809999997</v>
      </c>
      <c r="N3790">
        <v>0.41599678000000001</v>
      </c>
      <c r="O3790">
        <v>2.0950346999999998</v>
      </c>
      <c r="P3790">
        <v>83.92307692</v>
      </c>
      <c r="Q3790">
        <v>44.319135699999997</v>
      </c>
      <c r="R3790">
        <v>5.9548609999999997E-3</v>
      </c>
      <c r="S3790">
        <v>0.18017928</v>
      </c>
      <c r="T3790" t="s">
        <v>1019</v>
      </c>
      <c r="U3790">
        <v>0.41004191899999998</v>
      </c>
    </row>
    <row r="3791" spans="1:21" x14ac:dyDescent="0.25">
      <c r="A3791" t="s">
        <v>10</v>
      </c>
      <c r="B3791" t="s">
        <v>901</v>
      </c>
      <c r="C3791">
        <v>15</v>
      </c>
      <c r="D3791" t="s">
        <v>11</v>
      </c>
      <c r="E3791" t="s">
        <v>94</v>
      </c>
      <c r="F3791" t="s">
        <v>102</v>
      </c>
      <c r="G3791" t="s">
        <v>102</v>
      </c>
      <c r="H3791" t="s">
        <v>102</v>
      </c>
      <c r="J3791">
        <v>0</v>
      </c>
      <c r="K3791">
        <v>1</v>
      </c>
      <c r="L3791">
        <v>84.740740740000007</v>
      </c>
      <c r="M3791">
        <v>29.167014049999999</v>
      </c>
      <c r="N3791">
        <v>1.1169849999999999</v>
      </c>
      <c r="O3791">
        <v>1.1571499000000001</v>
      </c>
      <c r="P3791">
        <v>84.740740740000007</v>
      </c>
      <c r="Q3791">
        <v>29.167014049999999</v>
      </c>
      <c r="R3791">
        <v>1.1169849999999999</v>
      </c>
      <c r="S3791">
        <v>1.1571499000000001</v>
      </c>
      <c r="T3791" t="s">
        <v>1019</v>
      </c>
      <c r="U3791">
        <v>0</v>
      </c>
    </row>
    <row r="3792" spans="1:21" x14ac:dyDescent="0.25">
      <c r="A3792" t="s">
        <v>10</v>
      </c>
      <c r="B3792" t="s">
        <v>901</v>
      </c>
      <c r="C3792">
        <v>16</v>
      </c>
      <c r="D3792" t="s">
        <v>11</v>
      </c>
      <c r="E3792" t="s">
        <v>94</v>
      </c>
      <c r="F3792" t="s">
        <v>102</v>
      </c>
      <c r="G3792" t="s">
        <v>102</v>
      </c>
      <c r="H3792" t="s">
        <v>111</v>
      </c>
      <c r="J3792">
        <v>0</v>
      </c>
      <c r="K3792">
        <v>1</v>
      </c>
      <c r="L3792">
        <v>84.740740740000007</v>
      </c>
      <c r="M3792">
        <v>29.167014049999999</v>
      </c>
      <c r="N3792">
        <v>1.1169849999999999</v>
      </c>
      <c r="O3792">
        <v>1.1571499000000001</v>
      </c>
      <c r="P3792">
        <v>94.97142857</v>
      </c>
      <c r="Q3792">
        <v>24.31591813</v>
      </c>
      <c r="R3792">
        <v>0.122951111</v>
      </c>
      <c r="S3792">
        <v>0.39050790000000002</v>
      </c>
      <c r="T3792" t="s">
        <v>1019</v>
      </c>
      <c r="U3792">
        <v>0.994033889</v>
      </c>
    </row>
    <row r="3793" spans="1:21" x14ac:dyDescent="0.25">
      <c r="A3793" t="s">
        <v>10</v>
      </c>
      <c r="B3793" t="s">
        <v>902</v>
      </c>
      <c r="C3793">
        <v>15</v>
      </c>
      <c r="D3793" t="s">
        <v>11</v>
      </c>
      <c r="E3793" t="s">
        <v>94</v>
      </c>
      <c r="F3793" t="s">
        <v>105</v>
      </c>
      <c r="G3793" t="s">
        <v>121</v>
      </c>
      <c r="H3793" t="s">
        <v>244</v>
      </c>
      <c r="J3793">
        <v>0</v>
      </c>
      <c r="K3793">
        <v>2</v>
      </c>
      <c r="L3793">
        <v>67.5</v>
      </c>
      <c r="M3793">
        <v>47.937235809999997</v>
      </c>
      <c r="N3793">
        <v>0.41599678000000001</v>
      </c>
      <c r="O3793">
        <v>2.0950346999999998</v>
      </c>
      <c r="P3793">
        <v>75</v>
      </c>
      <c r="Q3793">
        <v>28.80614499</v>
      </c>
      <c r="R3793">
        <v>2.3860428570000001</v>
      </c>
      <c r="S3793">
        <v>0.26400832000000002</v>
      </c>
      <c r="T3793" t="s">
        <v>1019</v>
      </c>
      <c r="U3793">
        <v>1.9700460769999999</v>
      </c>
    </row>
    <row r="3794" spans="1:21" x14ac:dyDescent="0.25">
      <c r="A3794" t="s">
        <v>10</v>
      </c>
      <c r="B3794" t="s">
        <v>902</v>
      </c>
      <c r="C3794">
        <v>15</v>
      </c>
      <c r="D3794" t="s">
        <v>11</v>
      </c>
      <c r="E3794" t="s">
        <v>94</v>
      </c>
      <c r="F3794" t="s">
        <v>105</v>
      </c>
      <c r="G3794" t="s">
        <v>121</v>
      </c>
      <c r="H3794" t="s">
        <v>244</v>
      </c>
      <c r="J3794">
        <v>0</v>
      </c>
      <c r="K3794">
        <v>2</v>
      </c>
      <c r="L3794">
        <v>67.5</v>
      </c>
      <c r="M3794">
        <v>47.937235809999997</v>
      </c>
      <c r="N3794">
        <v>0.41599678000000001</v>
      </c>
      <c r="O3794">
        <v>2.0950346999999998</v>
      </c>
      <c r="P3794">
        <v>75</v>
      </c>
      <c r="Q3794">
        <v>28.80614499</v>
      </c>
      <c r="R3794">
        <v>2.3860428570000001</v>
      </c>
      <c r="S3794">
        <v>0.26400832000000002</v>
      </c>
      <c r="T3794" t="s">
        <v>1019</v>
      </c>
      <c r="U3794">
        <v>1.9700460769999999</v>
      </c>
    </row>
    <row r="3795" spans="1:21" x14ac:dyDescent="0.25">
      <c r="A3795" t="s">
        <v>10</v>
      </c>
      <c r="B3795" t="s">
        <v>902</v>
      </c>
      <c r="C3795">
        <v>16</v>
      </c>
      <c r="D3795" t="s">
        <v>11</v>
      </c>
      <c r="E3795" t="s">
        <v>94</v>
      </c>
      <c r="F3795" t="s">
        <v>105</v>
      </c>
      <c r="G3795" t="s">
        <v>121</v>
      </c>
      <c r="H3795" t="s">
        <v>104</v>
      </c>
      <c r="J3795">
        <v>0</v>
      </c>
      <c r="K3795">
        <v>1</v>
      </c>
      <c r="L3795">
        <v>67.5</v>
      </c>
      <c r="M3795">
        <v>47.937235809999997</v>
      </c>
      <c r="N3795">
        <v>0.41599678000000001</v>
      </c>
      <c r="O3795">
        <v>2.0950346999999998</v>
      </c>
      <c r="P3795">
        <v>113.9375</v>
      </c>
      <c r="Q3795">
        <v>33.375507550000002</v>
      </c>
      <c r="R3795">
        <v>2.4262999999999999</v>
      </c>
      <c r="S3795">
        <v>0.40692159999999999</v>
      </c>
      <c r="T3795" t="s">
        <v>1019</v>
      </c>
      <c r="U3795">
        <v>2.0103032199999999</v>
      </c>
    </row>
    <row r="3796" spans="1:21" x14ac:dyDescent="0.25">
      <c r="A3796" t="s">
        <v>10</v>
      </c>
      <c r="B3796" t="s">
        <v>903</v>
      </c>
      <c r="C3796">
        <v>15</v>
      </c>
      <c r="D3796" t="s">
        <v>11</v>
      </c>
      <c r="E3796" t="s">
        <v>94</v>
      </c>
      <c r="F3796" t="s">
        <v>103</v>
      </c>
      <c r="G3796" t="s">
        <v>121</v>
      </c>
      <c r="H3796" t="s">
        <v>245</v>
      </c>
      <c r="J3796">
        <v>0</v>
      </c>
      <c r="K3796">
        <v>1</v>
      </c>
      <c r="L3796">
        <v>98.291666669999998</v>
      </c>
      <c r="M3796">
        <v>30.315130790000001</v>
      </c>
      <c r="N3796">
        <v>5.0803484000000003E-2</v>
      </c>
      <c r="O3796">
        <v>0.42866070000000001</v>
      </c>
      <c r="P3796" t="s">
        <v>114</v>
      </c>
      <c r="Q3796" t="s">
        <v>114</v>
      </c>
      <c r="R3796" t="s">
        <v>114</v>
      </c>
      <c r="S3796" t="s">
        <v>114</v>
      </c>
      <c r="T3796" t="s">
        <v>1019</v>
      </c>
      <c r="U3796" t="s">
        <v>114</v>
      </c>
    </row>
    <row r="3797" spans="1:21" x14ac:dyDescent="0.25">
      <c r="A3797" t="s">
        <v>10</v>
      </c>
      <c r="B3797" t="s">
        <v>904</v>
      </c>
      <c r="C3797">
        <v>15</v>
      </c>
      <c r="D3797" t="s">
        <v>11</v>
      </c>
      <c r="E3797" t="s">
        <v>94</v>
      </c>
      <c r="F3797" t="s">
        <v>104</v>
      </c>
      <c r="G3797" t="s">
        <v>121</v>
      </c>
      <c r="H3797" t="s">
        <v>242</v>
      </c>
      <c r="J3797">
        <v>0</v>
      </c>
      <c r="K3797">
        <v>6</v>
      </c>
      <c r="L3797">
        <v>113.9375</v>
      </c>
      <c r="M3797">
        <v>33.375507550000002</v>
      </c>
      <c r="N3797">
        <v>2.4262999999999999</v>
      </c>
      <c r="O3797">
        <v>0.40692159999999999</v>
      </c>
      <c r="P3797">
        <v>139.375</v>
      </c>
      <c r="Q3797">
        <v>23.713465920000001</v>
      </c>
      <c r="R3797" t="s">
        <v>114</v>
      </c>
      <c r="S3797" t="s">
        <v>114</v>
      </c>
      <c r="T3797" t="s">
        <v>1019</v>
      </c>
      <c r="U3797" t="s">
        <v>114</v>
      </c>
    </row>
    <row r="3798" spans="1:21" x14ac:dyDescent="0.25">
      <c r="A3798" t="s">
        <v>10</v>
      </c>
      <c r="B3798" t="s">
        <v>904</v>
      </c>
      <c r="C3798">
        <v>15</v>
      </c>
      <c r="D3798" t="s">
        <v>11</v>
      </c>
      <c r="E3798" t="s">
        <v>94</v>
      </c>
      <c r="F3798" t="s">
        <v>104</v>
      </c>
      <c r="G3798" t="s">
        <v>121</v>
      </c>
      <c r="H3798" t="s">
        <v>242</v>
      </c>
      <c r="J3798">
        <v>0</v>
      </c>
      <c r="K3798">
        <v>6</v>
      </c>
      <c r="L3798">
        <v>113.9375</v>
      </c>
      <c r="M3798">
        <v>33.375507550000002</v>
      </c>
      <c r="N3798">
        <v>2.4262999999999999</v>
      </c>
      <c r="O3798">
        <v>0.40692159999999999</v>
      </c>
      <c r="P3798">
        <v>139.375</v>
      </c>
      <c r="Q3798">
        <v>23.713465920000001</v>
      </c>
      <c r="R3798" t="s">
        <v>114</v>
      </c>
      <c r="S3798" t="s">
        <v>114</v>
      </c>
      <c r="T3798" t="s">
        <v>1019</v>
      </c>
      <c r="U3798" t="s">
        <v>114</v>
      </c>
    </row>
    <row r="3799" spans="1:21" x14ac:dyDescent="0.25">
      <c r="A3799" t="s">
        <v>10</v>
      </c>
      <c r="B3799" t="s">
        <v>904</v>
      </c>
      <c r="C3799">
        <v>15</v>
      </c>
      <c r="D3799" t="s">
        <v>11</v>
      </c>
      <c r="E3799" t="s">
        <v>94</v>
      </c>
      <c r="F3799" t="s">
        <v>104</v>
      </c>
      <c r="G3799" t="s">
        <v>121</v>
      </c>
      <c r="H3799" t="s">
        <v>242</v>
      </c>
      <c r="J3799">
        <v>0</v>
      </c>
      <c r="K3799">
        <v>6</v>
      </c>
      <c r="L3799">
        <v>113.9375</v>
      </c>
      <c r="M3799">
        <v>33.375507550000002</v>
      </c>
      <c r="N3799">
        <v>2.4262999999999999</v>
      </c>
      <c r="O3799">
        <v>0.40692159999999999</v>
      </c>
      <c r="P3799">
        <v>139.375</v>
      </c>
      <c r="Q3799">
        <v>23.713465920000001</v>
      </c>
      <c r="R3799" t="s">
        <v>114</v>
      </c>
      <c r="S3799" t="s">
        <v>114</v>
      </c>
      <c r="T3799" t="s">
        <v>1019</v>
      </c>
      <c r="U3799" t="s">
        <v>114</v>
      </c>
    </row>
    <row r="3800" spans="1:21" x14ac:dyDescent="0.25">
      <c r="A3800" t="s">
        <v>10</v>
      </c>
      <c r="B3800" t="s">
        <v>904</v>
      </c>
      <c r="C3800">
        <v>15</v>
      </c>
      <c r="D3800" t="s">
        <v>11</v>
      </c>
      <c r="E3800" t="s">
        <v>94</v>
      </c>
      <c r="F3800" t="s">
        <v>104</v>
      </c>
      <c r="G3800" t="s">
        <v>121</v>
      </c>
      <c r="H3800" t="s">
        <v>242</v>
      </c>
      <c r="J3800">
        <v>0</v>
      </c>
      <c r="K3800">
        <v>6</v>
      </c>
      <c r="L3800">
        <v>113.9375</v>
      </c>
      <c r="M3800">
        <v>33.375507550000002</v>
      </c>
      <c r="N3800">
        <v>2.4262999999999999</v>
      </c>
      <c r="O3800">
        <v>0.40692159999999999</v>
      </c>
      <c r="P3800">
        <v>139.375</v>
      </c>
      <c r="Q3800">
        <v>23.713465920000001</v>
      </c>
      <c r="R3800" t="s">
        <v>114</v>
      </c>
      <c r="S3800" t="s">
        <v>114</v>
      </c>
      <c r="T3800" t="s">
        <v>1019</v>
      </c>
      <c r="U3800" t="s">
        <v>114</v>
      </c>
    </row>
    <row r="3801" spans="1:21" x14ac:dyDescent="0.25">
      <c r="A3801" t="s">
        <v>10</v>
      </c>
      <c r="B3801" t="s">
        <v>904</v>
      </c>
      <c r="C3801">
        <v>15</v>
      </c>
      <c r="D3801" t="s">
        <v>11</v>
      </c>
      <c r="E3801" t="s">
        <v>94</v>
      </c>
      <c r="F3801" t="s">
        <v>104</v>
      </c>
      <c r="G3801" t="s">
        <v>121</v>
      </c>
      <c r="H3801" t="s">
        <v>242</v>
      </c>
      <c r="J3801">
        <v>0</v>
      </c>
      <c r="K3801">
        <v>6</v>
      </c>
      <c r="L3801">
        <v>113.9375</v>
      </c>
      <c r="M3801">
        <v>33.375507550000002</v>
      </c>
      <c r="N3801">
        <v>2.4262999999999999</v>
      </c>
      <c r="O3801">
        <v>0.40692159999999999</v>
      </c>
      <c r="P3801">
        <v>139.375</v>
      </c>
      <c r="Q3801">
        <v>23.713465920000001</v>
      </c>
      <c r="R3801" t="s">
        <v>114</v>
      </c>
      <c r="S3801" t="s">
        <v>114</v>
      </c>
      <c r="T3801" t="s">
        <v>1019</v>
      </c>
      <c r="U3801" t="s">
        <v>114</v>
      </c>
    </row>
    <row r="3802" spans="1:21" x14ac:dyDescent="0.25">
      <c r="A3802" t="s">
        <v>10</v>
      </c>
      <c r="B3802" t="s">
        <v>904</v>
      </c>
      <c r="C3802">
        <v>15</v>
      </c>
      <c r="D3802" t="s">
        <v>11</v>
      </c>
      <c r="E3802" t="s">
        <v>94</v>
      </c>
      <c r="F3802" t="s">
        <v>104</v>
      </c>
      <c r="G3802" t="s">
        <v>121</v>
      </c>
      <c r="H3802" t="s">
        <v>242</v>
      </c>
      <c r="J3802">
        <v>0</v>
      </c>
      <c r="K3802">
        <v>6</v>
      </c>
      <c r="L3802">
        <v>113.9375</v>
      </c>
      <c r="M3802">
        <v>33.375507550000002</v>
      </c>
      <c r="N3802">
        <v>2.4262999999999999</v>
      </c>
      <c r="O3802">
        <v>0.40692159999999999</v>
      </c>
      <c r="P3802">
        <v>139.375</v>
      </c>
      <c r="Q3802">
        <v>23.713465920000001</v>
      </c>
      <c r="R3802" t="s">
        <v>114</v>
      </c>
      <c r="S3802" t="s">
        <v>114</v>
      </c>
      <c r="T3802" t="s">
        <v>1019</v>
      </c>
      <c r="U3802" t="s">
        <v>114</v>
      </c>
    </row>
    <row r="3803" spans="1:21" x14ac:dyDescent="0.25">
      <c r="A3803" t="s">
        <v>14</v>
      </c>
      <c r="B3803" t="s">
        <v>905</v>
      </c>
      <c r="C3803">
        <v>15</v>
      </c>
      <c r="D3803" t="s">
        <v>15</v>
      </c>
      <c r="E3803" t="s">
        <v>94</v>
      </c>
      <c r="F3803" t="s">
        <v>102</v>
      </c>
      <c r="G3803" t="s">
        <v>121</v>
      </c>
      <c r="H3803" t="s">
        <v>114</v>
      </c>
      <c r="J3803">
        <v>0</v>
      </c>
      <c r="K3803" t="s">
        <v>114</v>
      </c>
      <c r="L3803">
        <v>84.740740740000007</v>
      </c>
      <c r="M3803">
        <v>29.167014049999999</v>
      </c>
      <c r="N3803">
        <v>1.1169849999999999</v>
      </c>
      <c r="O3803">
        <v>1.1571499000000001</v>
      </c>
      <c r="P3803" t="s">
        <v>114</v>
      </c>
      <c r="Q3803" t="s">
        <v>114</v>
      </c>
      <c r="R3803" t="s">
        <v>114</v>
      </c>
      <c r="S3803" t="s">
        <v>114</v>
      </c>
      <c r="T3803" t="s">
        <v>1019</v>
      </c>
      <c r="U3803" t="s">
        <v>114</v>
      </c>
    </row>
    <row r="3804" spans="1:21" x14ac:dyDescent="0.25">
      <c r="A3804" t="s">
        <v>14</v>
      </c>
      <c r="B3804" t="s">
        <v>906</v>
      </c>
      <c r="C3804">
        <v>15</v>
      </c>
      <c r="D3804" t="s">
        <v>15</v>
      </c>
      <c r="E3804" t="s">
        <v>94</v>
      </c>
      <c r="F3804" t="s">
        <v>110</v>
      </c>
      <c r="G3804" t="s">
        <v>121</v>
      </c>
      <c r="H3804" t="s">
        <v>114</v>
      </c>
      <c r="J3804">
        <v>0</v>
      </c>
      <c r="K3804" t="s">
        <v>114</v>
      </c>
      <c r="L3804">
        <v>73.260869569999997</v>
      </c>
      <c r="M3804">
        <v>34.453830549999999</v>
      </c>
      <c r="N3804">
        <v>1.058333333</v>
      </c>
      <c r="O3804">
        <v>0.90897070000000002</v>
      </c>
      <c r="P3804" t="s">
        <v>114</v>
      </c>
      <c r="Q3804" t="s">
        <v>114</v>
      </c>
      <c r="R3804" t="s">
        <v>114</v>
      </c>
      <c r="S3804" t="s">
        <v>114</v>
      </c>
      <c r="T3804" t="s">
        <v>1019</v>
      </c>
      <c r="U3804" t="s">
        <v>114</v>
      </c>
    </row>
    <row r="3805" spans="1:21" x14ac:dyDescent="0.25">
      <c r="A3805" t="s">
        <v>14</v>
      </c>
      <c r="B3805" t="s">
        <v>907</v>
      </c>
      <c r="C3805">
        <v>15</v>
      </c>
      <c r="D3805" t="s">
        <v>15</v>
      </c>
      <c r="E3805" t="s">
        <v>94</v>
      </c>
      <c r="F3805" t="s">
        <v>111</v>
      </c>
      <c r="G3805" t="s">
        <v>110</v>
      </c>
      <c r="H3805" t="s">
        <v>110</v>
      </c>
      <c r="J3805">
        <v>0</v>
      </c>
      <c r="K3805">
        <v>1</v>
      </c>
      <c r="L3805">
        <v>94.97142857</v>
      </c>
      <c r="M3805">
        <v>24.31591813</v>
      </c>
      <c r="N3805">
        <v>0.122951111</v>
      </c>
      <c r="O3805">
        <v>0.39050790000000002</v>
      </c>
      <c r="P3805">
        <v>73.260869569999997</v>
      </c>
      <c r="Q3805">
        <v>34.453830549999999</v>
      </c>
      <c r="R3805">
        <v>1.058333333</v>
      </c>
      <c r="S3805">
        <v>0.90897070000000002</v>
      </c>
      <c r="T3805" t="s">
        <v>1019</v>
      </c>
      <c r="U3805">
        <v>0.93538222199999999</v>
      </c>
    </row>
    <row r="3806" spans="1:21" x14ac:dyDescent="0.25">
      <c r="A3806" t="s">
        <v>14</v>
      </c>
      <c r="B3806" t="s">
        <v>908</v>
      </c>
      <c r="C3806">
        <v>15</v>
      </c>
      <c r="D3806" t="s">
        <v>15</v>
      </c>
      <c r="E3806" t="s">
        <v>94</v>
      </c>
      <c r="F3806" t="s">
        <v>104</v>
      </c>
      <c r="G3806" t="s">
        <v>110</v>
      </c>
      <c r="H3806" t="s">
        <v>110</v>
      </c>
      <c r="J3806">
        <v>0</v>
      </c>
      <c r="K3806">
        <v>1</v>
      </c>
      <c r="L3806">
        <v>113.9375</v>
      </c>
      <c r="M3806">
        <v>33.375507550000002</v>
      </c>
      <c r="N3806">
        <v>2.4262999999999999</v>
      </c>
      <c r="O3806">
        <v>0.40692159999999999</v>
      </c>
      <c r="P3806">
        <v>73.260869569999997</v>
      </c>
      <c r="Q3806">
        <v>34.453830549999999</v>
      </c>
      <c r="R3806">
        <v>1.058333333</v>
      </c>
      <c r="S3806">
        <v>0.90897070000000002</v>
      </c>
      <c r="T3806" t="s">
        <v>1019</v>
      </c>
      <c r="U3806">
        <v>1.3679666669999999</v>
      </c>
    </row>
    <row r="3807" spans="1:21" x14ac:dyDescent="0.25">
      <c r="A3807" t="s">
        <v>14</v>
      </c>
      <c r="B3807" t="s">
        <v>908</v>
      </c>
      <c r="C3807">
        <v>16</v>
      </c>
      <c r="D3807" t="s">
        <v>15</v>
      </c>
      <c r="E3807" t="s">
        <v>94</v>
      </c>
      <c r="F3807" t="s">
        <v>104</v>
      </c>
      <c r="G3807" t="s">
        <v>110</v>
      </c>
      <c r="H3807" t="s">
        <v>104</v>
      </c>
      <c r="J3807">
        <v>0</v>
      </c>
      <c r="K3807">
        <v>2</v>
      </c>
      <c r="L3807">
        <v>113.9375</v>
      </c>
      <c r="M3807">
        <v>33.375507550000002</v>
      </c>
      <c r="N3807">
        <v>2.4262999999999999</v>
      </c>
      <c r="O3807">
        <v>0.40692159999999999</v>
      </c>
      <c r="P3807">
        <v>113.9375</v>
      </c>
      <c r="Q3807">
        <v>33.375507550000002</v>
      </c>
      <c r="R3807">
        <v>2.4262999999999999</v>
      </c>
      <c r="S3807">
        <v>0.40692159999999999</v>
      </c>
      <c r="T3807" t="s">
        <v>1019</v>
      </c>
      <c r="U3807">
        <v>0</v>
      </c>
    </row>
    <row r="3808" spans="1:21" x14ac:dyDescent="0.25">
      <c r="A3808" t="s">
        <v>14</v>
      </c>
      <c r="B3808" t="s">
        <v>908</v>
      </c>
      <c r="C3808">
        <v>16</v>
      </c>
      <c r="D3808" t="s">
        <v>15</v>
      </c>
      <c r="E3808" t="s">
        <v>94</v>
      </c>
      <c r="F3808" t="s">
        <v>104</v>
      </c>
      <c r="G3808" t="s">
        <v>110</v>
      </c>
      <c r="H3808" t="s">
        <v>104</v>
      </c>
      <c r="J3808">
        <v>0</v>
      </c>
      <c r="K3808">
        <v>2</v>
      </c>
      <c r="L3808">
        <v>113.9375</v>
      </c>
      <c r="M3808">
        <v>33.375507550000002</v>
      </c>
      <c r="N3808">
        <v>2.4262999999999999</v>
      </c>
      <c r="O3808">
        <v>0.40692159999999999</v>
      </c>
      <c r="P3808">
        <v>113.9375</v>
      </c>
      <c r="Q3808">
        <v>33.375507550000002</v>
      </c>
      <c r="R3808">
        <v>2.4262999999999999</v>
      </c>
      <c r="S3808">
        <v>0.40692159999999999</v>
      </c>
      <c r="T3808" t="s">
        <v>1019</v>
      </c>
      <c r="U3808">
        <v>0</v>
      </c>
    </row>
    <row r="3809" spans="1:21" x14ac:dyDescent="0.25">
      <c r="A3809" t="s">
        <v>16</v>
      </c>
      <c r="B3809" t="s">
        <v>909</v>
      </c>
      <c r="C3809">
        <v>15</v>
      </c>
      <c r="D3809" t="s">
        <v>17</v>
      </c>
      <c r="E3809" t="s">
        <v>95</v>
      </c>
      <c r="F3809" t="s">
        <v>113</v>
      </c>
      <c r="G3809" t="s">
        <v>104</v>
      </c>
      <c r="H3809" t="s">
        <v>104</v>
      </c>
      <c r="J3809">
        <v>0</v>
      </c>
      <c r="K3809">
        <v>1</v>
      </c>
      <c r="L3809">
        <v>83.757575759999995</v>
      </c>
      <c r="M3809">
        <v>22.60997987</v>
      </c>
      <c r="N3809">
        <v>0.72884000000000004</v>
      </c>
      <c r="O3809">
        <v>0.21301339999999999</v>
      </c>
      <c r="P3809">
        <v>113.9375</v>
      </c>
      <c r="Q3809">
        <v>33.375507550000002</v>
      </c>
      <c r="R3809">
        <v>2.4262999999999999</v>
      </c>
      <c r="S3809">
        <v>0.40692159999999999</v>
      </c>
      <c r="T3809" t="s">
        <v>1019</v>
      </c>
      <c r="U3809">
        <v>1.69746</v>
      </c>
    </row>
    <row r="3810" spans="1:21" x14ac:dyDescent="0.25">
      <c r="A3810" t="s">
        <v>16</v>
      </c>
      <c r="B3810" t="s">
        <v>909</v>
      </c>
      <c r="C3810">
        <v>16</v>
      </c>
      <c r="D3810" t="s">
        <v>17</v>
      </c>
      <c r="E3810" t="s">
        <v>95</v>
      </c>
      <c r="F3810" t="s">
        <v>113</v>
      </c>
      <c r="G3810" t="s">
        <v>104</v>
      </c>
      <c r="H3810" t="s">
        <v>113</v>
      </c>
      <c r="J3810">
        <v>0</v>
      </c>
      <c r="K3810">
        <v>3</v>
      </c>
      <c r="L3810">
        <v>83.757575759999995</v>
      </c>
      <c r="M3810">
        <v>22.60997987</v>
      </c>
      <c r="N3810">
        <v>0.72884000000000004</v>
      </c>
      <c r="O3810">
        <v>0.21301339999999999</v>
      </c>
      <c r="P3810">
        <v>83.757575759999995</v>
      </c>
      <c r="Q3810">
        <v>22.60997987</v>
      </c>
      <c r="R3810">
        <v>0.72884000000000004</v>
      </c>
      <c r="S3810">
        <v>0.21301339999999999</v>
      </c>
      <c r="T3810" t="s">
        <v>1019</v>
      </c>
      <c r="U3810">
        <v>0</v>
      </c>
    </row>
    <row r="3811" spans="1:21" x14ac:dyDescent="0.25">
      <c r="A3811" t="s">
        <v>16</v>
      </c>
      <c r="B3811" t="s">
        <v>909</v>
      </c>
      <c r="C3811">
        <v>16</v>
      </c>
      <c r="D3811" t="s">
        <v>17</v>
      </c>
      <c r="E3811" t="s">
        <v>95</v>
      </c>
      <c r="F3811" t="s">
        <v>113</v>
      </c>
      <c r="G3811" t="s">
        <v>104</v>
      </c>
      <c r="H3811" t="s">
        <v>113</v>
      </c>
      <c r="J3811">
        <v>0</v>
      </c>
      <c r="K3811">
        <v>3</v>
      </c>
      <c r="L3811">
        <v>83.757575759999995</v>
      </c>
      <c r="M3811">
        <v>22.60997987</v>
      </c>
      <c r="N3811">
        <v>0.72884000000000004</v>
      </c>
      <c r="O3811">
        <v>0.21301339999999999</v>
      </c>
      <c r="P3811">
        <v>83.757575759999995</v>
      </c>
      <c r="Q3811">
        <v>22.60997987</v>
      </c>
      <c r="R3811">
        <v>0.72884000000000004</v>
      </c>
      <c r="S3811">
        <v>0.21301339999999999</v>
      </c>
      <c r="T3811" t="s">
        <v>1019</v>
      </c>
      <c r="U3811">
        <v>0</v>
      </c>
    </row>
    <row r="3812" spans="1:21" x14ac:dyDescent="0.25">
      <c r="A3812" t="s">
        <v>16</v>
      </c>
      <c r="B3812" t="s">
        <v>909</v>
      </c>
      <c r="C3812">
        <v>16</v>
      </c>
      <c r="D3812" t="s">
        <v>17</v>
      </c>
      <c r="E3812" t="s">
        <v>95</v>
      </c>
      <c r="F3812" t="s">
        <v>113</v>
      </c>
      <c r="G3812" t="s">
        <v>104</v>
      </c>
      <c r="H3812" t="s">
        <v>113</v>
      </c>
      <c r="J3812">
        <v>0</v>
      </c>
      <c r="K3812">
        <v>3</v>
      </c>
      <c r="L3812">
        <v>83.757575759999995</v>
      </c>
      <c r="M3812">
        <v>22.60997987</v>
      </c>
      <c r="N3812">
        <v>0.72884000000000004</v>
      </c>
      <c r="O3812">
        <v>0.21301339999999999</v>
      </c>
      <c r="P3812">
        <v>83.757575759999995</v>
      </c>
      <c r="Q3812">
        <v>22.60997987</v>
      </c>
      <c r="R3812">
        <v>0.72884000000000004</v>
      </c>
      <c r="S3812">
        <v>0.21301339999999999</v>
      </c>
      <c r="T3812" t="s">
        <v>1019</v>
      </c>
      <c r="U3812">
        <v>0</v>
      </c>
    </row>
    <row r="3813" spans="1:21" x14ac:dyDescent="0.25">
      <c r="A3813" t="s">
        <v>16</v>
      </c>
      <c r="B3813" t="s">
        <v>910</v>
      </c>
      <c r="C3813">
        <v>15</v>
      </c>
      <c r="D3813" t="s">
        <v>17</v>
      </c>
      <c r="E3813" t="s">
        <v>95</v>
      </c>
      <c r="F3813" t="s">
        <v>110</v>
      </c>
      <c r="G3813" t="s">
        <v>121</v>
      </c>
      <c r="H3813" t="s">
        <v>104</v>
      </c>
      <c r="J3813">
        <v>0</v>
      </c>
      <c r="K3813">
        <v>1</v>
      </c>
      <c r="L3813">
        <v>73.260869569999997</v>
      </c>
      <c r="M3813">
        <v>34.453830549999999</v>
      </c>
      <c r="N3813">
        <v>1.058333333</v>
      </c>
      <c r="O3813">
        <v>0.90897070000000002</v>
      </c>
      <c r="P3813">
        <v>113.9375</v>
      </c>
      <c r="Q3813">
        <v>33.375507550000002</v>
      </c>
      <c r="R3813">
        <v>2.4262999999999999</v>
      </c>
      <c r="S3813">
        <v>0.40692159999999999</v>
      </c>
      <c r="T3813" t="s">
        <v>1019</v>
      </c>
      <c r="U3813">
        <v>1.3679666669999999</v>
      </c>
    </row>
    <row r="3814" spans="1:21" x14ac:dyDescent="0.25">
      <c r="A3814" t="s">
        <v>16</v>
      </c>
      <c r="B3814" t="s">
        <v>910</v>
      </c>
      <c r="C3814">
        <v>16</v>
      </c>
      <c r="D3814" t="s">
        <v>17</v>
      </c>
      <c r="E3814" t="s">
        <v>95</v>
      </c>
      <c r="F3814" t="s">
        <v>110</v>
      </c>
      <c r="G3814" t="s">
        <v>121</v>
      </c>
      <c r="H3814" t="s">
        <v>241</v>
      </c>
      <c r="J3814">
        <v>0</v>
      </c>
      <c r="K3814">
        <v>1</v>
      </c>
      <c r="L3814">
        <v>73.260869569999997</v>
      </c>
      <c r="M3814">
        <v>34.453830549999999</v>
      </c>
      <c r="N3814">
        <v>1.058333333</v>
      </c>
      <c r="O3814">
        <v>0.90897070000000002</v>
      </c>
      <c r="P3814">
        <v>114</v>
      </c>
      <c r="Q3814">
        <v>30.43077242</v>
      </c>
      <c r="R3814">
        <v>0.53383111100000002</v>
      </c>
      <c r="S3814">
        <v>0.28333332999999999</v>
      </c>
      <c r="T3814" t="s">
        <v>1019</v>
      </c>
      <c r="U3814">
        <v>0.52450222199999996</v>
      </c>
    </row>
    <row r="3815" spans="1:21" x14ac:dyDescent="0.25">
      <c r="A3815" t="s">
        <v>16</v>
      </c>
      <c r="B3815" t="s">
        <v>911</v>
      </c>
      <c r="C3815">
        <v>15</v>
      </c>
      <c r="D3815" t="s">
        <v>17</v>
      </c>
      <c r="E3815" t="s">
        <v>95</v>
      </c>
      <c r="F3815" t="s">
        <v>111</v>
      </c>
      <c r="G3815" t="s">
        <v>113</v>
      </c>
      <c r="H3815" t="s">
        <v>113</v>
      </c>
      <c r="J3815">
        <v>0</v>
      </c>
      <c r="K3815">
        <v>2</v>
      </c>
      <c r="L3815">
        <v>94.97142857</v>
      </c>
      <c r="M3815">
        <v>24.31591813</v>
      </c>
      <c r="N3815">
        <v>0.122951111</v>
      </c>
      <c r="O3815">
        <v>0.39050790000000002</v>
      </c>
      <c r="P3815">
        <v>83.757575759999995</v>
      </c>
      <c r="Q3815">
        <v>22.60997987</v>
      </c>
      <c r="R3815">
        <v>0.72884000000000004</v>
      </c>
      <c r="S3815">
        <v>0.21301339999999999</v>
      </c>
      <c r="T3815" t="s">
        <v>1019</v>
      </c>
      <c r="U3815">
        <v>0.60588888900000004</v>
      </c>
    </row>
    <row r="3816" spans="1:21" x14ac:dyDescent="0.25">
      <c r="A3816" t="s">
        <v>16</v>
      </c>
      <c r="B3816" t="s">
        <v>911</v>
      </c>
      <c r="C3816">
        <v>15</v>
      </c>
      <c r="D3816" t="s">
        <v>17</v>
      </c>
      <c r="E3816" t="s">
        <v>95</v>
      </c>
      <c r="F3816" t="s">
        <v>111</v>
      </c>
      <c r="G3816" t="s">
        <v>113</v>
      </c>
      <c r="H3816" t="s">
        <v>113</v>
      </c>
      <c r="J3816">
        <v>0</v>
      </c>
      <c r="K3816">
        <v>2</v>
      </c>
      <c r="L3816">
        <v>94.97142857</v>
      </c>
      <c r="M3816">
        <v>24.31591813</v>
      </c>
      <c r="N3816">
        <v>0.122951111</v>
      </c>
      <c r="O3816">
        <v>0.39050790000000002</v>
      </c>
      <c r="P3816">
        <v>83.757575759999995</v>
      </c>
      <c r="Q3816">
        <v>22.60997987</v>
      </c>
      <c r="R3816">
        <v>0.72884000000000004</v>
      </c>
      <c r="S3816">
        <v>0.21301339999999999</v>
      </c>
      <c r="T3816" t="s">
        <v>1019</v>
      </c>
      <c r="U3816">
        <v>0.60588888900000004</v>
      </c>
    </row>
    <row r="3817" spans="1:21" x14ac:dyDescent="0.25">
      <c r="A3817" t="s">
        <v>16</v>
      </c>
      <c r="B3817" t="s">
        <v>911</v>
      </c>
      <c r="C3817">
        <v>16</v>
      </c>
      <c r="D3817" t="s">
        <v>17</v>
      </c>
      <c r="E3817" t="s">
        <v>95</v>
      </c>
      <c r="F3817" t="s">
        <v>111</v>
      </c>
      <c r="G3817" t="s">
        <v>113</v>
      </c>
      <c r="H3817" t="s">
        <v>247</v>
      </c>
      <c r="J3817">
        <v>0</v>
      </c>
      <c r="K3817">
        <v>3</v>
      </c>
      <c r="L3817">
        <v>94.97142857</v>
      </c>
      <c r="M3817">
        <v>24.31591813</v>
      </c>
      <c r="N3817">
        <v>0.122951111</v>
      </c>
      <c r="O3817">
        <v>0.39050790000000002</v>
      </c>
      <c r="P3817">
        <v>65.791044779999993</v>
      </c>
      <c r="Q3817">
        <v>22.94519201</v>
      </c>
      <c r="R3817">
        <v>8.1320334999999994E-2</v>
      </c>
      <c r="S3817">
        <v>0.17285655</v>
      </c>
      <c r="T3817" t="s">
        <v>1019</v>
      </c>
      <c r="U3817">
        <v>4.1630776000000001E-2</v>
      </c>
    </row>
    <row r="3818" spans="1:21" x14ac:dyDescent="0.25">
      <c r="A3818" t="s">
        <v>16</v>
      </c>
      <c r="B3818" t="s">
        <v>911</v>
      </c>
      <c r="C3818">
        <v>16</v>
      </c>
      <c r="D3818" t="s">
        <v>17</v>
      </c>
      <c r="E3818" t="s">
        <v>95</v>
      </c>
      <c r="F3818" t="s">
        <v>111</v>
      </c>
      <c r="G3818" t="s">
        <v>113</v>
      </c>
      <c r="H3818" t="s">
        <v>247</v>
      </c>
      <c r="J3818">
        <v>0</v>
      </c>
      <c r="K3818">
        <v>3</v>
      </c>
      <c r="L3818">
        <v>94.97142857</v>
      </c>
      <c r="M3818">
        <v>24.31591813</v>
      </c>
      <c r="N3818">
        <v>0.122951111</v>
      </c>
      <c r="O3818">
        <v>0.39050790000000002</v>
      </c>
      <c r="P3818">
        <v>65.791044779999993</v>
      </c>
      <c r="Q3818">
        <v>22.94519201</v>
      </c>
      <c r="R3818">
        <v>8.1320334999999994E-2</v>
      </c>
      <c r="S3818">
        <v>0.17285655</v>
      </c>
      <c r="T3818" t="s">
        <v>1019</v>
      </c>
      <c r="U3818">
        <v>4.1630776000000001E-2</v>
      </c>
    </row>
    <row r="3819" spans="1:21" x14ac:dyDescent="0.25">
      <c r="A3819" t="s">
        <v>16</v>
      </c>
      <c r="B3819" t="s">
        <v>911</v>
      </c>
      <c r="C3819">
        <v>16</v>
      </c>
      <c r="D3819" t="s">
        <v>17</v>
      </c>
      <c r="E3819" t="s">
        <v>95</v>
      </c>
      <c r="F3819" t="s">
        <v>111</v>
      </c>
      <c r="G3819" t="s">
        <v>113</v>
      </c>
      <c r="H3819" t="s">
        <v>247</v>
      </c>
      <c r="J3819">
        <v>0</v>
      </c>
      <c r="K3819">
        <v>3</v>
      </c>
      <c r="L3819">
        <v>94.97142857</v>
      </c>
      <c r="M3819">
        <v>24.31591813</v>
      </c>
      <c r="N3819">
        <v>0.122951111</v>
      </c>
      <c r="O3819">
        <v>0.39050790000000002</v>
      </c>
      <c r="P3819">
        <v>65.791044779999993</v>
      </c>
      <c r="Q3819">
        <v>22.94519201</v>
      </c>
      <c r="R3819">
        <v>8.1320334999999994E-2</v>
      </c>
      <c r="S3819">
        <v>0.17285655</v>
      </c>
      <c r="T3819" t="s">
        <v>1019</v>
      </c>
      <c r="U3819">
        <v>4.1630776000000001E-2</v>
      </c>
    </row>
    <row r="3820" spans="1:21" x14ac:dyDescent="0.25">
      <c r="A3820" t="s">
        <v>16</v>
      </c>
      <c r="B3820" t="s">
        <v>912</v>
      </c>
      <c r="C3820">
        <v>15</v>
      </c>
      <c r="D3820" t="s">
        <v>17</v>
      </c>
      <c r="E3820" t="s">
        <v>95</v>
      </c>
      <c r="F3820" t="s">
        <v>104</v>
      </c>
      <c r="G3820" t="s">
        <v>121</v>
      </c>
      <c r="H3820" t="s">
        <v>247</v>
      </c>
      <c r="J3820">
        <v>0</v>
      </c>
      <c r="K3820">
        <v>1</v>
      </c>
      <c r="L3820">
        <v>113.9375</v>
      </c>
      <c r="M3820">
        <v>33.375507550000002</v>
      </c>
      <c r="N3820">
        <v>2.4262999999999999</v>
      </c>
      <c r="O3820">
        <v>0.40692159999999999</v>
      </c>
      <c r="P3820">
        <v>65.791044779999993</v>
      </c>
      <c r="Q3820">
        <v>22.94519201</v>
      </c>
      <c r="R3820">
        <v>8.1320334999999994E-2</v>
      </c>
      <c r="S3820">
        <v>0.17285655</v>
      </c>
      <c r="T3820" t="s">
        <v>1019</v>
      </c>
      <c r="U3820">
        <v>2.3449796649999999</v>
      </c>
    </row>
    <row r="3821" spans="1:21" x14ac:dyDescent="0.25">
      <c r="A3821" t="s">
        <v>16</v>
      </c>
      <c r="B3821" t="s">
        <v>912</v>
      </c>
      <c r="C3821">
        <v>16</v>
      </c>
      <c r="D3821" t="s">
        <v>17</v>
      </c>
      <c r="E3821" t="s">
        <v>95</v>
      </c>
      <c r="F3821" t="s">
        <v>104</v>
      </c>
      <c r="G3821" t="s">
        <v>121</v>
      </c>
      <c r="H3821" t="s">
        <v>111</v>
      </c>
      <c r="J3821">
        <v>0</v>
      </c>
      <c r="K3821">
        <v>1</v>
      </c>
      <c r="L3821">
        <v>113.9375</v>
      </c>
      <c r="M3821">
        <v>33.375507550000002</v>
      </c>
      <c r="N3821">
        <v>2.4262999999999999</v>
      </c>
      <c r="O3821">
        <v>0.40692159999999999</v>
      </c>
      <c r="P3821">
        <v>94.97142857</v>
      </c>
      <c r="Q3821">
        <v>24.31591813</v>
      </c>
      <c r="R3821">
        <v>0.122951111</v>
      </c>
      <c r="S3821">
        <v>0.39050790000000002</v>
      </c>
      <c r="T3821" t="s">
        <v>1019</v>
      </c>
      <c r="U3821">
        <v>2.303348889</v>
      </c>
    </row>
    <row r="3822" spans="1:21" x14ac:dyDescent="0.25">
      <c r="A3822" t="s">
        <v>18</v>
      </c>
      <c r="B3822" t="s">
        <v>913</v>
      </c>
      <c r="C3822">
        <v>15</v>
      </c>
      <c r="D3822" t="s">
        <v>19</v>
      </c>
      <c r="E3822" t="s">
        <v>95</v>
      </c>
      <c r="F3822" t="s">
        <v>113</v>
      </c>
      <c r="G3822" t="s">
        <v>121</v>
      </c>
      <c r="H3822" t="s">
        <v>113</v>
      </c>
      <c r="J3822">
        <v>0</v>
      </c>
      <c r="K3822">
        <v>3</v>
      </c>
      <c r="L3822">
        <v>83.757575759999995</v>
      </c>
      <c r="M3822">
        <v>22.60997987</v>
      </c>
      <c r="N3822">
        <v>0.72884000000000004</v>
      </c>
      <c r="O3822">
        <v>0.21301339999999999</v>
      </c>
      <c r="P3822">
        <v>83.757575759999995</v>
      </c>
      <c r="Q3822">
        <v>22.60997987</v>
      </c>
      <c r="R3822">
        <v>0.72884000000000004</v>
      </c>
      <c r="S3822">
        <v>0.21301339999999999</v>
      </c>
      <c r="T3822" t="s">
        <v>1019</v>
      </c>
      <c r="U3822">
        <v>0</v>
      </c>
    </row>
    <row r="3823" spans="1:21" x14ac:dyDescent="0.25">
      <c r="A3823" t="s">
        <v>18</v>
      </c>
      <c r="B3823" t="s">
        <v>913</v>
      </c>
      <c r="C3823">
        <v>15</v>
      </c>
      <c r="D3823" t="s">
        <v>19</v>
      </c>
      <c r="E3823" t="s">
        <v>95</v>
      </c>
      <c r="F3823" t="s">
        <v>113</v>
      </c>
      <c r="G3823" t="s">
        <v>121</v>
      </c>
      <c r="H3823" t="s">
        <v>113</v>
      </c>
      <c r="J3823">
        <v>0</v>
      </c>
      <c r="K3823">
        <v>3</v>
      </c>
      <c r="L3823">
        <v>83.757575759999995</v>
      </c>
      <c r="M3823">
        <v>22.60997987</v>
      </c>
      <c r="N3823">
        <v>0.72884000000000004</v>
      </c>
      <c r="O3823">
        <v>0.21301339999999999</v>
      </c>
      <c r="P3823">
        <v>83.757575759999995</v>
      </c>
      <c r="Q3823">
        <v>22.60997987</v>
      </c>
      <c r="R3823">
        <v>0.72884000000000004</v>
      </c>
      <c r="S3823">
        <v>0.21301339999999999</v>
      </c>
      <c r="T3823" t="s">
        <v>1019</v>
      </c>
      <c r="U3823">
        <v>0</v>
      </c>
    </row>
    <row r="3824" spans="1:21" x14ac:dyDescent="0.25">
      <c r="A3824" t="s">
        <v>18</v>
      </c>
      <c r="B3824" t="s">
        <v>913</v>
      </c>
      <c r="C3824">
        <v>15</v>
      </c>
      <c r="D3824" t="s">
        <v>19</v>
      </c>
      <c r="E3824" t="s">
        <v>95</v>
      </c>
      <c r="F3824" t="s">
        <v>113</v>
      </c>
      <c r="G3824" t="s">
        <v>121</v>
      </c>
      <c r="H3824" t="s">
        <v>113</v>
      </c>
      <c r="J3824">
        <v>0</v>
      </c>
      <c r="K3824">
        <v>3</v>
      </c>
      <c r="L3824">
        <v>83.757575759999995</v>
      </c>
      <c r="M3824">
        <v>22.60997987</v>
      </c>
      <c r="N3824">
        <v>0.72884000000000004</v>
      </c>
      <c r="O3824">
        <v>0.21301339999999999</v>
      </c>
      <c r="P3824">
        <v>83.757575759999995</v>
      </c>
      <c r="Q3824">
        <v>22.60997987</v>
      </c>
      <c r="R3824">
        <v>0.72884000000000004</v>
      </c>
      <c r="S3824">
        <v>0.21301339999999999</v>
      </c>
      <c r="T3824" t="s">
        <v>1019</v>
      </c>
      <c r="U3824">
        <v>0</v>
      </c>
    </row>
    <row r="3825" spans="1:21" x14ac:dyDescent="0.25">
      <c r="A3825" t="s">
        <v>18</v>
      </c>
      <c r="B3825" t="s">
        <v>913</v>
      </c>
      <c r="C3825">
        <v>16</v>
      </c>
      <c r="D3825" t="s">
        <v>19</v>
      </c>
      <c r="E3825" t="s">
        <v>95</v>
      </c>
      <c r="F3825" t="s">
        <v>113</v>
      </c>
      <c r="G3825" t="s">
        <v>121</v>
      </c>
      <c r="H3825" t="s">
        <v>808</v>
      </c>
      <c r="J3825">
        <v>0</v>
      </c>
      <c r="K3825">
        <v>1</v>
      </c>
      <c r="L3825">
        <v>83.757575759999995</v>
      </c>
      <c r="M3825">
        <v>22.60997987</v>
      </c>
      <c r="N3825">
        <v>0.72884000000000004</v>
      </c>
      <c r="O3825">
        <v>0.21301339999999999</v>
      </c>
      <c r="P3825">
        <v>102.79166669999999</v>
      </c>
      <c r="Q3825">
        <v>27.057373470000002</v>
      </c>
      <c r="R3825">
        <v>6.3567849939999999</v>
      </c>
      <c r="S3825" t="s">
        <v>114</v>
      </c>
      <c r="T3825" t="s">
        <v>1019</v>
      </c>
      <c r="U3825">
        <v>5.6279449939999999</v>
      </c>
    </row>
    <row r="3826" spans="1:21" x14ac:dyDescent="0.25">
      <c r="A3826" t="s">
        <v>18</v>
      </c>
      <c r="B3826" t="s">
        <v>913</v>
      </c>
      <c r="C3826">
        <v>17</v>
      </c>
      <c r="D3826" t="s">
        <v>19</v>
      </c>
      <c r="E3826" t="s">
        <v>95</v>
      </c>
      <c r="F3826" t="s">
        <v>113</v>
      </c>
      <c r="G3826" t="s">
        <v>121</v>
      </c>
      <c r="H3826" t="s">
        <v>242</v>
      </c>
      <c r="J3826">
        <v>0</v>
      </c>
      <c r="K3826">
        <v>15</v>
      </c>
      <c r="L3826">
        <v>83.757575759999995</v>
      </c>
      <c r="M3826">
        <v>22.60997987</v>
      </c>
      <c r="N3826">
        <v>0.72884000000000004</v>
      </c>
      <c r="O3826">
        <v>0.21301339999999999</v>
      </c>
      <c r="P3826">
        <v>139.375</v>
      </c>
      <c r="Q3826">
        <v>23.713465920000001</v>
      </c>
      <c r="R3826" t="s">
        <v>114</v>
      </c>
      <c r="S3826" t="s">
        <v>114</v>
      </c>
      <c r="T3826" t="s">
        <v>1019</v>
      </c>
      <c r="U3826" t="s">
        <v>114</v>
      </c>
    </row>
    <row r="3827" spans="1:21" x14ac:dyDescent="0.25">
      <c r="A3827" t="s">
        <v>18</v>
      </c>
      <c r="B3827" t="s">
        <v>913</v>
      </c>
      <c r="C3827">
        <v>17</v>
      </c>
      <c r="D3827" t="s">
        <v>19</v>
      </c>
      <c r="E3827" t="s">
        <v>95</v>
      </c>
      <c r="F3827" t="s">
        <v>113</v>
      </c>
      <c r="G3827" t="s">
        <v>121</v>
      </c>
      <c r="H3827" t="s">
        <v>242</v>
      </c>
      <c r="J3827">
        <v>0</v>
      </c>
      <c r="K3827">
        <v>15</v>
      </c>
      <c r="L3827">
        <v>83.757575759999995</v>
      </c>
      <c r="M3827">
        <v>22.60997987</v>
      </c>
      <c r="N3827">
        <v>0.72884000000000004</v>
      </c>
      <c r="O3827">
        <v>0.21301339999999999</v>
      </c>
      <c r="P3827">
        <v>139.375</v>
      </c>
      <c r="Q3827">
        <v>23.713465920000001</v>
      </c>
      <c r="R3827" t="s">
        <v>114</v>
      </c>
      <c r="S3827" t="s">
        <v>114</v>
      </c>
      <c r="T3827" t="s">
        <v>1019</v>
      </c>
      <c r="U3827" t="s">
        <v>114</v>
      </c>
    </row>
    <row r="3828" spans="1:21" x14ac:dyDescent="0.25">
      <c r="A3828" t="s">
        <v>18</v>
      </c>
      <c r="B3828" t="s">
        <v>913</v>
      </c>
      <c r="C3828">
        <v>17</v>
      </c>
      <c r="D3828" t="s">
        <v>19</v>
      </c>
      <c r="E3828" t="s">
        <v>95</v>
      </c>
      <c r="F3828" t="s">
        <v>113</v>
      </c>
      <c r="G3828" t="s">
        <v>121</v>
      </c>
      <c r="H3828" t="s">
        <v>242</v>
      </c>
      <c r="J3828">
        <v>0</v>
      </c>
      <c r="K3828">
        <v>15</v>
      </c>
      <c r="L3828">
        <v>83.757575759999995</v>
      </c>
      <c r="M3828">
        <v>22.60997987</v>
      </c>
      <c r="N3828">
        <v>0.72884000000000004</v>
      </c>
      <c r="O3828">
        <v>0.21301339999999999</v>
      </c>
      <c r="P3828">
        <v>139.375</v>
      </c>
      <c r="Q3828">
        <v>23.713465920000001</v>
      </c>
      <c r="R3828" t="s">
        <v>114</v>
      </c>
      <c r="S3828" t="s">
        <v>114</v>
      </c>
      <c r="T3828" t="s">
        <v>1019</v>
      </c>
      <c r="U3828" t="s">
        <v>114</v>
      </c>
    </row>
    <row r="3829" spans="1:21" x14ac:dyDescent="0.25">
      <c r="A3829" t="s">
        <v>18</v>
      </c>
      <c r="B3829" t="s">
        <v>913</v>
      </c>
      <c r="C3829">
        <v>17</v>
      </c>
      <c r="D3829" t="s">
        <v>19</v>
      </c>
      <c r="E3829" t="s">
        <v>95</v>
      </c>
      <c r="F3829" t="s">
        <v>113</v>
      </c>
      <c r="G3829" t="s">
        <v>121</v>
      </c>
      <c r="H3829" t="s">
        <v>242</v>
      </c>
      <c r="J3829">
        <v>0</v>
      </c>
      <c r="K3829">
        <v>15</v>
      </c>
      <c r="L3829">
        <v>83.757575759999995</v>
      </c>
      <c r="M3829">
        <v>22.60997987</v>
      </c>
      <c r="N3829">
        <v>0.72884000000000004</v>
      </c>
      <c r="O3829">
        <v>0.21301339999999999</v>
      </c>
      <c r="P3829">
        <v>139.375</v>
      </c>
      <c r="Q3829">
        <v>23.713465920000001</v>
      </c>
      <c r="R3829" t="s">
        <v>114</v>
      </c>
      <c r="S3829" t="s">
        <v>114</v>
      </c>
      <c r="T3829" t="s">
        <v>1019</v>
      </c>
      <c r="U3829" t="s">
        <v>114</v>
      </c>
    </row>
    <row r="3830" spans="1:21" x14ac:dyDescent="0.25">
      <c r="A3830" t="s">
        <v>18</v>
      </c>
      <c r="B3830" t="s">
        <v>913</v>
      </c>
      <c r="C3830">
        <v>17</v>
      </c>
      <c r="D3830" t="s">
        <v>19</v>
      </c>
      <c r="E3830" t="s">
        <v>95</v>
      </c>
      <c r="F3830" t="s">
        <v>113</v>
      </c>
      <c r="G3830" t="s">
        <v>121</v>
      </c>
      <c r="H3830" t="s">
        <v>242</v>
      </c>
      <c r="J3830">
        <v>0</v>
      </c>
      <c r="K3830">
        <v>15</v>
      </c>
      <c r="L3830">
        <v>83.757575759999995</v>
      </c>
      <c r="M3830">
        <v>22.60997987</v>
      </c>
      <c r="N3830">
        <v>0.72884000000000004</v>
      </c>
      <c r="O3830">
        <v>0.21301339999999999</v>
      </c>
      <c r="P3830">
        <v>139.375</v>
      </c>
      <c r="Q3830">
        <v>23.713465920000001</v>
      </c>
      <c r="R3830" t="s">
        <v>114</v>
      </c>
      <c r="S3830" t="s">
        <v>114</v>
      </c>
      <c r="T3830" t="s">
        <v>1019</v>
      </c>
      <c r="U3830" t="s">
        <v>114</v>
      </c>
    </row>
    <row r="3831" spans="1:21" x14ac:dyDescent="0.25">
      <c r="A3831" t="s">
        <v>18</v>
      </c>
      <c r="B3831" t="s">
        <v>913</v>
      </c>
      <c r="C3831">
        <v>17</v>
      </c>
      <c r="D3831" t="s">
        <v>19</v>
      </c>
      <c r="E3831" t="s">
        <v>95</v>
      </c>
      <c r="F3831" t="s">
        <v>113</v>
      </c>
      <c r="G3831" t="s">
        <v>121</v>
      </c>
      <c r="H3831" t="s">
        <v>242</v>
      </c>
      <c r="J3831">
        <v>0</v>
      </c>
      <c r="K3831">
        <v>15</v>
      </c>
      <c r="L3831">
        <v>83.757575759999995</v>
      </c>
      <c r="M3831">
        <v>22.60997987</v>
      </c>
      <c r="N3831">
        <v>0.72884000000000004</v>
      </c>
      <c r="O3831">
        <v>0.21301339999999999</v>
      </c>
      <c r="P3831">
        <v>139.375</v>
      </c>
      <c r="Q3831">
        <v>23.713465920000001</v>
      </c>
      <c r="R3831" t="s">
        <v>114</v>
      </c>
      <c r="S3831" t="s">
        <v>114</v>
      </c>
      <c r="T3831" t="s">
        <v>1019</v>
      </c>
      <c r="U3831" t="s">
        <v>114</v>
      </c>
    </row>
    <row r="3832" spans="1:21" x14ac:dyDescent="0.25">
      <c r="A3832" t="s">
        <v>18</v>
      </c>
      <c r="B3832" t="s">
        <v>913</v>
      </c>
      <c r="C3832">
        <v>17</v>
      </c>
      <c r="D3832" t="s">
        <v>19</v>
      </c>
      <c r="E3832" t="s">
        <v>95</v>
      </c>
      <c r="F3832" t="s">
        <v>113</v>
      </c>
      <c r="G3832" t="s">
        <v>121</v>
      </c>
      <c r="H3832" t="s">
        <v>242</v>
      </c>
      <c r="J3832">
        <v>0</v>
      </c>
      <c r="K3832">
        <v>15</v>
      </c>
      <c r="L3832">
        <v>83.757575759999995</v>
      </c>
      <c r="M3832">
        <v>22.60997987</v>
      </c>
      <c r="N3832">
        <v>0.72884000000000004</v>
      </c>
      <c r="O3832">
        <v>0.21301339999999999</v>
      </c>
      <c r="P3832">
        <v>139.375</v>
      </c>
      <c r="Q3832">
        <v>23.713465920000001</v>
      </c>
      <c r="R3832" t="s">
        <v>114</v>
      </c>
      <c r="S3832" t="s">
        <v>114</v>
      </c>
      <c r="T3832" t="s">
        <v>1019</v>
      </c>
      <c r="U3832" t="s">
        <v>114</v>
      </c>
    </row>
    <row r="3833" spans="1:21" x14ac:dyDescent="0.25">
      <c r="A3833" t="s">
        <v>18</v>
      </c>
      <c r="B3833" t="s">
        <v>913</v>
      </c>
      <c r="C3833">
        <v>17</v>
      </c>
      <c r="D3833" t="s">
        <v>19</v>
      </c>
      <c r="E3833" t="s">
        <v>95</v>
      </c>
      <c r="F3833" t="s">
        <v>113</v>
      </c>
      <c r="G3833" t="s">
        <v>121</v>
      </c>
      <c r="H3833" t="s">
        <v>242</v>
      </c>
      <c r="J3833">
        <v>0</v>
      </c>
      <c r="K3833">
        <v>15</v>
      </c>
      <c r="L3833">
        <v>83.757575759999995</v>
      </c>
      <c r="M3833">
        <v>22.60997987</v>
      </c>
      <c r="N3833">
        <v>0.72884000000000004</v>
      </c>
      <c r="O3833">
        <v>0.21301339999999999</v>
      </c>
      <c r="P3833">
        <v>139.375</v>
      </c>
      <c r="Q3833">
        <v>23.713465920000001</v>
      </c>
      <c r="R3833" t="s">
        <v>114</v>
      </c>
      <c r="S3833" t="s">
        <v>114</v>
      </c>
      <c r="T3833" t="s">
        <v>1019</v>
      </c>
      <c r="U3833" t="s">
        <v>114</v>
      </c>
    </row>
    <row r="3834" spans="1:21" x14ac:dyDescent="0.25">
      <c r="A3834" t="s">
        <v>18</v>
      </c>
      <c r="B3834" t="s">
        <v>913</v>
      </c>
      <c r="C3834">
        <v>17</v>
      </c>
      <c r="D3834" t="s">
        <v>19</v>
      </c>
      <c r="E3834" t="s">
        <v>95</v>
      </c>
      <c r="F3834" t="s">
        <v>113</v>
      </c>
      <c r="G3834" t="s">
        <v>121</v>
      </c>
      <c r="H3834" t="s">
        <v>242</v>
      </c>
      <c r="J3834">
        <v>0</v>
      </c>
      <c r="K3834">
        <v>15</v>
      </c>
      <c r="L3834">
        <v>83.757575759999995</v>
      </c>
      <c r="M3834">
        <v>22.60997987</v>
      </c>
      <c r="N3834">
        <v>0.72884000000000004</v>
      </c>
      <c r="O3834">
        <v>0.21301339999999999</v>
      </c>
      <c r="P3834">
        <v>139.375</v>
      </c>
      <c r="Q3834">
        <v>23.713465920000001</v>
      </c>
      <c r="R3834" t="s">
        <v>114</v>
      </c>
      <c r="S3834" t="s">
        <v>114</v>
      </c>
      <c r="T3834" t="s">
        <v>1019</v>
      </c>
      <c r="U3834" t="s">
        <v>114</v>
      </c>
    </row>
    <row r="3835" spans="1:21" x14ac:dyDescent="0.25">
      <c r="A3835" t="s">
        <v>18</v>
      </c>
      <c r="B3835" t="s">
        <v>913</v>
      </c>
      <c r="C3835">
        <v>17</v>
      </c>
      <c r="D3835" t="s">
        <v>19</v>
      </c>
      <c r="E3835" t="s">
        <v>95</v>
      </c>
      <c r="F3835" t="s">
        <v>113</v>
      </c>
      <c r="G3835" t="s">
        <v>121</v>
      </c>
      <c r="H3835" t="s">
        <v>242</v>
      </c>
      <c r="J3835">
        <v>0</v>
      </c>
      <c r="K3835">
        <v>15</v>
      </c>
      <c r="L3835">
        <v>83.757575759999995</v>
      </c>
      <c r="M3835">
        <v>22.60997987</v>
      </c>
      <c r="N3835">
        <v>0.72884000000000004</v>
      </c>
      <c r="O3835">
        <v>0.21301339999999999</v>
      </c>
      <c r="P3835">
        <v>139.375</v>
      </c>
      <c r="Q3835">
        <v>23.713465920000001</v>
      </c>
      <c r="R3835" t="s">
        <v>114</v>
      </c>
      <c r="S3835" t="s">
        <v>114</v>
      </c>
      <c r="T3835" t="s">
        <v>1019</v>
      </c>
      <c r="U3835" t="s">
        <v>114</v>
      </c>
    </row>
    <row r="3836" spans="1:21" x14ac:dyDescent="0.25">
      <c r="A3836" t="s">
        <v>18</v>
      </c>
      <c r="B3836" t="s">
        <v>913</v>
      </c>
      <c r="C3836">
        <v>17</v>
      </c>
      <c r="D3836" t="s">
        <v>19</v>
      </c>
      <c r="E3836" t="s">
        <v>95</v>
      </c>
      <c r="F3836" t="s">
        <v>113</v>
      </c>
      <c r="G3836" t="s">
        <v>121</v>
      </c>
      <c r="H3836" t="s">
        <v>242</v>
      </c>
      <c r="J3836">
        <v>0</v>
      </c>
      <c r="K3836">
        <v>15</v>
      </c>
      <c r="L3836">
        <v>83.757575759999995</v>
      </c>
      <c r="M3836">
        <v>22.60997987</v>
      </c>
      <c r="N3836">
        <v>0.72884000000000004</v>
      </c>
      <c r="O3836">
        <v>0.21301339999999999</v>
      </c>
      <c r="P3836">
        <v>139.375</v>
      </c>
      <c r="Q3836">
        <v>23.713465920000001</v>
      </c>
      <c r="R3836" t="s">
        <v>114</v>
      </c>
      <c r="S3836" t="s">
        <v>114</v>
      </c>
      <c r="T3836" t="s">
        <v>1019</v>
      </c>
      <c r="U3836" t="s">
        <v>114</v>
      </c>
    </row>
    <row r="3837" spans="1:21" x14ac:dyDescent="0.25">
      <c r="A3837" t="s">
        <v>18</v>
      </c>
      <c r="B3837" t="s">
        <v>913</v>
      </c>
      <c r="C3837">
        <v>17</v>
      </c>
      <c r="D3837" t="s">
        <v>19</v>
      </c>
      <c r="E3837" t="s">
        <v>95</v>
      </c>
      <c r="F3837" t="s">
        <v>113</v>
      </c>
      <c r="G3837" t="s">
        <v>121</v>
      </c>
      <c r="H3837" t="s">
        <v>242</v>
      </c>
      <c r="J3837">
        <v>0</v>
      </c>
      <c r="K3837">
        <v>15</v>
      </c>
      <c r="L3837">
        <v>83.757575759999995</v>
      </c>
      <c r="M3837">
        <v>22.60997987</v>
      </c>
      <c r="N3837">
        <v>0.72884000000000004</v>
      </c>
      <c r="O3837">
        <v>0.21301339999999999</v>
      </c>
      <c r="P3837">
        <v>139.375</v>
      </c>
      <c r="Q3837">
        <v>23.713465920000001</v>
      </c>
      <c r="R3837" t="s">
        <v>114</v>
      </c>
      <c r="S3837" t="s">
        <v>114</v>
      </c>
      <c r="T3837" t="s">
        <v>1019</v>
      </c>
      <c r="U3837" t="s">
        <v>114</v>
      </c>
    </row>
    <row r="3838" spans="1:21" x14ac:dyDescent="0.25">
      <c r="A3838" t="s">
        <v>18</v>
      </c>
      <c r="B3838" t="s">
        <v>913</v>
      </c>
      <c r="C3838">
        <v>17</v>
      </c>
      <c r="D3838" t="s">
        <v>19</v>
      </c>
      <c r="E3838" t="s">
        <v>95</v>
      </c>
      <c r="F3838" t="s">
        <v>113</v>
      </c>
      <c r="G3838" t="s">
        <v>121</v>
      </c>
      <c r="H3838" t="s">
        <v>242</v>
      </c>
      <c r="J3838">
        <v>0</v>
      </c>
      <c r="K3838">
        <v>15</v>
      </c>
      <c r="L3838">
        <v>83.757575759999995</v>
      </c>
      <c r="M3838">
        <v>22.60997987</v>
      </c>
      <c r="N3838">
        <v>0.72884000000000004</v>
      </c>
      <c r="O3838">
        <v>0.21301339999999999</v>
      </c>
      <c r="P3838">
        <v>139.375</v>
      </c>
      <c r="Q3838">
        <v>23.713465920000001</v>
      </c>
      <c r="R3838" t="s">
        <v>114</v>
      </c>
      <c r="S3838" t="s">
        <v>114</v>
      </c>
      <c r="T3838" t="s">
        <v>1019</v>
      </c>
      <c r="U3838" t="s">
        <v>114</v>
      </c>
    </row>
    <row r="3839" spans="1:21" x14ac:dyDescent="0.25">
      <c r="A3839" t="s">
        <v>18</v>
      </c>
      <c r="B3839" t="s">
        <v>913</v>
      </c>
      <c r="C3839">
        <v>17</v>
      </c>
      <c r="D3839" t="s">
        <v>19</v>
      </c>
      <c r="E3839" t="s">
        <v>95</v>
      </c>
      <c r="F3839" t="s">
        <v>113</v>
      </c>
      <c r="G3839" t="s">
        <v>121</v>
      </c>
      <c r="H3839" t="s">
        <v>242</v>
      </c>
      <c r="J3839">
        <v>0</v>
      </c>
      <c r="K3839">
        <v>15</v>
      </c>
      <c r="L3839">
        <v>83.757575759999995</v>
      </c>
      <c r="M3839">
        <v>22.60997987</v>
      </c>
      <c r="N3839">
        <v>0.72884000000000004</v>
      </c>
      <c r="O3839">
        <v>0.21301339999999999</v>
      </c>
      <c r="P3839">
        <v>139.375</v>
      </c>
      <c r="Q3839">
        <v>23.713465920000001</v>
      </c>
      <c r="R3839" t="s">
        <v>114</v>
      </c>
      <c r="S3839" t="s">
        <v>114</v>
      </c>
      <c r="T3839" t="s">
        <v>1019</v>
      </c>
      <c r="U3839" t="s">
        <v>114</v>
      </c>
    </row>
    <row r="3840" spans="1:21" x14ac:dyDescent="0.25">
      <c r="A3840" t="s">
        <v>18</v>
      </c>
      <c r="B3840" t="s">
        <v>913</v>
      </c>
      <c r="C3840">
        <v>17</v>
      </c>
      <c r="D3840" t="s">
        <v>19</v>
      </c>
      <c r="E3840" t="s">
        <v>95</v>
      </c>
      <c r="F3840" t="s">
        <v>113</v>
      </c>
      <c r="G3840" t="s">
        <v>121</v>
      </c>
      <c r="H3840" t="s">
        <v>242</v>
      </c>
      <c r="J3840">
        <v>0</v>
      </c>
      <c r="K3840">
        <v>15</v>
      </c>
      <c r="L3840">
        <v>83.757575759999995</v>
      </c>
      <c r="M3840">
        <v>22.60997987</v>
      </c>
      <c r="N3840">
        <v>0.72884000000000004</v>
      </c>
      <c r="O3840">
        <v>0.21301339999999999</v>
      </c>
      <c r="P3840">
        <v>139.375</v>
      </c>
      <c r="Q3840">
        <v>23.713465920000001</v>
      </c>
      <c r="R3840" t="s">
        <v>114</v>
      </c>
      <c r="S3840" t="s">
        <v>114</v>
      </c>
      <c r="T3840" t="s">
        <v>1019</v>
      </c>
      <c r="U3840" t="s">
        <v>114</v>
      </c>
    </row>
    <row r="3841" spans="1:21" x14ac:dyDescent="0.25">
      <c r="A3841" t="s">
        <v>18</v>
      </c>
      <c r="B3841" t="s">
        <v>914</v>
      </c>
      <c r="C3841">
        <v>15</v>
      </c>
      <c r="D3841" t="s">
        <v>19</v>
      </c>
      <c r="E3841" t="s">
        <v>95</v>
      </c>
      <c r="F3841" t="s">
        <v>111</v>
      </c>
      <c r="G3841" t="s">
        <v>121</v>
      </c>
      <c r="H3841" t="s">
        <v>113</v>
      </c>
      <c r="J3841">
        <v>0</v>
      </c>
      <c r="K3841">
        <v>2</v>
      </c>
      <c r="L3841">
        <v>94.97142857</v>
      </c>
      <c r="M3841">
        <v>24.31591813</v>
      </c>
      <c r="N3841">
        <v>0.122951111</v>
      </c>
      <c r="O3841">
        <v>0.39050790000000002</v>
      </c>
      <c r="P3841">
        <v>83.757575759999995</v>
      </c>
      <c r="Q3841">
        <v>22.60997987</v>
      </c>
      <c r="R3841">
        <v>0.72884000000000004</v>
      </c>
      <c r="S3841">
        <v>0.21301339999999999</v>
      </c>
      <c r="T3841" t="s">
        <v>1019</v>
      </c>
      <c r="U3841">
        <v>0.60588888900000004</v>
      </c>
    </row>
    <row r="3842" spans="1:21" x14ac:dyDescent="0.25">
      <c r="A3842" t="s">
        <v>18</v>
      </c>
      <c r="B3842" t="s">
        <v>914</v>
      </c>
      <c r="C3842">
        <v>15</v>
      </c>
      <c r="D3842" t="s">
        <v>19</v>
      </c>
      <c r="E3842" t="s">
        <v>95</v>
      </c>
      <c r="F3842" t="s">
        <v>111</v>
      </c>
      <c r="G3842" t="s">
        <v>121</v>
      </c>
      <c r="H3842" t="s">
        <v>113</v>
      </c>
      <c r="J3842">
        <v>0</v>
      </c>
      <c r="K3842">
        <v>2</v>
      </c>
      <c r="L3842">
        <v>94.97142857</v>
      </c>
      <c r="M3842">
        <v>24.31591813</v>
      </c>
      <c r="N3842">
        <v>0.122951111</v>
      </c>
      <c r="O3842">
        <v>0.39050790000000002</v>
      </c>
      <c r="P3842">
        <v>83.757575759999995</v>
      </c>
      <c r="Q3842">
        <v>22.60997987</v>
      </c>
      <c r="R3842">
        <v>0.72884000000000004</v>
      </c>
      <c r="S3842">
        <v>0.21301339999999999</v>
      </c>
      <c r="T3842" t="s">
        <v>1019</v>
      </c>
      <c r="U3842">
        <v>0.60588888900000004</v>
      </c>
    </row>
    <row r="3843" spans="1:21" x14ac:dyDescent="0.25">
      <c r="A3843" t="s">
        <v>18</v>
      </c>
      <c r="B3843" t="s">
        <v>914</v>
      </c>
      <c r="C3843">
        <v>16</v>
      </c>
      <c r="D3843" t="s">
        <v>19</v>
      </c>
      <c r="E3843" t="s">
        <v>95</v>
      </c>
      <c r="F3843" t="s">
        <v>111</v>
      </c>
      <c r="G3843" t="s">
        <v>121</v>
      </c>
      <c r="H3843" t="s">
        <v>242</v>
      </c>
      <c r="J3843">
        <v>0</v>
      </c>
      <c r="K3843">
        <v>2</v>
      </c>
      <c r="L3843">
        <v>94.97142857</v>
      </c>
      <c r="M3843">
        <v>24.31591813</v>
      </c>
      <c r="N3843">
        <v>0.122951111</v>
      </c>
      <c r="O3843">
        <v>0.39050790000000002</v>
      </c>
      <c r="P3843">
        <v>139.375</v>
      </c>
      <c r="Q3843">
        <v>23.713465920000001</v>
      </c>
      <c r="R3843" t="s">
        <v>114</v>
      </c>
      <c r="S3843" t="s">
        <v>114</v>
      </c>
      <c r="T3843" t="s">
        <v>1019</v>
      </c>
      <c r="U3843" t="s">
        <v>114</v>
      </c>
    </row>
    <row r="3844" spans="1:21" x14ac:dyDescent="0.25">
      <c r="A3844" t="s">
        <v>18</v>
      </c>
      <c r="B3844" t="s">
        <v>914</v>
      </c>
      <c r="C3844">
        <v>16</v>
      </c>
      <c r="D3844" t="s">
        <v>19</v>
      </c>
      <c r="E3844" t="s">
        <v>95</v>
      </c>
      <c r="F3844" t="s">
        <v>111</v>
      </c>
      <c r="G3844" t="s">
        <v>121</v>
      </c>
      <c r="H3844" t="s">
        <v>242</v>
      </c>
      <c r="J3844">
        <v>0</v>
      </c>
      <c r="K3844">
        <v>2</v>
      </c>
      <c r="L3844">
        <v>94.97142857</v>
      </c>
      <c r="M3844">
        <v>24.31591813</v>
      </c>
      <c r="N3844">
        <v>0.122951111</v>
      </c>
      <c r="O3844">
        <v>0.39050790000000002</v>
      </c>
      <c r="P3844">
        <v>139.375</v>
      </c>
      <c r="Q3844">
        <v>23.713465920000001</v>
      </c>
      <c r="R3844" t="s">
        <v>114</v>
      </c>
      <c r="S3844" t="s">
        <v>114</v>
      </c>
      <c r="T3844" t="s">
        <v>1019</v>
      </c>
      <c r="U3844" t="s">
        <v>114</v>
      </c>
    </row>
    <row r="3845" spans="1:21" x14ac:dyDescent="0.25">
      <c r="A3845" t="s">
        <v>18</v>
      </c>
      <c r="B3845" t="s">
        <v>915</v>
      </c>
      <c r="C3845">
        <v>15</v>
      </c>
      <c r="D3845" t="s">
        <v>19</v>
      </c>
      <c r="E3845" t="s">
        <v>95</v>
      </c>
      <c r="F3845" t="s">
        <v>104</v>
      </c>
      <c r="G3845" t="s">
        <v>121</v>
      </c>
      <c r="H3845" t="s">
        <v>247</v>
      </c>
      <c r="J3845">
        <v>0</v>
      </c>
      <c r="K3845">
        <v>1</v>
      </c>
      <c r="L3845">
        <v>113.9375</v>
      </c>
      <c r="M3845">
        <v>33.375507550000002</v>
      </c>
      <c r="N3845">
        <v>2.4262999999999999</v>
      </c>
      <c r="O3845">
        <v>0.40692159999999999</v>
      </c>
      <c r="P3845">
        <v>65.791044779999993</v>
      </c>
      <c r="Q3845">
        <v>22.94519201</v>
      </c>
      <c r="R3845">
        <v>8.1320334999999994E-2</v>
      </c>
      <c r="S3845">
        <v>0.17285655</v>
      </c>
      <c r="T3845" t="s">
        <v>1019</v>
      </c>
      <c r="U3845">
        <v>2.3449796649999999</v>
      </c>
    </row>
    <row r="3846" spans="1:21" x14ac:dyDescent="0.25">
      <c r="A3846" t="s">
        <v>18</v>
      </c>
      <c r="B3846" t="s">
        <v>915</v>
      </c>
      <c r="C3846">
        <v>16</v>
      </c>
      <c r="D3846" t="s">
        <v>19</v>
      </c>
      <c r="E3846" t="s">
        <v>95</v>
      </c>
      <c r="F3846" t="s">
        <v>104</v>
      </c>
      <c r="G3846" t="s">
        <v>121</v>
      </c>
      <c r="H3846" t="s">
        <v>113</v>
      </c>
      <c r="J3846">
        <v>0</v>
      </c>
      <c r="K3846">
        <v>3</v>
      </c>
      <c r="L3846">
        <v>113.9375</v>
      </c>
      <c r="M3846">
        <v>33.375507550000002</v>
      </c>
      <c r="N3846">
        <v>2.4262999999999999</v>
      </c>
      <c r="O3846">
        <v>0.40692159999999999</v>
      </c>
      <c r="P3846">
        <v>83.757575759999995</v>
      </c>
      <c r="Q3846">
        <v>22.60997987</v>
      </c>
      <c r="R3846">
        <v>0.72884000000000004</v>
      </c>
      <c r="S3846">
        <v>0.21301339999999999</v>
      </c>
      <c r="T3846" t="s">
        <v>1019</v>
      </c>
      <c r="U3846">
        <v>1.69746</v>
      </c>
    </row>
    <row r="3847" spans="1:21" x14ac:dyDescent="0.25">
      <c r="A3847" t="s">
        <v>18</v>
      </c>
      <c r="B3847" t="s">
        <v>915</v>
      </c>
      <c r="C3847">
        <v>16</v>
      </c>
      <c r="D3847" t="s">
        <v>19</v>
      </c>
      <c r="E3847" t="s">
        <v>95</v>
      </c>
      <c r="F3847" t="s">
        <v>104</v>
      </c>
      <c r="G3847" t="s">
        <v>121</v>
      </c>
      <c r="H3847" t="s">
        <v>113</v>
      </c>
      <c r="J3847">
        <v>0</v>
      </c>
      <c r="K3847">
        <v>3</v>
      </c>
      <c r="L3847">
        <v>113.9375</v>
      </c>
      <c r="M3847">
        <v>33.375507550000002</v>
      </c>
      <c r="N3847">
        <v>2.4262999999999999</v>
      </c>
      <c r="O3847">
        <v>0.40692159999999999</v>
      </c>
      <c r="P3847">
        <v>83.757575759999995</v>
      </c>
      <c r="Q3847">
        <v>22.60997987</v>
      </c>
      <c r="R3847">
        <v>0.72884000000000004</v>
      </c>
      <c r="S3847">
        <v>0.21301339999999999</v>
      </c>
      <c r="T3847" t="s">
        <v>1019</v>
      </c>
      <c r="U3847">
        <v>1.69746</v>
      </c>
    </row>
    <row r="3848" spans="1:21" x14ac:dyDescent="0.25">
      <c r="A3848" t="s">
        <v>18</v>
      </c>
      <c r="B3848" t="s">
        <v>915</v>
      </c>
      <c r="C3848">
        <v>16</v>
      </c>
      <c r="D3848" t="s">
        <v>19</v>
      </c>
      <c r="E3848" t="s">
        <v>95</v>
      </c>
      <c r="F3848" t="s">
        <v>104</v>
      </c>
      <c r="G3848" t="s">
        <v>121</v>
      </c>
      <c r="H3848" t="s">
        <v>113</v>
      </c>
      <c r="J3848">
        <v>0</v>
      </c>
      <c r="K3848">
        <v>3</v>
      </c>
      <c r="L3848">
        <v>113.9375</v>
      </c>
      <c r="M3848">
        <v>33.375507550000002</v>
      </c>
      <c r="N3848">
        <v>2.4262999999999999</v>
      </c>
      <c r="O3848">
        <v>0.40692159999999999</v>
      </c>
      <c r="P3848">
        <v>83.757575759999995</v>
      </c>
      <c r="Q3848">
        <v>22.60997987</v>
      </c>
      <c r="R3848">
        <v>0.72884000000000004</v>
      </c>
      <c r="S3848">
        <v>0.21301339999999999</v>
      </c>
      <c r="T3848" t="s">
        <v>1019</v>
      </c>
      <c r="U3848">
        <v>1.69746</v>
      </c>
    </row>
    <row r="3849" spans="1:21" x14ac:dyDescent="0.25">
      <c r="A3849" t="s">
        <v>18</v>
      </c>
      <c r="B3849" t="s">
        <v>916</v>
      </c>
      <c r="C3849">
        <v>15</v>
      </c>
      <c r="D3849" t="s">
        <v>19</v>
      </c>
      <c r="E3849" t="s">
        <v>95</v>
      </c>
      <c r="F3849" t="s">
        <v>112</v>
      </c>
      <c r="G3849" t="s">
        <v>113</v>
      </c>
      <c r="H3849" t="s">
        <v>113</v>
      </c>
      <c r="J3849">
        <v>0</v>
      </c>
      <c r="K3849">
        <v>1</v>
      </c>
      <c r="L3849">
        <v>65.09375</v>
      </c>
      <c r="M3849">
        <v>37.895352600000002</v>
      </c>
      <c r="N3849">
        <v>2.2882677779999998</v>
      </c>
      <c r="O3849">
        <v>2.2111774</v>
      </c>
      <c r="P3849">
        <v>83.757575759999995</v>
      </c>
      <c r="Q3849">
        <v>22.60997987</v>
      </c>
      <c r="R3849">
        <v>0.72884000000000004</v>
      </c>
      <c r="S3849">
        <v>0.21301339999999999</v>
      </c>
      <c r="T3849" t="s">
        <v>1019</v>
      </c>
      <c r="U3849">
        <v>1.5594277780000001</v>
      </c>
    </row>
    <row r="3850" spans="1:21" x14ac:dyDescent="0.25">
      <c r="A3850" t="s">
        <v>20</v>
      </c>
      <c r="B3850" t="s">
        <v>917</v>
      </c>
      <c r="C3850">
        <v>15</v>
      </c>
      <c r="D3850" t="s">
        <v>21</v>
      </c>
      <c r="E3850" t="s">
        <v>94</v>
      </c>
      <c r="F3850" t="s">
        <v>102</v>
      </c>
      <c r="G3850" t="s">
        <v>121</v>
      </c>
      <c r="H3850" t="s">
        <v>246</v>
      </c>
      <c r="J3850">
        <v>0</v>
      </c>
      <c r="K3850">
        <v>1</v>
      </c>
      <c r="L3850">
        <v>84.740740740000007</v>
      </c>
      <c r="M3850">
        <v>29.167014049999999</v>
      </c>
      <c r="N3850">
        <v>1.1169849999999999</v>
      </c>
      <c r="O3850">
        <v>1.1571499000000001</v>
      </c>
      <c r="P3850">
        <v>120.25</v>
      </c>
      <c r="Q3850">
        <v>30.670450110000001</v>
      </c>
      <c r="R3850">
        <v>0.91037498500000003</v>
      </c>
      <c r="S3850" t="s">
        <v>114</v>
      </c>
      <c r="T3850" t="s">
        <v>1019</v>
      </c>
      <c r="U3850">
        <v>0.20661001500000001</v>
      </c>
    </row>
    <row r="3851" spans="1:21" x14ac:dyDescent="0.25">
      <c r="A3851" t="s">
        <v>20</v>
      </c>
      <c r="B3851" t="s">
        <v>918</v>
      </c>
      <c r="C3851">
        <v>15</v>
      </c>
      <c r="D3851" t="s">
        <v>21</v>
      </c>
      <c r="E3851" t="s">
        <v>94</v>
      </c>
      <c r="F3851" t="s">
        <v>113</v>
      </c>
      <c r="G3851" t="s">
        <v>113</v>
      </c>
      <c r="H3851" t="s">
        <v>113</v>
      </c>
      <c r="J3851">
        <v>0</v>
      </c>
      <c r="K3851">
        <v>1</v>
      </c>
      <c r="L3851">
        <v>83.757575759999995</v>
      </c>
      <c r="M3851">
        <v>22.60997987</v>
      </c>
      <c r="N3851">
        <v>0.72884000000000004</v>
      </c>
      <c r="O3851">
        <v>0.21301339999999999</v>
      </c>
      <c r="P3851">
        <v>83.757575759999995</v>
      </c>
      <c r="Q3851">
        <v>22.60997987</v>
      </c>
      <c r="R3851">
        <v>0.72884000000000004</v>
      </c>
      <c r="S3851">
        <v>0.21301339999999999</v>
      </c>
      <c r="T3851" t="s">
        <v>1019</v>
      </c>
      <c r="U3851">
        <v>0</v>
      </c>
    </row>
    <row r="3852" spans="1:21" x14ac:dyDescent="0.25">
      <c r="A3852" t="s">
        <v>20</v>
      </c>
      <c r="B3852" t="s">
        <v>919</v>
      </c>
      <c r="C3852">
        <v>15</v>
      </c>
      <c r="D3852" t="s">
        <v>21</v>
      </c>
      <c r="E3852" t="s">
        <v>94</v>
      </c>
      <c r="F3852" t="s">
        <v>110</v>
      </c>
      <c r="G3852" t="s">
        <v>121</v>
      </c>
      <c r="H3852" t="s">
        <v>113</v>
      </c>
      <c r="J3852">
        <v>0</v>
      </c>
      <c r="K3852">
        <v>2</v>
      </c>
      <c r="L3852">
        <v>73.260869569999997</v>
      </c>
      <c r="M3852">
        <v>34.453830549999999</v>
      </c>
      <c r="N3852">
        <v>1.058333333</v>
      </c>
      <c r="O3852">
        <v>0.90897070000000002</v>
      </c>
      <c r="P3852">
        <v>83.757575759999995</v>
      </c>
      <c r="Q3852">
        <v>22.60997987</v>
      </c>
      <c r="R3852">
        <v>0.72884000000000004</v>
      </c>
      <c r="S3852">
        <v>0.21301339999999999</v>
      </c>
      <c r="T3852" t="s">
        <v>1019</v>
      </c>
      <c r="U3852">
        <v>0.329493333</v>
      </c>
    </row>
    <row r="3853" spans="1:21" x14ac:dyDescent="0.25">
      <c r="A3853" t="s">
        <v>20</v>
      </c>
      <c r="B3853" t="s">
        <v>919</v>
      </c>
      <c r="C3853">
        <v>15</v>
      </c>
      <c r="D3853" t="s">
        <v>21</v>
      </c>
      <c r="E3853" t="s">
        <v>94</v>
      </c>
      <c r="F3853" t="s">
        <v>110</v>
      </c>
      <c r="G3853" t="s">
        <v>121</v>
      </c>
      <c r="H3853" t="s">
        <v>113</v>
      </c>
      <c r="J3853">
        <v>0</v>
      </c>
      <c r="K3853">
        <v>2</v>
      </c>
      <c r="L3853">
        <v>73.260869569999997</v>
      </c>
      <c r="M3853">
        <v>34.453830549999999</v>
      </c>
      <c r="N3853">
        <v>1.058333333</v>
      </c>
      <c r="O3853">
        <v>0.90897070000000002</v>
      </c>
      <c r="P3853">
        <v>83.757575759999995</v>
      </c>
      <c r="Q3853">
        <v>22.60997987</v>
      </c>
      <c r="R3853">
        <v>0.72884000000000004</v>
      </c>
      <c r="S3853">
        <v>0.21301339999999999</v>
      </c>
      <c r="T3853" t="s">
        <v>1019</v>
      </c>
      <c r="U3853">
        <v>0.329493333</v>
      </c>
    </row>
    <row r="3854" spans="1:21" x14ac:dyDescent="0.25">
      <c r="A3854" t="s">
        <v>20</v>
      </c>
      <c r="B3854" t="s">
        <v>919</v>
      </c>
      <c r="C3854">
        <v>16</v>
      </c>
      <c r="D3854" t="s">
        <v>21</v>
      </c>
      <c r="E3854" t="s">
        <v>94</v>
      </c>
      <c r="F3854" t="s">
        <v>110</v>
      </c>
      <c r="G3854" t="s">
        <v>121</v>
      </c>
      <c r="H3854" t="s">
        <v>102</v>
      </c>
      <c r="J3854">
        <v>0</v>
      </c>
      <c r="K3854">
        <v>1</v>
      </c>
      <c r="L3854">
        <v>73.260869569999997</v>
      </c>
      <c r="M3854">
        <v>34.453830549999999</v>
      </c>
      <c r="N3854">
        <v>1.058333333</v>
      </c>
      <c r="O3854">
        <v>0.90897070000000002</v>
      </c>
      <c r="P3854">
        <v>84.740740740000007</v>
      </c>
      <c r="Q3854">
        <v>29.167014049999999</v>
      </c>
      <c r="R3854">
        <v>1.1169849999999999</v>
      </c>
      <c r="S3854">
        <v>1.1571499000000001</v>
      </c>
      <c r="T3854" t="s">
        <v>1019</v>
      </c>
      <c r="U3854">
        <v>5.8651666999999998E-2</v>
      </c>
    </row>
    <row r="3855" spans="1:21" x14ac:dyDescent="0.25">
      <c r="A3855" t="s">
        <v>20</v>
      </c>
      <c r="B3855" t="s">
        <v>920</v>
      </c>
      <c r="C3855">
        <v>15</v>
      </c>
      <c r="D3855" t="s">
        <v>21</v>
      </c>
      <c r="E3855" t="s">
        <v>94</v>
      </c>
      <c r="F3855" t="s">
        <v>111</v>
      </c>
      <c r="G3855" t="s">
        <v>121</v>
      </c>
      <c r="H3855" t="s">
        <v>110</v>
      </c>
      <c r="J3855">
        <v>0</v>
      </c>
      <c r="K3855">
        <v>1</v>
      </c>
      <c r="L3855">
        <v>94.97142857</v>
      </c>
      <c r="M3855">
        <v>24.31591813</v>
      </c>
      <c r="N3855">
        <v>0.122951111</v>
      </c>
      <c r="O3855">
        <v>0.39050790000000002</v>
      </c>
      <c r="P3855">
        <v>73.260869569999997</v>
      </c>
      <c r="Q3855">
        <v>34.453830549999999</v>
      </c>
      <c r="R3855">
        <v>1.058333333</v>
      </c>
      <c r="S3855">
        <v>0.90897070000000002</v>
      </c>
      <c r="T3855" t="s">
        <v>1019</v>
      </c>
      <c r="U3855">
        <v>0.93538222199999999</v>
      </c>
    </row>
    <row r="3856" spans="1:21" x14ac:dyDescent="0.25">
      <c r="A3856" t="s">
        <v>22</v>
      </c>
      <c r="B3856" t="s">
        <v>921</v>
      </c>
      <c r="C3856">
        <v>15</v>
      </c>
      <c r="D3856" t="s">
        <v>23</v>
      </c>
      <c r="E3856" t="s">
        <v>95</v>
      </c>
      <c r="F3856" t="s">
        <v>102</v>
      </c>
      <c r="G3856" t="s">
        <v>121</v>
      </c>
      <c r="H3856" t="s">
        <v>236</v>
      </c>
      <c r="J3856">
        <v>0</v>
      </c>
      <c r="K3856">
        <v>1</v>
      </c>
      <c r="L3856">
        <v>84.740740740000007</v>
      </c>
      <c r="M3856">
        <v>29.167014049999999</v>
      </c>
      <c r="N3856">
        <v>1.1169849999999999</v>
      </c>
      <c r="O3856">
        <v>1.1571499000000001</v>
      </c>
      <c r="P3856">
        <v>113.33333330000001</v>
      </c>
      <c r="Q3856">
        <v>26.41632581</v>
      </c>
      <c r="R3856">
        <v>1.6844570160000001</v>
      </c>
      <c r="S3856">
        <v>8.9285710000000004E-2</v>
      </c>
      <c r="T3856" t="s">
        <v>1019</v>
      </c>
      <c r="U3856">
        <v>0.56747201599999997</v>
      </c>
    </row>
    <row r="3857" spans="1:21" x14ac:dyDescent="0.25">
      <c r="A3857" t="s">
        <v>22</v>
      </c>
      <c r="B3857" t="s">
        <v>922</v>
      </c>
      <c r="C3857">
        <v>15</v>
      </c>
      <c r="D3857" t="s">
        <v>23</v>
      </c>
      <c r="E3857" t="s">
        <v>95</v>
      </c>
      <c r="F3857" t="s">
        <v>105</v>
      </c>
      <c r="G3857" t="s">
        <v>121</v>
      </c>
      <c r="H3857" t="s">
        <v>113</v>
      </c>
      <c r="J3857">
        <v>0</v>
      </c>
      <c r="K3857">
        <v>4</v>
      </c>
      <c r="L3857">
        <v>67.5</v>
      </c>
      <c r="M3857">
        <v>47.937235809999997</v>
      </c>
      <c r="N3857">
        <v>0.41599678000000001</v>
      </c>
      <c r="O3857">
        <v>2.0950346999999998</v>
      </c>
      <c r="P3857">
        <v>83.757575759999995</v>
      </c>
      <c r="Q3857">
        <v>22.60997987</v>
      </c>
      <c r="R3857">
        <v>0.72884000000000004</v>
      </c>
      <c r="S3857">
        <v>0.21301339999999999</v>
      </c>
      <c r="T3857" t="s">
        <v>1019</v>
      </c>
      <c r="U3857">
        <v>0.31284321999999998</v>
      </c>
    </row>
    <row r="3858" spans="1:21" x14ac:dyDescent="0.25">
      <c r="A3858" t="s">
        <v>22</v>
      </c>
      <c r="B3858" t="s">
        <v>922</v>
      </c>
      <c r="C3858">
        <v>15</v>
      </c>
      <c r="D3858" t="s">
        <v>23</v>
      </c>
      <c r="E3858" t="s">
        <v>95</v>
      </c>
      <c r="F3858" t="s">
        <v>105</v>
      </c>
      <c r="G3858" t="s">
        <v>121</v>
      </c>
      <c r="H3858" t="s">
        <v>113</v>
      </c>
      <c r="J3858">
        <v>0</v>
      </c>
      <c r="K3858">
        <v>4</v>
      </c>
      <c r="L3858">
        <v>67.5</v>
      </c>
      <c r="M3858">
        <v>47.937235809999997</v>
      </c>
      <c r="N3858">
        <v>0.41599678000000001</v>
      </c>
      <c r="O3858">
        <v>2.0950346999999998</v>
      </c>
      <c r="P3858">
        <v>83.757575759999995</v>
      </c>
      <c r="Q3858">
        <v>22.60997987</v>
      </c>
      <c r="R3858">
        <v>0.72884000000000004</v>
      </c>
      <c r="S3858">
        <v>0.21301339999999999</v>
      </c>
      <c r="T3858" t="s">
        <v>1019</v>
      </c>
      <c r="U3858">
        <v>0.31284321999999998</v>
      </c>
    </row>
    <row r="3859" spans="1:21" x14ac:dyDescent="0.25">
      <c r="A3859" t="s">
        <v>22</v>
      </c>
      <c r="B3859" t="s">
        <v>922</v>
      </c>
      <c r="C3859">
        <v>15</v>
      </c>
      <c r="D3859" t="s">
        <v>23</v>
      </c>
      <c r="E3859" t="s">
        <v>95</v>
      </c>
      <c r="F3859" t="s">
        <v>105</v>
      </c>
      <c r="G3859" t="s">
        <v>121</v>
      </c>
      <c r="H3859" t="s">
        <v>113</v>
      </c>
      <c r="J3859">
        <v>0</v>
      </c>
      <c r="K3859">
        <v>4</v>
      </c>
      <c r="L3859">
        <v>67.5</v>
      </c>
      <c r="M3859">
        <v>47.937235809999997</v>
      </c>
      <c r="N3859">
        <v>0.41599678000000001</v>
      </c>
      <c r="O3859">
        <v>2.0950346999999998</v>
      </c>
      <c r="P3859">
        <v>83.757575759999995</v>
      </c>
      <c r="Q3859">
        <v>22.60997987</v>
      </c>
      <c r="R3859">
        <v>0.72884000000000004</v>
      </c>
      <c r="S3859">
        <v>0.21301339999999999</v>
      </c>
      <c r="T3859" t="s">
        <v>1019</v>
      </c>
      <c r="U3859">
        <v>0.31284321999999998</v>
      </c>
    </row>
    <row r="3860" spans="1:21" x14ac:dyDescent="0.25">
      <c r="A3860" t="s">
        <v>22</v>
      </c>
      <c r="B3860" t="s">
        <v>922</v>
      </c>
      <c r="C3860">
        <v>15</v>
      </c>
      <c r="D3860" t="s">
        <v>23</v>
      </c>
      <c r="E3860" t="s">
        <v>95</v>
      </c>
      <c r="F3860" t="s">
        <v>105</v>
      </c>
      <c r="G3860" t="s">
        <v>121</v>
      </c>
      <c r="H3860" t="s">
        <v>113</v>
      </c>
      <c r="J3860">
        <v>0</v>
      </c>
      <c r="K3860">
        <v>4</v>
      </c>
      <c r="L3860">
        <v>67.5</v>
      </c>
      <c r="M3860">
        <v>47.937235809999997</v>
      </c>
      <c r="N3860">
        <v>0.41599678000000001</v>
      </c>
      <c r="O3860">
        <v>2.0950346999999998</v>
      </c>
      <c r="P3860">
        <v>83.757575759999995</v>
      </c>
      <c r="Q3860">
        <v>22.60997987</v>
      </c>
      <c r="R3860">
        <v>0.72884000000000004</v>
      </c>
      <c r="S3860">
        <v>0.21301339999999999</v>
      </c>
      <c r="T3860" t="s">
        <v>1019</v>
      </c>
      <c r="U3860">
        <v>0.31284321999999998</v>
      </c>
    </row>
    <row r="3861" spans="1:21" x14ac:dyDescent="0.25">
      <c r="A3861" t="s">
        <v>22</v>
      </c>
      <c r="B3861" t="s">
        <v>922</v>
      </c>
      <c r="C3861">
        <v>16</v>
      </c>
      <c r="D3861" t="s">
        <v>23</v>
      </c>
      <c r="E3861" t="s">
        <v>95</v>
      </c>
      <c r="F3861" t="s">
        <v>105</v>
      </c>
      <c r="G3861" t="s">
        <v>121</v>
      </c>
      <c r="H3861" t="s">
        <v>103</v>
      </c>
      <c r="J3861">
        <v>0</v>
      </c>
      <c r="K3861">
        <v>1</v>
      </c>
      <c r="L3861">
        <v>67.5</v>
      </c>
      <c r="M3861">
        <v>47.937235809999997</v>
      </c>
      <c r="N3861">
        <v>0.41599678000000001</v>
      </c>
      <c r="O3861">
        <v>2.0950346999999998</v>
      </c>
      <c r="P3861">
        <v>98.291666669999998</v>
      </c>
      <c r="Q3861">
        <v>30.315130790000001</v>
      </c>
      <c r="R3861">
        <v>5.0803484000000003E-2</v>
      </c>
      <c r="S3861">
        <v>0.42866070000000001</v>
      </c>
      <c r="T3861" t="s">
        <v>1019</v>
      </c>
      <c r="U3861">
        <v>0.365193296</v>
      </c>
    </row>
    <row r="3862" spans="1:21" x14ac:dyDescent="0.25">
      <c r="A3862" t="s">
        <v>22</v>
      </c>
      <c r="B3862" t="s">
        <v>922</v>
      </c>
      <c r="C3862">
        <v>17</v>
      </c>
      <c r="D3862" t="s">
        <v>23</v>
      </c>
      <c r="E3862" t="s">
        <v>95</v>
      </c>
      <c r="F3862" t="s">
        <v>105</v>
      </c>
      <c r="G3862" t="s">
        <v>121</v>
      </c>
      <c r="H3862" t="s">
        <v>234</v>
      </c>
      <c r="J3862">
        <v>0</v>
      </c>
      <c r="K3862">
        <v>1</v>
      </c>
      <c r="L3862">
        <v>67.5</v>
      </c>
      <c r="M3862">
        <v>47.937235809999997</v>
      </c>
      <c r="N3862">
        <v>0.41599678000000001</v>
      </c>
      <c r="O3862">
        <v>2.0950346999999998</v>
      </c>
      <c r="P3862">
        <v>89.8125</v>
      </c>
      <c r="Q3862">
        <v>34.754706650000003</v>
      </c>
      <c r="R3862">
        <v>2.3065078999999999E-2</v>
      </c>
      <c r="S3862">
        <v>2.4791666700000001</v>
      </c>
      <c r="T3862" t="s">
        <v>1019</v>
      </c>
      <c r="U3862">
        <v>0.39293170100000002</v>
      </c>
    </row>
    <row r="3863" spans="1:21" x14ac:dyDescent="0.25">
      <c r="A3863" t="s">
        <v>22</v>
      </c>
      <c r="B3863" t="s">
        <v>923</v>
      </c>
      <c r="C3863">
        <v>15</v>
      </c>
      <c r="D3863" t="s">
        <v>23</v>
      </c>
      <c r="E3863" t="s">
        <v>95</v>
      </c>
      <c r="F3863" t="s">
        <v>103</v>
      </c>
      <c r="G3863" t="s">
        <v>103</v>
      </c>
      <c r="H3863" t="s">
        <v>103</v>
      </c>
      <c r="J3863">
        <v>0</v>
      </c>
      <c r="K3863">
        <v>6</v>
      </c>
      <c r="L3863">
        <v>98.291666669999998</v>
      </c>
      <c r="M3863">
        <v>30.315130790000001</v>
      </c>
      <c r="N3863">
        <v>5.0803484000000003E-2</v>
      </c>
      <c r="O3863">
        <v>0.42866070000000001</v>
      </c>
      <c r="P3863">
        <v>98.291666669999998</v>
      </c>
      <c r="Q3863">
        <v>30.315130790000001</v>
      </c>
      <c r="R3863">
        <v>5.0803484000000003E-2</v>
      </c>
      <c r="S3863">
        <v>0.42866070000000001</v>
      </c>
      <c r="T3863" t="s">
        <v>1019</v>
      </c>
      <c r="U3863">
        <v>0</v>
      </c>
    </row>
    <row r="3864" spans="1:21" x14ac:dyDescent="0.25">
      <c r="A3864" t="s">
        <v>22</v>
      </c>
      <c r="B3864" t="s">
        <v>923</v>
      </c>
      <c r="C3864">
        <v>15</v>
      </c>
      <c r="D3864" t="s">
        <v>23</v>
      </c>
      <c r="E3864" t="s">
        <v>95</v>
      </c>
      <c r="F3864" t="s">
        <v>103</v>
      </c>
      <c r="G3864" t="s">
        <v>103</v>
      </c>
      <c r="H3864" t="s">
        <v>103</v>
      </c>
      <c r="J3864">
        <v>0</v>
      </c>
      <c r="K3864">
        <v>6</v>
      </c>
      <c r="L3864">
        <v>98.291666669999998</v>
      </c>
      <c r="M3864">
        <v>30.315130790000001</v>
      </c>
      <c r="N3864">
        <v>5.0803484000000003E-2</v>
      </c>
      <c r="O3864">
        <v>0.42866070000000001</v>
      </c>
      <c r="P3864">
        <v>98.291666669999998</v>
      </c>
      <c r="Q3864">
        <v>30.315130790000001</v>
      </c>
      <c r="R3864">
        <v>5.0803484000000003E-2</v>
      </c>
      <c r="S3864">
        <v>0.42866070000000001</v>
      </c>
      <c r="T3864" t="s">
        <v>1019</v>
      </c>
      <c r="U3864">
        <v>0</v>
      </c>
    </row>
    <row r="3865" spans="1:21" x14ac:dyDescent="0.25">
      <c r="A3865" t="s">
        <v>22</v>
      </c>
      <c r="B3865" t="s">
        <v>923</v>
      </c>
      <c r="C3865">
        <v>15</v>
      </c>
      <c r="D3865" t="s">
        <v>23</v>
      </c>
      <c r="E3865" t="s">
        <v>95</v>
      </c>
      <c r="F3865" t="s">
        <v>103</v>
      </c>
      <c r="G3865" t="s">
        <v>103</v>
      </c>
      <c r="H3865" t="s">
        <v>103</v>
      </c>
      <c r="J3865">
        <v>0</v>
      </c>
      <c r="K3865">
        <v>6</v>
      </c>
      <c r="L3865">
        <v>98.291666669999998</v>
      </c>
      <c r="M3865">
        <v>30.315130790000001</v>
      </c>
      <c r="N3865">
        <v>5.0803484000000003E-2</v>
      </c>
      <c r="O3865">
        <v>0.42866070000000001</v>
      </c>
      <c r="P3865">
        <v>98.291666669999998</v>
      </c>
      <c r="Q3865">
        <v>30.315130790000001</v>
      </c>
      <c r="R3865">
        <v>5.0803484000000003E-2</v>
      </c>
      <c r="S3865">
        <v>0.42866070000000001</v>
      </c>
      <c r="T3865" t="s">
        <v>1019</v>
      </c>
      <c r="U3865">
        <v>0</v>
      </c>
    </row>
    <row r="3866" spans="1:21" x14ac:dyDescent="0.25">
      <c r="A3866" t="s">
        <v>22</v>
      </c>
      <c r="B3866" t="s">
        <v>923</v>
      </c>
      <c r="C3866">
        <v>15</v>
      </c>
      <c r="D3866" t="s">
        <v>23</v>
      </c>
      <c r="E3866" t="s">
        <v>95</v>
      </c>
      <c r="F3866" t="s">
        <v>103</v>
      </c>
      <c r="G3866" t="s">
        <v>103</v>
      </c>
      <c r="H3866" t="s">
        <v>103</v>
      </c>
      <c r="J3866">
        <v>0</v>
      </c>
      <c r="K3866">
        <v>6</v>
      </c>
      <c r="L3866">
        <v>98.291666669999998</v>
      </c>
      <c r="M3866">
        <v>30.315130790000001</v>
      </c>
      <c r="N3866">
        <v>5.0803484000000003E-2</v>
      </c>
      <c r="O3866">
        <v>0.42866070000000001</v>
      </c>
      <c r="P3866">
        <v>98.291666669999998</v>
      </c>
      <c r="Q3866">
        <v>30.315130790000001</v>
      </c>
      <c r="R3866">
        <v>5.0803484000000003E-2</v>
      </c>
      <c r="S3866">
        <v>0.42866070000000001</v>
      </c>
      <c r="T3866" t="s">
        <v>1019</v>
      </c>
      <c r="U3866">
        <v>0</v>
      </c>
    </row>
    <row r="3867" spans="1:21" x14ac:dyDescent="0.25">
      <c r="A3867" t="s">
        <v>22</v>
      </c>
      <c r="B3867" t="s">
        <v>923</v>
      </c>
      <c r="C3867">
        <v>15</v>
      </c>
      <c r="D3867" t="s">
        <v>23</v>
      </c>
      <c r="E3867" t="s">
        <v>95</v>
      </c>
      <c r="F3867" t="s">
        <v>103</v>
      </c>
      <c r="G3867" t="s">
        <v>103</v>
      </c>
      <c r="H3867" t="s">
        <v>103</v>
      </c>
      <c r="J3867">
        <v>0</v>
      </c>
      <c r="K3867">
        <v>6</v>
      </c>
      <c r="L3867">
        <v>98.291666669999998</v>
      </c>
      <c r="M3867">
        <v>30.315130790000001</v>
      </c>
      <c r="N3867">
        <v>5.0803484000000003E-2</v>
      </c>
      <c r="O3867">
        <v>0.42866070000000001</v>
      </c>
      <c r="P3867">
        <v>98.291666669999998</v>
      </c>
      <c r="Q3867">
        <v>30.315130790000001</v>
      </c>
      <c r="R3867">
        <v>5.0803484000000003E-2</v>
      </c>
      <c r="S3867">
        <v>0.42866070000000001</v>
      </c>
      <c r="T3867" t="s">
        <v>1019</v>
      </c>
      <c r="U3867">
        <v>0</v>
      </c>
    </row>
    <row r="3868" spans="1:21" x14ac:dyDescent="0.25">
      <c r="A3868" t="s">
        <v>22</v>
      </c>
      <c r="B3868" t="s">
        <v>923</v>
      </c>
      <c r="C3868">
        <v>15</v>
      </c>
      <c r="D3868" t="s">
        <v>23</v>
      </c>
      <c r="E3868" t="s">
        <v>95</v>
      </c>
      <c r="F3868" t="s">
        <v>103</v>
      </c>
      <c r="G3868" t="s">
        <v>103</v>
      </c>
      <c r="H3868" t="s">
        <v>103</v>
      </c>
      <c r="J3868">
        <v>0</v>
      </c>
      <c r="K3868">
        <v>6</v>
      </c>
      <c r="L3868">
        <v>98.291666669999998</v>
      </c>
      <c r="M3868">
        <v>30.315130790000001</v>
      </c>
      <c r="N3868">
        <v>5.0803484000000003E-2</v>
      </c>
      <c r="O3868">
        <v>0.42866070000000001</v>
      </c>
      <c r="P3868">
        <v>98.291666669999998</v>
      </c>
      <c r="Q3868">
        <v>30.315130790000001</v>
      </c>
      <c r="R3868">
        <v>5.0803484000000003E-2</v>
      </c>
      <c r="S3868">
        <v>0.42866070000000001</v>
      </c>
      <c r="T3868" t="s">
        <v>1019</v>
      </c>
      <c r="U3868">
        <v>0</v>
      </c>
    </row>
    <row r="3869" spans="1:21" x14ac:dyDescent="0.25">
      <c r="A3869" t="s">
        <v>22</v>
      </c>
      <c r="B3869" t="s">
        <v>923</v>
      </c>
      <c r="C3869">
        <v>16</v>
      </c>
      <c r="D3869" t="s">
        <v>23</v>
      </c>
      <c r="E3869" t="s">
        <v>95</v>
      </c>
      <c r="F3869" t="s">
        <v>103</v>
      </c>
      <c r="G3869" t="s">
        <v>103</v>
      </c>
      <c r="H3869" t="s">
        <v>248</v>
      </c>
      <c r="J3869">
        <v>0</v>
      </c>
      <c r="K3869">
        <v>4</v>
      </c>
      <c r="L3869">
        <v>98.291666669999998</v>
      </c>
      <c r="M3869">
        <v>30.315130790000001</v>
      </c>
      <c r="N3869">
        <v>5.0803484000000003E-2</v>
      </c>
      <c r="O3869">
        <v>0.42866070000000001</v>
      </c>
      <c r="P3869">
        <v>83.92307692</v>
      </c>
      <c r="Q3869">
        <v>44.319135699999997</v>
      </c>
      <c r="R3869">
        <v>5.9548609999999997E-3</v>
      </c>
      <c r="S3869">
        <v>0.18017928</v>
      </c>
      <c r="T3869" t="s">
        <v>1019</v>
      </c>
      <c r="U3869">
        <v>4.4848622999999997E-2</v>
      </c>
    </row>
    <row r="3870" spans="1:21" x14ac:dyDescent="0.25">
      <c r="A3870" t="s">
        <v>22</v>
      </c>
      <c r="B3870" t="s">
        <v>923</v>
      </c>
      <c r="C3870">
        <v>16</v>
      </c>
      <c r="D3870" t="s">
        <v>23</v>
      </c>
      <c r="E3870" t="s">
        <v>95</v>
      </c>
      <c r="F3870" t="s">
        <v>103</v>
      </c>
      <c r="G3870" t="s">
        <v>103</v>
      </c>
      <c r="H3870" t="s">
        <v>248</v>
      </c>
      <c r="J3870">
        <v>0</v>
      </c>
      <c r="K3870">
        <v>4</v>
      </c>
      <c r="L3870">
        <v>98.291666669999998</v>
      </c>
      <c r="M3870">
        <v>30.315130790000001</v>
      </c>
      <c r="N3870">
        <v>5.0803484000000003E-2</v>
      </c>
      <c r="O3870">
        <v>0.42866070000000001</v>
      </c>
      <c r="P3870">
        <v>83.92307692</v>
      </c>
      <c r="Q3870">
        <v>44.319135699999997</v>
      </c>
      <c r="R3870">
        <v>5.9548609999999997E-3</v>
      </c>
      <c r="S3870">
        <v>0.18017928</v>
      </c>
      <c r="T3870" t="s">
        <v>1019</v>
      </c>
      <c r="U3870">
        <v>4.4848622999999997E-2</v>
      </c>
    </row>
    <row r="3871" spans="1:21" x14ac:dyDescent="0.25">
      <c r="A3871" t="s">
        <v>22</v>
      </c>
      <c r="B3871" t="s">
        <v>923</v>
      </c>
      <c r="C3871">
        <v>16</v>
      </c>
      <c r="D3871" t="s">
        <v>23</v>
      </c>
      <c r="E3871" t="s">
        <v>95</v>
      </c>
      <c r="F3871" t="s">
        <v>103</v>
      </c>
      <c r="G3871" t="s">
        <v>103</v>
      </c>
      <c r="H3871" t="s">
        <v>248</v>
      </c>
      <c r="J3871">
        <v>0</v>
      </c>
      <c r="K3871">
        <v>4</v>
      </c>
      <c r="L3871">
        <v>98.291666669999998</v>
      </c>
      <c r="M3871">
        <v>30.315130790000001</v>
      </c>
      <c r="N3871">
        <v>5.0803484000000003E-2</v>
      </c>
      <c r="O3871">
        <v>0.42866070000000001</v>
      </c>
      <c r="P3871">
        <v>83.92307692</v>
      </c>
      <c r="Q3871">
        <v>44.319135699999997</v>
      </c>
      <c r="R3871">
        <v>5.9548609999999997E-3</v>
      </c>
      <c r="S3871">
        <v>0.18017928</v>
      </c>
      <c r="T3871" t="s">
        <v>1019</v>
      </c>
      <c r="U3871">
        <v>4.4848622999999997E-2</v>
      </c>
    </row>
    <row r="3872" spans="1:21" x14ac:dyDescent="0.25">
      <c r="A3872" t="s">
        <v>22</v>
      </c>
      <c r="B3872" t="s">
        <v>923</v>
      </c>
      <c r="C3872">
        <v>16</v>
      </c>
      <c r="D3872" t="s">
        <v>23</v>
      </c>
      <c r="E3872" t="s">
        <v>95</v>
      </c>
      <c r="F3872" t="s">
        <v>103</v>
      </c>
      <c r="G3872" t="s">
        <v>103</v>
      </c>
      <c r="H3872" t="s">
        <v>248</v>
      </c>
      <c r="J3872">
        <v>0</v>
      </c>
      <c r="K3872">
        <v>4</v>
      </c>
      <c r="L3872">
        <v>98.291666669999998</v>
      </c>
      <c r="M3872">
        <v>30.315130790000001</v>
      </c>
      <c r="N3872">
        <v>5.0803484000000003E-2</v>
      </c>
      <c r="O3872">
        <v>0.42866070000000001</v>
      </c>
      <c r="P3872">
        <v>83.92307692</v>
      </c>
      <c r="Q3872">
        <v>44.319135699999997</v>
      </c>
      <c r="R3872">
        <v>5.9548609999999997E-3</v>
      </c>
      <c r="S3872">
        <v>0.18017928</v>
      </c>
      <c r="T3872" t="s">
        <v>1019</v>
      </c>
      <c r="U3872">
        <v>4.4848622999999997E-2</v>
      </c>
    </row>
    <row r="3873" spans="1:21" x14ac:dyDescent="0.25">
      <c r="A3873" t="s">
        <v>22</v>
      </c>
      <c r="B3873" t="s">
        <v>924</v>
      </c>
      <c r="C3873">
        <v>15</v>
      </c>
      <c r="D3873" t="s">
        <v>23</v>
      </c>
      <c r="E3873" t="s">
        <v>95</v>
      </c>
      <c r="F3873" t="s">
        <v>111</v>
      </c>
      <c r="G3873" t="s">
        <v>121</v>
      </c>
      <c r="H3873" t="s">
        <v>112</v>
      </c>
      <c r="J3873">
        <v>1</v>
      </c>
      <c r="K3873">
        <v>1</v>
      </c>
      <c r="L3873">
        <v>94.97142857</v>
      </c>
      <c r="M3873">
        <v>24.31591813</v>
      </c>
      <c r="N3873">
        <v>0.122951111</v>
      </c>
      <c r="O3873">
        <v>0.39050790000000002</v>
      </c>
      <c r="P3873">
        <v>65.09375</v>
      </c>
      <c r="Q3873">
        <v>37.895352600000002</v>
      </c>
      <c r="R3873">
        <v>2.2882677779999998</v>
      </c>
      <c r="S3873">
        <v>2.2111774</v>
      </c>
      <c r="T3873" t="s">
        <v>1019</v>
      </c>
      <c r="U3873">
        <v>2.1653166669999999</v>
      </c>
    </row>
    <row r="3874" spans="1:21" x14ac:dyDescent="0.25">
      <c r="A3874" t="s">
        <v>22</v>
      </c>
      <c r="B3874" t="s">
        <v>924</v>
      </c>
      <c r="C3874">
        <v>16</v>
      </c>
      <c r="D3874" t="s">
        <v>23</v>
      </c>
      <c r="E3874" t="s">
        <v>95</v>
      </c>
      <c r="F3874" t="s">
        <v>111</v>
      </c>
      <c r="G3874" t="s">
        <v>121</v>
      </c>
      <c r="H3874" t="s">
        <v>239</v>
      </c>
      <c r="J3874">
        <v>1</v>
      </c>
      <c r="K3874">
        <v>1</v>
      </c>
      <c r="L3874">
        <v>94.97142857</v>
      </c>
      <c r="M3874">
        <v>24.31591813</v>
      </c>
      <c r="N3874">
        <v>0.122951111</v>
      </c>
      <c r="O3874">
        <v>0.39050790000000002</v>
      </c>
      <c r="P3874">
        <v>100.45454549999999</v>
      </c>
      <c r="Q3874">
        <v>26.754810689999999</v>
      </c>
      <c r="R3874">
        <v>0.75829999999999997</v>
      </c>
      <c r="S3874">
        <v>0.40907861000000001</v>
      </c>
      <c r="T3874" t="s">
        <v>1019</v>
      </c>
      <c r="U3874">
        <v>0.63534888899999997</v>
      </c>
    </row>
    <row r="3875" spans="1:21" x14ac:dyDescent="0.25">
      <c r="A3875" t="s">
        <v>22</v>
      </c>
      <c r="B3875" t="s">
        <v>924</v>
      </c>
      <c r="C3875">
        <v>17</v>
      </c>
      <c r="D3875" t="s">
        <v>23</v>
      </c>
      <c r="E3875" t="s">
        <v>95</v>
      </c>
      <c r="F3875" t="s">
        <v>111</v>
      </c>
      <c r="G3875" t="s">
        <v>121</v>
      </c>
      <c r="H3875" t="s">
        <v>248</v>
      </c>
      <c r="J3875">
        <v>1</v>
      </c>
      <c r="K3875">
        <v>5</v>
      </c>
      <c r="L3875">
        <v>94.97142857</v>
      </c>
      <c r="M3875">
        <v>24.31591813</v>
      </c>
      <c r="N3875">
        <v>0.122951111</v>
      </c>
      <c r="O3875">
        <v>0.39050790000000002</v>
      </c>
      <c r="P3875">
        <v>83.92307692</v>
      </c>
      <c r="Q3875">
        <v>44.319135699999997</v>
      </c>
      <c r="R3875">
        <v>5.9548609999999997E-3</v>
      </c>
      <c r="S3875">
        <v>0.18017928</v>
      </c>
      <c r="T3875" t="s">
        <v>1019</v>
      </c>
      <c r="U3875">
        <v>0.11699625</v>
      </c>
    </row>
    <row r="3876" spans="1:21" x14ac:dyDescent="0.25">
      <c r="A3876" t="s">
        <v>22</v>
      </c>
      <c r="B3876" t="s">
        <v>924</v>
      </c>
      <c r="C3876">
        <v>17</v>
      </c>
      <c r="D3876" t="s">
        <v>23</v>
      </c>
      <c r="E3876" t="s">
        <v>95</v>
      </c>
      <c r="F3876" t="s">
        <v>111</v>
      </c>
      <c r="G3876" t="s">
        <v>121</v>
      </c>
      <c r="H3876" t="s">
        <v>248</v>
      </c>
      <c r="J3876">
        <v>1</v>
      </c>
      <c r="K3876">
        <v>5</v>
      </c>
      <c r="L3876">
        <v>94.97142857</v>
      </c>
      <c r="M3876">
        <v>24.31591813</v>
      </c>
      <c r="N3876">
        <v>0.122951111</v>
      </c>
      <c r="O3876">
        <v>0.39050790000000002</v>
      </c>
      <c r="P3876">
        <v>83.92307692</v>
      </c>
      <c r="Q3876">
        <v>44.319135699999997</v>
      </c>
      <c r="R3876">
        <v>5.9548609999999997E-3</v>
      </c>
      <c r="S3876">
        <v>0.18017928</v>
      </c>
      <c r="T3876" t="s">
        <v>1019</v>
      </c>
      <c r="U3876">
        <v>0.11699625</v>
      </c>
    </row>
    <row r="3877" spans="1:21" x14ac:dyDescent="0.25">
      <c r="A3877" t="s">
        <v>22</v>
      </c>
      <c r="B3877" t="s">
        <v>924</v>
      </c>
      <c r="C3877">
        <v>17</v>
      </c>
      <c r="D3877" t="s">
        <v>23</v>
      </c>
      <c r="E3877" t="s">
        <v>95</v>
      </c>
      <c r="F3877" t="s">
        <v>111</v>
      </c>
      <c r="G3877" t="s">
        <v>121</v>
      </c>
      <c r="H3877" t="s">
        <v>248</v>
      </c>
      <c r="J3877">
        <v>1</v>
      </c>
      <c r="K3877">
        <v>5</v>
      </c>
      <c r="L3877">
        <v>94.97142857</v>
      </c>
      <c r="M3877">
        <v>24.31591813</v>
      </c>
      <c r="N3877">
        <v>0.122951111</v>
      </c>
      <c r="O3877">
        <v>0.39050790000000002</v>
      </c>
      <c r="P3877">
        <v>83.92307692</v>
      </c>
      <c r="Q3877">
        <v>44.319135699999997</v>
      </c>
      <c r="R3877">
        <v>5.9548609999999997E-3</v>
      </c>
      <c r="S3877">
        <v>0.18017928</v>
      </c>
      <c r="T3877" t="s">
        <v>1019</v>
      </c>
      <c r="U3877">
        <v>0.11699625</v>
      </c>
    </row>
    <row r="3878" spans="1:21" x14ac:dyDescent="0.25">
      <c r="A3878" t="s">
        <v>22</v>
      </c>
      <c r="B3878" t="s">
        <v>924</v>
      </c>
      <c r="C3878">
        <v>17</v>
      </c>
      <c r="D3878" t="s">
        <v>23</v>
      </c>
      <c r="E3878" t="s">
        <v>95</v>
      </c>
      <c r="F3878" t="s">
        <v>111</v>
      </c>
      <c r="G3878" t="s">
        <v>121</v>
      </c>
      <c r="H3878" t="s">
        <v>248</v>
      </c>
      <c r="J3878">
        <v>1</v>
      </c>
      <c r="K3878">
        <v>5</v>
      </c>
      <c r="L3878">
        <v>94.97142857</v>
      </c>
      <c r="M3878">
        <v>24.31591813</v>
      </c>
      <c r="N3878">
        <v>0.122951111</v>
      </c>
      <c r="O3878">
        <v>0.39050790000000002</v>
      </c>
      <c r="P3878">
        <v>83.92307692</v>
      </c>
      <c r="Q3878">
        <v>44.319135699999997</v>
      </c>
      <c r="R3878">
        <v>5.9548609999999997E-3</v>
      </c>
      <c r="S3878">
        <v>0.18017928</v>
      </c>
      <c r="T3878" t="s">
        <v>1019</v>
      </c>
      <c r="U3878">
        <v>0.11699625</v>
      </c>
    </row>
    <row r="3879" spans="1:21" x14ac:dyDescent="0.25">
      <c r="A3879" t="s">
        <v>22</v>
      </c>
      <c r="B3879" t="s">
        <v>924</v>
      </c>
      <c r="C3879">
        <v>17</v>
      </c>
      <c r="D3879" t="s">
        <v>23</v>
      </c>
      <c r="E3879" t="s">
        <v>95</v>
      </c>
      <c r="F3879" t="s">
        <v>111</v>
      </c>
      <c r="G3879" t="s">
        <v>121</v>
      </c>
      <c r="H3879" t="s">
        <v>248</v>
      </c>
      <c r="J3879">
        <v>1</v>
      </c>
      <c r="K3879">
        <v>5</v>
      </c>
      <c r="L3879">
        <v>94.97142857</v>
      </c>
      <c r="M3879">
        <v>24.31591813</v>
      </c>
      <c r="N3879">
        <v>0.122951111</v>
      </c>
      <c r="O3879">
        <v>0.39050790000000002</v>
      </c>
      <c r="P3879">
        <v>83.92307692</v>
      </c>
      <c r="Q3879">
        <v>44.319135699999997</v>
      </c>
      <c r="R3879">
        <v>5.9548609999999997E-3</v>
      </c>
      <c r="S3879">
        <v>0.18017928</v>
      </c>
      <c r="T3879" t="s">
        <v>1019</v>
      </c>
      <c r="U3879">
        <v>0.11699625</v>
      </c>
    </row>
    <row r="3880" spans="1:21" x14ac:dyDescent="0.25">
      <c r="A3880" t="s">
        <v>22</v>
      </c>
      <c r="B3880" t="s">
        <v>925</v>
      </c>
      <c r="C3880">
        <v>15</v>
      </c>
      <c r="D3880" t="s">
        <v>23</v>
      </c>
      <c r="E3880" t="s">
        <v>95</v>
      </c>
      <c r="F3880" t="s">
        <v>112</v>
      </c>
      <c r="G3880" t="s">
        <v>103</v>
      </c>
      <c r="H3880" t="s">
        <v>103</v>
      </c>
      <c r="J3880">
        <v>0</v>
      </c>
      <c r="K3880">
        <v>3</v>
      </c>
      <c r="L3880">
        <v>65.09375</v>
      </c>
      <c r="M3880">
        <v>37.895352600000002</v>
      </c>
      <c r="N3880">
        <v>2.2882677779999998</v>
      </c>
      <c r="O3880">
        <v>2.2111774</v>
      </c>
      <c r="P3880">
        <v>98.291666669999998</v>
      </c>
      <c r="Q3880">
        <v>30.315130790000001</v>
      </c>
      <c r="R3880">
        <v>5.0803484000000003E-2</v>
      </c>
      <c r="S3880">
        <v>0.42866070000000001</v>
      </c>
      <c r="T3880" t="s">
        <v>1019</v>
      </c>
      <c r="U3880">
        <v>2.237464294</v>
      </c>
    </row>
    <row r="3881" spans="1:21" x14ac:dyDescent="0.25">
      <c r="A3881" t="s">
        <v>22</v>
      </c>
      <c r="B3881" t="s">
        <v>925</v>
      </c>
      <c r="C3881">
        <v>15</v>
      </c>
      <c r="D3881" t="s">
        <v>23</v>
      </c>
      <c r="E3881" t="s">
        <v>95</v>
      </c>
      <c r="F3881" t="s">
        <v>112</v>
      </c>
      <c r="G3881" t="s">
        <v>103</v>
      </c>
      <c r="H3881" t="s">
        <v>103</v>
      </c>
      <c r="J3881">
        <v>0</v>
      </c>
      <c r="K3881">
        <v>3</v>
      </c>
      <c r="L3881">
        <v>65.09375</v>
      </c>
      <c r="M3881">
        <v>37.895352600000002</v>
      </c>
      <c r="N3881">
        <v>2.2882677779999998</v>
      </c>
      <c r="O3881">
        <v>2.2111774</v>
      </c>
      <c r="P3881">
        <v>98.291666669999998</v>
      </c>
      <c r="Q3881">
        <v>30.315130790000001</v>
      </c>
      <c r="R3881">
        <v>5.0803484000000003E-2</v>
      </c>
      <c r="S3881">
        <v>0.42866070000000001</v>
      </c>
      <c r="T3881" t="s">
        <v>1019</v>
      </c>
      <c r="U3881">
        <v>2.237464294</v>
      </c>
    </row>
    <row r="3882" spans="1:21" x14ac:dyDescent="0.25">
      <c r="A3882" t="s">
        <v>22</v>
      </c>
      <c r="B3882" t="s">
        <v>925</v>
      </c>
      <c r="C3882">
        <v>15</v>
      </c>
      <c r="D3882" t="s">
        <v>23</v>
      </c>
      <c r="E3882" t="s">
        <v>95</v>
      </c>
      <c r="F3882" t="s">
        <v>112</v>
      </c>
      <c r="G3882" t="s">
        <v>103</v>
      </c>
      <c r="H3882" t="s">
        <v>103</v>
      </c>
      <c r="J3882">
        <v>0</v>
      </c>
      <c r="K3882">
        <v>3</v>
      </c>
      <c r="L3882">
        <v>65.09375</v>
      </c>
      <c r="M3882">
        <v>37.895352600000002</v>
      </c>
      <c r="N3882">
        <v>2.2882677779999998</v>
      </c>
      <c r="O3882">
        <v>2.2111774</v>
      </c>
      <c r="P3882">
        <v>98.291666669999998</v>
      </c>
      <c r="Q3882">
        <v>30.315130790000001</v>
      </c>
      <c r="R3882">
        <v>5.0803484000000003E-2</v>
      </c>
      <c r="S3882">
        <v>0.42866070000000001</v>
      </c>
      <c r="T3882" t="s">
        <v>1019</v>
      </c>
      <c r="U3882">
        <v>2.237464294</v>
      </c>
    </row>
    <row r="3883" spans="1:21" x14ac:dyDescent="0.25">
      <c r="A3883" t="s">
        <v>22</v>
      </c>
      <c r="B3883" t="s">
        <v>925</v>
      </c>
      <c r="C3883">
        <v>16</v>
      </c>
      <c r="D3883" t="s">
        <v>23</v>
      </c>
      <c r="E3883" t="s">
        <v>95</v>
      </c>
      <c r="F3883" t="s">
        <v>112</v>
      </c>
      <c r="G3883" t="s">
        <v>103</v>
      </c>
      <c r="H3883" t="s">
        <v>113</v>
      </c>
      <c r="J3883">
        <v>0</v>
      </c>
      <c r="K3883">
        <v>2</v>
      </c>
      <c r="L3883">
        <v>65.09375</v>
      </c>
      <c r="M3883">
        <v>37.895352600000002</v>
      </c>
      <c r="N3883">
        <v>2.2882677779999998</v>
      </c>
      <c r="O3883">
        <v>2.2111774</v>
      </c>
      <c r="P3883">
        <v>83.757575759999995</v>
      </c>
      <c r="Q3883">
        <v>22.60997987</v>
      </c>
      <c r="R3883">
        <v>0.72884000000000004</v>
      </c>
      <c r="S3883">
        <v>0.21301339999999999</v>
      </c>
      <c r="T3883" t="s">
        <v>1019</v>
      </c>
      <c r="U3883">
        <v>1.5594277780000001</v>
      </c>
    </row>
    <row r="3884" spans="1:21" x14ac:dyDescent="0.25">
      <c r="A3884" t="s">
        <v>22</v>
      </c>
      <c r="B3884" t="s">
        <v>925</v>
      </c>
      <c r="C3884">
        <v>16</v>
      </c>
      <c r="D3884" t="s">
        <v>23</v>
      </c>
      <c r="E3884" t="s">
        <v>95</v>
      </c>
      <c r="F3884" t="s">
        <v>112</v>
      </c>
      <c r="G3884" t="s">
        <v>103</v>
      </c>
      <c r="H3884" t="s">
        <v>113</v>
      </c>
      <c r="J3884">
        <v>0</v>
      </c>
      <c r="K3884">
        <v>2</v>
      </c>
      <c r="L3884">
        <v>65.09375</v>
      </c>
      <c r="M3884">
        <v>37.895352600000002</v>
      </c>
      <c r="N3884">
        <v>2.2882677779999998</v>
      </c>
      <c r="O3884">
        <v>2.2111774</v>
      </c>
      <c r="P3884">
        <v>83.757575759999995</v>
      </c>
      <c r="Q3884">
        <v>22.60997987</v>
      </c>
      <c r="R3884">
        <v>0.72884000000000004</v>
      </c>
      <c r="S3884">
        <v>0.21301339999999999</v>
      </c>
      <c r="T3884" t="s">
        <v>1019</v>
      </c>
      <c r="U3884">
        <v>1.5594277780000001</v>
      </c>
    </row>
    <row r="3885" spans="1:21" x14ac:dyDescent="0.25">
      <c r="A3885" t="s">
        <v>22</v>
      </c>
      <c r="B3885" t="s">
        <v>925</v>
      </c>
      <c r="C3885">
        <v>17</v>
      </c>
      <c r="D3885" t="s">
        <v>23</v>
      </c>
      <c r="E3885" t="s">
        <v>95</v>
      </c>
      <c r="F3885" t="s">
        <v>112</v>
      </c>
      <c r="G3885" t="s">
        <v>103</v>
      </c>
      <c r="H3885" t="s">
        <v>247</v>
      </c>
      <c r="J3885">
        <v>0</v>
      </c>
      <c r="K3885">
        <v>1</v>
      </c>
      <c r="L3885">
        <v>65.09375</v>
      </c>
      <c r="M3885">
        <v>37.895352600000002</v>
      </c>
      <c r="N3885">
        <v>2.2882677779999998</v>
      </c>
      <c r="O3885">
        <v>2.2111774</v>
      </c>
      <c r="P3885">
        <v>65.791044779999993</v>
      </c>
      <c r="Q3885">
        <v>22.94519201</v>
      </c>
      <c r="R3885">
        <v>8.1320334999999994E-2</v>
      </c>
      <c r="S3885">
        <v>0.17285655</v>
      </c>
      <c r="T3885" t="s">
        <v>1019</v>
      </c>
      <c r="U3885">
        <v>2.2069474429999998</v>
      </c>
    </row>
    <row r="3886" spans="1:21" x14ac:dyDescent="0.25">
      <c r="A3886" t="s">
        <v>22</v>
      </c>
      <c r="B3886" t="s">
        <v>925</v>
      </c>
      <c r="C3886">
        <v>18</v>
      </c>
      <c r="D3886" t="s">
        <v>23</v>
      </c>
      <c r="E3886" t="s">
        <v>95</v>
      </c>
      <c r="F3886" t="s">
        <v>112</v>
      </c>
      <c r="G3886" t="s">
        <v>103</v>
      </c>
      <c r="H3886" t="s">
        <v>248</v>
      </c>
      <c r="J3886">
        <v>0</v>
      </c>
      <c r="K3886">
        <v>3</v>
      </c>
      <c r="L3886">
        <v>65.09375</v>
      </c>
      <c r="M3886">
        <v>37.895352600000002</v>
      </c>
      <c r="N3886">
        <v>2.2882677779999998</v>
      </c>
      <c r="O3886">
        <v>2.2111774</v>
      </c>
      <c r="P3886">
        <v>83.92307692</v>
      </c>
      <c r="Q3886">
        <v>44.319135699999997</v>
      </c>
      <c r="R3886">
        <v>5.9548609999999997E-3</v>
      </c>
      <c r="S3886">
        <v>0.18017928</v>
      </c>
      <c r="T3886" t="s">
        <v>1019</v>
      </c>
      <c r="U3886">
        <v>2.2823129170000001</v>
      </c>
    </row>
    <row r="3887" spans="1:21" x14ac:dyDescent="0.25">
      <c r="A3887" t="s">
        <v>22</v>
      </c>
      <c r="B3887" t="s">
        <v>925</v>
      </c>
      <c r="C3887">
        <v>18</v>
      </c>
      <c r="D3887" t="s">
        <v>23</v>
      </c>
      <c r="E3887" t="s">
        <v>95</v>
      </c>
      <c r="F3887" t="s">
        <v>112</v>
      </c>
      <c r="G3887" t="s">
        <v>103</v>
      </c>
      <c r="H3887" t="s">
        <v>248</v>
      </c>
      <c r="J3887">
        <v>0</v>
      </c>
      <c r="K3887">
        <v>3</v>
      </c>
      <c r="L3887">
        <v>65.09375</v>
      </c>
      <c r="M3887">
        <v>37.895352600000002</v>
      </c>
      <c r="N3887">
        <v>2.2882677779999998</v>
      </c>
      <c r="O3887">
        <v>2.2111774</v>
      </c>
      <c r="P3887">
        <v>83.92307692</v>
      </c>
      <c r="Q3887">
        <v>44.319135699999997</v>
      </c>
      <c r="R3887">
        <v>5.9548609999999997E-3</v>
      </c>
      <c r="S3887">
        <v>0.18017928</v>
      </c>
      <c r="T3887" t="s">
        <v>1019</v>
      </c>
      <c r="U3887">
        <v>2.2823129170000001</v>
      </c>
    </row>
    <row r="3888" spans="1:21" x14ac:dyDescent="0.25">
      <c r="A3888" t="s">
        <v>22</v>
      </c>
      <c r="B3888" t="s">
        <v>925</v>
      </c>
      <c r="C3888">
        <v>18</v>
      </c>
      <c r="D3888" t="s">
        <v>23</v>
      </c>
      <c r="E3888" t="s">
        <v>95</v>
      </c>
      <c r="F3888" t="s">
        <v>112</v>
      </c>
      <c r="G3888" t="s">
        <v>103</v>
      </c>
      <c r="H3888" t="s">
        <v>248</v>
      </c>
      <c r="J3888">
        <v>0</v>
      </c>
      <c r="K3888">
        <v>3</v>
      </c>
      <c r="L3888">
        <v>65.09375</v>
      </c>
      <c r="M3888">
        <v>37.895352600000002</v>
      </c>
      <c r="N3888">
        <v>2.2882677779999998</v>
      </c>
      <c r="O3888">
        <v>2.2111774</v>
      </c>
      <c r="P3888">
        <v>83.92307692</v>
      </c>
      <c r="Q3888">
        <v>44.319135699999997</v>
      </c>
      <c r="R3888">
        <v>5.9548609999999997E-3</v>
      </c>
      <c r="S3888">
        <v>0.18017928</v>
      </c>
      <c r="T3888" t="s">
        <v>1019</v>
      </c>
      <c r="U3888">
        <v>2.2823129170000001</v>
      </c>
    </row>
    <row r="3889" spans="1:21" x14ac:dyDescent="0.25">
      <c r="A3889" t="s">
        <v>24</v>
      </c>
      <c r="B3889" t="s">
        <v>926</v>
      </c>
      <c r="C3889">
        <v>15</v>
      </c>
      <c r="D3889" t="s">
        <v>25</v>
      </c>
      <c r="E3889" t="s">
        <v>95</v>
      </c>
      <c r="F3889" t="s">
        <v>105</v>
      </c>
      <c r="G3889" t="s">
        <v>121</v>
      </c>
      <c r="H3889" t="s">
        <v>111</v>
      </c>
      <c r="J3889">
        <v>0</v>
      </c>
      <c r="K3889">
        <v>1</v>
      </c>
      <c r="L3889">
        <v>67.5</v>
      </c>
      <c r="M3889">
        <v>47.937235809999997</v>
      </c>
      <c r="N3889">
        <v>0.41599678000000001</v>
      </c>
      <c r="O3889">
        <v>2.0950346999999998</v>
      </c>
      <c r="P3889">
        <v>94.97142857</v>
      </c>
      <c r="Q3889">
        <v>24.31591813</v>
      </c>
      <c r="R3889">
        <v>0.122951111</v>
      </c>
      <c r="S3889">
        <v>0.39050790000000002</v>
      </c>
      <c r="T3889" t="s">
        <v>1019</v>
      </c>
      <c r="U3889">
        <v>0.29304566900000001</v>
      </c>
    </row>
    <row r="3890" spans="1:21" x14ac:dyDescent="0.25">
      <c r="A3890" t="s">
        <v>24</v>
      </c>
      <c r="B3890" t="s">
        <v>926</v>
      </c>
      <c r="C3890">
        <v>16</v>
      </c>
      <c r="D3890" t="s">
        <v>25</v>
      </c>
      <c r="E3890" t="s">
        <v>95</v>
      </c>
      <c r="F3890" t="s">
        <v>105</v>
      </c>
      <c r="G3890" t="s">
        <v>121</v>
      </c>
      <c r="H3890" t="s">
        <v>104</v>
      </c>
      <c r="J3890">
        <v>0</v>
      </c>
      <c r="K3890">
        <v>1</v>
      </c>
      <c r="L3890">
        <v>67.5</v>
      </c>
      <c r="M3890">
        <v>47.937235809999997</v>
      </c>
      <c r="N3890">
        <v>0.41599678000000001</v>
      </c>
      <c r="O3890">
        <v>2.0950346999999998</v>
      </c>
      <c r="P3890">
        <v>113.9375</v>
      </c>
      <c r="Q3890">
        <v>33.375507550000002</v>
      </c>
      <c r="R3890">
        <v>2.4262999999999999</v>
      </c>
      <c r="S3890">
        <v>0.40692159999999999</v>
      </c>
      <c r="T3890" t="s">
        <v>1019</v>
      </c>
      <c r="U3890">
        <v>2.0103032199999999</v>
      </c>
    </row>
    <row r="3891" spans="1:21" x14ac:dyDescent="0.25">
      <c r="A3891" t="s">
        <v>24</v>
      </c>
      <c r="B3891" t="s">
        <v>927</v>
      </c>
      <c r="C3891">
        <v>15</v>
      </c>
      <c r="D3891" t="s">
        <v>25</v>
      </c>
      <c r="E3891" t="s">
        <v>95</v>
      </c>
      <c r="F3891" t="s">
        <v>112</v>
      </c>
      <c r="G3891" t="s">
        <v>112</v>
      </c>
      <c r="H3891" t="s">
        <v>112</v>
      </c>
      <c r="J3891">
        <v>0</v>
      </c>
      <c r="K3891">
        <v>1</v>
      </c>
      <c r="L3891">
        <v>65.09375</v>
      </c>
      <c r="M3891">
        <v>37.895352600000002</v>
      </c>
      <c r="N3891">
        <v>2.2882677779999998</v>
      </c>
      <c r="O3891">
        <v>2.2111774</v>
      </c>
      <c r="P3891">
        <v>65.09375</v>
      </c>
      <c r="Q3891">
        <v>37.895352600000002</v>
      </c>
      <c r="R3891">
        <v>2.2882677779999998</v>
      </c>
      <c r="S3891">
        <v>2.2111774</v>
      </c>
      <c r="T3891" t="s">
        <v>1019</v>
      </c>
      <c r="U3891">
        <v>0</v>
      </c>
    </row>
    <row r="3892" spans="1:21" x14ac:dyDescent="0.25">
      <c r="A3892" t="s">
        <v>26</v>
      </c>
      <c r="B3892" t="s">
        <v>928</v>
      </c>
      <c r="C3892">
        <v>15</v>
      </c>
      <c r="D3892" t="s">
        <v>27</v>
      </c>
      <c r="E3892" t="s">
        <v>95</v>
      </c>
      <c r="F3892" t="s">
        <v>105</v>
      </c>
      <c r="G3892" t="s">
        <v>102</v>
      </c>
      <c r="H3892" t="s">
        <v>102</v>
      </c>
      <c r="J3892">
        <v>0</v>
      </c>
      <c r="K3892">
        <v>1</v>
      </c>
      <c r="L3892">
        <v>67.5</v>
      </c>
      <c r="M3892">
        <v>47.937235809999997</v>
      </c>
      <c r="N3892">
        <v>0.41599678000000001</v>
      </c>
      <c r="O3892">
        <v>2.0950346999999998</v>
      </c>
      <c r="P3892">
        <v>84.740740740000007</v>
      </c>
      <c r="Q3892">
        <v>29.167014049999999</v>
      </c>
      <c r="R3892">
        <v>1.1169849999999999</v>
      </c>
      <c r="S3892">
        <v>1.1571499000000001</v>
      </c>
      <c r="T3892" t="s">
        <v>1019</v>
      </c>
      <c r="U3892">
        <v>0.70098822000000005</v>
      </c>
    </row>
    <row r="3893" spans="1:21" x14ac:dyDescent="0.25">
      <c r="A3893" t="s">
        <v>26</v>
      </c>
      <c r="B3893" t="s">
        <v>928</v>
      </c>
      <c r="C3893">
        <v>16</v>
      </c>
      <c r="D3893" t="s">
        <v>27</v>
      </c>
      <c r="E3893" t="s">
        <v>95</v>
      </c>
      <c r="F3893" t="s">
        <v>105</v>
      </c>
      <c r="G3893" t="s">
        <v>102</v>
      </c>
      <c r="H3893" t="s">
        <v>111</v>
      </c>
      <c r="J3893">
        <v>0</v>
      </c>
      <c r="K3893">
        <v>1</v>
      </c>
      <c r="L3893">
        <v>67.5</v>
      </c>
      <c r="M3893">
        <v>47.937235809999997</v>
      </c>
      <c r="N3893">
        <v>0.41599678000000001</v>
      </c>
      <c r="O3893">
        <v>2.0950346999999998</v>
      </c>
      <c r="P3893">
        <v>94.97142857</v>
      </c>
      <c r="Q3893">
        <v>24.31591813</v>
      </c>
      <c r="R3893">
        <v>0.122951111</v>
      </c>
      <c r="S3893">
        <v>0.39050790000000002</v>
      </c>
      <c r="T3893" t="s">
        <v>1019</v>
      </c>
      <c r="U3893">
        <v>0.29304566900000001</v>
      </c>
    </row>
    <row r="3894" spans="1:21" x14ac:dyDescent="0.25">
      <c r="A3894" t="s">
        <v>26</v>
      </c>
      <c r="B3894" t="s">
        <v>928</v>
      </c>
      <c r="C3894">
        <v>17</v>
      </c>
      <c r="D3894" t="s">
        <v>27</v>
      </c>
      <c r="E3894" t="s">
        <v>95</v>
      </c>
      <c r="F3894" t="s">
        <v>105</v>
      </c>
      <c r="G3894" t="s">
        <v>102</v>
      </c>
      <c r="H3894" t="s">
        <v>242</v>
      </c>
      <c r="J3894">
        <v>0</v>
      </c>
      <c r="K3894">
        <v>1</v>
      </c>
      <c r="L3894">
        <v>67.5</v>
      </c>
      <c r="M3894">
        <v>47.937235809999997</v>
      </c>
      <c r="N3894">
        <v>0.41599678000000001</v>
      </c>
      <c r="O3894">
        <v>2.0950346999999998</v>
      </c>
      <c r="P3894">
        <v>139.375</v>
      </c>
      <c r="Q3894">
        <v>23.713465920000001</v>
      </c>
      <c r="R3894" t="s">
        <v>114</v>
      </c>
      <c r="S3894" t="s">
        <v>114</v>
      </c>
      <c r="T3894" t="s">
        <v>1019</v>
      </c>
      <c r="U3894" t="s">
        <v>114</v>
      </c>
    </row>
    <row r="3895" spans="1:21" x14ac:dyDescent="0.25">
      <c r="A3895" t="s">
        <v>26</v>
      </c>
      <c r="B3895" t="s">
        <v>929</v>
      </c>
      <c r="C3895">
        <v>15</v>
      </c>
      <c r="D3895" t="s">
        <v>27</v>
      </c>
      <c r="E3895" t="s">
        <v>95</v>
      </c>
      <c r="F3895" t="s">
        <v>110</v>
      </c>
      <c r="G3895" t="s">
        <v>111</v>
      </c>
      <c r="H3895" t="s">
        <v>111</v>
      </c>
      <c r="J3895">
        <v>0</v>
      </c>
      <c r="K3895">
        <v>1</v>
      </c>
      <c r="L3895">
        <v>73.260869569999997</v>
      </c>
      <c r="M3895">
        <v>34.453830549999999</v>
      </c>
      <c r="N3895">
        <v>1.058333333</v>
      </c>
      <c r="O3895">
        <v>0.90897070000000002</v>
      </c>
      <c r="P3895">
        <v>94.97142857</v>
      </c>
      <c r="Q3895">
        <v>24.31591813</v>
      </c>
      <c r="R3895">
        <v>0.122951111</v>
      </c>
      <c r="S3895">
        <v>0.39050790000000002</v>
      </c>
      <c r="T3895" t="s">
        <v>1019</v>
      </c>
      <c r="U3895">
        <v>0.93538222199999999</v>
      </c>
    </row>
    <row r="3896" spans="1:21" x14ac:dyDescent="0.25">
      <c r="A3896" t="s">
        <v>26</v>
      </c>
      <c r="B3896" t="s">
        <v>929</v>
      </c>
      <c r="C3896">
        <v>16</v>
      </c>
      <c r="D3896" t="s">
        <v>27</v>
      </c>
      <c r="E3896" t="s">
        <v>95</v>
      </c>
      <c r="F3896" t="s">
        <v>110</v>
      </c>
      <c r="G3896" t="s">
        <v>111</v>
      </c>
      <c r="H3896" t="s">
        <v>242</v>
      </c>
      <c r="J3896">
        <v>0</v>
      </c>
      <c r="K3896">
        <v>8</v>
      </c>
      <c r="L3896">
        <v>73.260869569999997</v>
      </c>
      <c r="M3896">
        <v>34.453830549999999</v>
      </c>
      <c r="N3896">
        <v>1.058333333</v>
      </c>
      <c r="O3896">
        <v>0.90897070000000002</v>
      </c>
      <c r="P3896">
        <v>139.375</v>
      </c>
      <c r="Q3896">
        <v>23.713465920000001</v>
      </c>
      <c r="R3896" t="s">
        <v>114</v>
      </c>
      <c r="S3896" t="s">
        <v>114</v>
      </c>
      <c r="T3896" t="s">
        <v>1019</v>
      </c>
      <c r="U3896" t="s">
        <v>114</v>
      </c>
    </row>
    <row r="3897" spans="1:21" x14ac:dyDescent="0.25">
      <c r="A3897" t="s">
        <v>26</v>
      </c>
      <c r="B3897" t="s">
        <v>929</v>
      </c>
      <c r="C3897">
        <v>16</v>
      </c>
      <c r="D3897" t="s">
        <v>27</v>
      </c>
      <c r="E3897" t="s">
        <v>95</v>
      </c>
      <c r="F3897" t="s">
        <v>110</v>
      </c>
      <c r="G3897" t="s">
        <v>111</v>
      </c>
      <c r="H3897" t="s">
        <v>242</v>
      </c>
      <c r="J3897">
        <v>0</v>
      </c>
      <c r="K3897">
        <v>8</v>
      </c>
      <c r="L3897">
        <v>73.260869569999997</v>
      </c>
      <c r="M3897">
        <v>34.453830549999999</v>
      </c>
      <c r="N3897">
        <v>1.058333333</v>
      </c>
      <c r="O3897">
        <v>0.90897070000000002</v>
      </c>
      <c r="P3897">
        <v>139.375</v>
      </c>
      <c r="Q3897">
        <v>23.713465920000001</v>
      </c>
      <c r="R3897" t="s">
        <v>114</v>
      </c>
      <c r="S3897" t="s">
        <v>114</v>
      </c>
      <c r="T3897" t="s">
        <v>1019</v>
      </c>
      <c r="U3897" t="s">
        <v>114</v>
      </c>
    </row>
    <row r="3898" spans="1:21" x14ac:dyDescent="0.25">
      <c r="A3898" t="s">
        <v>26</v>
      </c>
      <c r="B3898" t="s">
        <v>929</v>
      </c>
      <c r="C3898">
        <v>16</v>
      </c>
      <c r="D3898" t="s">
        <v>27</v>
      </c>
      <c r="E3898" t="s">
        <v>95</v>
      </c>
      <c r="F3898" t="s">
        <v>110</v>
      </c>
      <c r="G3898" t="s">
        <v>111</v>
      </c>
      <c r="H3898" t="s">
        <v>242</v>
      </c>
      <c r="J3898">
        <v>0</v>
      </c>
      <c r="K3898">
        <v>8</v>
      </c>
      <c r="L3898">
        <v>73.260869569999997</v>
      </c>
      <c r="M3898">
        <v>34.453830549999999</v>
      </c>
      <c r="N3898">
        <v>1.058333333</v>
      </c>
      <c r="O3898">
        <v>0.90897070000000002</v>
      </c>
      <c r="P3898">
        <v>139.375</v>
      </c>
      <c r="Q3898">
        <v>23.713465920000001</v>
      </c>
      <c r="R3898" t="s">
        <v>114</v>
      </c>
      <c r="S3898" t="s">
        <v>114</v>
      </c>
      <c r="T3898" t="s">
        <v>1019</v>
      </c>
      <c r="U3898" t="s">
        <v>114</v>
      </c>
    </row>
    <row r="3899" spans="1:21" x14ac:dyDescent="0.25">
      <c r="A3899" t="s">
        <v>26</v>
      </c>
      <c r="B3899" t="s">
        <v>929</v>
      </c>
      <c r="C3899">
        <v>16</v>
      </c>
      <c r="D3899" t="s">
        <v>27</v>
      </c>
      <c r="E3899" t="s">
        <v>95</v>
      </c>
      <c r="F3899" t="s">
        <v>110</v>
      </c>
      <c r="G3899" t="s">
        <v>111</v>
      </c>
      <c r="H3899" t="s">
        <v>242</v>
      </c>
      <c r="J3899">
        <v>0</v>
      </c>
      <c r="K3899">
        <v>8</v>
      </c>
      <c r="L3899">
        <v>73.260869569999997</v>
      </c>
      <c r="M3899">
        <v>34.453830549999999</v>
      </c>
      <c r="N3899">
        <v>1.058333333</v>
      </c>
      <c r="O3899">
        <v>0.90897070000000002</v>
      </c>
      <c r="P3899">
        <v>139.375</v>
      </c>
      <c r="Q3899">
        <v>23.713465920000001</v>
      </c>
      <c r="R3899" t="s">
        <v>114</v>
      </c>
      <c r="S3899" t="s">
        <v>114</v>
      </c>
      <c r="T3899" t="s">
        <v>1019</v>
      </c>
      <c r="U3899" t="s">
        <v>114</v>
      </c>
    </row>
    <row r="3900" spans="1:21" x14ac:dyDescent="0.25">
      <c r="A3900" t="s">
        <v>26</v>
      </c>
      <c r="B3900" t="s">
        <v>929</v>
      </c>
      <c r="C3900">
        <v>16</v>
      </c>
      <c r="D3900" t="s">
        <v>27</v>
      </c>
      <c r="E3900" t="s">
        <v>95</v>
      </c>
      <c r="F3900" t="s">
        <v>110</v>
      </c>
      <c r="G3900" t="s">
        <v>111</v>
      </c>
      <c r="H3900" t="s">
        <v>242</v>
      </c>
      <c r="J3900">
        <v>0</v>
      </c>
      <c r="K3900">
        <v>8</v>
      </c>
      <c r="L3900">
        <v>73.260869569999997</v>
      </c>
      <c r="M3900">
        <v>34.453830549999999</v>
      </c>
      <c r="N3900">
        <v>1.058333333</v>
      </c>
      <c r="O3900">
        <v>0.90897070000000002</v>
      </c>
      <c r="P3900">
        <v>139.375</v>
      </c>
      <c r="Q3900">
        <v>23.713465920000001</v>
      </c>
      <c r="R3900" t="s">
        <v>114</v>
      </c>
      <c r="S3900" t="s">
        <v>114</v>
      </c>
      <c r="T3900" t="s">
        <v>1019</v>
      </c>
      <c r="U3900" t="s">
        <v>114</v>
      </c>
    </row>
    <row r="3901" spans="1:21" x14ac:dyDescent="0.25">
      <c r="A3901" t="s">
        <v>26</v>
      </c>
      <c r="B3901" t="s">
        <v>929</v>
      </c>
      <c r="C3901">
        <v>16</v>
      </c>
      <c r="D3901" t="s">
        <v>27</v>
      </c>
      <c r="E3901" t="s">
        <v>95</v>
      </c>
      <c r="F3901" t="s">
        <v>110</v>
      </c>
      <c r="G3901" t="s">
        <v>111</v>
      </c>
      <c r="H3901" t="s">
        <v>242</v>
      </c>
      <c r="J3901">
        <v>0</v>
      </c>
      <c r="K3901">
        <v>8</v>
      </c>
      <c r="L3901">
        <v>73.260869569999997</v>
      </c>
      <c r="M3901">
        <v>34.453830549999999</v>
      </c>
      <c r="N3901">
        <v>1.058333333</v>
      </c>
      <c r="O3901">
        <v>0.90897070000000002</v>
      </c>
      <c r="P3901">
        <v>139.375</v>
      </c>
      <c r="Q3901">
        <v>23.713465920000001</v>
      </c>
      <c r="R3901" t="s">
        <v>114</v>
      </c>
      <c r="S3901" t="s">
        <v>114</v>
      </c>
      <c r="T3901" t="s">
        <v>1019</v>
      </c>
      <c r="U3901" t="s">
        <v>114</v>
      </c>
    </row>
    <row r="3902" spans="1:21" x14ac:dyDescent="0.25">
      <c r="A3902" t="s">
        <v>26</v>
      </c>
      <c r="B3902" t="s">
        <v>929</v>
      </c>
      <c r="C3902">
        <v>16</v>
      </c>
      <c r="D3902" t="s">
        <v>27</v>
      </c>
      <c r="E3902" t="s">
        <v>95</v>
      </c>
      <c r="F3902" t="s">
        <v>110</v>
      </c>
      <c r="G3902" t="s">
        <v>111</v>
      </c>
      <c r="H3902" t="s">
        <v>242</v>
      </c>
      <c r="J3902">
        <v>0</v>
      </c>
      <c r="K3902">
        <v>8</v>
      </c>
      <c r="L3902">
        <v>73.260869569999997</v>
      </c>
      <c r="M3902">
        <v>34.453830549999999</v>
      </c>
      <c r="N3902">
        <v>1.058333333</v>
      </c>
      <c r="O3902">
        <v>0.90897070000000002</v>
      </c>
      <c r="P3902">
        <v>139.375</v>
      </c>
      <c r="Q3902">
        <v>23.713465920000001</v>
      </c>
      <c r="R3902" t="s">
        <v>114</v>
      </c>
      <c r="S3902" t="s">
        <v>114</v>
      </c>
      <c r="T3902" t="s">
        <v>1019</v>
      </c>
      <c r="U3902" t="s">
        <v>114</v>
      </c>
    </row>
    <row r="3903" spans="1:21" x14ac:dyDescent="0.25">
      <c r="A3903" t="s">
        <v>26</v>
      </c>
      <c r="B3903" t="s">
        <v>929</v>
      </c>
      <c r="C3903">
        <v>16</v>
      </c>
      <c r="D3903" t="s">
        <v>27</v>
      </c>
      <c r="E3903" t="s">
        <v>95</v>
      </c>
      <c r="F3903" t="s">
        <v>110</v>
      </c>
      <c r="G3903" t="s">
        <v>111</v>
      </c>
      <c r="H3903" t="s">
        <v>242</v>
      </c>
      <c r="J3903">
        <v>0</v>
      </c>
      <c r="K3903">
        <v>8</v>
      </c>
      <c r="L3903">
        <v>73.260869569999997</v>
      </c>
      <c r="M3903">
        <v>34.453830549999999</v>
      </c>
      <c r="N3903">
        <v>1.058333333</v>
      </c>
      <c r="O3903">
        <v>0.90897070000000002</v>
      </c>
      <c r="P3903">
        <v>139.375</v>
      </c>
      <c r="Q3903">
        <v>23.713465920000001</v>
      </c>
      <c r="R3903" t="s">
        <v>114</v>
      </c>
      <c r="S3903" t="s">
        <v>114</v>
      </c>
      <c r="T3903" t="s">
        <v>1019</v>
      </c>
      <c r="U3903" t="s">
        <v>114</v>
      </c>
    </row>
    <row r="3904" spans="1:21" x14ac:dyDescent="0.25">
      <c r="A3904" t="s">
        <v>26</v>
      </c>
      <c r="B3904" t="s">
        <v>930</v>
      </c>
      <c r="C3904">
        <v>15</v>
      </c>
      <c r="D3904" t="s">
        <v>27</v>
      </c>
      <c r="E3904" t="s">
        <v>95</v>
      </c>
      <c r="F3904" t="s">
        <v>111</v>
      </c>
      <c r="G3904" t="s">
        <v>102</v>
      </c>
      <c r="H3904" t="s">
        <v>244</v>
      </c>
      <c r="J3904">
        <v>0</v>
      </c>
      <c r="K3904">
        <v>1</v>
      </c>
      <c r="L3904">
        <v>94.97142857</v>
      </c>
      <c r="M3904">
        <v>24.31591813</v>
      </c>
      <c r="N3904">
        <v>0.122951111</v>
      </c>
      <c r="O3904">
        <v>0.39050790000000002</v>
      </c>
      <c r="P3904">
        <v>75</v>
      </c>
      <c r="Q3904">
        <v>28.80614499</v>
      </c>
      <c r="R3904">
        <v>2.3860428570000001</v>
      </c>
      <c r="S3904">
        <v>0.26400832000000002</v>
      </c>
      <c r="T3904" t="s">
        <v>1019</v>
      </c>
      <c r="U3904">
        <v>2.2630917460000002</v>
      </c>
    </row>
    <row r="3905" spans="1:21" x14ac:dyDescent="0.25">
      <c r="A3905" t="s">
        <v>26</v>
      </c>
      <c r="B3905" t="s">
        <v>930</v>
      </c>
      <c r="C3905">
        <v>16</v>
      </c>
      <c r="D3905" t="s">
        <v>27</v>
      </c>
      <c r="E3905" t="s">
        <v>95</v>
      </c>
      <c r="F3905" t="s">
        <v>111</v>
      </c>
      <c r="G3905" t="s">
        <v>102</v>
      </c>
      <c r="H3905" t="s">
        <v>236</v>
      </c>
      <c r="J3905">
        <v>0</v>
      </c>
      <c r="K3905">
        <v>1</v>
      </c>
      <c r="L3905">
        <v>94.97142857</v>
      </c>
      <c r="M3905">
        <v>24.31591813</v>
      </c>
      <c r="N3905">
        <v>0.122951111</v>
      </c>
      <c r="O3905">
        <v>0.39050790000000002</v>
      </c>
      <c r="P3905">
        <v>113.33333330000001</v>
      </c>
      <c r="Q3905">
        <v>26.41632581</v>
      </c>
      <c r="R3905">
        <v>1.6844570160000001</v>
      </c>
      <c r="S3905">
        <v>8.9285710000000004E-2</v>
      </c>
      <c r="T3905" t="s">
        <v>1019</v>
      </c>
      <c r="U3905">
        <v>1.561505905</v>
      </c>
    </row>
    <row r="3906" spans="1:21" x14ac:dyDescent="0.25">
      <c r="A3906" t="s">
        <v>26</v>
      </c>
      <c r="B3906" t="s">
        <v>930</v>
      </c>
      <c r="C3906">
        <v>17</v>
      </c>
      <c r="D3906" t="s">
        <v>27</v>
      </c>
      <c r="E3906" t="s">
        <v>95</v>
      </c>
      <c r="F3906" t="s">
        <v>111</v>
      </c>
      <c r="G3906" t="s">
        <v>102</v>
      </c>
      <c r="H3906" t="s">
        <v>102</v>
      </c>
      <c r="J3906">
        <v>0</v>
      </c>
      <c r="K3906">
        <v>1</v>
      </c>
      <c r="L3906">
        <v>94.97142857</v>
      </c>
      <c r="M3906">
        <v>24.31591813</v>
      </c>
      <c r="N3906">
        <v>0.122951111</v>
      </c>
      <c r="O3906">
        <v>0.39050790000000002</v>
      </c>
      <c r="P3906">
        <v>84.740740740000007</v>
      </c>
      <c r="Q3906">
        <v>29.167014049999999</v>
      </c>
      <c r="R3906">
        <v>1.1169849999999999</v>
      </c>
      <c r="S3906">
        <v>1.1571499000000001</v>
      </c>
      <c r="T3906" t="s">
        <v>1019</v>
      </c>
      <c r="U3906">
        <v>0.994033889</v>
      </c>
    </row>
    <row r="3907" spans="1:21" x14ac:dyDescent="0.25">
      <c r="A3907" t="s">
        <v>26</v>
      </c>
      <c r="B3907" t="s">
        <v>930</v>
      </c>
      <c r="C3907">
        <v>18</v>
      </c>
      <c r="D3907" t="s">
        <v>27</v>
      </c>
      <c r="E3907" t="s">
        <v>95</v>
      </c>
      <c r="F3907" t="s">
        <v>111</v>
      </c>
      <c r="G3907" t="s">
        <v>102</v>
      </c>
      <c r="H3907" t="s">
        <v>242</v>
      </c>
      <c r="J3907">
        <v>0</v>
      </c>
      <c r="K3907">
        <v>3</v>
      </c>
      <c r="L3907">
        <v>94.97142857</v>
      </c>
      <c r="M3907">
        <v>24.31591813</v>
      </c>
      <c r="N3907">
        <v>0.122951111</v>
      </c>
      <c r="O3907">
        <v>0.39050790000000002</v>
      </c>
      <c r="P3907">
        <v>139.375</v>
      </c>
      <c r="Q3907">
        <v>23.713465920000001</v>
      </c>
      <c r="R3907" t="s">
        <v>114</v>
      </c>
      <c r="S3907" t="s">
        <v>114</v>
      </c>
      <c r="T3907" t="s">
        <v>1019</v>
      </c>
      <c r="U3907" t="s">
        <v>114</v>
      </c>
    </row>
    <row r="3908" spans="1:21" x14ac:dyDescent="0.25">
      <c r="A3908" t="s">
        <v>26</v>
      </c>
      <c r="B3908" t="s">
        <v>930</v>
      </c>
      <c r="C3908">
        <v>18</v>
      </c>
      <c r="D3908" t="s">
        <v>27</v>
      </c>
      <c r="E3908" t="s">
        <v>95</v>
      </c>
      <c r="F3908" t="s">
        <v>111</v>
      </c>
      <c r="G3908" t="s">
        <v>102</v>
      </c>
      <c r="H3908" t="s">
        <v>242</v>
      </c>
      <c r="J3908">
        <v>0</v>
      </c>
      <c r="K3908">
        <v>3</v>
      </c>
      <c r="L3908">
        <v>94.97142857</v>
      </c>
      <c r="M3908">
        <v>24.31591813</v>
      </c>
      <c r="N3908">
        <v>0.122951111</v>
      </c>
      <c r="O3908">
        <v>0.39050790000000002</v>
      </c>
      <c r="P3908">
        <v>139.375</v>
      </c>
      <c r="Q3908">
        <v>23.713465920000001</v>
      </c>
      <c r="R3908" t="s">
        <v>114</v>
      </c>
      <c r="S3908" t="s">
        <v>114</v>
      </c>
      <c r="T3908" t="s">
        <v>1019</v>
      </c>
      <c r="U3908" t="s">
        <v>114</v>
      </c>
    </row>
    <row r="3909" spans="1:21" x14ac:dyDescent="0.25">
      <c r="A3909" t="s">
        <v>26</v>
      </c>
      <c r="B3909" t="s">
        <v>930</v>
      </c>
      <c r="C3909">
        <v>18</v>
      </c>
      <c r="D3909" t="s">
        <v>27</v>
      </c>
      <c r="E3909" t="s">
        <v>95</v>
      </c>
      <c r="F3909" t="s">
        <v>111</v>
      </c>
      <c r="G3909" t="s">
        <v>102</v>
      </c>
      <c r="H3909" t="s">
        <v>242</v>
      </c>
      <c r="J3909">
        <v>0</v>
      </c>
      <c r="K3909">
        <v>3</v>
      </c>
      <c r="L3909">
        <v>94.97142857</v>
      </c>
      <c r="M3909">
        <v>24.31591813</v>
      </c>
      <c r="N3909">
        <v>0.122951111</v>
      </c>
      <c r="O3909">
        <v>0.39050790000000002</v>
      </c>
      <c r="P3909">
        <v>139.375</v>
      </c>
      <c r="Q3909">
        <v>23.713465920000001</v>
      </c>
      <c r="R3909" t="s">
        <v>114</v>
      </c>
      <c r="S3909" t="s">
        <v>114</v>
      </c>
      <c r="T3909" t="s">
        <v>1019</v>
      </c>
      <c r="U3909" t="s">
        <v>114</v>
      </c>
    </row>
    <row r="3910" spans="1:21" x14ac:dyDescent="0.25">
      <c r="A3910" t="s">
        <v>28</v>
      </c>
      <c r="B3910" t="s">
        <v>931</v>
      </c>
      <c r="C3910">
        <v>15</v>
      </c>
      <c r="D3910" t="s">
        <v>29</v>
      </c>
      <c r="E3910" t="s">
        <v>94</v>
      </c>
      <c r="F3910" t="s">
        <v>113</v>
      </c>
      <c r="G3910" t="s">
        <v>113</v>
      </c>
      <c r="H3910" t="s">
        <v>113</v>
      </c>
      <c r="J3910">
        <v>0</v>
      </c>
      <c r="K3910">
        <v>2</v>
      </c>
      <c r="L3910">
        <v>83.757575759999995</v>
      </c>
      <c r="M3910">
        <v>22.60997987</v>
      </c>
      <c r="N3910">
        <v>0.72884000000000004</v>
      </c>
      <c r="O3910">
        <v>0.21301339999999999</v>
      </c>
      <c r="P3910">
        <v>83.757575759999995</v>
      </c>
      <c r="Q3910">
        <v>22.60997987</v>
      </c>
      <c r="R3910">
        <v>0.72884000000000004</v>
      </c>
      <c r="S3910">
        <v>0.21301339999999999</v>
      </c>
      <c r="T3910" t="s">
        <v>1019</v>
      </c>
      <c r="U3910">
        <v>0</v>
      </c>
    </row>
    <row r="3911" spans="1:21" x14ac:dyDescent="0.25">
      <c r="A3911" t="s">
        <v>28</v>
      </c>
      <c r="B3911" t="s">
        <v>931</v>
      </c>
      <c r="C3911">
        <v>15</v>
      </c>
      <c r="D3911" t="s">
        <v>29</v>
      </c>
      <c r="E3911" t="s">
        <v>94</v>
      </c>
      <c r="F3911" t="s">
        <v>113</v>
      </c>
      <c r="G3911" t="s">
        <v>113</v>
      </c>
      <c r="H3911" t="s">
        <v>113</v>
      </c>
      <c r="J3911">
        <v>0</v>
      </c>
      <c r="K3911">
        <v>2</v>
      </c>
      <c r="L3911">
        <v>83.757575759999995</v>
      </c>
      <c r="M3911">
        <v>22.60997987</v>
      </c>
      <c r="N3911">
        <v>0.72884000000000004</v>
      </c>
      <c r="O3911">
        <v>0.21301339999999999</v>
      </c>
      <c r="P3911">
        <v>83.757575759999995</v>
      </c>
      <c r="Q3911">
        <v>22.60997987</v>
      </c>
      <c r="R3911">
        <v>0.72884000000000004</v>
      </c>
      <c r="S3911">
        <v>0.21301339999999999</v>
      </c>
      <c r="T3911" t="s">
        <v>1019</v>
      </c>
      <c r="U3911">
        <v>0</v>
      </c>
    </row>
    <row r="3912" spans="1:21" x14ac:dyDescent="0.25">
      <c r="A3912" t="s">
        <v>28</v>
      </c>
      <c r="B3912" t="s">
        <v>931</v>
      </c>
      <c r="C3912">
        <v>16</v>
      </c>
      <c r="D3912" t="s">
        <v>29</v>
      </c>
      <c r="E3912" t="s">
        <v>94</v>
      </c>
      <c r="F3912" t="s">
        <v>113</v>
      </c>
      <c r="G3912" t="s">
        <v>113</v>
      </c>
      <c r="H3912" t="s">
        <v>248</v>
      </c>
      <c r="J3912">
        <v>0</v>
      </c>
      <c r="K3912">
        <v>12</v>
      </c>
      <c r="L3912">
        <v>83.757575759999995</v>
      </c>
      <c r="M3912">
        <v>22.60997987</v>
      </c>
      <c r="N3912">
        <v>0.72884000000000004</v>
      </c>
      <c r="O3912">
        <v>0.21301339999999999</v>
      </c>
      <c r="P3912">
        <v>83.92307692</v>
      </c>
      <c r="Q3912">
        <v>44.319135699999997</v>
      </c>
      <c r="R3912">
        <v>5.9548609999999997E-3</v>
      </c>
      <c r="S3912">
        <v>0.18017928</v>
      </c>
      <c r="T3912" t="s">
        <v>1019</v>
      </c>
      <c r="U3912">
        <v>0.72288513899999995</v>
      </c>
    </row>
    <row r="3913" spans="1:21" x14ac:dyDescent="0.25">
      <c r="A3913" t="s">
        <v>28</v>
      </c>
      <c r="B3913" t="s">
        <v>931</v>
      </c>
      <c r="C3913">
        <v>16</v>
      </c>
      <c r="D3913" t="s">
        <v>29</v>
      </c>
      <c r="E3913" t="s">
        <v>94</v>
      </c>
      <c r="F3913" t="s">
        <v>113</v>
      </c>
      <c r="G3913" t="s">
        <v>113</v>
      </c>
      <c r="H3913" t="s">
        <v>248</v>
      </c>
      <c r="J3913">
        <v>0</v>
      </c>
      <c r="K3913">
        <v>12</v>
      </c>
      <c r="L3913">
        <v>83.757575759999995</v>
      </c>
      <c r="M3913">
        <v>22.60997987</v>
      </c>
      <c r="N3913">
        <v>0.72884000000000004</v>
      </c>
      <c r="O3913">
        <v>0.21301339999999999</v>
      </c>
      <c r="P3913">
        <v>83.92307692</v>
      </c>
      <c r="Q3913">
        <v>44.319135699999997</v>
      </c>
      <c r="R3913">
        <v>5.9548609999999997E-3</v>
      </c>
      <c r="S3913">
        <v>0.18017928</v>
      </c>
      <c r="T3913" t="s">
        <v>1019</v>
      </c>
      <c r="U3913">
        <v>0.72288513899999995</v>
      </c>
    </row>
    <row r="3914" spans="1:21" x14ac:dyDescent="0.25">
      <c r="A3914" t="s">
        <v>28</v>
      </c>
      <c r="B3914" t="s">
        <v>931</v>
      </c>
      <c r="C3914">
        <v>16</v>
      </c>
      <c r="D3914" t="s">
        <v>29</v>
      </c>
      <c r="E3914" t="s">
        <v>94</v>
      </c>
      <c r="F3914" t="s">
        <v>113</v>
      </c>
      <c r="G3914" t="s">
        <v>113</v>
      </c>
      <c r="H3914" t="s">
        <v>248</v>
      </c>
      <c r="J3914">
        <v>0</v>
      </c>
      <c r="K3914">
        <v>12</v>
      </c>
      <c r="L3914">
        <v>83.757575759999995</v>
      </c>
      <c r="M3914">
        <v>22.60997987</v>
      </c>
      <c r="N3914">
        <v>0.72884000000000004</v>
      </c>
      <c r="O3914">
        <v>0.21301339999999999</v>
      </c>
      <c r="P3914">
        <v>83.92307692</v>
      </c>
      <c r="Q3914">
        <v>44.319135699999997</v>
      </c>
      <c r="R3914">
        <v>5.9548609999999997E-3</v>
      </c>
      <c r="S3914">
        <v>0.18017928</v>
      </c>
      <c r="T3914" t="s">
        <v>1019</v>
      </c>
      <c r="U3914">
        <v>0.72288513899999995</v>
      </c>
    </row>
    <row r="3915" spans="1:21" x14ac:dyDescent="0.25">
      <c r="A3915" t="s">
        <v>28</v>
      </c>
      <c r="B3915" t="s">
        <v>931</v>
      </c>
      <c r="C3915">
        <v>16</v>
      </c>
      <c r="D3915" t="s">
        <v>29</v>
      </c>
      <c r="E3915" t="s">
        <v>94</v>
      </c>
      <c r="F3915" t="s">
        <v>113</v>
      </c>
      <c r="G3915" t="s">
        <v>113</v>
      </c>
      <c r="H3915" t="s">
        <v>248</v>
      </c>
      <c r="J3915">
        <v>0</v>
      </c>
      <c r="K3915">
        <v>12</v>
      </c>
      <c r="L3915">
        <v>83.757575759999995</v>
      </c>
      <c r="M3915">
        <v>22.60997987</v>
      </c>
      <c r="N3915">
        <v>0.72884000000000004</v>
      </c>
      <c r="O3915">
        <v>0.21301339999999999</v>
      </c>
      <c r="P3915">
        <v>83.92307692</v>
      </c>
      <c r="Q3915">
        <v>44.319135699999997</v>
      </c>
      <c r="R3915">
        <v>5.9548609999999997E-3</v>
      </c>
      <c r="S3915">
        <v>0.18017928</v>
      </c>
      <c r="T3915" t="s">
        <v>1019</v>
      </c>
      <c r="U3915">
        <v>0.72288513899999995</v>
      </c>
    </row>
    <row r="3916" spans="1:21" x14ac:dyDescent="0.25">
      <c r="A3916" t="s">
        <v>28</v>
      </c>
      <c r="B3916" t="s">
        <v>931</v>
      </c>
      <c r="C3916">
        <v>16</v>
      </c>
      <c r="D3916" t="s">
        <v>29</v>
      </c>
      <c r="E3916" t="s">
        <v>94</v>
      </c>
      <c r="F3916" t="s">
        <v>113</v>
      </c>
      <c r="G3916" t="s">
        <v>113</v>
      </c>
      <c r="H3916" t="s">
        <v>248</v>
      </c>
      <c r="J3916">
        <v>0</v>
      </c>
      <c r="K3916">
        <v>12</v>
      </c>
      <c r="L3916">
        <v>83.757575759999995</v>
      </c>
      <c r="M3916">
        <v>22.60997987</v>
      </c>
      <c r="N3916">
        <v>0.72884000000000004</v>
      </c>
      <c r="O3916">
        <v>0.21301339999999999</v>
      </c>
      <c r="P3916">
        <v>83.92307692</v>
      </c>
      <c r="Q3916">
        <v>44.319135699999997</v>
      </c>
      <c r="R3916">
        <v>5.9548609999999997E-3</v>
      </c>
      <c r="S3916">
        <v>0.18017928</v>
      </c>
      <c r="T3916" t="s">
        <v>1019</v>
      </c>
      <c r="U3916">
        <v>0.72288513899999995</v>
      </c>
    </row>
    <row r="3917" spans="1:21" x14ac:dyDescent="0.25">
      <c r="A3917" t="s">
        <v>28</v>
      </c>
      <c r="B3917" t="s">
        <v>931</v>
      </c>
      <c r="C3917">
        <v>16</v>
      </c>
      <c r="D3917" t="s">
        <v>29</v>
      </c>
      <c r="E3917" t="s">
        <v>94</v>
      </c>
      <c r="F3917" t="s">
        <v>113</v>
      </c>
      <c r="G3917" t="s">
        <v>113</v>
      </c>
      <c r="H3917" t="s">
        <v>248</v>
      </c>
      <c r="J3917">
        <v>0</v>
      </c>
      <c r="K3917">
        <v>12</v>
      </c>
      <c r="L3917">
        <v>83.757575759999995</v>
      </c>
      <c r="M3917">
        <v>22.60997987</v>
      </c>
      <c r="N3917">
        <v>0.72884000000000004</v>
      </c>
      <c r="O3917">
        <v>0.21301339999999999</v>
      </c>
      <c r="P3917">
        <v>83.92307692</v>
      </c>
      <c r="Q3917">
        <v>44.319135699999997</v>
      </c>
      <c r="R3917">
        <v>5.9548609999999997E-3</v>
      </c>
      <c r="S3917">
        <v>0.18017928</v>
      </c>
      <c r="T3917" t="s">
        <v>1019</v>
      </c>
      <c r="U3917">
        <v>0.72288513899999995</v>
      </c>
    </row>
    <row r="3918" spans="1:21" x14ac:dyDescent="0.25">
      <c r="A3918" t="s">
        <v>28</v>
      </c>
      <c r="B3918" t="s">
        <v>931</v>
      </c>
      <c r="C3918">
        <v>16</v>
      </c>
      <c r="D3918" t="s">
        <v>29</v>
      </c>
      <c r="E3918" t="s">
        <v>94</v>
      </c>
      <c r="F3918" t="s">
        <v>113</v>
      </c>
      <c r="G3918" t="s">
        <v>113</v>
      </c>
      <c r="H3918" t="s">
        <v>248</v>
      </c>
      <c r="J3918">
        <v>0</v>
      </c>
      <c r="K3918">
        <v>12</v>
      </c>
      <c r="L3918">
        <v>83.757575759999995</v>
      </c>
      <c r="M3918">
        <v>22.60997987</v>
      </c>
      <c r="N3918">
        <v>0.72884000000000004</v>
      </c>
      <c r="O3918">
        <v>0.21301339999999999</v>
      </c>
      <c r="P3918">
        <v>83.92307692</v>
      </c>
      <c r="Q3918">
        <v>44.319135699999997</v>
      </c>
      <c r="R3918">
        <v>5.9548609999999997E-3</v>
      </c>
      <c r="S3918">
        <v>0.18017928</v>
      </c>
      <c r="T3918" t="s">
        <v>1019</v>
      </c>
      <c r="U3918">
        <v>0.72288513899999995</v>
      </c>
    </row>
    <row r="3919" spans="1:21" x14ac:dyDescent="0.25">
      <c r="A3919" t="s">
        <v>28</v>
      </c>
      <c r="B3919" t="s">
        <v>931</v>
      </c>
      <c r="C3919">
        <v>16</v>
      </c>
      <c r="D3919" t="s">
        <v>29</v>
      </c>
      <c r="E3919" t="s">
        <v>94</v>
      </c>
      <c r="F3919" t="s">
        <v>113</v>
      </c>
      <c r="G3919" t="s">
        <v>113</v>
      </c>
      <c r="H3919" t="s">
        <v>248</v>
      </c>
      <c r="J3919">
        <v>0</v>
      </c>
      <c r="K3919">
        <v>12</v>
      </c>
      <c r="L3919">
        <v>83.757575759999995</v>
      </c>
      <c r="M3919">
        <v>22.60997987</v>
      </c>
      <c r="N3919">
        <v>0.72884000000000004</v>
      </c>
      <c r="O3919">
        <v>0.21301339999999999</v>
      </c>
      <c r="P3919">
        <v>83.92307692</v>
      </c>
      <c r="Q3919">
        <v>44.319135699999997</v>
      </c>
      <c r="R3919">
        <v>5.9548609999999997E-3</v>
      </c>
      <c r="S3919">
        <v>0.18017928</v>
      </c>
      <c r="T3919" t="s">
        <v>1019</v>
      </c>
      <c r="U3919">
        <v>0.72288513899999995</v>
      </c>
    </row>
    <row r="3920" spans="1:21" x14ac:dyDescent="0.25">
      <c r="A3920" t="s">
        <v>28</v>
      </c>
      <c r="B3920" t="s">
        <v>931</v>
      </c>
      <c r="C3920">
        <v>16</v>
      </c>
      <c r="D3920" t="s">
        <v>29</v>
      </c>
      <c r="E3920" t="s">
        <v>94</v>
      </c>
      <c r="F3920" t="s">
        <v>113</v>
      </c>
      <c r="G3920" t="s">
        <v>113</v>
      </c>
      <c r="H3920" t="s">
        <v>248</v>
      </c>
      <c r="J3920">
        <v>0</v>
      </c>
      <c r="K3920">
        <v>12</v>
      </c>
      <c r="L3920">
        <v>83.757575759999995</v>
      </c>
      <c r="M3920">
        <v>22.60997987</v>
      </c>
      <c r="N3920">
        <v>0.72884000000000004</v>
      </c>
      <c r="O3920">
        <v>0.21301339999999999</v>
      </c>
      <c r="P3920">
        <v>83.92307692</v>
      </c>
      <c r="Q3920">
        <v>44.319135699999997</v>
      </c>
      <c r="R3920">
        <v>5.9548609999999997E-3</v>
      </c>
      <c r="S3920">
        <v>0.18017928</v>
      </c>
      <c r="T3920" t="s">
        <v>1019</v>
      </c>
      <c r="U3920">
        <v>0.72288513899999995</v>
      </c>
    </row>
    <row r="3921" spans="1:21" x14ac:dyDescent="0.25">
      <c r="A3921" t="s">
        <v>28</v>
      </c>
      <c r="B3921" t="s">
        <v>931</v>
      </c>
      <c r="C3921">
        <v>16</v>
      </c>
      <c r="D3921" t="s">
        <v>29</v>
      </c>
      <c r="E3921" t="s">
        <v>94</v>
      </c>
      <c r="F3921" t="s">
        <v>113</v>
      </c>
      <c r="G3921" t="s">
        <v>113</v>
      </c>
      <c r="H3921" t="s">
        <v>248</v>
      </c>
      <c r="J3921">
        <v>0</v>
      </c>
      <c r="K3921">
        <v>12</v>
      </c>
      <c r="L3921">
        <v>83.757575759999995</v>
      </c>
      <c r="M3921">
        <v>22.60997987</v>
      </c>
      <c r="N3921">
        <v>0.72884000000000004</v>
      </c>
      <c r="O3921">
        <v>0.21301339999999999</v>
      </c>
      <c r="P3921">
        <v>83.92307692</v>
      </c>
      <c r="Q3921">
        <v>44.319135699999997</v>
      </c>
      <c r="R3921">
        <v>5.9548609999999997E-3</v>
      </c>
      <c r="S3921">
        <v>0.18017928</v>
      </c>
      <c r="T3921" t="s">
        <v>1019</v>
      </c>
      <c r="U3921">
        <v>0.72288513899999995</v>
      </c>
    </row>
    <row r="3922" spans="1:21" x14ac:dyDescent="0.25">
      <c r="A3922" t="s">
        <v>28</v>
      </c>
      <c r="B3922" t="s">
        <v>931</v>
      </c>
      <c r="C3922">
        <v>16</v>
      </c>
      <c r="D3922" t="s">
        <v>29</v>
      </c>
      <c r="E3922" t="s">
        <v>94</v>
      </c>
      <c r="F3922" t="s">
        <v>113</v>
      </c>
      <c r="G3922" t="s">
        <v>113</v>
      </c>
      <c r="H3922" t="s">
        <v>248</v>
      </c>
      <c r="J3922">
        <v>0</v>
      </c>
      <c r="K3922">
        <v>12</v>
      </c>
      <c r="L3922">
        <v>83.757575759999995</v>
      </c>
      <c r="M3922">
        <v>22.60997987</v>
      </c>
      <c r="N3922">
        <v>0.72884000000000004</v>
      </c>
      <c r="O3922">
        <v>0.21301339999999999</v>
      </c>
      <c r="P3922">
        <v>83.92307692</v>
      </c>
      <c r="Q3922">
        <v>44.319135699999997</v>
      </c>
      <c r="R3922">
        <v>5.9548609999999997E-3</v>
      </c>
      <c r="S3922">
        <v>0.18017928</v>
      </c>
      <c r="T3922" t="s">
        <v>1019</v>
      </c>
      <c r="U3922">
        <v>0.72288513899999995</v>
      </c>
    </row>
    <row r="3923" spans="1:21" x14ac:dyDescent="0.25">
      <c r="A3923" t="s">
        <v>28</v>
      </c>
      <c r="B3923" t="s">
        <v>931</v>
      </c>
      <c r="C3923">
        <v>16</v>
      </c>
      <c r="D3923" t="s">
        <v>29</v>
      </c>
      <c r="E3923" t="s">
        <v>94</v>
      </c>
      <c r="F3923" t="s">
        <v>113</v>
      </c>
      <c r="G3923" t="s">
        <v>113</v>
      </c>
      <c r="H3923" t="s">
        <v>248</v>
      </c>
      <c r="J3923">
        <v>0</v>
      </c>
      <c r="K3923">
        <v>12</v>
      </c>
      <c r="L3923">
        <v>83.757575759999995</v>
      </c>
      <c r="M3923">
        <v>22.60997987</v>
      </c>
      <c r="N3923">
        <v>0.72884000000000004</v>
      </c>
      <c r="O3923">
        <v>0.21301339999999999</v>
      </c>
      <c r="P3923">
        <v>83.92307692</v>
      </c>
      <c r="Q3923">
        <v>44.319135699999997</v>
      </c>
      <c r="R3923">
        <v>5.9548609999999997E-3</v>
      </c>
      <c r="S3923">
        <v>0.18017928</v>
      </c>
      <c r="T3923" t="s">
        <v>1019</v>
      </c>
      <c r="U3923">
        <v>0.72288513899999995</v>
      </c>
    </row>
    <row r="3924" spans="1:21" x14ac:dyDescent="0.25">
      <c r="A3924" t="s">
        <v>28</v>
      </c>
      <c r="B3924" t="s">
        <v>931</v>
      </c>
      <c r="C3924">
        <v>17</v>
      </c>
      <c r="D3924" t="s">
        <v>29</v>
      </c>
      <c r="E3924" t="s">
        <v>94</v>
      </c>
      <c r="F3924" t="s">
        <v>113</v>
      </c>
      <c r="G3924" t="s">
        <v>113</v>
      </c>
      <c r="H3924" t="s">
        <v>247</v>
      </c>
      <c r="J3924">
        <v>0</v>
      </c>
      <c r="K3924">
        <v>1</v>
      </c>
      <c r="L3924">
        <v>83.757575759999995</v>
      </c>
      <c r="M3924">
        <v>22.60997987</v>
      </c>
      <c r="N3924">
        <v>0.72884000000000004</v>
      </c>
      <c r="O3924">
        <v>0.21301339999999999</v>
      </c>
      <c r="P3924">
        <v>65.791044779999993</v>
      </c>
      <c r="Q3924">
        <v>22.94519201</v>
      </c>
      <c r="R3924">
        <v>8.1320334999999994E-2</v>
      </c>
      <c r="S3924">
        <v>0.17285655</v>
      </c>
      <c r="T3924" t="s">
        <v>1019</v>
      </c>
      <c r="U3924">
        <v>0.64751966500000002</v>
      </c>
    </row>
    <row r="3925" spans="1:21" x14ac:dyDescent="0.25">
      <c r="A3925" t="s">
        <v>28</v>
      </c>
      <c r="B3925" t="s">
        <v>931</v>
      </c>
      <c r="C3925">
        <v>18</v>
      </c>
      <c r="D3925" t="s">
        <v>29</v>
      </c>
      <c r="E3925" t="s">
        <v>94</v>
      </c>
      <c r="F3925" t="s">
        <v>113</v>
      </c>
      <c r="G3925" t="s">
        <v>113</v>
      </c>
      <c r="H3925" t="s">
        <v>239</v>
      </c>
      <c r="J3925">
        <v>0</v>
      </c>
      <c r="K3925">
        <v>1</v>
      </c>
      <c r="L3925">
        <v>83.757575759999995</v>
      </c>
      <c r="M3925">
        <v>22.60997987</v>
      </c>
      <c r="N3925">
        <v>0.72884000000000004</v>
      </c>
      <c r="O3925">
        <v>0.21301339999999999</v>
      </c>
      <c r="P3925">
        <v>100.45454549999999</v>
      </c>
      <c r="Q3925">
        <v>26.754810689999999</v>
      </c>
      <c r="R3925">
        <v>0.75829999999999997</v>
      </c>
      <c r="S3925">
        <v>0.40907861000000001</v>
      </c>
      <c r="T3925" t="s">
        <v>1019</v>
      </c>
      <c r="U3925">
        <v>2.946E-2</v>
      </c>
    </row>
    <row r="3926" spans="1:21" x14ac:dyDescent="0.25">
      <c r="A3926" t="s">
        <v>28</v>
      </c>
      <c r="B3926" t="s">
        <v>932</v>
      </c>
      <c r="C3926">
        <v>15</v>
      </c>
      <c r="D3926" t="s">
        <v>29</v>
      </c>
      <c r="E3926" t="s">
        <v>94</v>
      </c>
      <c r="F3926" t="s">
        <v>103</v>
      </c>
      <c r="G3926" t="s">
        <v>102</v>
      </c>
      <c r="H3926" t="s">
        <v>102</v>
      </c>
      <c r="J3926">
        <v>0</v>
      </c>
      <c r="K3926">
        <v>1</v>
      </c>
      <c r="L3926">
        <v>98.291666669999998</v>
      </c>
      <c r="M3926">
        <v>30.315130790000001</v>
      </c>
      <c r="N3926">
        <v>5.0803484000000003E-2</v>
      </c>
      <c r="O3926">
        <v>0.42866070000000001</v>
      </c>
      <c r="P3926">
        <v>84.740740740000007</v>
      </c>
      <c r="Q3926">
        <v>29.167014049999999</v>
      </c>
      <c r="R3926">
        <v>1.1169849999999999</v>
      </c>
      <c r="S3926">
        <v>1.1571499000000001</v>
      </c>
      <c r="T3926" t="s">
        <v>1019</v>
      </c>
      <c r="U3926">
        <v>1.0661815160000001</v>
      </c>
    </row>
    <row r="3927" spans="1:21" x14ac:dyDescent="0.25">
      <c r="A3927" t="s">
        <v>28</v>
      </c>
      <c r="B3927" t="s">
        <v>932</v>
      </c>
      <c r="C3927">
        <v>16</v>
      </c>
      <c r="D3927" t="s">
        <v>29</v>
      </c>
      <c r="E3927" t="s">
        <v>94</v>
      </c>
      <c r="F3927" t="s">
        <v>103</v>
      </c>
      <c r="G3927" t="s">
        <v>102</v>
      </c>
      <c r="H3927" t="s">
        <v>103</v>
      </c>
      <c r="J3927">
        <v>0</v>
      </c>
      <c r="K3927">
        <v>2</v>
      </c>
      <c r="L3927">
        <v>98.291666669999998</v>
      </c>
      <c r="M3927">
        <v>30.315130790000001</v>
      </c>
      <c r="N3927">
        <v>5.0803484000000003E-2</v>
      </c>
      <c r="O3927">
        <v>0.42866070000000001</v>
      </c>
      <c r="P3927">
        <v>98.291666669999998</v>
      </c>
      <c r="Q3927">
        <v>30.315130790000001</v>
      </c>
      <c r="R3927">
        <v>5.0803484000000003E-2</v>
      </c>
      <c r="S3927">
        <v>0.42866070000000001</v>
      </c>
      <c r="T3927" t="s">
        <v>1019</v>
      </c>
      <c r="U3927">
        <v>0</v>
      </c>
    </row>
    <row r="3928" spans="1:21" x14ac:dyDescent="0.25">
      <c r="A3928" t="s">
        <v>28</v>
      </c>
      <c r="B3928" t="s">
        <v>932</v>
      </c>
      <c r="C3928">
        <v>16</v>
      </c>
      <c r="D3928" t="s">
        <v>29</v>
      </c>
      <c r="E3928" t="s">
        <v>94</v>
      </c>
      <c r="F3928" t="s">
        <v>103</v>
      </c>
      <c r="G3928" t="s">
        <v>102</v>
      </c>
      <c r="H3928" t="s">
        <v>103</v>
      </c>
      <c r="J3928">
        <v>0</v>
      </c>
      <c r="K3928">
        <v>2</v>
      </c>
      <c r="L3928">
        <v>98.291666669999998</v>
      </c>
      <c r="M3928">
        <v>30.315130790000001</v>
      </c>
      <c r="N3928">
        <v>5.0803484000000003E-2</v>
      </c>
      <c r="O3928">
        <v>0.42866070000000001</v>
      </c>
      <c r="P3928">
        <v>98.291666669999998</v>
      </c>
      <c r="Q3928">
        <v>30.315130790000001</v>
      </c>
      <c r="R3928">
        <v>5.0803484000000003E-2</v>
      </c>
      <c r="S3928">
        <v>0.42866070000000001</v>
      </c>
      <c r="T3928" t="s">
        <v>1019</v>
      </c>
      <c r="U3928">
        <v>0</v>
      </c>
    </row>
    <row r="3929" spans="1:21" x14ac:dyDescent="0.25">
      <c r="A3929" t="s">
        <v>28</v>
      </c>
      <c r="B3929" t="s">
        <v>933</v>
      </c>
      <c r="C3929">
        <v>15</v>
      </c>
      <c r="D3929" t="s">
        <v>29</v>
      </c>
      <c r="E3929" t="s">
        <v>94</v>
      </c>
      <c r="F3929" t="s">
        <v>111</v>
      </c>
      <c r="G3929" t="s">
        <v>121</v>
      </c>
      <c r="H3929" t="s">
        <v>247</v>
      </c>
      <c r="J3929">
        <v>0</v>
      </c>
      <c r="K3929">
        <v>1</v>
      </c>
      <c r="L3929">
        <v>94.97142857</v>
      </c>
      <c r="M3929">
        <v>24.31591813</v>
      </c>
      <c r="N3929">
        <v>0.122951111</v>
      </c>
      <c r="O3929">
        <v>0.39050790000000002</v>
      </c>
      <c r="P3929">
        <v>65.791044779999993</v>
      </c>
      <c r="Q3929">
        <v>22.94519201</v>
      </c>
      <c r="R3929">
        <v>8.1320334999999994E-2</v>
      </c>
      <c r="S3929">
        <v>0.17285655</v>
      </c>
      <c r="T3929" t="s">
        <v>1019</v>
      </c>
      <c r="U3929">
        <v>4.1630776000000001E-2</v>
      </c>
    </row>
    <row r="3930" spans="1:21" x14ac:dyDescent="0.25">
      <c r="A3930" t="s">
        <v>28</v>
      </c>
      <c r="B3930" t="s">
        <v>933</v>
      </c>
      <c r="C3930">
        <v>16</v>
      </c>
      <c r="D3930" t="s">
        <v>29</v>
      </c>
      <c r="E3930" t="s">
        <v>94</v>
      </c>
      <c r="F3930" t="s">
        <v>111</v>
      </c>
      <c r="G3930" t="s">
        <v>121</v>
      </c>
      <c r="H3930" t="s">
        <v>113</v>
      </c>
      <c r="J3930">
        <v>0</v>
      </c>
      <c r="K3930">
        <v>3</v>
      </c>
      <c r="L3930">
        <v>94.97142857</v>
      </c>
      <c r="M3930">
        <v>24.31591813</v>
      </c>
      <c r="N3930">
        <v>0.122951111</v>
      </c>
      <c r="O3930">
        <v>0.39050790000000002</v>
      </c>
      <c r="P3930">
        <v>83.757575759999995</v>
      </c>
      <c r="Q3930">
        <v>22.60997987</v>
      </c>
      <c r="R3930">
        <v>0.72884000000000004</v>
      </c>
      <c r="S3930">
        <v>0.21301339999999999</v>
      </c>
      <c r="T3930" t="s">
        <v>1019</v>
      </c>
      <c r="U3930">
        <v>0.60588888900000004</v>
      </c>
    </row>
    <row r="3931" spans="1:21" x14ac:dyDescent="0.25">
      <c r="A3931" t="s">
        <v>28</v>
      </c>
      <c r="B3931" t="s">
        <v>933</v>
      </c>
      <c r="C3931">
        <v>16</v>
      </c>
      <c r="D3931" t="s">
        <v>29</v>
      </c>
      <c r="E3931" t="s">
        <v>94</v>
      </c>
      <c r="F3931" t="s">
        <v>111</v>
      </c>
      <c r="G3931" t="s">
        <v>121</v>
      </c>
      <c r="H3931" t="s">
        <v>113</v>
      </c>
      <c r="J3931">
        <v>0</v>
      </c>
      <c r="K3931">
        <v>3</v>
      </c>
      <c r="L3931">
        <v>94.97142857</v>
      </c>
      <c r="M3931">
        <v>24.31591813</v>
      </c>
      <c r="N3931">
        <v>0.122951111</v>
      </c>
      <c r="O3931">
        <v>0.39050790000000002</v>
      </c>
      <c r="P3931">
        <v>83.757575759999995</v>
      </c>
      <c r="Q3931">
        <v>22.60997987</v>
      </c>
      <c r="R3931">
        <v>0.72884000000000004</v>
      </c>
      <c r="S3931">
        <v>0.21301339999999999</v>
      </c>
      <c r="T3931" t="s">
        <v>1019</v>
      </c>
      <c r="U3931">
        <v>0.60588888900000004</v>
      </c>
    </row>
    <row r="3932" spans="1:21" x14ac:dyDescent="0.25">
      <c r="A3932" t="s">
        <v>28</v>
      </c>
      <c r="B3932" t="s">
        <v>933</v>
      </c>
      <c r="C3932">
        <v>16</v>
      </c>
      <c r="D3932" t="s">
        <v>29</v>
      </c>
      <c r="E3932" t="s">
        <v>94</v>
      </c>
      <c r="F3932" t="s">
        <v>111</v>
      </c>
      <c r="G3932" t="s">
        <v>121</v>
      </c>
      <c r="H3932" t="s">
        <v>113</v>
      </c>
      <c r="J3932">
        <v>0</v>
      </c>
      <c r="K3932">
        <v>3</v>
      </c>
      <c r="L3932">
        <v>94.97142857</v>
      </c>
      <c r="M3932">
        <v>24.31591813</v>
      </c>
      <c r="N3932">
        <v>0.122951111</v>
      </c>
      <c r="O3932">
        <v>0.39050790000000002</v>
      </c>
      <c r="P3932">
        <v>83.757575759999995</v>
      </c>
      <c r="Q3932">
        <v>22.60997987</v>
      </c>
      <c r="R3932">
        <v>0.72884000000000004</v>
      </c>
      <c r="S3932">
        <v>0.21301339999999999</v>
      </c>
      <c r="T3932" t="s">
        <v>1019</v>
      </c>
      <c r="U3932">
        <v>0.60588888900000004</v>
      </c>
    </row>
    <row r="3933" spans="1:21" x14ac:dyDescent="0.25">
      <c r="A3933" t="s">
        <v>28</v>
      </c>
      <c r="B3933" t="s">
        <v>933</v>
      </c>
      <c r="C3933">
        <v>17</v>
      </c>
      <c r="D3933" t="s">
        <v>29</v>
      </c>
      <c r="E3933" t="s">
        <v>94</v>
      </c>
      <c r="F3933" t="s">
        <v>111</v>
      </c>
      <c r="G3933" t="s">
        <v>121</v>
      </c>
      <c r="H3933" t="s">
        <v>248</v>
      </c>
      <c r="J3933">
        <v>0</v>
      </c>
      <c r="K3933">
        <v>1</v>
      </c>
      <c r="L3933">
        <v>94.97142857</v>
      </c>
      <c r="M3933">
        <v>24.31591813</v>
      </c>
      <c r="N3933">
        <v>0.122951111</v>
      </c>
      <c r="O3933">
        <v>0.39050790000000002</v>
      </c>
      <c r="P3933">
        <v>83.92307692</v>
      </c>
      <c r="Q3933">
        <v>44.319135699999997</v>
      </c>
      <c r="R3933">
        <v>5.9548609999999997E-3</v>
      </c>
      <c r="S3933">
        <v>0.18017928</v>
      </c>
      <c r="T3933" t="s">
        <v>1019</v>
      </c>
      <c r="U3933">
        <v>0.11699625</v>
      </c>
    </row>
    <row r="3934" spans="1:21" x14ac:dyDescent="0.25">
      <c r="A3934" t="s">
        <v>28</v>
      </c>
      <c r="B3934" t="s">
        <v>934</v>
      </c>
      <c r="C3934">
        <v>15</v>
      </c>
      <c r="D3934" t="s">
        <v>29</v>
      </c>
      <c r="E3934" t="s">
        <v>94</v>
      </c>
      <c r="F3934" t="s">
        <v>112</v>
      </c>
      <c r="G3934" t="s">
        <v>121</v>
      </c>
      <c r="H3934" t="s">
        <v>103</v>
      </c>
      <c r="J3934">
        <v>0</v>
      </c>
      <c r="K3934">
        <v>4</v>
      </c>
      <c r="L3934">
        <v>65.09375</v>
      </c>
      <c r="M3934">
        <v>37.895352600000002</v>
      </c>
      <c r="N3934">
        <v>2.2882677779999998</v>
      </c>
      <c r="O3934">
        <v>2.2111774</v>
      </c>
      <c r="P3934">
        <v>98.291666669999998</v>
      </c>
      <c r="Q3934">
        <v>30.315130790000001</v>
      </c>
      <c r="R3934">
        <v>5.0803484000000003E-2</v>
      </c>
      <c r="S3934">
        <v>0.42866070000000001</v>
      </c>
      <c r="T3934" t="s">
        <v>1019</v>
      </c>
      <c r="U3934">
        <v>2.237464294</v>
      </c>
    </row>
    <row r="3935" spans="1:21" x14ac:dyDescent="0.25">
      <c r="A3935" t="s">
        <v>28</v>
      </c>
      <c r="B3935" t="s">
        <v>934</v>
      </c>
      <c r="C3935">
        <v>15</v>
      </c>
      <c r="D3935" t="s">
        <v>29</v>
      </c>
      <c r="E3935" t="s">
        <v>94</v>
      </c>
      <c r="F3935" t="s">
        <v>112</v>
      </c>
      <c r="G3935" t="s">
        <v>121</v>
      </c>
      <c r="H3935" t="s">
        <v>103</v>
      </c>
      <c r="J3935">
        <v>0</v>
      </c>
      <c r="K3935">
        <v>4</v>
      </c>
      <c r="L3935">
        <v>65.09375</v>
      </c>
      <c r="M3935">
        <v>37.895352600000002</v>
      </c>
      <c r="N3935">
        <v>2.2882677779999998</v>
      </c>
      <c r="O3935">
        <v>2.2111774</v>
      </c>
      <c r="P3935">
        <v>98.291666669999998</v>
      </c>
      <c r="Q3935">
        <v>30.315130790000001</v>
      </c>
      <c r="R3935">
        <v>5.0803484000000003E-2</v>
      </c>
      <c r="S3935">
        <v>0.42866070000000001</v>
      </c>
      <c r="T3935" t="s">
        <v>1019</v>
      </c>
      <c r="U3935">
        <v>2.237464294</v>
      </c>
    </row>
    <row r="3936" spans="1:21" x14ac:dyDescent="0.25">
      <c r="A3936" t="s">
        <v>28</v>
      </c>
      <c r="B3936" t="s">
        <v>934</v>
      </c>
      <c r="C3936">
        <v>15</v>
      </c>
      <c r="D3936" t="s">
        <v>29</v>
      </c>
      <c r="E3936" t="s">
        <v>94</v>
      </c>
      <c r="F3936" t="s">
        <v>112</v>
      </c>
      <c r="G3936" t="s">
        <v>121</v>
      </c>
      <c r="H3936" t="s">
        <v>103</v>
      </c>
      <c r="J3936">
        <v>0</v>
      </c>
      <c r="K3936">
        <v>4</v>
      </c>
      <c r="L3936">
        <v>65.09375</v>
      </c>
      <c r="M3936">
        <v>37.895352600000002</v>
      </c>
      <c r="N3936">
        <v>2.2882677779999998</v>
      </c>
      <c r="O3936">
        <v>2.2111774</v>
      </c>
      <c r="P3936">
        <v>98.291666669999998</v>
      </c>
      <c r="Q3936">
        <v>30.315130790000001</v>
      </c>
      <c r="R3936">
        <v>5.0803484000000003E-2</v>
      </c>
      <c r="S3936">
        <v>0.42866070000000001</v>
      </c>
      <c r="T3936" t="s">
        <v>1019</v>
      </c>
      <c r="U3936">
        <v>2.237464294</v>
      </c>
    </row>
    <row r="3937" spans="1:21" x14ac:dyDescent="0.25">
      <c r="A3937" t="s">
        <v>28</v>
      </c>
      <c r="B3937" t="s">
        <v>934</v>
      </c>
      <c r="C3937">
        <v>15</v>
      </c>
      <c r="D3937" t="s">
        <v>29</v>
      </c>
      <c r="E3937" t="s">
        <v>94</v>
      </c>
      <c r="F3937" t="s">
        <v>112</v>
      </c>
      <c r="G3937" t="s">
        <v>121</v>
      </c>
      <c r="H3937" t="s">
        <v>103</v>
      </c>
      <c r="J3937">
        <v>0</v>
      </c>
      <c r="K3937">
        <v>4</v>
      </c>
      <c r="L3937">
        <v>65.09375</v>
      </c>
      <c r="M3937">
        <v>37.895352600000002</v>
      </c>
      <c r="N3937">
        <v>2.2882677779999998</v>
      </c>
      <c r="O3937">
        <v>2.2111774</v>
      </c>
      <c r="P3937">
        <v>98.291666669999998</v>
      </c>
      <c r="Q3937">
        <v>30.315130790000001</v>
      </c>
      <c r="R3937">
        <v>5.0803484000000003E-2</v>
      </c>
      <c r="S3937">
        <v>0.42866070000000001</v>
      </c>
      <c r="T3937" t="s">
        <v>1019</v>
      </c>
      <c r="U3937">
        <v>2.237464294</v>
      </c>
    </row>
    <row r="3938" spans="1:21" x14ac:dyDescent="0.25">
      <c r="A3938" t="s">
        <v>28</v>
      </c>
      <c r="B3938" t="s">
        <v>934</v>
      </c>
      <c r="C3938">
        <v>16</v>
      </c>
      <c r="D3938" t="s">
        <v>29</v>
      </c>
      <c r="E3938" t="s">
        <v>94</v>
      </c>
      <c r="F3938" t="s">
        <v>112</v>
      </c>
      <c r="G3938" t="s">
        <v>121</v>
      </c>
      <c r="H3938" t="s">
        <v>113</v>
      </c>
      <c r="J3938">
        <v>0</v>
      </c>
      <c r="K3938">
        <v>6</v>
      </c>
      <c r="L3938">
        <v>65.09375</v>
      </c>
      <c r="M3938">
        <v>37.895352600000002</v>
      </c>
      <c r="N3938">
        <v>2.2882677779999998</v>
      </c>
      <c r="O3938">
        <v>2.2111774</v>
      </c>
      <c r="P3938">
        <v>83.757575759999995</v>
      </c>
      <c r="Q3938">
        <v>22.60997987</v>
      </c>
      <c r="R3938">
        <v>0.72884000000000004</v>
      </c>
      <c r="S3938">
        <v>0.21301339999999999</v>
      </c>
      <c r="T3938" t="s">
        <v>1019</v>
      </c>
      <c r="U3938">
        <v>1.5594277780000001</v>
      </c>
    </row>
    <row r="3939" spans="1:21" x14ac:dyDescent="0.25">
      <c r="A3939" t="s">
        <v>28</v>
      </c>
      <c r="B3939" t="s">
        <v>934</v>
      </c>
      <c r="C3939">
        <v>16</v>
      </c>
      <c r="D3939" t="s">
        <v>29</v>
      </c>
      <c r="E3939" t="s">
        <v>94</v>
      </c>
      <c r="F3939" t="s">
        <v>112</v>
      </c>
      <c r="G3939" t="s">
        <v>121</v>
      </c>
      <c r="H3939" t="s">
        <v>113</v>
      </c>
      <c r="J3939">
        <v>0</v>
      </c>
      <c r="K3939">
        <v>6</v>
      </c>
      <c r="L3939">
        <v>65.09375</v>
      </c>
      <c r="M3939">
        <v>37.895352600000002</v>
      </c>
      <c r="N3939">
        <v>2.2882677779999998</v>
      </c>
      <c r="O3939">
        <v>2.2111774</v>
      </c>
      <c r="P3939">
        <v>83.757575759999995</v>
      </c>
      <c r="Q3939">
        <v>22.60997987</v>
      </c>
      <c r="R3939">
        <v>0.72884000000000004</v>
      </c>
      <c r="S3939">
        <v>0.21301339999999999</v>
      </c>
      <c r="T3939" t="s">
        <v>1019</v>
      </c>
      <c r="U3939">
        <v>1.5594277780000001</v>
      </c>
    </row>
    <row r="3940" spans="1:21" x14ac:dyDescent="0.25">
      <c r="A3940" t="s">
        <v>28</v>
      </c>
      <c r="B3940" t="s">
        <v>934</v>
      </c>
      <c r="C3940">
        <v>16</v>
      </c>
      <c r="D3940" t="s">
        <v>29</v>
      </c>
      <c r="E3940" t="s">
        <v>94</v>
      </c>
      <c r="F3940" t="s">
        <v>112</v>
      </c>
      <c r="G3940" t="s">
        <v>121</v>
      </c>
      <c r="H3940" t="s">
        <v>113</v>
      </c>
      <c r="J3940">
        <v>0</v>
      </c>
      <c r="K3940">
        <v>6</v>
      </c>
      <c r="L3940">
        <v>65.09375</v>
      </c>
      <c r="M3940">
        <v>37.895352600000002</v>
      </c>
      <c r="N3940">
        <v>2.2882677779999998</v>
      </c>
      <c r="O3940">
        <v>2.2111774</v>
      </c>
      <c r="P3940">
        <v>83.757575759999995</v>
      </c>
      <c r="Q3940">
        <v>22.60997987</v>
      </c>
      <c r="R3940">
        <v>0.72884000000000004</v>
      </c>
      <c r="S3940">
        <v>0.21301339999999999</v>
      </c>
      <c r="T3940" t="s">
        <v>1019</v>
      </c>
      <c r="U3940">
        <v>1.5594277780000001</v>
      </c>
    </row>
    <row r="3941" spans="1:21" x14ac:dyDescent="0.25">
      <c r="A3941" t="s">
        <v>28</v>
      </c>
      <c r="B3941" t="s">
        <v>934</v>
      </c>
      <c r="C3941">
        <v>16</v>
      </c>
      <c r="D3941" t="s">
        <v>29</v>
      </c>
      <c r="E3941" t="s">
        <v>94</v>
      </c>
      <c r="F3941" t="s">
        <v>112</v>
      </c>
      <c r="G3941" t="s">
        <v>121</v>
      </c>
      <c r="H3941" t="s">
        <v>113</v>
      </c>
      <c r="J3941">
        <v>0</v>
      </c>
      <c r="K3941">
        <v>6</v>
      </c>
      <c r="L3941">
        <v>65.09375</v>
      </c>
      <c r="M3941">
        <v>37.895352600000002</v>
      </c>
      <c r="N3941">
        <v>2.2882677779999998</v>
      </c>
      <c r="O3941">
        <v>2.2111774</v>
      </c>
      <c r="P3941">
        <v>83.757575759999995</v>
      </c>
      <c r="Q3941">
        <v>22.60997987</v>
      </c>
      <c r="R3941">
        <v>0.72884000000000004</v>
      </c>
      <c r="S3941">
        <v>0.21301339999999999</v>
      </c>
      <c r="T3941" t="s">
        <v>1019</v>
      </c>
      <c r="U3941">
        <v>1.5594277780000001</v>
      </c>
    </row>
    <row r="3942" spans="1:21" x14ac:dyDescent="0.25">
      <c r="A3942" t="s">
        <v>28</v>
      </c>
      <c r="B3942" t="s">
        <v>934</v>
      </c>
      <c r="C3942">
        <v>16</v>
      </c>
      <c r="D3942" t="s">
        <v>29</v>
      </c>
      <c r="E3942" t="s">
        <v>94</v>
      </c>
      <c r="F3942" t="s">
        <v>112</v>
      </c>
      <c r="G3942" t="s">
        <v>121</v>
      </c>
      <c r="H3942" t="s">
        <v>113</v>
      </c>
      <c r="J3942">
        <v>0</v>
      </c>
      <c r="K3942">
        <v>6</v>
      </c>
      <c r="L3942">
        <v>65.09375</v>
      </c>
      <c r="M3942">
        <v>37.895352600000002</v>
      </c>
      <c r="N3942">
        <v>2.2882677779999998</v>
      </c>
      <c r="O3942">
        <v>2.2111774</v>
      </c>
      <c r="P3942">
        <v>83.757575759999995</v>
      </c>
      <c r="Q3942">
        <v>22.60997987</v>
      </c>
      <c r="R3942">
        <v>0.72884000000000004</v>
      </c>
      <c r="S3942">
        <v>0.21301339999999999</v>
      </c>
      <c r="T3942" t="s">
        <v>1019</v>
      </c>
      <c r="U3942">
        <v>1.5594277780000001</v>
      </c>
    </row>
    <row r="3943" spans="1:21" x14ac:dyDescent="0.25">
      <c r="A3943" t="s">
        <v>28</v>
      </c>
      <c r="B3943" t="s">
        <v>934</v>
      </c>
      <c r="C3943">
        <v>16</v>
      </c>
      <c r="D3943" t="s">
        <v>29</v>
      </c>
      <c r="E3943" t="s">
        <v>94</v>
      </c>
      <c r="F3943" t="s">
        <v>112</v>
      </c>
      <c r="G3943" t="s">
        <v>121</v>
      </c>
      <c r="H3943" t="s">
        <v>113</v>
      </c>
      <c r="J3943">
        <v>0</v>
      </c>
      <c r="K3943">
        <v>6</v>
      </c>
      <c r="L3943">
        <v>65.09375</v>
      </c>
      <c r="M3943">
        <v>37.895352600000002</v>
      </c>
      <c r="N3943">
        <v>2.2882677779999998</v>
      </c>
      <c r="O3943">
        <v>2.2111774</v>
      </c>
      <c r="P3943">
        <v>83.757575759999995</v>
      </c>
      <c r="Q3943">
        <v>22.60997987</v>
      </c>
      <c r="R3943">
        <v>0.72884000000000004</v>
      </c>
      <c r="S3943">
        <v>0.21301339999999999</v>
      </c>
      <c r="T3943" t="s">
        <v>1019</v>
      </c>
      <c r="U3943">
        <v>1.5594277780000001</v>
      </c>
    </row>
    <row r="3944" spans="1:21" x14ac:dyDescent="0.25">
      <c r="A3944" t="s">
        <v>28</v>
      </c>
      <c r="B3944" t="s">
        <v>934</v>
      </c>
      <c r="C3944">
        <v>17</v>
      </c>
      <c r="D3944" t="s">
        <v>29</v>
      </c>
      <c r="E3944" t="s">
        <v>94</v>
      </c>
      <c r="F3944" t="s">
        <v>112</v>
      </c>
      <c r="G3944" t="s">
        <v>121</v>
      </c>
      <c r="H3944" t="s">
        <v>248</v>
      </c>
      <c r="J3944">
        <v>0</v>
      </c>
      <c r="K3944">
        <v>3</v>
      </c>
      <c r="L3944">
        <v>65.09375</v>
      </c>
      <c r="M3944">
        <v>37.895352600000002</v>
      </c>
      <c r="N3944">
        <v>2.2882677779999998</v>
      </c>
      <c r="O3944">
        <v>2.2111774</v>
      </c>
      <c r="P3944">
        <v>83.92307692</v>
      </c>
      <c r="Q3944">
        <v>44.319135699999997</v>
      </c>
      <c r="R3944">
        <v>5.9548609999999997E-3</v>
      </c>
      <c r="S3944">
        <v>0.18017928</v>
      </c>
      <c r="T3944" t="s">
        <v>1019</v>
      </c>
      <c r="U3944">
        <v>2.2823129170000001</v>
      </c>
    </row>
    <row r="3945" spans="1:21" x14ac:dyDescent="0.25">
      <c r="A3945" t="s">
        <v>28</v>
      </c>
      <c r="B3945" t="s">
        <v>934</v>
      </c>
      <c r="C3945">
        <v>17</v>
      </c>
      <c r="D3945" t="s">
        <v>29</v>
      </c>
      <c r="E3945" t="s">
        <v>94</v>
      </c>
      <c r="F3945" t="s">
        <v>112</v>
      </c>
      <c r="G3945" t="s">
        <v>121</v>
      </c>
      <c r="H3945" t="s">
        <v>248</v>
      </c>
      <c r="J3945">
        <v>0</v>
      </c>
      <c r="K3945">
        <v>3</v>
      </c>
      <c r="L3945">
        <v>65.09375</v>
      </c>
      <c r="M3945">
        <v>37.895352600000002</v>
      </c>
      <c r="N3945">
        <v>2.2882677779999998</v>
      </c>
      <c r="O3945">
        <v>2.2111774</v>
      </c>
      <c r="P3945">
        <v>83.92307692</v>
      </c>
      <c r="Q3945">
        <v>44.319135699999997</v>
      </c>
      <c r="R3945">
        <v>5.9548609999999997E-3</v>
      </c>
      <c r="S3945">
        <v>0.18017928</v>
      </c>
      <c r="T3945" t="s">
        <v>1019</v>
      </c>
      <c r="U3945">
        <v>2.2823129170000001</v>
      </c>
    </row>
    <row r="3946" spans="1:21" x14ac:dyDescent="0.25">
      <c r="A3946" t="s">
        <v>28</v>
      </c>
      <c r="B3946" t="s">
        <v>934</v>
      </c>
      <c r="C3946">
        <v>17</v>
      </c>
      <c r="D3946" t="s">
        <v>29</v>
      </c>
      <c r="E3946" t="s">
        <v>94</v>
      </c>
      <c r="F3946" t="s">
        <v>112</v>
      </c>
      <c r="G3946" t="s">
        <v>121</v>
      </c>
      <c r="H3946" t="s">
        <v>248</v>
      </c>
      <c r="J3946">
        <v>0</v>
      </c>
      <c r="K3946">
        <v>3</v>
      </c>
      <c r="L3946">
        <v>65.09375</v>
      </c>
      <c r="M3946">
        <v>37.895352600000002</v>
      </c>
      <c r="N3946">
        <v>2.2882677779999998</v>
      </c>
      <c r="O3946">
        <v>2.2111774</v>
      </c>
      <c r="P3946">
        <v>83.92307692</v>
      </c>
      <c r="Q3946">
        <v>44.319135699999997</v>
      </c>
      <c r="R3946">
        <v>5.9548609999999997E-3</v>
      </c>
      <c r="S3946">
        <v>0.18017928</v>
      </c>
      <c r="T3946" t="s">
        <v>1019</v>
      </c>
      <c r="U3946">
        <v>2.2823129170000001</v>
      </c>
    </row>
    <row r="3947" spans="1:21" x14ac:dyDescent="0.25">
      <c r="A3947" t="s">
        <v>30</v>
      </c>
      <c r="B3947" t="s">
        <v>935</v>
      </c>
      <c r="C3947">
        <v>15</v>
      </c>
      <c r="D3947" t="s">
        <v>31</v>
      </c>
      <c r="E3947" t="s">
        <v>95</v>
      </c>
      <c r="F3947" t="s">
        <v>113</v>
      </c>
      <c r="G3947" t="s">
        <v>121</v>
      </c>
      <c r="H3947" t="s">
        <v>113</v>
      </c>
      <c r="J3947">
        <v>0</v>
      </c>
      <c r="K3947">
        <v>1</v>
      </c>
      <c r="L3947">
        <v>83.757575759999995</v>
      </c>
      <c r="M3947">
        <v>22.60997987</v>
      </c>
      <c r="N3947">
        <v>0.72884000000000004</v>
      </c>
      <c r="O3947">
        <v>0.21301339999999999</v>
      </c>
      <c r="P3947">
        <v>83.757575759999995</v>
      </c>
      <c r="Q3947">
        <v>22.60997987</v>
      </c>
      <c r="R3947">
        <v>0.72884000000000004</v>
      </c>
      <c r="S3947">
        <v>0.21301339999999999</v>
      </c>
      <c r="T3947" t="s">
        <v>1019</v>
      </c>
      <c r="U3947">
        <v>0</v>
      </c>
    </row>
    <row r="3948" spans="1:21" x14ac:dyDescent="0.25">
      <c r="A3948" t="s">
        <v>30</v>
      </c>
      <c r="B3948" t="s">
        <v>935</v>
      </c>
      <c r="C3948">
        <v>16</v>
      </c>
      <c r="D3948" t="s">
        <v>31</v>
      </c>
      <c r="E3948" t="s">
        <v>95</v>
      </c>
      <c r="F3948" t="s">
        <v>113</v>
      </c>
      <c r="G3948" t="s">
        <v>121</v>
      </c>
      <c r="H3948" t="s">
        <v>103</v>
      </c>
      <c r="J3948">
        <v>0</v>
      </c>
      <c r="K3948">
        <v>2</v>
      </c>
      <c r="L3948">
        <v>83.757575759999995</v>
      </c>
      <c r="M3948">
        <v>22.60997987</v>
      </c>
      <c r="N3948">
        <v>0.72884000000000004</v>
      </c>
      <c r="O3948">
        <v>0.21301339999999999</v>
      </c>
      <c r="P3948">
        <v>98.291666669999998</v>
      </c>
      <c r="Q3948">
        <v>30.315130790000001</v>
      </c>
      <c r="R3948">
        <v>5.0803484000000003E-2</v>
      </c>
      <c r="S3948">
        <v>0.42866070000000001</v>
      </c>
      <c r="T3948" t="s">
        <v>1019</v>
      </c>
      <c r="U3948">
        <v>0.67803651600000003</v>
      </c>
    </row>
    <row r="3949" spans="1:21" x14ac:dyDescent="0.25">
      <c r="A3949" t="s">
        <v>30</v>
      </c>
      <c r="B3949" t="s">
        <v>935</v>
      </c>
      <c r="C3949">
        <v>16</v>
      </c>
      <c r="D3949" t="s">
        <v>31</v>
      </c>
      <c r="E3949" t="s">
        <v>95</v>
      </c>
      <c r="F3949" t="s">
        <v>113</v>
      </c>
      <c r="G3949" t="s">
        <v>121</v>
      </c>
      <c r="H3949" t="s">
        <v>103</v>
      </c>
      <c r="J3949">
        <v>0</v>
      </c>
      <c r="K3949">
        <v>2</v>
      </c>
      <c r="L3949">
        <v>83.757575759999995</v>
      </c>
      <c r="M3949">
        <v>22.60997987</v>
      </c>
      <c r="N3949">
        <v>0.72884000000000004</v>
      </c>
      <c r="O3949">
        <v>0.21301339999999999</v>
      </c>
      <c r="P3949">
        <v>98.291666669999998</v>
      </c>
      <c r="Q3949">
        <v>30.315130790000001</v>
      </c>
      <c r="R3949">
        <v>5.0803484000000003E-2</v>
      </c>
      <c r="S3949">
        <v>0.42866070000000001</v>
      </c>
      <c r="T3949" t="s">
        <v>1019</v>
      </c>
      <c r="U3949">
        <v>0.67803651600000003</v>
      </c>
    </row>
    <row r="3950" spans="1:21" x14ac:dyDescent="0.25">
      <c r="A3950" t="s">
        <v>30</v>
      </c>
      <c r="B3950" t="s">
        <v>935</v>
      </c>
      <c r="C3950">
        <v>17</v>
      </c>
      <c r="D3950" t="s">
        <v>31</v>
      </c>
      <c r="E3950" t="s">
        <v>95</v>
      </c>
      <c r="F3950" t="s">
        <v>113</v>
      </c>
      <c r="G3950" t="s">
        <v>121</v>
      </c>
      <c r="H3950" t="s">
        <v>248</v>
      </c>
      <c r="J3950">
        <v>0</v>
      </c>
      <c r="K3950">
        <v>9</v>
      </c>
      <c r="L3950">
        <v>83.757575759999995</v>
      </c>
      <c r="M3950">
        <v>22.60997987</v>
      </c>
      <c r="N3950">
        <v>0.72884000000000004</v>
      </c>
      <c r="O3950">
        <v>0.21301339999999999</v>
      </c>
      <c r="P3950">
        <v>83.92307692</v>
      </c>
      <c r="Q3950">
        <v>44.319135699999997</v>
      </c>
      <c r="R3950">
        <v>5.9548609999999997E-3</v>
      </c>
      <c r="S3950">
        <v>0.18017928</v>
      </c>
      <c r="T3950" t="s">
        <v>1019</v>
      </c>
      <c r="U3950">
        <v>0.72288513899999995</v>
      </c>
    </row>
    <row r="3951" spans="1:21" x14ac:dyDescent="0.25">
      <c r="A3951" t="s">
        <v>30</v>
      </c>
      <c r="B3951" t="s">
        <v>935</v>
      </c>
      <c r="C3951">
        <v>17</v>
      </c>
      <c r="D3951" t="s">
        <v>31</v>
      </c>
      <c r="E3951" t="s">
        <v>95</v>
      </c>
      <c r="F3951" t="s">
        <v>113</v>
      </c>
      <c r="G3951" t="s">
        <v>121</v>
      </c>
      <c r="H3951" t="s">
        <v>248</v>
      </c>
      <c r="J3951">
        <v>0</v>
      </c>
      <c r="K3951">
        <v>9</v>
      </c>
      <c r="L3951">
        <v>83.757575759999995</v>
      </c>
      <c r="M3951">
        <v>22.60997987</v>
      </c>
      <c r="N3951">
        <v>0.72884000000000004</v>
      </c>
      <c r="O3951">
        <v>0.21301339999999999</v>
      </c>
      <c r="P3951">
        <v>83.92307692</v>
      </c>
      <c r="Q3951">
        <v>44.319135699999997</v>
      </c>
      <c r="R3951">
        <v>5.9548609999999997E-3</v>
      </c>
      <c r="S3951">
        <v>0.18017928</v>
      </c>
      <c r="T3951" t="s">
        <v>1019</v>
      </c>
      <c r="U3951">
        <v>0.72288513899999995</v>
      </c>
    </row>
    <row r="3952" spans="1:21" x14ac:dyDescent="0.25">
      <c r="A3952" t="s">
        <v>30</v>
      </c>
      <c r="B3952" t="s">
        <v>935</v>
      </c>
      <c r="C3952">
        <v>17</v>
      </c>
      <c r="D3952" t="s">
        <v>31</v>
      </c>
      <c r="E3952" t="s">
        <v>95</v>
      </c>
      <c r="F3952" t="s">
        <v>113</v>
      </c>
      <c r="G3952" t="s">
        <v>121</v>
      </c>
      <c r="H3952" t="s">
        <v>248</v>
      </c>
      <c r="J3952">
        <v>0</v>
      </c>
      <c r="K3952">
        <v>9</v>
      </c>
      <c r="L3952">
        <v>83.757575759999995</v>
      </c>
      <c r="M3952">
        <v>22.60997987</v>
      </c>
      <c r="N3952">
        <v>0.72884000000000004</v>
      </c>
      <c r="O3952">
        <v>0.21301339999999999</v>
      </c>
      <c r="P3952">
        <v>83.92307692</v>
      </c>
      <c r="Q3952">
        <v>44.319135699999997</v>
      </c>
      <c r="R3952">
        <v>5.9548609999999997E-3</v>
      </c>
      <c r="S3952">
        <v>0.18017928</v>
      </c>
      <c r="T3952" t="s">
        <v>1019</v>
      </c>
      <c r="U3952">
        <v>0.72288513899999995</v>
      </c>
    </row>
    <row r="3953" spans="1:21" x14ac:dyDescent="0.25">
      <c r="A3953" t="s">
        <v>30</v>
      </c>
      <c r="B3953" t="s">
        <v>935</v>
      </c>
      <c r="C3953">
        <v>17</v>
      </c>
      <c r="D3953" t="s">
        <v>31</v>
      </c>
      <c r="E3953" t="s">
        <v>95</v>
      </c>
      <c r="F3953" t="s">
        <v>113</v>
      </c>
      <c r="G3953" t="s">
        <v>121</v>
      </c>
      <c r="H3953" t="s">
        <v>248</v>
      </c>
      <c r="J3953">
        <v>0</v>
      </c>
      <c r="K3953">
        <v>9</v>
      </c>
      <c r="L3953">
        <v>83.757575759999995</v>
      </c>
      <c r="M3953">
        <v>22.60997987</v>
      </c>
      <c r="N3953">
        <v>0.72884000000000004</v>
      </c>
      <c r="O3953">
        <v>0.21301339999999999</v>
      </c>
      <c r="P3953">
        <v>83.92307692</v>
      </c>
      <c r="Q3953">
        <v>44.319135699999997</v>
      </c>
      <c r="R3953">
        <v>5.9548609999999997E-3</v>
      </c>
      <c r="S3953">
        <v>0.18017928</v>
      </c>
      <c r="T3953" t="s">
        <v>1019</v>
      </c>
      <c r="U3953">
        <v>0.72288513899999995</v>
      </c>
    </row>
    <row r="3954" spans="1:21" x14ac:dyDescent="0.25">
      <c r="A3954" t="s">
        <v>30</v>
      </c>
      <c r="B3954" t="s">
        <v>935</v>
      </c>
      <c r="C3954">
        <v>17</v>
      </c>
      <c r="D3954" t="s">
        <v>31</v>
      </c>
      <c r="E3954" t="s">
        <v>95</v>
      </c>
      <c r="F3954" t="s">
        <v>113</v>
      </c>
      <c r="G3954" t="s">
        <v>121</v>
      </c>
      <c r="H3954" t="s">
        <v>248</v>
      </c>
      <c r="J3954">
        <v>0</v>
      </c>
      <c r="K3954">
        <v>9</v>
      </c>
      <c r="L3954">
        <v>83.757575759999995</v>
      </c>
      <c r="M3954">
        <v>22.60997987</v>
      </c>
      <c r="N3954">
        <v>0.72884000000000004</v>
      </c>
      <c r="O3954">
        <v>0.21301339999999999</v>
      </c>
      <c r="P3954">
        <v>83.92307692</v>
      </c>
      <c r="Q3954">
        <v>44.319135699999997</v>
      </c>
      <c r="R3954">
        <v>5.9548609999999997E-3</v>
      </c>
      <c r="S3954">
        <v>0.18017928</v>
      </c>
      <c r="T3954" t="s">
        <v>1019</v>
      </c>
      <c r="U3954">
        <v>0.72288513899999995</v>
      </c>
    </row>
    <row r="3955" spans="1:21" x14ac:dyDescent="0.25">
      <c r="A3955" t="s">
        <v>30</v>
      </c>
      <c r="B3955" t="s">
        <v>935</v>
      </c>
      <c r="C3955">
        <v>17</v>
      </c>
      <c r="D3955" t="s">
        <v>31</v>
      </c>
      <c r="E3955" t="s">
        <v>95</v>
      </c>
      <c r="F3955" t="s">
        <v>113</v>
      </c>
      <c r="G3955" t="s">
        <v>121</v>
      </c>
      <c r="H3955" t="s">
        <v>248</v>
      </c>
      <c r="J3955">
        <v>0</v>
      </c>
      <c r="K3955">
        <v>9</v>
      </c>
      <c r="L3955">
        <v>83.757575759999995</v>
      </c>
      <c r="M3955">
        <v>22.60997987</v>
      </c>
      <c r="N3955">
        <v>0.72884000000000004</v>
      </c>
      <c r="O3955">
        <v>0.21301339999999999</v>
      </c>
      <c r="P3955">
        <v>83.92307692</v>
      </c>
      <c r="Q3955">
        <v>44.319135699999997</v>
      </c>
      <c r="R3955">
        <v>5.9548609999999997E-3</v>
      </c>
      <c r="S3955">
        <v>0.18017928</v>
      </c>
      <c r="T3955" t="s">
        <v>1019</v>
      </c>
      <c r="U3955">
        <v>0.72288513899999995</v>
      </c>
    </row>
    <row r="3956" spans="1:21" x14ac:dyDescent="0.25">
      <c r="A3956" t="s">
        <v>30</v>
      </c>
      <c r="B3956" t="s">
        <v>935</v>
      </c>
      <c r="C3956">
        <v>17</v>
      </c>
      <c r="D3956" t="s">
        <v>31</v>
      </c>
      <c r="E3956" t="s">
        <v>95</v>
      </c>
      <c r="F3956" t="s">
        <v>113</v>
      </c>
      <c r="G3956" t="s">
        <v>121</v>
      </c>
      <c r="H3956" t="s">
        <v>248</v>
      </c>
      <c r="J3956">
        <v>0</v>
      </c>
      <c r="K3956">
        <v>9</v>
      </c>
      <c r="L3956">
        <v>83.757575759999995</v>
      </c>
      <c r="M3956">
        <v>22.60997987</v>
      </c>
      <c r="N3956">
        <v>0.72884000000000004</v>
      </c>
      <c r="O3956">
        <v>0.21301339999999999</v>
      </c>
      <c r="P3956">
        <v>83.92307692</v>
      </c>
      <c r="Q3956">
        <v>44.319135699999997</v>
      </c>
      <c r="R3956">
        <v>5.9548609999999997E-3</v>
      </c>
      <c r="S3956">
        <v>0.18017928</v>
      </c>
      <c r="T3956" t="s">
        <v>1019</v>
      </c>
      <c r="U3956">
        <v>0.72288513899999995</v>
      </c>
    </row>
    <row r="3957" spans="1:21" x14ac:dyDescent="0.25">
      <c r="A3957" t="s">
        <v>30</v>
      </c>
      <c r="B3957" t="s">
        <v>935</v>
      </c>
      <c r="C3957">
        <v>17</v>
      </c>
      <c r="D3957" t="s">
        <v>31</v>
      </c>
      <c r="E3957" t="s">
        <v>95</v>
      </c>
      <c r="F3957" t="s">
        <v>113</v>
      </c>
      <c r="G3957" t="s">
        <v>121</v>
      </c>
      <c r="H3957" t="s">
        <v>248</v>
      </c>
      <c r="J3957">
        <v>0</v>
      </c>
      <c r="K3957">
        <v>9</v>
      </c>
      <c r="L3957">
        <v>83.757575759999995</v>
      </c>
      <c r="M3957">
        <v>22.60997987</v>
      </c>
      <c r="N3957">
        <v>0.72884000000000004</v>
      </c>
      <c r="O3957">
        <v>0.21301339999999999</v>
      </c>
      <c r="P3957">
        <v>83.92307692</v>
      </c>
      <c r="Q3957">
        <v>44.319135699999997</v>
      </c>
      <c r="R3957">
        <v>5.9548609999999997E-3</v>
      </c>
      <c r="S3957">
        <v>0.18017928</v>
      </c>
      <c r="T3957" t="s">
        <v>1019</v>
      </c>
      <c r="U3957">
        <v>0.72288513899999995</v>
      </c>
    </row>
    <row r="3958" spans="1:21" x14ac:dyDescent="0.25">
      <c r="A3958" t="s">
        <v>30</v>
      </c>
      <c r="B3958" t="s">
        <v>935</v>
      </c>
      <c r="C3958">
        <v>17</v>
      </c>
      <c r="D3958" t="s">
        <v>31</v>
      </c>
      <c r="E3958" t="s">
        <v>95</v>
      </c>
      <c r="F3958" t="s">
        <v>113</v>
      </c>
      <c r="G3958" t="s">
        <v>121</v>
      </c>
      <c r="H3958" t="s">
        <v>248</v>
      </c>
      <c r="J3958">
        <v>0</v>
      </c>
      <c r="K3958">
        <v>9</v>
      </c>
      <c r="L3958">
        <v>83.757575759999995</v>
      </c>
      <c r="M3958">
        <v>22.60997987</v>
      </c>
      <c r="N3958">
        <v>0.72884000000000004</v>
      </c>
      <c r="O3958">
        <v>0.21301339999999999</v>
      </c>
      <c r="P3958">
        <v>83.92307692</v>
      </c>
      <c r="Q3958">
        <v>44.319135699999997</v>
      </c>
      <c r="R3958">
        <v>5.9548609999999997E-3</v>
      </c>
      <c r="S3958">
        <v>0.18017928</v>
      </c>
      <c r="T3958" t="s">
        <v>1019</v>
      </c>
      <c r="U3958">
        <v>0.72288513899999995</v>
      </c>
    </row>
    <row r="3959" spans="1:21" x14ac:dyDescent="0.25">
      <c r="A3959" t="s">
        <v>30</v>
      </c>
      <c r="B3959" t="s">
        <v>935</v>
      </c>
      <c r="C3959">
        <v>18</v>
      </c>
      <c r="D3959" t="s">
        <v>31</v>
      </c>
      <c r="E3959" t="s">
        <v>95</v>
      </c>
      <c r="F3959" t="s">
        <v>113</v>
      </c>
      <c r="G3959" t="s">
        <v>121</v>
      </c>
      <c r="H3959" t="s">
        <v>111</v>
      </c>
      <c r="J3959">
        <v>0</v>
      </c>
      <c r="K3959">
        <v>1</v>
      </c>
      <c r="L3959">
        <v>83.757575759999995</v>
      </c>
      <c r="M3959">
        <v>22.60997987</v>
      </c>
      <c r="N3959">
        <v>0.72884000000000004</v>
      </c>
      <c r="O3959">
        <v>0.21301339999999999</v>
      </c>
      <c r="P3959">
        <v>94.97142857</v>
      </c>
      <c r="Q3959">
        <v>24.31591813</v>
      </c>
      <c r="R3959">
        <v>0.122951111</v>
      </c>
      <c r="S3959">
        <v>0.39050790000000002</v>
      </c>
      <c r="T3959" t="s">
        <v>1019</v>
      </c>
      <c r="U3959">
        <v>0.60588888900000004</v>
      </c>
    </row>
    <row r="3960" spans="1:21" x14ac:dyDescent="0.25">
      <c r="A3960" t="s">
        <v>30</v>
      </c>
      <c r="B3960" t="s">
        <v>936</v>
      </c>
      <c r="C3960">
        <v>15</v>
      </c>
      <c r="D3960" t="s">
        <v>31</v>
      </c>
      <c r="E3960" t="s">
        <v>95</v>
      </c>
      <c r="F3960" t="s">
        <v>103</v>
      </c>
      <c r="G3960" t="s">
        <v>113</v>
      </c>
      <c r="H3960" t="s">
        <v>113</v>
      </c>
      <c r="J3960">
        <v>0</v>
      </c>
      <c r="K3960">
        <v>3</v>
      </c>
      <c r="L3960">
        <v>98.291666669999998</v>
      </c>
      <c r="M3960">
        <v>30.315130790000001</v>
      </c>
      <c r="N3960">
        <v>5.0803484000000003E-2</v>
      </c>
      <c r="O3960">
        <v>0.42866070000000001</v>
      </c>
      <c r="P3960">
        <v>83.757575759999995</v>
      </c>
      <c r="Q3960">
        <v>22.60997987</v>
      </c>
      <c r="R3960">
        <v>0.72884000000000004</v>
      </c>
      <c r="S3960">
        <v>0.21301339999999999</v>
      </c>
      <c r="T3960" t="s">
        <v>1019</v>
      </c>
      <c r="U3960">
        <v>0.67803651600000003</v>
      </c>
    </row>
    <row r="3961" spans="1:21" x14ac:dyDescent="0.25">
      <c r="A3961" t="s">
        <v>30</v>
      </c>
      <c r="B3961" t="s">
        <v>936</v>
      </c>
      <c r="C3961">
        <v>15</v>
      </c>
      <c r="D3961" t="s">
        <v>31</v>
      </c>
      <c r="E3961" t="s">
        <v>95</v>
      </c>
      <c r="F3961" t="s">
        <v>103</v>
      </c>
      <c r="G3961" t="s">
        <v>113</v>
      </c>
      <c r="H3961" t="s">
        <v>113</v>
      </c>
      <c r="J3961">
        <v>0</v>
      </c>
      <c r="K3961">
        <v>3</v>
      </c>
      <c r="L3961">
        <v>98.291666669999998</v>
      </c>
      <c r="M3961">
        <v>30.315130790000001</v>
      </c>
      <c r="N3961">
        <v>5.0803484000000003E-2</v>
      </c>
      <c r="O3961">
        <v>0.42866070000000001</v>
      </c>
      <c r="P3961">
        <v>83.757575759999995</v>
      </c>
      <c r="Q3961">
        <v>22.60997987</v>
      </c>
      <c r="R3961">
        <v>0.72884000000000004</v>
      </c>
      <c r="S3961">
        <v>0.21301339999999999</v>
      </c>
      <c r="T3961" t="s">
        <v>1019</v>
      </c>
      <c r="U3961">
        <v>0.67803651600000003</v>
      </c>
    </row>
    <row r="3962" spans="1:21" x14ac:dyDescent="0.25">
      <c r="A3962" t="s">
        <v>30</v>
      </c>
      <c r="B3962" t="s">
        <v>936</v>
      </c>
      <c r="C3962">
        <v>15</v>
      </c>
      <c r="D3962" t="s">
        <v>31</v>
      </c>
      <c r="E3962" t="s">
        <v>95</v>
      </c>
      <c r="F3962" t="s">
        <v>103</v>
      </c>
      <c r="G3962" t="s">
        <v>113</v>
      </c>
      <c r="H3962" t="s">
        <v>113</v>
      </c>
      <c r="J3962">
        <v>0</v>
      </c>
      <c r="K3962">
        <v>3</v>
      </c>
      <c r="L3962">
        <v>98.291666669999998</v>
      </c>
      <c r="M3962">
        <v>30.315130790000001</v>
      </c>
      <c r="N3962">
        <v>5.0803484000000003E-2</v>
      </c>
      <c r="O3962">
        <v>0.42866070000000001</v>
      </c>
      <c r="P3962">
        <v>83.757575759999995</v>
      </c>
      <c r="Q3962">
        <v>22.60997987</v>
      </c>
      <c r="R3962">
        <v>0.72884000000000004</v>
      </c>
      <c r="S3962">
        <v>0.21301339999999999</v>
      </c>
      <c r="T3962" t="s">
        <v>1019</v>
      </c>
      <c r="U3962">
        <v>0.67803651600000003</v>
      </c>
    </row>
    <row r="3963" spans="1:21" x14ac:dyDescent="0.25">
      <c r="A3963" t="s">
        <v>30</v>
      </c>
      <c r="B3963" t="s">
        <v>936</v>
      </c>
      <c r="C3963">
        <v>16</v>
      </c>
      <c r="D3963" t="s">
        <v>31</v>
      </c>
      <c r="E3963" t="s">
        <v>95</v>
      </c>
      <c r="F3963" t="s">
        <v>103</v>
      </c>
      <c r="G3963" t="s">
        <v>113</v>
      </c>
      <c r="H3963" t="s">
        <v>247</v>
      </c>
      <c r="J3963">
        <v>0</v>
      </c>
      <c r="K3963">
        <v>1</v>
      </c>
      <c r="L3963">
        <v>98.291666669999998</v>
      </c>
      <c r="M3963">
        <v>30.315130790000001</v>
      </c>
      <c r="N3963">
        <v>5.0803484000000003E-2</v>
      </c>
      <c r="O3963">
        <v>0.42866070000000001</v>
      </c>
      <c r="P3963">
        <v>65.791044779999993</v>
      </c>
      <c r="Q3963">
        <v>22.94519201</v>
      </c>
      <c r="R3963">
        <v>8.1320334999999994E-2</v>
      </c>
      <c r="S3963">
        <v>0.17285655</v>
      </c>
      <c r="T3963" t="s">
        <v>1019</v>
      </c>
      <c r="U3963">
        <v>3.0516851000000001E-2</v>
      </c>
    </row>
    <row r="3964" spans="1:21" x14ac:dyDescent="0.25">
      <c r="A3964" t="s">
        <v>30</v>
      </c>
      <c r="B3964" t="s">
        <v>936</v>
      </c>
      <c r="C3964">
        <v>17</v>
      </c>
      <c r="D3964" t="s">
        <v>31</v>
      </c>
      <c r="E3964" t="s">
        <v>95</v>
      </c>
      <c r="F3964" t="s">
        <v>103</v>
      </c>
      <c r="G3964" t="s">
        <v>113</v>
      </c>
      <c r="H3964" t="s">
        <v>111</v>
      </c>
      <c r="J3964">
        <v>0</v>
      </c>
      <c r="K3964">
        <v>1</v>
      </c>
      <c r="L3964">
        <v>98.291666669999998</v>
      </c>
      <c r="M3964">
        <v>30.315130790000001</v>
      </c>
      <c r="N3964">
        <v>5.0803484000000003E-2</v>
      </c>
      <c r="O3964">
        <v>0.42866070000000001</v>
      </c>
      <c r="P3964">
        <v>94.97142857</v>
      </c>
      <c r="Q3964">
        <v>24.31591813</v>
      </c>
      <c r="R3964">
        <v>0.122951111</v>
      </c>
      <c r="S3964">
        <v>0.39050790000000002</v>
      </c>
      <c r="T3964" t="s">
        <v>1019</v>
      </c>
      <c r="U3964">
        <v>7.2147627000000006E-2</v>
      </c>
    </row>
    <row r="3965" spans="1:21" x14ac:dyDescent="0.25">
      <c r="A3965" t="s">
        <v>30</v>
      </c>
      <c r="B3965" t="s">
        <v>936</v>
      </c>
      <c r="C3965">
        <v>18</v>
      </c>
      <c r="D3965" t="s">
        <v>31</v>
      </c>
      <c r="E3965" t="s">
        <v>95</v>
      </c>
      <c r="F3965" t="s">
        <v>103</v>
      </c>
      <c r="G3965" t="s">
        <v>113</v>
      </c>
      <c r="H3965" t="s">
        <v>234</v>
      </c>
      <c r="J3965">
        <v>0</v>
      </c>
      <c r="K3965">
        <v>1</v>
      </c>
      <c r="L3965">
        <v>98.291666669999998</v>
      </c>
      <c r="M3965">
        <v>30.315130790000001</v>
      </c>
      <c r="N3965">
        <v>5.0803484000000003E-2</v>
      </c>
      <c r="O3965">
        <v>0.42866070000000001</v>
      </c>
      <c r="P3965">
        <v>89.8125</v>
      </c>
      <c r="Q3965">
        <v>34.754706650000003</v>
      </c>
      <c r="R3965">
        <v>2.3065078999999999E-2</v>
      </c>
      <c r="S3965">
        <v>2.4791666700000001</v>
      </c>
      <c r="T3965" t="s">
        <v>1019</v>
      </c>
      <c r="U3965">
        <v>2.7738405000000001E-2</v>
      </c>
    </row>
    <row r="3966" spans="1:21" x14ac:dyDescent="0.25">
      <c r="A3966" t="s">
        <v>30</v>
      </c>
      <c r="B3966" t="s">
        <v>936</v>
      </c>
      <c r="C3966">
        <v>19</v>
      </c>
      <c r="D3966" t="s">
        <v>31</v>
      </c>
      <c r="E3966" t="s">
        <v>95</v>
      </c>
      <c r="F3966" t="s">
        <v>103</v>
      </c>
      <c r="G3966" t="s">
        <v>113</v>
      </c>
      <c r="H3966" t="s">
        <v>241</v>
      </c>
      <c r="J3966">
        <v>0</v>
      </c>
      <c r="K3966">
        <v>1</v>
      </c>
      <c r="L3966">
        <v>98.291666669999998</v>
      </c>
      <c r="M3966">
        <v>30.315130790000001</v>
      </c>
      <c r="N3966">
        <v>5.0803484000000003E-2</v>
      </c>
      <c r="O3966">
        <v>0.42866070000000001</v>
      </c>
      <c r="P3966">
        <v>114</v>
      </c>
      <c r="Q3966">
        <v>30.43077242</v>
      </c>
      <c r="R3966">
        <v>0.53383111100000002</v>
      </c>
      <c r="S3966">
        <v>0.28333332999999999</v>
      </c>
      <c r="T3966" t="s">
        <v>1019</v>
      </c>
      <c r="U3966">
        <v>0.48302762700000001</v>
      </c>
    </row>
    <row r="3967" spans="1:21" x14ac:dyDescent="0.25">
      <c r="A3967" t="s">
        <v>30</v>
      </c>
      <c r="B3967" t="s">
        <v>937</v>
      </c>
      <c r="C3967">
        <v>15</v>
      </c>
      <c r="D3967" t="s">
        <v>31</v>
      </c>
      <c r="E3967" t="s">
        <v>95</v>
      </c>
      <c r="F3967" t="s">
        <v>112</v>
      </c>
      <c r="G3967" t="s">
        <v>103</v>
      </c>
      <c r="H3967" t="s">
        <v>114</v>
      </c>
      <c r="J3967">
        <v>0</v>
      </c>
      <c r="K3967" t="s">
        <v>114</v>
      </c>
      <c r="L3967">
        <v>65.09375</v>
      </c>
      <c r="M3967">
        <v>37.895352600000002</v>
      </c>
      <c r="N3967">
        <v>2.2882677779999998</v>
      </c>
      <c r="O3967">
        <v>2.2111774</v>
      </c>
      <c r="P3967" t="s">
        <v>114</v>
      </c>
      <c r="Q3967" t="s">
        <v>114</v>
      </c>
      <c r="R3967" t="s">
        <v>114</v>
      </c>
      <c r="S3967" t="s">
        <v>114</v>
      </c>
      <c r="T3967" t="s">
        <v>1019</v>
      </c>
      <c r="U3967" t="s">
        <v>114</v>
      </c>
    </row>
    <row r="3968" spans="1:21" x14ac:dyDescent="0.25">
      <c r="A3968" t="s">
        <v>32</v>
      </c>
      <c r="B3968" t="s">
        <v>938</v>
      </c>
      <c r="C3968">
        <v>15</v>
      </c>
      <c r="D3968" t="s">
        <v>33</v>
      </c>
      <c r="E3968" t="s">
        <v>94</v>
      </c>
      <c r="F3968" t="s">
        <v>105</v>
      </c>
      <c r="G3968" t="s">
        <v>121</v>
      </c>
      <c r="H3968" t="s">
        <v>247</v>
      </c>
      <c r="J3968">
        <v>0</v>
      </c>
      <c r="K3968">
        <v>2</v>
      </c>
      <c r="L3968">
        <v>67.5</v>
      </c>
      <c r="M3968">
        <v>47.937235809999997</v>
      </c>
      <c r="N3968">
        <v>0.41599678000000001</v>
      </c>
      <c r="O3968">
        <v>2.0950346999999998</v>
      </c>
      <c r="P3968">
        <v>65.791044779999993</v>
      </c>
      <c r="Q3968">
        <v>22.94519201</v>
      </c>
      <c r="R3968">
        <v>8.1320334999999994E-2</v>
      </c>
      <c r="S3968">
        <v>0.17285655</v>
      </c>
      <c r="T3968" t="s">
        <v>1019</v>
      </c>
      <c r="U3968">
        <v>0.33467644499999999</v>
      </c>
    </row>
    <row r="3969" spans="1:21" x14ac:dyDescent="0.25">
      <c r="A3969" t="s">
        <v>32</v>
      </c>
      <c r="B3969" t="s">
        <v>938</v>
      </c>
      <c r="C3969">
        <v>15</v>
      </c>
      <c r="D3969" t="s">
        <v>33</v>
      </c>
      <c r="E3969" t="s">
        <v>94</v>
      </c>
      <c r="F3969" t="s">
        <v>105</v>
      </c>
      <c r="G3969" t="s">
        <v>121</v>
      </c>
      <c r="H3969" t="s">
        <v>247</v>
      </c>
      <c r="J3969">
        <v>0</v>
      </c>
      <c r="K3969">
        <v>2</v>
      </c>
      <c r="L3969">
        <v>67.5</v>
      </c>
      <c r="M3969">
        <v>47.937235809999997</v>
      </c>
      <c r="N3969">
        <v>0.41599678000000001</v>
      </c>
      <c r="O3969">
        <v>2.0950346999999998</v>
      </c>
      <c r="P3969">
        <v>65.791044779999993</v>
      </c>
      <c r="Q3969">
        <v>22.94519201</v>
      </c>
      <c r="R3969">
        <v>8.1320334999999994E-2</v>
      </c>
      <c r="S3969">
        <v>0.17285655</v>
      </c>
      <c r="T3969" t="s">
        <v>1019</v>
      </c>
      <c r="U3969">
        <v>0.33467644499999999</v>
      </c>
    </row>
    <row r="3970" spans="1:21" x14ac:dyDescent="0.25">
      <c r="A3970" t="s">
        <v>32</v>
      </c>
      <c r="B3970" t="s">
        <v>938</v>
      </c>
      <c r="C3970">
        <v>16</v>
      </c>
      <c r="D3970" t="s">
        <v>33</v>
      </c>
      <c r="E3970" t="s">
        <v>94</v>
      </c>
      <c r="F3970" t="s">
        <v>105</v>
      </c>
      <c r="G3970" t="s">
        <v>121</v>
      </c>
      <c r="H3970" t="s">
        <v>249</v>
      </c>
      <c r="J3970">
        <v>0</v>
      </c>
      <c r="K3970">
        <v>1</v>
      </c>
      <c r="L3970">
        <v>67.5</v>
      </c>
      <c r="M3970">
        <v>47.937235809999997</v>
      </c>
      <c r="N3970">
        <v>0.41599678000000001</v>
      </c>
      <c r="O3970">
        <v>2.0950346999999998</v>
      </c>
      <c r="P3970">
        <v>81.666666669999998</v>
      </c>
      <c r="Q3970">
        <v>48.056268459999998</v>
      </c>
      <c r="R3970">
        <v>0.120291364</v>
      </c>
      <c r="S3970" t="s">
        <v>114</v>
      </c>
      <c r="T3970" t="s">
        <v>1019</v>
      </c>
      <c r="U3970">
        <v>0.295705416</v>
      </c>
    </row>
    <row r="3971" spans="1:21" x14ac:dyDescent="0.25">
      <c r="A3971" t="s">
        <v>34</v>
      </c>
      <c r="B3971" t="s">
        <v>939</v>
      </c>
      <c r="C3971">
        <v>15</v>
      </c>
      <c r="D3971" t="s">
        <v>35</v>
      </c>
      <c r="E3971" t="s">
        <v>94</v>
      </c>
      <c r="F3971" t="s">
        <v>112</v>
      </c>
      <c r="G3971" t="s">
        <v>112</v>
      </c>
      <c r="H3971" t="s">
        <v>112</v>
      </c>
      <c r="J3971">
        <v>0</v>
      </c>
      <c r="K3971">
        <v>1</v>
      </c>
      <c r="L3971">
        <v>65.09375</v>
      </c>
      <c r="M3971">
        <v>37.895352600000002</v>
      </c>
      <c r="N3971">
        <v>2.2882677779999998</v>
      </c>
      <c r="O3971">
        <v>2.2111774</v>
      </c>
      <c r="P3971">
        <v>65.09375</v>
      </c>
      <c r="Q3971">
        <v>37.895352600000002</v>
      </c>
      <c r="R3971">
        <v>2.2882677779999998</v>
      </c>
      <c r="S3971">
        <v>2.2111774</v>
      </c>
      <c r="T3971" t="s">
        <v>1019</v>
      </c>
      <c r="U3971">
        <v>0</v>
      </c>
    </row>
    <row r="3972" spans="1:21" x14ac:dyDescent="0.25">
      <c r="A3972" t="s">
        <v>36</v>
      </c>
      <c r="B3972" t="s">
        <v>940</v>
      </c>
      <c r="C3972">
        <v>15</v>
      </c>
      <c r="D3972" t="s">
        <v>37</v>
      </c>
      <c r="E3972" t="s">
        <v>95</v>
      </c>
      <c r="F3972" t="s">
        <v>110</v>
      </c>
      <c r="G3972" t="s">
        <v>121</v>
      </c>
      <c r="H3972" t="s">
        <v>110</v>
      </c>
      <c r="J3972">
        <v>0</v>
      </c>
      <c r="K3972">
        <v>1</v>
      </c>
      <c r="L3972">
        <v>73.260869569999997</v>
      </c>
      <c r="M3972">
        <v>34.453830549999999</v>
      </c>
      <c r="N3972">
        <v>1.058333333</v>
      </c>
      <c r="O3972">
        <v>0.90897070000000002</v>
      </c>
      <c r="P3972">
        <v>73.260869569999997</v>
      </c>
      <c r="Q3972">
        <v>34.453830549999999</v>
      </c>
      <c r="R3972">
        <v>1.058333333</v>
      </c>
      <c r="S3972">
        <v>0.90897070000000002</v>
      </c>
      <c r="T3972" t="s">
        <v>1019</v>
      </c>
      <c r="U3972">
        <v>0</v>
      </c>
    </row>
    <row r="3973" spans="1:21" x14ac:dyDescent="0.25">
      <c r="A3973" t="s">
        <v>36</v>
      </c>
      <c r="B3973" t="s">
        <v>941</v>
      </c>
      <c r="C3973">
        <v>15</v>
      </c>
      <c r="D3973" t="s">
        <v>37</v>
      </c>
      <c r="E3973" t="s">
        <v>95</v>
      </c>
      <c r="F3973" t="s">
        <v>104</v>
      </c>
      <c r="G3973" t="s">
        <v>121</v>
      </c>
      <c r="H3973" t="s">
        <v>104</v>
      </c>
      <c r="J3973">
        <v>0</v>
      </c>
      <c r="K3973">
        <v>1</v>
      </c>
      <c r="L3973">
        <v>113.9375</v>
      </c>
      <c r="M3973">
        <v>33.375507550000002</v>
      </c>
      <c r="N3973">
        <v>2.4262999999999999</v>
      </c>
      <c r="O3973">
        <v>0.40692159999999999</v>
      </c>
      <c r="P3973">
        <v>113.9375</v>
      </c>
      <c r="Q3973">
        <v>33.375507550000002</v>
      </c>
      <c r="R3973">
        <v>2.4262999999999999</v>
      </c>
      <c r="S3973">
        <v>0.40692159999999999</v>
      </c>
      <c r="T3973" t="s">
        <v>1019</v>
      </c>
      <c r="U3973">
        <v>0</v>
      </c>
    </row>
    <row r="3974" spans="1:21" x14ac:dyDescent="0.25">
      <c r="A3974" t="s">
        <v>36</v>
      </c>
      <c r="B3974" t="s">
        <v>941</v>
      </c>
      <c r="C3974">
        <v>16</v>
      </c>
      <c r="D3974" t="s">
        <v>37</v>
      </c>
      <c r="E3974" t="s">
        <v>95</v>
      </c>
      <c r="F3974" t="s">
        <v>104</v>
      </c>
      <c r="G3974" t="s">
        <v>121</v>
      </c>
      <c r="H3974" t="s">
        <v>111</v>
      </c>
      <c r="J3974">
        <v>0</v>
      </c>
      <c r="K3974">
        <v>1</v>
      </c>
      <c r="L3974">
        <v>113.9375</v>
      </c>
      <c r="M3974">
        <v>33.375507550000002</v>
      </c>
      <c r="N3974">
        <v>2.4262999999999999</v>
      </c>
      <c r="O3974">
        <v>0.40692159999999999</v>
      </c>
      <c r="P3974">
        <v>94.97142857</v>
      </c>
      <c r="Q3974">
        <v>24.31591813</v>
      </c>
      <c r="R3974">
        <v>0.122951111</v>
      </c>
      <c r="S3974">
        <v>0.39050790000000002</v>
      </c>
      <c r="T3974" t="s">
        <v>1019</v>
      </c>
      <c r="U3974">
        <v>2.303348889</v>
      </c>
    </row>
    <row r="3975" spans="1:21" x14ac:dyDescent="0.25">
      <c r="A3975" t="s">
        <v>36</v>
      </c>
      <c r="B3975" t="s">
        <v>941</v>
      </c>
      <c r="C3975">
        <v>17</v>
      </c>
      <c r="D3975" t="s">
        <v>37</v>
      </c>
      <c r="E3975" t="s">
        <v>95</v>
      </c>
      <c r="F3975" t="s">
        <v>104</v>
      </c>
      <c r="G3975" t="s">
        <v>121</v>
      </c>
      <c r="H3975" t="s">
        <v>162</v>
      </c>
      <c r="J3975">
        <v>0</v>
      </c>
      <c r="K3975">
        <v>1</v>
      </c>
      <c r="L3975">
        <v>113.9375</v>
      </c>
      <c r="M3975">
        <v>33.375507550000002</v>
      </c>
      <c r="N3975">
        <v>2.4262999999999999</v>
      </c>
      <c r="O3975">
        <v>0.40692159999999999</v>
      </c>
      <c r="P3975">
        <v>82.53846154</v>
      </c>
      <c r="Q3975">
        <v>35.660530039999998</v>
      </c>
      <c r="R3975">
        <v>3.3754499999999998</v>
      </c>
      <c r="S3975" t="s">
        <v>114</v>
      </c>
      <c r="T3975" t="s">
        <v>1019</v>
      </c>
      <c r="U3975">
        <v>0.94915000000000005</v>
      </c>
    </row>
    <row r="3976" spans="1:21" x14ac:dyDescent="0.25">
      <c r="A3976" t="s">
        <v>38</v>
      </c>
      <c r="B3976" t="s">
        <v>942</v>
      </c>
      <c r="C3976">
        <v>2</v>
      </c>
      <c r="D3976" t="s">
        <v>11</v>
      </c>
      <c r="E3976" t="s">
        <v>95</v>
      </c>
      <c r="F3976" t="s">
        <v>113</v>
      </c>
      <c r="G3976" t="s">
        <v>103</v>
      </c>
      <c r="H3976" t="s">
        <v>103</v>
      </c>
      <c r="J3976">
        <v>0</v>
      </c>
      <c r="K3976">
        <v>3</v>
      </c>
      <c r="L3976">
        <v>83.757575759999995</v>
      </c>
      <c r="M3976">
        <v>22.60997987</v>
      </c>
      <c r="N3976">
        <v>0.72884000000000004</v>
      </c>
      <c r="O3976">
        <v>0.21301339999999999</v>
      </c>
      <c r="P3976">
        <v>98.291666669999998</v>
      </c>
      <c r="Q3976">
        <v>30.315130790000001</v>
      </c>
      <c r="R3976">
        <v>5.0803484000000003E-2</v>
      </c>
      <c r="S3976">
        <v>0.42866070000000001</v>
      </c>
      <c r="T3976" t="s">
        <v>1019</v>
      </c>
      <c r="U3976">
        <v>0.67803651600000003</v>
      </c>
    </row>
    <row r="3977" spans="1:21" x14ac:dyDescent="0.25">
      <c r="A3977" t="s">
        <v>38</v>
      </c>
      <c r="B3977" t="s">
        <v>942</v>
      </c>
      <c r="C3977">
        <v>2</v>
      </c>
      <c r="D3977" t="s">
        <v>11</v>
      </c>
      <c r="E3977" t="s">
        <v>95</v>
      </c>
      <c r="F3977" t="s">
        <v>113</v>
      </c>
      <c r="G3977" t="s">
        <v>103</v>
      </c>
      <c r="H3977" t="s">
        <v>103</v>
      </c>
      <c r="J3977">
        <v>0</v>
      </c>
      <c r="K3977">
        <v>3</v>
      </c>
      <c r="L3977">
        <v>83.757575759999995</v>
      </c>
      <c r="M3977">
        <v>22.60997987</v>
      </c>
      <c r="N3977">
        <v>0.72884000000000004</v>
      </c>
      <c r="O3977">
        <v>0.21301339999999999</v>
      </c>
      <c r="P3977">
        <v>98.291666669999998</v>
      </c>
      <c r="Q3977">
        <v>30.315130790000001</v>
      </c>
      <c r="R3977">
        <v>5.0803484000000003E-2</v>
      </c>
      <c r="S3977">
        <v>0.42866070000000001</v>
      </c>
      <c r="T3977" t="s">
        <v>1019</v>
      </c>
      <c r="U3977">
        <v>0.67803651600000003</v>
      </c>
    </row>
    <row r="3978" spans="1:21" x14ac:dyDescent="0.25">
      <c r="A3978" t="s">
        <v>38</v>
      </c>
      <c r="B3978" t="s">
        <v>942</v>
      </c>
      <c r="C3978">
        <v>2</v>
      </c>
      <c r="D3978" t="s">
        <v>11</v>
      </c>
      <c r="E3978" t="s">
        <v>95</v>
      </c>
      <c r="F3978" t="s">
        <v>113</v>
      </c>
      <c r="G3978" t="s">
        <v>103</v>
      </c>
      <c r="H3978" t="s">
        <v>103</v>
      </c>
      <c r="J3978">
        <v>0</v>
      </c>
      <c r="K3978">
        <v>3</v>
      </c>
      <c r="L3978">
        <v>83.757575759999995</v>
      </c>
      <c r="M3978">
        <v>22.60997987</v>
      </c>
      <c r="N3978">
        <v>0.72884000000000004</v>
      </c>
      <c r="O3978">
        <v>0.21301339999999999</v>
      </c>
      <c r="P3978">
        <v>98.291666669999998</v>
      </c>
      <c r="Q3978">
        <v>30.315130790000001</v>
      </c>
      <c r="R3978">
        <v>5.0803484000000003E-2</v>
      </c>
      <c r="S3978">
        <v>0.42866070000000001</v>
      </c>
      <c r="T3978" t="s">
        <v>1019</v>
      </c>
      <c r="U3978">
        <v>0.67803651600000003</v>
      </c>
    </row>
    <row r="3979" spans="1:21" x14ac:dyDescent="0.25">
      <c r="A3979" t="s">
        <v>38</v>
      </c>
      <c r="B3979" t="s">
        <v>943</v>
      </c>
      <c r="C3979">
        <v>2</v>
      </c>
      <c r="D3979" t="s">
        <v>11</v>
      </c>
      <c r="E3979" t="s">
        <v>95</v>
      </c>
      <c r="F3979" t="s">
        <v>103</v>
      </c>
      <c r="G3979" t="s">
        <v>103</v>
      </c>
      <c r="H3979" t="s">
        <v>103</v>
      </c>
      <c r="J3979">
        <v>0</v>
      </c>
      <c r="K3979">
        <v>7</v>
      </c>
      <c r="L3979">
        <v>98.291666669999998</v>
      </c>
      <c r="M3979">
        <v>30.315130790000001</v>
      </c>
      <c r="N3979">
        <v>5.0803484000000003E-2</v>
      </c>
      <c r="O3979">
        <v>0.42866070000000001</v>
      </c>
      <c r="P3979">
        <v>98.291666669999998</v>
      </c>
      <c r="Q3979">
        <v>30.315130790000001</v>
      </c>
      <c r="R3979">
        <v>5.0803484000000003E-2</v>
      </c>
      <c r="S3979">
        <v>0.42866070000000001</v>
      </c>
      <c r="T3979" t="s">
        <v>1019</v>
      </c>
      <c r="U3979">
        <v>0</v>
      </c>
    </row>
    <row r="3980" spans="1:21" x14ac:dyDescent="0.25">
      <c r="A3980" t="s">
        <v>38</v>
      </c>
      <c r="B3980" t="s">
        <v>943</v>
      </c>
      <c r="C3980">
        <v>2</v>
      </c>
      <c r="D3980" t="s">
        <v>11</v>
      </c>
      <c r="E3980" t="s">
        <v>95</v>
      </c>
      <c r="F3980" t="s">
        <v>103</v>
      </c>
      <c r="G3980" t="s">
        <v>103</v>
      </c>
      <c r="H3980" t="s">
        <v>103</v>
      </c>
      <c r="J3980">
        <v>0</v>
      </c>
      <c r="K3980">
        <v>7</v>
      </c>
      <c r="L3980">
        <v>98.291666669999998</v>
      </c>
      <c r="M3980">
        <v>30.315130790000001</v>
      </c>
      <c r="N3980">
        <v>5.0803484000000003E-2</v>
      </c>
      <c r="O3980">
        <v>0.42866070000000001</v>
      </c>
      <c r="P3980">
        <v>98.291666669999998</v>
      </c>
      <c r="Q3980">
        <v>30.315130790000001</v>
      </c>
      <c r="R3980">
        <v>5.0803484000000003E-2</v>
      </c>
      <c r="S3980">
        <v>0.42866070000000001</v>
      </c>
      <c r="T3980" t="s">
        <v>1019</v>
      </c>
      <c r="U3980">
        <v>0</v>
      </c>
    </row>
    <row r="3981" spans="1:21" x14ac:dyDescent="0.25">
      <c r="A3981" t="s">
        <v>38</v>
      </c>
      <c r="B3981" t="s">
        <v>943</v>
      </c>
      <c r="C3981">
        <v>2</v>
      </c>
      <c r="D3981" t="s">
        <v>11</v>
      </c>
      <c r="E3981" t="s">
        <v>95</v>
      </c>
      <c r="F3981" t="s">
        <v>103</v>
      </c>
      <c r="G3981" t="s">
        <v>103</v>
      </c>
      <c r="H3981" t="s">
        <v>103</v>
      </c>
      <c r="J3981">
        <v>0</v>
      </c>
      <c r="K3981">
        <v>7</v>
      </c>
      <c r="L3981">
        <v>98.291666669999998</v>
      </c>
      <c r="M3981">
        <v>30.315130790000001</v>
      </c>
      <c r="N3981">
        <v>5.0803484000000003E-2</v>
      </c>
      <c r="O3981">
        <v>0.42866070000000001</v>
      </c>
      <c r="P3981">
        <v>98.291666669999998</v>
      </c>
      <c r="Q3981">
        <v>30.315130790000001</v>
      </c>
      <c r="R3981">
        <v>5.0803484000000003E-2</v>
      </c>
      <c r="S3981">
        <v>0.42866070000000001</v>
      </c>
      <c r="T3981" t="s">
        <v>1019</v>
      </c>
      <c r="U3981">
        <v>0</v>
      </c>
    </row>
    <row r="3982" spans="1:21" x14ac:dyDescent="0.25">
      <c r="A3982" t="s">
        <v>38</v>
      </c>
      <c r="B3982" t="s">
        <v>943</v>
      </c>
      <c r="C3982">
        <v>2</v>
      </c>
      <c r="D3982" t="s">
        <v>11</v>
      </c>
      <c r="E3982" t="s">
        <v>95</v>
      </c>
      <c r="F3982" t="s">
        <v>103</v>
      </c>
      <c r="G3982" t="s">
        <v>103</v>
      </c>
      <c r="H3982" t="s">
        <v>103</v>
      </c>
      <c r="J3982">
        <v>0</v>
      </c>
      <c r="K3982">
        <v>7</v>
      </c>
      <c r="L3982">
        <v>98.291666669999998</v>
      </c>
      <c r="M3982">
        <v>30.315130790000001</v>
      </c>
      <c r="N3982">
        <v>5.0803484000000003E-2</v>
      </c>
      <c r="O3982">
        <v>0.42866070000000001</v>
      </c>
      <c r="P3982">
        <v>98.291666669999998</v>
      </c>
      <c r="Q3982">
        <v>30.315130790000001</v>
      </c>
      <c r="R3982">
        <v>5.0803484000000003E-2</v>
      </c>
      <c r="S3982">
        <v>0.42866070000000001</v>
      </c>
      <c r="T3982" t="s">
        <v>1019</v>
      </c>
      <c r="U3982">
        <v>0</v>
      </c>
    </row>
    <row r="3983" spans="1:21" x14ac:dyDescent="0.25">
      <c r="A3983" t="s">
        <v>38</v>
      </c>
      <c r="B3983" t="s">
        <v>943</v>
      </c>
      <c r="C3983">
        <v>2</v>
      </c>
      <c r="D3983" t="s">
        <v>11</v>
      </c>
      <c r="E3983" t="s">
        <v>95</v>
      </c>
      <c r="F3983" t="s">
        <v>103</v>
      </c>
      <c r="G3983" t="s">
        <v>103</v>
      </c>
      <c r="H3983" t="s">
        <v>103</v>
      </c>
      <c r="J3983">
        <v>0</v>
      </c>
      <c r="K3983">
        <v>7</v>
      </c>
      <c r="L3983">
        <v>98.291666669999998</v>
      </c>
      <c r="M3983">
        <v>30.315130790000001</v>
      </c>
      <c r="N3983">
        <v>5.0803484000000003E-2</v>
      </c>
      <c r="O3983">
        <v>0.42866070000000001</v>
      </c>
      <c r="P3983">
        <v>98.291666669999998</v>
      </c>
      <c r="Q3983">
        <v>30.315130790000001</v>
      </c>
      <c r="R3983">
        <v>5.0803484000000003E-2</v>
      </c>
      <c r="S3983">
        <v>0.42866070000000001</v>
      </c>
      <c r="T3983" t="s">
        <v>1019</v>
      </c>
      <c r="U3983">
        <v>0</v>
      </c>
    </row>
    <row r="3984" spans="1:21" x14ac:dyDescent="0.25">
      <c r="A3984" t="s">
        <v>38</v>
      </c>
      <c r="B3984" t="s">
        <v>943</v>
      </c>
      <c r="C3984">
        <v>2</v>
      </c>
      <c r="D3984" t="s">
        <v>11</v>
      </c>
      <c r="E3984" t="s">
        <v>95</v>
      </c>
      <c r="F3984" t="s">
        <v>103</v>
      </c>
      <c r="G3984" t="s">
        <v>103</v>
      </c>
      <c r="H3984" t="s">
        <v>103</v>
      </c>
      <c r="J3984">
        <v>0</v>
      </c>
      <c r="K3984">
        <v>7</v>
      </c>
      <c r="L3984">
        <v>98.291666669999998</v>
      </c>
      <c r="M3984">
        <v>30.315130790000001</v>
      </c>
      <c r="N3984">
        <v>5.0803484000000003E-2</v>
      </c>
      <c r="O3984">
        <v>0.42866070000000001</v>
      </c>
      <c r="P3984">
        <v>98.291666669999998</v>
      </c>
      <c r="Q3984">
        <v>30.315130790000001</v>
      </c>
      <c r="R3984">
        <v>5.0803484000000003E-2</v>
      </c>
      <c r="S3984">
        <v>0.42866070000000001</v>
      </c>
      <c r="T3984" t="s">
        <v>1019</v>
      </c>
      <c r="U3984">
        <v>0</v>
      </c>
    </row>
    <row r="3985" spans="1:21" x14ac:dyDescent="0.25">
      <c r="A3985" t="s">
        <v>38</v>
      </c>
      <c r="B3985" t="s">
        <v>943</v>
      </c>
      <c r="C3985">
        <v>2</v>
      </c>
      <c r="D3985" t="s">
        <v>11</v>
      </c>
      <c r="E3985" t="s">
        <v>95</v>
      </c>
      <c r="F3985" t="s">
        <v>103</v>
      </c>
      <c r="G3985" t="s">
        <v>103</v>
      </c>
      <c r="H3985" t="s">
        <v>103</v>
      </c>
      <c r="J3985">
        <v>0</v>
      </c>
      <c r="K3985">
        <v>7</v>
      </c>
      <c r="L3985">
        <v>98.291666669999998</v>
      </c>
      <c r="M3985">
        <v>30.315130790000001</v>
      </c>
      <c r="N3985">
        <v>5.0803484000000003E-2</v>
      </c>
      <c r="O3985">
        <v>0.42866070000000001</v>
      </c>
      <c r="P3985">
        <v>98.291666669999998</v>
      </c>
      <c r="Q3985">
        <v>30.315130790000001</v>
      </c>
      <c r="R3985">
        <v>5.0803484000000003E-2</v>
      </c>
      <c r="S3985">
        <v>0.42866070000000001</v>
      </c>
      <c r="T3985" t="s">
        <v>1019</v>
      </c>
      <c r="U3985">
        <v>0</v>
      </c>
    </row>
    <row r="3986" spans="1:21" x14ac:dyDescent="0.25">
      <c r="A3986" t="s">
        <v>38</v>
      </c>
      <c r="B3986" t="s">
        <v>943</v>
      </c>
      <c r="C3986">
        <v>2</v>
      </c>
      <c r="D3986" t="s">
        <v>11</v>
      </c>
      <c r="E3986" t="s">
        <v>95</v>
      </c>
      <c r="F3986" t="s">
        <v>103</v>
      </c>
      <c r="G3986" t="s">
        <v>103</v>
      </c>
      <c r="H3986" t="s">
        <v>113</v>
      </c>
      <c r="J3986">
        <v>0</v>
      </c>
      <c r="K3986">
        <v>2</v>
      </c>
      <c r="L3986">
        <v>98.291666669999998</v>
      </c>
      <c r="M3986">
        <v>30.315130790000001</v>
      </c>
      <c r="N3986">
        <v>5.0803484000000003E-2</v>
      </c>
      <c r="O3986">
        <v>0.42866070000000001</v>
      </c>
      <c r="P3986">
        <v>83.757575759999995</v>
      </c>
      <c r="Q3986">
        <v>22.60997987</v>
      </c>
      <c r="R3986">
        <v>0.72884000000000004</v>
      </c>
      <c r="S3986">
        <v>0.21301339999999999</v>
      </c>
      <c r="T3986" t="s">
        <v>1019</v>
      </c>
      <c r="U3986">
        <v>0.67803651600000003</v>
      </c>
    </row>
    <row r="3987" spans="1:21" x14ac:dyDescent="0.25">
      <c r="A3987" t="s">
        <v>38</v>
      </c>
      <c r="B3987" t="s">
        <v>943</v>
      </c>
      <c r="C3987">
        <v>2</v>
      </c>
      <c r="D3987" t="s">
        <v>11</v>
      </c>
      <c r="E3987" t="s">
        <v>95</v>
      </c>
      <c r="F3987" t="s">
        <v>103</v>
      </c>
      <c r="G3987" t="s">
        <v>103</v>
      </c>
      <c r="H3987" t="s">
        <v>113</v>
      </c>
      <c r="J3987">
        <v>0</v>
      </c>
      <c r="K3987">
        <v>2</v>
      </c>
      <c r="L3987">
        <v>98.291666669999998</v>
      </c>
      <c r="M3987">
        <v>30.315130790000001</v>
      </c>
      <c r="N3987">
        <v>5.0803484000000003E-2</v>
      </c>
      <c r="O3987">
        <v>0.42866070000000001</v>
      </c>
      <c r="P3987">
        <v>83.757575759999995</v>
      </c>
      <c r="Q3987">
        <v>22.60997987</v>
      </c>
      <c r="R3987">
        <v>0.72884000000000004</v>
      </c>
      <c r="S3987">
        <v>0.21301339999999999</v>
      </c>
      <c r="T3987" t="s">
        <v>1019</v>
      </c>
      <c r="U3987">
        <v>0.67803651600000003</v>
      </c>
    </row>
    <row r="3988" spans="1:21" x14ac:dyDescent="0.25">
      <c r="A3988" t="s">
        <v>38</v>
      </c>
      <c r="B3988" t="s">
        <v>944</v>
      </c>
      <c r="C3988">
        <v>2</v>
      </c>
      <c r="D3988" t="s">
        <v>11</v>
      </c>
      <c r="E3988" t="s">
        <v>95</v>
      </c>
      <c r="F3988" t="s">
        <v>111</v>
      </c>
      <c r="G3988" t="s">
        <v>103</v>
      </c>
      <c r="H3988" t="s">
        <v>103</v>
      </c>
      <c r="J3988">
        <v>0</v>
      </c>
      <c r="K3988">
        <v>2</v>
      </c>
      <c r="L3988">
        <v>94.97142857</v>
      </c>
      <c r="M3988">
        <v>24.31591813</v>
      </c>
      <c r="N3988">
        <v>0.122951111</v>
      </c>
      <c r="O3988">
        <v>0.39050790000000002</v>
      </c>
      <c r="P3988">
        <v>98.291666669999998</v>
      </c>
      <c r="Q3988">
        <v>30.315130790000001</v>
      </c>
      <c r="R3988">
        <v>5.0803484000000003E-2</v>
      </c>
      <c r="S3988">
        <v>0.42866070000000001</v>
      </c>
      <c r="T3988" t="s">
        <v>1019</v>
      </c>
      <c r="U3988">
        <v>7.2147627000000006E-2</v>
      </c>
    </row>
    <row r="3989" spans="1:21" x14ac:dyDescent="0.25">
      <c r="A3989" t="s">
        <v>38</v>
      </c>
      <c r="B3989" t="s">
        <v>944</v>
      </c>
      <c r="C3989">
        <v>2</v>
      </c>
      <c r="D3989" t="s">
        <v>11</v>
      </c>
      <c r="E3989" t="s">
        <v>95</v>
      </c>
      <c r="F3989" t="s">
        <v>111</v>
      </c>
      <c r="G3989" t="s">
        <v>103</v>
      </c>
      <c r="H3989" t="s">
        <v>103</v>
      </c>
      <c r="J3989">
        <v>0</v>
      </c>
      <c r="K3989">
        <v>2</v>
      </c>
      <c r="L3989">
        <v>94.97142857</v>
      </c>
      <c r="M3989">
        <v>24.31591813</v>
      </c>
      <c r="N3989">
        <v>0.122951111</v>
      </c>
      <c r="O3989">
        <v>0.39050790000000002</v>
      </c>
      <c r="P3989">
        <v>98.291666669999998</v>
      </c>
      <c r="Q3989">
        <v>30.315130790000001</v>
      </c>
      <c r="R3989">
        <v>5.0803484000000003E-2</v>
      </c>
      <c r="S3989">
        <v>0.42866070000000001</v>
      </c>
      <c r="T3989" t="s">
        <v>1019</v>
      </c>
      <c r="U3989">
        <v>7.2147627000000006E-2</v>
      </c>
    </row>
    <row r="3990" spans="1:21" x14ac:dyDescent="0.25">
      <c r="A3990" t="s">
        <v>39</v>
      </c>
      <c r="B3990" t="s">
        <v>945</v>
      </c>
      <c r="C3990">
        <v>2</v>
      </c>
      <c r="D3990" t="s">
        <v>15</v>
      </c>
      <c r="E3990" t="s">
        <v>94</v>
      </c>
      <c r="F3990" t="s">
        <v>102</v>
      </c>
      <c r="G3990" t="s">
        <v>102</v>
      </c>
      <c r="H3990" t="s">
        <v>235</v>
      </c>
      <c r="J3990">
        <v>0</v>
      </c>
      <c r="K3990">
        <v>1</v>
      </c>
      <c r="L3990">
        <v>84.740740740000007</v>
      </c>
      <c r="M3990">
        <v>29.167014049999999</v>
      </c>
      <c r="N3990">
        <v>1.1169849999999999</v>
      </c>
      <c r="O3990">
        <v>1.1571499000000001</v>
      </c>
      <c r="P3990">
        <v>132.27272730000001</v>
      </c>
      <c r="Q3990">
        <v>20.180448590000001</v>
      </c>
      <c r="R3990">
        <v>3.7813451999999997E-2</v>
      </c>
      <c r="S3990">
        <v>0.41404401000000002</v>
      </c>
      <c r="T3990" t="s">
        <v>1019</v>
      </c>
      <c r="U3990">
        <v>1.0791715479999999</v>
      </c>
    </row>
    <row r="3991" spans="1:21" x14ac:dyDescent="0.25">
      <c r="A3991" t="s">
        <v>39</v>
      </c>
      <c r="B3991" t="s">
        <v>945</v>
      </c>
      <c r="C3991">
        <v>2</v>
      </c>
      <c r="D3991" t="s">
        <v>15</v>
      </c>
      <c r="E3991" t="s">
        <v>94</v>
      </c>
      <c r="F3991" t="s">
        <v>102</v>
      </c>
      <c r="G3991" t="s">
        <v>102</v>
      </c>
      <c r="H3991" t="s">
        <v>113</v>
      </c>
      <c r="J3991">
        <v>0</v>
      </c>
      <c r="K3991">
        <v>2</v>
      </c>
      <c r="L3991">
        <v>84.740740740000007</v>
      </c>
      <c r="M3991">
        <v>29.167014049999999</v>
      </c>
      <c r="N3991">
        <v>1.1169849999999999</v>
      </c>
      <c r="O3991">
        <v>1.1571499000000001</v>
      </c>
      <c r="P3991">
        <v>83.757575759999995</v>
      </c>
      <c r="Q3991">
        <v>22.60997987</v>
      </c>
      <c r="R3991">
        <v>0.72884000000000004</v>
      </c>
      <c r="S3991">
        <v>0.21301339999999999</v>
      </c>
      <c r="T3991" t="s">
        <v>1019</v>
      </c>
      <c r="U3991">
        <v>0.38814500000000002</v>
      </c>
    </row>
    <row r="3992" spans="1:21" x14ac:dyDescent="0.25">
      <c r="A3992" t="s">
        <v>39</v>
      </c>
      <c r="B3992" t="s">
        <v>945</v>
      </c>
      <c r="C3992">
        <v>2</v>
      </c>
      <c r="D3992" t="s">
        <v>15</v>
      </c>
      <c r="E3992" t="s">
        <v>94</v>
      </c>
      <c r="F3992" t="s">
        <v>102</v>
      </c>
      <c r="G3992" t="s">
        <v>102</v>
      </c>
      <c r="H3992" t="s">
        <v>113</v>
      </c>
      <c r="J3992">
        <v>0</v>
      </c>
      <c r="K3992">
        <v>2</v>
      </c>
      <c r="L3992">
        <v>84.740740740000007</v>
      </c>
      <c r="M3992">
        <v>29.167014049999999</v>
      </c>
      <c r="N3992">
        <v>1.1169849999999999</v>
      </c>
      <c r="O3992">
        <v>1.1571499000000001</v>
      </c>
      <c r="P3992">
        <v>83.757575759999995</v>
      </c>
      <c r="Q3992">
        <v>22.60997987</v>
      </c>
      <c r="R3992">
        <v>0.72884000000000004</v>
      </c>
      <c r="S3992">
        <v>0.21301339999999999</v>
      </c>
      <c r="T3992" t="s">
        <v>1019</v>
      </c>
      <c r="U3992">
        <v>0.38814500000000002</v>
      </c>
    </row>
    <row r="3993" spans="1:21" x14ac:dyDescent="0.25">
      <c r="A3993" t="s">
        <v>39</v>
      </c>
      <c r="B3993" t="s">
        <v>945</v>
      </c>
      <c r="C3993">
        <v>2</v>
      </c>
      <c r="D3993" t="s">
        <v>15</v>
      </c>
      <c r="E3993" t="s">
        <v>94</v>
      </c>
      <c r="F3993" t="s">
        <v>102</v>
      </c>
      <c r="G3993" t="s">
        <v>102</v>
      </c>
      <c r="H3993" t="s">
        <v>103</v>
      </c>
      <c r="J3993">
        <v>0</v>
      </c>
      <c r="K3993">
        <v>3</v>
      </c>
      <c r="L3993">
        <v>84.740740740000007</v>
      </c>
      <c r="M3993">
        <v>29.167014049999999</v>
      </c>
      <c r="N3993">
        <v>1.1169849999999999</v>
      </c>
      <c r="O3993">
        <v>1.1571499000000001</v>
      </c>
      <c r="P3993">
        <v>98.291666669999998</v>
      </c>
      <c r="Q3993">
        <v>30.315130790000001</v>
      </c>
      <c r="R3993">
        <v>5.0803484000000003E-2</v>
      </c>
      <c r="S3993">
        <v>0.42866070000000001</v>
      </c>
      <c r="T3993" t="s">
        <v>1019</v>
      </c>
      <c r="U3993">
        <v>1.0661815160000001</v>
      </c>
    </row>
    <row r="3994" spans="1:21" x14ac:dyDescent="0.25">
      <c r="A3994" t="s">
        <v>39</v>
      </c>
      <c r="B3994" t="s">
        <v>945</v>
      </c>
      <c r="C3994">
        <v>2</v>
      </c>
      <c r="D3994" t="s">
        <v>15</v>
      </c>
      <c r="E3994" t="s">
        <v>94</v>
      </c>
      <c r="F3994" t="s">
        <v>102</v>
      </c>
      <c r="G3994" t="s">
        <v>102</v>
      </c>
      <c r="H3994" t="s">
        <v>103</v>
      </c>
      <c r="J3994">
        <v>0</v>
      </c>
      <c r="K3994">
        <v>3</v>
      </c>
      <c r="L3994">
        <v>84.740740740000007</v>
      </c>
      <c r="M3994">
        <v>29.167014049999999</v>
      </c>
      <c r="N3994">
        <v>1.1169849999999999</v>
      </c>
      <c r="O3994">
        <v>1.1571499000000001</v>
      </c>
      <c r="P3994">
        <v>98.291666669999998</v>
      </c>
      <c r="Q3994">
        <v>30.315130790000001</v>
      </c>
      <c r="R3994">
        <v>5.0803484000000003E-2</v>
      </c>
      <c r="S3994">
        <v>0.42866070000000001</v>
      </c>
      <c r="T3994" t="s">
        <v>1019</v>
      </c>
      <c r="U3994">
        <v>1.0661815160000001</v>
      </c>
    </row>
    <row r="3995" spans="1:21" x14ac:dyDescent="0.25">
      <c r="A3995" t="s">
        <v>39</v>
      </c>
      <c r="B3995" t="s">
        <v>945</v>
      </c>
      <c r="C3995">
        <v>2</v>
      </c>
      <c r="D3995" t="s">
        <v>15</v>
      </c>
      <c r="E3995" t="s">
        <v>94</v>
      </c>
      <c r="F3995" t="s">
        <v>102</v>
      </c>
      <c r="G3995" t="s">
        <v>102</v>
      </c>
      <c r="H3995" t="s">
        <v>103</v>
      </c>
      <c r="J3995">
        <v>0</v>
      </c>
      <c r="K3995">
        <v>3</v>
      </c>
      <c r="L3995">
        <v>84.740740740000007</v>
      </c>
      <c r="M3995">
        <v>29.167014049999999</v>
      </c>
      <c r="N3995">
        <v>1.1169849999999999</v>
      </c>
      <c r="O3995">
        <v>1.1571499000000001</v>
      </c>
      <c r="P3995">
        <v>98.291666669999998</v>
      </c>
      <c r="Q3995">
        <v>30.315130790000001</v>
      </c>
      <c r="R3995">
        <v>5.0803484000000003E-2</v>
      </c>
      <c r="S3995">
        <v>0.42866070000000001</v>
      </c>
      <c r="T3995" t="s">
        <v>1019</v>
      </c>
      <c r="U3995">
        <v>1.0661815160000001</v>
      </c>
    </row>
    <row r="3996" spans="1:21" x14ac:dyDescent="0.25">
      <c r="A3996" t="s">
        <v>39</v>
      </c>
      <c r="B3996" t="s">
        <v>945</v>
      </c>
      <c r="C3996">
        <v>2</v>
      </c>
      <c r="D3996" t="s">
        <v>15</v>
      </c>
      <c r="E3996" t="s">
        <v>94</v>
      </c>
      <c r="F3996" t="s">
        <v>102</v>
      </c>
      <c r="G3996" t="s">
        <v>102</v>
      </c>
      <c r="H3996" t="s">
        <v>233</v>
      </c>
      <c r="J3996">
        <v>0</v>
      </c>
      <c r="K3996">
        <v>1</v>
      </c>
      <c r="L3996">
        <v>84.740740740000007</v>
      </c>
      <c r="M3996">
        <v>29.167014049999999</v>
      </c>
      <c r="N3996">
        <v>1.1169849999999999</v>
      </c>
      <c r="O3996">
        <v>1.1571499000000001</v>
      </c>
      <c r="P3996">
        <v>106.0540541</v>
      </c>
      <c r="Q3996">
        <v>52.690533369999997</v>
      </c>
      <c r="R3996">
        <v>7.6058968000000005E-2</v>
      </c>
      <c r="S3996">
        <v>0.44888888999999998</v>
      </c>
      <c r="T3996" t="s">
        <v>1019</v>
      </c>
      <c r="U3996">
        <v>1.040926032</v>
      </c>
    </row>
    <row r="3997" spans="1:21" x14ac:dyDescent="0.25">
      <c r="A3997" t="s">
        <v>39</v>
      </c>
      <c r="B3997" t="s">
        <v>945</v>
      </c>
      <c r="C3997">
        <v>2</v>
      </c>
      <c r="D3997" t="s">
        <v>15</v>
      </c>
      <c r="E3997" t="s">
        <v>94</v>
      </c>
      <c r="F3997" t="s">
        <v>102</v>
      </c>
      <c r="G3997" t="s">
        <v>102</v>
      </c>
      <c r="H3997" t="s">
        <v>104</v>
      </c>
      <c r="J3997">
        <v>0</v>
      </c>
      <c r="K3997">
        <v>1</v>
      </c>
      <c r="L3997">
        <v>84.740740740000007</v>
      </c>
      <c r="M3997">
        <v>29.167014049999999</v>
      </c>
      <c r="N3997">
        <v>1.1169849999999999</v>
      </c>
      <c r="O3997">
        <v>1.1571499000000001</v>
      </c>
      <c r="P3997">
        <v>113.9375</v>
      </c>
      <c r="Q3997">
        <v>33.375507550000002</v>
      </c>
      <c r="R3997">
        <v>2.4262999999999999</v>
      </c>
      <c r="S3997">
        <v>0.40692159999999999</v>
      </c>
      <c r="T3997" t="s">
        <v>1019</v>
      </c>
      <c r="U3997">
        <v>1.309315</v>
      </c>
    </row>
    <row r="3998" spans="1:21" x14ac:dyDescent="0.25">
      <c r="A3998" t="s">
        <v>39</v>
      </c>
      <c r="B3998" t="s">
        <v>946</v>
      </c>
      <c r="C3998">
        <v>2</v>
      </c>
      <c r="D3998" t="s">
        <v>15</v>
      </c>
      <c r="E3998" t="s">
        <v>94</v>
      </c>
      <c r="F3998" t="s">
        <v>113</v>
      </c>
      <c r="G3998" t="s">
        <v>113</v>
      </c>
      <c r="H3998" t="s">
        <v>113</v>
      </c>
      <c r="J3998">
        <v>0</v>
      </c>
      <c r="K3998">
        <v>5</v>
      </c>
      <c r="L3998">
        <v>83.757575759999995</v>
      </c>
      <c r="M3998">
        <v>22.60997987</v>
      </c>
      <c r="N3998">
        <v>0.72884000000000004</v>
      </c>
      <c r="O3998">
        <v>0.21301339999999999</v>
      </c>
      <c r="P3998">
        <v>83.757575759999995</v>
      </c>
      <c r="Q3998">
        <v>22.60997987</v>
      </c>
      <c r="R3998">
        <v>0.72884000000000004</v>
      </c>
      <c r="S3998">
        <v>0.21301339999999999</v>
      </c>
      <c r="T3998" t="s">
        <v>1019</v>
      </c>
      <c r="U3998">
        <v>0</v>
      </c>
    </row>
    <row r="3999" spans="1:21" x14ac:dyDescent="0.25">
      <c r="A3999" t="s">
        <v>39</v>
      </c>
      <c r="B3999" t="s">
        <v>946</v>
      </c>
      <c r="C3999">
        <v>2</v>
      </c>
      <c r="D3999" t="s">
        <v>15</v>
      </c>
      <c r="E3999" t="s">
        <v>94</v>
      </c>
      <c r="F3999" t="s">
        <v>113</v>
      </c>
      <c r="G3999" t="s">
        <v>113</v>
      </c>
      <c r="H3999" t="s">
        <v>113</v>
      </c>
      <c r="J3999">
        <v>0</v>
      </c>
      <c r="K3999">
        <v>5</v>
      </c>
      <c r="L3999">
        <v>83.757575759999995</v>
      </c>
      <c r="M3999">
        <v>22.60997987</v>
      </c>
      <c r="N3999">
        <v>0.72884000000000004</v>
      </c>
      <c r="O3999">
        <v>0.21301339999999999</v>
      </c>
      <c r="P3999">
        <v>83.757575759999995</v>
      </c>
      <c r="Q3999">
        <v>22.60997987</v>
      </c>
      <c r="R3999">
        <v>0.72884000000000004</v>
      </c>
      <c r="S3999">
        <v>0.21301339999999999</v>
      </c>
      <c r="T3999" t="s">
        <v>1019</v>
      </c>
      <c r="U3999">
        <v>0</v>
      </c>
    </row>
    <row r="4000" spans="1:21" x14ac:dyDescent="0.25">
      <c r="A4000" t="s">
        <v>39</v>
      </c>
      <c r="B4000" t="s">
        <v>946</v>
      </c>
      <c r="C4000">
        <v>2</v>
      </c>
      <c r="D4000" t="s">
        <v>15</v>
      </c>
      <c r="E4000" t="s">
        <v>94</v>
      </c>
      <c r="F4000" t="s">
        <v>113</v>
      </c>
      <c r="G4000" t="s">
        <v>113</v>
      </c>
      <c r="H4000" t="s">
        <v>113</v>
      </c>
      <c r="J4000">
        <v>0</v>
      </c>
      <c r="K4000">
        <v>5</v>
      </c>
      <c r="L4000">
        <v>83.757575759999995</v>
      </c>
      <c r="M4000">
        <v>22.60997987</v>
      </c>
      <c r="N4000">
        <v>0.72884000000000004</v>
      </c>
      <c r="O4000">
        <v>0.21301339999999999</v>
      </c>
      <c r="P4000">
        <v>83.757575759999995</v>
      </c>
      <c r="Q4000">
        <v>22.60997987</v>
      </c>
      <c r="R4000">
        <v>0.72884000000000004</v>
      </c>
      <c r="S4000">
        <v>0.21301339999999999</v>
      </c>
      <c r="T4000" t="s">
        <v>1019</v>
      </c>
      <c r="U4000">
        <v>0</v>
      </c>
    </row>
    <row r="4001" spans="1:21" x14ac:dyDescent="0.25">
      <c r="A4001" t="s">
        <v>39</v>
      </c>
      <c r="B4001" t="s">
        <v>946</v>
      </c>
      <c r="C4001">
        <v>2</v>
      </c>
      <c r="D4001" t="s">
        <v>15</v>
      </c>
      <c r="E4001" t="s">
        <v>94</v>
      </c>
      <c r="F4001" t="s">
        <v>113</v>
      </c>
      <c r="G4001" t="s">
        <v>113</v>
      </c>
      <c r="H4001" t="s">
        <v>113</v>
      </c>
      <c r="J4001">
        <v>0</v>
      </c>
      <c r="K4001">
        <v>5</v>
      </c>
      <c r="L4001">
        <v>83.757575759999995</v>
      </c>
      <c r="M4001">
        <v>22.60997987</v>
      </c>
      <c r="N4001">
        <v>0.72884000000000004</v>
      </c>
      <c r="O4001">
        <v>0.21301339999999999</v>
      </c>
      <c r="P4001">
        <v>83.757575759999995</v>
      </c>
      <c r="Q4001">
        <v>22.60997987</v>
      </c>
      <c r="R4001">
        <v>0.72884000000000004</v>
      </c>
      <c r="S4001">
        <v>0.21301339999999999</v>
      </c>
      <c r="T4001" t="s">
        <v>1019</v>
      </c>
      <c r="U4001">
        <v>0</v>
      </c>
    </row>
    <row r="4002" spans="1:21" x14ac:dyDescent="0.25">
      <c r="A4002" t="s">
        <v>39</v>
      </c>
      <c r="B4002" t="s">
        <v>946</v>
      </c>
      <c r="C4002">
        <v>2</v>
      </c>
      <c r="D4002" t="s">
        <v>15</v>
      </c>
      <c r="E4002" t="s">
        <v>94</v>
      </c>
      <c r="F4002" t="s">
        <v>113</v>
      </c>
      <c r="G4002" t="s">
        <v>113</v>
      </c>
      <c r="H4002" t="s">
        <v>113</v>
      </c>
      <c r="J4002">
        <v>0</v>
      </c>
      <c r="K4002">
        <v>5</v>
      </c>
      <c r="L4002">
        <v>83.757575759999995</v>
      </c>
      <c r="M4002">
        <v>22.60997987</v>
      </c>
      <c r="N4002">
        <v>0.72884000000000004</v>
      </c>
      <c r="O4002">
        <v>0.21301339999999999</v>
      </c>
      <c r="P4002">
        <v>83.757575759999995</v>
      </c>
      <c r="Q4002">
        <v>22.60997987</v>
      </c>
      <c r="R4002">
        <v>0.72884000000000004</v>
      </c>
      <c r="S4002">
        <v>0.21301339999999999</v>
      </c>
      <c r="T4002" t="s">
        <v>1019</v>
      </c>
      <c r="U4002">
        <v>0</v>
      </c>
    </row>
    <row r="4003" spans="1:21" x14ac:dyDescent="0.25">
      <c r="A4003" t="s">
        <v>39</v>
      </c>
      <c r="B4003" t="s">
        <v>946</v>
      </c>
      <c r="C4003">
        <v>2</v>
      </c>
      <c r="D4003" t="s">
        <v>15</v>
      </c>
      <c r="E4003" t="s">
        <v>94</v>
      </c>
      <c r="F4003" t="s">
        <v>113</v>
      </c>
      <c r="G4003" t="s">
        <v>113</v>
      </c>
      <c r="H4003" t="s">
        <v>233</v>
      </c>
      <c r="J4003">
        <v>0</v>
      </c>
      <c r="K4003">
        <v>4</v>
      </c>
      <c r="L4003">
        <v>83.757575759999995</v>
      </c>
      <c r="M4003">
        <v>22.60997987</v>
      </c>
      <c r="N4003">
        <v>0.72884000000000004</v>
      </c>
      <c r="O4003">
        <v>0.21301339999999999</v>
      </c>
      <c r="P4003">
        <v>106.0540541</v>
      </c>
      <c r="Q4003">
        <v>52.690533369999997</v>
      </c>
      <c r="R4003">
        <v>7.6058968000000005E-2</v>
      </c>
      <c r="S4003">
        <v>0.44888888999999998</v>
      </c>
      <c r="T4003" t="s">
        <v>1019</v>
      </c>
      <c r="U4003">
        <v>0.65278103200000004</v>
      </c>
    </row>
    <row r="4004" spans="1:21" x14ac:dyDescent="0.25">
      <c r="A4004" t="s">
        <v>39</v>
      </c>
      <c r="B4004" t="s">
        <v>946</v>
      </c>
      <c r="C4004">
        <v>2</v>
      </c>
      <c r="D4004" t="s">
        <v>15</v>
      </c>
      <c r="E4004" t="s">
        <v>94</v>
      </c>
      <c r="F4004" t="s">
        <v>113</v>
      </c>
      <c r="G4004" t="s">
        <v>113</v>
      </c>
      <c r="H4004" t="s">
        <v>233</v>
      </c>
      <c r="J4004">
        <v>0</v>
      </c>
      <c r="K4004">
        <v>4</v>
      </c>
      <c r="L4004">
        <v>83.757575759999995</v>
      </c>
      <c r="M4004">
        <v>22.60997987</v>
      </c>
      <c r="N4004">
        <v>0.72884000000000004</v>
      </c>
      <c r="O4004">
        <v>0.21301339999999999</v>
      </c>
      <c r="P4004">
        <v>106.0540541</v>
      </c>
      <c r="Q4004">
        <v>52.690533369999997</v>
      </c>
      <c r="R4004">
        <v>7.6058968000000005E-2</v>
      </c>
      <c r="S4004">
        <v>0.44888888999999998</v>
      </c>
      <c r="T4004" t="s">
        <v>1019</v>
      </c>
      <c r="U4004">
        <v>0.65278103200000004</v>
      </c>
    </row>
    <row r="4005" spans="1:21" x14ac:dyDescent="0.25">
      <c r="A4005" t="s">
        <v>39</v>
      </c>
      <c r="B4005" t="s">
        <v>946</v>
      </c>
      <c r="C4005">
        <v>2</v>
      </c>
      <c r="D4005" t="s">
        <v>15</v>
      </c>
      <c r="E4005" t="s">
        <v>94</v>
      </c>
      <c r="F4005" t="s">
        <v>113</v>
      </c>
      <c r="G4005" t="s">
        <v>113</v>
      </c>
      <c r="H4005" t="s">
        <v>233</v>
      </c>
      <c r="J4005">
        <v>0</v>
      </c>
      <c r="K4005">
        <v>4</v>
      </c>
      <c r="L4005">
        <v>83.757575759999995</v>
      </c>
      <c r="M4005">
        <v>22.60997987</v>
      </c>
      <c r="N4005">
        <v>0.72884000000000004</v>
      </c>
      <c r="O4005">
        <v>0.21301339999999999</v>
      </c>
      <c r="P4005">
        <v>106.0540541</v>
      </c>
      <c r="Q4005">
        <v>52.690533369999997</v>
      </c>
      <c r="R4005">
        <v>7.6058968000000005E-2</v>
      </c>
      <c r="S4005">
        <v>0.44888888999999998</v>
      </c>
      <c r="T4005" t="s">
        <v>1019</v>
      </c>
      <c r="U4005">
        <v>0.65278103200000004</v>
      </c>
    </row>
    <row r="4006" spans="1:21" x14ac:dyDescent="0.25">
      <c r="A4006" t="s">
        <v>39</v>
      </c>
      <c r="B4006" t="s">
        <v>946</v>
      </c>
      <c r="C4006">
        <v>2</v>
      </c>
      <c r="D4006" t="s">
        <v>15</v>
      </c>
      <c r="E4006" t="s">
        <v>94</v>
      </c>
      <c r="F4006" t="s">
        <v>113</v>
      </c>
      <c r="G4006" t="s">
        <v>113</v>
      </c>
      <c r="H4006" t="s">
        <v>233</v>
      </c>
      <c r="J4006">
        <v>0</v>
      </c>
      <c r="K4006">
        <v>4</v>
      </c>
      <c r="L4006">
        <v>83.757575759999995</v>
      </c>
      <c r="M4006">
        <v>22.60997987</v>
      </c>
      <c r="N4006">
        <v>0.72884000000000004</v>
      </c>
      <c r="O4006">
        <v>0.21301339999999999</v>
      </c>
      <c r="P4006">
        <v>106.0540541</v>
      </c>
      <c r="Q4006">
        <v>52.690533369999997</v>
      </c>
      <c r="R4006">
        <v>7.6058968000000005E-2</v>
      </c>
      <c r="S4006">
        <v>0.44888888999999998</v>
      </c>
      <c r="T4006" t="s">
        <v>1019</v>
      </c>
      <c r="U4006">
        <v>0.65278103200000004</v>
      </c>
    </row>
    <row r="4007" spans="1:21" x14ac:dyDescent="0.25">
      <c r="A4007" t="s">
        <v>39</v>
      </c>
      <c r="B4007" t="s">
        <v>946</v>
      </c>
      <c r="C4007">
        <v>2</v>
      </c>
      <c r="D4007" t="s">
        <v>15</v>
      </c>
      <c r="E4007" t="s">
        <v>94</v>
      </c>
      <c r="F4007" t="s">
        <v>113</v>
      </c>
      <c r="G4007" t="s">
        <v>113</v>
      </c>
      <c r="H4007" t="s">
        <v>234</v>
      </c>
      <c r="J4007">
        <v>0</v>
      </c>
      <c r="K4007">
        <v>1</v>
      </c>
      <c r="L4007">
        <v>83.757575759999995</v>
      </c>
      <c r="M4007">
        <v>22.60997987</v>
      </c>
      <c r="N4007">
        <v>0.72884000000000004</v>
      </c>
      <c r="O4007">
        <v>0.21301339999999999</v>
      </c>
      <c r="P4007">
        <v>89.8125</v>
      </c>
      <c r="Q4007">
        <v>34.754706650000003</v>
      </c>
      <c r="R4007">
        <v>2.3065078999999999E-2</v>
      </c>
      <c r="S4007">
        <v>2.4791666700000001</v>
      </c>
      <c r="T4007" t="s">
        <v>1019</v>
      </c>
      <c r="U4007">
        <v>0.70577492100000006</v>
      </c>
    </row>
    <row r="4008" spans="1:21" x14ac:dyDescent="0.25">
      <c r="A4008" t="s">
        <v>39</v>
      </c>
      <c r="B4008" t="s">
        <v>947</v>
      </c>
      <c r="C4008">
        <v>2</v>
      </c>
      <c r="D4008" t="s">
        <v>15</v>
      </c>
      <c r="E4008" t="s">
        <v>94</v>
      </c>
      <c r="F4008" t="s">
        <v>103</v>
      </c>
      <c r="G4008" t="s">
        <v>103</v>
      </c>
      <c r="H4008" t="s">
        <v>103</v>
      </c>
      <c r="J4008">
        <v>0</v>
      </c>
      <c r="K4008">
        <v>3</v>
      </c>
      <c r="L4008">
        <v>98.291666669999998</v>
      </c>
      <c r="M4008">
        <v>30.315130790000001</v>
      </c>
      <c r="N4008">
        <v>5.0803484000000003E-2</v>
      </c>
      <c r="O4008">
        <v>0.42866070000000001</v>
      </c>
      <c r="P4008">
        <v>98.291666669999998</v>
      </c>
      <c r="Q4008">
        <v>30.315130790000001</v>
      </c>
      <c r="R4008">
        <v>5.0803484000000003E-2</v>
      </c>
      <c r="S4008">
        <v>0.42866070000000001</v>
      </c>
      <c r="T4008" t="s">
        <v>1019</v>
      </c>
      <c r="U4008">
        <v>0</v>
      </c>
    </row>
    <row r="4009" spans="1:21" x14ac:dyDescent="0.25">
      <c r="A4009" t="s">
        <v>39</v>
      </c>
      <c r="B4009" t="s">
        <v>947</v>
      </c>
      <c r="C4009">
        <v>2</v>
      </c>
      <c r="D4009" t="s">
        <v>15</v>
      </c>
      <c r="E4009" t="s">
        <v>94</v>
      </c>
      <c r="F4009" t="s">
        <v>103</v>
      </c>
      <c r="G4009" t="s">
        <v>103</v>
      </c>
      <c r="H4009" t="s">
        <v>103</v>
      </c>
      <c r="J4009">
        <v>0</v>
      </c>
      <c r="K4009">
        <v>3</v>
      </c>
      <c r="L4009">
        <v>98.291666669999998</v>
      </c>
      <c r="M4009">
        <v>30.315130790000001</v>
      </c>
      <c r="N4009">
        <v>5.0803484000000003E-2</v>
      </c>
      <c r="O4009">
        <v>0.42866070000000001</v>
      </c>
      <c r="P4009">
        <v>98.291666669999998</v>
      </c>
      <c r="Q4009">
        <v>30.315130790000001</v>
      </c>
      <c r="R4009">
        <v>5.0803484000000003E-2</v>
      </c>
      <c r="S4009">
        <v>0.42866070000000001</v>
      </c>
      <c r="T4009" t="s">
        <v>1019</v>
      </c>
      <c r="U4009">
        <v>0</v>
      </c>
    </row>
    <row r="4010" spans="1:21" x14ac:dyDescent="0.25">
      <c r="A4010" t="s">
        <v>39</v>
      </c>
      <c r="B4010" t="s">
        <v>947</v>
      </c>
      <c r="C4010">
        <v>2</v>
      </c>
      <c r="D4010" t="s">
        <v>15</v>
      </c>
      <c r="E4010" t="s">
        <v>94</v>
      </c>
      <c r="F4010" t="s">
        <v>103</v>
      </c>
      <c r="G4010" t="s">
        <v>103</v>
      </c>
      <c r="H4010" t="s">
        <v>103</v>
      </c>
      <c r="J4010">
        <v>0</v>
      </c>
      <c r="K4010">
        <v>3</v>
      </c>
      <c r="L4010">
        <v>98.291666669999998</v>
      </c>
      <c r="M4010">
        <v>30.315130790000001</v>
      </c>
      <c r="N4010">
        <v>5.0803484000000003E-2</v>
      </c>
      <c r="O4010">
        <v>0.42866070000000001</v>
      </c>
      <c r="P4010">
        <v>98.291666669999998</v>
      </c>
      <c r="Q4010">
        <v>30.315130790000001</v>
      </c>
      <c r="R4010">
        <v>5.0803484000000003E-2</v>
      </c>
      <c r="S4010">
        <v>0.42866070000000001</v>
      </c>
      <c r="T4010" t="s">
        <v>1019</v>
      </c>
      <c r="U4010">
        <v>0</v>
      </c>
    </row>
    <row r="4011" spans="1:21" x14ac:dyDescent="0.25">
      <c r="A4011" t="s">
        <v>39</v>
      </c>
      <c r="B4011" t="s">
        <v>947</v>
      </c>
      <c r="C4011">
        <v>2</v>
      </c>
      <c r="D4011" t="s">
        <v>15</v>
      </c>
      <c r="E4011" t="s">
        <v>94</v>
      </c>
      <c r="F4011" t="s">
        <v>103</v>
      </c>
      <c r="G4011" t="s">
        <v>103</v>
      </c>
      <c r="H4011" t="s">
        <v>104</v>
      </c>
      <c r="J4011">
        <v>0</v>
      </c>
      <c r="K4011">
        <v>1</v>
      </c>
      <c r="L4011">
        <v>98.291666669999998</v>
      </c>
      <c r="M4011">
        <v>30.315130790000001</v>
      </c>
      <c r="N4011">
        <v>5.0803484000000003E-2</v>
      </c>
      <c r="O4011">
        <v>0.42866070000000001</v>
      </c>
      <c r="P4011">
        <v>113.9375</v>
      </c>
      <c r="Q4011">
        <v>33.375507550000002</v>
      </c>
      <c r="R4011">
        <v>2.4262999999999999</v>
      </c>
      <c r="S4011">
        <v>0.40692159999999999</v>
      </c>
      <c r="T4011" t="s">
        <v>1019</v>
      </c>
      <c r="U4011">
        <v>2.3754965160000001</v>
      </c>
    </row>
    <row r="4012" spans="1:21" x14ac:dyDescent="0.25">
      <c r="A4012" t="s">
        <v>39</v>
      </c>
      <c r="B4012" t="s">
        <v>947</v>
      </c>
      <c r="C4012">
        <v>2</v>
      </c>
      <c r="D4012" t="s">
        <v>15</v>
      </c>
      <c r="E4012" t="s">
        <v>94</v>
      </c>
      <c r="F4012" t="s">
        <v>103</v>
      </c>
      <c r="G4012" t="s">
        <v>103</v>
      </c>
      <c r="H4012" t="s">
        <v>113</v>
      </c>
      <c r="J4012">
        <v>0</v>
      </c>
      <c r="K4012">
        <v>4</v>
      </c>
      <c r="L4012">
        <v>98.291666669999998</v>
      </c>
      <c r="M4012">
        <v>30.315130790000001</v>
      </c>
      <c r="N4012">
        <v>5.0803484000000003E-2</v>
      </c>
      <c r="O4012">
        <v>0.42866070000000001</v>
      </c>
      <c r="P4012">
        <v>83.757575759999995</v>
      </c>
      <c r="Q4012">
        <v>22.60997987</v>
      </c>
      <c r="R4012">
        <v>0.72884000000000004</v>
      </c>
      <c r="S4012">
        <v>0.21301339999999999</v>
      </c>
      <c r="T4012" t="s">
        <v>1019</v>
      </c>
      <c r="U4012">
        <v>0.67803651600000003</v>
      </c>
    </row>
    <row r="4013" spans="1:21" x14ac:dyDescent="0.25">
      <c r="A4013" t="s">
        <v>39</v>
      </c>
      <c r="B4013" t="s">
        <v>947</v>
      </c>
      <c r="C4013">
        <v>2</v>
      </c>
      <c r="D4013" t="s">
        <v>15</v>
      </c>
      <c r="E4013" t="s">
        <v>94</v>
      </c>
      <c r="F4013" t="s">
        <v>103</v>
      </c>
      <c r="G4013" t="s">
        <v>103</v>
      </c>
      <c r="H4013" t="s">
        <v>113</v>
      </c>
      <c r="J4013">
        <v>0</v>
      </c>
      <c r="K4013">
        <v>4</v>
      </c>
      <c r="L4013">
        <v>98.291666669999998</v>
      </c>
      <c r="M4013">
        <v>30.315130790000001</v>
      </c>
      <c r="N4013">
        <v>5.0803484000000003E-2</v>
      </c>
      <c r="O4013">
        <v>0.42866070000000001</v>
      </c>
      <c r="P4013">
        <v>83.757575759999995</v>
      </c>
      <c r="Q4013">
        <v>22.60997987</v>
      </c>
      <c r="R4013">
        <v>0.72884000000000004</v>
      </c>
      <c r="S4013">
        <v>0.21301339999999999</v>
      </c>
      <c r="T4013" t="s">
        <v>1019</v>
      </c>
      <c r="U4013">
        <v>0.67803651600000003</v>
      </c>
    </row>
    <row r="4014" spans="1:21" x14ac:dyDescent="0.25">
      <c r="A4014" t="s">
        <v>39</v>
      </c>
      <c r="B4014" t="s">
        <v>947</v>
      </c>
      <c r="C4014">
        <v>2</v>
      </c>
      <c r="D4014" t="s">
        <v>15</v>
      </c>
      <c r="E4014" t="s">
        <v>94</v>
      </c>
      <c r="F4014" t="s">
        <v>103</v>
      </c>
      <c r="G4014" t="s">
        <v>103</v>
      </c>
      <c r="H4014" t="s">
        <v>113</v>
      </c>
      <c r="J4014">
        <v>0</v>
      </c>
      <c r="K4014">
        <v>4</v>
      </c>
      <c r="L4014">
        <v>98.291666669999998</v>
      </c>
      <c r="M4014">
        <v>30.315130790000001</v>
      </c>
      <c r="N4014">
        <v>5.0803484000000003E-2</v>
      </c>
      <c r="O4014">
        <v>0.42866070000000001</v>
      </c>
      <c r="P4014">
        <v>83.757575759999995</v>
      </c>
      <c r="Q4014">
        <v>22.60997987</v>
      </c>
      <c r="R4014">
        <v>0.72884000000000004</v>
      </c>
      <c r="S4014">
        <v>0.21301339999999999</v>
      </c>
      <c r="T4014" t="s">
        <v>1019</v>
      </c>
      <c r="U4014">
        <v>0.67803651600000003</v>
      </c>
    </row>
    <row r="4015" spans="1:21" x14ac:dyDescent="0.25">
      <c r="A4015" t="s">
        <v>39</v>
      </c>
      <c r="B4015" t="s">
        <v>947</v>
      </c>
      <c r="C4015">
        <v>2</v>
      </c>
      <c r="D4015" t="s">
        <v>15</v>
      </c>
      <c r="E4015" t="s">
        <v>94</v>
      </c>
      <c r="F4015" t="s">
        <v>103</v>
      </c>
      <c r="G4015" t="s">
        <v>103</v>
      </c>
      <c r="H4015" t="s">
        <v>113</v>
      </c>
      <c r="J4015">
        <v>0</v>
      </c>
      <c r="K4015">
        <v>4</v>
      </c>
      <c r="L4015">
        <v>98.291666669999998</v>
      </c>
      <c r="M4015">
        <v>30.315130790000001</v>
      </c>
      <c r="N4015">
        <v>5.0803484000000003E-2</v>
      </c>
      <c r="O4015">
        <v>0.42866070000000001</v>
      </c>
      <c r="P4015">
        <v>83.757575759999995</v>
      </c>
      <c r="Q4015">
        <v>22.60997987</v>
      </c>
      <c r="R4015">
        <v>0.72884000000000004</v>
      </c>
      <c r="S4015">
        <v>0.21301339999999999</v>
      </c>
      <c r="T4015" t="s">
        <v>1019</v>
      </c>
      <c r="U4015">
        <v>0.67803651600000003</v>
      </c>
    </row>
    <row r="4016" spans="1:21" x14ac:dyDescent="0.25">
      <c r="A4016" t="s">
        <v>39</v>
      </c>
      <c r="B4016" t="s">
        <v>948</v>
      </c>
      <c r="C4016">
        <v>2</v>
      </c>
      <c r="D4016" t="s">
        <v>15</v>
      </c>
      <c r="E4016" t="s">
        <v>94</v>
      </c>
      <c r="F4016" t="s">
        <v>111</v>
      </c>
      <c r="G4016" t="s">
        <v>104</v>
      </c>
      <c r="H4016" t="s">
        <v>236</v>
      </c>
      <c r="J4016">
        <v>0</v>
      </c>
      <c r="K4016">
        <v>1</v>
      </c>
      <c r="L4016">
        <v>94.97142857</v>
      </c>
      <c r="M4016">
        <v>24.31591813</v>
      </c>
      <c r="N4016">
        <v>0.122951111</v>
      </c>
      <c r="O4016">
        <v>0.39050790000000002</v>
      </c>
      <c r="P4016">
        <v>113.33333330000001</v>
      </c>
      <c r="Q4016">
        <v>26.41632581</v>
      </c>
      <c r="R4016">
        <v>1.6844570160000001</v>
      </c>
      <c r="S4016">
        <v>8.9285710000000004E-2</v>
      </c>
      <c r="T4016" t="s">
        <v>1019</v>
      </c>
      <c r="U4016">
        <v>1.561505905</v>
      </c>
    </row>
    <row r="4017" spans="1:21" x14ac:dyDescent="0.25">
      <c r="A4017" t="s">
        <v>39</v>
      </c>
      <c r="B4017" t="s">
        <v>948</v>
      </c>
      <c r="C4017">
        <v>2</v>
      </c>
      <c r="D4017" t="s">
        <v>15</v>
      </c>
      <c r="E4017" t="s">
        <v>94</v>
      </c>
      <c r="F4017" t="s">
        <v>111</v>
      </c>
      <c r="G4017" t="s">
        <v>104</v>
      </c>
      <c r="H4017" t="s">
        <v>103</v>
      </c>
      <c r="J4017">
        <v>0</v>
      </c>
      <c r="K4017">
        <v>1</v>
      </c>
      <c r="L4017">
        <v>94.97142857</v>
      </c>
      <c r="M4017">
        <v>24.31591813</v>
      </c>
      <c r="N4017">
        <v>0.122951111</v>
      </c>
      <c r="O4017">
        <v>0.39050790000000002</v>
      </c>
      <c r="P4017">
        <v>98.291666669999998</v>
      </c>
      <c r="Q4017">
        <v>30.315130790000001</v>
      </c>
      <c r="R4017">
        <v>5.0803484000000003E-2</v>
      </c>
      <c r="S4017">
        <v>0.42866070000000001</v>
      </c>
      <c r="T4017" t="s">
        <v>1019</v>
      </c>
      <c r="U4017">
        <v>7.2147627000000006E-2</v>
      </c>
    </row>
    <row r="4018" spans="1:21" x14ac:dyDescent="0.25">
      <c r="A4018" t="s">
        <v>39</v>
      </c>
      <c r="B4018" t="s">
        <v>948</v>
      </c>
      <c r="C4018">
        <v>2</v>
      </c>
      <c r="D4018" t="s">
        <v>15</v>
      </c>
      <c r="E4018" t="s">
        <v>94</v>
      </c>
      <c r="F4018" t="s">
        <v>111</v>
      </c>
      <c r="G4018" t="s">
        <v>104</v>
      </c>
      <c r="H4018" t="s">
        <v>104</v>
      </c>
      <c r="J4018">
        <v>0</v>
      </c>
      <c r="K4018">
        <v>1</v>
      </c>
      <c r="L4018">
        <v>94.97142857</v>
      </c>
      <c r="M4018">
        <v>24.31591813</v>
      </c>
      <c r="N4018">
        <v>0.122951111</v>
      </c>
      <c r="O4018">
        <v>0.39050790000000002</v>
      </c>
      <c r="P4018">
        <v>113.9375</v>
      </c>
      <c r="Q4018">
        <v>33.375507550000002</v>
      </c>
      <c r="R4018">
        <v>2.4262999999999999</v>
      </c>
      <c r="S4018">
        <v>0.40692159999999999</v>
      </c>
      <c r="T4018" t="s">
        <v>1019</v>
      </c>
      <c r="U4018">
        <v>2.303348889</v>
      </c>
    </row>
    <row r="4019" spans="1:21" x14ac:dyDescent="0.25">
      <c r="A4019" t="s">
        <v>39</v>
      </c>
      <c r="B4019" t="s">
        <v>949</v>
      </c>
      <c r="C4019">
        <v>2</v>
      </c>
      <c r="D4019" t="s">
        <v>15</v>
      </c>
      <c r="E4019" t="s">
        <v>94</v>
      </c>
      <c r="F4019" t="s">
        <v>104</v>
      </c>
      <c r="G4019" t="s">
        <v>104</v>
      </c>
      <c r="H4019" t="s">
        <v>104</v>
      </c>
      <c r="J4019">
        <v>0</v>
      </c>
      <c r="K4019">
        <v>3</v>
      </c>
      <c r="L4019">
        <v>113.9375</v>
      </c>
      <c r="M4019">
        <v>33.375507550000002</v>
      </c>
      <c r="N4019">
        <v>2.4262999999999999</v>
      </c>
      <c r="O4019">
        <v>0.40692159999999999</v>
      </c>
      <c r="P4019">
        <v>113.9375</v>
      </c>
      <c r="Q4019">
        <v>33.375507550000002</v>
      </c>
      <c r="R4019">
        <v>2.4262999999999999</v>
      </c>
      <c r="S4019">
        <v>0.40692159999999999</v>
      </c>
      <c r="T4019" t="s">
        <v>1019</v>
      </c>
      <c r="U4019">
        <v>0</v>
      </c>
    </row>
    <row r="4020" spans="1:21" x14ac:dyDescent="0.25">
      <c r="A4020" t="s">
        <v>39</v>
      </c>
      <c r="B4020" t="s">
        <v>949</v>
      </c>
      <c r="C4020">
        <v>2</v>
      </c>
      <c r="D4020" t="s">
        <v>15</v>
      </c>
      <c r="E4020" t="s">
        <v>94</v>
      </c>
      <c r="F4020" t="s">
        <v>104</v>
      </c>
      <c r="G4020" t="s">
        <v>104</v>
      </c>
      <c r="H4020" t="s">
        <v>104</v>
      </c>
      <c r="J4020">
        <v>0</v>
      </c>
      <c r="K4020">
        <v>3</v>
      </c>
      <c r="L4020">
        <v>113.9375</v>
      </c>
      <c r="M4020">
        <v>33.375507550000002</v>
      </c>
      <c r="N4020">
        <v>2.4262999999999999</v>
      </c>
      <c r="O4020">
        <v>0.40692159999999999</v>
      </c>
      <c r="P4020">
        <v>113.9375</v>
      </c>
      <c r="Q4020">
        <v>33.375507550000002</v>
      </c>
      <c r="R4020">
        <v>2.4262999999999999</v>
      </c>
      <c r="S4020">
        <v>0.40692159999999999</v>
      </c>
      <c r="T4020" t="s">
        <v>1019</v>
      </c>
      <c r="U4020">
        <v>0</v>
      </c>
    </row>
    <row r="4021" spans="1:21" x14ac:dyDescent="0.25">
      <c r="A4021" t="s">
        <v>39</v>
      </c>
      <c r="B4021" t="s">
        <v>949</v>
      </c>
      <c r="C4021">
        <v>2</v>
      </c>
      <c r="D4021" t="s">
        <v>15</v>
      </c>
      <c r="E4021" t="s">
        <v>94</v>
      </c>
      <c r="F4021" t="s">
        <v>104</v>
      </c>
      <c r="G4021" t="s">
        <v>104</v>
      </c>
      <c r="H4021" t="s">
        <v>104</v>
      </c>
      <c r="J4021">
        <v>0</v>
      </c>
      <c r="K4021">
        <v>3</v>
      </c>
      <c r="L4021">
        <v>113.9375</v>
      </c>
      <c r="M4021">
        <v>33.375507550000002</v>
      </c>
      <c r="N4021">
        <v>2.4262999999999999</v>
      </c>
      <c r="O4021">
        <v>0.40692159999999999</v>
      </c>
      <c r="P4021">
        <v>113.9375</v>
      </c>
      <c r="Q4021">
        <v>33.375507550000002</v>
      </c>
      <c r="R4021">
        <v>2.4262999999999999</v>
      </c>
      <c r="S4021">
        <v>0.40692159999999999</v>
      </c>
      <c r="T4021" t="s">
        <v>1019</v>
      </c>
      <c r="U4021">
        <v>0</v>
      </c>
    </row>
    <row r="4022" spans="1:21" x14ac:dyDescent="0.25">
      <c r="A4022" t="s">
        <v>39</v>
      </c>
      <c r="B4022" t="s">
        <v>949</v>
      </c>
      <c r="C4022">
        <v>2</v>
      </c>
      <c r="D4022" t="s">
        <v>15</v>
      </c>
      <c r="E4022" t="s">
        <v>94</v>
      </c>
      <c r="F4022" t="s">
        <v>104</v>
      </c>
      <c r="G4022" t="s">
        <v>104</v>
      </c>
      <c r="H4022" t="s">
        <v>113</v>
      </c>
      <c r="J4022">
        <v>0</v>
      </c>
      <c r="K4022">
        <v>1</v>
      </c>
      <c r="L4022">
        <v>113.9375</v>
      </c>
      <c r="M4022">
        <v>33.375507550000002</v>
      </c>
      <c r="N4022">
        <v>2.4262999999999999</v>
      </c>
      <c r="O4022">
        <v>0.40692159999999999</v>
      </c>
      <c r="P4022">
        <v>83.757575759999995</v>
      </c>
      <c r="Q4022">
        <v>22.60997987</v>
      </c>
      <c r="R4022">
        <v>0.72884000000000004</v>
      </c>
      <c r="S4022">
        <v>0.21301339999999999</v>
      </c>
      <c r="T4022" t="s">
        <v>1019</v>
      </c>
      <c r="U4022">
        <v>1.69746</v>
      </c>
    </row>
    <row r="4023" spans="1:21" x14ac:dyDescent="0.25">
      <c r="A4023" t="s">
        <v>40</v>
      </c>
      <c r="B4023" t="s">
        <v>950</v>
      </c>
      <c r="C4023">
        <v>2</v>
      </c>
      <c r="D4023" t="s">
        <v>17</v>
      </c>
      <c r="E4023" t="s">
        <v>95</v>
      </c>
      <c r="F4023" t="s">
        <v>113</v>
      </c>
      <c r="G4023" t="s">
        <v>113</v>
      </c>
      <c r="H4023" t="s">
        <v>113</v>
      </c>
      <c r="J4023">
        <v>0</v>
      </c>
      <c r="K4023">
        <v>1</v>
      </c>
      <c r="L4023">
        <v>83.757575759999995</v>
      </c>
      <c r="M4023">
        <v>22.60997987</v>
      </c>
      <c r="N4023">
        <v>0.72884000000000004</v>
      </c>
      <c r="O4023">
        <v>0.21301339999999999</v>
      </c>
      <c r="P4023">
        <v>83.757575759999995</v>
      </c>
      <c r="Q4023">
        <v>22.60997987</v>
      </c>
      <c r="R4023">
        <v>0.72884000000000004</v>
      </c>
      <c r="S4023">
        <v>0.21301339999999999</v>
      </c>
      <c r="T4023" t="s">
        <v>1019</v>
      </c>
      <c r="U4023">
        <v>0</v>
      </c>
    </row>
    <row r="4024" spans="1:21" x14ac:dyDescent="0.25">
      <c r="A4024" t="s">
        <v>40</v>
      </c>
      <c r="B4024" t="s">
        <v>950</v>
      </c>
      <c r="C4024">
        <v>2</v>
      </c>
      <c r="D4024" t="s">
        <v>17</v>
      </c>
      <c r="E4024" t="s">
        <v>95</v>
      </c>
      <c r="F4024" t="s">
        <v>113</v>
      </c>
      <c r="G4024" t="s">
        <v>113</v>
      </c>
      <c r="H4024" t="s">
        <v>103</v>
      </c>
      <c r="J4024">
        <v>0</v>
      </c>
      <c r="K4024">
        <v>2</v>
      </c>
      <c r="L4024">
        <v>83.757575759999995</v>
      </c>
      <c r="M4024">
        <v>22.60997987</v>
      </c>
      <c r="N4024">
        <v>0.72884000000000004</v>
      </c>
      <c r="O4024">
        <v>0.21301339999999999</v>
      </c>
      <c r="P4024">
        <v>98.291666669999998</v>
      </c>
      <c r="Q4024">
        <v>30.315130790000001</v>
      </c>
      <c r="R4024">
        <v>5.0803484000000003E-2</v>
      </c>
      <c r="S4024">
        <v>0.42866070000000001</v>
      </c>
      <c r="T4024" t="s">
        <v>1019</v>
      </c>
      <c r="U4024">
        <v>0.67803651600000003</v>
      </c>
    </row>
    <row r="4025" spans="1:21" x14ac:dyDescent="0.25">
      <c r="A4025" t="s">
        <v>40</v>
      </c>
      <c r="B4025" t="s">
        <v>950</v>
      </c>
      <c r="C4025">
        <v>2</v>
      </c>
      <c r="D4025" t="s">
        <v>17</v>
      </c>
      <c r="E4025" t="s">
        <v>95</v>
      </c>
      <c r="F4025" t="s">
        <v>113</v>
      </c>
      <c r="G4025" t="s">
        <v>113</v>
      </c>
      <c r="H4025" t="s">
        <v>103</v>
      </c>
      <c r="J4025">
        <v>0</v>
      </c>
      <c r="K4025">
        <v>2</v>
      </c>
      <c r="L4025">
        <v>83.757575759999995</v>
      </c>
      <c r="M4025">
        <v>22.60997987</v>
      </c>
      <c r="N4025">
        <v>0.72884000000000004</v>
      </c>
      <c r="O4025">
        <v>0.21301339999999999</v>
      </c>
      <c r="P4025">
        <v>98.291666669999998</v>
      </c>
      <c r="Q4025">
        <v>30.315130790000001</v>
      </c>
      <c r="R4025">
        <v>5.0803484000000003E-2</v>
      </c>
      <c r="S4025">
        <v>0.42866070000000001</v>
      </c>
      <c r="T4025" t="s">
        <v>1019</v>
      </c>
      <c r="U4025">
        <v>0.67803651600000003</v>
      </c>
    </row>
    <row r="4026" spans="1:21" x14ac:dyDescent="0.25">
      <c r="A4026" t="s">
        <v>40</v>
      </c>
      <c r="B4026" t="s">
        <v>951</v>
      </c>
      <c r="C4026">
        <v>2</v>
      </c>
      <c r="D4026" t="s">
        <v>17</v>
      </c>
      <c r="E4026" t="s">
        <v>95</v>
      </c>
      <c r="F4026" t="s">
        <v>103</v>
      </c>
      <c r="G4026" t="s">
        <v>103</v>
      </c>
      <c r="H4026" t="s">
        <v>103</v>
      </c>
      <c r="J4026">
        <v>0</v>
      </c>
      <c r="K4026">
        <v>6</v>
      </c>
      <c r="L4026">
        <v>98.291666669999998</v>
      </c>
      <c r="M4026">
        <v>30.315130790000001</v>
      </c>
      <c r="N4026">
        <v>5.0803484000000003E-2</v>
      </c>
      <c r="O4026">
        <v>0.42866070000000001</v>
      </c>
      <c r="P4026">
        <v>98.291666669999998</v>
      </c>
      <c r="Q4026">
        <v>30.315130790000001</v>
      </c>
      <c r="R4026">
        <v>5.0803484000000003E-2</v>
      </c>
      <c r="S4026">
        <v>0.42866070000000001</v>
      </c>
      <c r="T4026" t="s">
        <v>1019</v>
      </c>
      <c r="U4026">
        <v>0</v>
      </c>
    </row>
    <row r="4027" spans="1:21" x14ac:dyDescent="0.25">
      <c r="A4027" t="s">
        <v>40</v>
      </c>
      <c r="B4027" t="s">
        <v>951</v>
      </c>
      <c r="C4027">
        <v>2</v>
      </c>
      <c r="D4027" t="s">
        <v>17</v>
      </c>
      <c r="E4027" t="s">
        <v>95</v>
      </c>
      <c r="F4027" t="s">
        <v>103</v>
      </c>
      <c r="G4027" t="s">
        <v>103</v>
      </c>
      <c r="H4027" t="s">
        <v>103</v>
      </c>
      <c r="J4027">
        <v>0</v>
      </c>
      <c r="K4027">
        <v>6</v>
      </c>
      <c r="L4027">
        <v>98.291666669999998</v>
      </c>
      <c r="M4027">
        <v>30.315130790000001</v>
      </c>
      <c r="N4027">
        <v>5.0803484000000003E-2</v>
      </c>
      <c r="O4027">
        <v>0.42866070000000001</v>
      </c>
      <c r="P4027">
        <v>98.291666669999998</v>
      </c>
      <c r="Q4027">
        <v>30.315130790000001</v>
      </c>
      <c r="R4027">
        <v>5.0803484000000003E-2</v>
      </c>
      <c r="S4027">
        <v>0.42866070000000001</v>
      </c>
      <c r="T4027" t="s">
        <v>1019</v>
      </c>
      <c r="U4027">
        <v>0</v>
      </c>
    </row>
    <row r="4028" spans="1:21" x14ac:dyDescent="0.25">
      <c r="A4028" t="s">
        <v>40</v>
      </c>
      <c r="B4028" t="s">
        <v>951</v>
      </c>
      <c r="C4028">
        <v>2</v>
      </c>
      <c r="D4028" t="s">
        <v>17</v>
      </c>
      <c r="E4028" t="s">
        <v>95</v>
      </c>
      <c r="F4028" t="s">
        <v>103</v>
      </c>
      <c r="G4028" t="s">
        <v>103</v>
      </c>
      <c r="H4028" t="s">
        <v>103</v>
      </c>
      <c r="J4028">
        <v>0</v>
      </c>
      <c r="K4028">
        <v>6</v>
      </c>
      <c r="L4028">
        <v>98.291666669999998</v>
      </c>
      <c r="M4028">
        <v>30.315130790000001</v>
      </c>
      <c r="N4028">
        <v>5.0803484000000003E-2</v>
      </c>
      <c r="O4028">
        <v>0.42866070000000001</v>
      </c>
      <c r="P4028">
        <v>98.291666669999998</v>
      </c>
      <c r="Q4028">
        <v>30.315130790000001</v>
      </c>
      <c r="R4028">
        <v>5.0803484000000003E-2</v>
      </c>
      <c r="S4028">
        <v>0.42866070000000001</v>
      </c>
      <c r="T4028" t="s">
        <v>1019</v>
      </c>
      <c r="U4028">
        <v>0</v>
      </c>
    </row>
    <row r="4029" spans="1:21" x14ac:dyDescent="0.25">
      <c r="A4029" t="s">
        <v>40</v>
      </c>
      <c r="B4029" t="s">
        <v>951</v>
      </c>
      <c r="C4029">
        <v>2</v>
      </c>
      <c r="D4029" t="s">
        <v>17</v>
      </c>
      <c r="E4029" t="s">
        <v>95</v>
      </c>
      <c r="F4029" t="s">
        <v>103</v>
      </c>
      <c r="G4029" t="s">
        <v>103</v>
      </c>
      <c r="H4029" t="s">
        <v>103</v>
      </c>
      <c r="J4029">
        <v>0</v>
      </c>
      <c r="K4029">
        <v>6</v>
      </c>
      <c r="L4029">
        <v>98.291666669999998</v>
      </c>
      <c r="M4029">
        <v>30.315130790000001</v>
      </c>
      <c r="N4029">
        <v>5.0803484000000003E-2</v>
      </c>
      <c r="O4029">
        <v>0.42866070000000001</v>
      </c>
      <c r="P4029">
        <v>98.291666669999998</v>
      </c>
      <c r="Q4029">
        <v>30.315130790000001</v>
      </c>
      <c r="R4029">
        <v>5.0803484000000003E-2</v>
      </c>
      <c r="S4029">
        <v>0.42866070000000001</v>
      </c>
      <c r="T4029" t="s">
        <v>1019</v>
      </c>
      <c r="U4029">
        <v>0</v>
      </c>
    </row>
    <row r="4030" spans="1:21" x14ac:dyDescent="0.25">
      <c r="A4030" t="s">
        <v>40</v>
      </c>
      <c r="B4030" t="s">
        <v>951</v>
      </c>
      <c r="C4030">
        <v>2</v>
      </c>
      <c r="D4030" t="s">
        <v>17</v>
      </c>
      <c r="E4030" t="s">
        <v>95</v>
      </c>
      <c r="F4030" t="s">
        <v>103</v>
      </c>
      <c r="G4030" t="s">
        <v>103</v>
      </c>
      <c r="H4030" t="s">
        <v>103</v>
      </c>
      <c r="J4030">
        <v>0</v>
      </c>
      <c r="K4030">
        <v>6</v>
      </c>
      <c r="L4030">
        <v>98.291666669999998</v>
      </c>
      <c r="M4030">
        <v>30.315130790000001</v>
      </c>
      <c r="N4030">
        <v>5.0803484000000003E-2</v>
      </c>
      <c r="O4030">
        <v>0.42866070000000001</v>
      </c>
      <c r="P4030">
        <v>98.291666669999998</v>
      </c>
      <c r="Q4030">
        <v>30.315130790000001</v>
      </c>
      <c r="R4030">
        <v>5.0803484000000003E-2</v>
      </c>
      <c r="S4030">
        <v>0.42866070000000001</v>
      </c>
      <c r="T4030" t="s">
        <v>1019</v>
      </c>
      <c r="U4030">
        <v>0</v>
      </c>
    </row>
    <row r="4031" spans="1:21" x14ac:dyDescent="0.25">
      <c r="A4031" t="s">
        <v>40</v>
      </c>
      <c r="B4031" t="s">
        <v>951</v>
      </c>
      <c r="C4031">
        <v>2</v>
      </c>
      <c r="D4031" t="s">
        <v>17</v>
      </c>
      <c r="E4031" t="s">
        <v>95</v>
      </c>
      <c r="F4031" t="s">
        <v>103</v>
      </c>
      <c r="G4031" t="s">
        <v>103</v>
      </c>
      <c r="H4031" t="s">
        <v>103</v>
      </c>
      <c r="J4031">
        <v>0</v>
      </c>
      <c r="K4031">
        <v>6</v>
      </c>
      <c r="L4031">
        <v>98.291666669999998</v>
      </c>
      <c r="M4031">
        <v>30.315130790000001</v>
      </c>
      <c r="N4031">
        <v>5.0803484000000003E-2</v>
      </c>
      <c r="O4031">
        <v>0.42866070000000001</v>
      </c>
      <c r="P4031">
        <v>98.291666669999998</v>
      </c>
      <c r="Q4031">
        <v>30.315130790000001</v>
      </c>
      <c r="R4031">
        <v>5.0803484000000003E-2</v>
      </c>
      <c r="S4031">
        <v>0.42866070000000001</v>
      </c>
      <c r="T4031" t="s">
        <v>1019</v>
      </c>
      <c r="U4031">
        <v>0</v>
      </c>
    </row>
    <row r="4032" spans="1:21" x14ac:dyDescent="0.25">
      <c r="A4032" t="s">
        <v>40</v>
      </c>
      <c r="B4032" t="s">
        <v>952</v>
      </c>
      <c r="C4032">
        <v>2</v>
      </c>
      <c r="D4032" t="s">
        <v>17</v>
      </c>
      <c r="E4032" t="s">
        <v>95</v>
      </c>
      <c r="F4032" t="s">
        <v>112</v>
      </c>
      <c r="G4032" t="s">
        <v>103</v>
      </c>
      <c r="H4032" t="s">
        <v>103</v>
      </c>
      <c r="I4032" t="s">
        <v>243</v>
      </c>
      <c r="J4032">
        <v>1</v>
      </c>
      <c r="K4032">
        <v>7</v>
      </c>
      <c r="L4032">
        <v>65.09375</v>
      </c>
      <c r="M4032">
        <v>37.895352600000002</v>
      </c>
      <c r="N4032">
        <v>2.2882677779999998</v>
      </c>
      <c r="O4032">
        <v>2.2111774</v>
      </c>
      <c r="P4032">
        <v>98.291666669999998</v>
      </c>
      <c r="Q4032">
        <v>30.315130790000001</v>
      </c>
      <c r="R4032">
        <v>5.0803484000000003E-2</v>
      </c>
      <c r="S4032">
        <v>0.42866070000000001</v>
      </c>
      <c r="T4032" t="s">
        <v>1019</v>
      </c>
      <c r="U4032">
        <v>2.237464294</v>
      </c>
    </row>
    <row r="4033" spans="1:21" x14ac:dyDescent="0.25">
      <c r="A4033" t="s">
        <v>40</v>
      </c>
      <c r="B4033" t="s">
        <v>952</v>
      </c>
      <c r="C4033">
        <v>2</v>
      </c>
      <c r="D4033" t="s">
        <v>17</v>
      </c>
      <c r="E4033" t="s">
        <v>95</v>
      </c>
      <c r="F4033" t="s">
        <v>112</v>
      </c>
      <c r="G4033" t="s">
        <v>103</v>
      </c>
      <c r="H4033" t="s">
        <v>103</v>
      </c>
      <c r="I4033" t="s">
        <v>243</v>
      </c>
      <c r="J4033">
        <v>1</v>
      </c>
      <c r="K4033">
        <v>7</v>
      </c>
      <c r="L4033">
        <v>65.09375</v>
      </c>
      <c r="M4033">
        <v>37.895352600000002</v>
      </c>
      <c r="N4033">
        <v>2.2882677779999998</v>
      </c>
      <c r="O4033">
        <v>2.2111774</v>
      </c>
      <c r="P4033">
        <v>98.291666669999998</v>
      </c>
      <c r="Q4033">
        <v>30.315130790000001</v>
      </c>
      <c r="R4033">
        <v>5.0803484000000003E-2</v>
      </c>
      <c r="S4033">
        <v>0.42866070000000001</v>
      </c>
      <c r="T4033" t="s">
        <v>1019</v>
      </c>
      <c r="U4033">
        <v>2.237464294</v>
      </c>
    </row>
    <row r="4034" spans="1:21" x14ac:dyDescent="0.25">
      <c r="A4034" t="s">
        <v>40</v>
      </c>
      <c r="B4034" t="s">
        <v>952</v>
      </c>
      <c r="C4034">
        <v>2</v>
      </c>
      <c r="D4034" t="s">
        <v>17</v>
      </c>
      <c r="E4034" t="s">
        <v>95</v>
      </c>
      <c r="F4034" t="s">
        <v>112</v>
      </c>
      <c r="G4034" t="s">
        <v>103</v>
      </c>
      <c r="H4034" t="s">
        <v>103</v>
      </c>
      <c r="I4034" t="s">
        <v>243</v>
      </c>
      <c r="J4034">
        <v>1</v>
      </c>
      <c r="K4034">
        <v>7</v>
      </c>
      <c r="L4034">
        <v>65.09375</v>
      </c>
      <c r="M4034">
        <v>37.895352600000002</v>
      </c>
      <c r="N4034">
        <v>2.2882677779999998</v>
      </c>
      <c r="O4034">
        <v>2.2111774</v>
      </c>
      <c r="P4034">
        <v>98.291666669999998</v>
      </c>
      <c r="Q4034">
        <v>30.315130790000001</v>
      </c>
      <c r="R4034">
        <v>5.0803484000000003E-2</v>
      </c>
      <c r="S4034">
        <v>0.42866070000000001</v>
      </c>
      <c r="T4034" t="s">
        <v>1019</v>
      </c>
      <c r="U4034">
        <v>2.237464294</v>
      </c>
    </row>
    <row r="4035" spans="1:21" x14ac:dyDescent="0.25">
      <c r="A4035" t="s">
        <v>40</v>
      </c>
      <c r="B4035" t="s">
        <v>952</v>
      </c>
      <c r="C4035">
        <v>2</v>
      </c>
      <c r="D4035" t="s">
        <v>17</v>
      </c>
      <c r="E4035" t="s">
        <v>95</v>
      </c>
      <c r="F4035" t="s">
        <v>112</v>
      </c>
      <c r="G4035" t="s">
        <v>103</v>
      </c>
      <c r="H4035" t="s">
        <v>103</v>
      </c>
      <c r="I4035" t="s">
        <v>243</v>
      </c>
      <c r="J4035">
        <v>1</v>
      </c>
      <c r="K4035">
        <v>7</v>
      </c>
      <c r="L4035">
        <v>65.09375</v>
      </c>
      <c r="M4035">
        <v>37.895352600000002</v>
      </c>
      <c r="N4035">
        <v>2.2882677779999998</v>
      </c>
      <c r="O4035">
        <v>2.2111774</v>
      </c>
      <c r="P4035">
        <v>98.291666669999998</v>
      </c>
      <c r="Q4035">
        <v>30.315130790000001</v>
      </c>
      <c r="R4035">
        <v>5.0803484000000003E-2</v>
      </c>
      <c r="S4035">
        <v>0.42866070000000001</v>
      </c>
      <c r="T4035" t="s">
        <v>1019</v>
      </c>
      <c r="U4035">
        <v>2.237464294</v>
      </c>
    </row>
    <row r="4036" spans="1:21" x14ac:dyDescent="0.25">
      <c r="A4036" t="s">
        <v>40</v>
      </c>
      <c r="B4036" t="s">
        <v>952</v>
      </c>
      <c r="C4036">
        <v>2</v>
      </c>
      <c r="D4036" t="s">
        <v>17</v>
      </c>
      <c r="E4036" t="s">
        <v>95</v>
      </c>
      <c r="F4036" t="s">
        <v>112</v>
      </c>
      <c r="G4036" t="s">
        <v>103</v>
      </c>
      <c r="H4036" t="s">
        <v>103</v>
      </c>
      <c r="I4036" t="s">
        <v>243</v>
      </c>
      <c r="J4036">
        <v>1</v>
      </c>
      <c r="K4036">
        <v>7</v>
      </c>
      <c r="L4036">
        <v>65.09375</v>
      </c>
      <c r="M4036">
        <v>37.895352600000002</v>
      </c>
      <c r="N4036">
        <v>2.2882677779999998</v>
      </c>
      <c r="O4036">
        <v>2.2111774</v>
      </c>
      <c r="P4036">
        <v>98.291666669999998</v>
      </c>
      <c r="Q4036">
        <v>30.315130790000001</v>
      </c>
      <c r="R4036">
        <v>5.0803484000000003E-2</v>
      </c>
      <c r="S4036">
        <v>0.42866070000000001</v>
      </c>
      <c r="T4036" t="s">
        <v>1019</v>
      </c>
      <c r="U4036">
        <v>2.237464294</v>
      </c>
    </row>
    <row r="4037" spans="1:21" x14ac:dyDescent="0.25">
      <c r="A4037" t="s">
        <v>40</v>
      </c>
      <c r="B4037" t="s">
        <v>952</v>
      </c>
      <c r="C4037">
        <v>2</v>
      </c>
      <c r="D4037" t="s">
        <v>17</v>
      </c>
      <c r="E4037" t="s">
        <v>95</v>
      </c>
      <c r="F4037" t="s">
        <v>112</v>
      </c>
      <c r="G4037" t="s">
        <v>103</v>
      </c>
      <c r="H4037" t="s">
        <v>103</v>
      </c>
      <c r="I4037" t="s">
        <v>243</v>
      </c>
      <c r="J4037">
        <v>1</v>
      </c>
      <c r="K4037">
        <v>7</v>
      </c>
      <c r="L4037">
        <v>65.09375</v>
      </c>
      <c r="M4037">
        <v>37.895352600000002</v>
      </c>
      <c r="N4037">
        <v>2.2882677779999998</v>
      </c>
      <c r="O4037">
        <v>2.2111774</v>
      </c>
      <c r="P4037">
        <v>98.291666669999998</v>
      </c>
      <c r="Q4037">
        <v>30.315130790000001</v>
      </c>
      <c r="R4037">
        <v>5.0803484000000003E-2</v>
      </c>
      <c r="S4037">
        <v>0.42866070000000001</v>
      </c>
      <c r="T4037" t="s">
        <v>1019</v>
      </c>
      <c r="U4037">
        <v>2.237464294</v>
      </c>
    </row>
    <row r="4038" spans="1:21" x14ac:dyDescent="0.25">
      <c r="A4038" t="s">
        <v>40</v>
      </c>
      <c r="B4038" t="s">
        <v>952</v>
      </c>
      <c r="C4038">
        <v>2</v>
      </c>
      <c r="D4038" t="s">
        <v>17</v>
      </c>
      <c r="E4038" t="s">
        <v>95</v>
      </c>
      <c r="F4038" t="s">
        <v>112</v>
      </c>
      <c r="G4038" t="s">
        <v>103</v>
      </c>
      <c r="H4038" t="s">
        <v>103</v>
      </c>
      <c r="I4038" t="s">
        <v>243</v>
      </c>
      <c r="J4038">
        <v>1</v>
      </c>
      <c r="K4038">
        <v>7</v>
      </c>
      <c r="L4038">
        <v>65.09375</v>
      </c>
      <c r="M4038">
        <v>37.895352600000002</v>
      </c>
      <c r="N4038">
        <v>2.2882677779999998</v>
      </c>
      <c r="O4038">
        <v>2.2111774</v>
      </c>
      <c r="P4038">
        <v>98.291666669999998</v>
      </c>
      <c r="Q4038">
        <v>30.315130790000001</v>
      </c>
      <c r="R4038">
        <v>5.0803484000000003E-2</v>
      </c>
      <c r="S4038">
        <v>0.42866070000000001</v>
      </c>
      <c r="T4038" t="s">
        <v>1019</v>
      </c>
      <c r="U4038">
        <v>2.237464294</v>
      </c>
    </row>
    <row r="4039" spans="1:21" x14ac:dyDescent="0.25">
      <c r="A4039" t="s">
        <v>40</v>
      </c>
      <c r="B4039" t="s">
        <v>952</v>
      </c>
      <c r="C4039">
        <v>2</v>
      </c>
      <c r="D4039" t="s">
        <v>17</v>
      </c>
      <c r="E4039" t="s">
        <v>95</v>
      </c>
      <c r="F4039" t="s">
        <v>112</v>
      </c>
      <c r="G4039" t="s">
        <v>103</v>
      </c>
      <c r="H4039" t="s">
        <v>113</v>
      </c>
      <c r="J4039">
        <v>1</v>
      </c>
      <c r="K4039">
        <v>5</v>
      </c>
      <c r="L4039">
        <v>65.09375</v>
      </c>
      <c r="M4039">
        <v>37.895352600000002</v>
      </c>
      <c r="N4039">
        <v>2.2882677779999998</v>
      </c>
      <c r="O4039">
        <v>2.2111774</v>
      </c>
      <c r="P4039">
        <v>83.757575759999995</v>
      </c>
      <c r="Q4039">
        <v>22.60997987</v>
      </c>
      <c r="R4039">
        <v>0.72884000000000004</v>
      </c>
      <c r="S4039">
        <v>0.21301339999999999</v>
      </c>
      <c r="T4039" t="s">
        <v>1019</v>
      </c>
      <c r="U4039">
        <v>1.5594277780000001</v>
      </c>
    </row>
    <row r="4040" spans="1:21" x14ac:dyDescent="0.25">
      <c r="A4040" t="s">
        <v>40</v>
      </c>
      <c r="B4040" t="s">
        <v>952</v>
      </c>
      <c r="C4040">
        <v>2</v>
      </c>
      <c r="D4040" t="s">
        <v>17</v>
      </c>
      <c r="E4040" t="s">
        <v>95</v>
      </c>
      <c r="F4040" t="s">
        <v>112</v>
      </c>
      <c r="G4040" t="s">
        <v>103</v>
      </c>
      <c r="H4040" t="s">
        <v>113</v>
      </c>
      <c r="J4040">
        <v>1</v>
      </c>
      <c r="K4040">
        <v>5</v>
      </c>
      <c r="L4040">
        <v>65.09375</v>
      </c>
      <c r="M4040">
        <v>37.895352600000002</v>
      </c>
      <c r="N4040">
        <v>2.2882677779999998</v>
      </c>
      <c r="O4040">
        <v>2.2111774</v>
      </c>
      <c r="P4040">
        <v>83.757575759999995</v>
      </c>
      <c r="Q4040">
        <v>22.60997987</v>
      </c>
      <c r="R4040">
        <v>0.72884000000000004</v>
      </c>
      <c r="S4040">
        <v>0.21301339999999999</v>
      </c>
      <c r="T4040" t="s">
        <v>1019</v>
      </c>
      <c r="U4040">
        <v>1.5594277780000001</v>
      </c>
    </row>
    <row r="4041" spans="1:21" x14ac:dyDescent="0.25">
      <c r="A4041" t="s">
        <v>40</v>
      </c>
      <c r="B4041" t="s">
        <v>952</v>
      </c>
      <c r="C4041">
        <v>2</v>
      </c>
      <c r="D4041" t="s">
        <v>17</v>
      </c>
      <c r="E4041" t="s">
        <v>95</v>
      </c>
      <c r="F4041" t="s">
        <v>112</v>
      </c>
      <c r="G4041" t="s">
        <v>103</v>
      </c>
      <c r="H4041" t="s">
        <v>113</v>
      </c>
      <c r="J4041">
        <v>1</v>
      </c>
      <c r="K4041">
        <v>5</v>
      </c>
      <c r="L4041">
        <v>65.09375</v>
      </c>
      <c r="M4041">
        <v>37.895352600000002</v>
      </c>
      <c r="N4041">
        <v>2.2882677779999998</v>
      </c>
      <c r="O4041">
        <v>2.2111774</v>
      </c>
      <c r="P4041">
        <v>83.757575759999995</v>
      </c>
      <c r="Q4041">
        <v>22.60997987</v>
      </c>
      <c r="R4041">
        <v>0.72884000000000004</v>
      </c>
      <c r="S4041">
        <v>0.21301339999999999</v>
      </c>
      <c r="T4041" t="s">
        <v>1019</v>
      </c>
      <c r="U4041">
        <v>1.5594277780000001</v>
      </c>
    </row>
    <row r="4042" spans="1:21" x14ac:dyDescent="0.25">
      <c r="A4042" t="s">
        <v>40</v>
      </c>
      <c r="B4042" t="s">
        <v>952</v>
      </c>
      <c r="C4042">
        <v>2</v>
      </c>
      <c r="D4042" t="s">
        <v>17</v>
      </c>
      <c r="E4042" t="s">
        <v>95</v>
      </c>
      <c r="F4042" t="s">
        <v>112</v>
      </c>
      <c r="G4042" t="s">
        <v>103</v>
      </c>
      <c r="H4042" t="s">
        <v>113</v>
      </c>
      <c r="J4042">
        <v>1</v>
      </c>
      <c r="K4042">
        <v>5</v>
      </c>
      <c r="L4042">
        <v>65.09375</v>
      </c>
      <c r="M4042">
        <v>37.895352600000002</v>
      </c>
      <c r="N4042">
        <v>2.2882677779999998</v>
      </c>
      <c r="O4042">
        <v>2.2111774</v>
      </c>
      <c r="P4042">
        <v>83.757575759999995</v>
      </c>
      <c r="Q4042">
        <v>22.60997987</v>
      </c>
      <c r="R4042">
        <v>0.72884000000000004</v>
      </c>
      <c r="S4042">
        <v>0.21301339999999999</v>
      </c>
      <c r="T4042" t="s">
        <v>1019</v>
      </c>
      <c r="U4042">
        <v>1.5594277780000001</v>
      </c>
    </row>
    <row r="4043" spans="1:21" x14ac:dyDescent="0.25">
      <c r="A4043" t="s">
        <v>40</v>
      </c>
      <c r="B4043" t="s">
        <v>952</v>
      </c>
      <c r="C4043">
        <v>2</v>
      </c>
      <c r="D4043" t="s">
        <v>17</v>
      </c>
      <c r="E4043" t="s">
        <v>95</v>
      </c>
      <c r="F4043" t="s">
        <v>112</v>
      </c>
      <c r="G4043" t="s">
        <v>103</v>
      </c>
      <c r="H4043" t="s">
        <v>113</v>
      </c>
      <c r="J4043">
        <v>1</v>
      </c>
      <c r="K4043">
        <v>5</v>
      </c>
      <c r="L4043">
        <v>65.09375</v>
      </c>
      <c r="M4043">
        <v>37.895352600000002</v>
      </c>
      <c r="N4043">
        <v>2.2882677779999998</v>
      </c>
      <c r="O4043">
        <v>2.2111774</v>
      </c>
      <c r="P4043">
        <v>83.757575759999995</v>
      </c>
      <c r="Q4043">
        <v>22.60997987</v>
      </c>
      <c r="R4043">
        <v>0.72884000000000004</v>
      </c>
      <c r="S4043">
        <v>0.21301339999999999</v>
      </c>
      <c r="T4043" t="s">
        <v>1019</v>
      </c>
      <c r="U4043">
        <v>1.5594277780000001</v>
      </c>
    </row>
    <row r="4044" spans="1:21" x14ac:dyDescent="0.25">
      <c r="A4044" t="s">
        <v>41</v>
      </c>
      <c r="B4044" t="s">
        <v>953</v>
      </c>
      <c r="C4044">
        <v>2</v>
      </c>
      <c r="D4044" t="s">
        <v>19</v>
      </c>
      <c r="E4044" t="s">
        <v>94</v>
      </c>
      <c r="F4044" t="s">
        <v>105</v>
      </c>
      <c r="G4044" t="s">
        <v>104</v>
      </c>
      <c r="H4044" t="s">
        <v>104</v>
      </c>
      <c r="J4044">
        <v>0</v>
      </c>
      <c r="K4044">
        <v>3</v>
      </c>
      <c r="L4044">
        <v>67.5</v>
      </c>
      <c r="M4044">
        <v>47.937235809999997</v>
      </c>
      <c r="N4044">
        <v>0.41599678000000001</v>
      </c>
      <c r="O4044">
        <v>2.0950346999999998</v>
      </c>
      <c r="P4044">
        <v>113.9375</v>
      </c>
      <c r="Q4044">
        <v>33.375507550000002</v>
      </c>
      <c r="R4044">
        <v>2.4262999999999999</v>
      </c>
      <c r="S4044">
        <v>0.40692159999999999</v>
      </c>
      <c r="T4044" t="s">
        <v>1019</v>
      </c>
      <c r="U4044">
        <v>2.0103032199999999</v>
      </c>
    </row>
    <row r="4045" spans="1:21" x14ac:dyDescent="0.25">
      <c r="A4045" t="s">
        <v>41</v>
      </c>
      <c r="B4045" t="s">
        <v>953</v>
      </c>
      <c r="C4045">
        <v>2</v>
      </c>
      <c r="D4045" t="s">
        <v>19</v>
      </c>
      <c r="E4045" t="s">
        <v>94</v>
      </c>
      <c r="F4045" t="s">
        <v>105</v>
      </c>
      <c r="G4045" t="s">
        <v>104</v>
      </c>
      <c r="H4045" t="s">
        <v>104</v>
      </c>
      <c r="J4045">
        <v>0</v>
      </c>
      <c r="K4045">
        <v>3</v>
      </c>
      <c r="L4045">
        <v>67.5</v>
      </c>
      <c r="M4045">
        <v>47.937235809999997</v>
      </c>
      <c r="N4045">
        <v>0.41599678000000001</v>
      </c>
      <c r="O4045">
        <v>2.0950346999999998</v>
      </c>
      <c r="P4045">
        <v>113.9375</v>
      </c>
      <c r="Q4045">
        <v>33.375507550000002</v>
      </c>
      <c r="R4045">
        <v>2.4262999999999999</v>
      </c>
      <c r="S4045">
        <v>0.40692159999999999</v>
      </c>
      <c r="T4045" t="s">
        <v>1019</v>
      </c>
      <c r="U4045">
        <v>2.0103032199999999</v>
      </c>
    </row>
    <row r="4046" spans="1:21" x14ac:dyDescent="0.25">
      <c r="A4046" t="s">
        <v>41</v>
      </c>
      <c r="B4046" t="s">
        <v>953</v>
      </c>
      <c r="C4046">
        <v>2</v>
      </c>
      <c r="D4046" t="s">
        <v>19</v>
      </c>
      <c r="E4046" t="s">
        <v>94</v>
      </c>
      <c r="F4046" t="s">
        <v>105</v>
      </c>
      <c r="G4046" t="s">
        <v>104</v>
      </c>
      <c r="H4046" t="s">
        <v>104</v>
      </c>
      <c r="J4046">
        <v>0</v>
      </c>
      <c r="K4046">
        <v>3</v>
      </c>
      <c r="L4046">
        <v>67.5</v>
      </c>
      <c r="M4046">
        <v>47.937235809999997</v>
      </c>
      <c r="N4046">
        <v>0.41599678000000001</v>
      </c>
      <c r="O4046">
        <v>2.0950346999999998</v>
      </c>
      <c r="P4046">
        <v>113.9375</v>
      </c>
      <c r="Q4046">
        <v>33.375507550000002</v>
      </c>
      <c r="R4046">
        <v>2.4262999999999999</v>
      </c>
      <c r="S4046">
        <v>0.40692159999999999</v>
      </c>
      <c r="T4046" t="s">
        <v>1019</v>
      </c>
      <c r="U4046">
        <v>2.0103032199999999</v>
      </c>
    </row>
    <row r="4047" spans="1:21" x14ac:dyDescent="0.25">
      <c r="A4047" t="s">
        <v>41</v>
      </c>
      <c r="B4047" t="s">
        <v>953</v>
      </c>
      <c r="C4047">
        <v>2</v>
      </c>
      <c r="D4047" t="s">
        <v>19</v>
      </c>
      <c r="E4047" t="s">
        <v>94</v>
      </c>
      <c r="F4047" t="s">
        <v>105</v>
      </c>
      <c r="G4047" t="s">
        <v>104</v>
      </c>
      <c r="H4047" t="s">
        <v>113</v>
      </c>
      <c r="J4047">
        <v>0</v>
      </c>
      <c r="K4047">
        <v>1</v>
      </c>
      <c r="L4047">
        <v>67.5</v>
      </c>
      <c r="M4047">
        <v>47.937235809999997</v>
      </c>
      <c r="N4047">
        <v>0.41599678000000001</v>
      </c>
      <c r="O4047">
        <v>2.0950346999999998</v>
      </c>
      <c r="P4047">
        <v>83.757575759999995</v>
      </c>
      <c r="Q4047">
        <v>22.60997987</v>
      </c>
      <c r="R4047">
        <v>0.72884000000000004</v>
      </c>
      <c r="S4047">
        <v>0.21301339999999999</v>
      </c>
      <c r="T4047" t="s">
        <v>1019</v>
      </c>
      <c r="U4047">
        <v>0.31284321999999998</v>
      </c>
    </row>
    <row r="4048" spans="1:21" x14ac:dyDescent="0.25">
      <c r="A4048" t="s">
        <v>41</v>
      </c>
      <c r="B4048" t="s">
        <v>953</v>
      </c>
      <c r="C4048">
        <v>2</v>
      </c>
      <c r="D4048" t="s">
        <v>19</v>
      </c>
      <c r="E4048" t="s">
        <v>94</v>
      </c>
      <c r="F4048" t="s">
        <v>105</v>
      </c>
      <c r="G4048" t="s">
        <v>104</v>
      </c>
      <c r="H4048" t="s">
        <v>237</v>
      </c>
      <c r="J4048">
        <v>0</v>
      </c>
      <c r="K4048">
        <v>1</v>
      </c>
      <c r="L4048">
        <v>67.5</v>
      </c>
      <c r="M4048">
        <v>47.937235809999997</v>
      </c>
      <c r="N4048">
        <v>0.41599678000000001</v>
      </c>
      <c r="O4048">
        <v>2.0950346999999998</v>
      </c>
      <c r="P4048">
        <v>83.888888890000004</v>
      </c>
      <c r="Q4048">
        <v>31.026943280000001</v>
      </c>
      <c r="R4048">
        <v>0.53083999999999998</v>
      </c>
      <c r="S4048">
        <v>0.24845418999999999</v>
      </c>
      <c r="T4048" t="s">
        <v>1019</v>
      </c>
      <c r="U4048">
        <v>0.11484322</v>
      </c>
    </row>
    <row r="4049" spans="1:21" x14ac:dyDescent="0.25">
      <c r="A4049" t="s">
        <v>41</v>
      </c>
      <c r="B4049" t="s">
        <v>953</v>
      </c>
      <c r="C4049">
        <v>2</v>
      </c>
      <c r="D4049" t="s">
        <v>19</v>
      </c>
      <c r="E4049" t="s">
        <v>94</v>
      </c>
      <c r="F4049" t="s">
        <v>105</v>
      </c>
      <c r="G4049" t="s">
        <v>104</v>
      </c>
      <c r="H4049" t="s">
        <v>239</v>
      </c>
      <c r="J4049">
        <v>0</v>
      </c>
      <c r="K4049">
        <v>1</v>
      </c>
      <c r="L4049">
        <v>67.5</v>
      </c>
      <c r="M4049">
        <v>47.937235809999997</v>
      </c>
      <c r="N4049">
        <v>0.41599678000000001</v>
      </c>
      <c r="O4049">
        <v>2.0950346999999998</v>
      </c>
      <c r="P4049">
        <v>100.45454549999999</v>
      </c>
      <c r="Q4049">
        <v>26.754810689999999</v>
      </c>
      <c r="R4049">
        <v>0.75829999999999997</v>
      </c>
      <c r="S4049">
        <v>0.40907861000000001</v>
      </c>
      <c r="T4049" t="s">
        <v>1019</v>
      </c>
      <c r="U4049">
        <v>0.34230322000000002</v>
      </c>
    </row>
    <row r="4050" spans="1:21" x14ac:dyDescent="0.25">
      <c r="A4050" t="s">
        <v>41</v>
      </c>
      <c r="B4050" t="s">
        <v>954</v>
      </c>
      <c r="C4050">
        <v>2</v>
      </c>
      <c r="D4050" t="s">
        <v>19</v>
      </c>
      <c r="E4050" t="s">
        <v>94</v>
      </c>
      <c r="F4050" t="s">
        <v>113</v>
      </c>
      <c r="G4050" t="s">
        <v>104</v>
      </c>
      <c r="H4050" t="s">
        <v>237</v>
      </c>
      <c r="J4050">
        <v>0</v>
      </c>
      <c r="K4050">
        <v>1</v>
      </c>
      <c r="L4050">
        <v>83.757575759999995</v>
      </c>
      <c r="M4050">
        <v>22.60997987</v>
      </c>
      <c r="N4050">
        <v>0.72884000000000004</v>
      </c>
      <c r="O4050">
        <v>0.21301339999999999</v>
      </c>
      <c r="P4050">
        <v>83.888888890000004</v>
      </c>
      <c r="Q4050">
        <v>31.026943280000001</v>
      </c>
      <c r="R4050">
        <v>0.53083999999999998</v>
      </c>
      <c r="S4050">
        <v>0.24845418999999999</v>
      </c>
      <c r="T4050" t="s">
        <v>1019</v>
      </c>
      <c r="U4050">
        <v>0.19800000000000001</v>
      </c>
    </row>
    <row r="4051" spans="1:21" x14ac:dyDescent="0.25">
      <c r="A4051" t="s">
        <v>41</v>
      </c>
      <c r="B4051" t="s">
        <v>954</v>
      </c>
      <c r="C4051">
        <v>2</v>
      </c>
      <c r="D4051" t="s">
        <v>19</v>
      </c>
      <c r="E4051" t="s">
        <v>94</v>
      </c>
      <c r="F4051" t="s">
        <v>113</v>
      </c>
      <c r="G4051" t="s">
        <v>104</v>
      </c>
      <c r="H4051" t="s">
        <v>113</v>
      </c>
      <c r="J4051">
        <v>0</v>
      </c>
      <c r="K4051">
        <v>7</v>
      </c>
      <c r="L4051">
        <v>83.757575759999995</v>
      </c>
      <c r="M4051">
        <v>22.60997987</v>
      </c>
      <c r="N4051">
        <v>0.72884000000000004</v>
      </c>
      <c r="O4051">
        <v>0.21301339999999999</v>
      </c>
      <c r="P4051">
        <v>83.757575759999995</v>
      </c>
      <c r="Q4051">
        <v>22.60997987</v>
      </c>
      <c r="R4051">
        <v>0.72884000000000004</v>
      </c>
      <c r="S4051">
        <v>0.21301339999999999</v>
      </c>
      <c r="T4051" t="s">
        <v>1019</v>
      </c>
      <c r="U4051">
        <v>0</v>
      </c>
    </row>
    <row r="4052" spans="1:21" x14ac:dyDescent="0.25">
      <c r="A4052" t="s">
        <v>41</v>
      </c>
      <c r="B4052" t="s">
        <v>954</v>
      </c>
      <c r="C4052">
        <v>2</v>
      </c>
      <c r="D4052" t="s">
        <v>19</v>
      </c>
      <c r="E4052" t="s">
        <v>94</v>
      </c>
      <c r="F4052" t="s">
        <v>113</v>
      </c>
      <c r="G4052" t="s">
        <v>104</v>
      </c>
      <c r="H4052" t="s">
        <v>113</v>
      </c>
      <c r="J4052">
        <v>0</v>
      </c>
      <c r="K4052">
        <v>7</v>
      </c>
      <c r="L4052">
        <v>83.757575759999995</v>
      </c>
      <c r="M4052">
        <v>22.60997987</v>
      </c>
      <c r="N4052">
        <v>0.72884000000000004</v>
      </c>
      <c r="O4052">
        <v>0.21301339999999999</v>
      </c>
      <c r="P4052">
        <v>83.757575759999995</v>
      </c>
      <c r="Q4052">
        <v>22.60997987</v>
      </c>
      <c r="R4052">
        <v>0.72884000000000004</v>
      </c>
      <c r="S4052">
        <v>0.21301339999999999</v>
      </c>
      <c r="T4052" t="s">
        <v>1019</v>
      </c>
      <c r="U4052">
        <v>0</v>
      </c>
    </row>
    <row r="4053" spans="1:21" x14ac:dyDescent="0.25">
      <c r="A4053" t="s">
        <v>41</v>
      </c>
      <c r="B4053" t="s">
        <v>954</v>
      </c>
      <c r="C4053">
        <v>2</v>
      </c>
      <c r="D4053" t="s">
        <v>19</v>
      </c>
      <c r="E4053" t="s">
        <v>94</v>
      </c>
      <c r="F4053" t="s">
        <v>113</v>
      </c>
      <c r="G4053" t="s">
        <v>104</v>
      </c>
      <c r="H4053" t="s">
        <v>113</v>
      </c>
      <c r="J4053">
        <v>0</v>
      </c>
      <c r="K4053">
        <v>7</v>
      </c>
      <c r="L4053">
        <v>83.757575759999995</v>
      </c>
      <c r="M4053">
        <v>22.60997987</v>
      </c>
      <c r="N4053">
        <v>0.72884000000000004</v>
      </c>
      <c r="O4053">
        <v>0.21301339999999999</v>
      </c>
      <c r="P4053">
        <v>83.757575759999995</v>
      </c>
      <c r="Q4053">
        <v>22.60997987</v>
      </c>
      <c r="R4053">
        <v>0.72884000000000004</v>
      </c>
      <c r="S4053">
        <v>0.21301339999999999</v>
      </c>
      <c r="T4053" t="s">
        <v>1019</v>
      </c>
      <c r="U4053">
        <v>0</v>
      </c>
    </row>
    <row r="4054" spans="1:21" x14ac:dyDescent="0.25">
      <c r="A4054" t="s">
        <v>41</v>
      </c>
      <c r="B4054" t="s">
        <v>954</v>
      </c>
      <c r="C4054">
        <v>2</v>
      </c>
      <c r="D4054" t="s">
        <v>19</v>
      </c>
      <c r="E4054" t="s">
        <v>94</v>
      </c>
      <c r="F4054" t="s">
        <v>113</v>
      </c>
      <c r="G4054" t="s">
        <v>104</v>
      </c>
      <c r="H4054" t="s">
        <v>113</v>
      </c>
      <c r="J4054">
        <v>0</v>
      </c>
      <c r="K4054">
        <v>7</v>
      </c>
      <c r="L4054">
        <v>83.757575759999995</v>
      </c>
      <c r="M4054">
        <v>22.60997987</v>
      </c>
      <c r="N4054">
        <v>0.72884000000000004</v>
      </c>
      <c r="O4054">
        <v>0.21301339999999999</v>
      </c>
      <c r="P4054">
        <v>83.757575759999995</v>
      </c>
      <c r="Q4054">
        <v>22.60997987</v>
      </c>
      <c r="R4054">
        <v>0.72884000000000004</v>
      </c>
      <c r="S4054">
        <v>0.21301339999999999</v>
      </c>
      <c r="T4054" t="s">
        <v>1019</v>
      </c>
      <c r="U4054">
        <v>0</v>
      </c>
    </row>
    <row r="4055" spans="1:21" x14ac:dyDescent="0.25">
      <c r="A4055" t="s">
        <v>41</v>
      </c>
      <c r="B4055" t="s">
        <v>954</v>
      </c>
      <c r="C4055">
        <v>2</v>
      </c>
      <c r="D4055" t="s">
        <v>19</v>
      </c>
      <c r="E4055" t="s">
        <v>94</v>
      </c>
      <c r="F4055" t="s">
        <v>113</v>
      </c>
      <c r="G4055" t="s">
        <v>104</v>
      </c>
      <c r="H4055" t="s">
        <v>113</v>
      </c>
      <c r="J4055">
        <v>0</v>
      </c>
      <c r="K4055">
        <v>7</v>
      </c>
      <c r="L4055">
        <v>83.757575759999995</v>
      </c>
      <c r="M4055">
        <v>22.60997987</v>
      </c>
      <c r="N4055">
        <v>0.72884000000000004</v>
      </c>
      <c r="O4055">
        <v>0.21301339999999999</v>
      </c>
      <c r="P4055">
        <v>83.757575759999995</v>
      </c>
      <c r="Q4055">
        <v>22.60997987</v>
      </c>
      <c r="R4055">
        <v>0.72884000000000004</v>
      </c>
      <c r="S4055">
        <v>0.21301339999999999</v>
      </c>
      <c r="T4055" t="s">
        <v>1019</v>
      </c>
      <c r="U4055">
        <v>0</v>
      </c>
    </row>
    <row r="4056" spans="1:21" x14ac:dyDescent="0.25">
      <c r="A4056" t="s">
        <v>41</v>
      </c>
      <c r="B4056" t="s">
        <v>954</v>
      </c>
      <c r="C4056">
        <v>2</v>
      </c>
      <c r="D4056" t="s">
        <v>19</v>
      </c>
      <c r="E4056" t="s">
        <v>94</v>
      </c>
      <c r="F4056" t="s">
        <v>113</v>
      </c>
      <c r="G4056" t="s">
        <v>104</v>
      </c>
      <c r="H4056" t="s">
        <v>113</v>
      </c>
      <c r="J4056">
        <v>0</v>
      </c>
      <c r="K4056">
        <v>7</v>
      </c>
      <c r="L4056">
        <v>83.757575759999995</v>
      </c>
      <c r="M4056">
        <v>22.60997987</v>
      </c>
      <c r="N4056">
        <v>0.72884000000000004</v>
      </c>
      <c r="O4056">
        <v>0.21301339999999999</v>
      </c>
      <c r="P4056">
        <v>83.757575759999995</v>
      </c>
      <c r="Q4056">
        <v>22.60997987</v>
      </c>
      <c r="R4056">
        <v>0.72884000000000004</v>
      </c>
      <c r="S4056">
        <v>0.21301339999999999</v>
      </c>
      <c r="T4056" t="s">
        <v>1019</v>
      </c>
      <c r="U4056">
        <v>0</v>
      </c>
    </row>
    <row r="4057" spans="1:21" x14ac:dyDescent="0.25">
      <c r="A4057" t="s">
        <v>41</v>
      </c>
      <c r="B4057" t="s">
        <v>954</v>
      </c>
      <c r="C4057">
        <v>2</v>
      </c>
      <c r="D4057" t="s">
        <v>19</v>
      </c>
      <c r="E4057" t="s">
        <v>94</v>
      </c>
      <c r="F4057" t="s">
        <v>113</v>
      </c>
      <c r="G4057" t="s">
        <v>104</v>
      </c>
      <c r="H4057" t="s">
        <v>113</v>
      </c>
      <c r="J4057">
        <v>0</v>
      </c>
      <c r="K4057">
        <v>7</v>
      </c>
      <c r="L4057">
        <v>83.757575759999995</v>
      </c>
      <c r="M4057">
        <v>22.60997987</v>
      </c>
      <c r="N4057">
        <v>0.72884000000000004</v>
      </c>
      <c r="O4057">
        <v>0.21301339999999999</v>
      </c>
      <c r="P4057">
        <v>83.757575759999995</v>
      </c>
      <c r="Q4057">
        <v>22.60997987</v>
      </c>
      <c r="R4057">
        <v>0.72884000000000004</v>
      </c>
      <c r="S4057">
        <v>0.21301339999999999</v>
      </c>
      <c r="T4057" t="s">
        <v>1019</v>
      </c>
      <c r="U4057">
        <v>0</v>
      </c>
    </row>
    <row r="4058" spans="1:21" x14ac:dyDescent="0.25">
      <c r="A4058" t="s">
        <v>41</v>
      </c>
      <c r="B4058" t="s">
        <v>954</v>
      </c>
      <c r="C4058">
        <v>2</v>
      </c>
      <c r="D4058" t="s">
        <v>19</v>
      </c>
      <c r="E4058" t="s">
        <v>94</v>
      </c>
      <c r="F4058" t="s">
        <v>113</v>
      </c>
      <c r="G4058" t="s">
        <v>104</v>
      </c>
      <c r="H4058" t="s">
        <v>104</v>
      </c>
      <c r="J4058">
        <v>0</v>
      </c>
      <c r="K4058">
        <v>1</v>
      </c>
      <c r="L4058">
        <v>83.757575759999995</v>
      </c>
      <c r="M4058">
        <v>22.60997987</v>
      </c>
      <c r="N4058">
        <v>0.72884000000000004</v>
      </c>
      <c r="O4058">
        <v>0.21301339999999999</v>
      </c>
      <c r="P4058">
        <v>113.9375</v>
      </c>
      <c r="Q4058">
        <v>33.375507550000002</v>
      </c>
      <c r="R4058">
        <v>2.4262999999999999</v>
      </c>
      <c r="S4058">
        <v>0.40692159999999999</v>
      </c>
      <c r="T4058" t="s">
        <v>1019</v>
      </c>
      <c r="U4058">
        <v>1.69746</v>
      </c>
    </row>
    <row r="4059" spans="1:21" x14ac:dyDescent="0.25">
      <c r="A4059" t="s">
        <v>41</v>
      </c>
      <c r="B4059" t="s">
        <v>954</v>
      </c>
      <c r="C4059">
        <v>2</v>
      </c>
      <c r="D4059" t="s">
        <v>19</v>
      </c>
      <c r="E4059" t="s">
        <v>94</v>
      </c>
      <c r="F4059" t="s">
        <v>113</v>
      </c>
      <c r="G4059" t="s">
        <v>104</v>
      </c>
      <c r="H4059" t="s">
        <v>238</v>
      </c>
      <c r="J4059">
        <v>0</v>
      </c>
      <c r="K4059">
        <v>1</v>
      </c>
      <c r="L4059">
        <v>83.757575759999995</v>
      </c>
      <c r="M4059">
        <v>22.60997987</v>
      </c>
      <c r="N4059">
        <v>0.72884000000000004</v>
      </c>
      <c r="O4059">
        <v>0.21301339999999999</v>
      </c>
      <c r="P4059">
        <v>87.5</v>
      </c>
      <c r="Q4059">
        <v>29.478311600000001</v>
      </c>
      <c r="R4059">
        <v>3.0797751000000002E-2</v>
      </c>
      <c r="S4059">
        <v>0.12931835</v>
      </c>
      <c r="T4059" t="s">
        <v>1019</v>
      </c>
      <c r="U4059">
        <v>0.698042249</v>
      </c>
    </row>
    <row r="4060" spans="1:21" x14ac:dyDescent="0.25">
      <c r="A4060" t="s">
        <v>41</v>
      </c>
      <c r="B4060" t="s">
        <v>955</v>
      </c>
      <c r="C4060">
        <v>2</v>
      </c>
      <c r="D4060" t="s">
        <v>19</v>
      </c>
      <c r="E4060" t="s">
        <v>94</v>
      </c>
      <c r="F4060" t="s">
        <v>103</v>
      </c>
      <c r="G4060" t="s">
        <v>113</v>
      </c>
      <c r="H4060" t="s">
        <v>103</v>
      </c>
      <c r="J4060">
        <v>0</v>
      </c>
      <c r="K4060">
        <v>2</v>
      </c>
      <c r="L4060">
        <v>98.291666669999998</v>
      </c>
      <c r="M4060">
        <v>30.315130790000001</v>
      </c>
      <c r="N4060">
        <v>5.0803484000000003E-2</v>
      </c>
      <c r="O4060">
        <v>0.42866070000000001</v>
      </c>
      <c r="P4060">
        <v>98.291666669999998</v>
      </c>
      <c r="Q4060">
        <v>30.315130790000001</v>
      </c>
      <c r="R4060">
        <v>5.0803484000000003E-2</v>
      </c>
      <c r="S4060">
        <v>0.42866070000000001</v>
      </c>
      <c r="T4060" t="s">
        <v>1019</v>
      </c>
      <c r="U4060">
        <v>0</v>
      </c>
    </row>
    <row r="4061" spans="1:21" x14ac:dyDescent="0.25">
      <c r="A4061" t="s">
        <v>41</v>
      </c>
      <c r="B4061" t="s">
        <v>955</v>
      </c>
      <c r="C4061">
        <v>2</v>
      </c>
      <c r="D4061" t="s">
        <v>19</v>
      </c>
      <c r="E4061" t="s">
        <v>94</v>
      </c>
      <c r="F4061" t="s">
        <v>103</v>
      </c>
      <c r="G4061" t="s">
        <v>113</v>
      </c>
      <c r="H4061" t="s">
        <v>103</v>
      </c>
      <c r="J4061">
        <v>0</v>
      </c>
      <c r="K4061">
        <v>2</v>
      </c>
      <c r="L4061">
        <v>98.291666669999998</v>
      </c>
      <c r="M4061">
        <v>30.315130790000001</v>
      </c>
      <c r="N4061">
        <v>5.0803484000000003E-2</v>
      </c>
      <c r="O4061">
        <v>0.42866070000000001</v>
      </c>
      <c r="P4061">
        <v>98.291666669999998</v>
      </c>
      <c r="Q4061">
        <v>30.315130790000001</v>
      </c>
      <c r="R4061">
        <v>5.0803484000000003E-2</v>
      </c>
      <c r="S4061">
        <v>0.42866070000000001</v>
      </c>
      <c r="T4061" t="s">
        <v>1019</v>
      </c>
      <c r="U4061">
        <v>0</v>
      </c>
    </row>
    <row r="4062" spans="1:21" x14ac:dyDescent="0.25">
      <c r="A4062" t="s">
        <v>41</v>
      </c>
      <c r="B4062" t="s">
        <v>955</v>
      </c>
      <c r="C4062">
        <v>2</v>
      </c>
      <c r="D4062" t="s">
        <v>19</v>
      </c>
      <c r="E4062" t="s">
        <v>94</v>
      </c>
      <c r="F4062" t="s">
        <v>103</v>
      </c>
      <c r="G4062" t="s">
        <v>113</v>
      </c>
      <c r="H4062" t="s">
        <v>113</v>
      </c>
      <c r="J4062">
        <v>0</v>
      </c>
      <c r="K4062">
        <v>3</v>
      </c>
      <c r="L4062">
        <v>98.291666669999998</v>
      </c>
      <c r="M4062">
        <v>30.315130790000001</v>
      </c>
      <c r="N4062">
        <v>5.0803484000000003E-2</v>
      </c>
      <c r="O4062">
        <v>0.42866070000000001</v>
      </c>
      <c r="P4062">
        <v>83.757575759999995</v>
      </c>
      <c r="Q4062">
        <v>22.60997987</v>
      </c>
      <c r="R4062">
        <v>0.72884000000000004</v>
      </c>
      <c r="S4062">
        <v>0.21301339999999999</v>
      </c>
      <c r="T4062" t="s">
        <v>1019</v>
      </c>
      <c r="U4062">
        <v>0.67803651600000003</v>
      </c>
    </row>
    <row r="4063" spans="1:21" x14ac:dyDescent="0.25">
      <c r="A4063" t="s">
        <v>41</v>
      </c>
      <c r="B4063" t="s">
        <v>955</v>
      </c>
      <c r="C4063">
        <v>2</v>
      </c>
      <c r="D4063" t="s">
        <v>19</v>
      </c>
      <c r="E4063" t="s">
        <v>94</v>
      </c>
      <c r="F4063" t="s">
        <v>103</v>
      </c>
      <c r="G4063" t="s">
        <v>113</v>
      </c>
      <c r="H4063" t="s">
        <v>113</v>
      </c>
      <c r="J4063">
        <v>0</v>
      </c>
      <c r="K4063">
        <v>3</v>
      </c>
      <c r="L4063">
        <v>98.291666669999998</v>
      </c>
      <c r="M4063">
        <v>30.315130790000001</v>
      </c>
      <c r="N4063">
        <v>5.0803484000000003E-2</v>
      </c>
      <c r="O4063">
        <v>0.42866070000000001</v>
      </c>
      <c r="P4063">
        <v>83.757575759999995</v>
      </c>
      <c r="Q4063">
        <v>22.60997987</v>
      </c>
      <c r="R4063">
        <v>0.72884000000000004</v>
      </c>
      <c r="S4063">
        <v>0.21301339999999999</v>
      </c>
      <c r="T4063" t="s">
        <v>1019</v>
      </c>
      <c r="U4063">
        <v>0.67803651600000003</v>
      </c>
    </row>
    <row r="4064" spans="1:21" x14ac:dyDescent="0.25">
      <c r="A4064" t="s">
        <v>41</v>
      </c>
      <c r="B4064" t="s">
        <v>955</v>
      </c>
      <c r="C4064">
        <v>2</v>
      </c>
      <c r="D4064" t="s">
        <v>19</v>
      </c>
      <c r="E4064" t="s">
        <v>94</v>
      </c>
      <c r="F4064" t="s">
        <v>103</v>
      </c>
      <c r="G4064" t="s">
        <v>113</v>
      </c>
      <c r="H4064" t="s">
        <v>113</v>
      </c>
      <c r="J4064">
        <v>0</v>
      </c>
      <c r="K4064">
        <v>3</v>
      </c>
      <c r="L4064">
        <v>98.291666669999998</v>
      </c>
      <c r="M4064">
        <v>30.315130790000001</v>
      </c>
      <c r="N4064">
        <v>5.0803484000000003E-2</v>
      </c>
      <c r="O4064">
        <v>0.42866070000000001</v>
      </c>
      <c r="P4064">
        <v>83.757575759999995</v>
      </c>
      <c r="Q4064">
        <v>22.60997987</v>
      </c>
      <c r="R4064">
        <v>0.72884000000000004</v>
      </c>
      <c r="S4064">
        <v>0.21301339999999999</v>
      </c>
      <c r="T4064" t="s">
        <v>1019</v>
      </c>
      <c r="U4064">
        <v>0.67803651600000003</v>
      </c>
    </row>
    <row r="4065" spans="1:21" x14ac:dyDescent="0.25">
      <c r="A4065" t="s">
        <v>42</v>
      </c>
      <c r="B4065" t="s">
        <v>956</v>
      </c>
      <c r="C4065">
        <v>2</v>
      </c>
      <c r="D4065" t="s">
        <v>21</v>
      </c>
      <c r="E4065" t="s">
        <v>94</v>
      </c>
      <c r="F4065" t="s">
        <v>105</v>
      </c>
      <c r="G4065" t="s">
        <v>121</v>
      </c>
      <c r="H4065" t="s">
        <v>242</v>
      </c>
      <c r="J4065">
        <v>0</v>
      </c>
      <c r="K4065">
        <v>6</v>
      </c>
      <c r="L4065">
        <v>67.5</v>
      </c>
      <c r="M4065">
        <v>47.937235809999997</v>
      </c>
      <c r="N4065">
        <v>0.41599678000000001</v>
      </c>
      <c r="O4065">
        <v>2.0950346999999998</v>
      </c>
      <c r="P4065">
        <v>139.375</v>
      </c>
      <c r="Q4065">
        <v>23.713465920000001</v>
      </c>
      <c r="R4065" t="s">
        <v>114</v>
      </c>
      <c r="S4065" t="s">
        <v>114</v>
      </c>
      <c r="T4065" t="s">
        <v>1019</v>
      </c>
      <c r="U4065" t="s">
        <v>114</v>
      </c>
    </row>
    <row r="4066" spans="1:21" x14ac:dyDescent="0.25">
      <c r="A4066" t="s">
        <v>42</v>
      </c>
      <c r="B4066" t="s">
        <v>956</v>
      </c>
      <c r="C4066">
        <v>2</v>
      </c>
      <c r="D4066" t="s">
        <v>21</v>
      </c>
      <c r="E4066" t="s">
        <v>94</v>
      </c>
      <c r="F4066" t="s">
        <v>105</v>
      </c>
      <c r="G4066" t="s">
        <v>121</v>
      </c>
      <c r="H4066" t="s">
        <v>242</v>
      </c>
      <c r="J4066">
        <v>0</v>
      </c>
      <c r="K4066">
        <v>6</v>
      </c>
      <c r="L4066">
        <v>67.5</v>
      </c>
      <c r="M4066">
        <v>47.937235809999997</v>
      </c>
      <c r="N4066">
        <v>0.41599678000000001</v>
      </c>
      <c r="O4066">
        <v>2.0950346999999998</v>
      </c>
      <c r="P4066">
        <v>139.375</v>
      </c>
      <c r="Q4066">
        <v>23.713465920000001</v>
      </c>
      <c r="R4066" t="s">
        <v>114</v>
      </c>
      <c r="S4066" t="s">
        <v>114</v>
      </c>
      <c r="T4066" t="s">
        <v>1019</v>
      </c>
      <c r="U4066" t="s">
        <v>114</v>
      </c>
    </row>
    <row r="4067" spans="1:21" x14ac:dyDescent="0.25">
      <c r="A4067" t="s">
        <v>42</v>
      </c>
      <c r="B4067" t="s">
        <v>956</v>
      </c>
      <c r="C4067">
        <v>2</v>
      </c>
      <c r="D4067" t="s">
        <v>21</v>
      </c>
      <c r="E4067" t="s">
        <v>94</v>
      </c>
      <c r="F4067" t="s">
        <v>105</v>
      </c>
      <c r="G4067" t="s">
        <v>121</v>
      </c>
      <c r="H4067" t="s">
        <v>242</v>
      </c>
      <c r="J4067">
        <v>0</v>
      </c>
      <c r="K4067">
        <v>6</v>
      </c>
      <c r="L4067">
        <v>67.5</v>
      </c>
      <c r="M4067">
        <v>47.937235809999997</v>
      </c>
      <c r="N4067">
        <v>0.41599678000000001</v>
      </c>
      <c r="O4067">
        <v>2.0950346999999998</v>
      </c>
      <c r="P4067">
        <v>139.375</v>
      </c>
      <c r="Q4067">
        <v>23.713465920000001</v>
      </c>
      <c r="R4067" t="s">
        <v>114</v>
      </c>
      <c r="S4067" t="s">
        <v>114</v>
      </c>
      <c r="T4067" t="s">
        <v>1019</v>
      </c>
      <c r="U4067" t="s">
        <v>114</v>
      </c>
    </row>
    <row r="4068" spans="1:21" x14ac:dyDescent="0.25">
      <c r="A4068" t="s">
        <v>42</v>
      </c>
      <c r="B4068" t="s">
        <v>956</v>
      </c>
      <c r="C4068">
        <v>2</v>
      </c>
      <c r="D4068" t="s">
        <v>21</v>
      </c>
      <c r="E4068" t="s">
        <v>94</v>
      </c>
      <c r="F4068" t="s">
        <v>105</v>
      </c>
      <c r="G4068" t="s">
        <v>121</v>
      </c>
      <c r="H4068" t="s">
        <v>242</v>
      </c>
      <c r="J4068">
        <v>0</v>
      </c>
      <c r="K4068">
        <v>6</v>
      </c>
      <c r="L4068">
        <v>67.5</v>
      </c>
      <c r="M4068">
        <v>47.937235809999997</v>
      </c>
      <c r="N4068">
        <v>0.41599678000000001</v>
      </c>
      <c r="O4068">
        <v>2.0950346999999998</v>
      </c>
      <c r="P4068">
        <v>139.375</v>
      </c>
      <c r="Q4068">
        <v>23.713465920000001</v>
      </c>
      <c r="R4068" t="s">
        <v>114</v>
      </c>
      <c r="S4068" t="s">
        <v>114</v>
      </c>
      <c r="T4068" t="s">
        <v>1019</v>
      </c>
      <c r="U4068" t="s">
        <v>114</v>
      </c>
    </row>
    <row r="4069" spans="1:21" x14ac:dyDescent="0.25">
      <c r="A4069" t="s">
        <v>42</v>
      </c>
      <c r="B4069" t="s">
        <v>956</v>
      </c>
      <c r="C4069">
        <v>2</v>
      </c>
      <c r="D4069" t="s">
        <v>21</v>
      </c>
      <c r="E4069" t="s">
        <v>94</v>
      </c>
      <c r="F4069" t="s">
        <v>105</v>
      </c>
      <c r="G4069" t="s">
        <v>121</v>
      </c>
      <c r="H4069" t="s">
        <v>242</v>
      </c>
      <c r="J4069">
        <v>0</v>
      </c>
      <c r="K4069">
        <v>6</v>
      </c>
      <c r="L4069">
        <v>67.5</v>
      </c>
      <c r="M4069">
        <v>47.937235809999997</v>
      </c>
      <c r="N4069">
        <v>0.41599678000000001</v>
      </c>
      <c r="O4069">
        <v>2.0950346999999998</v>
      </c>
      <c r="P4069">
        <v>139.375</v>
      </c>
      <c r="Q4069">
        <v>23.713465920000001</v>
      </c>
      <c r="R4069" t="s">
        <v>114</v>
      </c>
      <c r="S4069" t="s">
        <v>114</v>
      </c>
      <c r="T4069" t="s">
        <v>1019</v>
      </c>
      <c r="U4069" t="s">
        <v>114</v>
      </c>
    </row>
    <row r="4070" spans="1:21" x14ac:dyDescent="0.25">
      <c r="A4070" t="s">
        <v>42</v>
      </c>
      <c r="B4070" t="s">
        <v>956</v>
      </c>
      <c r="C4070">
        <v>2</v>
      </c>
      <c r="D4070" t="s">
        <v>21</v>
      </c>
      <c r="E4070" t="s">
        <v>94</v>
      </c>
      <c r="F4070" t="s">
        <v>105</v>
      </c>
      <c r="G4070" t="s">
        <v>121</v>
      </c>
      <c r="H4070" t="s">
        <v>242</v>
      </c>
      <c r="J4070">
        <v>0</v>
      </c>
      <c r="K4070">
        <v>6</v>
      </c>
      <c r="L4070">
        <v>67.5</v>
      </c>
      <c r="M4070">
        <v>47.937235809999997</v>
      </c>
      <c r="N4070">
        <v>0.41599678000000001</v>
      </c>
      <c r="O4070">
        <v>2.0950346999999998</v>
      </c>
      <c r="P4070">
        <v>139.375</v>
      </c>
      <c r="Q4070">
        <v>23.713465920000001</v>
      </c>
      <c r="R4070" t="s">
        <v>114</v>
      </c>
      <c r="S4070" t="s">
        <v>114</v>
      </c>
      <c r="T4070" t="s">
        <v>1019</v>
      </c>
      <c r="U4070" t="s">
        <v>114</v>
      </c>
    </row>
    <row r="4071" spans="1:21" x14ac:dyDescent="0.25">
      <c r="A4071" t="s">
        <v>42</v>
      </c>
      <c r="B4071" t="s">
        <v>957</v>
      </c>
      <c r="C4071">
        <v>2</v>
      </c>
      <c r="D4071" t="s">
        <v>21</v>
      </c>
      <c r="E4071" t="s">
        <v>94</v>
      </c>
      <c r="F4071" t="s">
        <v>110</v>
      </c>
      <c r="G4071" t="s">
        <v>113</v>
      </c>
      <c r="H4071" t="s">
        <v>104</v>
      </c>
      <c r="J4071">
        <v>0</v>
      </c>
      <c r="K4071">
        <v>2</v>
      </c>
      <c r="L4071">
        <v>73.260869569999997</v>
      </c>
      <c r="M4071">
        <v>34.453830549999999</v>
      </c>
      <c r="N4071">
        <v>1.058333333</v>
      </c>
      <c r="O4071">
        <v>0.90897070000000002</v>
      </c>
      <c r="P4071">
        <v>113.9375</v>
      </c>
      <c r="Q4071">
        <v>33.375507550000002</v>
      </c>
      <c r="R4071">
        <v>2.4262999999999999</v>
      </c>
      <c r="S4071">
        <v>0.40692159999999999</v>
      </c>
      <c r="T4071" t="s">
        <v>1019</v>
      </c>
      <c r="U4071">
        <v>1.3679666669999999</v>
      </c>
    </row>
    <row r="4072" spans="1:21" x14ac:dyDescent="0.25">
      <c r="A4072" t="s">
        <v>42</v>
      </c>
      <c r="B4072" t="s">
        <v>957</v>
      </c>
      <c r="C4072">
        <v>2</v>
      </c>
      <c r="D4072" t="s">
        <v>21</v>
      </c>
      <c r="E4072" t="s">
        <v>94</v>
      </c>
      <c r="F4072" t="s">
        <v>110</v>
      </c>
      <c r="G4072" t="s">
        <v>113</v>
      </c>
      <c r="H4072" t="s">
        <v>104</v>
      </c>
      <c r="J4072">
        <v>0</v>
      </c>
      <c r="K4072">
        <v>2</v>
      </c>
      <c r="L4072">
        <v>73.260869569999997</v>
      </c>
      <c r="M4072">
        <v>34.453830549999999</v>
      </c>
      <c r="N4072">
        <v>1.058333333</v>
      </c>
      <c r="O4072">
        <v>0.90897070000000002</v>
      </c>
      <c r="P4072">
        <v>113.9375</v>
      </c>
      <c r="Q4072">
        <v>33.375507550000002</v>
      </c>
      <c r="R4072">
        <v>2.4262999999999999</v>
      </c>
      <c r="S4072">
        <v>0.40692159999999999</v>
      </c>
      <c r="T4072" t="s">
        <v>1019</v>
      </c>
      <c r="U4072">
        <v>1.3679666669999999</v>
      </c>
    </row>
    <row r="4073" spans="1:21" x14ac:dyDescent="0.25">
      <c r="A4073" t="s">
        <v>42</v>
      </c>
      <c r="B4073" t="s">
        <v>957</v>
      </c>
      <c r="C4073">
        <v>2</v>
      </c>
      <c r="D4073" t="s">
        <v>21</v>
      </c>
      <c r="E4073" t="s">
        <v>94</v>
      </c>
      <c r="F4073" t="s">
        <v>110</v>
      </c>
      <c r="G4073" t="s">
        <v>113</v>
      </c>
      <c r="H4073" t="s">
        <v>242</v>
      </c>
      <c r="J4073">
        <v>0</v>
      </c>
      <c r="K4073">
        <v>5</v>
      </c>
      <c r="L4073">
        <v>73.260869569999997</v>
      </c>
      <c r="M4073">
        <v>34.453830549999999</v>
      </c>
      <c r="N4073">
        <v>1.058333333</v>
      </c>
      <c r="O4073">
        <v>0.90897070000000002</v>
      </c>
      <c r="P4073">
        <v>139.375</v>
      </c>
      <c r="Q4073">
        <v>23.713465920000001</v>
      </c>
      <c r="R4073" t="s">
        <v>114</v>
      </c>
      <c r="S4073" t="s">
        <v>114</v>
      </c>
      <c r="T4073" t="s">
        <v>1019</v>
      </c>
      <c r="U4073" t="s">
        <v>114</v>
      </c>
    </row>
    <row r="4074" spans="1:21" x14ac:dyDescent="0.25">
      <c r="A4074" t="s">
        <v>42</v>
      </c>
      <c r="B4074" t="s">
        <v>957</v>
      </c>
      <c r="C4074">
        <v>2</v>
      </c>
      <c r="D4074" t="s">
        <v>21</v>
      </c>
      <c r="E4074" t="s">
        <v>94</v>
      </c>
      <c r="F4074" t="s">
        <v>110</v>
      </c>
      <c r="G4074" t="s">
        <v>113</v>
      </c>
      <c r="H4074" t="s">
        <v>242</v>
      </c>
      <c r="J4074">
        <v>0</v>
      </c>
      <c r="K4074">
        <v>5</v>
      </c>
      <c r="L4074">
        <v>73.260869569999997</v>
      </c>
      <c r="M4074">
        <v>34.453830549999999</v>
      </c>
      <c r="N4074">
        <v>1.058333333</v>
      </c>
      <c r="O4074">
        <v>0.90897070000000002</v>
      </c>
      <c r="P4074">
        <v>139.375</v>
      </c>
      <c r="Q4074">
        <v>23.713465920000001</v>
      </c>
      <c r="R4074" t="s">
        <v>114</v>
      </c>
      <c r="S4074" t="s">
        <v>114</v>
      </c>
      <c r="T4074" t="s">
        <v>1019</v>
      </c>
      <c r="U4074" t="s">
        <v>114</v>
      </c>
    </row>
    <row r="4075" spans="1:21" x14ac:dyDescent="0.25">
      <c r="A4075" t="s">
        <v>42</v>
      </c>
      <c r="B4075" t="s">
        <v>957</v>
      </c>
      <c r="C4075">
        <v>2</v>
      </c>
      <c r="D4075" t="s">
        <v>21</v>
      </c>
      <c r="E4075" t="s">
        <v>94</v>
      </c>
      <c r="F4075" t="s">
        <v>110</v>
      </c>
      <c r="G4075" t="s">
        <v>113</v>
      </c>
      <c r="H4075" t="s">
        <v>242</v>
      </c>
      <c r="J4075">
        <v>0</v>
      </c>
      <c r="K4075">
        <v>5</v>
      </c>
      <c r="L4075">
        <v>73.260869569999997</v>
      </c>
      <c r="M4075">
        <v>34.453830549999999</v>
      </c>
      <c r="N4075">
        <v>1.058333333</v>
      </c>
      <c r="O4075">
        <v>0.90897070000000002</v>
      </c>
      <c r="P4075">
        <v>139.375</v>
      </c>
      <c r="Q4075">
        <v>23.713465920000001</v>
      </c>
      <c r="R4075" t="s">
        <v>114</v>
      </c>
      <c r="S4075" t="s">
        <v>114</v>
      </c>
      <c r="T4075" t="s">
        <v>1019</v>
      </c>
      <c r="U4075" t="s">
        <v>114</v>
      </c>
    </row>
    <row r="4076" spans="1:21" x14ac:dyDescent="0.25">
      <c r="A4076" t="s">
        <v>42</v>
      </c>
      <c r="B4076" t="s">
        <v>957</v>
      </c>
      <c r="C4076">
        <v>2</v>
      </c>
      <c r="D4076" t="s">
        <v>21</v>
      </c>
      <c r="E4076" t="s">
        <v>94</v>
      </c>
      <c r="F4076" t="s">
        <v>110</v>
      </c>
      <c r="G4076" t="s">
        <v>113</v>
      </c>
      <c r="H4076" t="s">
        <v>242</v>
      </c>
      <c r="J4076">
        <v>0</v>
      </c>
      <c r="K4076">
        <v>5</v>
      </c>
      <c r="L4076">
        <v>73.260869569999997</v>
      </c>
      <c r="M4076">
        <v>34.453830549999999</v>
      </c>
      <c r="N4076">
        <v>1.058333333</v>
      </c>
      <c r="O4076">
        <v>0.90897070000000002</v>
      </c>
      <c r="P4076">
        <v>139.375</v>
      </c>
      <c r="Q4076">
        <v>23.713465920000001</v>
      </c>
      <c r="R4076" t="s">
        <v>114</v>
      </c>
      <c r="S4076" t="s">
        <v>114</v>
      </c>
      <c r="T4076" t="s">
        <v>1019</v>
      </c>
      <c r="U4076" t="s">
        <v>114</v>
      </c>
    </row>
    <row r="4077" spans="1:21" x14ac:dyDescent="0.25">
      <c r="A4077" t="s">
        <v>42</v>
      </c>
      <c r="B4077" t="s">
        <v>957</v>
      </c>
      <c r="C4077">
        <v>2</v>
      </c>
      <c r="D4077" t="s">
        <v>21</v>
      </c>
      <c r="E4077" t="s">
        <v>94</v>
      </c>
      <c r="F4077" t="s">
        <v>110</v>
      </c>
      <c r="G4077" t="s">
        <v>113</v>
      </c>
      <c r="H4077" t="s">
        <v>242</v>
      </c>
      <c r="J4077">
        <v>0</v>
      </c>
      <c r="K4077">
        <v>5</v>
      </c>
      <c r="L4077">
        <v>73.260869569999997</v>
      </c>
      <c r="M4077">
        <v>34.453830549999999</v>
      </c>
      <c r="N4077">
        <v>1.058333333</v>
      </c>
      <c r="O4077">
        <v>0.90897070000000002</v>
      </c>
      <c r="P4077">
        <v>139.375</v>
      </c>
      <c r="Q4077">
        <v>23.713465920000001</v>
      </c>
      <c r="R4077" t="s">
        <v>114</v>
      </c>
      <c r="S4077" t="s">
        <v>114</v>
      </c>
      <c r="T4077" t="s">
        <v>1019</v>
      </c>
      <c r="U4077" t="s">
        <v>114</v>
      </c>
    </row>
    <row r="4078" spans="1:21" x14ac:dyDescent="0.25">
      <c r="A4078" t="s">
        <v>42</v>
      </c>
      <c r="B4078" t="s">
        <v>957</v>
      </c>
      <c r="C4078">
        <v>2</v>
      </c>
      <c r="D4078" t="s">
        <v>21</v>
      </c>
      <c r="E4078" t="s">
        <v>94</v>
      </c>
      <c r="F4078" t="s">
        <v>110</v>
      </c>
      <c r="G4078" t="s">
        <v>113</v>
      </c>
      <c r="H4078" t="s">
        <v>113</v>
      </c>
      <c r="J4078">
        <v>0</v>
      </c>
      <c r="K4078">
        <v>2</v>
      </c>
      <c r="L4078">
        <v>73.260869569999997</v>
      </c>
      <c r="M4078">
        <v>34.453830549999999</v>
      </c>
      <c r="N4078">
        <v>1.058333333</v>
      </c>
      <c r="O4078">
        <v>0.90897070000000002</v>
      </c>
      <c r="P4078">
        <v>83.757575759999995</v>
      </c>
      <c r="Q4078">
        <v>22.60997987</v>
      </c>
      <c r="R4078">
        <v>0.72884000000000004</v>
      </c>
      <c r="S4078">
        <v>0.21301339999999999</v>
      </c>
      <c r="T4078" t="s">
        <v>1019</v>
      </c>
      <c r="U4078">
        <v>0.329493333</v>
      </c>
    </row>
    <row r="4079" spans="1:21" x14ac:dyDescent="0.25">
      <c r="A4079" t="s">
        <v>42</v>
      </c>
      <c r="B4079" t="s">
        <v>957</v>
      </c>
      <c r="C4079">
        <v>2</v>
      </c>
      <c r="D4079" t="s">
        <v>21</v>
      </c>
      <c r="E4079" t="s">
        <v>94</v>
      </c>
      <c r="F4079" t="s">
        <v>110</v>
      </c>
      <c r="G4079" t="s">
        <v>113</v>
      </c>
      <c r="H4079" t="s">
        <v>113</v>
      </c>
      <c r="J4079">
        <v>0</v>
      </c>
      <c r="K4079">
        <v>2</v>
      </c>
      <c r="L4079">
        <v>73.260869569999997</v>
      </c>
      <c r="M4079">
        <v>34.453830549999999</v>
      </c>
      <c r="N4079">
        <v>1.058333333</v>
      </c>
      <c r="O4079">
        <v>0.90897070000000002</v>
      </c>
      <c r="P4079">
        <v>83.757575759999995</v>
      </c>
      <c r="Q4079">
        <v>22.60997987</v>
      </c>
      <c r="R4079">
        <v>0.72884000000000004</v>
      </c>
      <c r="S4079">
        <v>0.21301339999999999</v>
      </c>
      <c r="T4079" t="s">
        <v>1019</v>
      </c>
      <c r="U4079">
        <v>0.329493333</v>
      </c>
    </row>
    <row r="4080" spans="1:21" x14ac:dyDescent="0.25">
      <c r="A4080" t="s">
        <v>42</v>
      </c>
      <c r="B4080" t="s">
        <v>958</v>
      </c>
      <c r="C4080">
        <v>2</v>
      </c>
      <c r="D4080" t="s">
        <v>21</v>
      </c>
      <c r="E4080" t="s">
        <v>94</v>
      </c>
      <c r="F4080" t="s">
        <v>111</v>
      </c>
      <c r="G4080" t="s">
        <v>110</v>
      </c>
      <c r="H4080" t="s">
        <v>113</v>
      </c>
      <c r="J4080">
        <v>0</v>
      </c>
      <c r="K4080">
        <v>1</v>
      </c>
      <c r="L4080">
        <v>94.97142857</v>
      </c>
      <c r="M4080">
        <v>24.31591813</v>
      </c>
      <c r="N4080">
        <v>0.122951111</v>
      </c>
      <c r="O4080">
        <v>0.39050790000000002</v>
      </c>
      <c r="P4080">
        <v>83.757575759999995</v>
      </c>
      <c r="Q4080">
        <v>22.60997987</v>
      </c>
      <c r="R4080">
        <v>0.72884000000000004</v>
      </c>
      <c r="S4080">
        <v>0.21301339999999999</v>
      </c>
      <c r="T4080" t="s">
        <v>1019</v>
      </c>
      <c r="U4080">
        <v>0.60588888900000004</v>
      </c>
    </row>
    <row r="4081" spans="1:21" x14ac:dyDescent="0.25">
      <c r="A4081" t="s">
        <v>42</v>
      </c>
      <c r="B4081" t="s">
        <v>958</v>
      </c>
      <c r="C4081">
        <v>2</v>
      </c>
      <c r="D4081" t="s">
        <v>21</v>
      </c>
      <c r="E4081" t="s">
        <v>94</v>
      </c>
      <c r="F4081" t="s">
        <v>111</v>
      </c>
      <c r="G4081" t="s">
        <v>110</v>
      </c>
      <c r="H4081" t="s">
        <v>110</v>
      </c>
      <c r="J4081">
        <v>0</v>
      </c>
      <c r="K4081">
        <v>1</v>
      </c>
      <c r="L4081">
        <v>94.97142857</v>
      </c>
      <c r="M4081">
        <v>24.31591813</v>
      </c>
      <c r="N4081">
        <v>0.122951111</v>
      </c>
      <c r="O4081">
        <v>0.39050790000000002</v>
      </c>
      <c r="P4081">
        <v>73.260869569999997</v>
      </c>
      <c r="Q4081">
        <v>34.453830549999999</v>
      </c>
      <c r="R4081">
        <v>1.058333333</v>
      </c>
      <c r="S4081">
        <v>0.90897070000000002</v>
      </c>
      <c r="T4081" t="s">
        <v>1019</v>
      </c>
      <c r="U4081">
        <v>0.93538222199999999</v>
      </c>
    </row>
    <row r="4082" spans="1:21" x14ac:dyDescent="0.25">
      <c r="A4082" t="s">
        <v>42</v>
      </c>
      <c r="B4082" t="s">
        <v>959</v>
      </c>
      <c r="C4082">
        <v>2</v>
      </c>
      <c r="D4082" t="s">
        <v>21</v>
      </c>
      <c r="E4082" t="s">
        <v>94</v>
      </c>
      <c r="F4082" t="s">
        <v>104</v>
      </c>
      <c r="G4082" t="s">
        <v>121</v>
      </c>
      <c r="H4082" t="s">
        <v>110</v>
      </c>
      <c r="J4082">
        <v>1</v>
      </c>
      <c r="K4082">
        <v>2</v>
      </c>
      <c r="L4082">
        <v>113.9375</v>
      </c>
      <c r="M4082">
        <v>33.375507550000002</v>
      </c>
      <c r="N4082">
        <v>2.4262999999999999</v>
      </c>
      <c r="O4082">
        <v>0.40692159999999999</v>
      </c>
      <c r="P4082">
        <v>73.260869569999997</v>
      </c>
      <c r="Q4082">
        <v>34.453830549999999</v>
      </c>
      <c r="R4082">
        <v>1.058333333</v>
      </c>
      <c r="S4082">
        <v>0.90897070000000002</v>
      </c>
      <c r="T4082" t="s">
        <v>1019</v>
      </c>
      <c r="U4082">
        <v>1.3679666669999999</v>
      </c>
    </row>
    <row r="4083" spans="1:21" x14ac:dyDescent="0.25">
      <c r="A4083" t="s">
        <v>42</v>
      </c>
      <c r="B4083" t="s">
        <v>959</v>
      </c>
      <c r="C4083">
        <v>2</v>
      </c>
      <c r="D4083" t="s">
        <v>21</v>
      </c>
      <c r="E4083" t="s">
        <v>94</v>
      </c>
      <c r="F4083" t="s">
        <v>104</v>
      </c>
      <c r="G4083" t="s">
        <v>121</v>
      </c>
      <c r="H4083" t="s">
        <v>110</v>
      </c>
      <c r="J4083">
        <v>1</v>
      </c>
      <c r="K4083">
        <v>2</v>
      </c>
      <c r="L4083">
        <v>113.9375</v>
      </c>
      <c r="M4083">
        <v>33.375507550000002</v>
      </c>
      <c r="N4083">
        <v>2.4262999999999999</v>
      </c>
      <c r="O4083">
        <v>0.40692159999999999</v>
      </c>
      <c r="P4083">
        <v>73.260869569999997</v>
      </c>
      <c r="Q4083">
        <v>34.453830549999999</v>
      </c>
      <c r="R4083">
        <v>1.058333333</v>
      </c>
      <c r="S4083">
        <v>0.90897070000000002</v>
      </c>
      <c r="T4083" t="s">
        <v>1019</v>
      </c>
      <c r="U4083">
        <v>1.3679666669999999</v>
      </c>
    </row>
    <row r="4084" spans="1:21" x14ac:dyDescent="0.25">
      <c r="A4084" t="s">
        <v>42</v>
      </c>
      <c r="B4084" t="s">
        <v>959</v>
      </c>
      <c r="C4084">
        <v>2</v>
      </c>
      <c r="D4084" t="s">
        <v>21</v>
      </c>
      <c r="E4084" t="s">
        <v>94</v>
      </c>
      <c r="F4084" t="s">
        <v>104</v>
      </c>
      <c r="G4084" t="s">
        <v>121</v>
      </c>
      <c r="H4084" t="s">
        <v>240</v>
      </c>
      <c r="J4084">
        <v>1</v>
      </c>
      <c r="K4084">
        <v>2</v>
      </c>
      <c r="L4084">
        <v>113.9375</v>
      </c>
      <c r="M4084">
        <v>33.375507550000002</v>
      </c>
      <c r="N4084">
        <v>2.4262999999999999</v>
      </c>
      <c r="O4084">
        <v>0.40692159999999999</v>
      </c>
      <c r="P4084">
        <v>104.83333330000001</v>
      </c>
      <c r="Q4084">
        <v>43.798647680000002</v>
      </c>
      <c r="R4084">
        <v>7.7741939999999999E-3</v>
      </c>
      <c r="S4084" t="s">
        <v>114</v>
      </c>
      <c r="T4084" t="s">
        <v>1019</v>
      </c>
      <c r="U4084">
        <v>2.4185258059999999</v>
      </c>
    </row>
    <row r="4085" spans="1:21" x14ac:dyDescent="0.25">
      <c r="A4085" t="s">
        <v>42</v>
      </c>
      <c r="B4085" t="s">
        <v>959</v>
      </c>
      <c r="C4085">
        <v>2</v>
      </c>
      <c r="D4085" t="s">
        <v>21</v>
      </c>
      <c r="E4085" t="s">
        <v>94</v>
      </c>
      <c r="F4085" t="s">
        <v>104</v>
      </c>
      <c r="G4085" t="s">
        <v>121</v>
      </c>
      <c r="H4085" t="s">
        <v>240</v>
      </c>
      <c r="J4085">
        <v>1</v>
      </c>
      <c r="K4085">
        <v>2</v>
      </c>
      <c r="L4085">
        <v>113.9375</v>
      </c>
      <c r="M4085">
        <v>33.375507550000002</v>
      </c>
      <c r="N4085">
        <v>2.4262999999999999</v>
      </c>
      <c r="O4085">
        <v>0.40692159999999999</v>
      </c>
      <c r="P4085">
        <v>104.83333330000001</v>
      </c>
      <c r="Q4085">
        <v>43.798647680000002</v>
      </c>
      <c r="R4085">
        <v>7.7741939999999999E-3</v>
      </c>
      <c r="S4085" t="s">
        <v>114</v>
      </c>
      <c r="T4085" t="s">
        <v>1019</v>
      </c>
      <c r="U4085">
        <v>2.4185258059999999</v>
      </c>
    </row>
    <row r="4086" spans="1:21" x14ac:dyDescent="0.25">
      <c r="A4086" t="s">
        <v>42</v>
      </c>
      <c r="B4086" t="s">
        <v>959</v>
      </c>
      <c r="C4086">
        <v>2</v>
      </c>
      <c r="D4086" t="s">
        <v>21</v>
      </c>
      <c r="E4086" t="s">
        <v>94</v>
      </c>
      <c r="F4086" t="s">
        <v>104</v>
      </c>
      <c r="G4086" t="s">
        <v>121</v>
      </c>
      <c r="H4086" t="s">
        <v>241</v>
      </c>
      <c r="J4086">
        <v>1</v>
      </c>
      <c r="K4086">
        <v>1</v>
      </c>
      <c r="L4086">
        <v>113.9375</v>
      </c>
      <c r="M4086">
        <v>33.375507550000002</v>
      </c>
      <c r="N4086">
        <v>2.4262999999999999</v>
      </c>
      <c r="O4086">
        <v>0.40692159999999999</v>
      </c>
      <c r="P4086">
        <v>114</v>
      </c>
      <c r="Q4086">
        <v>30.43077242</v>
      </c>
      <c r="R4086">
        <v>0.53383111100000002</v>
      </c>
      <c r="S4086">
        <v>0.28333332999999999</v>
      </c>
      <c r="T4086" t="s">
        <v>1019</v>
      </c>
      <c r="U4086">
        <v>1.8924688890000001</v>
      </c>
    </row>
    <row r="4087" spans="1:21" x14ac:dyDescent="0.25">
      <c r="A4087" t="s">
        <v>43</v>
      </c>
      <c r="B4087" t="s">
        <v>960</v>
      </c>
      <c r="C4087">
        <v>2</v>
      </c>
      <c r="D4087" t="s">
        <v>23</v>
      </c>
      <c r="E4087" t="s">
        <v>94</v>
      </c>
      <c r="F4087" t="s">
        <v>105</v>
      </c>
      <c r="G4087" t="s">
        <v>104</v>
      </c>
      <c r="H4087" t="s">
        <v>104</v>
      </c>
      <c r="J4087">
        <v>0</v>
      </c>
      <c r="K4087">
        <v>1</v>
      </c>
      <c r="L4087">
        <v>67.5</v>
      </c>
      <c r="M4087">
        <v>47.937235809999997</v>
      </c>
      <c r="N4087">
        <v>0.41599678000000001</v>
      </c>
      <c r="O4087">
        <v>2.0950346999999998</v>
      </c>
      <c r="P4087">
        <v>113.9375</v>
      </c>
      <c r="Q4087">
        <v>33.375507550000002</v>
      </c>
      <c r="R4087">
        <v>2.4262999999999999</v>
      </c>
      <c r="S4087">
        <v>0.40692159999999999</v>
      </c>
      <c r="T4087" t="s">
        <v>1019</v>
      </c>
      <c r="U4087">
        <v>2.0103032199999999</v>
      </c>
    </row>
    <row r="4088" spans="1:21" x14ac:dyDescent="0.25">
      <c r="A4088" t="s">
        <v>43</v>
      </c>
      <c r="B4088" t="s">
        <v>961</v>
      </c>
      <c r="C4088">
        <v>2</v>
      </c>
      <c r="D4088" t="s">
        <v>23</v>
      </c>
      <c r="E4088" t="s">
        <v>94</v>
      </c>
      <c r="F4088" t="s">
        <v>110</v>
      </c>
      <c r="G4088" t="s">
        <v>110</v>
      </c>
      <c r="H4088" t="s">
        <v>110</v>
      </c>
      <c r="J4088">
        <v>0</v>
      </c>
      <c r="K4088">
        <v>1</v>
      </c>
      <c r="L4088">
        <v>73.260869569999997</v>
      </c>
      <c r="M4088">
        <v>34.453830549999999</v>
      </c>
      <c r="N4088">
        <v>1.058333333</v>
      </c>
      <c r="O4088">
        <v>0.90897070000000002</v>
      </c>
      <c r="P4088">
        <v>73.260869569999997</v>
      </c>
      <c r="Q4088">
        <v>34.453830549999999</v>
      </c>
      <c r="R4088">
        <v>1.058333333</v>
      </c>
      <c r="S4088">
        <v>0.90897070000000002</v>
      </c>
      <c r="T4088" t="s">
        <v>1019</v>
      </c>
      <c r="U4088">
        <v>0</v>
      </c>
    </row>
    <row r="4089" spans="1:21" x14ac:dyDescent="0.25">
      <c r="A4089" t="s">
        <v>43</v>
      </c>
      <c r="B4089" t="s">
        <v>962</v>
      </c>
      <c r="C4089">
        <v>2</v>
      </c>
      <c r="D4089" t="s">
        <v>23</v>
      </c>
      <c r="E4089" t="s">
        <v>94</v>
      </c>
      <c r="F4089" t="s">
        <v>111</v>
      </c>
      <c r="G4089" t="s">
        <v>121</v>
      </c>
      <c r="H4089" t="s">
        <v>114</v>
      </c>
      <c r="J4089">
        <v>0</v>
      </c>
      <c r="K4089" t="s">
        <v>114</v>
      </c>
      <c r="L4089">
        <v>94.97142857</v>
      </c>
      <c r="M4089">
        <v>24.31591813</v>
      </c>
      <c r="N4089">
        <v>0.122951111</v>
      </c>
      <c r="O4089">
        <v>0.39050790000000002</v>
      </c>
      <c r="P4089" t="s">
        <v>114</v>
      </c>
      <c r="Q4089" t="s">
        <v>114</v>
      </c>
      <c r="R4089" t="s">
        <v>114</v>
      </c>
      <c r="S4089" t="s">
        <v>114</v>
      </c>
      <c r="T4089" t="s">
        <v>1019</v>
      </c>
      <c r="U4089" t="s">
        <v>114</v>
      </c>
    </row>
    <row r="4090" spans="1:21" x14ac:dyDescent="0.25">
      <c r="A4090" t="s">
        <v>43</v>
      </c>
      <c r="B4090" t="s">
        <v>963</v>
      </c>
      <c r="C4090">
        <v>2</v>
      </c>
      <c r="D4090" t="s">
        <v>23</v>
      </c>
      <c r="E4090" t="s">
        <v>94</v>
      </c>
      <c r="F4090" t="s">
        <v>104</v>
      </c>
      <c r="G4090" t="s">
        <v>104</v>
      </c>
      <c r="H4090" t="s">
        <v>104</v>
      </c>
      <c r="J4090">
        <v>0</v>
      </c>
      <c r="K4090">
        <v>1</v>
      </c>
      <c r="L4090">
        <v>113.9375</v>
      </c>
      <c r="M4090">
        <v>33.375507550000002</v>
      </c>
      <c r="N4090">
        <v>2.4262999999999999</v>
      </c>
      <c r="O4090">
        <v>0.40692159999999999</v>
      </c>
      <c r="P4090">
        <v>113.9375</v>
      </c>
      <c r="Q4090">
        <v>33.375507550000002</v>
      </c>
      <c r="R4090">
        <v>2.4262999999999999</v>
      </c>
      <c r="S4090">
        <v>0.40692159999999999</v>
      </c>
      <c r="T4090" t="s">
        <v>1019</v>
      </c>
      <c r="U4090">
        <v>0</v>
      </c>
    </row>
    <row r="4091" spans="1:21" x14ac:dyDescent="0.25">
      <c r="A4091" t="s">
        <v>43</v>
      </c>
      <c r="B4091" t="s">
        <v>963</v>
      </c>
      <c r="C4091">
        <v>2</v>
      </c>
      <c r="D4091" t="s">
        <v>23</v>
      </c>
      <c r="E4091" t="s">
        <v>94</v>
      </c>
      <c r="F4091" t="s">
        <v>104</v>
      </c>
      <c r="G4091" t="s">
        <v>104</v>
      </c>
      <c r="H4091" t="s">
        <v>808</v>
      </c>
      <c r="J4091">
        <v>0</v>
      </c>
      <c r="K4091">
        <v>1</v>
      </c>
      <c r="L4091">
        <v>113.9375</v>
      </c>
      <c r="M4091">
        <v>33.375507550000002</v>
      </c>
      <c r="N4091">
        <v>2.4262999999999999</v>
      </c>
      <c r="O4091">
        <v>0.40692159999999999</v>
      </c>
      <c r="P4091">
        <v>102.79166669999999</v>
      </c>
      <c r="Q4091">
        <v>27.057373470000002</v>
      </c>
      <c r="R4091">
        <v>6.3567849939999999</v>
      </c>
      <c r="S4091" t="s">
        <v>114</v>
      </c>
      <c r="T4091" t="s">
        <v>1019</v>
      </c>
      <c r="U4091">
        <v>3.930484994</v>
      </c>
    </row>
    <row r="4092" spans="1:21" x14ac:dyDescent="0.25">
      <c r="A4092" t="s">
        <v>44</v>
      </c>
      <c r="B4092" t="s">
        <v>964</v>
      </c>
      <c r="C4092">
        <v>2</v>
      </c>
      <c r="D4092" t="s">
        <v>25</v>
      </c>
      <c r="E4092" t="s">
        <v>95</v>
      </c>
      <c r="F4092" t="s">
        <v>102</v>
      </c>
      <c r="G4092" t="s">
        <v>102</v>
      </c>
      <c r="H4092" t="s">
        <v>102</v>
      </c>
      <c r="J4092">
        <v>0</v>
      </c>
      <c r="K4092">
        <v>1</v>
      </c>
      <c r="L4092">
        <v>84.740740740000007</v>
      </c>
      <c r="M4092">
        <v>29.167014049999999</v>
      </c>
      <c r="N4092">
        <v>1.1169849999999999</v>
      </c>
      <c r="O4092">
        <v>1.1571499000000001</v>
      </c>
      <c r="P4092">
        <v>84.740740740000007</v>
      </c>
      <c r="Q4092">
        <v>29.167014049999999</v>
      </c>
      <c r="R4092">
        <v>1.1169849999999999</v>
      </c>
      <c r="S4092">
        <v>1.1571499000000001</v>
      </c>
      <c r="T4092" t="s">
        <v>1019</v>
      </c>
      <c r="U4092">
        <v>0</v>
      </c>
    </row>
    <row r="4093" spans="1:21" x14ac:dyDescent="0.25">
      <c r="A4093" t="s">
        <v>44</v>
      </c>
      <c r="B4093" t="s">
        <v>965</v>
      </c>
      <c r="C4093">
        <v>2</v>
      </c>
      <c r="D4093" t="s">
        <v>25</v>
      </c>
      <c r="E4093" t="s">
        <v>95</v>
      </c>
      <c r="F4093" t="s">
        <v>110</v>
      </c>
      <c r="G4093" t="s">
        <v>121</v>
      </c>
      <c r="H4093" t="s">
        <v>114</v>
      </c>
      <c r="I4093" t="s">
        <v>162</v>
      </c>
      <c r="J4093">
        <v>1</v>
      </c>
      <c r="K4093">
        <v>0</v>
      </c>
      <c r="L4093">
        <v>73.260869569999997</v>
      </c>
      <c r="M4093">
        <v>34.453830549999999</v>
      </c>
      <c r="N4093">
        <v>1.058333333</v>
      </c>
      <c r="O4093">
        <v>0.90897070000000002</v>
      </c>
      <c r="P4093" t="s">
        <v>114</v>
      </c>
      <c r="Q4093" t="s">
        <v>114</v>
      </c>
      <c r="R4093" t="s">
        <v>114</v>
      </c>
      <c r="S4093" t="s">
        <v>114</v>
      </c>
      <c r="T4093" t="s">
        <v>1019</v>
      </c>
      <c r="U4093" t="s">
        <v>114</v>
      </c>
    </row>
    <row r="4094" spans="1:21" x14ac:dyDescent="0.25">
      <c r="A4094" t="s">
        <v>44</v>
      </c>
      <c r="B4094" t="s">
        <v>966</v>
      </c>
      <c r="C4094">
        <v>2</v>
      </c>
      <c r="D4094" t="s">
        <v>25</v>
      </c>
      <c r="E4094" t="s">
        <v>95</v>
      </c>
      <c r="F4094" t="s">
        <v>104</v>
      </c>
      <c r="G4094" t="s">
        <v>112</v>
      </c>
      <c r="H4094" t="s">
        <v>112</v>
      </c>
      <c r="J4094">
        <v>0</v>
      </c>
      <c r="K4094">
        <v>1</v>
      </c>
      <c r="L4094">
        <v>113.9375</v>
      </c>
      <c r="M4094">
        <v>33.375507550000002</v>
      </c>
      <c r="N4094">
        <v>2.4262999999999999</v>
      </c>
      <c r="O4094">
        <v>0.40692159999999999</v>
      </c>
      <c r="P4094">
        <v>65.09375</v>
      </c>
      <c r="Q4094">
        <v>37.895352600000002</v>
      </c>
      <c r="R4094">
        <v>2.2882677779999998</v>
      </c>
      <c r="S4094">
        <v>2.2111774</v>
      </c>
      <c r="T4094" t="s">
        <v>1019</v>
      </c>
      <c r="U4094">
        <v>0.13803222200000001</v>
      </c>
    </row>
    <row r="4095" spans="1:21" x14ac:dyDescent="0.25">
      <c r="A4095" t="s">
        <v>44</v>
      </c>
      <c r="B4095" t="s">
        <v>966</v>
      </c>
      <c r="C4095">
        <v>2</v>
      </c>
      <c r="D4095" t="s">
        <v>25</v>
      </c>
      <c r="E4095" t="s">
        <v>95</v>
      </c>
      <c r="F4095" t="s">
        <v>104</v>
      </c>
      <c r="G4095" t="s">
        <v>112</v>
      </c>
      <c r="H4095" t="s">
        <v>162</v>
      </c>
      <c r="J4095">
        <v>0</v>
      </c>
      <c r="K4095">
        <v>1</v>
      </c>
      <c r="L4095">
        <v>113.9375</v>
      </c>
      <c r="M4095">
        <v>33.375507550000002</v>
      </c>
      <c r="N4095">
        <v>2.4262999999999999</v>
      </c>
      <c r="O4095">
        <v>0.40692159999999999</v>
      </c>
      <c r="P4095">
        <v>82.53846154</v>
      </c>
      <c r="Q4095">
        <v>35.660530039999998</v>
      </c>
      <c r="R4095">
        <v>3.3754499999999998</v>
      </c>
      <c r="S4095" t="s">
        <v>114</v>
      </c>
      <c r="T4095" t="s">
        <v>1019</v>
      </c>
      <c r="U4095">
        <v>0.94915000000000005</v>
      </c>
    </row>
    <row r="4096" spans="1:21" x14ac:dyDescent="0.25">
      <c r="A4096" t="s">
        <v>44</v>
      </c>
      <c r="B4096" t="s">
        <v>966</v>
      </c>
      <c r="C4096">
        <v>2</v>
      </c>
      <c r="D4096" t="s">
        <v>25</v>
      </c>
      <c r="E4096" t="s">
        <v>95</v>
      </c>
      <c r="F4096" t="s">
        <v>104</v>
      </c>
      <c r="G4096" t="s">
        <v>112</v>
      </c>
      <c r="H4096" t="s">
        <v>113</v>
      </c>
      <c r="J4096">
        <v>0</v>
      </c>
      <c r="K4096">
        <v>1</v>
      </c>
      <c r="L4096">
        <v>113.9375</v>
      </c>
      <c r="M4096">
        <v>33.375507550000002</v>
      </c>
      <c r="N4096">
        <v>2.4262999999999999</v>
      </c>
      <c r="O4096">
        <v>0.40692159999999999</v>
      </c>
      <c r="P4096">
        <v>83.757575759999995</v>
      </c>
      <c r="Q4096">
        <v>22.60997987</v>
      </c>
      <c r="R4096">
        <v>0.72884000000000004</v>
      </c>
      <c r="S4096">
        <v>0.21301339999999999</v>
      </c>
      <c r="T4096" t="s">
        <v>1019</v>
      </c>
      <c r="U4096">
        <v>1.69746</v>
      </c>
    </row>
    <row r="4097" spans="1:21" x14ac:dyDescent="0.25">
      <c r="A4097" t="s">
        <v>44</v>
      </c>
      <c r="B4097" t="s">
        <v>967</v>
      </c>
      <c r="C4097">
        <v>2</v>
      </c>
      <c r="D4097" t="s">
        <v>25</v>
      </c>
      <c r="E4097" t="s">
        <v>95</v>
      </c>
      <c r="F4097" t="s">
        <v>112</v>
      </c>
      <c r="G4097" t="s">
        <v>121</v>
      </c>
      <c r="H4097" t="s">
        <v>114</v>
      </c>
      <c r="J4097">
        <v>0</v>
      </c>
      <c r="K4097" t="s">
        <v>114</v>
      </c>
      <c r="L4097">
        <v>65.09375</v>
      </c>
      <c r="M4097">
        <v>37.895352600000002</v>
      </c>
      <c r="N4097">
        <v>2.2882677779999998</v>
      </c>
      <c r="O4097">
        <v>2.2111774</v>
      </c>
      <c r="P4097" t="s">
        <v>114</v>
      </c>
      <c r="Q4097" t="s">
        <v>114</v>
      </c>
      <c r="R4097" t="s">
        <v>114</v>
      </c>
      <c r="S4097" t="s">
        <v>114</v>
      </c>
      <c r="T4097" t="s">
        <v>1019</v>
      </c>
      <c r="U4097" t="s">
        <v>114</v>
      </c>
    </row>
    <row r="4098" spans="1:21" x14ac:dyDescent="0.25">
      <c r="A4098" t="s">
        <v>45</v>
      </c>
      <c r="B4098" t="s">
        <v>968</v>
      </c>
      <c r="C4098">
        <v>2</v>
      </c>
      <c r="D4098" t="s">
        <v>27</v>
      </c>
      <c r="E4098" t="s">
        <v>95</v>
      </c>
      <c r="F4098" t="s">
        <v>102</v>
      </c>
      <c r="G4098" t="s">
        <v>113</v>
      </c>
      <c r="H4098" t="s">
        <v>113</v>
      </c>
      <c r="J4098">
        <v>0</v>
      </c>
      <c r="K4098">
        <v>2</v>
      </c>
      <c r="L4098">
        <v>84.740740740000007</v>
      </c>
      <c r="M4098">
        <v>29.167014049999999</v>
      </c>
      <c r="N4098">
        <v>1.1169849999999999</v>
      </c>
      <c r="O4098">
        <v>1.1571499000000001</v>
      </c>
      <c r="P4098">
        <v>83.757575759999995</v>
      </c>
      <c r="Q4098">
        <v>22.60997987</v>
      </c>
      <c r="R4098">
        <v>0.72884000000000004</v>
      </c>
      <c r="S4098">
        <v>0.21301339999999999</v>
      </c>
      <c r="T4098" t="s">
        <v>1019</v>
      </c>
      <c r="U4098">
        <v>0.38814500000000002</v>
      </c>
    </row>
    <row r="4099" spans="1:21" x14ac:dyDescent="0.25">
      <c r="A4099" t="s">
        <v>45</v>
      </c>
      <c r="B4099" t="s">
        <v>968</v>
      </c>
      <c r="C4099">
        <v>2</v>
      </c>
      <c r="D4099" t="s">
        <v>27</v>
      </c>
      <c r="E4099" t="s">
        <v>95</v>
      </c>
      <c r="F4099" t="s">
        <v>102</v>
      </c>
      <c r="G4099" t="s">
        <v>113</v>
      </c>
      <c r="H4099" t="s">
        <v>113</v>
      </c>
      <c r="J4099">
        <v>0</v>
      </c>
      <c r="K4099">
        <v>2</v>
      </c>
      <c r="L4099">
        <v>84.740740740000007</v>
      </c>
      <c r="M4099">
        <v>29.167014049999999</v>
      </c>
      <c r="N4099">
        <v>1.1169849999999999</v>
      </c>
      <c r="O4099">
        <v>1.1571499000000001</v>
      </c>
      <c r="P4099">
        <v>83.757575759999995</v>
      </c>
      <c r="Q4099">
        <v>22.60997987</v>
      </c>
      <c r="R4099">
        <v>0.72884000000000004</v>
      </c>
      <c r="S4099">
        <v>0.21301339999999999</v>
      </c>
      <c r="T4099" t="s">
        <v>1019</v>
      </c>
      <c r="U4099">
        <v>0.38814500000000002</v>
      </c>
    </row>
    <row r="4100" spans="1:21" x14ac:dyDescent="0.25">
      <c r="A4100" t="s">
        <v>45</v>
      </c>
      <c r="B4100" t="s">
        <v>969</v>
      </c>
      <c r="C4100">
        <v>2</v>
      </c>
      <c r="D4100" t="s">
        <v>27</v>
      </c>
      <c r="E4100" t="s">
        <v>95</v>
      </c>
      <c r="F4100" t="s">
        <v>105</v>
      </c>
      <c r="G4100" t="s">
        <v>113</v>
      </c>
      <c r="H4100" t="s">
        <v>113</v>
      </c>
      <c r="J4100">
        <v>0</v>
      </c>
      <c r="K4100">
        <v>6</v>
      </c>
      <c r="L4100">
        <v>67.5</v>
      </c>
      <c r="M4100">
        <v>47.937235809999997</v>
      </c>
      <c r="N4100">
        <v>0.41599678000000001</v>
      </c>
      <c r="O4100">
        <v>2.0950346999999998</v>
      </c>
      <c r="P4100">
        <v>83.757575759999995</v>
      </c>
      <c r="Q4100">
        <v>22.60997987</v>
      </c>
      <c r="R4100">
        <v>0.72884000000000004</v>
      </c>
      <c r="S4100">
        <v>0.21301339999999999</v>
      </c>
      <c r="T4100" t="s">
        <v>1019</v>
      </c>
      <c r="U4100">
        <v>0.31284321999999998</v>
      </c>
    </row>
    <row r="4101" spans="1:21" x14ac:dyDescent="0.25">
      <c r="A4101" t="s">
        <v>45</v>
      </c>
      <c r="B4101" t="s">
        <v>969</v>
      </c>
      <c r="C4101">
        <v>2</v>
      </c>
      <c r="D4101" t="s">
        <v>27</v>
      </c>
      <c r="E4101" t="s">
        <v>95</v>
      </c>
      <c r="F4101" t="s">
        <v>105</v>
      </c>
      <c r="G4101" t="s">
        <v>113</v>
      </c>
      <c r="H4101" t="s">
        <v>113</v>
      </c>
      <c r="J4101">
        <v>0</v>
      </c>
      <c r="K4101">
        <v>6</v>
      </c>
      <c r="L4101">
        <v>67.5</v>
      </c>
      <c r="M4101">
        <v>47.937235809999997</v>
      </c>
      <c r="N4101">
        <v>0.41599678000000001</v>
      </c>
      <c r="O4101">
        <v>2.0950346999999998</v>
      </c>
      <c r="P4101">
        <v>83.757575759999995</v>
      </c>
      <c r="Q4101">
        <v>22.60997987</v>
      </c>
      <c r="R4101">
        <v>0.72884000000000004</v>
      </c>
      <c r="S4101">
        <v>0.21301339999999999</v>
      </c>
      <c r="T4101" t="s">
        <v>1019</v>
      </c>
      <c r="U4101">
        <v>0.31284321999999998</v>
      </c>
    </row>
    <row r="4102" spans="1:21" x14ac:dyDescent="0.25">
      <c r="A4102" t="s">
        <v>45</v>
      </c>
      <c r="B4102" t="s">
        <v>969</v>
      </c>
      <c r="C4102">
        <v>2</v>
      </c>
      <c r="D4102" t="s">
        <v>27</v>
      </c>
      <c r="E4102" t="s">
        <v>95</v>
      </c>
      <c r="F4102" t="s">
        <v>105</v>
      </c>
      <c r="G4102" t="s">
        <v>113</v>
      </c>
      <c r="H4102" t="s">
        <v>113</v>
      </c>
      <c r="J4102">
        <v>0</v>
      </c>
      <c r="K4102">
        <v>6</v>
      </c>
      <c r="L4102">
        <v>67.5</v>
      </c>
      <c r="M4102">
        <v>47.937235809999997</v>
      </c>
      <c r="N4102">
        <v>0.41599678000000001</v>
      </c>
      <c r="O4102">
        <v>2.0950346999999998</v>
      </c>
      <c r="P4102">
        <v>83.757575759999995</v>
      </c>
      <c r="Q4102">
        <v>22.60997987</v>
      </c>
      <c r="R4102">
        <v>0.72884000000000004</v>
      </c>
      <c r="S4102">
        <v>0.21301339999999999</v>
      </c>
      <c r="T4102" t="s">
        <v>1019</v>
      </c>
      <c r="U4102">
        <v>0.31284321999999998</v>
      </c>
    </row>
    <row r="4103" spans="1:21" x14ac:dyDescent="0.25">
      <c r="A4103" t="s">
        <v>45</v>
      </c>
      <c r="B4103" t="s">
        <v>969</v>
      </c>
      <c r="C4103">
        <v>2</v>
      </c>
      <c r="D4103" t="s">
        <v>27</v>
      </c>
      <c r="E4103" t="s">
        <v>95</v>
      </c>
      <c r="F4103" t="s">
        <v>105</v>
      </c>
      <c r="G4103" t="s">
        <v>113</v>
      </c>
      <c r="H4103" t="s">
        <v>113</v>
      </c>
      <c r="J4103">
        <v>0</v>
      </c>
      <c r="K4103">
        <v>6</v>
      </c>
      <c r="L4103">
        <v>67.5</v>
      </c>
      <c r="M4103">
        <v>47.937235809999997</v>
      </c>
      <c r="N4103">
        <v>0.41599678000000001</v>
      </c>
      <c r="O4103">
        <v>2.0950346999999998</v>
      </c>
      <c r="P4103">
        <v>83.757575759999995</v>
      </c>
      <c r="Q4103">
        <v>22.60997987</v>
      </c>
      <c r="R4103">
        <v>0.72884000000000004</v>
      </c>
      <c r="S4103">
        <v>0.21301339999999999</v>
      </c>
      <c r="T4103" t="s">
        <v>1019</v>
      </c>
      <c r="U4103">
        <v>0.31284321999999998</v>
      </c>
    </row>
    <row r="4104" spans="1:21" x14ac:dyDescent="0.25">
      <c r="A4104" t="s">
        <v>45</v>
      </c>
      <c r="B4104" t="s">
        <v>969</v>
      </c>
      <c r="C4104">
        <v>2</v>
      </c>
      <c r="D4104" t="s">
        <v>27</v>
      </c>
      <c r="E4104" t="s">
        <v>95</v>
      </c>
      <c r="F4104" t="s">
        <v>105</v>
      </c>
      <c r="G4104" t="s">
        <v>113</v>
      </c>
      <c r="H4104" t="s">
        <v>113</v>
      </c>
      <c r="J4104">
        <v>0</v>
      </c>
      <c r="K4104">
        <v>6</v>
      </c>
      <c r="L4104">
        <v>67.5</v>
      </c>
      <c r="M4104">
        <v>47.937235809999997</v>
      </c>
      <c r="N4104">
        <v>0.41599678000000001</v>
      </c>
      <c r="O4104">
        <v>2.0950346999999998</v>
      </c>
      <c r="P4104">
        <v>83.757575759999995</v>
      </c>
      <c r="Q4104">
        <v>22.60997987</v>
      </c>
      <c r="R4104">
        <v>0.72884000000000004</v>
      </c>
      <c r="S4104">
        <v>0.21301339999999999</v>
      </c>
      <c r="T4104" t="s">
        <v>1019</v>
      </c>
      <c r="U4104">
        <v>0.31284321999999998</v>
      </c>
    </row>
    <row r="4105" spans="1:21" x14ac:dyDescent="0.25">
      <c r="A4105" t="s">
        <v>45</v>
      </c>
      <c r="B4105" t="s">
        <v>969</v>
      </c>
      <c r="C4105">
        <v>2</v>
      </c>
      <c r="D4105" t="s">
        <v>27</v>
      </c>
      <c r="E4105" t="s">
        <v>95</v>
      </c>
      <c r="F4105" t="s">
        <v>105</v>
      </c>
      <c r="G4105" t="s">
        <v>113</v>
      </c>
      <c r="H4105" t="s">
        <v>113</v>
      </c>
      <c r="J4105">
        <v>0</v>
      </c>
      <c r="K4105">
        <v>6</v>
      </c>
      <c r="L4105">
        <v>67.5</v>
      </c>
      <c r="M4105">
        <v>47.937235809999997</v>
      </c>
      <c r="N4105">
        <v>0.41599678000000001</v>
      </c>
      <c r="O4105">
        <v>2.0950346999999998</v>
      </c>
      <c r="P4105">
        <v>83.757575759999995</v>
      </c>
      <c r="Q4105">
        <v>22.60997987</v>
      </c>
      <c r="R4105">
        <v>0.72884000000000004</v>
      </c>
      <c r="S4105">
        <v>0.21301339999999999</v>
      </c>
      <c r="T4105" t="s">
        <v>1019</v>
      </c>
      <c r="U4105">
        <v>0.31284321999999998</v>
      </c>
    </row>
    <row r="4106" spans="1:21" x14ac:dyDescent="0.25">
      <c r="A4106" t="s">
        <v>45</v>
      </c>
      <c r="B4106" t="s">
        <v>970</v>
      </c>
      <c r="C4106">
        <v>2</v>
      </c>
      <c r="D4106" t="s">
        <v>27</v>
      </c>
      <c r="E4106" t="s">
        <v>95</v>
      </c>
      <c r="F4106" t="s">
        <v>112</v>
      </c>
      <c r="G4106" t="s">
        <v>121</v>
      </c>
      <c r="H4106" t="s">
        <v>113</v>
      </c>
      <c r="J4106">
        <v>0</v>
      </c>
      <c r="K4106">
        <v>8</v>
      </c>
      <c r="L4106">
        <v>65.09375</v>
      </c>
      <c r="M4106">
        <v>37.895352600000002</v>
      </c>
      <c r="N4106">
        <v>2.2882677779999998</v>
      </c>
      <c r="O4106">
        <v>2.2111774</v>
      </c>
      <c r="P4106">
        <v>83.757575759999995</v>
      </c>
      <c r="Q4106">
        <v>22.60997987</v>
      </c>
      <c r="R4106">
        <v>0.72884000000000004</v>
      </c>
      <c r="S4106">
        <v>0.21301339999999999</v>
      </c>
      <c r="T4106" t="s">
        <v>1019</v>
      </c>
      <c r="U4106">
        <v>1.5594277780000001</v>
      </c>
    </row>
    <row r="4107" spans="1:21" x14ac:dyDescent="0.25">
      <c r="A4107" t="s">
        <v>45</v>
      </c>
      <c r="B4107" t="s">
        <v>970</v>
      </c>
      <c r="C4107">
        <v>2</v>
      </c>
      <c r="D4107" t="s">
        <v>27</v>
      </c>
      <c r="E4107" t="s">
        <v>95</v>
      </c>
      <c r="F4107" t="s">
        <v>112</v>
      </c>
      <c r="G4107" t="s">
        <v>121</v>
      </c>
      <c r="H4107" t="s">
        <v>113</v>
      </c>
      <c r="J4107">
        <v>0</v>
      </c>
      <c r="K4107">
        <v>8</v>
      </c>
      <c r="L4107">
        <v>65.09375</v>
      </c>
      <c r="M4107">
        <v>37.895352600000002</v>
      </c>
      <c r="N4107">
        <v>2.2882677779999998</v>
      </c>
      <c r="O4107">
        <v>2.2111774</v>
      </c>
      <c r="P4107">
        <v>83.757575759999995</v>
      </c>
      <c r="Q4107">
        <v>22.60997987</v>
      </c>
      <c r="R4107">
        <v>0.72884000000000004</v>
      </c>
      <c r="S4107">
        <v>0.21301339999999999</v>
      </c>
      <c r="T4107" t="s">
        <v>1019</v>
      </c>
      <c r="U4107">
        <v>1.5594277780000001</v>
      </c>
    </row>
    <row r="4108" spans="1:21" x14ac:dyDescent="0.25">
      <c r="A4108" t="s">
        <v>45</v>
      </c>
      <c r="B4108" t="s">
        <v>970</v>
      </c>
      <c r="C4108">
        <v>2</v>
      </c>
      <c r="D4108" t="s">
        <v>27</v>
      </c>
      <c r="E4108" t="s">
        <v>95</v>
      </c>
      <c r="F4108" t="s">
        <v>112</v>
      </c>
      <c r="G4108" t="s">
        <v>121</v>
      </c>
      <c r="H4108" t="s">
        <v>113</v>
      </c>
      <c r="J4108">
        <v>0</v>
      </c>
      <c r="K4108">
        <v>8</v>
      </c>
      <c r="L4108">
        <v>65.09375</v>
      </c>
      <c r="M4108">
        <v>37.895352600000002</v>
      </c>
      <c r="N4108">
        <v>2.2882677779999998</v>
      </c>
      <c r="O4108">
        <v>2.2111774</v>
      </c>
      <c r="P4108">
        <v>83.757575759999995</v>
      </c>
      <c r="Q4108">
        <v>22.60997987</v>
      </c>
      <c r="R4108">
        <v>0.72884000000000004</v>
      </c>
      <c r="S4108">
        <v>0.21301339999999999</v>
      </c>
      <c r="T4108" t="s">
        <v>1019</v>
      </c>
      <c r="U4108">
        <v>1.5594277780000001</v>
      </c>
    </row>
    <row r="4109" spans="1:21" x14ac:dyDescent="0.25">
      <c r="A4109" t="s">
        <v>45</v>
      </c>
      <c r="B4109" t="s">
        <v>970</v>
      </c>
      <c r="C4109">
        <v>2</v>
      </c>
      <c r="D4109" t="s">
        <v>27</v>
      </c>
      <c r="E4109" t="s">
        <v>95</v>
      </c>
      <c r="F4109" t="s">
        <v>112</v>
      </c>
      <c r="G4109" t="s">
        <v>121</v>
      </c>
      <c r="H4109" t="s">
        <v>113</v>
      </c>
      <c r="J4109">
        <v>0</v>
      </c>
      <c r="K4109">
        <v>8</v>
      </c>
      <c r="L4109">
        <v>65.09375</v>
      </c>
      <c r="M4109">
        <v>37.895352600000002</v>
      </c>
      <c r="N4109">
        <v>2.2882677779999998</v>
      </c>
      <c r="O4109">
        <v>2.2111774</v>
      </c>
      <c r="P4109">
        <v>83.757575759999995</v>
      </c>
      <c r="Q4109">
        <v>22.60997987</v>
      </c>
      <c r="R4109">
        <v>0.72884000000000004</v>
      </c>
      <c r="S4109">
        <v>0.21301339999999999</v>
      </c>
      <c r="T4109" t="s">
        <v>1019</v>
      </c>
      <c r="U4109">
        <v>1.5594277780000001</v>
      </c>
    </row>
    <row r="4110" spans="1:21" x14ac:dyDescent="0.25">
      <c r="A4110" t="s">
        <v>45</v>
      </c>
      <c r="B4110" t="s">
        <v>970</v>
      </c>
      <c r="C4110">
        <v>2</v>
      </c>
      <c r="D4110" t="s">
        <v>27</v>
      </c>
      <c r="E4110" t="s">
        <v>95</v>
      </c>
      <c r="F4110" t="s">
        <v>112</v>
      </c>
      <c r="G4110" t="s">
        <v>121</v>
      </c>
      <c r="H4110" t="s">
        <v>113</v>
      </c>
      <c r="J4110">
        <v>0</v>
      </c>
      <c r="K4110">
        <v>8</v>
      </c>
      <c r="L4110">
        <v>65.09375</v>
      </c>
      <c r="M4110">
        <v>37.895352600000002</v>
      </c>
      <c r="N4110">
        <v>2.2882677779999998</v>
      </c>
      <c r="O4110">
        <v>2.2111774</v>
      </c>
      <c r="P4110">
        <v>83.757575759999995</v>
      </c>
      <c r="Q4110">
        <v>22.60997987</v>
      </c>
      <c r="R4110">
        <v>0.72884000000000004</v>
      </c>
      <c r="S4110">
        <v>0.21301339999999999</v>
      </c>
      <c r="T4110" t="s">
        <v>1019</v>
      </c>
      <c r="U4110">
        <v>1.5594277780000001</v>
      </c>
    </row>
    <row r="4111" spans="1:21" x14ac:dyDescent="0.25">
      <c r="A4111" t="s">
        <v>45</v>
      </c>
      <c r="B4111" t="s">
        <v>970</v>
      </c>
      <c r="C4111">
        <v>2</v>
      </c>
      <c r="D4111" t="s">
        <v>27</v>
      </c>
      <c r="E4111" t="s">
        <v>95</v>
      </c>
      <c r="F4111" t="s">
        <v>112</v>
      </c>
      <c r="G4111" t="s">
        <v>121</v>
      </c>
      <c r="H4111" t="s">
        <v>113</v>
      </c>
      <c r="J4111">
        <v>0</v>
      </c>
      <c r="K4111">
        <v>8</v>
      </c>
      <c r="L4111">
        <v>65.09375</v>
      </c>
      <c r="M4111">
        <v>37.895352600000002</v>
      </c>
      <c r="N4111">
        <v>2.2882677779999998</v>
      </c>
      <c r="O4111">
        <v>2.2111774</v>
      </c>
      <c r="P4111">
        <v>83.757575759999995</v>
      </c>
      <c r="Q4111">
        <v>22.60997987</v>
      </c>
      <c r="R4111">
        <v>0.72884000000000004</v>
      </c>
      <c r="S4111">
        <v>0.21301339999999999</v>
      </c>
      <c r="T4111" t="s">
        <v>1019</v>
      </c>
      <c r="U4111">
        <v>1.5594277780000001</v>
      </c>
    </row>
    <row r="4112" spans="1:21" x14ac:dyDescent="0.25">
      <c r="A4112" t="s">
        <v>45</v>
      </c>
      <c r="B4112" t="s">
        <v>970</v>
      </c>
      <c r="C4112">
        <v>2</v>
      </c>
      <c r="D4112" t="s">
        <v>27</v>
      </c>
      <c r="E4112" t="s">
        <v>95</v>
      </c>
      <c r="F4112" t="s">
        <v>112</v>
      </c>
      <c r="G4112" t="s">
        <v>121</v>
      </c>
      <c r="H4112" t="s">
        <v>113</v>
      </c>
      <c r="J4112">
        <v>0</v>
      </c>
      <c r="K4112">
        <v>8</v>
      </c>
      <c r="L4112">
        <v>65.09375</v>
      </c>
      <c r="M4112">
        <v>37.895352600000002</v>
      </c>
      <c r="N4112">
        <v>2.2882677779999998</v>
      </c>
      <c r="O4112">
        <v>2.2111774</v>
      </c>
      <c r="P4112">
        <v>83.757575759999995</v>
      </c>
      <c r="Q4112">
        <v>22.60997987</v>
      </c>
      <c r="R4112">
        <v>0.72884000000000004</v>
      </c>
      <c r="S4112">
        <v>0.21301339999999999</v>
      </c>
      <c r="T4112" t="s">
        <v>1019</v>
      </c>
      <c r="U4112">
        <v>1.5594277780000001</v>
      </c>
    </row>
    <row r="4113" spans="1:21" x14ac:dyDescent="0.25">
      <c r="A4113" t="s">
        <v>45</v>
      </c>
      <c r="B4113" t="s">
        <v>970</v>
      </c>
      <c r="C4113">
        <v>2</v>
      </c>
      <c r="D4113" t="s">
        <v>27</v>
      </c>
      <c r="E4113" t="s">
        <v>95</v>
      </c>
      <c r="F4113" t="s">
        <v>112</v>
      </c>
      <c r="G4113" t="s">
        <v>121</v>
      </c>
      <c r="H4113" t="s">
        <v>113</v>
      </c>
      <c r="J4113">
        <v>0</v>
      </c>
      <c r="K4113">
        <v>8</v>
      </c>
      <c r="L4113">
        <v>65.09375</v>
      </c>
      <c r="M4113">
        <v>37.895352600000002</v>
      </c>
      <c r="N4113">
        <v>2.2882677779999998</v>
      </c>
      <c r="O4113">
        <v>2.2111774</v>
      </c>
      <c r="P4113">
        <v>83.757575759999995</v>
      </c>
      <c r="Q4113">
        <v>22.60997987</v>
      </c>
      <c r="R4113">
        <v>0.72884000000000004</v>
      </c>
      <c r="S4113">
        <v>0.21301339999999999</v>
      </c>
      <c r="T4113" t="s">
        <v>1019</v>
      </c>
      <c r="U4113">
        <v>1.5594277780000001</v>
      </c>
    </row>
    <row r="4114" spans="1:21" x14ac:dyDescent="0.25">
      <c r="A4114" t="s">
        <v>45</v>
      </c>
      <c r="B4114" t="s">
        <v>970</v>
      </c>
      <c r="C4114">
        <v>2</v>
      </c>
      <c r="D4114" t="s">
        <v>27</v>
      </c>
      <c r="E4114" t="s">
        <v>95</v>
      </c>
      <c r="F4114" t="s">
        <v>112</v>
      </c>
      <c r="G4114" t="s">
        <v>121</v>
      </c>
      <c r="H4114" t="s">
        <v>103</v>
      </c>
      <c r="J4114">
        <v>0</v>
      </c>
      <c r="K4114">
        <v>1</v>
      </c>
      <c r="L4114">
        <v>65.09375</v>
      </c>
      <c r="M4114">
        <v>37.895352600000002</v>
      </c>
      <c r="N4114">
        <v>2.2882677779999998</v>
      </c>
      <c r="O4114">
        <v>2.2111774</v>
      </c>
      <c r="P4114">
        <v>98.291666669999998</v>
      </c>
      <c r="Q4114">
        <v>30.315130790000001</v>
      </c>
      <c r="R4114">
        <v>5.0803484000000003E-2</v>
      </c>
      <c r="S4114">
        <v>0.42866070000000001</v>
      </c>
      <c r="T4114" t="s">
        <v>1019</v>
      </c>
      <c r="U4114">
        <v>2.237464294</v>
      </c>
    </row>
    <row r="4115" spans="1:21" x14ac:dyDescent="0.25">
      <c r="A4115" t="s">
        <v>46</v>
      </c>
      <c r="B4115" t="s">
        <v>971</v>
      </c>
      <c r="C4115">
        <v>2</v>
      </c>
      <c r="D4115" t="s">
        <v>29</v>
      </c>
      <c r="E4115" t="s">
        <v>95</v>
      </c>
      <c r="F4115" t="s">
        <v>102</v>
      </c>
      <c r="G4115" t="s">
        <v>121</v>
      </c>
      <c r="H4115" t="s">
        <v>114</v>
      </c>
      <c r="J4115">
        <v>0</v>
      </c>
      <c r="K4115" t="s">
        <v>114</v>
      </c>
      <c r="L4115">
        <v>84.740740740000007</v>
      </c>
      <c r="M4115">
        <v>29.167014049999999</v>
      </c>
      <c r="N4115">
        <v>1.1169849999999999</v>
      </c>
      <c r="O4115">
        <v>1.1571499000000001</v>
      </c>
      <c r="P4115" t="s">
        <v>114</v>
      </c>
      <c r="Q4115" t="s">
        <v>114</v>
      </c>
      <c r="R4115" t="s">
        <v>114</v>
      </c>
      <c r="S4115" t="s">
        <v>114</v>
      </c>
      <c r="T4115" t="s">
        <v>1019</v>
      </c>
      <c r="U4115" t="s">
        <v>114</v>
      </c>
    </row>
    <row r="4116" spans="1:21" x14ac:dyDescent="0.25">
      <c r="A4116" t="s">
        <v>46</v>
      </c>
      <c r="B4116" t="s">
        <v>972</v>
      </c>
      <c r="C4116">
        <v>2</v>
      </c>
      <c r="D4116" t="s">
        <v>29</v>
      </c>
      <c r="E4116" t="s">
        <v>95</v>
      </c>
      <c r="F4116" t="s">
        <v>110</v>
      </c>
      <c r="G4116" t="s">
        <v>113</v>
      </c>
      <c r="H4116" t="s">
        <v>113</v>
      </c>
      <c r="J4116">
        <v>0</v>
      </c>
      <c r="K4116">
        <v>3</v>
      </c>
      <c r="L4116">
        <v>73.260869569999997</v>
      </c>
      <c r="M4116">
        <v>34.453830549999999</v>
      </c>
      <c r="N4116">
        <v>1.058333333</v>
      </c>
      <c r="O4116">
        <v>0.90897070000000002</v>
      </c>
      <c r="P4116">
        <v>83.757575759999995</v>
      </c>
      <c r="Q4116">
        <v>22.60997987</v>
      </c>
      <c r="R4116">
        <v>0.72884000000000004</v>
      </c>
      <c r="S4116">
        <v>0.21301339999999999</v>
      </c>
      <c r="T4116" t="s">
        <v>1019</v>
      </c>
      <c r="U4116">
        <v>0.329493333</v>
      </c>
    </row>
    <row r="4117" spans="1:21" x14ac:dyDescent="0.25">
      <c r="A4117" t="s">
        <v>46</v>
      </c>
      <c r="B4117" t="s">
        <v>972</v>
      </c>
      <c r="C4117">
        <v>2</v>
      </c>
      <c r="D4117" t="s">
        <v>29</v>
      </c>
      <c r="E4117" t="s">
        <v>95</v>
      </c>
      <c r="F4117" t="s">
        <v>110</v>
      </c>
      <c r="G4117" t="s">
        <v>113</v>
      </c>
      <c r="H4117" t="s">
        <v>113</v>
      </c>
      <c r="J4117">
        <v>0</v>
      </c>
      <c r="K4117">
        <v>3</v>
      </c>
      <c r="L4117">
        <v>73.260869569999997</v>
      </c>
      <c r="M4117">
        <v>34.453830549999999</v>
      </c>
      <c r="N4117">
        <v>1.058333333</v>
      </c>
      <c r="O4117">
        <v>0.90897070000000002</v>
      </c>
      <c r="P4117">
        <v>83.757575759999995</v>
      </c>
      <c r="Q4117">
        <v>22.60997987</v>
      </c>
      <c r="R4117">
        <v>0.72884000000000004</v>
      </c>
      <c r="S4117">
        <v>0.21301339999999999</v>
      </c>
      <c r="T4117" t="s">
        <v>1019</v>
      </c>
      <c r="U4117">
        <v>0.329493333</v>
      </c>
    </row>
    <row r="4118" spans="1:21" x14ac:dyDescent="0.25">
      <c r="A4118" t="s">
        <v>46</v>
      </c>
      <c r="B4118" t="s">
        <v>972</v>
      </c>
      <c r="C4118">
        <v>2</v>
      </c>
      <c r="D4118" t="s">
        <v>29</v>
      </c>
      <c r="E4118" t="s">
        <v>95</v>
      </c>
      <c r="F4118" t="s">
        <v>110</v>
      </c>
      <c r="G4118" t="s">
        <v>113</v>
      </c>
      <c r="H4118" t="s">
        <v>113</v>
      </c>
      <c r="J4118">
        <v>0</v>
      </c>
      <c r="K4118">
        <v>3</v>
      </c>
      <c r="L4118">
        <v>73.260869569999997</v>
      </c>
      <c r="M4118">
        <v>34.453830549999999</v>
      </c>
      <c r="N4118">
        <v>1.058333333</v>
      </c>
      <c r="O4118">
        <v>0.90897070000000002</v>
      </c>
      <c r="P4118">
        <v>83.757575759999995</v>
      </c>
      <c r="Q4118">
        <v>22.60997987</v>
      </c>
      <c r="R4118">
        <v>0.72884000000000004</v>
      </c>
      <c r="S4118">
        <v>0.21301339999999999</v>
      </c>
      <c r="T4118" t="s">
        <v>1019</v>
      </c>
      <c r="U4118">
        <v>0.329493333</v>
      </c>
    </row>
    <row r="4119" spans="1:21" x14ac:dyDescent="0.25">
      <c r="A4119" t="s">
        <v>46</v>
      </c>
      <c r="B4119" t="s">
        <v>973</v>
      </c>
      <c r="C4119">
        <v>2</v>
      </c>
      <c r="D4119" t="s">
        <v>29</v>
      </c>
      <c r="E4119" t="s">
        <v>95</v>
      </c>
      <c r="F4119" t="s">
        <v>112</v>
      </c>
      <c r="G4119" t="s">
        <v>121</v>
      </c>
      <c r="H4119" t="s">
        <v>114</v>
      </c>
      <c r="J4119">
        <v>0</v>
      </c>
      <c r="K4119" t="s">
        <v>114</v>
      </c>
      <c r="L4119">
        <v>65.09375</v>
      </c>
      <c r="M4119">
        <v>37.895352600000002</v>
      </c>
      <c r="N4119">
        <v>2.2882677779999998</v>
      </c>
      <c r="O4119">
        <v>2.2111774</v>
      </c>
      <c r="P4119" t="s">
        <v>114</v>
      </c>
      <c r="Q4119" t="s">
        <v>114</v>
      </c>
      <c r="R4119" t="s">
        <v>114</v>
      </c>
      <c r="S4119" t="s">
        <v>114</v>
      </c>
      <c r="T4119" t="s">
        <v>1019</v>
      </c>
      <c r="U4119" t="s">
        <v>114</v>
      </c>
    </row>
    <row r="4120" spans="1:21" x14ac:dyDescent="0.25">
      <c r="A4120" t="s">
        <v>47</v>
      </c>
      <c r="B4120" t="s">
        <v>974</v>
      </c>
      <c r="C4120">
        <v>2</v>
      </c>
      <c r="D4120" t="s">
        <v>31</v>
      </c>
      <c r="E4120" t="s">
        <v>94</v>
      </c>
      <c r="F4120" t="s">
        <v>112</v>
      </c>
      <c r="G4120" t="s">
        <v>112</v>
      </c>
      <c r="H4120" t="s">
        <v>112</v>
      </c>
      <c r="J4120">
        <v>0</v>
      </c>
      <c r="K4120">
        <v>1</v>
      </c>
      <c r="L4120">
        <v>65.09375</v>
      </c>
      <c r="M4120">
        <v>37.895352600000002</v>
      </c>
      <c r="N4120">
        <v>2.2882677779999998</v>
      </c>
      <c r="O4120">
        <v>2.2111774</v>
      </c>
      <c r="P4120">
        <v>65.09375</v>
      </c>
      <c r="Q4120">
        <v>37.895352600000002</v>
      </c>
      <c r="R4120">
        <v>2.2882677779999998</v>
      </c>
      <c r="S4120">
        <v>2.2111774</v>
      </c>
      <c r="T4120" t="s">
        <v>1019</v>
      </c>
      <c r="U4120">
        <v>0</v>
      </c>
    </row>
    <row r="4121" spans="1:21" x14ac:dyDescent="0.25">
      <c r="A4121" t="s">
        <v>47</v>
      </c>
      <c r="B4121" t="s">
        <v>974</v>
      </c>
      <c r="C4121">
        <v>2</v>
      </c>
      <c r="D4121" t="s">
        <v>31</v>
      </c>
      <c r="E4121" t="s">
        <v>94</v>
      </c>
      <c r="F4121" t="s">
        <v>112</v>
      </c>
      <c r="G4121" t="s">
        <v>112</v>
      </c>
      <c r="H4121" t="s">
        <v>113</v>
      </c>
      <c r="J4121">
        <v>0</v>
      </c>
      <c r="K4121">
        <v>1</v>
      </c>
      <c r="L4121">
        <v>65.09375</v>
      </c>
      <c r="M4121">
        <v>37.895352600000002</v>
      </c>
      <c r="N4121">
        <v>2.2882677779999998</v>
      </c>
      <c r="O4121">
        <v>2.2111774</v>
      </c>
      <c r="P4121">
        <v>83.757575759999995</v>
      </c>
      <c r="Q4121">
        <v>22.60997987</v>
      </c>
      <c r="R4121">
        <v>0.72884000000000004</v>
      </c>
      <c r="S4121">
        <v>0.21301339999999999</v>
      </c>
      <c r="T4121" t="s">
        <v>1019</v>
      </c>
      <c r="U4121">
        <v>1.5594277780000001</v>
      </c>
    </row>
    <row r="4122" spans="1:21" x14ac:dyDescent="0.25">
      <c r="A4122" t="s">
        <v>48</v>
      </c>
      <c r="B4122" t="s">
        <v>975</v>
      </c>
      <c r="C4122">
        <v>2</v>
      </c>
      <c r="D4122" t="s">
        <v>33</v>
      </c>
      <c r="E4122" t="s">
        <v>95</v>
      </c>
      <c r="F4122" t="s">
        <v>105</v>
      </c>
      <c r="G4122" t="s">
        <v>104</v>
      </c>
      <c r="H4122" t="s">
        <v>103</v>
      </c>
      <c r="J4122">
        <v>0</v>
      </c>
      <c r="K4122">
        <v>1</v>
      </c>
      <c r="L4122">
        <v>67.5</v>
      </c>
      <c r="M4122">
        <v>47.937235809999997</v>
      </c>
      <c r="N4122">
        <v>0.41599678000000001</v>
      </c>
      <c r="O4122">
        <v>2.0950346999999998</v>
      </c>
      <c r="P4122">
        <v>98.291666669999998</v>
      </c>
      <c r="Q4122">
        <v>30.315130790000001</v>
      </c>
      <c r="R4122">
        <v>5.0803484000000003E-2</v>
      </c>
      <c r="S4122">
        <v>0.42866070000000001</v>
      </c>
      <c r="T4122" t="s">
        <v>1019</v>
      </c>
      <c r="U4122">
        <v>0.365193296</v>
      </c>
    </row>
    <row r="4123" spans="1:21" x14ac:dyDescent="0.25">
      <c r="A4123" t="s">
        <v>48</v>
      </c>
      <c r="B4123" t="s">
        <v>975</v>
      </c>
      <c r="C4123">
        <v>2</v>
      </c>
      <c r="D4123" t="s">
        <v>33</v>
      </c>
      <c r="E4123" t="s">
        <v>95</v>
      </c>
      <c r="F4123" t="s">
        <v>105</v>
      </c>
      <c r="G4123" t="s">
        <v>104</v>
      </c>
      <c r="H4123" t="s">
        <v>104</v>
      </c>
      <c r="J4123">
        <v>0</v>
      </c>
      <c r="K4123">
        <v>2</v>
      </c>
      <c r="L4123">
        <v>67.5</v>
      </c>
      <c r="M4123">
        <v>47.937235809999997</v>
      </c>
      <c r="N4123">
        <v>0.41599678000000001</v>
      </c>
      <c r="O4123">
        <v>2.0950346999999998</v>
      </c>
      <c r="P4123">
        <v>113.9375</v>
      </c>
      <c r="Q4123">
        <v>33.375507550000002</v>
      </c>
      <c r="R4123">
        <v>2.4262999999999999</v>
      </c>
      <c r="S4123">
        <v>0.40692159999999999</v>
      </c>
      <c r="T4123" t="s">
        <v>1019</v>
      </c>
      <c r="U4123">
        <v>2.0103032199999999</v>
      </c>
    </row>
    <row r="4124" spans="1:21" x14ac:dyDescent="0.25">
      <c r="A4124" t="s">
        <v>48</v>
      </c>
      <c r="B4124" t="s">
        <v>975</v>
      </c>
      <c r="C4124">
        <v>2</v>
      </c>
      <c r="D4124" t="s">
        <v>33</v>
      </c>
      <c r="E4124" t="s">
        <v>95</v>
      </c>
      <c r="F4124" t="s">
        <v>105</v>
      </c>
      <c r="G4124" t="s">
        <v>104</v>
      </c>
      <c r="H4124" t="s">
        <v>104</v>
      </c>
      <c r="J4124">
        <v>0</v>
      </c>
      <c r="K4124">
        <v>2</v>
      </c>
      <c r="L4124">
        <v>67.5</v>
      </c>
      <c r="M4124">
        <v>47.937235809999997</v>
      </c>
      <c r="N4124">
        <v>0.41599678000000001</v>
      </c>
      <c r="O4124">
        <v>2.0950346999999998</v>
      </c>
      <c r="P4124">
        <v>113.9375</v>
      </c>
      <c r="Q4124">
        <v>33.375507550000002</v>
      </c>
      <c r="R4124">
        <v>2.4262999999999999</v>
      </c>
      <c r="S4124">
        <v>0.40692159999999999</v>
      </c>
      <c r="T4124" t="s">
        <v>1019</v>
      </c>
      <c r="U4124">
        <v>2.0103032199999999</v>
      </c>
    </row>
    <row r="4125" spans="1:21" x14ac:dyDescent="0.25">
      <c r="A4125" t="s">
        <v>48</v>
      </c>
      <c r="B4125" t="s">
        <v>976</v>
      </c>
      <c r="C4125">
        <v>2</v>
      </c>
      <c r="D4125" t="s">
        <v>33</v>
      </c>
      <c r="E4125" t="s">
        <v>95</v>
      </c>
      <c r="F4125" t="s">
        <v>111</v>
      </c>
      <c r="G4125" t="s">
        <v>113</v>
      </c>
      <c r="H4125" t="s">
        <v>113</v>
      </c>
      <c r="J4125">
        <v>0</v>
      </c>
      <c r="K4125">
        <v>1</v>
      </c>
      <c r="L4125">
        <v>94.97142857</v>
      </c>
      <c r="M4125">
        <v>24.31591813</v>
      </c>
      <c r="N4125">
        <v>0.122951111</v>
      </c>
      <c r="O4125">
        <v>0.39050790000000002</v>
      </c>
      <c r="P4125">
        <v>83.757575759999995</v>
      </c>
      <c r="Q4125">
        <v>22.60997987</v>
      </c>
      <c r="R4125">
        <v>0.72884000000000004</v>
      </c>
      <c r="S4125">
        <v>0.21301339999999999</v>
      </c>
      <c r="T4125" t="s">
        <v>1019</v>
      </c>
      <c r="U4125">
        <v>0.60588888900000004</v>
      </c>
    </row>
    <row r="4126" spans="1:21" x14ac:dyDescent="0.25">
      <c r="A4126" t="s">
        <v>48</v>
      </c>
      <c r="B4126" t="s">
        <v>976</v>
      </c>
      <c r="C4126">
        <v>2</v>
      </c>
      <c r="D4126" t="s">
        <v>33</v>
      </c>
      <c r="E4126" t="s">
        <v>95</v>
      </c>
      <c r="F4126" t="s">
        <v>111</v>
      </c>
      <c r="G4126" t="s">
        <v>113</v>
      </c>
      <c r="H4126" t="s">
        <v>241</v>
      </c>
      <c r="J4126">
        <v>0</v>
      </c>
      <c r="K4126">
        <v>1</v>
      </c>
      <c r="L4126">
        <v>94.97142857</v>
      </c>
      <c r="M4126">
        <v>24.31591813</v>
      </c>
      <c r="N4126">
        <v>0.122951111</v>
      </c>
      <c r="O4126">
        <v>0.39050790000000002</v>
      </c>
      <c r="P4126">
        <v>114</v>
      </c>
      <c r="Q4126">
        <v>30.43077242</v>
      </c>
      <c r="R4126">
        <v>0.53383111100000002</v>
      </c>
      <c r="S4126">
        <v>0.28333332999999999</v>
      </c>
      <c r="T4126" t="s">
        <v>1019</v>
      </c>
      <c r="U4126">
        <v>0.41088000000000002</v>
      </c>
    </row>
    <row r="4127" spans="1:21" x14ac:dyDescent="0.25">
      <c r="A4127" t="s">
        <v>48</v>
      </c>
      <c r="B4127" t="s">
        <v>977</v>
      </c>
      <c r="C4127">
        <v>2</v>
      </c>
      <c r="D4127" t="s">
        <v>33</v>
      </c>
      <c r="E4127" t="s">
        <v>95</v>
      </c>
      <c r="F4127" t="s">
        <v>104</v>
      </c>
      <c r="G4127" t="s">
        <v>121</v>
      </c>
      <c r="H4127" t="s">
        <v>113</v>
      </c>
      <c r="J4127">
        <v>0</v>
      </c>
      <c r="K4127">
        <v>5</v>
      </c>
      <c r="L4127">
        <v>113.9375</v>
      </c>
      <c r="M4127">
        <v>33.375507550000002</v>
      </c>
      <c r="N4127">
        <v>2.4262999999999999</v>
      </c>
      <c r="O4127">
        <v>0.40692159999999999</v>
      </c>
      <c r="P4127">
        <v>83.757575759999995</v>
      </c>
      <c r="Q4127">
        <v>22.60997987</v>
      </c>
      <c r="R4127">
        <v>0.72884000000000004</v>
      </c>
      <c r="S4127">
        <v>0.21301339999999999</v>
      </c>
      <c r="T4127" t="s">
        <v>1019</v>
      </c>
      <c r="U4127">
        <v>1.69746</v>
      </c>
    </row>
    <row r="4128" spans="1:21" x14ac:dyDescent="0.25">
      <c r="A4128" t="s">
        <v>48</v>
      </c>
      <c r="B4128" t="s">
        <v>977</v>
      </c>
      <c r="C4128">
        <v>2</v>
      </c>
      <c r="D4128" t="s">
        <v>33</v>
      </c>
      <c r="E4128" t="s">
        <v>95</v>
      </c>
      <c r="F4128" t="s">
        <v>104</v>
      </c>
      <c r="G4128" t="s">
        <v>121</v>
      </c>
      <c r="H4128" t="s">
        <v>113</v>
      </c>
      <c r="J4128">
        <v>0</v>
      </c>
      <c r="K4128">
        <v>5</v>
      </c>
      <c r="L4128">
        <v>113.9375</v>
      </c>
      <c r="M4128">
        <v>33.375507550000002</v>
      </c>
      <c r="N4128">
        <v>2.4262999999999999</v>
      </c>
      <c r="O4128">
        <v>0.40692159999999999</v>
      </c>
      <c r="P4128">
        <v>83.757575759999995</v>
      </c>
      <c r="Q4128">
        <v>22.60997987</v>
      </c>
      <c r="R4128">
        <v>0.72884000000000004</v>
      </c>
      <c r="S4128">
        <v>0.21301339999999999</v>
      </c>
      <c r="T4128" t="s">
        <v>1019</v>
      </c>
      <c r="U4128">
        <v>1.69746</v>
      </c>
    </row>
    <row r="4129" spans="1:21" x14ac:dyDescent="0.25">
      <c r="A4129" t="s">
        <v>48</v>
      </c>
      <c r="B4129" t="s">
        <v>977</v>
      </c>
      <c r="C4129">
        <v>2</v>
      </c>
      <c r="D4129" t="s">
        <v>33</v>
      </c>
      <c r="E4129" t="s">
        <v>95</v>
      </c>
      <c r="F4129" t="s">
        <v>104</v>
      </c>
      <c r="G4129" t="s">
        <v>121</v>
      </c>
      <c r="H4129" t="s">
        <v>113</v>
      </c>
      <c r="J4129">
        <v>0</v>
      </c>
      <c r="K4129">
        <v>5</v>
      </c>
      <c r="L4129">
        <v>113.9375</v>
      </c>
      <c r="M4129">
        <v>33.375507550000002</v>
      </c>
      <c r="N4129">
        <v>2.4262999999999999</v>
      </c>
      <c r="O4129">
        <v>0.40692159999999999</v>
      </c>
      <c r="P4129">
        <v>83.757575759999995</v>
      </c>
      <c r="Q4129">
        <v>22.60997987</v>
      </c>
      <c r="R4129">
        <v>0.72884000000000004</v>
      </c>
      <c r="S4129">
        <v>0.21301339999999999</v>
      </c>
      <c r="T4129" t="s">
        <v>1019</v>
      </c>
      <c r="U4129">
        <v>1.69746</v>
      </c>
    </row>
    <row r="4130" spans="1:21" x14ac:dyDescent="0.25">
      <c r="A4130" t="s">
        <v>48</v>
      </c>
      <c r="B4130" t="s">
        <v>977</v>
      </c>
      <c r="C4130">
        <v>2</v>
      </c>
      <c r="D4130" t="s">
        <v>33</v>
      </c>
      <c r="E4130" t="s">
        <v>95</v>
      </c>
      <c r="F4130" t="s">
        <v>104</v>
      </c>
      <c r="G4130" t="s">
        <v>121</v>
      </c>
      <c r="H4130" t="s">
        <v>113</v>
      </c>
      <c r="J4130">
        <v>0</v>
      </c>
      <c r="K4130">
        <v>5</v>
      </c>
      <c r="L4130">
        <v>113.9375</v>
      </c>
      <c r="M4130">
        <v>33.375507550000002</v>
      </c>
      <c r="N4130">
        <v>2.4262999999999999</v>
      </c>
      <c r="O4130">
        <v>0.40692159999999999</v>
      </c>
      <c r="P4130">
        <v>83.757575759999995</v>
      </c>
      <c r="Q4130">
        <v>22.60997987</v>
      </c>
      <c r="R4130">
        <v>0.72884000000000004</v>
      </c>
      <c r="S4130">
        <v>0.21301339999999999</v>
      </c>
      <c r="T4130" t="s">
        <v>1019</v>
      </c>
      <c r="U4130">
        <v>1.69746</v>
      </c>
    </row>
    <row r="4131" spans="1:21" x14ac:dyDescent="0.25">
      <c r="A4131" t="s">
        <v>48</v>
      </c>
      <c r="B4131" t="s">
        <v>977</v>
      </c>
      <c r="C4131">
        <v>2</v>
      </c>
      <c r="D4131" t="s">
        <v>33</v>
      </c>
      <c r="E4131" t="s">
        <v>95</v>
      </c>
      <c r="F4131" t="s">
        <v>104</v>
      </c>
      <c r="G4131" t="s">
        <v>121</v>
      </c>
      <c r="H4131" t="s">
        <v>113</v>
      </c>
      <c r="J4131">
        <v>0</v>
      </c>
      <c r="K4131">
        <v>5</v>
      </c>
      <c r="L4131">
        <v>113.9375</v>
      </c>
      <c r="M4131">
        <v>33.375507550000002</v>
      </c>
      <c r="N4131">
        <v>2.4262999999999999</v>
      </c>
      <c r="O4131">
        <v>0.40692159999999999</v>
      </c>
      <c r="P4131">
        <v>83.757575759999995</v>
      </c>
      <c r="Q4131">
        <v>22.60997987</v>
      </c>
      <c r="R4131">
        <v>0.72884000000000004</v>
      </c>
      <c r="S4131">
        <v>0.21301339999999999</v>
      </c>
      <c r="T4131" t="s">
        <v>1019</v>
      </c>
      <c r="U4131">
        <v>1.69746</v>
      </c>
    </row>
    <row r="4132" spans="1:21" x14ac:dyDescent="0.25">
      <c r="A4132" t="s">
        <v>48</v>
      </c>
      <c r="B4132" t="s">
        <v>977</v>
      </c>
      <c r="C4132">
        <v>2</v>
      </c>
      <c r="D4132" t="s">
        <v>33</v>
      </c>
      <c r="E4132" t="s">
        <v>95</v>
      </c>
      <c r="F4132" t="s">
        <v>104</v>
      </c>
      <c r="G4132" t="s">
        <v>121</v>
      </c>
      <c r="H4132" t="s">
        <v>104</v>
      </c>
      <c r="J4132">
        <v>0</v>
      </c>
      <c r="K4132">
        <v>2</v>
      </c>
      <c r="L4132">
        <v>113.9375</v>
      </c>
      <c r="M4132">
        <v>33.375507550000002</v>
      </c>
      <c r="N4132">
        <v>2.4262999999999999</v>
      </c>
      <c r="O4132">
        <v>0.40692159999999999</v>
      </c>
      <c r="P4132">
        <v>113.9375</v>
      </c>
      <c r="Q4132">
        <v>33.375507550000002</v>
      </c>
      <c r="R4132">
        <v>2.4262999999999999</v>
      </c>
      <c r="S4132">
        <v>0.40692159999999999</v>
      </c>
      <c r="T4132" t="s">
        <v>1019</v>
      </c>
      <c r="U4132">
        <v>0</v>
      </c>
    </row>
    <row r="4133" spans="1:21" x14ac:dyDescent="0.25">
      <c r="A4133" t="s">
        <v>48</v>
      </c>
      <c r="B4133" t="s">
        <v>977</v>
      </c>
      <c r="C4133">
        <v>2</v>
      </c>
      <c r="D4133" t="s">
        <v>33</v>
      </c>
      <c r="E4133" t="s">
        <v>95</v>
      </c>
      <c r="F4133" t="s">
        <v>104</v>
      </c>
      <c r="G4133" t="s">
        <v>121</v>
      </c>
      <c r="H4133" t="s">
        <v>104</v>
      </c>
      <c r="J4133">
        <v>0</v>
      </c>
      <c r="K4133">
        <v>2</v>
      </c>
      <c r="L4133">
        <v>113.9375</v>
      </c>
      <c r="M4133">
        <v>33.375507550000002</v>
      </c>
      <c r="N4133">
        <v>2.4262999999999999</v>
      </c>
      <c r="O4133">
        <v>0.40692159999999999</v>
      </c>
      <c r="P4133">
        <v>113.9375</v>
      </c>
      <c r="Q4133">
        <v>33.375507550000002</v>
      </c>
      <c r="R4133">
        <v>2.4262999999999999</v>
      </c>
      <c r="S4133">
        <v>0.40692159999999999</v>
      </c>
      <c r="T4133" t="s">
        <v>1019</v>
      </c>
      <c r="U4133">
        <v>0</v>
      </c>
    </row>
    <row r="4134" spans="1:21" x14ac:dyDescent="0.25">
      <c r="A4134" t="s">
        <v>48</v>
      </c>
      <c r="B4134" t="s">
        <v>977</v>
      </c>
      <c r="C4134">
        <v>2</v>
      </c>
      <c r="D4134" t="s">
        <v>33</v>
      </c>
      <c r="E4134" t="s">
        <v>95</v>
      </c>
      <c r="F4134" t="s">
        <v>104</v>
      </c>
      <c r="G4134" t="s">
        <v>121</v>
      </c>
      <c r="H4134" t="s">
        <v>103</v>
      </c>
      <c r="J4134">
        <v>0</v>
      </c>
      <c r="K4134">
        <v>1</v>
      </c>
      <c r="L4134">
        <v>113.9375</v>
      </c>
      <c r="M4134">
        <v>33.375507550000002</v>
      </c>
      <c r="N4134">
        <v>2.4262999999999999</v>
      </c>
      <c r="O4134">
        <v>0.40692159999999999</v>
      </c>
      <c r="P4134">
        <v>98.291666669999998</v>
      </c>
      <c r="Q4134">
        <v>30.315130790000001</v>
      </c>
      <c r="R4134">
        <v>5.0803484000000003E-2</v>
      </c>
      <c r="S4134">
        <v>0.42866070000000001</v>
      </c>
      <c r="T4134" t="s">
        <v>1019</v>
      </c>
      <c r="U4134">
        <v>2.3754965160000001</v>
      </c>
    </row>
    <row r="4135" spans="1:21" x14ac:dyDescent="0.25">
      <c r="A4135" t="s">
        <v>49</v>
      </c>
      <c r="B4135" t="s">
        <v>978</v>
      </c>
      <c r="C4135">
        <v>2</v>
      </c>
      <c r="D4135" t="s">
        <v>35</v>
      </c>
      <c r="E4135" t="s">
        <v>94</v>
      </c>
      <c r="F4135" t="s">
        <v>102</v>
      </c>
      <c r="G4135" t="s">
        <v>112</v>
      </c>
      <c r="H4135" t="s">
        <v>112</v>
      </c>
      <c r="J4135">
        <v>0</v>
      </c>
      <c r="K4135">
        <v>1</v>
      </c>
      <c r="L4135">
        <v>84.740740740000007</v>
      </c>
      <c r="M4135">
        <v>29.167014049999999</v>
      </c>
      <c r="N4135">
        <v>1.1169849999999999</v>
      </c>
      <c r="O4135">
        <v>1.1571499000000001</v>
      </c>
      <c r="P4135">
        <v>65.09375</v>
      </c>
      <c r="Q4135">
        <v>37.895352600000002</v>
      </c>
      <c r="R4135">
        <v>2.2882677779999998</v>
      </c>
      <c r="S4135">
        <v>2.2111774</v>
      </c>
      <c r="T4135" t="s">
        <v>1019</v>
      </c>
      <c r="U4135">
        <v>1.1712827779999999</v>
      </c>
    </row>
    <row r="4136" spans="1:21" x14ac:dyDescent="0.25">
      <c r="A4136" t="s">
        <v>49</v>
      </c>
      <c r="B4136" t="s">
        <v>978</v>
      </c>
      <c r="C4136">
        <v>2</v>
      </c>
      <c r="D4136" t="s">
        <v>35</v>
      </c>
      <c r="E4136" t="s">
        <v>94</v>
      </c>
      <c r="F4136" t="s">
        <v>102</v>
      </c>
      <c r="G4136" t="s">
        <v>112</v>
      </c>
      <c r="H4136" t="s">
        <v>104</v>
      </c>
      <c r="J4136">
        <v>0</v>
      </c>
      <c r="K4136">
        <v>5</v>
      </c>
      <c r="L4136">
        <v>84.740740740000007</v>
      </c>
      <c r="M4136">
        <v>29.167014049999999</v>
      </c>
      <c r="N4136">
        <v>1.1169849999999999</v>
      </c>
      <c r="O4136">
        <v>1.1571499000000001</v>
      </c>
      <c r="P4136">
        <v>113.9375</v>
      </c>
      <c r="Q4136">
        <v>33.375507550000002</v>
      </c>
      <c r="R4136">
        <v>2.4262999999999999</v>
      </c>
      <c r="S4136">
        <v>0.40692159999999999</v>
      </c>
      <c r="T4136" t="s">
        <v>1019</v>
      </c>
      <c r="U4136">
        <v>1.309315</v>
      </c>
    </row>
    <row r="4137" spans="1:21" x14ac:dyDescent="0.25">
      <c r="A4137" t="s">
        <v>49</v>
      </c>
      <c r="B4137" t="s">
        <v>978</v>
      </c>
      <c r="C4137">
        <v>2</v>
      </c>
      <c r="D4137" t="s">
        <v>35</v>
      </c>
      <c r="E4137" t="s">
        <v>94</v>
      </c>
      <c r="F4137" t="s">
        <v>102</v>
      </c>
      <c r="G4137" t="s">
        <v>112</v>
      </c>
      <c r="H4137" t="s">
        <v>104</v>
      </c>
      <c r="J4137">
        <v>0</v>
      </c>
      <c r="K4137">
        <v>5</v>
      </c>
      <c r="L4137">
        <v>84.740740740000007</v>
      </c>
      <c r="M4137">
        <v>29.167014049999999</v>
      </c>
      <c r="N4137">
        <v>1.1169849999999999</v>
      </c>
      <c r="O4137">
        <v>1.1571499000000001</v>
      </c>
      <c r="P4137">
        <v>113.9375</v>
      </c>
      <c r="Q4137">
        <v>33.375507550000002</v>
      </c>
      <c r="R4137">
        <v>2.4262999999999999</v>
      </c>
      <c r="S4137">
        <v>0.40692159999999999</v>
      </c>
      <c r="T4137" t="s">
        <v>1019</v>
      </c>
      <c r="U4137">
        <v>1.309315</v>
      </c>
    </row>
    <row r="4138" spans="1:21" x14ac:dyDescent="0.25">
      <c r="A4138" t="s">
        <v>49</v>
      </c>
      <c r="B4138" t="s">
        <v>978</v>
      </c>
      <c r="C4138">
        <v>2</v>
      </c>
      <c r="D4138" t="s">
        <v>35</v>
      </c>
      <c r="E4138" t="s">
        <v>94</v>
      </c>
      <c r="F4138" t="s">
        <v>102</v>
      </c>
      <c r="G4138" t="s">
        <v>112</v>
      </c>
      <c r="H4138" t="s">
        <v>104</v>
      </c>
      <c r="J4138">
        <v>0</v>
      </c>
      <c r="K4138">
        <v>5</v>
      </c>
      <c r="L4138">
        <v>84.740740740000007</v>
      </c>
      <c r="M4138">
        <v>29.167014049999999</v>
      </c>
      <c r="N4138">
        <v>1.1169849999999999</v>
      </c>
      <c r="O4138">
        <v>1.1571499000000001</v>
      </c>
      <c r="P4138">
        <v>113.9375</v>
      </c>
      <c r="Q4138">
        <v>33.375507550000002</v>
      </c>
      <c r="R4138">
        <v>2.4262999999999999</v>
      </c>
      <c r="S4138">
        <v>0.40692159999999999</v>
      </c>
      <c r="T4138" t="s">
        <v>1019</v>
      </c>
      <c r="U4138">
        <v>1.309315</v>
      </c>
    </row>
    <row r="4139" spans="1:21" x14ac:dyDescent="0.25">
      <c r="A4139" t="s">
        <v>49</v>
      </c>
      <c r="B4139" t="s">
        <v>978</v>
      </c>
      <c r="C4139">
        <v>2</v>
      </c>
      <c r="D4139" t="s">
        <v>35</v>
      </c>
      <c r="E4139" t="s">
        <v>94</v>
      </c>
      <c r="F4139" t="s">
        <v>102</v>
      </c>
      <c r="G4139" t="s">
        <v>112</v>
      </c>
      <c r="H4139" t="s">
        <v>104</v>
      </c>
      <c r="J4139">
        <v>0</v>
      </c>
      <c r="K4139">
        <v>5</v>
      </c>
      <c r="L4139">
        <v>84.740740740000007</v>
      </c>
      <c r="M4139">
        <v>29.167014049999999</v>
      </c>
      <c r="N4139">
        <v>1.1169849999999999</v>
      </c>
      <c r="O4139">
        <v>1.1571499000000001</v>
      </c>
      <c r="P4139">
        <v>113.9375</v>
      </c>
      <c r="Q4139">
        <v>33.375507550000002</v>
      </c>
      <c r="R4139">
        <v>2.4262999999999999</v>
      </c>
      <c r="S4139">
        <v>0.40692159999999999</v>
      </c>
      <c r="T4139" t="s">
        <v>1019</v>
      </c>
      <c r="U4139">
        <v>1.309315</v>
      </c>
    </row>
    <row r="4140" spans="1:21" x14ac:dyDescent="0.25">
      <c r="A4140" t="s">
        <v>49</v>
      </c>
      <c r="B4140" t="s">
        <v>978</v>
      </c>
      <c r="C4140">
        <v>2</v>
      </c>
      <c r="D4140" t="s">
        <v>35</v>
      </c>
      <c r="E4140" t="s">
        <v>94</v>
      </c>
      <c r="F4140" t="s">
        <v>102</v>
      </c>
      <c r="G4140" t="s">
        <v>112</v>
      </c>
      <c r="H4140" t="s">
        <v>104</v>
      </c>
      <c r="J4140">
        <v>0</v>
      </c>
      <c r="K4140">
        <v>5</v>
      </c>
      <c r="L4140">
        <v>84.740740740000007</v>
      </c>
      <c r="M4140">
        <v>29.167014049999999</v>
      </c>
      <c r="N4140">
        <v>1.1169849999999999</v>
      </c>
      <c r="O4140">
        <v>1.1571499000000001</v>
      </c>
      <c r="P4140">
        <v>113.9375</v>
      </c>
      <c r="Q4140">
        <v>33.375507550000002</v>
      </c>
      <c r="R4140">
        <v>2.4262999999999999</v>
      </c>
      <c r="S4140">
        <v>0.40692159999999999</v>
      </c>
      <c r="T4140" t="s">
        <v>1019</v>
      </c>
      <c r="U4140">
        <v>1.309315</v>
      </c>
    </row>
    <row r="4141" spans="1:21" x14ac:dyDescent="0.25">
      <c r="A4141" t="s">
        <v>49</v>
      </c>
      <c r="B4141" t="s">
        <v>979</v>
      </c>
      <c r="C4141">
        <v>2</v>
      </c>
      <c r="D4141" t="s">
        <v>35</v>
      </c>
      <c r="E4141" t="s">
        <v>94</v>
      </c>
      <c r="F4141" t="s">
        <v>112</v>
      </c>
      <c r="G4141" t="s">
        <v>112</v>
      </c>
      <c r="H4141" t="s">
        <v>112</v>
      </c>
      <c r="J4141">
        <v>0</v>
      </c>
      <c r="K4141">
        <v>1</v>
      </c>
      <c r="L4141">
        <v>65.09375</v>
      </c>
      <c r="M4141">
        <v>37.895352600000002</v>
      </c>
      <c r="N4141">
        <v>2.2882677779999998</v>
      </c>
      <c r="O4141">
        <v>2.2111774</v>
      </c>
      <c r="P4141">
        <v>65.09375</v>
      </c>
      <c r="Q4141">
        <v>37.895352600000002</v>
      </c>
      <c r="R4141">
        <v>2.2882677779999998</v>
      </c>
      <c r="S4141">
        <v>2.2111774</v>
      </c>
      <c r="T4141" t="s">
        <v>1019</v>
      </c>
      <c r="U4141">
        <v>0</v>
      </c>
    </row>
    <row r="4142" spans="1:21" x14ac:dyDescent="0.25">
      <c r="A4142" t="s">
        <v>49</v>
      </c>
      <c r="B4142" t="s">
        <v>979</v>
      </c>
      <c r="C4142">
        <v>2</v>
      </c>
      <c r="D4142" t="s">
        <v>35</v>
      </c>
      <c r="E4142" t="s">
        <v>94</v>
      </c>
      <c r="F4142" t="s">
        <v>112</v>
      </c>
      <c r="G4142" t="s">
        <v>112</v>
      </c>
      <c r="H4142" t="s">
        <v>103</v>
      </c>
      <c r="J4142">
        <v>0</v>
      </c>
      <c r="K4142">
        <v>1</v>
      </c>
      <c r="L4142">
        <v>65.09375</v>
      </c>
      <c r="M4142">
        <v>37.895352600000002</v>
      </c>
      <c r="N4142">
        <v>2.2882677779999998</v>
      </c>
      <c r="O4142">
        <v>2.2111774</v>
      </c>
      <c r="P4142">
        <v>98.291666669999998</v>
      </c>
      <c r="Q4142">
        <v>30.315130790000001</v>
      </c>
      <c r="R4142">
        <v>5.0803484000000003E-2</v>
      </c>
      <c r="S4142">
        <v>0.42866070000000001</v>
      </c>
      <c r="T4142" t="s">
        <v>1019</v>
      </c>
      <c r="U4142">
        <v>2.237464294</v>
      </c>
    </row>
    <row r="4143" spans="1:21" x14ac:dyDescent="0.25">
      <c r="A4143" t="s">
        <v>79</v>
      </c>
      <c r="B4143" t="s">
        <v>980</v>
      </c>
      <c r="C4143">
        <v>6</v>
      </c>
      <c r="D4143" t="s">
        <v>11</v>
      </c>
      <c r="E4143" t="s">
        <v>95</v>
      </c>
      <c r="F4143" t="s">
        <v>113</v>
      </c>
      <c r="G4143" t="s">
        <v>113</v>
      </c>
      <c r="H4143" t="s">
        <v>113</v>
      </c>
      <c r="J4143">
        <v>0</v>
      </c>
      <c r="K4143">
        <v>4</v>
      </c>
      <c r="L4143">
        <v>83.757575759999995</v>
      </c>
      <c r="M4143">
        <v>22.60997987</v>
      </c>
      <c r="N4143">
        <v>0.72884000000000004</v>
      </c>
      <c r="O4143">
        <v>0.21301339999999999</v>
      </c>
      <c r="P4143">
        <v>83.757575759999995</v>
      </c>
      <c r="Q4143">
        <v>22.60997987</v>
      </c>
      <c r="R4143">
        <v>0.72884000000000004</v>
      </c>
      <c r="S4143">
        <v>0.21301339999999999</v>
      </c>
      <c r="T4143" t="s">
        <v>1019</v>
      </c>
      <c r="U4143">
        <v>0</v>
      </c>
    </row>
    <row r="4144" spans="1:21" x14ac:dyDescent="0.25">
      <c r="A4144" t="s">
        <v>79</v>
      </c>
      <c r="B4144" t="s">
        <v>980</v>
      </c>
      <c r="C4144">
        <v>6</v>
      </c>
      <c r="D4144" t="s">
        <v>11</v>
      </c>
      <c r="E4144" t="s">
        <v>95</v>
      </c>
      <c r="F4144" t="s">
        <v>113</v>
      </c>
      <c r="G4144" t="s">
        <v>113</v>
      </c>
      <c r="H4144" t="s">
        <v>113</v>
      </c>
      <c r="J4144">
        <v>0</v>
      </c>
      <c r="K4144">
        <v>4</v>
      </c>
      <c r="L4144">
        <v>83.757575759999995</v>
      </c>
      <c r="M4144">
        <v>22.60997987</v>
      </c>
      <c r="N4144">
        <v>0.72884000000000004</v>
      </c>
      <c r="O4144">
        <v>0.21301339999999999</v>
      </c>
      <c r="P4144">
        <v>83.757575759999995</v>
      </c>
      <c r="Q4144">
        <v>22.60997987</v>
      </c>
      <c r="R4144">
        <v>0.72884000000000004</v>
      </c>
      <c r="S4144">
        <v>0.21301339999999999</v>
      </c>
      <c r="T4144" t="s">
        <v>1019</v>
      </c>
      <c r="U4144">
        <v>0</v>
      </c>
    </row>
    <row r="4145" spans="1:21" x14ac:dyDescent="0.25">
      <c r="A4145" t="s">
        <v>79</v>
      </c>
      <c r="B4145" t="s">
        <v>980</v>
      </c>
      <c r="C4145">
        <v>6</v>
      </c>
      <c r="D4145" t="s">
        <v>11</v>
      </c>
      <c r="E4145" t="s">
        <v>95</v>
      </c>
      <c r="F4145" t="s">
        <v>113</v>
      </c>
      <c r="G4145" t="s">
        <v>113</v>
      </c>
      <c r="H4145" t="s">
        <v>113</v>
      </c>
      <c r="J4145">
        <v>0</v>
      </c>
      <c r="K4145">
        <v>4</v>
      </c>
      <c r="L4145">
        <v>83.757575759999995</v>
      </c>
      <c r="M4145">
        <v>22.60997987</v>
      </c>
      <c r="N4145">
        <v>0.72884000000000004</v>
      </c>
      <c r="O4145">
        <v>0.21301339999999999</v>
      </c>
      <c r="P4145">
        <v>83.757575759999995</v>
      </c>
      <c r="Q4145">
        <v>22.60997987</v>
      </c>
      <c r="R4145">
        <v>0.72884000000000004</v>
      </c>
      <c r="S4145">
        <v>0.21301339999999999</v>
      </c>
      <c r="T4145" t="s">
        <v>1019</v>
      </c>
      <c r="U4145">
        <v>0</v>
      </c>
    </row>
    <row r="4146" spans="1:21" x14ac:dyDescent="0.25">
      <c r="A4146" t="s">
        <v>79</v>
      </c>
      <c r="B4146" t="s">
        <v>980</v>
      </c>
      <c r="C4146">
        <v>6</v>
      </c>
      <c r="D4146" t="s">
        <v>11</v>
      </c>
      <c r="E4146" t="s">
        <v>95</v>
      </c>
      <c r="F4146" t="s">
        <v>113</v>
      </c>
      <c r="G4146" t="s">
        <v>113</v>
      </c>
      <c r="H4146" t="s">
        <v>113</v>
      </c>
      <c r="J4146">
        <v>0</v>
      </c>
      <c r="K4146">
        <v>4</v>
      </c>
      <c r="L4146">
        <v>83.757575759999995</v>
      </c>
      <c r="M4146">
        <v>22.60997987</v>
      </c>
      <c r="N4146">
        <v>0.72884000000000004</v>
      </c>
      <c r="O4146">
        <v>0.21301339999999999</v>
      </c>
      <c r="P4146">
        <v>83.757575759999995</v>
      </c>
      <c r="Q4146">
        <v>22.60997987</v>
      </c>
      <c r="R4146">
        <v>0.72884000000000004</v>
      </c>
      <c r="S4146">
        <v>0.21301339999999999</v>
      </c>
      <c r="T4146" t="s">
        <v>1019</v>
      </c>
      <c r="U4146">
        <v>0</v>
      </c>
    </row>
    <row r="4147" spans="1:21" x14ac:dyDescent="0.25">
      <c r="A4147" t="s">
        <v>79</v>
      </c>
      <c r="B4147" t="s">
        <v>981</v>
      </c>
      <c r="C4147">
        <v>6</v>
      </c>
      <c r="D4147" t="s">
        <v>11</v>
      </c>
      <c r="E4147" t="s">
        <v>95</v>
      </c>
      <c r="F4147" t="s">
        <v>103</v>
      </c>
      <c r="G4147" t="s">
        <v>113</v>
      </c>
      <c r="H4147" t="s">
        <v>113</v>
      </c>
      <c r="J4147">
        <v>0</v>
      </c>
      <c r="K4147">
        <v>7</v>
      </c>
      <c r="L4147">
        <v>98.291666669999998</v>
      </c>
      <c r="M4147">
        <v>30.315130790000001</v>
      </c>
      <c r="N4147">
        <v>5.0803484000000003E-2</v>
      </c>
      <c r="O4147">
        <v>0.42866070000000001</v>
      </c>
      <c r="P4147">
        <v>83.757575759999995</v>
      </c>
      <c r="Q4147">
        <v>22.60997987</v>
      </c>
      <c r="R4147">
        <v>0.72884000000000004</v>
      </c>
      <c r="S4147">
        <v>0.21301339999999999</v>
      </c>
      <c r="T4147" t="s">
        <v>1019</v>
      </c>
      <c r="U4147">
        <v>0.67803651600000003</v>
      </c>
    </row>
    <row r="4148" spans="1:21" x14ac:dyDescent="0.25">
      <c r="A4148" t="s">
        <v>79</v>
      </c>
      <c r="B4148" t="s">
        <v>981</v>
      </c>
      <c r="C4148">
        <v>6</v>
      </c>
      <c r="D4148" t="s">
        <v>11</v>
      </c>
      <c r="E4148" t="s">
        <v>95</v>
      </c>
      <c r="F4148" t="s">
        <v>103</v>
      </c>
      <c r="G4148" t="s">
        <v>113</v>
      </c>
      <c r="H4148" t="s">
        <v>113</v>
      </c>
      <c r="J4148">
        <v>0</v>
      </c>
      <c r="K4148">
        <v>7</v>
      </c>
      <c r="L4148">
        <v>98.291666669999998</v>
      </c>
      <c r="M4148">
        <v>30.315130790000001</v>
      </c>
      <c r="N4148">
        <v>5.0803484000000003E-2</v>
      </c>
      <c r="O4148">
        <v>0.42866070000000001</v>
      </c>
      <c r="P4148">
        <v>83.757575759999995</v>
      </c>
      <c r="Q4148">
        <v>22.60997987</v>
      </c>
      <c r="R4148">
        <v>0.72884000000000004</v>
      </c>
      <c r="S4148">
        <v>0.21301339999999999</v>
      </c>
      <c r="T4148" t="s">
        <v>1019</v>
      </c>
      <c r="U4148">
        <v>0.67803651600000003</v>
      </c>
    </row>
    <row r="4149" spans="1:21" x14ac:dyDescent="0.25">
      <c r="A4149" t="s">
        <v>79</v>
      </c>
      <c r="B4149" t="s">
        <v>981</v>
      </c>
      <c r="C4149">
        <v>6</v>
      </c>
      <c r="D4149" t="s">
        <v>11</v>
      </c>
      <c r="E4149" t="s">
        <v>95</v>
      </c>
      <c r="F4149" t="s">
        <v>103</v>
      </c>
      <c r="G4149" t="s">
        <v>113</v>
      </c>
      <c r="H4149" t="s">
        <v>113</v>
      </c>
      <c r="J4149">
        <v>0</v>
      </c>
      <c r="K4149">
        <v>7</v>
      </c>
      <c r="L4149">
        <v>98.291666669999998</v>
      </c>
      <c r="M4149">
        <v>30.315130790000001</v>
      </c>
      <c r="N4149">
        <v>5.0803484000000003E-2</v>
      </c>
      <c r="O4149">
        <v>0.42866070000000001</v>
      </c>
      <c r="P4149">
        <v>83.757575759999995</v>
      </c>
      <c r="Q4149">
        <v>22.60997987</v>
      </c>
      <c r="R4149">
        <v>0.72884000000000004</v>
      </c>
      <c r="S4149">
        <v>0.21301339999999999</v>
      </c>
      <c r="T4149" t="s">
        <v>1019</v>
      </c>
      <c r="U4149">
        <v>0.67803651600000003</v>
      </c>
    </row>
    <row r="4150" spans="1:21" x14ac:dyDescent="0.25">
      <c r="A4150" t="s">
        <v>79</v>
      </c>
      <c r="B4150" t="s">
        <v>981</v>
      </c>
      <c r="C4150">
        <v>6</v>
      </c>
      <c r="D4150" t="s">
        <v>11</v>
      </c>
      <c r="E4150" t="s">
        <v>95</v>
      </c>
      <c r="F4150" t="s">
        <v>103</v>
      </c>
      <c r="G4150" t="s">
        <v>113</v>
      </c>
      <c r="H4150" t="s">
        <v>113</v>
      </c>
      <c r="J4150">
        <v>0</v>
      </c>
      <c r="K4150">
        <v>7</v>
      </c>
      <c r="L4150">
        <v>98.291666669999998</v>
      </c>
      <c r="M4150">
        <v>30.315130790000001</v>
      </c>
      <c r="N4150">
        <v>5.0803484000000003E-2</v>
      </c>
      <c r="O4150">
        <v>0.42866070000000001</v>
      </c>
      <c r="P4150">
        <v>83.757575759999995</v>
      </c>
      <c r="Q4150">
        <v>22.60997987</v>
      </c>
      <c r="R4150">
        <v>0.72884000000000004</v>
      </c>
      <c r="S4150">
        <v>0.21301339999999999</v>
      </c>
      <c r="T4150" t="s">
        <v>1019</v>
      </c>
      <c r="U4150">
        <v>0.67803651600000003</v>
      </c>
    </row>
    <row r="4151" spans="1:21" x14ac:dyDescent="0.25">
      <c r="A4151" t="s">
        <v>79</v>
      </c>
      <c r="B4151" t="s">
        <v>981</v>
      </c>
      <c r="C4151">
        <v>6</v>
      </c>
      <c r="D4151" t="s">
        <v>11</v>
      </c>
      <c r="E4151" t="s">
        <v>95</v>
      </c>
      <c r="F4151" t="s">
        <v>103</v>
      </c>
      <c r="G4151" t="s">
        <v>113</v>
      </c>
      <c r="H4151" t="s">
        <v>113</v>
      </c>
      <c r="J4151">
        <v>0</v>
      </c>
      <c r="K4151">
        <v>7</v>
      </c>
      <c r="L4151">
        <v>98.291666669999998</v>
      </c>
      <c r="M4151">
        <v>30.315130790000001</v>
      </c>
      <c r="N4151">
        <v>5.0803484000000003E-2</v>
      </c>
      <c r="O4151">
        <v>0.42866070000000001</v>
      </c>
      <c r="P4151">
        <v>83.757575759999995</v>
      </c>
      <c r="Q4151">
        <v>22.60997987</v>
      </c>
      <c r="R4151">
        <v>0.72884000000000004</v>
      </c>
      <c r="S4151">
        <v>0.21301339999999999</v>
      </c>
      <c r="T4151" t="s">
        <v>1019</v>
      </c>
      <c r="U4151">
        <v>0.67803651600000003</v>
      </c>
    </row>
    <row r="4152" spans="1:21" x14ac:dyDescent="0.25">
      <c r="A4152" t="s">
        <v>79</v>
      </c>
      <c r="B4152" t="s">
        <v>981</v>
      </c>
      <c r="C4152">
        <v>6</v>
      </c>
      <c r="D4152" t="s">
        <v>11</v>
      </c>
      <c r="E4152" t="s">
        <v>95</v>
      </c>
      <c r="F4152" t="s">
        <v>103</v>
      </c>
      <c r="G4152" t="s">
        <v>113</v>
      </c>
      <c r="H4152" t="s">
        <v>113</v>
      </c>
      <c r="J4152">
        <v>0</v>
      </c>
      <c r="K4152">
        <v>7</v>
      </c>
      <c r="L4152">
        <v>98.291666669999998</v>
      </c>
      <c r="M4152">
        <v>30.315130790000001</v>
      </c>
      <c r="N4152">
        <v>5.0803484000000003E-2</v>
      </c>
      <c r="O4152">
        <v>0.42866070000000001</v>
      </c>
      <c r="P4152">
        <v>83.757575759999995</v>
      </c>
      <c r="Q4152">
        <v>22.60997987</v>
      </c>
      <c r="R4152">
        <v>0.72884000000000004</v>
      </c>
      <c r="S4152">
        <v>0.21301339999999999</v>
      </c>
      <c r="T4152" t="s">
        <v>1019</v>
      </c>
      <c r="U4152">
        <v>0.67803651600000003</v>
      </c>
    </row>
    <row r="4153" spans="1:21" x14ac:dyDescent="0.25">
      <c r="A4153" t="s">
        <v>79</v>
      </c>
      <c r="B4153" t="s">
        <v>981</v>
      </c>
      <c r="C4153">
        <v>6</v>
      </c>
      <c r="D4153" t="s">
        <v>11</v>
      </c>
      <c r="E4153" t="s">
        <v>95</v>
      </c>
      <c r="F4153" t="s">
        <v>103</v>
      </c>
      <c r="G4153" t="s">
        <v>113</v>
      </c>
      <c r="H4153" t="s">
        <v>113</v>
      </c>
      <c r="J4153">
        <v>0</v>
      </c>
      <c r="K4153">
        <v>7</v>
      </c>
      <c r="L4153">
        <v>98.291666669999998</v>
      </c>
      <c r="M4153">
        <v>30.315130790000001</v>
      </c>
      <c r="N4153">
        <v>5.0803484000000003E-2</v>
      </c>
      <c r="O4153">
        <v>0.42866070000000001</v>
      </c>
      <c r="P4153">
        <v>83.757575759999995</v>
      </c>
      <c r="Q4153">
        <v>22.60997987</v>
      </c>
      <c r="R4153">
        <v>0.72884000000000004</v>
      </c>
      <c r="S4153">
        <v>0.21301339999999999</v>
      </c>
      <c r="T4153" t="s">
        <v>1019</v>
      </c>
      <c r="U4153">
        <v>0.67803651600000003</v>
      </c>
    </row>
    <row r="4154" spans="1:21" x14ac:dyDescent="0.25">
      <c r="A4154" t="s">
        <v>79</v>
      </c>
      <c r="B4154" t="s">
        <v>981</v>
      </c>
      <c r="C4154">
        <v>6</v>
      </c>
      <c r="D4154" t="s">
        <v>11</v>
      </c>
      <c r="E4154" t="s">
        <v>95</v>
      </c>
      <c r="F4154" t="s">
        <v>103</v>
      </c>
      <c r="G4154" t="s">
        <v>113</v>
      </c>
      <c r="H4154" t="s">
        <v>103</v>
      </c>
      <c r="J4154">
        <v>0</v>
      </c>
      <c r="K4154">
        <v>4</v>
      </c>
      <c r="L4154">
        <v>98.291666669999998</v>
      </c>
      <c r="M4154">
        <v>30.315130790000001</v>
      </c>
      <c r="N4154">
        <v>5.0803484000000003E-2</v>
      </c>
      <c r="O4154">
        <v>0.42866070000000001</v>
      </c>
      <c r="P4154">
        <v>98.291666669999998</v>
      </c>
      <c r="Q4154">
        <v>30.315130790000001</v>
      </c>
      <c r="R4154">
        <v>5.0803484000000003E-2</v>
      </c>
      <c r="S4154">
        <v>0.42866070000000001</v>
      </c>
      <c r="T4154" t="s">
        <v>1019</v>
      </c>
      <c r="U4154">
        <v>0</v>
      </c>
    </row>
    <row r="4155" spans="1:21" x14ac:dyDescent="0.25">
      <c r="A4155" t="s">
        <v>79</v>
      </c>
      <c r="B4155" t="s">
        <v>981</v>
      </c>
      <c r="C4155">
        <v>6</v>
      </c>
      <c r="D4155" t="s">
        <v>11</v>
      </c>
      <c r="E4155" t="s">
        <v>95</v>
      </c>
      <c r="F4155" t="s">
        <v>103</v>
      </c>
      <c r="G4155" t="s">
        <v>113</v>
      </c>
      <c r="H4155" t="s">
        <v>103</v>
      </c>
      <c r="J4155">
        <v>0</v>
      </c>
      <c r="K4155">
        <v>4</v>
      </c>
      <c r="L4155">
        <v>98.291666669999998</v>
      </c>
      <c r="M4155">
        <v>30.315130790000001</v>
      </c>
      <c r="N4155">
        <v>5.0803484000000003E-2</v>
      </c>
      <c r="O4155">
        <v>0.42866070000000001</v>
      </c>
      <c r="P4155">
        <v>98.291666669999998</v>
      </c>
      <c r="Q4155">
        <v>30.315130790000001</v>
      </c>
      <c r="R4155">
        <v>5.0803484000000003E-2</v>
      </c>
      <c r="S4155">
        <v>0.42866070000000001</v>
      </c>
      <c r="T4155" t="s">
        <v>1019</v>
      </c>
      <c r="U4155">
        <v>0</v>
      </c>
    </row>
    <row r="4156" spans="1:21" x14ac:dyDescent="0.25">
      <c r="A4156" t="s">
        <v>79</v>
      </c>
      <c r="B4156" t="s">
        <v>981</v>
      </c>
      <c r="C4156">
        <v>6</v>
      </c>
      <c r="D4156" t="s">
        <v>11</v>
      </c>
      <c r="E4156" t="s">
        <v>95</v>
      </c>
      <c r="F4156" t="s">
        <v>103</v>
      </c>
      <c r="G4156" t="s">
        <v>113</v>
      </c>
      <c r="H4156" t="s">
        <v>103</v>
      </c>
      <c r="J4156">
        <v>0</v>
      </c>
      <c r="K4156">
        <v>4</v>
      </c>
      <c r="L4156">
        <v>98.291666669999998</v>
      </c>
      <c r="M4156">
        <v>30.315130790000001</v>
      </c>
      <c r="N4156">
        <v>5.0803484000000003E-2</v>
      </c>
      <c r="O4156">
        <v>0.42866070000000001</v>
      </c>
      <c r="P4156">
        <v>98.291666669999998</v>
      </c>
      <c r="Q4156">
        <v>30.315130790000001</v>
      </c>
      <c r="R4156">
        <v>5.0803484000000003E-2</v>
      </c>
      <c r="S4156">
        <v>0.42866070000000001</v>
      </c>
      <c r="T4156" t="s">
        <v>1019</v>
      </c>
      <c r="U4156">
        <v>0</v>
      </c>
    </row>
    <row r="4157" spans="1:21" x14ac:dyDescent="0.25">
      <c r="A4157" t="s">
        <v>79</v>
      </c>
      <c r="B4157" t="s">
        <v>981</v>
      </c>
      <c r="C4157">
        <v>6</v>
      </c>
      <c r="D4157" t="s">
        <v>11</v>
      </c>
      <c r="E4157" t="s">
        <v>95</v>
      </c>
      <c r="F4157" t="s">
        <v>103</v>
      </c>
      <c r="G4157" t="s">
        <v>113</v>
      </c>
      <c r="H4157" t="s">
        <v>103</v>
      </c>
      <c r="J4157">
        <v>0</v>
      </c>
      <c r="K4157">
        <v>4</v>
      </c>
      <c r="L4157">
        <v>98.291666669999998</v>
      </c>
      <c r="M4157">
        <v>30.315130790000001</v>
      </c>
      <c r="N4157">
        <v>5.0803484000000003E-2</v>
      </c>
      <c r="O4157">
        <v>0.42866070000000001</v>
      </c>
      <c r="P4157">
        <v>98.291666669999998</v>
      </c>
      <c r="Q4157">
        <v>30.315130790000001</v>
      </c>
      <c r="R4157">
        <v>5.0803484000000003E-2</v>
      </c>
      <c r="S4157">
        <v>0.42866070000000001</v>
      </c>
      <c r="T4157" t="s">
        <v>1019</v>
      </c>
      <c r="U4157">
        <v>0</v>
      </c>
    </row>
    <row r="4158" spans="1:21" x14ac:dyDescent="0.25">
      <c r="A4158" t="s">
        <v>79</v>
      </c>
      <c r="B4158" t="s">
        <v>982</v>
      </c>
      <c r="C4158">
        <v>6</v>
      </c>
      <c r="D4158" t="s">
        <v>11</v>
      </c>
      <c r="E4158" t="s">
        <v>95</v>
      </c>
      <c r="F4158" t="s">
        <v>111</v>
      </c>
      <c r="G4158" t="s">
        <v>113</v>
      </c>
      <c r="H4158" t="s">
        <v>234</v>
      </c>
      <c r="J4158">
        <v>0</v>
      </c>
      <c r="K4158">
        <v>1</v>
      </c>
      <c r="L4158">
        <v>94.97142857</v>
      </c>
      <c r="M4158">
        <v>24.31591813</v>
      </c>
      <c r="N4158">
        <v>0.122951111</v>
      </c>
      <c r="O4158">
        <v>0.39050790000000002</v>
      </c>
      <c r="P4158">
        <v>89.8125</v>
      </c>
      <c r="Q4158">
        <v>34.754706650000003</v>
      </c>
      <c r="R4158">
        <v>2.3065078999999999E-2</v>
      </c>
      <c r="S4158">
        <v>2.4791666700000001</v>
      </c>
      <c r="T4158" t="s">
        <v>1019</v>
      </c>
      <c r="U4158">
        <v>9.9886032E-2</v>
      </c>
    </row>
    <row r="4159" spans="1:21" x14ac:dyDescent="0.25">
      <c r="A4159" t="s">
        <v>79</v>
      </c>
      <c r="B4159" t="s">
        <v>982</v>
      </c>
      <c r="C4159">
        <v>6</v>
      </c>
      <c r="D4159" t="s">
        <v>11</v>
      </c>
      <c r="E4159" t="s">
        <v>95</v>
      </c>
      <c r="F4159" t="s">
        <v>111</v>
      </c>
      <c r="G4159" t="s">
        <v>113</v>
      </c>
      <c r="H4159" t="s">
        <v>113</v>
      </c>
      <c r="J4159">
        <v>0</v>
      </c>
      <c r="K4159">
        <v>5</v>
      </c>
      <c r="L4159">
        <v>94.97142857</v>
      </c>
      <c r="M4159">
        <v>24.31591813</v>
      </c>
      <c r="N4159">
        <v>0.122951111</v>
      </c>
      <c r="O4159">
        <v>0.39050790000000002</v>
      </c>
      <c r="P4159">
        <v>83.757575759999995</v>
      </c>
      <c r="Q4159">
        <v>22.60997987</v>
      </c>
      <c r="R4159">
        <v>0.72884000000000004</v>
      </c>
      <c r="S4159">
        <v>0.21301339999999999</v>
      </c>
      <c r="T4159" t="s">
        <v>1019</v>
      </c>
      <c r="U4159">
        <v>0.60588888900000004</v>
      </c>
    </row>
    <row r="4160" spans="1:21" x14ac:dyDescent="0.25">
      <c r="A4160" t="s">
        <v>79</v>
      </c>
      <c r="B4160" t="s">
        <v>982</v>
      </c>
      <c r="C4160">
        <v>6</v>
      </c>
      <c r="D4160" t="s">
        <v>11</v>
      </c>
      <c r="E4160" t="s">
        <v>95</v>
      </c>
      <c r="F4160" t="s">
        <v>111</v>
      </c>
      <c r="G4160" t="s">
        <v>113</v>
      </c>
      <c r="H4160" t="s">
        <v>113</v>
      </c>
      <c r="J4160">
        <v>0</v>
      </c>
      <c r="K4160">
        <v>5</v>
      </c>
      <c r="L4160">
        <v>94.97142857</v>
      </c>
      <c r="M4160">
        <v>24.31591813</v>
      </c>
      <c r="N4160">
        <v>0.122951111</v>
      </c>
      <c r="O4160">
        <v>0.39050790000000002</v>
      </c>
      <c r="P4160">
        <v>83.757575759999995</v>
      </c>
      <c r="Q4160">
        <v>22.60997987</v>
      </c>
      <c r="R4160">
        <v>0.72884000000000004</v>
      </c>
      <c r="S4160">
        <v>0.21301339999999999</v>
      </c>
      <c r="T4160" t="s">
        <v>1019</v>
      </c>
      <c r="U4160">
        <v>0.60588888900000004</v>
      </c>
    </row>
    <row r="4161" spans="1:21" x14ac:dyDescent="0.25">
      <c r="A4161" t="s">
        <v>79</v>
      </c>
      <c r="B4161" t="s">
        <v>982</v>
      </c>
      <c r="C4161">
        <v>6</v>
      </c>
      <c r="D4161" t="s">
        <v>11</v>
      </c>
      <c r="E4161" t="s">
        <v>95</v>
      </c>
      <c r="F4161" t="s">
        <v>111</v>
      </c>
      <c r="G4161" t="s">
        <v>113</v>
      </c>
      <c r="H4161" t="s">
        <v>113</v>
      </c>
      <c r="J4161">
        <v>0</v>
      </c>
      <c r="K4161">
        <v>5</v>
      </c>
      <c r="L4161">
        <v>94.97142857</v>
      </c>
      <c r="M4161">
        <v>24.31591813</v>
      </c>
      <c r="N4161">
        <v>0.122951111</v>
      </c>
      <c r="O4161">
        <v>0.39050790000000002</v>
      </c>
      <c r="P4161">
        <v>83.757575759999995</v>
      </c>
      <c r="Q4161">
        <v>22.60997987</v>
      </c>
      <c r="R4161">
        <v>0.72884000000000004</v>
      </c>
      <c r="S4161">
        <v>0.21301339999999999</v>
      </c>
      <c r="T4161" t="s">
        <v>1019</v>
      </c>
      <c r="U4161">
        <v>0.60588888900000004</v>
      </c>
    </row>
    <row r="4162" spans="1:21" x14ac:dyDescent="0.25">
      <c r="A4162" t="s">
        <v>79</v>
      </c>
      <c r="B4162" t="s">
        <v>982</v>
      </c>
      <c r="C4162">
        <v>6</v>
      </c>
      <c r="D4162" t="s">
        <v>11</v>
      </c>
      <c r="E4162" t="s">
        <v>95</v>
      </c>
      <c r="F4162" t="s">
        <v>111</v>
      </c>
      <c r="G4162" t="s">
        <v>113</v>
      </c>
      <c r="H4162" t="s">
        <v>113</v>
      </c>
      <c r="J4162">
        <v>0</v>
      </c>
      <c r="K4162">
        <v>5</v>
      </c>
      <c r="L4162">
        <v>94.97142857</v>
      </c>
      <c r="M4162">
        <v>24.31591813</v>
      </c>
      <c r="N4162">
        <v>0.122951111</v>
      </c>
      <c r="O4162">
        <v>0.39050790000000002</v>
      </c>
      <c r="P4162">
        <v>83.757575759999995</v>
      </c>
      <c r="Q4162">
        <v>22.60997987</v>
      </c>
      <c r="R4162">
        <v>0.72884000000000004</v>
      </c>
      <c r="S4162">
        <v>0.21301339999999999</v>
      </c>
      <c r="T4162" t="s">
        <v>1019</v>
      </c>
      <c r="U4162">
        <v>0.60588888900000004</v>
      </c>
    </row>
    <row r="4163" spans="1:21" x14ac:dyDescent="0.25">
      <c r="A4163" t="s">
        <v>79</v>
      </c>
      <c r="B4163" t="s">
        <v>982</v>
      </c>
      <c r="C4163">
        <v>6</v>
      </c>
      <c r="D4163" t="s">
        <v>11</v>
      </c>
      <c r="E4163" t="s">
        <v>95</v>
      </c>
      <c r="F4163" t="s">
        <v>111</v>
      </c>
      <c r="G4163" t="s">
        <v>113</v>
      </c>
      <c r="H4163" t="s">
        <v>113</v>
      </c>
      <c r="J4163">
        <v>0</v>
      </c>
      <c r="K4163">
        <v>5</v>
      </c>
      <c r="L4163">
        <v>94.97142857</v>
      </c>
      <c r="M4163">
        <v>24.31591813</v>
      </c>
      <c r="N4163">
        <v>0.122951111</v>
      </c>
      <c r="O4163">
        <v>0.39050790000000002</v>
      </c>
      <c r="P4163">
        <v>83.757575759999995</v>
      </c>
      <c r="Q4163">
        <v>22.60997987</v>
      </c>
      <c r="R4163">
        <v>0.72884000000000004</v>
      </c>
      <c r="S4163">
        <v>0.21301339999999999</v>
      </c>
      <c r="T4163" t="s">
        <v>1019</v>
      </c>
      <c r="U4163">
        <v>0.60588888900000004</v>
      </c>
    </row>
    <row r="4164" spans="1:21" x14ac:dyDescent="0.25">
      <c r="A4164" t="s">
        <v>79</v>
      </c>
      <c r="B4164" t="s">
        <v>982</v>
      </c>
      <c r="C4164">
        <v>6</v>
      </c>
      <c r="D4164" t="s">
        <v>11</v>
      </c>
      <c r="E4164" t="s">
        <v>95</v>
      </c>
      <c r="F4164" t="s">
        <v>111</v>
      </c>
      <c r="G4164" t="s">
        <v>113</v>
      </c>
      <c r="H4164" t="s">
        <v>103</v>
      </c>
      <c r="J4164">
        <v>0</v>
      </c>
      <c r="K4164">
        <v>1</v>
      </c>
      <c r="L4164">
        <v>94.97142857</v>
      </c>
      <c r="M4164">
        <v>24.31591813</v>
      </c>
      <c r="N4164">
        <v>0.122951111</v>
      </c>
      <c r="O4164">
        <v>0.39050790000000002</v>
      </c>
      <c r="P4164">
        <v>98.291666669999998</v>
      </c>
      <c r="Q4164">
        <v>30.315130790000001</v>
      </c>
      <c r="R4164">
        <v>5.0803484000000003E-2</v>
      </c>
      <c r="S4164">
        <v>0.42866070000000001</v>
      </c>
      <c r="T4164" t="s">
        <v>1019</v>
      </c>
      <c r="U4164">
        <v>7.2147627000000006E-2</v>
      </c>
    </row>
    <row r="4165" spans="1:21" x14ac:dyDescent="0.25">
      <c r="A4165" t="s">
        <v>80</v>
      </c>
      <c r="B4165" t="s">
        <v>983</v>
      </c>
      <c r="C4165">
        <v>6</v>
      </c>
      <c r="D4165" t="s">
        <v>15</v>
      </c>
      <c r="E4165" t="s">
        <v>95</v>
      </c>
      <c r="F4165" t="s">
        <v>105</v>
      </c>
      <c r="G4165" t="s">
        <v>121</v>
      </c>
      <c r="H4165" t="s">
        <v>113</v>
      </c>
      <c r="J4165">
        <v>0</v>
      </c>
      <c r="K4165">
        <v>1</v>
      </c>
      <c r="L4165">
        <v>67.5</v>
      </c>
      <c r="M4165">
        <v>47.937235809999997</v>
      </c>
      <c r="N4165">
        <v>0.41599678000000001</v>
      </c>
      <c r="O4165">
        <v>2.0950346999999998</v>
      </c>
      <c r="P4165">
        <v>83.757575759999995</v>
      </c>
      <c r="Q4165">
        <v>22.60997987</v>
      </c>
      <c r="R4165">
        <v>0.72884000000000004</v>
      </c>
      <c r="S4165">
        <v>0.21301339999999999</v>
      </c>
      <c r="T4165" t="s">
        <v>1019</v>
      </c>
      <c r="U4165">
        <v>0.31284321999999998</v>
      </c>
    </row>
    <row r="4166" spans="1:21" x14ac:dyDescent="0.25">
      <c r="A4166" t="s">
        <v>80</v>
      </c>
      <c r="B4166" t="s">
        <v>983</v>
      </c>
      <c r="C4166">
        <v>6</v>
      </c>
      <c r="D4166" t="s">
        <v>15</v>
      </c>
      <c r="E4166" t="s">
        <v>95</v>
      </c>
      <c r="F4166" t="s">
        <v>105</v>
      </c>
      <c r="G4166" t="s">
        <v>121</v>
      </c>
      <c r="H4166" t="s">
        <v>103</v>
      </c>
      <c r="J4166">
        <v>0</v>
      </c>
      <c r="K4166">
        <v>9</v>
      </c>
      <c r="L4166">
        <v>67.5</v>
      </c>
      <c r="M4166">
        <v>47.937235809999997</v>
      </c>
      <c r="N4166">
        <v>0.41599678000000001</v>
      </c>
      <c r="O4166">
        <v>2.0950346999999998</v>
      </c>
      <c r="P4166">
        <v>98.291666669999998</v>
      </c>
      <c r="Q4166">
        <v>30.315130790000001</v>
      </c>
      <c r="R4166">
        <v>5.0803484000000003E-2</v>
      </c>
      <c r="S4166">
        <v>0.42866070000000001</v>
      </c>
      <c r="T4166" t="s">
        <v>1019</v>
      </c>
      <c r="U4166">
        <v>0.365193296</v>
      </c>
    </row>
    <row r="4167" spans="1:21" x14ac:dyDescent="0.25">
      <c r="A4167" t="s">
        <v>80</v>
      </c>
      <c r="B4167" t="s">
        <v>983</v>
      </c>
      <c r="C4167">
        <v>6</v>
      </c>
      <c r="D4167" t="s">
        <v>15</v>
      </c>
      <c r="E4167" t="s">
        <v>95</v>
      </c>
      <c r="F4167" t="s">
        <v>105</v>
      </c>
      <c r="G4167" t="s">
        <v>121</v>
      </c>
      <c r="H4167" t="s">
        <v>103</v>
      </c>
      <c r="J4167">
        <v>0</v>
      </c>
      <c r="K4167">
        <v>9</v>
      </c>
      <c r="L4167">
        <v>67.5</v>
      </c>
      <c r="M4167">
        <v>47.937235809999997</v>
      </c>
      <c r="N4167">
        <v>0.41599678000000001</v>
      </c>
      <c r="O4167">
        <v>2.0950346999999998</v>
      </c>
      <c r="P4167">
        <v>98.291666669999998</v>
      </c>
      <c r="Q4167">
        <v>30.315130790000001</v>
      </c>
      <c r="R4167">
        <v>5.0803484000000003E-2</v>
      </c>
      <c r="S4167">
        <v>0.42866070000000001</v>
      </c>
      <c r="T4167" t="s">
        <v>1019</v>
      </c>
      <c r="U4167">
        <v>0.365193296</v>
      </c>
    </row>
    <row r="4168" spans="1:21" x14ac:dyDescent="0.25">
      <c r="A4168" t="s">
        <v>80</v>
      </c>
      <c r="B4168" t="s">
        <v>983</v>
      </c>
      <c r="C4168">
        <v>6</v>
      </c>
      <c r="D4168" t="s">
        <v>15</v>
      </c>
      <c r="E4168" t="s">
        <v>95</v>
      </c>
      <c r="F4168" t="s">
        <v>105</v>
      </c>
      <c r="G4168" t="s">
        <v>121</v>
      </c>
      <c r="H4168" t="s">
        <v>103</v>
      </c>
      <c r="J4168">
        <v>0</v>
      </c>
      <c r="K4168">
        <v>9</v>
      </c>
      <c r="L4168">
        <v>67.5</v>
      </c>
      <c r="M4168">
        <v>47.937235809999997</v>
      </c>
      <c r="N4168">
        <v>0.41599678000000001</v>
      </c>
      <c r="O4168">
        <v>2.0950346999999998</v>
      </c>
      <c r="P4168">
        <v>98.291666669999998</v>
      </c>
      <c r="Q4168">
        <v>30.315130790000001</v>
      </c>
      <c r="R4168">
        <v>5.0803484000000003E-2</v>
      </c>
      <c r="S4168">
        <v>0.42866070000000001</v>
      </c>
      <c r="T4168" t="s">
        <v>1019</v>
      </c>
      <c r="U4168">
        <v>0.365193296</v>
      </c>
    </row>
    <row r="4169" spans="1:21" x14ac:dyDescent="0.25">
      <c r="A4169" t="s">
        <v>80</v>
      </c>
      <c r="B4169" t="s">
        <v>983</v>
      </c>
      <c r="C4169">
        <v>6</v>
      </c>
      <c r="D4169" t="s">
        <v>15</v>
      </c>
      <c r="E4169" t="s">
        <v>95</v>
      </c>
      <c r="F4169" t="s">
        <v>105</v>
      </c>
      <c r="G4169" t="s">
        <v>121</v>
      </c>
      <c r="H4169" t="s">
        <v>103</v>
      </c>
      <c r="J4169">
        <v>0</v>
      </c>
      <c r="K4169">
        <v>9</v>
      </c>
      <c r="L4169">
        <v>67.5</v>
      </c>
      <c r="M4169">
        <v>47.937235809999997</v>
      </c>
      <c r="N4169">
        <v>0.41599678000000001</v>
      </c>
      <c r="O4169">
        <v>2.0950346999999998</v>
      </c>
      <c r="P4169">
        <v>98.291666669999998</v>
      </c>
      <c r="Q4169">
        <v>30.315130790000001</v>
      </c>
      <c r="R4169">
        <v>5.0803484000000003E-2</v>
      </c>
      <c r="S4169">
        <v>0.42866070000000001</v>
      </c>
      <c r="T4169" t="s">
        <v>1019</v>
      </c>
      <c r="U4169">
        <v>0.365193296</v>
      </c>
    </row>
    <row r="4170" spans="1:21" x14ac:dyDescent="0.25">
      <c r="A4170" t="s">
        <v>80</v>
      </c>
      <c r="B4170" t="s">
        <v>983</v>
      </c>
      <c r="C4170">
        <v>6</v>
      </c>
      <c r="D4170" t="s">
        <v>15</v>
      </c>
      <c r="E4170" t="s">
        <v>95</v>
      </c>
      <c r="F4170" t="s">
        <v>105</v>
      </c>
      <c r="G4170" t="s">
        <v>121</v>
      </c>
      <c r="H4170" t="s">
        <v>103</v>
      </c>
      <c r="J4170">
        <v>0</v>
      </c>
      <c r="K4170">
        <v>9</v>
      </c>
      <c r="L4170">
        <v>67.5</v>
      </c>
      <c r="M4170">
        <v>47.937235809999997</v>
      </c>
      <c r="N4170">
        <v>0.41599678000000001</v>
      </c>
      <c r="O4170">
        <v>2.0950346999999998</v>
      </c>
      <c r="P4170">
        <v>98.291666669999998</v>
      </c>
      <c r="Q4170">
        <v>30.315130790000001</v>
      </c>
      <c r="R4170">
        <v>5.0803484000000003E-2</v>
      </c>
      <c r="S4170">
        <v>0.42866070000000001</v>
      </c>
      <c r="T4170" t="s">
        <v>1019</v>
      </c>
      <c r="U4170">
        <v>0.365193296</v>
      </c>
    </row>
    <row r="4171" spans="1:21" x14ac:dyDescent="0.25">
      <c r="A4171" t="s">
        <v>80</v>
      </c>
      <c r="B4171" t="s">
        <v>983</v>
      </c>
      <c r="C4171">
        <v>6</v>
      </c>
      <c r="D4171" t="s">
        <v>15</v>
      </c>
      <c r="E4171" t="s">
        <v>95</v>
      </c>
      <c r="F4171" t="s">
        <v>105</v>
      </c>
      <c r="G4171" t="s">
        <v>121</v>
      </c>
      <c r="H4171" t="s">
        <v>103</v>
      </c>
      <c r="J4171">
        <v>0</v>
      </c>
      <c r="K4171">
        <v>9</v>
      </c>
      <c r="L4171">
        <v>67.5</v>
      </c>
      <c r="M4171">
        <v>47.937235809999997</v>
      </c>
      <c r="N4171">
        <v>0.41599678000000001</v>
      </c>
      <c r="O4171">
        <v>2.0950346999999998</v>
      </c>
      <c r="P4171">
        <v>98.291666669999998</v>
      </c>
      <c r="Q4171">
        <v>30.315130790000001</v>
      </c>
      <c r="R4171">
        <v>5.0803484000000003E-2</v>
      </c>
      <c r="S4171">
        <v>0.42866070000000001</v>
      </c>
      <c r="T4171" t="s">
        <v>1019</v>
      </c>
      <c r="U4171">
        <v>0.365193296</v>
      </c>
    </row>
    <row r="4172" spans="1:21" x14ac:dyDescent="0.25">
      <c r="A4172" t="s">
        <v>80</v>
      </c>
      <c r="B4172" t="s">
        <v>983</v>
      </c>
      <c r="C4172">
        <v>6</v>
      </c>
      <c r="D4172" t="s">
        <v>15</v>
      </c>
      <c r="E4172" t="s">
        <v>95</v>
      </c>
      <c r="F4172" t="s">
        <v>105</v>
      </c>
      <c r="G4172" t="s">
        <v>121</v>
      </c>
      <c r="H4172" t="s">
        <v>103</v>
      </c>
      <c r="J4172">
        <v>0</v>
      </c>
      <c r="K4172">
        <v>9</v>
      </c>
      <c r="L4172">
        <v>67.5</v>
      </c>
      <c r="M4172">
        <v>47.937235809999997</v>
      </c>
      <c r="N4172">
        <v>0.41599678000000001</v>
      </c>
      <c r="O4172">
        <v>2.0950346999999998</v>
      </c>
      <c r="P4172">
        <v>98.291666669999998</v>
      </c>
      <c r="Q4172">
        <v>30.315130790000001</v>
      </c>
      <c r="R4172">
        <v>5.0803484000000003E-2</v>
      </c>
      <c r="S4172">
        <v>0.42866070000000001</v>
      </c>
      <c r="T4172" t="s">
        <v>1019</v>
      </c>
      <c r="U4172">
        <v>0.365193296</v>
      </c>
    </row>
    <row r="4173" spans="1:21" x14ac:dyDescent="0.25">
      <c r="A4173" t="s">
        <v>80</v>
      </c>
      <c r="B4173" t="s">
        <v>983</v>
      </c>
      <c r="C4173">
        <v>6</v>
      </c>
      <c r="D4173" t="s">
        <v>15</v>
      </c>
      <c r="E4173" t="s">
        <v>95</v>
      </c>
      <c r="F4173" t="s">
        <v>105</v>
      </c>
      <c r="G4173" t="s">
        <v>121</v>
      </c>
      <c r="H4173" t="s">
        <v>103</v>
      </c>
      <c r="J4173">
        <v>0</v>
      </c>
      <c r="K4173">
        <v>9</v>
      </c>
      <c r="L4173">
        <v>67.5</v>
      </c>
      <c r="M4173">
        <v>47.937235809999997</v>
      </c>
      <c r="N4173">
        <v>0.41599678000000001</v>
      </c>
      <c r="O4173">
        <v>2.0950346999999998</v>
      </c>
      <c r="P4173">
        <v>98.291666669999998</v>
      </c>
      <c r="Q4173">
        <v>30.315130790000001</v>
      </c>
      <c r="R4173">
        <v>5.0803484000000003E-2</v>
      </c>
      <c r="S4173">
        <v>0.42866070000000001</v>
      </c>
      <c r="T4173" t="s">
        <v>1019</v>
      </c>
      <c r="U4173">
        <v>0.365193296</v>
      </c>
    </row>
    <row r="4174" spans="1:21" x14ac:dyDescent="0.25">
      <c r="A4174" t="s">
        <v>80</v>
      </c>
      <c r="B4174" t="s">
        <v>983</v>
      </c>
      <c r="C4174">
        <v>6</v>
      </c>
      <c r="D4174" t="s">
        <v>15</v>
      </c>
      <c r="E4174" t="s">
        <v>95</v>
      </c>
      <c r="F4174" t="s">
        <v>105</v>
      </c>
      <c r="G4174" t="s">
        <v>121</v>
      </c>
      <c r="H4174" t="s">
        <v>103</v>
      </c>
      <c r="J4174">
        <v>0</v>
      </c>
      <c r="K4174">
        <v>9</v>
      </c>
      <c r="L4174">
        <v>67.5</v>
      </c>
      <c r="M4174">
        <v>47.937235809999997</v>
      </c>
      <c r="N4174">
        <v>0.41599678000000001</v>
      </c>
      <c r="O4174">
        <v>2.0950346999999998</v>
      </c>
      <c r="P4174">
        <v>98.291666669999998</v>
      </c>
      <c r="Q4174">
        <v>30.315130790000001</v>
      </c>
      <c r="R4174">
        <v>5.0803484000000003E-2</v>
      </c>
      <c r="S4174">
        <v>0.42866070000000001</v>
      </c>
      <c r="T4174" t="s">
        <v>1019</v>
      </c>
      <c r="U4174">
        <v>0.365193296</v>
      </c>
    </row>
    <row r="4175" spans="1:21" x14ac:dyDescent="0.25">
      <c r="A4175" t="s">
        <v>80</v>
      </c>
      <c r="B4175" t="s">
        <v>984</v>
      </c>
      <c r="C4175">
        <v>6</v>
      </c>
      <c r="D4175" t="s">
        <v>15</v>
      </c>
      <c r="E4175" t="s">
        <v>95</v>
      </c>
      <c r="F4175" t="s">
        <v>113</v>
      </c>
      <c r="G4175" t="s">
        <v>113</v>
      </c>
      <c r="H4175" t="s">
        <v>113</v>
      </c>
      <c r="J4175">
        <v>0</v>
      </c>
      <c r="K4175">
        <v>6</v>
      </c>
      <c r="L4175">
        <v>83.757575759999995</v>
      </c>
      <c r="M4175">
        <v>22.60997987</v>
      </c>
      <c r="N4175">
        <v>0.72884000000000004</v>
      </c>
      <c r="O4175">
        <v>0.21301339999999999</v>
      </c>
      <c r="P4175">
        <v>83.757575759999995</v>
      </c>
      <c r="Q4175">
        <v>22.60997987</v>
      </c>
      <c r="R4175">
        <v>0.72884000000000004</v>
      </c>
      <c r="S4175">
        <v>0.21301339999999999</v>
      </c>
      <c r="T4175" t="s">
        <v>1019</v>
      </c>
      <c r="U4175">
        <v>0</v>
      </c>
    </row>
    <row r="4176" spans="1:21" x14ac:dyDescent="0.25">
      <c r="A4176" t="s">
        <v>80</v>
      </c>
      <c r="B4176" t="s">
        <v>984</v>
      </c>
      <c r="C4176">
        <v>6</v>
      </c>
      <c r="D4176" t="s">
        <v>15</v>
      </c>
      <c r="E4176" t="s">
        <v>95</v>
      </c>
      <c r="F4176" t="s">
        <v>113</v>
      </c>
      <c r="G4176" t="s">
        <v>113</v>
      </c>
      <c r="H4176" t="s">
        <v>113</v>
      </c>
      <c r="J4176">
        <v>0</v>
      </c>
      <c r="K4176">
        <v>6</v>
      </c>
      <c r="L4176">
        <v>83.757575759999995</v>
      </c>
      <c r="M4176">
        <v>22.60997987</v>
      </c>
      <c r="N4176">
        <v>0.72884000000000004</v>
      </c>
      <c r="O4176">
        <v>0.21301339999999999</v>
      </c>
      <c r="P4176">
        <v>83.757575759999995</v>
      </c>
      <c r="Q4176">
        <v>22.60997987</v>
      </c>
      <c r="R4176">
        <v>0.72884000000000004</v>
      </c>
      <c r="S4176">
        <v>0.21301339999999999</v>
      </c>
      <c r="T4176" t="s">
        <v>1019</v>
      </c>
      <c r="U4176">
        <v>0</v>
      </c>
    </row>
    <row r="4177" spans="1:21" x14ac:dyDescent="0.25">
      <c r="A4177" t="s">
        <v>80</v>
      </c>
      <c r="B4177" t="s">
        <v>984</v>
      </c>
      <c r="C4177">
        <v>6</v>
      </c>
      <c r="D4177" t="s">
        <v>15</v>
      </c>
      <c r="E4177" t="s">
        <v>95</v>
      </c>
      <c r="F4177" t="s">
        <v>113</v>
      </c>
      <c r="G4177" t="s">
        <v>113</v>
      </c>
      <c r="H4177" t="s">
        <v>113</v>
      </c>
      <c r="J4177">
        <v>0</v>
      </c>
      <c r="K4177">
        <v>6</v>
      </c>
      <c r="L4177">
        <v>83.757575759999995</v>
      </c>
      <c r="M4177">
        <v>22.60997987</v>
      </c>
      <c r="N4177">
        <v>0.72884000000000004</v>
      </c>
      <c r="O4177">
        <v>0.21301339999999999</v>
      </c>
      <c r="P4177">
        <v>83.757575759999995</v>
      </c>
      <c r="Q4177">
        <v>22.60997987</v>
      </c>
      <c r="R4177">
        <v>0.72884000000000004</v>
      </c>
      <c r="S4177">
        <v>0.21301339999999999</v>
      </c>
      <c r="T4177" t="s">
        <v>1019</v>
      </c>
      <c r="U4177">
        <v>0</v>
      </c>
    </row>
    <row r="4178" spans="1:21" x14ac:dyDescent="0.25">
      <c r="A4178" t="s">
        <v>80</v>
      </c>
      <c r="B4178" t="s">
        <v>984</v>
      </c>
      <c r="C4178">
        <v>6</v>
      </c>
      <c r="D4178" t="s">
        <v>15</v>
      </c>
      <c r="E4178" t="s">
        <v>95</v>
      </c>
      <c r="F4178" t="s">
        <v>113</v>
      </c>
      <c r="G4178" t="s">
        <v>113</v>
      </c>
      <c r="H4178" t="s">
        <v>113</v>
      </c>
      <c r="J4178">
        <v>0</v>
      </c>
      <c r="K4178">
        <v>6</v>
      </c>
      <c r="L4178">
        <v>83.757575759999995</v>
      </c>
      <c r="M4178">
        <v>22.60997987</v>
      </c>
      <c r="N4178">
        <v>0.72884000000000004</v>
      </c>
      <c r="O4178">
        <v>0.21301339999999999</v>
      </c>
      <c r="P4178">
        <v>83.757575759999995</v>
      </c>
      <c r="Q4178">
        <v>22.60997987</v>
      </c>
      <c r="R4178">
        <v>0.72884000000000004</v>
      </c>
      <c r="S4178">
        <v>0.21301339999999999</v>
      </c>
      <c r="T4178" t="s">
        <v>1019</v>
      </c>
      <c r="U4178">
        <v>0</v>
      </c>
    </row>
    <row r="4179" spans="1:21" x14ac:dyDescent="0.25">
      <c r="A4179" t="s">
        <v>80</v>
      </c>
      <c r="B4179" t="s">
        <v>984</v>
      </c>
      <c r="C4179">
        <v>6</v>
      </c>
      <c r="D4179" t="s">
        <v>15</v>
      </c>
      <c r="E4179" t="s">
        <v>95</v>
      </c>
      <c r="F4179" t="s">
        <v>113</v>
      </c>
      <c r="G4179" t="s">
        <v>113</v>
      </c>
      <c r="H4179" t="s">
        <v>113</v>
      </c>
      <c r="J4179">
        <v>0</v>
      </c>
      <c r="K4179">
        <v>6</v>
      </c>
      <c r="L4179">
        <v>83.757575759999995</v>
      </c>
      <c r="M4179">
        <v>22.60997987</v>
      </c>
      <c r="N4179">
        <v>0.72884000000000004</v>
      </c>
      <c r="O4179">
        <v>0.21301339999999999</v>
      </c>
      <c r="P4179">
        <v>83.757575759999995</v>
      </c>
      <c r="Q4179">
        <v>22.60997987</v>
      </c>
      <c r="R4179">
        <v>0.72884000000000004</v>
      </c>
      <c r="S4179">
        <v>0.21301339999999999</v>
      </c>
      <c r="T4179" t="s">
        <v>1019</v>
      </c>
      <c r="U4179">
        <v>0</v>
      </c>
    </row>
    <row r="4180" spans="1:21" x14ac:dyDescent="0.25">
      <c r="A4180" t="s">
        <v>80</v>
      </c>
      <c r="B4180" t="s">
        <v>984</v>
      </c>
      <c r="C4180">
        <v>6</v>
      </c>
      <c r="D4180" t="s">
        <v>15</v>
      </c>
      <c r="E4180" t="s">
        <v>95</v>
      </c>
      <c r="F4180" t="s">
        <v>113</v>
      </c>
      <c r="G4180" t="s">
        <v>113</v>
      </c>
      <c r="H4180" t="s">
        <v>113</v>
      </c>
      <c r="J4180">
        <v>0</v>
      </c>
      <c r="K4180">
        <v>6</v>
      </c>
      <c r="L4180">
        <v>83.757575759999995</v>
      </c>
      <c r="M4180">
        <v>22.60997987</v>
      </c>
      <c r="N4180">
        <v>0.72884000000000004</v>
      </c>
      <c r="O4180">
        <v>0.21301339999999999</v>
      </c>
      <c r="P4180">
        <v>83.757575759999995</v>
      </c>
      <c r="Q4180">
        <v>22.60997987</v>
      </c>
      <c r="R4180">
        <v>0.72884000000000004</v>
      </c>
      <c r="S4180">
        <v>0.21301339999999999</v>
      </c>
      <c r="T4180" t="s">
        <v>1019</v>
      </c>
      <c r="U4180">
        <v>0</v>
      </c>
    </row>
    <row r="4181" spans="1:21" x14ac:dyDescent="0.25">
      <c r="A4181" t="s">
        <v>80</v>
      </c>
      <c r="B4181" t="s">
        <v>985</v>
      </c>
      <c r="C4181">
        <v>6</v>
      </c>
      <c r="D4181" t="s">
        <v>15</v>
      </c>
      <c r="E4181" t="s">
        <v>95</v>
      </c>
      <c r="F4181" t="s">
        <v>103</v>
      </c>
      <c r="G4181" t="s">
        <v>113</v>
      </c>
      <c r="H4181" t="s">
        <v>113</v>
      </c>
      <c r="J4181">
        <v>0</v>
      </c>
      <c r="K4181">
        <v>1</v>
      </c>
      <c r="L4181">
        <v>98.291666669999998</v>
      </c>
      <c r="M4181">
        <v>30.315130790000001</v>
      </c>
      <c r="N4181">
        <v>5.0803484000000003E-2</v>
      </c>
      <c r="O4181">
        <v>0.42866070000000001</v>
      </c>
      <c r="P4181">
        <v>83.757575759999995</v>
      </c>
      <c r="Q4181">
        <v>22.60997987</v>
      </c>
      <c r="R4181">
        <v>0.72884000000000004</v>
      </c>
      <c r="S4181">
        <v>0.21301339999999999</v>
      </c>
      <c r="T4181" t="s">
        <v>1019</v>
      </c>
      <c r="U4181">
        <v>0.67803651600000003</v>
      </c>
    </row>
    <row r="4182" spans="1:21" x14ac:dyDescent="0.25">
      <c r="A4182" t="s">
        <v>80</v>
      </c>
      <c r="B4182" t="s">
        <v>985</v>
      </c>
      <c r="C4182">
        <v>6</v>
      </c>
      <c r="D4182" t="s">
        <v>15</v>
      </c>
      <c r="E4182" t="s">
        <v>95</v>
      </c>
      <c r="F4182" t="s">
        <v>103</v>
      </c>
      <c r="G4182" t="s">
        <v>113</v>
      </c>
      <c r="H4182" t="s">
        <v>103</v>
      </c>
      <c r="J4182">
        <v>0</v>
      </c>
      <c r="K4182">
        <v>2</v>
      </c>
      <c r="L4182">
        <v>98.291666669999998</v>
      </c>
      <c r="M4182">
        <v>30.315130790000001</v>
      </c>
      <c r="N4182">
        <v>5.0803484000000003E-2</v>
      </c>
      <c r="O4182">
        <v>0.42866070000000001</v>
      </c>
      <c r="P4182">
        <v>98.291666669999998</v>
      </c>
      <c r="Q4182">
        <v>30.315130790000001</v>
      </c>
      <c r="R4182">
        <v>5.0803484000000003E-2</v>
      </c>
      <c r="S4182">
        <v>0.42866070000000001</v>
      </c>
      <c r="T4182" t="s">
        <v>1019</v>
      </c>
      <c r="U4182">
        <v>0</v>
      </c>
    </row>
    <row r="4183" spans="1:21" x14ac:dyDescent="0.25">
      <c r="A4183" t="s">
        <v>80</v>
      </c>
      <c r="B4183" t="s">
        <v>985</v>
      </c>
      <c r="C4183">
        <v>6</v>
      </c>
      <c r="D4183" t="s">
        <v>15</v>
      </c>
      <c r="E4183" t="s">
        <v>95</v>
      </c>
      <c r="F4183" t="s">
        <v>103</v>
      </c>
      <c r="G4183" t="s">
        <v>113</v>
      </c>
      <c r="H4183" t="s">
        <v>103</v>
      </c>
      <c r="J4183">
        <v>0</v>
      </c>
      <c r="K4183">
        <v>2</v>
      </c>
      <c r="L4183">
        <v>98.291666669999998</v>
      </c>
      <c r="M4183">
        <v>30.315130790000001</v>
      </c>
      <c r="N4183">
        <v>5.0803484000000003E-2</v>
      </c>
      <c r="O4183">
        <v>0.42866070000000001</v>
      </c>
      <c r="P4183">
        <v>98.291666669999998</v>
      </c>
      <c r="Q4183">
        <v>30.315130790000001</v>
      </c>
      <c r="R4183">
        <v>5.0803484000000003E-2</v>
      </c>
      <c r="S4183">
        <v>0.42866070000000001</v>
      </c>
      <c r="T4183" t="s">
        <v>1019</v>
      </c>
      <c r="U4183">
        <v>0</v>
      </c>
    </row>
    <row r="4184" spans="1:21" x14ac:dyDescent="0.25">
      <c r="A4184" t="s">
        <v>81</v>
      </c>
      <c r="B4184" t="s">
        <v>986</v>
      </c>
      <c r="C4184">
        <v>6</v>
      </c>
      <c r="D4184" t="s">
        <v>17</v>
      </c>
      <c r="E4184" t="s">
        <v>94</v>
      </c>
      <c r="F4184" t="s">
        <v>105</v>
      </c>
      <c r="G4184" t="s">
        <v>113</v>
      </c>
      <c r="H4184" t="s">
        <v>113</v>
      </c>
      <c r="J4184">
        <v>0</v>
      </c>
      <c r="K4184">
        <v>6</v>
      </c>
      <c r="L4184">
        <v>67.5</v>
      </c>
      <c r="M4184">
        <v>47.937235809999997</v>
      </c>
      <c r="N4184">
        <v>0.41599678000000001</v>
      </c>
      <c r="O4184">
        <v>2.0950346999999998</v>
      </c>
      <c r="P4184">
        <v>83.757575759999995</v>
      </c>
      <c r="Q4184">
        <v>22.60997987</v>
      </c>
      <c r="R4184">
        <v>0.72884000000000004</v>
      </c>
      <c r="S4184">
        <v>0.21301339999999999</v>
      </c>
      <c r="T4184" t="s">
        <v>1019</v>
      </c>
      <c r="U4184">
        <v>0.31284321999999998</v>
      </c>
    </row>
    <row r="4185" spans="1:21" x14ac:dyDescent="0.25">
      <c r="A4185" t="s">
        <v>81</v>
      </c>
      <c r="B4185" t="s">
        <v>986</v>
      </c>
      <c r="C4185">
        <v>6</v>
      </c>
      <c r="D4185" t="s">
        <v>17</v>
      </c>
      <c r="E4185" t="s">
        <v>94</v>
      </c>
      <c r="F4185" t="s">
        <v>105</v>
      </c>
      <c r="G4185" t="s">
        <v>113</v>
      </c>
      <c r="H4185" t="s">
        <v>113</v>
      </c>
      <c r="J4185">
        <v>0</v>
      </c>
      <c r="K4185">
        <v>6</v>
      </c>
      <c r="L4185">
        <v>67.5</v>
      </c>
      <c r="M4185">
        <v>47.937235809999997</v>
      </c>
      <c r="N4185">
        <v>0.41599678000000001</v>
      </c>
      <c r="O4185">
        <v>2.0950346999999998</v>
      </c>
      <c r="P4185">
        <v>83.757575759999995</v>
      </c>
      <c r="Q4185">
        <v>22.60997987</v>
      </c>
      <c r="R4185">
        <v>0.72884000000000004</v>
      </c>
      <c r="S4185">
        <v>0.21301339999999999</v>
      </c>
      <c r="T4185" t="s">
        <v>1019</v>
      </c>
      <c r="U4185">
        <v>0.31284321999999998</v>
      </c>
    </row>
    <row r="4186" spans="1:21" x14ac:dyDescent="0.25">
      <c r="A4186" t="s">
        <v>81</v>
      </c>
      <c r="B4186" t="s">
        <v>986</v>
      </c>
      <c r="C4186">
        <v>6</v>
      </c>
      <c r="D4186" t="s">
        <v>17</v>
      </c>
      <c r="E4186" t="s">
        <v>94</v>
      </c>
      <c r="F4186" t="s">
        <v>105</v>
      </c>
      <c r="G4186" t="s">
        <v>113</v>
      </c>
      <c r="H4186" t="s">
        <v>113</v>
      </c>
      <c r="J4186">
        <v>0</v>
      </c>
      <c r="K4186">
        <v>6</v>
      </c>
      <c r="L4186">
        <v>67.5</v>
      </c>
      <c r="M4186">
        <v>47.937235809999997</v>
      </c>
      <c r="N4186">
        <v>0.41599678000000001</v>
      </c>
      <c r="O4186">
        <v>2.0950346999999998</v>
      </c>
      <c r="P4186">
        <v>83.757575759999995</v>
      </c>
      <c r="Q4186">
        <v>22.60997987</v>
      </c>
      <c r="R4186">
        <v>0.72884000000000004</v>
      </c>
      <c r="S4186">
        <v>0.21301339999999999</v>
      </c>
      <c r="T4186" t="s">
        <v>1019</v>
      </c>
      <c r="U4186">
        <v>0.31284321999999998</v>
      </c>
    </row>
    <row r="4187" spans="1:21" x14ac:dyDescent="0.25">
      <c r="A4187" t="s">
        <v>81</v>
      </c>
      <c r="B4187" t="s">
        <v>986</v>
      </c>
      <c r="C4187">
        <v>6</v>
      </c>
      <c r="D4187" t="s">
        <v>17</v>
      </c>
      <c r="E4187" t="s">
        <v>94</v>
      </c>
      <c r="F4187" t="s">
        <v>105</v>
      </c>
      <c r="G4187" t="s">
        <v>113</v>
      </c>
      <c r="H4187" t="s">
        <v>113</v>
      </c>
      <c r="J4187">
        <v>0</v>
      </c>
      <c r="K4187">
        <v>6</v>
      </c>
      <c r="L4187">
        <v>67.5</v>
      </c>
      <c r="M4187">
        <v>47.937235809999997</v>
      </c>
      <c r="N4187">
        <v>0.41599678000000001</v>
      </c>
      <c r="O4187">
        <v>2.0950346999999998</v>
      </c>
      <c r="P4187">
        <v>83.757575759999995</v>
      </c>
      <c r="Q4187">
        <v>22.60997987</v>
      </c>
      <c r="R4187">
        <v>0.72884000000000004</v>
      </c>
      <c r="S4187">
        <v>0.21301339999999999</v>
      </c>
      <c r="T4187" t="s">
        <v>1019</v>
      </c>
      <c r="U4187">
        <v>0.31284321999999998</v>
      </c>
    </row>
    <row r="4188" spans="1:21" x14ac:dyDescent="0.25">
      <c r="A4188" t="s">
        <v>81</v>
      </c>
      <c r="B4188" t="s">
        <v>986</v>
      </c>
      <c r="C4188">
        <v>6</v>
      </c>
      <c r="D4188" t="s">
        <v>17</v>
      </c>
      <c r="E4188" t="s">
        <v>94</v>
      </c>
      <c r="F4188" t="s">
        <v>105</v>
      </c>
      <c r="G4188" t="s">
        <v>113</v>
      </c>
      <c r="H4188" t="s">
        <v>113</v>
      </c>
      <c r="J4188">
        <v>0</v>
      </c>
      <c r="K4188">
        <v>6</v>
      </c>
      <c r="L4188">
        <v>67.5</v>
      </c>
      <c r="M4188">
        <v>47.937235809999997</v>
      </c>
      <c r="N4188">
        <v>0.41599678000000001</v>
      </c>
      <c r="O4188">
        <v>2.0950346999999998</v>
      </c>
      <c r="P4188">
        <v>83.757575759999995</v>
      </c>
      <c r="Q4188">
        <v>22.60997987</v>
      </c>
      <c r="R4188">
        <v>0.72884000000000004</v>
      </c>
      <c r="S4188">
        <v>0.21301339999999999</v>
      </c>
      <c r="T4188" t="s">
        <v>1019</v>
      </c>
      <c r="U4188">
        <v>0.31284321999999998</v>
      </c>
    </row>
    <row r="4189" spans="1:21" x14ac:dyDescent="0.25">
      <c r="A4189" t="s">
        <v>81</v>
      </c>
      <c r="B4189" t="s">
        <v>986</v>
      </c>
      <c r="C4189">
        <v>6</v>
      </c>
      <c r="D4189" t="s">
        <v>17</v>
      </c>
      <c r="E4189" t="s">
        <v>94</v>
      </c>
      <c r="F4189" t="s">
        <v>105</v>
      </c>
      <c r="G4189" t="s">
        <v>113</v>
      </c>
      <c r="H4189" t="s">
        <v>113</v>
      </c>
      <c r="J4189">
        <v>0</v>
      </c>
      <c r="K4189">
        <v>6</v>
      </c>
      <c r="L4189">
        <v>67.5</v>
      </c>
      <c r="M4189">
        <v>47.937235809999997</v>
      </c>
      <c r="N4189">
        <v>0.41599678000000001</v>
      </c>
      <c r="O4189">
        <v>2.0950346999999998</v>
      </c>
      <c r="P4189">
        <v>83.757575759999995</v>
      </c>
      <c r="Q4189">
        <v>22.60997987</v>
      </c>
      <c r="R4189">
        <v>0.72884000000000004</v>
      </c>
      <c r="S4189">
        <v>0.21301339999999999</v>
      </c>
      <c r="T4189" t="s">
        <v>1019</v>
      </c>
      <c r="U4189">
        <v>0.31284321999999998</v>
      </c>
    </row>
    <row r="4190" spans="1:21" x14ac:dyDescent="0.25">
      <c r="A4190" t="s">
        <v>81</v>
      </c>
      <c r="B4190" t="s">
        <v>987</v>
      </c>
      <c r="C4190">
        <v>6</v>
      </c>
      <c r="D4190" t="s">
        <v>17</v>
      </c>
      <c r="E4190" t="s">
        <v>94</v>
      </c>
      <c r="F4190" t="s">
        <v>113</v>
      </c>
      <c r="G4190" t="s">
        <v>113</v>
      </c>
      <c r="H4190" t="s">
        <v>113</v>
      </c>
      <c r="J4190">
        <v>0</v>
      </c>
      <c r="K4190">
        <v>6</v>
      </c>
      <c r="L4190">
        <v>83.757575759999995</v>
      </c>
      <c r="M4190">
        <v>22.60997987</v>
      </c>
      <c r="N4190">
        <v>0.72884000000000004</v>
      </c>
      <c r="O4190">
        <v>0.21301339999999999</v>
      </c>
      <c r="P4190">
        <v>83.757575759999995</v>
      </c>
      <c r="Q4190">
        <v>22.60997987</v>
      </c>
      <c r="R4190">
        <v>0.72884000000000004</v>
      </c>
      <c r="S4190">
        <v>0.21301339999999999</v>
      </c>
      <c r="T4190" t="s">
        <v>1019</v>
      </c>
      <c r="U4190">
        <v>0</v>
      </c>
    </row>
    <row r="4191" spans="1:21" x14ac:dyDescent="0.25">
      <c r="A4191" t="s">
        <v>81</v>
      </c>
      <c r="B4191" t="s">
        <v>987</v>
      </c>
      <c r="C4191">
        <v>6</v>
      </c>
      <c r="D4191" t="s">
        <v>17</v>
      </c>
      <c r="E4191" t="s">
        <v>94</v>
      </c>
      <c r="F4191" t="s">
        <v>113</v>
      </c>
      <c r="G4191" t="s">
        <v>113</v>
      </c>
      <c r="H4191" t="s">
        <v>113</v>
      </c>
      <c r="J4191">
        <v>0</v>
      </c>
      <c r="K4191">
        <v>6</v>
      </c>
      <c r="L4191">
        <v>83.757575759999995</v>
      </c>
      <c r="M4191">
        <v>22.60997987</v>
      </c>
      <c r="N4191">
        <v>0.72884000000000004</v>
      </c>
      <c r="O4191">
        <v>0.21301339999999999</v>
      </c>
      <c r="P4191">
        <v>83.757575759999995</v>
      </c>
      <c r="Q4191">
        <v>22.60997987</v>
      </c>
      <c r="R4191">
        <v>0.72884000000000004</v>
      </c>
      <c r="S4191">
        <v>0.21301339999999999</v>
      </c>
      <c r="T4191" t="s">
        <v>1019</v>
      </c>
      <c r="U4191">
        <v>0</v>
      </c>
    </row>
    <row r="4192" spans="1:21" x14ac:dyDescent="0.25">
      <c r="A4192" t="s">
        <v>81</v>
      </c>
      <c r="B4192" t="s">
        <v>987</v>
      </c>
      <c r="C4192">
        <v>6</v>
      </c>
      <c r="D4192" t="s">
        <v>17</v>
      </c>
      <c r="E4192" t="s">
        <v>94</v>
      </c>
      <c r="F4192" t="s">
        <v>113</v>
      </c>
      <c r="G4192" t="s">
        <v>113</v>
      </c>
      <c r="H4192" t="s">
        <v>113</v>
      </c>
      <c r="J4192">
        <v>0</v>
      </c>
      <c r="K4192">
        <v>6</v>
      </c>
      <c r="L4192">
        <v>83.757575759999995</v>
      </c>
      <c r="M4192">
        <v>22.60997987</v>
      </c>
      <c r="N4192">
        <v>0.72884000000000004</v>
      </c>
      <c r="O4192">
        <v>0.21301339999999999</v>
      </c>
      <c r="P4192">
        <v>83.757575759999995</v>
      </c>
      <c r="Q4192">
        <v>22.60997987</v>
      </c>
      <c r="R4192">
        <v>0.72884000000000004</v>
      </c>
      <c r="S4192">
        <v>0.21301339999999999</v>
      </c>
      <c r="T4192" t="s">
        <v>1019</v>
      </c>
      <c r="U4192">
        <v>0</v>
      </c>
    </row>
    <row r="4193" spans="1:21" x14ac:dyDescent="0.25">
      <c r="A4193" t="s">
        <v>81</v>
      </c>
      <c r="B4193" t="s">
        <v>987</v>
      </c>
      <c r="C4193">
        <v>6</v>
      </c>
      <c r="D4193" t="s">
        <v>17</v>
      </c>
      <c r="E4193" t="s">
        <v>94</v>
      </c>
      <c r="F4193" t="s">
        <v>113</v>
      </c>
      <c r="G4193" t="s">
        <v>113</v>
      </c>
      <c r="H4193" t="s">
        <v>113</v>
      </c>
      <c r="J4193">
        <v>0</v>
      </c>
      <c r="K4193">
        <v>6</v>
      </c>
      <c r="L4193">
        <v>83.757575759999995</v>
      </c>
      <c r="M4193">
        <v>22.60997987</v>
      </c>
      <c r="N4193">
        <v>0.72884000000000004</v>
      </c>
      <c r="O4193">
        <v>0.21301339999999999</v>
      </c>
      <c r="P4193">
        <v>83.757575759999995</v>
      </c>
      <c r="Q4193">
        <v>22.60997987</v>
      </c>
      <c r="R4193">
        <v>0.72884000000000004</v>
      </c>
      <c r="S4193">
        <v>0.21301339999999999</v>
      </c>
      <c r="T4193" t="s">
        <v>1019</v>
      </c>
      <c r="U4193">
        <v>0</v>
      </c>
    </row>
    <row r="4194" spans="1:21" x14ac:dyDescent="0.25">
      <c r="A4194" t="s">
        <v>81</v>
      </c>
      <c r="B4194" t="s">
        <v>987</v>
      </c>
      <c r="C4194">
        <v>6</v>
      </c>
      <c r="D4194" t="s">
        <v>17</v>
      </c>
      <c r="E4194" t="s">
        <v>94</v>
      </c>
      <c r="F4194" t="s">
        <v>113</v>
      </c>
      <c r="G4194" t="s">
        <v>113</v>
      </c>
      <c r="H4194" t="s">
        <v>113</v>
      </c>
      <c r="J4194">
        <v>0</v>
      </c>
      <c r="K4194">
        <v>6</v>
      </c>
      <c r="L4194">
        <v>83.757575759999995</v>
      </c>
      <c r="M4194">
        <v>22.60997987</v>
      </c>
      <c r="N4194">
        <v>0.72884000000000004</v>
      </c>
      <c r="O4194">
        <v>0.21301339999999999</v>
      </c>
      <c r="P4194">
        <v>83.757575759999995</v>
      </c>
      <c r="Q4194">
        <v>22.60997987</v>
      </c>
      <c r="R4194">
        <v>0.72884000000000004</v>
      </c>
      <c r="S4194">
        <v>0.21301339999999999</v>
      </c>
      <c r="T4194" t="s">
        <v>1019</v>
      </c>
      <c r="U4194">
        <v>0</v>
      </c>
    </row>
    <row r="4195" spans="1:21" x14ac:dyDescent="0.25">
      <c r="A4195" t="s">
        <v>81</v>
      </c>
      <c r="B4195" t="s">
        <v>987</v>
      </c>
      <c r="C4195">
        <v>6</v>
      </c>
      <c r="D4195" t="s">
        <v>17</v>
      </c>
      <c r="E4195" t="s">
        <v>94</v>
      </c>
      <c r="F4195" t="s">
        <v>113</v>
      </c>
      <c r="G4195" t="s">
        <v>113</v>
      </c>
      <c r="H4195" t="s">
        <v>113</v>
      </c>
      <c r="J4195">
        <v>0</v>
      </c>
      <c r="K4195">
        <v>6</v>
      </c>
      <c r="L4195">
        <v>83.757575759999995</v>
      </c>
      <c r="M4195">
        <v>22.60997987</v>
      </c>
      <c r="N4195">
        <v>0.72884000000000004</v>
      </c>
      <c r="O4195">
        <v>0.21301339999999999</v>
      </c>
      <c r="P4195">
        <v>83.757575759999995</v>
      </c>
      <c r="Q4195">
        <v>22.60997987</v>
      </c>
      <c r="R4195">
        <v>0.72884000000000004</v>
      </c>
      <c r="S4195">
        <v>0.21301339999999999</v>
      </c>
      <c r="T4195" t="s">
        <v>1019</v>
      </c>
      <c r="U4195">
        <v>0</v>
      </c>
    </row>
    <row r="4196" spans="1:21" x14ac:dyDescent="0.25">
      <c r="A4196" t="s">
        <v>81</v>
      </c>
      <c r="B4196" t="s">
        <v>988</v>
      </c>
      <c r="C4196">
        <v>6</v>
      </c>
      <c r="D4196" t="s">
        <v>17</v>
      </c>
      <c r="E4196" t="s">
        <v>94</v>
      </c>
      <c r="F4196" t="s">
        <v>103</v>
      </c>
      <c r="G4196" t="s">
        <v>113</v>
      </c>
      <c r="H4196" t="s">
        <v>113</v>
      </c>
      <c r="J4196">
        <v>0</v>
      </c>
      <c r="K4196">
        <v>5</v>
      </c>
      <c r="L4196">
        <v>98.291666669999998</v>
      </c>
      <c r="M4196">
        <v>30.315130790000001</v>
      </c>
      <c r="N4196">
        <v>5.0803484000000003E-2</v>
      </c>
      <c r="O4196">
        <v>0.42866070000000001</v>
      </c>
      <c r="P4196">
        <v>83.757575759999995</v>
      </c>
      <c r="Q4196">
        <v>22.60997987</v>
      </c>
      <c r="R4196">
        <v>0.72884000000000004</v>
      </c>
      <c r="S4196">
        <v>0.21301339999999999</v>
      </c>
      <c r="T4196" t="s">
        <v>1019</v>
      </c>
      <c r="U4196">
        <v>0.67803651600000003</v>
      </c>
    </row>
    <row r="4197" spans="1:21" x14ac:dyDescent="0.25">
      <c r="A4197" t="s">
        <v>81</v>
      </c>
      <c r="B4197" t="s">
        <v>988</v>
      </c>
      <c r="C4197">
        <v>6</v>
      </c>
      <c r="D4197" t="s">
        <v>17</v>
      </c>
      <c r="E4197" t="s">
        <v>94</v>
      </c>
      <c r="F4197" t="s">
        <v>103</v>
      </c>
      <c r="G4197" t="s">
        <v>113</v>
      </c>
      <c r="H4197" t="s">
        <v>113</v>
      </c>
      <c r="J4197">
        <v>0</v>
      </c>
      <c r="K4197">
        <v>5</v>
      </c>
      <c r="L4197">
        <v>98.291666669999998</v>
      </c>
      <c r="M4197">
        <v>30.315130790000001</v>
      </c>
      <c r="N4197">
        <v>5.0803484000000003E-2</v>
      </c>
      <c r="O4197">
        <v>0.42866070000000001</v>
      </c>
      <c r="P4197">
        <v>83.757575759999995</v>
      </c>
      <c r="Q4197">
        <v>22.60997987</v>
      </c>
      <c r="R4197">
        <v>0.72884000000000004</v>
      </c>
      <c r="S4197">
        <v>0.21301339999999999</v>
      </c>
      <c r="T4197" t="s">
        <v>1019</v>
      </c>
      <c r="U4197">
        <v>0.67803651600000003</v>
      </c>
    </row>
    <row r="4198" spans="1:21" x14ac:dyDescent="0.25">
      <c r="A4198" t="s">
        <v>81</v>
      </c>
      <c r="B4198" t="s">
        <v>988</v>
      </c>
      <c r="C4198">
        <v>6</v>
      </c>
      <c r="D4198" t="s">
        <v>17</v>
      </c>
      <c r="E4198" t="s">
        <v>94</v>
      </c>
      <c r="F4198" t="s">
        <v>103</v>
      </c>
      <c r="G4198" t="s">
        <v>113</v>
      </c>
      <c r="H4198" t="s">
        <v>113</v>
      </c>
      <c r="J4198">
        <v>0</v>
      </c>
      <c r="K4198">
        <v>5</v>
      </c>
      <c r="L4198">
        <v>98.291666669999998</v>
      </c>
      <c r="M4198">
        <v>30.315130790000001</v>
      </c>
      <c r="N4198">
        <v>5.0803484000000003E-2</v>
      </c>
      <c r="O4198">
        <v>0.42866070000000001</v>
      </c>
      <c r="P4198">
        <v>83.757575759999995</v>
      </c>
      <c r="Q4198">
        <v>22.60997987</v>
      </c>
      <c r="R4198">
        <v>0.72884000000000004</v>
      </c>
      <c r="S4198">
        <v>0.21301339999999999</v>
      </c>
      <c r="T4198" t="s">
        <v>1019</v>
      </c>
      <c r="U4198">
        <v>0.67803651600000003</v>
      </c>
    </row>
    <row r="4199" spans="1:21" x14ac:dyDescent="0.25">
      <c r="A4199" t="s">
        <v>81</v>
      </c>
      <c r="B4199" t="s">
        <v>988</v>
      </c>
      <c r="C4199">
        <v>6</v>
      </c>
      <c r="D4199" t="s">
        <v>17</v>
      </c>
      <c r="E4199" t="s">
        <v>94</v>
      </c>
      <c r="F4199" t="s">
        <v>103</v>
      </c>
      <c r="G4199" t="s">
        <v>113</v>
      </c>
      <c r="H4199" t="s">
        <v>113</v>
      </c>
      <c r="J4199">
        <v>0</v>
      </c>
      <c r="K4199">
        <v>5</v>
      </c>
      <c r="L4199">
        <v>98.291666669999998</v>
      </c>
      <c r="M4199">
        <v>30.315130790000001</v>
      </c>
      <c r="N4199">
        <v>5.0803484000000003E-2</v>
      </c>
      <c r="O4199">
        <v>0.42866070000000001</v>
      </c>
      <c r="P4199">
        <v>83.757575759999995</v>
      </c>
      <c r="Q4199">
        <v>22.60997987</v>
      </c>
      <c r="R4199">
        <v>0.72884000000000004</v>
      </c>
      <c r="S4199">
        <v>0.21301339999999999</v>
      </c>
      <c r="T4199" t="s">
        <v>1019</v>
      </c>
      <c r="U4199">
        <v>0.67803651600000003</v>
      </c>
    </row>
    <row r="4200" spans="1:21" x14ac:dyDescent="0.25">
      <c r="A4200" t="s">
        <v>81</v>
      </c>
      <c r="B4200" t="s">
        <v>988</v>
      </c>
      <c r="C4200">
        <v>6</v>
      </c>
      <c r="D4200" t="s">
        <v>17</v>
      </c>
      <c r="E4200" t="s">
        <v>94</v>
      </c>
      <c r="F4200" t="s">
        <v>103</v>
      </c>
      <c r="G4200" t="s">
        <v>113</v>
      </c>
      <c r="H4200" t="s">
        <v>113</v>
      </c>
      <c r="J4200">
        <v>0</v>
      </c>
      <c r="K4200">
        <v>5</v>
      </c>
      <c r="L4200">
        <v>98.291666669999998</v>
      </c>
      <c r="M4200">
        <v>30.315130790000001</v>
      </c>
      <c r="N4200">
        <v>5.0803484000000003E-2</v>
      </c>
      <c r="O4200">
        <v>0.42866070000000001</v>
      </c>
      <c r="P4200">
        <v>83.757575759999995</v>
      </c>
      <c r="Q4200">
        <v>22.60997987</v>
      </c>
      <c r="R4200">
        <v>0.72884000000000004</v>
      </c>
      <c r="S4200">
        <v>0.21301339999999999</v>
      </c>
      <c r="T4200" t="s">
        <v>1019</v>
      </c>
      <c r="U4200">
        <v>0.67803651600000003</v>
      </c>
    </row>
    <row r="4201" spans="1:21" x14ac:dyDescent="0.25">
      <c r="A4201" t="s">
        <v>81</v>
      </c>
      <c r="B4201" t="s">
        <v>988</v>
      </c>
      <c r="C4201">
        <v>6</v>
      </c>
      <c r="D4201" t="s">
        <v>17</v>
      </c>
      <c r="E4201" t="s">
        <v>94</v>
      </c>
      <c r="F4201" t="s">
        <v>103</v>
      </c>
      <c r="G4201" t="s">
        <v>113</v>
      </c>
      <c r="H4201" t="s">
        <v>103</v>
      </c>
      <c r="J4201">
        <v>0</v>
      </c>
      <c r="K4201">
        <v>1</v>
      </c>
      <c r="L4201">
        <v>98.291666669999998</v>
      </c>
      <c r="M4201">
        <v>30.315130790000001</v>
      </c>
      <c r="N4201">
        <v>5.0803484000000003E-2</v>
      </c>
      <c r="O4201">
        <v>0.42866070000000001</v>
      </c>
      <c r="P4201">
        <v>98.291666669999998</v>
      </c>
      <c r="Q4201">
        <v>30.315130790000001</v>
      </c>
      <c r="R4201">
        <v>5.0803484000000003E-2</v>
      </c>
      <c r="S4201">
        <v>0.42866070000000001</v>
      </c>
      <c r="T4201" t="s">
        <v>1019</v>
      </c>
      <c r="U4201">
        <v>0</v>
      </c>
    </row>
    <row r="4202" spans="1:21" x14ac:dyDescent="0.25">
      <c r="A4202" t="s">
        <v>82</v>
      </c>
      <c r="B4202" t="s">
        <v>989</v>
      </c>
      <c r="C4202">
        <v>6</v>
      </c>
      <c r="D4202" t="s">
        <v>19</v>
      </c>
      <c r="E4202" t="s">
        <v>94</v>
      </c>
      <c r="F4202" t="s">
        <v>102</v>
      </c>
      <c r="G4202" t="s">
        <v>102</v>
      </c>
      <c r="H4202" t="s">
        <v>102</v>
      </c>
      <c r="J4202">
        <v>0</v>
      </c>
      <c r="K4202">
        <v>1</v>
      </c>
      <c r="L4202">
        <v>84.740740740000007</v>
      </c>
      <c r="M4202">
        <v>29.167014049999999</v>
      </c>
      <c r="N4202">
        <v>1.1169849999999999</v>
      </c>
      <c r="O4202">
        <v>1.1571499000000001</v>
      </c>
      <c r="P4202">
        <v>84.740740740000007</v>
      </c>
      <c r="Q4202">
        <v>29.167014049999999</v>
      </c>
      <c r="R4202">
        <v>1.1169849999999999</v>
      </c>
      <c r="S4202">
        <v>1.1571499000000001</v>
      </c>
      <c r="T4202" t="s">
        <v>1019</v>
      </c>
      <c r="U4202">
        <v>0</v>
      </c>
    </row>
    <row r="4203" spans="1:21" x14ac:dyDescent="0.25">
      <c r="A4203" t="s">
        <v>82</v>
      </c>
      <c r="B4203" t="s">
        <v>990</v>
      </c>
      <c r="C4203">
        <v>6</v>
      </c>
      <c r="D4203" t="s">
        <v>19</v>
      </c>
      <c r="E4203" t="s">
        <v>94</v>
      </c>
      <c r="F4203" t="s">
        <v>113</v>
      </c>
      <c r="G4203" t="s">
        <v>113</v>
      </c>
      <c r="H4203" t="s">
        <v>113</v>
      </c>
      <c r="J4203">
        <v>0</v>
      </c>
      <c r="K4203">
        <v>4</v>
      </c>
      <c r="L4203">
        <v>83.757575759999995</v>
      </c>
      <c r="M4203">
        <v>22.60997987</v>
      </c>
      <c r="N4203">
        <v>0.72884000000000004</v>
      </c>
      <c r="O4203">
        <v>0.21301339999999999</v>
      </c>
      <c r="P4203">
        <v>83.757575759999995</v>
      </c>
      <c r="Q4203">
        <v>22.60997987</v>
      </c>
      <c r="R4203">
        <v>0.72884000000000004</v>
      </c>
      <c r="S4203">
        <v>0.21301339999999999</v>
      </c>
      <c r="T4203" t="s">
        <v>1019</v>
      </c>
      <c r="U4203">
        <v>0</v>
      </c>
    </row>
    <row r="4204" spans="1:21" x14ac:dyDescent="0.25">
      <c r="A4204" t="s">
        <v>82</v>
      </c>
      <c r="B4204" t="s">
        <v>990</v>
      </c>
      <c r="C4204">
        <v>6</v>
      </c>
      <c r="D4204" t="s">
        <v>19</v>
      </c>
      <c r="E4204" t="s">
        <v>94</v>
      </c>
      <c r="F4204" t="s">
        <v>113</v>
      </c>
      <c r="G4204" t="s">
        <v>113</v>
      </c>
      <c r="H4204" t="s">
        <v>113</v>
      </c>
      <c r="J4204">
        <v>0</v>
      </c>
      <c r="K4204">
        <v>4</v>
      </c>
      <c r="L4204">
        <v>83.757575759999995</v>
      </c>
      <c r="M4204">
        <v>22.60997987</v>
      </c>
      <c r="N4204">
        <v>0.72884000000000004</v>
      </c>
      <c r="O4204">
        <v>0.21301339999999999</v>
      </c>
      <c r="P4204">
        <v>83.757575759999995</v>
      </c>
      <c r="Q4204">
        <v>22.60997987</v>
      </c>
      <c r="R4204">
        <v>0.72884000000000004</v>
      </c>
      <c r="S4204">
        <v>0.21301339999999999</v>
      </c>
      <c r="T4204" t="s">
        <v>1019</v>
      </c>
      <c r="U4204">
        <v>0</v>
      </c>
    </row>
    <row r="4205" spans="1:21" x14ac:dyDescent="0.25">
      <c r="A4205" t="s">
        <v>82</v>
      </c>
      <c r="B4205" t="s">
        <v>990</v>
      </c>
      <c r="C4205">
        <v>6</v>
      </c>
      <c r="D4205" t="s">
        <v>19</v>
      </c>
      <c r="E4205" t="s">
        <v>94</v>
      </c>
      <c r="F4205" t="s">
        <v>113</v>
      </c>
      <c r="G4205" t="s">
        <v>113</v>
      </c>
      <c r="H4205" t="s">
        <v>113</v>
      </c>
      <c r="J4205">
        <v>0</v>
      </c>
      <c r="K4205">
        <v>4</v>
      </c>
      <c r="L4205">
        <v>83.757575759999995</v>
      </c>
      <c r="M4205">
        <v>22.60997987</v>
      </c>
      <c r="N4205">
        <v>0.72884000000000004</v>
      </c>
      <c r="O4205">
        <v>0.21301339999999999</v>
      </c>
      <c r="P4205">
        <v>83.757575759999995</v>
      </c>
      <c r="Q4205">
        <v>22.60997987</v>
      </c>
      <c r="R4205">
        <v>0.72884000000000004</v>
      </c>
      <c r="S4205">
        <v>0.21301339999999999</v>
      </c>
      <c r="T4205" t="s">
        <v>1019</v>
      </c>
      <c r="U4205">
        <v>0</v>
      </c>
    </row>
    <row r="4206" spans="1:21" x14ac:dyDescent="0.25">
      <c r="A4206" t="s">
        <v>82</v>
      </c>
      <c r="B4206" t="s">
        <v>990</v>
      </c>
      <c r="C4206">
        <v>6</v>
      </c>
      <c r="D4206" t="s">
        <v>19</v>
      </c>
      <c r="E4206" t="s">
        <v>94</v>
      </c>
      <c r="F4206" t="s">
        <v>113</v>
      </c>
      <c r="G4206" t="s">
        <v>113</v>
      </c>
      <c r="H4206" t="s">
        <v>113</v>
      </c>
      <c r="J4206">
        <v>0</v>
      </c>
      <c r="K4206">
        <v>4</v>
      </c>
      <c r="L4206">
        <v>83.757575759999995</v>
      </c>
      <c r="M4206">
        <v>22.60997987</v>
      </c>
      <c r="N4206">
        <v>0.72884000000000004</v>
      </c>
      <c r="O4206">
        <v>0.21301339999999999</v>
      </c>
      <c r="P4206">
        <v>83.757575759999995</v>
      </c>
      <c r="Q4206">
        <v>22.60997987</v>
      </c>
      <c r="R4206">
        <v>0.72884000000000004</v>
      </c>
      <c r="S4206">
        <v>0.21301339999999999</v>
      </c>
      <c r="T4206" t="s">
        <v>1019</v>
      </c>
      <c r="U4206">
        <v>0</v>
      </c>
    </row>
    <row r="4207" spans="1:21" x14ac:dyDescent="0.25">
      <c r="A4207" t="s">
        <v>82</v>
      </c>
      <c r="B4207" t="s">
        <v>990</v>
      </c>
      <c r="C4207">
        <v>6</v>
      </c>
      <c r="D4207" t="s">
        <v>19</v>
      </c>
      <c r="E4207" t="s">
        <v>94</v>
      </c>
      <c r="F4207" t="s">
        <v>113</v>
      </c>
      <c r="G4207" t="s">
        <v>113</v>
      </c>
      <c r="H4207" t="s">
        <v>241</v>
      </c>
      <c r="J4207">
        <v>0</v>
      </c>
      <c r="K4207">
        <v>1</v>
      </c>
      <c r="L4207">
        <v>83.757575759999995</v>
      </c>
      <c r="M4207">
        <v>22.60997987</v>
      </c>
      <c r="N4207">
        <v>0.72884000000000004</v>
      </c>
      <c r="O4207">
        <v>0.21301339999999999</v>
      </c>
      <c r="P4207">
        <v>114</v>
      </c>
      <c r="Q4207">
        <v>30.43077242</v>
      </c>
      <c r="R4207">
        <v>0.53383111100000002</v>
      </c>
      <c r="S4207">
        <v>0.28333332999999999</v>
      </c>
      <c r="T4207" t="s">
        <v>1019</v>
      </c>
      <c r="U4207">
        <v>0.19500888899999999</v>
      </c>
    </row>
    <row r="4208" spans="1:21" x14ac:dyDescent="0.25">
      <c r="A4208" t="s">
        <v>82</v>
      </c>
      <c r="B4208" t="s">
        <v>990</v>
      </c>
      <c r="C4208">
        <v>6</v>
      </c>
      <c r="D4208" t="s">
        <v>19</v>
      </c>
      <c r="E4208" t="s">
        <v>94</v>
      </c>
      <c r="F4208" t="s">
        <v>113</v>
      </c>
      <c r="G4208" t="s">
        <v>113</v>
      </c>
      <c r="H4208" t="s">
        <v>808</v>
      </c>
      <c r="J4208">
        <v>0</v>
      </c>
      <c r="K4208">
        <v>1</v>
      </c>
      <c r="L4208">
        <v>83.757575759999995</v>
      </c>
      <c r="M4208">
        <v>22.60997987</v>
      </c>
      <c r="N4208">
        <v>0.72884000000000004</v>
      </c>
      <c r="O4208">
        <v>0.21301339999999999</v>
      </c>
      <c r="P4208">
        <v>102.79166669999999</v>
      </c>
      <c r="Q4208">
        <v>27.057373470000002</v>
      </c>
      <c r="R4208">
        <v>6.3567849939999999</v>
      </c>
      <c r="S4208" t="s">
        <v>114</v>
      </c>
      <c r="T4208" t="s">
        <v>1019</v>
      </c>
      <c r="U4208">
        <v>5.6279449939999999</v>
      </c>
    </row>
    <row r="4209" spans="1:21" x14ac:dyDescent="0.25">
      <c r="A4209" t="s">
        <v>82</v>
      </c>
      <c r="B4209" t="s">
        <v>990</v>
      </c>
      <c r="C4209">
        <v>6</v>
      </c>
      <c r="D4209" t="s">
        <v>19</v>
      </c>
      <c r="E4209" t="s">
        <v>94</v>
      </c>
      <c r="F4209" t="s">
        <v>113</v>
      </c>
      <c r="G4209" t="s">
        <v>113</v>
      </c>
      <c r="H4209" t="s">
        <v>103</v>
      </c>
      <c r="J4209">
        <v>0</v>
      </c>
      <c r="K4209">
        <v>1</v>
      </c>
      <c r="L4209">
        <v>83.757575759999995</v>
      </c>
      <c r="M4209">
        <v>22.60997987</v>
      </c>
      <c r="N4209">
        <v>0.72884000000000004</v>
      </c>
      <c r="O4209">
        <v>0.21301339999999999</v>
      </c>
      <c r="P4209">
        <v>98.291666669999998</v>
      </c>
      <c r="Q4209">
        <v>30.315130790000001</v>
      </c>
      <c r="R4209">
        <v>5.0803484000000003E-2</v>
      </c>
      <c r="S4209">
        <v>0.42866070000000001</v>
      </c>
      <c r="T4209" t="s">
        <v>1019</v>
      </c>
      <c r="U4209">
        <v>0.67803651600000003</v>
      </c>
    </row>
    <row r="4210" spans="1:21" x14ac:dyDescent="0.25">
      <c r="A4210" t="s">
        <v>82</v>
      </c>
      <c r="B4210" t="s">
        <v>991</v>
      </c>
      <c r="C4210">
        <v>6</v>
      </c>
      <c r="D4210" t="s">
        <v>19</v>
      </c>
      <c r="E4210" t="s">
        <v>94</v>
      </c>
      <c r="F4210" t="s">
        <v>104</v>
      </c>
      <c r="G4210" t="s">
        <v>113</v>
      </c>
      <c r="H4210" t="s">
        <v>113</v>
      </c>
      <c r="J4210">
        <v>0</v>
      </c>
      <c r="K4210">
        <v>3</v>
      </c>
      <c r="L4210">
        <v>113.9375</v>
      </c>
      <c r="M4210">
        <v>33.375507550000002</v>
      </c>
      <c r="N4210">
        <v>2.4262999999999999</v>
      </c>
      <c r="O4210">
        <v>0.40692159999999999</v>
      </c>
      <c r="P4210">
        <v>83.757575759999995</v>
      </c>
      <c r="Q4210">
        <v>22.60997987</v>
      </c>
      <c r="R4210">
        <v>0.72884000000000004</v>
      </c>
      <c r="S4210">
        <v>0.21301339999999999</v>
      </c>
      <c r="T4210" t="s">
        <v>1019</v>
      </c>
      <c r="U4210">
        <v>1.69746</v>
      </c>
    </row>
    <row r="4211" spans="1:21" x14ac:dyDescent="0.25">
      <c r="A4211" t="s">
        <v>82</v>
      </c>
      <c r="B4211" t="s">
        <v>991</v>
      </c>
      <c r="C4211">
        <v>6</v>
      </c>
      <c r="D4211" t="s">
        <v>19</v>
      </c>
      <c r="E4211" t="s">
        <v>94</v>
      </c>
      <c r="F4211" t="s">
        <v>104</v>
      </c>
      <c r="G4211" t="s">
        <v>113</v>
      </c>
      <c r="H4211" t="s">
        <v>113</v>
      </c>
      <c r="J4211">
        <v>0</v>
      </c>
      <c r="K4211">
        <v>3</v>
      </c>
      <c r="L4211">
        <v>113.9375</v>
      </c>
      <c r="M4211">
        <v>33.375507550000002</v>
      </c>
      <c r="N4211">
        <v>2.4262999999999999</v>
      </c>
      <c r="O4211">
        <v>0.40692159999999999</v>
      </c>
      <c r="P4211">
        <v>83.757575759999995</v>
      </c>
      <c r="Q4211">
        <v>22.60997987</v>
      </c>
      <c r="R4211">
        <v>0.72884000000000004</v>
      </c>
      <c r="S4211">
        <v>0.21301339999999999</v>
      </c>
      <c r="T4211" t="s">
        <v>1019</v>
      </c>
      <c r="U4211">
        <v>1.69746</v>
      </c>
    </row>
    <row r="4212" spans="1:21" x14ac:dyDescent="0.25">
      <c r="A4212" t="s">
        <v>82</v>
      </c>
      <c r="B4212" t="s">
        <v>991</v>
      </c>
      <c r="C4212">
        <v>6</v>
      </c>
      <c r="D4212" t="s">
        <v>19</v>
      </c>
      <c r="E4212" t="s">
        <v>94</v>
      </c>
      <c r="F4212" t="s">
        <v>104</v>
      </c>
      <c r="G4212" t="s">
        <v>113</v>
      </c>
      <c r="H4212" t="s">
        <v>113</v>
      </c>
      <c r="J4212">
        <v>0</v>
      </c>
      <c r="K4212">
        <v>3</v>
      </c>
      <c r="L4212">
        <v>113.9375</v>
      </c>
      <c r="M4212">
        <v>33.375507550000002</v>
      </c>
      <c r="N4212">
        <v>2.4262999999999999</v>
      </c>
      <c r="O4212">
        <v>0.40692159999999999</v>
      </c>
      <c r="P4212">
        <v>83.757575759999995</v>
      </c>
      <c r="Q4212">
        <v>22.60997987</v>
      </c>
      <c r="R4212">
        <v>0.72884000000000004</v>
      </c>
      <c r="S4212">
        <v>0.21301339999999999</v>
      </c>
      <c r="T4212" t="s">
        <v>1019</v>
      </c>
      <c r="U4212">
        <v>1.69746</v>
      </c>
    </row>
    <row r="4213" spans="1:21" x14ac:dyDescent="0.25">
      <c r="A4213" t="s">
        <v>83</v>
      </c>
      <c r="B4213" t="s">
        <v>992</v>
      </c>
      <c r="C4213">
        <v>6</v>
      </c>
      <c r="D4213" t="s">
        <v>21</v>
      </c>
      <c r="E4213" t="s">
        <v>94</v>
      </c>
      <c r="F4213" t="s">
        <v>102</v>
      </c>
      <c r="G4213" t="s">
        <v>121</v>
      </c>
      <c r="H4213" t="s">
        <v>114</v>
      </c>
      <c r="J4213">
        <v>0</v>
      </c>
      <c r="K4213">
        <v>0</v>
      </c>
      <c r="L4213">
        <v>84.740740740000007</v>
      </c>
      <c r="M4213">
        <v>29.167014049999999</v>
      </c>
      <c r="N4213">
        <v>1.1169849999999999</v>
      </c>
      <c r="O4213">
        <v>1.1571499000000001</v>
      </c>
      <c r="P4213" t="s">
        <v>114</v>
      </c>
      <c r="Q4213" t="s">
        <v>114</v>
      </c>
      <c r="R4213" t="s">
        <v>114</v>
      </c>
      <c r="S4213" t="s">
        <v>114</v>
      </c>
      <c r="T4213" t="s">
        <v>1019</v>
      </c>
      <c r="U4213" t="s">
        <v>114</v>
      </c>
    </row>
    <row r="4214" spans="1:21" x14ac:dyDescent="0.25">
      <c r="A4214" t="s">
        <v>83</v>
      </c>
      <c r="B4214" t="s">
        <v>993</v>
      </c>
      <c r="C4214">
        <v>6</v>
      </c>
      <c r="D4214" t="s">
        <v>21</v>
      </c>
      <c r="E4214" t="s">
        <v>94</v>
      </c>
      <c r="F4214" t="s">
        <v>103</v>
      </c>
      <c r="G4214" t="s">
        <v>103</v>
      </c>
      <c r="H4214" t="s">
        <v>103</v>
      </c>
      <c r="J4214">
        <v>0</v>
      </c>
      <c r="K4214">
        <v>2</v>
      </c>
      <c r="L4214">
        <v>98.291666669999998</v>
      </c>
      <c r="M4214">
        <v>30.315130790000001</v>
      </c>
      <c r="N4214">
        <v>5.0803484000000003E-2</v>
      </c>
      <c r="O4214">
        <v>0.42866070000000001</v>
      </c>
      <c r="P4214">
        <v>98.291666669999998</v>
      </c>
      <c r="Q4214">
        <v>30.315130790000001</v>
      </c>
      <c r="R4214">
        <v>5.0803484000000003E-2</v>
      </c>
      <c r="S4214">
        <v>0.42866070000000001</v>
      </c>
      <c r="T4214" t="s">
        <v>1019</v>
      </c>
      <c r="U4214">
        <v>0</v>
      </c>
    </row>
    <row r="4215" spans="1:21" x14ac:dyDescent="0.25">
      <c r="A4215" t="s">
        <v>83</v>
      </c>
      <c r="B4215" t="s">
        <v>993</v>
      </c>
      <c r="C4215">
        <v>6</v>
      </c>
      <c r="D4215" t="s">
        <v>21</v>
      </c>
      <c r="E4215" t="s">
        <v>94</v>
      </c>
      <c r="F4215" t="s">
        <v>103</v>
      </c>
      <c r="G4215" t="s">
        <v>103</v>
      </c>
      <c r="H4215" t="s">
        <v>103</v>
      </c>
      <c r="J4215">
        <v>0</v>
      </c>
      <c r="K4215">
        <v>2</v>
      </c>
      <c r="L4215">
        <v>98.291666669999998</v>
      </c>
      <c r="M4215">
        <v>30.315130790000001</v>
      </c>
      <c r="N4215">
        <v>5.0803484000000003E-2</v>
      </c>
      <c r="O4215">
        <v>0.42866070000000001</v>
      </c>
      <c r="P4215">
        <v>98.291666669999998</v>
      </c>
      <c r="Q4215">
        <v>30.315130790000001</v>
      </c>
      <c r="R4215">
        <v>5.0803484000000003E-2</v>
      </c>
      <c r="S4215">
        <v>0.42866070000000001</v>
      </c>
      <c r="T4215" t="s">
        <v>1019</v>
      </c>
      <c r="U4215">
        <v>0</v>
      </c>
    </row>
    <row r="4216" spans="1:21" x14ac:dyDescent="0.25">
      <c r="A4216" t="s">
        <v>83</v>
      </c>
      <c r="B4216" t="s">
        <v>993</v>
      </c>
      <c r="C4216">
        <v>6</v>
      </c>
      <c r="D4216" t="s">
        <v>21</v>
      </c>
      <c r="E4216" t="s">
        <v>94</v>
      </c>
      <c r="F4216" t="s">
        <v>103</v>
      </c>
      <c r="G4216" t="s">
        <v>103</v>
      </c>
      <c r="H4216" t="s">
        <v>246</v>
      </c>
      <c r="J4216">
        <v>0</v>
      </c>
      <c r="K4216">
        <v>1</v>
      </c>
      <c r="L4216">
        <v>98.291666669999998</v>
      </c>
      <c r="M4216">
        <v>30.315130790000001</v>
      </c>
      <c r="N4216">
        <v>5.0803484000000003E-2</v>
      </c>
      <c r="O4216">
        <v>0.42866070000000001</v>
      </c>
      <c r="P4216">
        <v>120.25</v>
      </c>
      <c r="Q4216">
        <v>30.670450110000001</v>
      </c>
      <c r="R4216">
        <v>0.91037498500000003</v>
      </c>
      <c r="S4216" t="s">
        <v>114</v>
      </c>
      <c r="T4216" t="s">
        <v>1019</v>
      </c>
      <c r="U4216">
        <v>0.85957150100000002</v>
      </c>
    </row>
    <row r="4217" spans="1:21" x14ac:dyDescent="0.25">
      <c r="A4217" t="s">
        <v>83</v>
      </c>
      <c r="B4217" t="s">
        <v>993</v>
      </c>
      <c r="C4217">
        <v>6</v>
      </c>
      <c r="D4217" t="s">
        <v>21</v>
      </c>
      <c r="E4217" t="s">
        <v>94</v>
      </c>
      <c r="F4217" t="s">
        <v>103</v>
      </c>
      <c r="G4217" t="s">
        <v>103</v>
      </c>
      <c r="H4217" t="s">
        <v>239</v>
      </c>
      <c r="J4217">
        <v>0</v>
      </c>
      <c r="K4217">
        <v>1</v>
      </c>
      <c r="L4217">
        <v>98.291666669999998</v>
      </c>
      <c r="M4217">
        <v>30.315130790000001</v>
      </c>
      <c r="N4217">
        <v>5.0803484000000003E-2</v>
      </c>
      <c r="O4217">
        <v>0.42866070000000001</v>
      </c>
      <c r="P4217">
        <v>100.45454549999999</v>
      </c>
      <c r="Q4217">
        <v>26.754810689999999</v>
      </c>
      <c r="R4217">
        <v>0.75829999999999997</v>
      </c>
      <c r="S4217">
        <v>0.40907861000000001</v>
      </c>
      <c r="T4217" t="s">
        <v>1019</v>
      </c>
      <c r="U4217">
        <v>0.70749651599999996</v>
      </c>
    </row>
    <row r="4218" spans="1:21" x14ac:dyDescent="0.25">
      <c r="A4218" t="s">
        <v>83</v>
      </c>
      <c r="B4218" t="s">
        <v>994</v>
      </c>
      <c r="C4218">
        <v>6</v>
      </c>
      <c r="D4218" t="s">
        <v>21</v>
      </c>
      <c r="E4218" t="s">
        <v>94</v>
      </c>
      <c r="F4218" t="s">
        <v>111</v>
      </c>
      <c r="G4218" t="s">
        <v>121</v>
      </c>
      <c r="H4218" t="s">
        <v>114</v>
      </c>
      <c r="J4218">
        <v>0</v>
      </c>
      <c r="K4218">
        <v>0</v>
      </c>
      <c r="L4218">
        <v>94.97142857</v>
      </c>
      <c r="M4218">
        <v>24.31591813</v>
      </c>
      <c r="N4218">
        <v>0.122951111</v>
      </c>
      <c r="O4218">
        <v>0.39050790000000002</v>
      </c>
      <c r="P4218" t="s">
        <v>114</v>
      </c>
      <c r="Q4218" t="s">
        <v>114</v>
      </c>
      <c r="R4218" t="s">
        <v>114</v>
      </c>
      <c r="S4218" t="s">
        <v>114</v>
      </c>
      <c r="T4218" t="s">
        <v>1019</v>
      </c>
      <c r="U4218" t="s">
        <v>114</v>
      </c>
    </row>
    <row r="4219" spans="1:21" x14ac:dyDescent="0.25">
      <c r="A4219" t="s">
        <v>84</v>
      </c>
      <c r="B4219" t="s">
        <v>995</v>
      </c>
      <c r="C4219">
        <v>6</v>
      </c>
      <c r="D4219" t="s">
        <v>23</v>
      </c>
      <c r="E4219" t="s">
        <v>95</v>
      </c>
      <c r="F4219" t="s">
        <v>102</v>
      </c>
      <c r="G4219" t="s">
        <v>121</v>
      </c>
      <c r="H4219" t="s">
        <v>254</v>
      </c>
      <c r="J4219">
        <v>0</v>
      </c>
      <c r="K4219">
        <v>3</v>
      </c>
      <c r="L4219">
        <v>84.740740740000007</v>
      </c>
      <c r="M4219">
        <v>29.167014049999999</v>
      </c>
      <c r="N4219">
        <v>1.1169849999999999</v>
      </c>
      <c r="O4219">
        <v>1.1571499000000001</v>
      </c>
      <c r="P4219" t="s">
        <v>114</v>
      </c>
      <c r="Q4219" t="s">
        <v>114</v>
      </c>
      <c r="R4219" t="s">
        <v>114</v>
      </c>
      <c r="S4219" t="s">
        <v>114</v>
      </c>
      <c r="T4219" t="s">
        <v>1019</v>
      </c>
      <c r="U4219" t="s">
        <v>114</v>
      </c>
    </row>
    <row r="4220" spans="1:21" x14ac:dyDescent="0.25">
      <c r="A4220" t="s">
        <v>84</v>
      </c>
      <c r="B4220" t="s">
        <v>995</v>
      </c>
      <c r="C4220">
        <v>6</v>
      </c>
      <c r="D4220" t="s">
        <v>23</v>
      </c>
      <c r="E4220" t="s">
        <v>95</v>
      </c>
      <c r="F4220" t="s">
        <v>102</v>
      </c>
      <c r="G4220" t="s">
        <v>121</v>
      </c>
      <c r="H4220" t="s">
        <v>254</v>
      </c>
      <c r="J4220">
        <v>0</v>
      </c>
      <c r="K4220">
        <v>3</v>
      </c>
      <c r="L4220">
        <v>84.740740740000007</v>
      </c>
      <c r="M4220">
        <v>29.167014049999999</v>
      </c>
      <c r="N4220">
        <v>1.1169849999999999</v>
      </c>
      <c r="O4220">
        <v>1.1571499000000001</v>
      </c>
      <c r="P4220" t="s">
        <v>114</v>
      </c>
      <c r="Q4220" t="s">
        <v>114</v>
      </c>
      <c r="R4220" t="s">
        <v>114</v>
      </c>
      <c r="S4220" t="s">
        <v>114</v>
      </c>
      <c r="T4220" t="s">
        <v>1019</v>
      </c>
      <c r="U4220" t="s">
        <v>114</v>
      </c>
    </row>
    <row r="4221" spans="1:21" x14ac:dyDescent="0.25">
      <c r="A4221" t="s">
        <v>84</v>
      </c>
      <c r="B4221" t="s">
        <v>995</v>
      </c>
      <c r="C4221">
        <v>6</v>
      </c>
      <c r="D4221" t="s">
        <v>23</v>
      </c>
      <c r="E4221" t="s">
        <v>95</v>
      </c>
      <c r="F4221" t="s">
        <v>102</v>
      </c>
      <c r="G4221" t="s">
        <v>121</v>
      </c>
      <c r="H4221" t="s">
        <v>254</v>
      </c>
      <c r="J4221">
        <v>0</v>
      </c>
      <c r="K4221">
        <v>3</v>
      </c>
      <c r="L4221">
        <v>84.740740740000007</v>
      </c>
      <c r="M4221">
        <v>29.167014049999999</v>
      </c>
      <c r="N4221">
        <v>1.1169849999999999</v>
      </c>
      <c r="O4221">
        <v>1.1571499000000001</v>
      </c>
      <c r="P4221" t="s">
        <v>114</v>
      </c>
      <c r="Q4221" t="s">
        <v>114</v>
      </c>
      <c r="R4221" t="s">
        <v>114</v>
      </c>
      <c r="S4221" t="s">
        <v>114</v>
      </c>
      <c r="T4221" t="s">
        <v>1019</v>
      </c>
      <c r="U4221" t="s">
        <v>114</v>
      </c>
    </row>
    <row r="4222" spans="1:21" x14ac:dyDescent="0.25">
      <c r="A4222" t="s">
        <v>84</v>
      </c>
      <c r="B4222" t="s">
        <v>995</v>
      </c>
      <c r="C4222">
        <v>6</v>
      </c>
      <c r="D4222" t="s">
        <v>23</v>
      </c>
      <c r="E4222" t="s">
        <v>95</v>
      </c>
      <c r="F4222" t="s">
        <v>102</v>
      </c>
      <c r="G4222" t="s">
        <v>121</v>
      </c>
      <c r="H4222" t="s">
        <v>248</v>
      </c>
      <c r="J4222">
        <v>0</v>
      </c>
      <c r="K4222">
        <v>1</v>
      </c>
      <c r="L4222">
        <v>84.740740740000007</v>
      </c>
      <c r="M4222">
        <v>29.167014049999999</v>
      </c>
      <c r="N4222">
        <v>1.1169849999999999</v>
      </c>
      <c r="O4222">
        <v>1.1571499000000001</v>
      </c>
      <c r="P4222">
        <v>83.92307692</v>
      </c>
      <c r="Q4222">
        <v>44.319135699999997</v>
      </c>
      <c r="R4222">
        <v>5.9548609999999997E-3</v>
      </c>
      <c r="S4222">
        <v>0.18017928</v>
      </c>
      <c r="T4222" t="s">
        <v>1019</v>
      </c>
      <c r="U4222">
        <v>1.1110301389999999</v>
      </c>
    </row>
    <row r="4223" spans="1:21" x14ac:dyDescent="0.25">
      <c r="A4223" t="s">
        <v>84</v>
      </c>
      <c r="B4223" t="s">
        <v>995</v>
      </c>
      <c r="C4223">
        <v>6</v>
      </c>
      <c r="D4223" t="s">
        <v>23</v>
      </c>
      <c r="E4223" t="s">
        <v>95</v>
      </c>
      <c r="F4223" t="s">
        <v>102</v>
      </c>
      <c r="G4223" t="s">
        <v>121</v>
      </c>
      <c r="H4223" t="s">
        <v>233</v>
      </c>
      <c r="J4223">
        <v>0</v>
      </c>
      <c r="K4223">
        <v>1</v>
      </c>
      <c r="L4223">
        <v>84.740740740000007</v>
      </c>
      <c r="M4223">
        <v>29.167014049999999</v>
      </c>
      <c r="N4223">
        <v>1.1169849999999999</v>
      </c>
      <c r="O4223">
        <v>1.1571499000000001</v>
      </c>
      <c r="P4223">
        <v>106.0540541</v>
      </c>
      <c r="Q4223">
        <v>52.690533369999997</v>
      </c>
      <c r="R4223">
        <v>7.6058968000000005E-2</v>
      </c>
      <c r="S4223">
        <v>0.44888888999999998</v>
      </c>
      <c r="T4223" t="s">
        <v>1019</v>
      </c>
      <c r="U4223">
        <v>1.040926032</v>
      </c>
    </row>
    <row r="4224" spans="1:21" x14ac:dyDescent="0.25">
      <c r="A4224" t="s">
        <v>84</v>
      </c>
      <c r="B4224" t="s">
        <v>995</v>
      </c>
      <c r="C4224">
        <v>6</v>
      </c>
      <c r="D4224" t="s">
        <v>23</v>
      </c>
      <c r="E4224" t="s">
        <v>95</v>
      </c>
      <c r="F4224" t="s">
        <v>102</v>
      </c>
      <c r="G4224" t="s">
        <v>121</v>
      </c>
      <c r="H4224" t="s">
        <v>103</v>
      </c>
      <c r="J4224">
        <v>0</v>
      </c>
      <c r="K4224">
        <v>5</v>
      </c>
      <c r="L4224">
        <v>84.740740740000007</v>
      </c>
      <c r="M4224">
        <v>29.167014049999999</v>
      </c>
      <c r="N4224">
        <v>1.1169849999999999</v>
      </c>
      <c r="O4224">
        <v>1.1571499000000001</v>
      </c>
      <c r="P4224">
        <v>98.291666669999998</v>
      </c>
      <c r="Q4224">
        <v>30.315130790000001</v>
      </c>
      <c r="R4224">
        <v>5.0803484000000003E-2</v>
      </c>
      <c r="S4224">
        <v>0.42866070000000001</v>
      </c>
      <c r="T4224" t="s">
        <v>1019</v>
      </c>
      <c r="U4224">
        <v>1.0661815160000001</v>
      </c>
    </row>
    <row r="4225" spans="1:21" x14ac:dyDescent="0.25">
      <c r="A4225" t="s">
        <v>84</v>
      </c>
      <c r="B4225" t="s">
        <v>995</v>
      </c>
      <c r="C4225">
        <v>6</v>
      </c>
      <c r="D4225" t="s">
        <v>23</v>
      </c>
      <c r="E4225" t="s">
        <v>95</v>
      </c>
      <c r="F4225" t="s">
        <v>102</v>
      </c>
      <c r="G4225" t="s">
        <v>121</v>
      </c>
      <c r="H4225" t="s">
        <v>103</v>
      </c>
      <c r="J4225">
        <v>0</v>
      </c>
      <c r="K4225">
        <v>5</v>
      </c>
      <c r="L4225">
        <v>84.740740740000007</v>
      </c>
      <c r="M4225">
        <v>29.167014049999999</v>
      </c>
      <c r="N4225">
        <v>1.1169849999999999</v>
      </c>
      <c r="O4225">
        <v>1.1571499000000001</v>
      </c>
      <c r="P4225">
        <v>98.291666669999998</v>
      </c>
      <c r="Q4225">
        <v>30.315130790000001</v>
      </c>
      <c r="R4225">
        <v>5.0803484000000003E-2</v>
      </c>
      <c r="S4225">
        <v>0.42866070000000001</v>
      </c>
      <c r="T4225" t="s">
        <v>1019</v>
      </c>
      <c r="U4225">
        <v>1.0661815160000001</v>
      </c>
    </row>
    <row r="4226" spans="1:21" x14ac:dyDescent="0.25">
      <c r="A4226" t="s">
        <v>84</v>
      </c>
      <c r="B4226" t="s">
        <v>995</v>
      </c>
      <c r="C4226">
        <v>6</v>
      </c>
      <c r="D4226" t="s">
        <v>23</v>
      </c>
      <c r="E4226" t="s">
        <v>95</v>
      </c>
      <c r="F4226" t="s">
        <v>102</v>
      </c>
      <c r="G4226" t="s">
        <v>121</v>
      </c>
      <c r="H4226" t="s">
        <v>103</v>
      </c>
      <c r="J4226">
        <v>0</v>
      </c>
      <c r="K4226">
        <v>5</v>
      </c>
      <c r="L4226">
        <v>84.740740740000007</v>
      </c>
      <c r="M4226">
        <v>29.167014049999999</v>
      </c>
      <c r="N4226">
        <v>1.1169849999999999</v>
      </c>
      <c r="O4226">
        <v>1.1571499000000001</v>
      </c>
      <c r="P4226">
        <v>98.291666669999998</v>
      </c>
      <c r="Q4226">
        <v>30.315130790000001</v>
      </c>
      <c r="R4226">
        <v>5.0803484000000003E-2</v>
      </c>
      <c r="S4226">
        <v>0.42866070000000001</v>
      </c>
      <c r="T4226" t="s">
        <v>1019</v>
      </c>
      <c r="U4226">
        <v>1.0661815160000001</v>
      </c>
    </row>
    <row r="4227" spans="1:21" x14ac:dyDescent="0.25">
      <c r="A4227" t="s">
        <v>84</v>
      </c>
      <c r="B4227" t="s">
        <v>995</v>
      </c>
      <c r="C4227">
        <v>6</v>
      </c>
      <c r="D4227" t="s">
        <v>23</v>
      </c>
      <c r="E4227" t="s">
        <v>95</v>
      </c>
      <c r="F4227" t="s">
        <v>102</v>
      </c>
      <c r="G4227" t="s">
        <v>121</v>
      </c>
      <c r="H4227" t="s">
        <v>103</v>
      </c>
      <c r="J4227">
        <v>0</v>
      </c>
      <c r="K4227">
        <v>5</v>
      </c>
      <c r="L4227">
        <v>84.740740740000007</v>
      </c>
      <c r="M4227">
        <v>29.167014049999999</v>
      </c>
      <c r="N4227">
        <v>1.1169849999999999</v>
      </c>
      <c r="O4227">
        <v>1.1571499000000001</v>
      </c>
      <c r="P4227">
        <v>98.291666669999998</v>
      </c>
      <c r="Q4227">
        <v>30.315130790000001</v>
      </c>
      <c r="R4227">
        <v>5.0803484000000003E-2</v>
      </c>
      <c r="S4227">
        <v>0.42866070000000001</v>
      </c>
      <c r="T4227" t="s">
        <v>1019</v>
      </c>
      <c r="U4227">
        <v>1.0661815160000001</v>
      </c>
    </row>
    <row r="4228" spans="1:21" x14ac:dyDescent="0.25">
      <c r="A4228" t="s">
        <v>84</v>
      </c>
      <c r="B4228" t="s">
        <v>995</v>
      </c>
      <c r="C4228">
        <v>6</v>
      </c>
      <c r="D4228" t="s">
        <v>23</v>
      </c>
      <c r="E4228" t="s">
        <v>95</v>
      </c>
      <c r="F4228" t="s">
        <v>102</v>
      </c>
      <c r="G4228" t="s">
        <v>121</v>
      </c>
      <c r="H4228" t="s">
        <v>103</v>
      </c>
      <c r="J4228">
        <v>0</v>
      </c>
      <c r="K4228">
        <v>5</v>
      </c>
      <c r="L4228">
        <v>84.740740740000007</v>
      </c>
      <c r="M4228">
        <v>29.167014049999999</v>
      </c>
      <c r="N4228">
        <v>1.1169849999999999</v>
      </c>
      <c r="O4228">
        <v>1.1571499000000001</v>
      </c>
      <c r="P4228">
        <v>98.291666669999998</v>
      </c>
      <c r="Q4228">
        <v>30.315130790000001</v>
      </c>
      <c r="R4228">
        <v>5.0803484000000003E-2</v>
      </c>
      <c r="S4228">
        <v>0.42866070000000001</v>
      </c>
      <c r="T4228" t="s">
        <v>1019</v>
      </c>
      <c r="U4228">
        <v>1.0661815160000001</v>
      </c>
    </row>
    <row r="4229" spans="1:21" x14ac:dyDescent="0.25">
      <c r="A4229" t="s">
        <v>84</v>
      </c>
      <c r="B4229" t="s">
        <v>996</v>
      </c>
      <c r="C4229">
        <v>6</v>
      </c>
      <c r="D4229" t="s">
        <v>23</v>
      </c>
      <c r="E4229" t="s">
        <v>95</v>
      </c>
      <c r="F4229" t="s">
        <v>105</v>
      </c>
      <c r="G4229" t="s">
        <v>103</v>
      </c>
      <c r="H4229" t="s">
        <v>114</v>
      </c>
      <c r="J4229">
        <v>0</v>
      </c>
      <c r="K4229" t="s">
        <v>114</v>
      </c>
      <c r="L4229">
        <v>67.5</v>
      </c>
      <c r="M4229">
        <v>47.937235809999997</v>
      </c>
      <c r="N4229">
        <v>0.41599678000000001</v>
      </c>
      <c r="O4229">
        <v>2.0950346999999998</v>
      </c>
      <c r="P4229" t="s">
        <v>114</v>
      </c>
      <c r="Q4229" t="s">
        <v>114</v>
      </c>
      <c r="R4229" t="s">
        <v>114</v>
      </c>
      <c r="S4229" t="s">
        <v>114</v>
      </c>
      <c r="T4229" t="s">
        <v>1019</v>
      </c>
      <c r="U4229" t="s">
        <v>114</v>
      </c>
    </row>
    <row r="4230" spans="1:21" x14ac:dyDescent="0.25">
      <c r="A4230" t="s">
        <v>84</v>
      </c>
      <c r="B4230" t="s">
        <v>997</v>
      </c>
      <c r="C4230">
        <v>6</v>
      </c>
      <c r="D4230" t="s">
        <v>23</v>
      </c>
      <c r="E4230" t="s">
        <v>95</v>
      </c>
      <c r="F4230" t="s">
        <v>111</v>
      </c>
      <c r="G4230" t="s">
        <v>103</v>
      </c>
      <c r="H4230" t="s">
        <v>103</v>
      </c>
      <c r="J4230">
        <v>0</v>
      </c>
      <c r="K4230">
        <v>2</v>
      </c>
      <c r="L4230">
        <v>94.97142857</v>
      </c>
      <c r="M4230">
        <v>24.31591813</v>
      </c>
      <c r="N4230">
        <v>0.122951111</v>
      </c>
      <c r="O4230">
        <v>0.39050790000000002</v>
      </c>
      <c r="P4230">
        <v>98.291666669999998</v>
      </c>
      <c r="Q4230">
        <v>30.315130790000001</v>
      </c>
      <c r="R4230">
        <v>5.0803484000000003E-2</v>
      </c>
      <c r="S4230">
        <v>0.42866070000000001</v>
      </c>
      <c r="T4230" t="s">
        <v>1019</v>
      </c>
      <c r="U4230">
        <v>7.2147627000000006E-2</v>
      </c>
    </row>
    <row r="4231" spans="1:21" x14ac:dyDescent="0.25">
      <c r="A4231" t="s">
        <v>84</v>
      </c>
      <c r="B4231" t="s">
        <v>997</v>
      </c>
      <c r="C4231">
        <v>6</v>
      </c>
      <c r="D4231" t="s">
        <v>23</v>
      </c>
      <c r="E4231" t="s">
        <v>95</v>
      </c>
      <c r="F4231" t="s">
        <v>111</v>
      </c>
      <c r="G4231" t="s">
        <v>103</v>
      </c>
      <c r="H4231" t="s">
        <v>103</v>
      </c>
      <c r="J4231">
        <v>0</v>
      </c>
      <c r="K4231">
        <v>2</v>
      </c>
      <c r="L4231">
        <v>94.97142857</v>
      </c>
      <c r="M4231">
        <v>24.31591813</v>
      </c>
      <c r="N4231">
        <v>0.122951111</v>
      </c>
      <c r="O4231">
        <v>0.39050790000000002</v>
      </c>
      <c r="P4231">
        <v>98.291666669999998</v>
      </c>
      <c r="Q4231">
        <v>30.315130790000001</v>
      </c>
      <c r="R4231">
        <v>5.0803484000000003E-2</v>
      </c>
      <c r="S4231">
        <v>0.42866070000000001</v>
      </c>
      <c r="T4231" t="s">
        <v>1019</v>
      </c>
      <c r="U4231">
        <v>7.2147627000000006E-2</v>
      </c>
    </row>
    <row r="4232" spans="1:21" x14ac:dyDescent="0.25">
      <c r="A4232" t="s">
        <v>84</v>
      </c>
      <c r="B4232" t="s">
        <v>997</v>
      </c>
      <c r="C4232">
        <v>6</v>
      </c>
      <c r="D4232" t="s">
        <v>23</v>
      </c>
      <c r="E4232" t="s">
        <v>95</v>
      </c>
      <c r="F4232" t="s">
        <v>111</v>
      </c>
      <c r="G4232" t="s">
        <v>103</v>
      </c>
      <c r="H4232" t="s">
        <v>247</v>
      </c>
      <c r="J4232">
        <v>0</v>
      </c>
      <c r="K4232">
        <v>1</v>
      </c>
      <c r="L4232">
        <v>94.97142857</v>
      </c>
      <c r="M4232">
        <v>24.31591813</v>
      </c>
      <c r="N4232">
        <v>0.122951111</v>
      </c>
      <c r="O4232">
        <v>0.39050790000000002</v>
      </c>
      <c r="P4232">
        <v>65.791044779999993</v>
      </c>
      <c r="Q4232">
        <v>22.94519201</v>
      </c>
      <c r="R4232">
        <v>8.1320334999999994E-2</v>
      </c>
      <c r="S4232">
        <v>0.17285655</v>
      </c>
      <c r="T4232" t="s">
        <v>1019</v>
      </c>
      <c r="U4232">
        <v>4.1630776000000001E-2</v>
      </c>
    </row>
    <row r="4233" spans="1:21" x14ac:dyDescent="0.25">
      <c r="A4233" t="s">
        <v>84</v>
      </c>
      <c r="B4233" t="s">
        <v>997</v>
      </c>
      <c r="C4233">
        <v>6</v>
      </c>
      <c r="D4233" t="s">
        <v>23</v>
      </c>
      <c r="E4233" t="s">
        <v>95</v>
      </c>
      <c r="F4233" t="s">
        <v>111</v>
      </c>
      <c r="G4233" t="s">
        <v>103</v>
      </c>
      <c r="H4233" t="s">
        <v>233</v>
      </c>
      <c r="J4233">
        <v>0</v>
      </c>
      <c r="K4233">
        <v>1</v>
      </c>
      <c r="L4233">
        <v>94.97142857</v>
      </c>
      <c r="M4233">
        <v>24.31591813</v>
      </c>
      <c r="N4233">
        <v>0.122951111</v>
      </c>
      <c r="O4233">
        <v>0.39050790000000002</v>
      </c>
      <c r="P4233">
        <v>106.0540541</v>
      </c>
      <c r="Q4233">
        <v>52.690533369999997</v>
      </c>
      <c r="R4233">
        <v>7.6058968000000005E-2</v>
      </c>
      <c r="S4233">
        <v>0.44888888999999998</v>
      </c>
      <c r="T4233" t="s">
        <v>1019</v>
      </c>
      <c r="U4233">
        <v>4.6892142999999997E-2</v>
      </c>
    </row>
    <row r="4234" spans="1:21" x14ac:dyDescent="0.25">
      <c r="A4234" t="s">
        <v>84</v>
      </c>
      <c r="B4234" t="s">
        <v>997</v>
      </c>
      <c r="C4234">
        <v>6</v>
      </c>
      <c r="D4234" t="s">
        <v>23</v>
      </c>
      <c r="E4234" t="s">
        <v>95</v>
      </c>
      <c r="F4234" t="s">
        <v>111</v>
      </c>
      <c r="G4234" t="s">
        <v>103</v>
      </c>
      <c r="H4234" t="s">
        <v>808</v>
      </c>
      <c r="J4234">
        <v>0</v>
      </c>
      <c r="K4234">
        <v>1</v>
      </c>
      <c r="L4234">
        <v>94.97142857</v>
      </c>
      <c r="M4234">
        <v>24.31591813</v>
      </c>
      <c r="N4234">
        <v>0.122951111</v>
      </c>
      <c r="O4234">
        <v>0.39050790000000002</v>
      </c>
      <c r="P4234">
        <v>102.79166669999999</v>
      </c>
      <c r="Q4234">
        <v>27.057373470000002</v>
      </c>
      <c r="R4234">
        <v>6.3567849939999999</v>
      </c>
      <c r="S4234" t="s">
        <v>114</v>
      </c>
      <c r="T4234" t="s">
        <v>1019</v>
      </c>
      <c r="U4234">
        <v>6.233833883</v>
      </c>
    </row>
    <row r="4235" spans="1:21" x14ac:dyDescent="0.25">
      <c r="A4235" t="s">
        <v>84</v>
      </c>
      <c r="B4235" t="s">
        <v>998</v>
      </c>
      <c r="C4235">
        <v>6</v>
      </c>
      <c r="D4235" t="s">
        <v>23</v>
      </c>
      <c r="E4235" t="s">
        <v>95</v>
      </c>
      <c r="F4235" t="s">
        <v>112</v>
      </c>
      <c r="G4235" t="s">
        <v>103</v>
      </c>
      <c r="H4235" t="s">
        <v>236</v>
      </c>
      <c r="J4235">
        <v>0</v>
      </c>
      <c r="K4235">
        <v>1</v>
      </c>
      <c r="L4235">
        <v>65.09375</v>
      </c>
      <c r="M4235">
        <v>37.895352600000002</v>
      </c>
      <c r="N4235">
        <v>2.2882677779999998</v>
      </c>
      <c r="O4235">
        <v>2.2111774</v>
      </c>
      <c r="P4235">
        <v>113.33333330000001</v>
      </c>
      <c r="Q4235">
        <v>26.41632581</v>
      </c>
      <c r="R4235">
        <v>1.6844570160000001</v>
      </c>
      <c r="S4235">
        <v>8.9285710000000004E-2</v>
      </c>
      <c r="T4235" t="s">
        <v>1019</v>
      </c>
      <c r="U4235">
        <v>0.60381076199999995</v>
      </c>
    </row>
    <row r="4236" spans="1:21" x14ac:dyDescent="0.25">
      <c r="A4236" t="s">
        <v>84</v>
      </c>
      <c r="B4236" t="s">
        <v>998</v>
      </c>
      <c r="C4236">
        <v>6</v>
      </c>
      <c r="D4236" t="s">
        <v>23</v>
      </c>
      <c r="E4236" t="s">
        <v>95</v>
      </c>
      <c r="F4236" t="s">
        <v>112</v>
      </c>
      <c r="G4236" t="s">
        <v>103</v>
      </c>
      <c r="H4236" t="s">
        <v>103</v>
      </c>
      <c r="J4236">
        <v>0</v>
      </c>
      <c r="K4236">
        <v>2</v>
      </c>
      <c r="L4236">
        <v>65.09375</v>
      </c>
      <c r="M4236">
        <v>37.895352600000002</v>
      </c>
      <c r="N4236">
        <v>2.2882677779999998</v>
      </c>
      <c r="O4236">
        <v>2.2111774</v>
      </c>
      <c r="P4236">
        <v>98.291666669999998</v>
      </c>
      <c r="Q4236">
        <v>30.315130790000001</v>
      </c>
      <c r="R4236">
        <v>5.0803484000000003E-2</v>
      </c>
      <c r="S4236">
        <v>0.42866070000000001</v>
      </c>
      <c r="T4236" t="s">
        <v>1019</v>
      </c>
      <c r="U4236">
        <v>2.237464294</v>
      </c>
    </row>
    <row r="4237" spans="1:21" x14ac:dyDescent="0.25">
      <c r="A4237" t="s">
        <v>84</v>
      </c>
      <c r="B4237" t="s">
        <v>998</v>
      </c>
      <c r="C4237">
        <v>6</v>
      </c>
      <c r="D4237" t="s">
        <v>23</v>
      </c>
      <c r="E4237" t="s">
        <v>95</v>
      </c>
      <c r="F4237" t="s">
        <v>112</v>
      </c>
      <c r="G4237" t="s">
        <v>103</v>
      </c>
      <c r="H4237" t="s">
        <v>103</v>
      </c>
      <c r="J4237">
        <v>0</v>
      </c>
      <c r="K4237">
        <v>2</v>
      </c>
      <c r="L4237">
        <v>65.09375</v>
      </c>
      <c r="M4237">
        <v>37.895352600000002</v>
      </c>
      <c r="N4237">
        <v>2.2882677779999998</v>
      </c>
      <c r="O4237">
        <v>2.2111774</v>
      </c>
      <c r="P4237">
        <v>98.291666669999998</v>
      </c>
      <c r="Q4237">
        <v>30.315130790000001</v>
      </c>
      <c r="R4237">
        <v>5.0803484000000003E-2</v>
      </c>
      <c r="S4237">
        <v>0.42866070000000001</v>
      </c>
      <c r="T4237" t="s">
        <v>1019</v>
      </c>
      <c r="U4237">
        <v>2.237464294</v>
      </c>
    </row>
    <row r="4238" spans="1:21" x14ac:dyDescent="0.25">
      <c r="A4238" t="s">
        <v>84</v>
      </c>
      <c r="B4238" t="s">
        <v>998</v>
      </c>
      <c r="C4238">
        <v>6</v>
      </c>
      <c r="D4238" t="s">
        <v>23</v>
      </c>
      <c r="E4238" t="s">
        <v>95</v>
      </c>
      <c r="F4238" t="s">
        <v>112</v>
      </c>
      <c r="G4238" t="s">
        <v>103</v>
      </c>
      <c r="H4238" t="s">
        <v>808</v>
      </c>
      <c r="J4238">
        <v>0</v>
      </c>
      <c r="K4238">
        <v>1</v>
      </c>
      <c r="L4238">
        <v>65.09375</v>
      </c>
      <c r="M4238">
        <v>37.895352600000002</v>
      </c>
      <c r="N4238">
        <v>2.2882677779999998</v>
      </c>
      <c r="O4238">
        <v>2.2111774</v>
      </c>
      <c r="P4238">
        <v>102.79166669999999</v>
      </c>
      <c r="Q4238">
        <v>27.057373470000002</v>
      </c>
      <c r="R4238">
        <v>6.3567849939999999</v>
      </c>
      <c r="S4238" t="s">
        <v>114</v>
      </c>
      <c r="T4238" t="s">
        <v>1019</v>
      </c>
      <c r="U4238">
        <v>4.068517216</v>
      </c>
    </row>
    <row r="4239" spans="1:21" x14ac:dyDescent="0.25">
      <c r="A4239" t="s">
        <v>84</v>
      </c>
      <c r="B4239" t="s">
        <v>998</v>
      </c>
      <c r="C4239">
        <v>6</v>
      </c>
      <c r="D4239" t="s">
        <v>23</v>
      </c>
      <c r="E4239" t="s">
        <v>95</v>
      </c>
      <c r="F4239" t="s">
        <v>112</v>
      </c>
      <c r="G4239" t="s">
        <v>103</v>
      </c>
      <c r="H4239" t="s">
        <v>239</v>
      </c>
      <c r="J4239">
        <v>0</v>
      </c>
      <c r="K4239">
        <v>2</v>
      </c>
      <c r="L4239">
        <v>65.09375</v>
      </c>
      <c r="M4239">
        <v>37.895352600000002</v>
      </c>
      <c r="N4239">
        <v>2.2882677779999998</v>
      </c>
      <c r="O4239">
        <v>2.2111774</v>
      </c>
      <c r="P4239">
        <v>100.45454549999999</v>
      </c>
      <c r="Q4239">
        <v>26.754810689999999</v>
      </c>
      <c r="R4239">
        <v>0.75829999999999997</v>
      </c>
      <c r="S4239">
        <v>0.40907861000000001</v>
      </c>
      <c r="T4239" t="s">
        <v>1019</v>
      </c>
      <c r="U4239">
        <v>1.5299677780000001</v>
      </c>
    </row>
    <row r="4240" spans="1:21" x14ac:dyDescent="0.25">
      <c r="A4240" t="s">
        <v>84</v>
      </c>
      <c r="B4240" t="s">
        <v>998</v>
      </c>
      <c r="C4240">
        <v>6</v>
      </c>
      <c r="D4240" t="s">
        <v>23</v>
      </c>
      <c r="E4240" t="s">
        <v>95</v>
      </c>
      <c r="F4240" t="s">
        <v>112</v>
      </c>
      <c r="G4240" t="s">
        <v>103</v>
      </c>
      <c r="H4240" t="s">
        <v>239</v>
      </c>
      <c r="J4240">
        <v>0</v>
      </c>
      <c r="K4240">
        <v>2</v>
      </c>
      <c r="L4240">
        <v>65.09375</v>
      </c>
      <c r="M4240">
        <v>37.895352600000002</v>
      </c>
      <c r="N4240">
        <v>2.2882677779999998</v>
      </c>
      <c r="O4240">
        <v>2.2111774</v>
      </c>
      <c r="P4240">
        <v>100.45454549999999</v>
      </c>
      <c r="Q4240">
        <v>26.754810689999999</v>
      </c>
      <c r="R4240">
        <v>0.75829999999999997</v>
      </c>
      <c r="S4240">
        <v>0.40907861000000001</v>
      </c>
      <c r="T4240" t="s">
        <v>1019</v>
      </c>
      <c r="U4240">
        <v>1.5299677780000001</v>
      </c>
    </row>
    <row r="4241" spans="1:21" x14ac:dyDescent="0.25">
      <c r="A4241" t="s">
        <v>85</v>
      </c>
      <c r="B4241" t="s">
        <v>999</v>
      </c>
      <c r="C4241">
        <v>6</v>
      </c>
      <c r="D4241" t="s">
        <v>25</v>
      </c>
      <c r="E4241" t="s">
        <v>94</v>
      </c>
      <c r="F4241" t="s">
        <v>105</v>
      </c>
      <c r="G4241" t="s">
        <v>103</v>
      </c>
      <c r="H4241" t="s">
        <v>810</v>
      </c>
      <c r="J4241">
        <v>0</v>
      </c>
      <c r="K4241">
        <v>1</v>
      </c>
      <c r="L4241">
        <v>67.5</v>
      </c>
      <c r="M4241">
        <v>47.937235809999997</v>
      </c>
      <c r="N4241">
        <v>0.41599678000000001</v>
      </c>
      <c r="O4241">
        <v>2.0950346999999998</v>
      </c>
      <c r="P4241">
        <v>77.055555560000002</v>
      </c>
      <c r="Q4241">
        <v>18.389110710000001</v>
      </c>
      <c r="R4241">
        <v>1.5559800079999999</v>
      </c>
      <c r="S4241" t="s">
        <v>114</v>
      </c>
      <c r="T4241" t="s">
        <v>1019</v>
      </c>
      <c r="U4241">
        <v>1.139983228</v>
      </c>
    </row>
    <row r="4242" spans="1:21" x14ac:dyDescent="0.25">
      <c r="A4242" t="s">
        <v>85</v>
      </c>
      <c r="B4242" t="s">
        <v>999</v>
      </c>
      <c r="C4242">
        <v>6</v>
      </c>
      <c r="D4242" t="s">
        <v>25</v>
      </c>
      <c r="E4242" t="s">
        <v>94</v>
      </c>
      <c r="F4242" t="s">
        <v>105</v>
      </c>
      <c r="G4242" t="s">
        <v>103</v>
      </c>
      <c r="H4242" t="s">
        <v>104</v>
      </c>
      <c r="J4242">
        <v>0</v>
      </c>
      <c r="K4242">
        <v>1</v>
      </c>
      <c r="L4242">
        <v>67.5</v>
      </c>
      <c r="M4242">
        <v>47.937235809999997</v>
      </c>
      <c r="N4242">
        <v>0.41599678000000001</v>
      </c>
      <c r="O4242">
        <v>2.0950346999999998</v>
      </c>
      <c r="P4242">
        <v>113.9375</v>
      </c>
      <c r="Q4242">
        <v>33.375507550000002</v>
      </c>
      <c r="R4242">
        <v>2.4262999999999999</v>
      </c>
      <c r="S4242">
        <v>0.40692159999999999</v>
      </c>
      <c r="T4242" t="s">
        <v>1019</v>
      </c>
      <c r="U4242">
        <v>2.0103032199999999</v>
      </c>
    </row>
    <row r="4243" spans="1:21" x14ac:dyDescent="0.25">
      <c r="A4243" t="s">
        <v>85</v>
      </c>
      <c r="B4243" t="s">
        <v>999</v>
      </c>
      <c r="C4243">
        <v>6</v>
      </c>
      <c r="D4243" t="s">
        <v>25</v>
      </c>
      <c r="E4243" t="s">
        <v>94</v>
      </c>
      <c r="F4243" t="s">
        <v>105</v>
      </c>
      <c r="G4243" t="s">
        <v>103</v>
      </c>
      <c r="H4243" t="s">
        <v>110</v>
      </c>
      <c r="J4243">
        <v>0</v>
      </c>
      <c r="K4243">
        <v>1</v>
      </c>
      <c r="L4243">
        <v>67.5</v>
      </c>
      <c r="M4243">
        <v>47.937235809999997</v>
      </c>
      <c r="N4243">
        <v>0.41599678000000001</v>
      </c>
      <c r="O4243">
        <v>2.0950346999999998</v>
      </c>
      <c r="P4243">
        <v>73.260869569999997</v>
      </c>
      <c r="Q4243">
        <v>34.453830549999999</v>
      </c>
      <c r="R4243">
        <v>1.058333333</v>
      </c>
      <c r="S4243">
        <v>0.90897070000000002</v>
      </c>
      <c r="T4243" t="s">
        <v>1019</v>
      </c>
      <c r="U4243">
        <v>0.64233655300000003</v>
      </c>
    </row>
    <row r="4244" spans="1:21" x14ac:dyDescent="0.25">
      <c r="A4244" t="s">
        <v>85</v>
      </c>
      <c r="B4244" t="s">
        <v>999</v>
      </c>
      <c r="C4244">
        <v>6</v>
      </c>
      <c r="D4244" t="s">
        <v>25</v>
      </c>
      <c r="E4244" t="s">
        <v>94</v>
      </c>
      <c r="F4244" t="s">
        <v>105</v>
      </c>
      <c r="G4244" t="s">
        <v>103</v>
      </c>
      <c r="H4244" t="s">
        <v>103</v>
      </c>
      <c r="J4244">
        <v>0</v>
      </c>
      <c r="K4244">
        <v>4</v>
      </c>
      <c r="L4244">
        <v>67.5</v>
      </c>
      <c r="M4244">
        <v>47.937235809999997</v>
      </c>
      <c r="N4244">
        <v>0.41599678000000001</v>
      </c>
      <c r="O4244">
        <v>2.0950346999999998</v>
      </c>
      <c r="P4244">
        <v>98.291666669999998</v>
      </c>
      <c r="Q4244">
        <v>30.315130790000001</v>
      </c>
      <c r="R4244">
        <v>5.0803484000000003E-2</v>
      </c>
      <c r="S4244">
        <v>0.42866070000000001</v>
      </c>
      <c r="T4244" t="s">
        <v>1019</v>
      </c>
      <c r="U4244">
        <v>0.365193296</v>
      </c>
    </row>
    <row r="4245" spans="1:21" x14ac:dyDescent="0.25">
      <c r="A4245" t="s">
        <v>85</v>
      </c>
      <c r="B4245" t="s">
        <v>999</v>
      </c>
      <c r="C4245">
        <v>6</v>
      </c>
      <c r="D4245" t="s">
        <v>25</v>
      </c>
      <c r="E4245" t="s">
        <v>94</v>
      </c>
      <c r="F4245" t="s">
        <v>105</v>
      </c>
      <c r="G4245" t="s">
        <v>103</v>
      </c>
      <c r="H4245" t="s">
        <v>103</v>
      </c>
      <c r="J4245">
        <v>0</v>
      </c>
      <c r="K4245">
        <v>4</v>
      </c>
      <c r="L4245">
        <v>67.5</v>
      </c>
      <c r="M4245">
        <v>47.937235809999997</v>
      </c>
      <c r="N4245">
        <v>0.41599678000000001</v>
      </c>
      <c r="O4245">
        <v>2.0950346999999998</v>
      </c>
      <c r="P4245">
        <v>98.291666669999998</v>
      </c>
      <c r="Q4245">
        <v>30.315130790000001</v>
      </c>
      <c r="R4245">
        <v>5.0803484000000003E-2</v>
      </c>
      <c r="S4245">
        <v>0.42866070000000001</v>
      </c>
      <c r="T4245" t="s">
        <v>1019</v>
      </c>
      <c r="U4245">
        <v>0.365193296</v>
      </c>
    </row>
    <row r="4246" spans="1:21" x14ac:dyDescent="0.25">
      <c r="A4246" t="s">
        <v>85</v>
      </c>
      <c r="B4246" t="s">
        <v>999</v>
      </c>
      <c r="C4246">
        <v>6</v>
      </c>
      <c r="D4246" t="s">
        <v>25</v>
      </c>
      <c r="E4246" t="s">
        <v>94</v>
      </c>
      <c r="F4246" t="s">
        <v>105</v>
      </c>
      <c r="G4246" t="s">
        <v>103</v>
      </c>
      <c r="H4246" t="s">
        <v>103</v>
      </c>
      <c r="J4246">
        <v>0</v>
      </c>
      <c r="K4246">
        <v>4</v>
      </c>
      <c r="L4246">
        <v>67.5</v>
      </c>
      <c r="M4246">
        <v>47.937235809999997</v>
      </c>
      <c r="N4246">
        <v>0.41599678000000001</v>
      </c>
      <c r="O4246">
        <v>2.0950346999999998</v>
      </c>
      <c r="P4246">
        <v>98.291666669999998</v>
      </c>
      <c r="Q4246">
        <v>30.315130790000001</v>
      </c>
      <c r="R4246">
        <v>5.0803484000000003E-2</v>
      </c>
      <c r="S4246">
        <v>0.42866070000000001</v>
      </c>
      <c r="T4246" t="s">
        <v>1019</v>
      </c>
      <c r="U4246">
        <v>0.365193296</v>
      </c>
    </row>
    <row r="4247" spans="1:21" x14ac:dyDescent="0.25">
      <c r="A4247" t="s">
        <v>85</v>
      </c>
      <c r="B4247" t="s">
        <v>999</v>
      </c>
      <c r="C4247">
        <v>6</v>
      </c>
      <c r="D4247" t="s">
        <v>25</v>
      </c>
      <c r="E4247" t="s">
        <v>94</v>
      </c>
      <c r="F4247" t="s">
        <v>105</v>
      </c>
      <c r="G4247" t="s">
        <v>103</v>
      </c>
      <c r="H4247" t="s">
        <v>103</v>
      </c>
      <c r="J4247">
        <v>0</v>
      </c>
      <c r="K4247">
        <v>4</v>
      </c>
      <c r="L4247">
        <v>67.5</v>
      </c>
      <c r="M4247">
        <v>47.937235809999997</v>
      </c>
      <c r="N4247">
        <v>0.41599678000000001</v>
      </c>
      <c r="O4247">
        <v>2.0950346999999998</v>
      </c>
      <c r="P4247">
        <v>98.291666669999998</v>
      </c>
      <c r="Q4247">
        <v>30.315130790000001</v>
      </c>
      <c r="R4247">
        <v>5.0803484000000003E-2</v>
      </c>
      <c r="S4247">
        <v>0.42866070000000001</v>
      </c>
      <c r="T4247" t="s">
        <v>1019</v>
      </c>
      <c r="U4247">
        <v>0.365193296</v>
      </c>
    </row>
    <row r="4248" spans="1:21" x14ac:dyDescent="0.25">
      <c r="A4248" t="s">
        <v>85</v>
      </c>
      <c r="B4248" t="s">
        <v>1000</v>
      </c>
      <c r="C4248">
        <v>6</v>
      </c>
      <c r="D4248" t="s">
        <v>25</v>
      </c>
      <c r="E4248" t="s">
        <v>94</v>
      </c>
      <c r="F4248" t="s">
        <v>110</v>
      </c>
      <c r="G4248" t="s">
        <v>103</v>
      </c>
      <c r="H4248" t="s">
        <v>103</v>
      </c>
      <c r="J4248">
        <v>0</v>
      </c>
      <c r="K4248">
        <v>9</v>
      </c>
      <c r="L4248">
        <v>73.260869569999997</v>
      </c>
      <c r="M4248">
        <v>34.453830549999999</v>
      </c>
      <c r="N4248">
        <v>1.058333333</v>
      </c>
      <c r="O4248">
        <v>0.90897070000000002</v>
      </c>
      <c r="P4248">
        <v>98.291666669999998</v>
      </c>
      <c r="Q4248">
        <v>30.315130790000001</v>
      </c>
      <c r="R4248">
        <v>5.0803484000000003E-2</v>
      </c>
      <c r="S4248">
        <v>0.42866070000000001</v>
      </c>
      <c r="T4248" t="s">
        <v>1019</v>
      </c>
      <c r="U4248">
        <v>1.007529849</v>
      </c>
    </row>
    <row r="4249" spans="1:21" x14ac:dyDescent="0.25">
      <c r="A4249" t="s">
        <v>85</v>
      </c>
      <c r="B4249" t="s">
        <v>1000</v>
      </c>
      <c r="C4249">
        <v>6</v>
      </c>
      <c r="D4249" t="s">
        <v>25</v>
      </c>
      <c r="E4249" t="s">
        <v>94</v>
      </c>
      <c r="F4249" t="s">
        <v>110</v>
      </c>
      <c r="G4249" t="s">
        <v>103</v>
      </c>
      <c r="H4249" t="s">
        <v>103</v>
      </c>
      <c r="J4249">
        <v>0</v>
      </c>
      <c r="K4249">
        <v>9</v>
      </c>
      <c r="L4249">
        <v>73.260869569999997</v>
      </c>
      <c r="M4249">
        <v>34.453830549999999</v>
      </c>
      <c r="N4249">
        <v>1.058333333</v>
      </c>
      <c r="O4249">
        <v>0.90897070000000002</v>
      </c>
      <c r="P4249">
        <v>98.291666669999998</v>
      </c>
      <c r="Q4249">
        <v>30.315130790000001</v>
      </c>
      <c r="R4249">
        <v>5.0803484000000003E-2</v>
      </c>
      <c r="S4249">
        <v>0.42866070000000001</v>
      </c>
      <c r="T4249" t="s">
        <v>1019</v>
      </c>
      <c r="U4249">
        <v>1.007529849</v>
      </c>
    </row>
    <row r="4250" spans="1:21" x14ac:dyDescent="0.25">
      <c r="A4250" t="s">
        <v>85</v>
      </c>
      <c r="B4250" t="s">
        <v>1000</v>
      </c>
      <c r="C4250">
        <v>6</v>
      </c>
      <c r="D4250" t="s">
        <v>25</v>
      </c>
      <c r="E4250" t="s">
        <v>94</v>
      </c>
      <c r="F4250" t="s">
        <v>110</v>
      </c>
      <c r="G4250" t="s">
        <v>103</v>
      </c>
      <c r="H4250" t="s">
        <v>103</v>
      </c>
      <c r="J4250">
        <v>0</v>
      </c>
      <c r="K4250">
        <v>9</v>
      </c>
      <c r="L4250">
        <v>73.260869569999997</v>
      </c>
      <c r="M4250">
        <v>34.453830549999999</v>
      </c>
      <c r="N4250">
        <v>1.058333333</v>
      </c>
      <c r="O4250">
        <v>0.90897070000000002</v>
      </c>
      <c r="P4250">
        <v>98.291666669999998</v>
      </c>
      <c r="Q4250">
        <v>30.315130790000001</v>
      </c>
      <c r="R4250">
        <v>5.0803484000000003E-2</v>
      </c>
      <c r="S4250">
        <v>0.42866070000000001</v>
      </c>
      <c r="T4250" t="s">
        <v>1019</v>
      </c>
      <c r="U4250">
        <v>1.007529849</v>
      </c>
    </row>
    <row r="4251" spans="1:21" x14ac:dyDescent="0.25">
      <c r="A4251" t="s">
        <v>85</v>
      </c>
      <c r="B4251" t="s">
        <v>1000</v>
      </c>
      <c r="C4251">
        <v>6</v>
      </c>
      <c r="D4251" t="s">
        <v>25</v>
      </c>
      <c r="E4251" t="s">
        <v>94</v>
      </c>
      <c r="F4251" t="s">
        <v>110</v>
      </c>
      <c r="G4251" t="s">
        <v>103</v>
      </c>
      <c r="H4251" t="s">
        <v>103</v>
      </c>
      <c r="J4251">
        <v>0</v>
      </c>
      <c r="K4251">
        <v>9</v>
      </c>
      <c r="L4251">
        <v>73.260869569999997</v>
      </c>
      <c r="M4251">
        <v>34.453830549999999</v>
      </c>
      <c r="N4251">
        <v>1.058333333</v>
      </c>
      <c r="O4251">
        <v>0.90897070000000002</v>
      </c>
      <c r="P4251">
        <v>98.291666669999998</v>
      </c>
      <c r="Q4251">
        <v>30.315130790000001</v>
      </c>
      <c r="R4251">
        <v>5.0803484000000003E-2</v>
      </c>
      <c r="S4251">
        <v>0.42866070000000001</v>
      </c>
      <c r="T4251" t="s">
        <v>1019</v>
      </c>
      <c r="U4251">
        <v>1.007529849</v>
      </c>
    </row>
    <row r="4252" spans="1:21" x14ac:dyDescent="0.25">
      <c r="A4252" t="s">
        <v>85</v>
      </c>
      <c r="B4252" t="s">
        <v>1000</v>
      </c>
      <c r="C4252">
        <v>6</v>
      </c>
      <c r="D4252" t="s">
        <v>25</v>
      </c>
      <c r="E4252" t="s">
        <v>94</v>
      </c>
      <c r="F4252" t="s">
        <v>110</v>
      </c>
      <c r="G4252" t="s">
        <v>103</v>
      </c>
      <c r="H4252" t="s">
        <v>103</v>
      </c>
      <c r="J4252">
        <v>0</v>
      </c>
      <c r="K4252">
        <v>9</v>
      </c>
      <c r="L4252">
        <v>73.260869569999997</v>
      </c>
      <c r="M4252">
        <v>34.453830549999999</v>
      </c>
      <c r="N4252">
        <v>1.058333333</v>
      </c>
      <c r="O4252">
        <v>0.90897070000000002</v>
      </c>
      <c r="P4252">
        <v>98.291666669999998</v>
      </c>
      <c r="Q4252">
        <v>30.315130790000001</v>
      </c>
      <c r="R4252">
        <v>5.0803484000000003E-2</v>
      </c>
      <c r="S4252">
        <v>0.42866070000000001</v>
      </c>
      <c r="T4252" t="s">
        <v>1019</v>
      </c>
      <c r="U4252">
        <v>1.007529849</v>
      </c>
    </row>
    <row r="4253" spans="1:21" x14ac:dyDescent="0.25">
      <c r="A4253" t="s">
        <v>85</v>
      </c>
      <c r="B4253" t="s">
        <v>1000</v>
      </c>
      <c r="C4253">
        <v>6</v>
      </c>
      <c r="D4253" t="s">
        <v>25</v>
      </c>
      <c r="E4253" t="s">
        <v>94</v>
      </c>
      <c r="F4253" t="s">
        <v>110</v>
      </c>
      <c r="G4253" t="s">
        <v>103</v>
      </c>
      <c r="H4253" t="s">
        <v>103</v>
      </c>
      <c r="J4253">
        <v>0</v>
      </c>
      <c r="K4253">
        <v>9</v>
      </c>
      <c r="L4253">
        <v>73.260869569999997</v>
      </c>
      <c r="M4253">
        <v>34.453830549999999</v>
      </c>
      <c r="N4253">
        <v>1.058333333</v>
      </c>
      <c r="O4253">
        <v>0.90897070000000002</v>
      </c>
      <c r="P4253">
        <v>98.291666669999998</v>
      </c>
      <c r="Q4253">
        <v>30.315130790000001</v>
      </c>
      <c r="R4253">
        <v>5.0803484000000003E-2</v>
      </c>
      <c r="S4253">
        <v>0.42866070000000001</v>
      </c>
      <c r="T4253" t="s">
        <v>1019</v>
      </c>
      <c r="U4253">
        <v>1.007529849</v>
      </c>
    </row>
    <row r="4254" spans="1:21" x14ac:dyDescent="0.25">
      <c r="A4254" t="s">
        <v>85</v>
      </c>
      <c r="B4254" t="s">
        <v>1000</v>
      </c>
      <c r="C4254">
        <v>6</v>
      </c>
      <c r="D4254" t="s">
        <v>25</v>
      </c>
      <c r="E4254" t="s">
        <v>94</v>
      </c>
      <c r="F4254" t="s">
        <v>110</v>
      </c>
      <c r="G4254" t="s">
        <v>103</v>
      </c>
      <c r="H4254" t="s">
        <v>103</v>
      </c>
      <c r="J4254">
        <v>0</v>
      </c>
      <c r="K4254">
        <v>9</v>
      </c>
      <c r="L4254">
        <v>73.260869569999997</v>
      </c>
      <c r="M4254">
        <v>34.453830549999999</v>
      </c>
      <c r="N4254">
        <v>1.058333333</v>
      </c>
      <c r="O4254">
        <v>0.90897070000000002</v>
      </c>
      <c r="P4254">
        <v>98.291666669999998</v>
      </c>
      <c r="Q4254">
        <v>30.315130790000001</v>
      </c>
      <c r="R4254">
        <v>5.0803484000000003E-2</v>
      </c>
      <c r="S4254">
        <v>0.42866070000000001</v>
      </c>
      <c r="T4254" t="s">
        <v>1019</v>
      </c>
      <c r="U4254">
        <v>1.007529849</v>
      </c>
    </row>
    <row r="4255" spans="1:21" x14ac:dyDescent="0.25">
      <c r="A4255" t="s">
        <v>85</v>
      </c>
      <c r="B4255" t="s">
        <v>1000</v>
      </c>
      <c r="C4255">
        <v>6</v>
      </c>
      <c r="D4255" t="s">
        <v>25</v>
      </c>
      <c r="E4255" t="s">
        <v>94</v>
      </c>
      <c r="F4255" t="s">
        <v>110</v>
      </c>
      <c r="G4255" t="s">
        <v>103</v>
      </c>
      <c r="H4255" t="s">
        <v>103</v>
      </c>
      <c r="J4255">
        <v>0</v>
      </c>
      <c r="K4255">
        <v>9</v>
      </c>
      <c r="L4255">
        <v>73.260869569999997</v>
      </c>
      <c r="M4255">
        <v>34.453830549999999</v>
      </c>
      <c r="N4255">
        <v>1.058333333</v>
      </c>
      <c r="O4255">
        <v>0.90897070000000002</v>
      </c>
      <c r="P4255">
        <v>98.291666669999998</v>
      </c>
      <c r="Q4255">
        <v>30.315130790000001</v>
      </c>
      <c r="R4255">
        <v>5.0803484000000003E-2</v>
      </c>
      <c r="S4255">
        <v>0.42866070000000001</v>
      </c>
      <c r="T4255" t="s">
        <v>1019</v>
      </c>
      <c r="U4255">
        <v>1.007529849</v>
      </c>
    </row>
    <row r="4256" spans="1:21" x14ac:dyDescent="0.25">
      <c r="A4256" t="s">
        <v>85</v>
      </c>
      <c r="B4256" t="s">
        <v>1000</v>
      </c>
      <c r="C4256">
        <v>6</v>
      </c>
      <c r="D4256" t="s">
        <v>25</v>
      </c>
      <c r="E4256" t="s">
        <v>94</v>
      </c>
      <c r="F4256" t="s">
        <v>110</v>
      </c>
      <c r="G4256" t="s">
        <v>103</v>
      </c>
      <c r="H4256" t="s">
        <v>103</v>
      </c>
      <c r="J4256">
        <v>0</v>
      </c>
      <c r="K4256">
        <v>9</v>
      </c>
      <c r="L4256">
        <v>73.260869569999997</v>
      </c>
      <c r="M4256">
        <v>34.453830549999999</v>
      </c>
      <c r="N4256">
        <v>1.058333333</v>
      </c>
      <c r="O4256">
        <v>0.90897070000000002</v>
      </c>
      <c r="P4256">
        <v>98.291666669999998</v>
      </c>
      <c r="Q4256">
        <v>30.315130790000001</v>
      </c>
      <c r="R4256">
        <v>5.0803484000000003E-2</v>
      </c>
      <c r="S4256">
        <v>0.42866070000000001</v>
      </c>
      <c r="T4256" t="s">
        <v>1019</v>
      </c>
      <c r="U4256">
        <v>1.007529849</v>
      </c>
    </row>
    <row r="4257" spans="1:21" x14ac:dyDescent="0.25">
      <c r="A4257" t="s">
        <v>85</v>
      </c>
      <c r="B4257" t="s">
        <v>1000</v>
      </c>
      <c r="C4257">
        <v>6</v>
      </c>
      <c r="D4257" t="s">
        <v>25</v>
      </c>
      <c r="E4257" t="s">
        <v>94</v>
      </c>
      <c r="F4257" t="s">
        <v>110</v>
      </c>
      <c r="G4257" t="s">
        <v>103</v>
      </c>
      <c r="H4257" t="s">
        <v>248</v>
      </c>
      <c r="J4257">
        <v>0</v>
      </c>
      <c r="K4257">
        <v>4</v>
      </c>
      <c r="L4257">
        <v>73.260869569999997</v>
      </c>
      <c r="M4257">
        <v>34.453830549999999</v>
      </c>
      <c r="N4257">
        <v>1.058333333</v>
      </c>
      <c r="O4257">
        <v>0.90897070000000002</v>
      </c>
      <c r="P4257">
        <v>83.92307692</v>
      </c>
      <c r="Q4257">
        <v>44.319135699999997</v>
      </c>
      <c r="R4257">
        <v>5.9548609999999997E-3</v>
      </c>
      <c r="S4257">
        <v>0.18017928</v>
      </c>
      <c r="T4257" t="s">
        <v>1019</v>
      </c>
      <c r="U4257">
        <v>1.052378472</v>
      </c>
    </row>
    <row r="4258" spans="1:21" x14ac:dyDescent="0.25">
      <c r="A4258" t="s">
        <v>85</v>
      </c>
      <c r="B4258" t="s">
        <v>1000</v>
      </c>
      <c r="C4258">
        <v>6</v>
      </c>
      <c r="D4258" t="s">
        <v>25</v>
      </c>
      <c r="E4258" t="s">
        <v>94</v>
      </c>
      <c r="F4258" t="s">
        <v>110</v>
      </c>
      <c r="G4258" t="s">
        <v>103</v>
      </c>
      <c r="H4258" t="s">
        <v>248</v>
      </c>
      <c r="J4258">
        <v>0</v>
      </c>
      <c r="K4258">
        <v>4</v>
      </c>
      <c r="L4258">
        <v>73.260869569999997</v>
      </c>
      <c r="M4258">
        <v>34.453830549999999</v>
      </c>
      <c r="N4258">
        <v>1.058333333</v>
      </c>
      <c r="O4258">
        <v>0.90897070000000002</v>
      </c>
      <c r="P4258">
        <v>83.92307692</v>
      </c>
      <c r="Q4258">
        <v>44.319135699999997</v>
      </c>
      <c r="R4258">
        <v>5.9548609999999997E-3</v>
      </c>
      <c r="S4258">
        <v>0.18017928</v>
      </c>
      <c r="T4258" t="s">
        <v>1019</v>
      </c>
      <c r="U4258">
        <v>1.052378472</v>
      </c>
    </row>
    <row r="4259" spans="1:21" x14ac:dyDescent="0.25">
      <c r="A4259" t="s">
        <v>85</v>
      </c>
      <c r="B4259" t="s">
        <v>1000</v>
      </c>
      <c r="C4259">
        <v>6</v>
      </c>
      <c r="D4259" t="s">
        <v>25</v>
      </c>
      <c r="E4259" t="s">
        <v>94</v>
      </c>
      <c r="F4259" t="s">
        <v>110</v>
      </c>
      <c r="G4259" t="s">
        <v>103</v>
      </c>
      <c r="H4259" t="s">
        <v>248</v>
      </c>
      <c r="J4259">
        <v>0</v>
      </c>
      <c r="K4259">
        <v>4</v>
      </c>
      <c r="L4259">
        <v>73.260869569999997</v>
      </c>
      <c r="M4259">
        <v>34.453830549999999</v>
      </c>
      <c r="N4259">
        <v>1.058333333</v>
      </c>
      <c r="O4259">
        <v>0.90897070000000002</v>
      </c>
      <c r="P4259">
        <v>83.92307692</v>
      </c>
      <c r="Q4259">
        <v>44.319135699999997</v>
      </c>
      <c r="R4259">
        <v>5.9548609999999997E-3</v>
      </c>
      <c r="S4259">
        <v>0.18017928</v>
      </c>
      <c r="T4259" t="s">
        <v>1019</v>
      </c>
      <c r="U4259">
        <v>1.052378472</v>
      </c>
    </row>
    <row r="4260" spans="1:21" x14ac:dyDescent="0.25">
      <c r="A4260" t="s">
        <v>85</v>
      </c>
      <c r="B4260" t="s">
        <v>1000</v>
      </c>
      <c r="C4260">
        <v>6</v>
      </c>
      <c r="D4260" t="s">
        <v>25</v>
      </c>
      <c r="E4260" t="s">
        <v>94</v>
      </c>
      <c r="F4260" t="s">
        <v>110</v>
      </c>
      <c r="G4260" t="s">
        <v>103</v>
      </c>
      <c r="H4260" t="s">
        <v>248</v>
      </c>
      <c r="J4260">
        <v>0</v>
      </c>
      <c r="K4260">
        <v>4</v>
      </c>
      <c r="L4260">
        <v>73.260869569999997</v>
      </c>
      <c r="M4260">
        <v>34.453830549999999</v>
      </c>
      <c r="N4260">
        <v>1.058333333</v>
      </c>
      <c r="O4260">
        <v>0.90897070000000002</v>
      </c>
      <c r="P4260">
        <v>83.92307692</v>
      </c>
      <c r="Q4260">
        <v>44.319135699999997</v>
      </c>
      <c r="R4260">
        <v>5.9548609999999997E-3</v>
      </c>
      <c r="S4260">
        <v>0.18017928</v>
      </c>
      <c r="T4260" t="s">
        <v>1019</v>
      </c>
      <c r="U4260">
        <v>1.052378472</v>
      </c>
    </row>
    <row r="4261" spans="1:21" x14ac:dyDescent="0.25">
      <c r="A4261" t="s">
        <v>85</v>
      </c>
      <c r="B4261" t="s">
        <v>1000</v>
      </c>
      <c r="C4261">
        <v>6</v>
      </c>
      <c r="D4261" t="s">
        <v>25</v>
      </c>
      <c r="E4261" t="s">
        <v>94</v>
      </c>
      <c r="F4261" t="s">
        <v>110</v>
      </c>
      <c r="G4261" t="s">
        <v>103</v>
      </c>
      <c r="H4261" t="s">
        <v>233</v>
      </c>
      <c r="J4261">
        <v>0</v>
      </c>
      <c r="K4261">
        <v>3</v>
      </c>
      <c r="L4261">
        <v>73.260869569999997</v>
      </c>
      <c r="M4261">
        <v>34.453830549999999</v>
      </c>
      <c r="N4261">
        <v>1.058333333</v>
      </c>
      <c r="O4261">
        <v>0.90897070000000002</v>
      </c>
      <c r="P4261">
        <v>106.0540541</v>
      </c>
      <c r="Q4261">
        <v>52.690533369999997</v>
      </c>
      <c r="R4261">
        <v>7.6058968000000005E-2</v>
      </c>
      <c r="S4261">
        <v>0.44888888999999998</v>
      </c>
      <c r="T4261" t="s">
        <v>1019</v>
      </c>
      <c r="U4261">
        <v>0.98227436499999998</v>
      </c>
    </row>
    <row r="4262" spans="1:21" x14ac:dyDescent="0.25">
      <c r="A4262" t="s">
        <v>85</v>
      </c>
      <c r="B4262" t="s">
        <v>1000</v>
      </c>
      <c r="C4262">
        <v>6</v>
      </c>
      <c r="D4262" t="s">
        <v>25</v>
      </c>
      <c r="E4262" t="s">
        <v>94</v>
      </c>
      <c r="F4262" t="s">
        <v>110</v>
      </c>
      <c r="G4262" t="s">
        <v>103</v>
      </c>
      <c r="H4262" t="s">
        <v>233</v>
      </c>
      <c r="J4262">
        <v>0</v>
      </c>
      <c r="K4262">
        <v>3</v>
      </c>
      <c r="L4262">
        <v>73.260869569999997</v>
      </c>
      <c r="M4262">
        <v>34.453830549999999</v>
      </c>
      <c r="N4262">
        <v>1.058333333</v>
      </c>
      <c r="O4262">
        <v>0.90897070000000002</v>
      </c>
      <c r="P4262">
        <v>106.0540541</v>
      </c>
      <c r="Q4262">
        <v>52.690533369999997</v>
      </c>
      <c r="R4262">
        <v>7.6058968000000005E-2</v>
      </c>
      <c r="S4262">
        <v>0.44888888999999998</v>
      </c>
      <c r="T4262" t="s">
        <v>1019</v>
      </c>
      <c r="U4262">
        <v>0.98227436499999998</v>
      </c>
    </row>
    <row r="4263" spans="1:21" x14ac:dyDescent="0.25">
      <c r="A4263" t="s">
        <v>85</v>
      </c>
      <c r="B4263" t="s">
        <v>1000</v>
      </c>
      <c r="C4263">
        <v>6</v>
      </c>
      <c r="D4263" t="s">
        <v>25</v>
      </c>
      <c r="E4263" t="s">
        <v>94</v>
      </c>
      <c r="F4263" t="s">
        <v>110</v>
      </c>
      <c r="G4263" t="s">
        <v>103</v>
      </c>
      <c r="H4263" t="s">
        <v>233</v>
      </c>
      <c r="J4263">
        <v>0</v>
      </c>
      <c r="K4263">
        <v>3</v>
      </c>
      <c r="L4263">
        <v>73.260869569999997</v>
      </c>
      <c r="M4263">
        <v>34.453830549999999</v>
      </c>
      <c r="N4263">
        <v>1.058333333</v>
      </c>
      <c r="O4263">
        <v>0.90897070000000002</v>
      </c>
      <c r="P4263">
        <v>106.0540541</v>
      </c>
      <c r="Q4263">
        <v>52.690533369999997</v>
      </c>
      <c r="R4263">
        <v>7.6058968000000005E-2</v>
      </c>
      <c r="S4263">
        <v>0.44888888999999998</v>
      </c>
      <c r="T4263" t="s">
        <v>1019</v>
      </c>
      <c r="U4263">
        <v>0.98227436499999998</v>
      </c>
    </row>
    <row r="4264" spans="1:21" x14ac:dyDescent="0.25">
      <c r="A4264" t="s">
        <v>85</v>
      </c>
      <c r="B4264" t="s">
        <v>1000</v>
      </c>
      <c r="C4264">
        <v>6</v>
      </c>
      <c r="D4264" t="s">
        <v>25</v>
      </c>
      <c r="E4264" t="s">
        <v>94</v>
      </c>
      <c r="F4264" t="s">
        <v>110</v>
      </c>
      <c r="G4264" t="s">
        <v>103</v>
      </c>
      <c r="H4264" t="s">
        <v>110</v>
      </c>
      <c r="J4264">
        <v>0</v>
      </c>
      <c r="K4264">
        <v>1</v>
      </c>
      <c r="L4264">
        <v>73.260869569999997</v>
      </c>
      <c r="M4264">
        <v>34.453830549999999</v>
      </c>
      <c r="N4264">
        <v>1.058333333</v>
      </c>
      <c r="O4264">
        <v>0.90897070000000002</v>
      </c>
      <c r="P4264">
        <v>73.260869569999997</v>
      </c>
      <c r="Q4264">
        <v>34.453830549999999</v>
      </c>
      <c r="R4264">
        <v>1.058333333</v>
      </c>
      <c r="S4264">
        <v>0.90897070000000002</v>
      </c>
      <c r="T4264" t="s">
        <v>1019</v>
      </c>
      <c r="U4264">
        <v>0</v>
      </c>
    </row>
    <row r="4265" spans="1:21" x14ac:dyDescent="0.25">
      <c r="A4265" t="s">
        <v>86</v>
      </c>
      <c r="B4265" t="s">
        <v>1001</v>
      </c>
      <c r="C4265">
        <v>6</v>
      </c>
      <c r="D4265" t="s">
        <v>27</v>
      </c>
      <c r="E4265" t="s">
        <v>94</v>
      </c>
      <c r="F4265" t="s">
        <v>110</v>
      </c>
      <c r="G4265" t="s">
        <v>121</v>
      </c>
      <c r="H4265" t="s">
        <v>246</v>
      </c>
      <c r="J4265">
        <v>0</v>
      </c>
      <c r="K4265">
        <v>1</v>
      </c>
      <c r="L4265">
        <v>73.260869569999997</v>
      </c>
      <c r="M4265">
        <v>34.453830549999999</v>
      </c>
      <c r="N4265">
        <v>1.058333333</v>
      </c>
      <c r="O4265">
        <v>0.90897070000000002</v>
      </c>
      <c r="P4265">
        <v>120.25</v>
      </c>
      <c r="Q4265">
        <v>30.670450110000001</v>
      </c>
      <c r="R4265">
        <v>0.91037498500000003</v>
      </c>
      <c r="S4265" t="s">
        <v>114</v>
      </c>
      <c r="T4265" t="s">
        <v>1019</v>
      </c>
      <c r="U4265">
        <v>0.14795834799999999</v>
      </c>
    </row>
    <row r="4266" spans="1:21" x14ac:dyDescent="0.25">
      <c r="A4266" t="s">
        <v>86</v>
      </c>
      <c r="B4266" t="s">
        <v>1001</v>
      </c>
      <c r="C4266">
        <v>6</v>
      </c>
      <c r="D4266" t="s">
        <v>27</v>
      </c>
      <c r="E4266" t="s">
        <v>94</v>
      </c>
      <c r="F4266" t="s">
        <v>110</v>
      </c>
      <c r="G4266" t="s">
        <v>121</v>
      </c>
      <c r="H4266" t="s">
        <v>242</v>
      </c>
      <c r="J4266">
        <v>0</v>
      </c>
      <c r="K4266">
        <v>2</v>
      </c>
      <c r="L4266">
        <v>73.260869569999997</v>
      </c>
      <c r="M4266">
        <v>34.453830549999999</v>
      </c>
      <c r="N4266">
        <v>1.058333333</v>
      </c>
      <c r="O4266">
        <v>0.90897070000000002</v>
      </c>
      <c r="P4266">
        <v>139.375</v>
      </c>
      <c r="Q4266">
        <v>23.713465920000001</v>
      </c>
      <c r="R4266" t="s">
        <v>114</v>
      </c>
      <c r="S4266" t="s">
        <v>114</v>
      </c>
      <c r="T4266" t="s">
        <v>1019</v>
      </c>
      <c r="U4266" t="s">
        <v>114</v>
      </c>
    </row>
    <row r="4267" spans="1:21" x14ac:dyDescent="0.25">
      <c r="A4267" t="s">
        <v>86</v>
      </c>
      <c r="B4267" t="s">
        <v>1001</v>
      </c>
      <c r="C4267">
        <v>6</v>
      </c>
      <c r="D4267" t="s">
        <v>27</v>
      </c>
      <c r="E4267" t="s">
        <v>94</v>
      </c>
      <c r="F4267" t="s">
        <v>110</v>
      </c>
      <c r="G4267" t="s">
        <v>121</v>
      </c>
      <c r="H4267" t="s">
        <v>242</v>
      </c>
      <c r="J4267">
        <v>0</v>
      </c>
      <c r="K4267">
        <v>2</v>
      </c>
      <c r="L4267">
        <v>73.260869569999997</v>
      </c>
      <c r="M4267">
        <v>34.453830549999999</v>
      </c>
      <c r="N4267">
        <v>1.058333333</v>
      </c>
      <c r="O4267">
        <v>0.90897070000000002</v>
      </c>
      <c r="P4267">
        <v>139.375</v>
      </c>
      <c r="Q4267">
        <v>23.713465920000001</v>
      </c>
      <c r="R4267" t="s">
        <v>114</v>
      </c>
      <c r="S4267" t="s">
        <v>114</v>
      </c>
      <c r="T4267" t="s">
        <v>1019</v>
      </c>
      <c r="U4267" t="s">
        <v>114</v>
      </c>
    </row>
    <row r="4268" spans="1:21" x14ac:dyDescent="0.25">
      <c r="A4268" t="s">
        <v>86</v>
      </c>
      <c r="B4268" t="s">
        <v>1002</v>
      </c>
      <c r="C4268">
        <v>6</v>
      </c>
      <c r="D4268" t="s">
        <v>27</v>
      </c>
      <c r="E4268" t="s">
        <v>94</v>
      </c>
      <c r="F4268" t="s">
        <v>112</v>
      </c>
      <c r="G4268" t="s">
        <v>110</v>
      </c>
      <c r="H4268" t="s">
        <v>110</v>
      </c>
      <c r="J4268">
        <v>0</v>
      </c>
      <c r="K4268">
        <v>1</v>
      </c>
      <c r="L4268">
        <v>65.09375</v>
      </c>
      <c r="M4268">
        <v>37.895352600000002</v>
      </c>
      <c r="N4268">
        <v>2.2882677779999998</v>
      </c>
      <c r="O4268">
        <v>2.2111774</v>
      </c>
      <c r="P4268">
        <v>73.260869569999997</v>
      </c>
      <c r="Q4268">
        <v>34.453830549999999</v>
      </c>
      <c r="R4268">
        <v>1.058333333</v>
      </c>
      <c r="S4268">
        <v>0.90897070000000002</v>
      </c>
      <c r="T4268" t="s">
        <v>1019</v>
      </c>
      <c r="U4268">
        <v>1.229934445</v>
      </c>
    </row>
    <row r="4269" spans="1:21" x14ac:dyDescent="0.25">
      <c r="A4269" t="s">
        <v>86</v>
      </c>
      <c r="B4269" t="s">
        <v>1002</v>
      </c>
      <c r="C4269">
        <v>6</v>
      </c>
      <c r="D4269" t="s">
        <v>27</v>
      </c>
      <c r="E4269" t="s">
        <v>94</v>
      </c>
      <c r="F4269" t="s">
        <v>112</v>
      </c>
      <c r="G4269" t="s">
        <v>110</v>
      </c>
      <c r="H4269" t="s">
        <v>246</v>
      </c>
      <c r="J4269">
        <v>0</v>
      </c>
      <c r="K4269">
        <v>1</v>
      </c>
      <c r="L4269">
        <v>65.09375</v>
      </c>
      <c r="M4269">
        <v>37.895352600000002</v>
      </c>
      <c r="N4269">
        <v>2.2882677779999998</v>
      </c>
      <c r="O4269">
        <v>2.2111774</v>
      </c>
      <c r="P4269">
        <v>120.25</v>
      </c>
      <c r="Q4269">
        <v>30.670450110000001</v>
      </c>
      <c r="R4269">
        <v>0.91037498500000003</v>
      </c>
      <c r="S4269" t="s">
        <v>114</v>
      </c>
      <c r="T4269" t="s">
        <v>1019</v>
      </c>
      <c r="U4269">
        <v>1.377892793</v>
      </c>
    </row>
    <row r="4270" spans="1:21" x14ac:dyDescent="0.25">
      <c r="A4270" t="s">
        <v>87</v>
      </c>
      <c r="B4270" t="s">
        <v>1003</v>
      </c>
      <c r="C4270">
        <v>6</v>
      </c>
      <c r="D4270" t="s">
        <v>29</v>
      </c>
      <c r="E4270" t="s">
        <v>95</v>
      </c>
      <c r="F4270" t="s">
        <v>102</v>
      </c>
      <c r="G4270" t="s">
        <v>110</v>
      </c>
      <c r="H4270" t="s">
        <v>110</v>
      </c>
      <c r="J4270">
        <v>0</v>
      </c>
      <c r="K4270">
        <v>3</v>
      </c>
      <c r="L4270">
        <v>84.740740740000007</v>
      </c>
      <c r="M4270">
        <v>29.167014049999999</v>
      </c>
      <c r="N4270">
        <v>1.1169849999999999</v>
      </c>
      <c r="O4270">
        <v>1.1571499000000001</v>
      </c>
      <c r="P4270">
        <v>73.260869569999997</v>
      </c>
      <c r="Q4270">
        <v>34.453830549999999</v>
      </c>
      <c r="R4270">
        <v>1.058333333</v>
      </c>
      <c r="S4270">
        <v>0.90897070000000002</v>
      </c>
      <c r="T4270" t="s">
        <v>1019</v>
      </c>
      <c r="U4270">
        <v>5.8651666999999998E-2</v>
      </c>
    </row>
    <row r="4271" spans="1:21" x14ac:dyDescent="0.25">
      <c r="A4271" t="s">
        <v>87</v>
      </c>
      <c r="B4271" t="s">
        <v>1003</v>
      </c>
      <c r="C4271">
        <v>6</v>
      </c>
      <c r="D4271" t="s">
        <v>29</v>
      </c>
      <c r="E4271" t="s">
        <v>95</v>
      </c>
      <c r="F4271" t="s">
        <v>102</v>
      </c>
      <c r="G4271" t="s">
        <v>110</v>
      </c>
      <c r="H4271" t="s">
        <v>110</v>
      </c>
      <c r="J4271">
        <v>0</v>
      </c>
      <c r="K4271">
        <v>3</v>
      </c>
      <c r="L4271">
        <v>84.740740740000007</v>
      </c>
      <c r="M4271">
        <v>29.167014049999999</v>
      </c>
      <c r="N4271">
        <v>1.1169849999999999</v>
      </c>
      <c r="O4271">
        <v>1.1571499000000001</v>
      </c>
      <c r="P4271">
        <v>73.260869569999997</v>
      </c>
      <c r="Q4271">
        <v>34.453830549999999</v>
      </c>
      <c r="R4271">
        <v>1.058333333</v>
      </c>
      <c r="S4271">
        <v>0.90897070000000002</v>
      </c>
      <c r="T4271" t="s">
        <v>1019</v>
      </c>
      <c r="U4271">
        <v>5.8651666999999998E-2</v>
      </c>
    </row>
    <row r="4272" spans="1:21" x14ac:dyDescent="0.25">
      <c r="A4272" t="s">
        <v>87</v>
      </c>
      <c r="B4272" t="s">
        <v>1003</v>
      </c>
      <c r="C4272">
        <v>6</v>
      </c>
      <c r="D4272" t="s">
        <v>29</v>
      </c>
      <c r="E4272" t="s">
        <v>95</v>
      </c>
      <c r="F4272" t="s">
        <v>102</v>
      </c>
      <c r="G4272" t="s">
        <v>110</v>
      </c>
      <c r="H4272" t="s">
        <v>110</v>
      </c>
      <c r="J4272">
        <v>0</v>
      </c>
      <c r="K4272">
        <v>3</v>
      </c>
      <c r="L4272">
        <v>84.740740740000007</v>
      </c>
      <c r="M4272">
        <v>29.167014049999999</v>
      </c>
      <c r="N4272">
        <v>1.1169849999999999</v>
      </c>
      <c r="O4272">
        <v>1.1571499000000001</v>
      </c>
      <c r="P4272">
        <v>73.260869569999997</v>
      </c>
      <c r="Q4272">
        <v>34.453830549999999</v>
      </c>
      <c r="R4272">
        <v>1.058333333</v>
      </c>
      <c r="S4272">
        <v>0.90897070000000002</v>
      </c>
      <c r="T4272" t="s">
        <v>1019</v>
      </c>
      <c r="U4272">
        <v>5.8651666999999998E-2</v>
      </c>
    </row>
    <row r="4273" spans="1:21" x14ac:dyDescent="0.25">
      <c r="A4273" t="s">
        <v>87</v>
      </c>
      <c r="B4273" t="s">
        <v>1003</v>
      </c>
      <c r="C4273">
        <v>6</v>
      </c>
      <c r="D4273" t="s">
        <v>29</v>
      </c>
      <c r="E4273" t="s">
        <v>95</v>
      </c>
      <c r="F4273" t="s">
        <v>102</v>
      </c>
      <c r="G4273" t="s">
        <v>110</v>
      </c>
      <c r="H4273" t="s">
        <v>246</v>
      </c>
      <c r="J4273">
        <v>0</v>
      </c>
      <c r="K4273">
        <v>1</v>
      </c>
      <c r="L4273">
        <v>84.740740740000007</v>
      </c>
      <c r="M4273">
        <v>29.167014049999999</v>
      </c>
      <c r="N4273">
        <v>1.1169849999999999</v>
      </c>
      <c r="O4273">
        <v>1.1571499000000001</v>
      </c>
      <c r="P4273">
        <v>120.25</v>
      </c>
      <c r="Q4273">
        <v>30.670450110000001</v>
      </c>
      <c r="R4273">
        <v>0.91037498500000003</v>
      </c>
      <c r="S4273" t="s">
        <v>114</v>
      </c>
      <c r="T4273" t="s">
        <v>1019</v>
      </c>
      <c r="U4273">
        <v>0.20661001500000001</v>
      </c>
    </row>
    <row r="4274" spans="1:21" x14ac:dyDescent="0.25">
      <c r="A4274" t="s">
        <v>87</v>
      </c>
      <c r="B4274" t="s">
        <v>1003</v>
      </c>
      <c r="C4274">
        <v>6</v>
      </c>
      <c r="D4274" t="s">
        <v>29</v>
      </c>
      <c r="E4274" t="s">
        <v>95</v>
      </c>
      <c r="F4274" t="s">
        <v>102</v>
      </c>
      <c r="G4274" t="s">
        <v>110</v>
      </c>
      <c r="H4274" t="s">
        <v>242</v>
      </c>
      <c r="J4274">
        <v>0</v>
      </c>
      <c r="K4274">
        <v>2</v>
      </c>
      <c r="L4274">
        <v>84.740740740000007</v>
      </c>
      <c r="M4274">
        <v>29.167014049999999</v>
      </c>
      <c r="N4274">
        <v>1.1169849999999999</v>
      </c>
      <c r="O4274">
        <v>1.1571499000000001</v>
      </c>
      <c r="P4274">
        <v>139.375</v>
      </c>
      <c r="Q4274">
        <v>23.713465920000001</v>
      </c>
      <c r="R4274" t="s">
        <v>114</v>
      </c>
      <c r="S4274" t="s">
        <v>114</v>
      </c>
      <c r="T4274" t="s">
        <v>1019</v>
      </c>
      <c r="U4274" t="s">
        <v>114</v>
      </c>
    </row>
    <row r="4275" spans="1:21" x14ac:dyDescent="0.25">
      <c r="A4275" t="s">
        <v>87</v>
      </c>
      <c r="B4275" t="s">
        <v>1003</v>
      </c>
      <c r="C4275">
        <v>6</v>
      </c>
      <c r="D4275" t="s">
        <v>29</v>
      </c>
      <c r="E4275" t="s">
        <v>95</v>
      </c>
      <c r="F4275" t="s">
        <v>102</v>
      </c>
      <c r="G4275" t="s">
        <v>110</v>
      </c>
      <c r="H4275" t="s">
        <v>242</v>
      </c>
      <c r="J4275">
        <v>0</v>
      </c>
      <c r="K4275">
        <v>2</v>
      </c>
      <c r="L4275">
        <v>84.740740740000007</v>
      </c>
      <c r="M4275">
        <v>29.167014049999999</v>
      </c>
      <c r="N4275">
        <v>1.1169849999999999</v>
      </c>
      <c r="O4275">
        <v>1.1571499000000001</v>
      </c>
      <c r="P4275">
        <v>139.375</v>
      </c>
      <c r="Q4275">
        <v>23.713465920000001</v>
      </c>
      <c r="R4275" t="s">
        <v>114</v>
      </c>
      <c r="S4275" t="s">
        <v>114</v>
      </c>
      <c r="T4275" t="s">
        <v>1019</v>
      </c>
      <c r="U4275" t="s">
        <v>114</v>
      </c>
    </row>
    <row r="4276" spans="1:21" x14ac:dyDescent="0.25">
      <c r="A4276" t="s">
        <v>87</v>
      </c>
      <c r="B4276" t="s">
        <v>1004</v>
      </c>
      <c r="C4276">
        <v>6</v>
      </c>
      <c r="D4276" t="s">
        <v>29</v>
      </c>
      <c r="E4276" t="s">
        <v>95</v>
      </c>
      <c r="F4276" t="s">
        <v>110</v>
      </c>
      <c r="G4276" t="s">
        <v>110</v>
      </c>
      <c r="H4276" t="s">
        <v>110</v>
      </c>
      <c r="J4276">
        <v>0</v>
      </c>
      <c r="K4276">
        <v>1</v>
      </c>
      <c r="L4276">
        <v>73.260869569999997</v>
      </c>
      <c r="M4276">
        <v>34.453830549999999</v>
      </c>
      <c r="N4276">
        <v>1.058333333</v>
      </c>
      <c r="O4276">
        <v>0.90897070000000002</v>
      </c>
      <c r="P4276">
        <v>73.260869569999997</v>
      </c>
      <c r="Q4276">
        <v>34.453830549999999</v>
      </c>
      <c r="R4276">
        <v>1.058333333</v>
      </c>
      <c r="S4276">
        <v>0.90897070000000002</v>
      </c>
      <c r="T4276" t="s">
        <v>1019</v>
      </c>
      <c r="U4276">
        <v>0</v>
      </c>
    </row>
    <row r="4277" spans="1:21" x14ac:dyDescent="0.25">
      <c r="A4277" t="s">
        <v>88</v>
      </c>
      <c r="B4277" t="s">
        <v>1005</v>
      </c>
      <c r="C4277">
        <v>6</v>
      </c>
      <c r="D4277" t="s">
        <v>31</v>
      </c>
      <c r="E4277" t="s">
        <v>95</v>
      </c>
      <c r="F4277" t="s">
        <v>110</v>
      </c>
      <c r="G4277" t="s">
        <v>113</v>
      </c>
      <c r="H4277" t="s">
        <v>113</v>
      </c>
      <c r="J4277">
        <v>0</v>
      </c>
      <c r="K4277">
        <v>3</v>
      </c>
      <c r="L4277">
        <v>73.260869569999997</v>
      </c>
      <c r="M4277">
        <v>34.453830549999999</v>
      </c>
      <c r="N4277">
        <v>1.058333333</v>
      </c>
      <c r="O4277">
        <v>0.90897070000000002</v>
      </c>
      <c r="P4277">
        <v>83.757575759999995</v>
      </c>
      <c r="Q4277">
        <v>22.60997987</v>
      </c>
      <c r="R4277">
        <v>0.72884000000000004</v>
      </c>
      <c r="S4277">
        <v>0.21301339999999999</v>
      </c>
      <c r="T4277" t="s">
        <v>1019</v>
      </c>
      <c r="U4277">
        <v>0.329493333</v>
      </c>
    </row>
    <row r="4278" spans="1:21" x14ac:dyDescent="0.25">
      <c r="A4278" t="s">
        <v>88</v>
      </c>
      <c r="B4278" t="s">
        <v>1005</v>
      </c>
      <c r="C4278">
        <v>6</v>
      </c>
      <c r="D4278" t="s">
        <v>31</v>
      </c>
      <c r="E4278" t="s">
        <v>95</v>
      </c>
      <c r="F4278" t="s">
        <v>110</v>
      </c>
      <c r="G4278" t="s">
        <v>113</v>
      </c>
      <c r="H4278" t="s">
        <v>113</v>
      </c>
      <c r="J4278">
        <v>0</v>
      </c>
      <c r="K4278">
        <v>3</v>
      </c>
      <c r="L4278">
        <v>73.260869569999997</v>
      </c>
      <c r="M4278">
        <v>34.453830549999999</v>
      </c>
      <c r="N4278">
        <v>1.058333333</v>
      </c>
      <c r="O4278">
        <v>0.90897070000000002</v>
      </c>
      <c r="P4278">
        <v>83.757575759999995</v>
      </c>
      <c r="Q4278">
        <v>22.60997987</v>
      </c>
      <c r="R4278">
        <v>0.72884000000000004</v>
      </c>
      <c r="S4278">
        <v>0.21301339999999999</v>
      </c>
      <c r="T4278" t="s">
        <v>1019</v>
      </c>
      <c r="U4278">
        <v>0.329493333</v>
      </c>
    </row>
    <row r="4279" spans="1:21" x14ac:dyDescent="0.25">
      <c r="A4279" t="s">
        <v>88</v>
      </c>
      <c r="B4279" t="s">
        <v>1005</v>
      </c>
      <c r="C4279">
        <v>6</v>
      </c>
      <c r="D4279" t="s">
        <v>31</v>
      </c>
      <c r="E4279" t="s">
        <v>95</v>
      </c>
      <c r="F4279" t="s">
        <v>110</v>
      </c>
      <c r="G4279" t="s">
        <v>113</v>
      </c>
      <c r="H4279" t="s">
        <v>113</v>
      </c>
      <c r="J4279">
        <v>0</v>
      </c>
      <c r="K4279">
        <v>3</v>
      </c>
      <c r="L4279">
        <v>73.260869569999997</v>
      </c>
      <c r="M4279">
        <v>34.453830549999999</v>
      </c>
      <c r="N4279">
        <v>1.058333333</v>
      </c>
      <c r="O4279">
        <v>0.90897070000000002</v>
      </c>
      <c r="P4279">
        <v>83.757575759999995</v>
      </c>
      <c r="Q4279">
        <v>22.60997987</v>
      </c>
      <c r="R4279">
        <v>0.72884000000000004</v>
      </c>
      <c r="S4279">
        <v>0.21301339999999999</v>
      </c>
      <c r="T4279" t="s">
        <v>1019</v>
      </c>
      <c r="U4279">
        <v>0.329493333</v>
      </c>
    </row>
    <row r="4280" spans="1:21" x14ac:dyDescent="0.25">
      <c r="A4280" t="s">
        <v>88</v>
      </c>
      <c r="B4280" t="s">
        <v>1005</v>
      </c>
      <c r="C4280">
        <v>6</v>
      </c>
      <c r="D4280" t="s">
        <v>31</v>
      </c>
      <c r="E4280" t="s">
        <v>95</v>
      </c>
      <c r="F4280" t="s">
        <v>110</v>
      </c>
      <c r="G4280" t="s">
        <v>113</v>
      </c>
      <c r="H4280" t="s">
        <v>103</v>
      </c>
      <c r="J4280">
        <v>0</v>
      </c>
      <c r="K4280">
        <v>1</v>
      </c>
      <c r="L4280">
        <v>73.260869569999997</v>
      </c>
      <c r="M4280">
        <v>34.453830549999999</v>
      </c>
      <c r="N4280">
        <v>1.058333333</v>
      </c>
      <c r="O4280">
        <v>0.90897070000000002</v>
      </c>
      <c r="P4280">
        <v>98.291666669999998</v>
      </c>
      <c r="Q4280">
        <v>30.315130790000001</v>
      </c>
      <c r="R4280">
        <v>5.0803484000000003E-2</v>
      </c>
      <c r="S4280">
        <v>0.42866070000000001</v>
      </c>
      <c r="T4280" t="s">
        <v>1019</v>
      </c>
      <c r="U4280">
        <v>1.007529849</v>
      </c>
    </row>
    <row r="4281" spans="1:21" x14ac:dyDescent="0.25">
      <c r="A4281" t="s">
        <v>88</v>
      </c>
      <c r="B4281" t="s">
        <v>1006</v>
      </c>
      <c r="C4281">
        <v>6</v>
      </c>
      <c r="D4281" t="s">
        <v>31</v>
      </c>
      <c r="E4281" t="s">
        <v>95</v>
      </c>
      <c r="F4281" t="s">
        <v>112</v>
      </c>
      <c r="G4281" t="s">
        <v>113</v>
      </c>
      <c r="H4281" t="s">
        <v>113</v>
      </c>
      <c r="J4281">
        <v>0</v>
      </c>
      <c r="K4281">
        <v>2</v>
      </c>
      <c r="L4281">
        <v>65.09375</v>
      </c>
      <c r="M4281">
        <v>37.895352600000002</v>
      </c>
      <c r="N4281">
        <v>2.2882677779999998</v>
      </c>
      <c r="O4281">
        <v>2.2111774</v>
      </c>
      <c r="P4281">
        <v>83.757575759999995</v>
      </c>
      <c r="Q4281">
        <v>22.60997987</v>
      </c>
      <c r="R4281">
        <v>0.72884000000000004</v>
      </c>
      <c r="S4281">
        <v>0.21301339999999999</v>
      </c>
      <c r="T4281" t="s">
        <v>1019</v>
      </c>
      <c r="U4281">
        <v>1.5594277780000001</v>
      </c>
    </row>
    <row r="4282" spans="1:21" x14ac:dyDescent="0.25">
      <c r="A4282" t="s">
        <v>88</v>
      </c>
      <c r="B4282" t="s">
        <v>1006</v>
      </c>
      <c r="C4282">
        <v>6</v>
      </c>
      <c r="D4282" t="s">
        <v>31</v>
      </c>
      <c r="E4282" t="s">
        <v>95</v>
      </c>
      <c r="F4282" t="s">
        <v>112</v>
      </c>
      <c r="G4282" t="s">
        <v>113</v>
      </c>
      <c r="H4282" t="s">
        <v>113</v>
      </c>
      <c r="J4282">
        <v>0</v>
      </c>
      <c r="K4282">
        <v>2</v>
      </c>
      <c r="L4282">
        <v>65.09375</v>
      </c>
      <c r="M4282">
        <v>37.895352600000002</v>
      </c>
      <c r="N4282">
        <v>2.2882677779999998</v>
      </c>
      <c r="O4282">
        <v>2.2111774</v>
      </c>
      <c r="P4282">
        <v>83.757575759999995</v>
      </c>
      <c r="Q4282">
        <v>22.60997987</v>
      </c>
      <c r="R4282">
        <v>0.72884000000000004</v>
      </c>
      <c r="S4282">
        <v>0.21301339999999999</v>
      </c>
      <c r="T4282" t="s">
        <v>1019</v>
      </c>
      <c r="U4282">
        <v>1.5594277780000001</v>
      </c>
    </row>
    <row r="4283" spans="1:21" x14ac:dyDescent="0.25">
      <c r="A4283" t="s">
        <v>89</v>
      </c>
      <c r="B4283" t="s">
        <v>1007</v>
      </c>
      <c r="C4283">
        <v>6</v>
      </c>
      <c r="D4283" t="s">
        <v>33</v>
      </c>
      <c r="E4283" t="s">
        <v>95</v>
      </c>
      <c r="F4283" t="s">
        <v>104</v>
      </c>
      <c r="G4283" t="s">
        <v>104</v>
      </c>
      <c r="H4283" t="s">
        <v>104</v>
      </c>
      <c r="J4283">
        <v>1</v>
      </c>
      <c r="K4283">
        <v>1</v>
      </c>
      <c r="L4283">
        <v>113.9375</v>
      </c>
      <c r="M4283">
        <v>33.375507550000002</v>
      </c>
      <c r="N4283">
        <v>2.4262999999999999</v>
      </c>
      <c r="O4283">
        <v>0.40692159999999999</v>
      </c>
      <c r="P4283">
        <v>113.9375</v>
      </c>
      <c r="Q4283">
        <v>33.375507550000002</v>
      </c>
      <c r="R4283">
        <v>2.4262999999999999</v>
      </c>
      <c r="S4283">
        <v>0.40692159999999999</v>
      </c>
      <c r="T4283" t="s">
        <v>1019</v>
      </c>
      <c r="U4283">
        <v>0</v>
      </c>
    </row>
    <row r="4284" spans="1:21" x14ac:dyDescent="0.25">
      <c r="A4284" t="s">
        <v>89</v>
      </c>
      <c r="B4284" t="s">
        <v>1007</v>
      </c>
      <c r="C4284">
        <v>6</v>
      </c>
      <c r="D4284" t="s">
        <v>33</v>
      </c>
      <c r="E4284" t="s">
        <v>95</v>
      </c>
      <c r="F4284" t="s">
        <v>104</v>
      </c>
      <c r="G4284" t="s">
        <v>104</v>
      </c>
      <c r="H4284" t="s">
        <v>103</v>
      </c>
      <c r="J4284">
        <v>1</v>
      </c>
      <c r="K4284">
        <v>1</v>
      </c>
      <c r="L4284">
        <v>113.9375</v>
      </c>
      <c r="M4284">
        <v>33.375507550000002</v>
      </c>
      <c r="N4284">
        <v>2.4262999999999999</v>
      </c>
      <c r="O4284">
        <v>0.40692159999999999</v>
      </c>
      <c r="P4284">
        <v>98.291666669999998</v>
      </c>
      <c r="Q4284">
        <v>30.315130790000001</v>
      </c>
      <c r="R4284">
        <v>5.0803484000000003E-2</v>
      </c>
      <c r="S4284">
        <v>0.42866070000000001</v>
      </c>
      <c r="T4284" t="s">
        <v>1019</v>
      </c>
      <c r="U4284">
        <v>2.3754965160000001</v>
      </c>
    </row>
    <row r="4285" spans="1:21" x14ac:dyDescent="0.25">
      <c r="A4285" t="s">
        <v>89</v>
      </c>
      <c r="B4285" t="s">
        <v>1007</v>
      </c>
      <c r="C4285">
        <v>6</v>
      </c>
      <c r="D4285" t="s">
        <v>33</v>
      </c>
      <c r="E4285" t="s">
        <v>95</v>
      </c>
      <c r="F4285" t="s">
        <v>104</v>
      </c>
      <c r="G4285" t="s">
        <v>104</v>
      </c>
      <c r="H4285" t="s">
        <v>246</v>
      </c>
      <c r="J4285">
        <v>1</v>
      </c>
      <c r="K4285">
        <v>1</v>
      </c>
      <c r="L4285">
        <v>113.9375</v>
      </c>
      <c r="M4285">
        <v>33.375507550000002</v>
      </c>
      <c r="N4285">
        <v>2.4262999999999999</v>
      </c>
      <c r="O4285">
        <v>0.40692159999999999</v>
      </c>
      <c r="P4285">
        <v>120.25</v>
      </c>
      <c r="Q4285">
        <v>30.670450110000001</v>
      </c>
      <c r="R4285">
        <v>0.91037498500000003</v>
      </c>
      <c r="S4285" t="s">
        <v>114</v>
      </c>
      <c r="T4285" t="s">
        <v>1019</v>
      </c>
      <c r="U4285">
        <v>1.5159250150000001</v>
      </c>
    </row>
    <row r="4286" spans="1:21" x14ac:dyDescent="0.25">
      <c r="A4286" t="s">
        <v>89</v>
      </c>
      <c r="B4286" t="s">
        <v>1008</v>
      </c>
      <c r="C4286">
        <v>6</v>
      </c>
      <c r="D4286" t="s">
        <v>33</v>
      </c>
      <c r="E4286" t="s">
        <v>95</v>
      </c>
      <c r="F4286" t="s">
        <v>112</v>
      </c>
      <c r="G4286" t="s">
        <v>113</v>
      </c>
      <c r="H4286" t="s">
        <v>113</v>
      </c>
      <c r="I4286" t="s">
        <v>255</v>
      </c>
      <c r="J4286">
        <v>0</v>
      </c>
      <c r="K4286">
        <v>4</v>
      </c>
      <c r="L4286">
        <v>65.09375</v>
      </c>
      <c r="M4286">
        <v>37.895352600000002</v>
      </c>
      <c r="N4286">
        <v>2.2882677779999998</v>
      </c>
      <c r="O4286">
        <v>2.2111774</v>
      </c>
      <c r="P4286">
        <v>83.757575759999995</v>
      </c>
      <c r="Q4286">
        <v>22.60997987</v>
      </c>
      <c r="R4286">
        <v>0.72884000000000004</v>
      </c>
      <c r="S4286">
        <v>0.21301339999999999</v>
      </c>
      <c r="T4286" t="s">
        <v>1019</v>
      </c>
      <c r="U4286">
        <v>1.5594277780000001</v>
      </c>
    </row>
    <row r="4287" spans="1:21" x14ac:dyDescent="0.25">
      <c r="A4287" t="s">
        <v>89</v>
      </c>
      <c r="B4287" t="s">
        <v>1008</v>
      </c>
      <c r="C4287">
        <v>6</v>
      </c>
      <c r="D4287" t="s">
        <v>33</v>
      </c>
      <c r="E4287" t="s">
        <v>95</v>
      </c>
      <c r="F4287" t="s">
        <v>112</v>
      </c>
      <c r="G4287" t="s">
        <v>113</v>
      </c>
      <c r="H4287" t="s">
        <v>113</v>
      </c>
      <c r="I4287" t="s">
        <v>255</v>
      </c>
      <c r="J4287">
        <v>0</v>
      </c>
      <c r="K4287">
        <v>4</v>
      </c>
      <c r="L4287">
        <v>65.09375</v>
      </c>
      <c r="M4287">
        <v>37.895352600000002</v>
      </c>
      <c r="N4287">
        <v>2.2882677779999998</v>
      </c>
      <c r="O4287">
        <v>2.2111774</v>
      </c>
      <c r="P4287">
        <v>83.757575759999995</v>
      </c>
      <c r="Q4287">
        <v>22.60997987</v>
      </c>
      <c r="R4287">
        <v>0.72884000000000004</v>
      </c>
      <c r="S4287">
        <v>0.21301339999999999</v>
      </c>
      <c r="T4287" t="s">
        <v>1019</v>
      </c>
      <c r="U4287">
        <v>1.5594277780000001</v>
      </c>
    </row>
    <row r="4288" spans="1:21" x14ac:dyDescent="0.25">
      <c r="A4288" t="s">
        <v>89</v>
      </c>
      <c r="B4288" t="s">
        <v>1008</v>
      </c>
      <c r="C4288">
        <v>6</v>
      </c>
      <c r="D4288" t="s">
        <v>33</v>
      </c>
      <c r="E4288" t="s">
        <v>95</v>
      </c>
      <c r="F4288" t="s">
        <v>112</v>
      </c>
      <c r="G4288" t="s">
        <v>113</v>
      </c>
      <c r="H4288" t="s">
        <v>113</v>
      </c>
      <c r="I4288" t="s">
        <v>255</v>
      </c>
      <c r="J4288">
        <v>0</v>
      </c>
      <c r="K4288">
        <v>4</v>
      </c>
      <c r="L4288">
        <v>65.09375</v>
      </c>
      <c r="M4288">
        <v>37.895352600000002</v>
      </c>
      <c r="N4288">
        <v>2.2882677779999998</v>
      </c>
      <c r="O4288">
        <v>2.2111774</v>
      </c>
      <c r="P4288">
        <v>83.757575759999995</v>
      </c>
      <c r="Q4288">
        <v>22.60997987</v>
      </c>
      <c r="R4288">
        <v>0.72884000000000004</v>
      </c>
      <c r="S4288">
        <v>0.21301339999999999</v>
      </c>
      <c r="T4288" t="s">
        <v>1019</v>
      </c>
      <c r="U4288">
        <v>1.5594277780000001</v>
      </c>
    </row>
    <row r="4289" spans="1:21" x14ac:dyDescent="0.25">
      <c r="A4289" t="s">
        <v>89</v>
      </c>
      <c r="B4289" t="s">
        <v>1008</v>
      </c>
      <c r="C4289">
        <v>6</v>
      </c>
      <c r="D4289" t="s">
        <v>33</v>
      </c>
      <c r="E4289" t="s">
        <v>95</v>
      </c>
      <c r="F4289" t="s">
        <v>112</v>
      </c>
      <c r="G4289" t="s">
        <v>113</v>
      </c>
      <c r="H4289" t="s">
        <v>113</v>
      </c>
      <c r="I4289" t="s">
        <v>255</v>
      </c>
      <c r="J4289">
        <v>0</v>
      </c>
      <c r="K4289">
        <v>4</v>
      </c>
      <c r="L4289">
        <v>65.09375</v>
      </c>
      <c r="M4289">
        <v>37.895352600000002</v>
      </c>
      <c r="N4289">
        <v>2.2882677779999998</v>
      </c>
      <c r="O4289">
        <v>2.2111774</v>
      </c>
      <c r="P4289">
        <v>83.757575759999995</v>
      </c>
      <c r="Q4289">
        <v>22.60997987</v>
      </c>
      <c r="R4289">
        <v>0.72884000000000004</v>
      </c>
      <c r="S4289">
        <v>0.21301339999999999</v>
      </c>
      <c r="T4289" t="s">
        <v>1019</v>
      </c>
      <c r="U4289">
        <v>1.5594277780000001</v>
      </c>
    </row>
    <row r="4290" spans="1:21" x14ac:dyDescent="0.25">
      <c r="A4290" t="s">
        <v>90</v>
      </c>
      <c r="B4290" t="s">
        <v>1009</v>
      </c>
      <c r="C4290">
        <v>6</v>
      </c>
      <c r="D4290" t="s">
        <v>35</v>
      </c>
      <c r="E4290" t="s">
        <v>94</v>
      </c>
      <c r="F4290" t="s">
        <v>111</v>
      </c>
      <c r="G4290" t="s">
        <v>121</v>
      </c>
      <c r="H4290" t="s">
        <v>253</v>
      </c>
      <c r="J4290">
        <v>0</v>
      </c>
      <c r="K4290">
        <v>3</v>
      </c>
      <c r="L4290">
        <v>94.97142857</v>
      </c>
      <c r="M4290">
        <v>24.31591813</v>
      </c>
      <c r="N4290">
        <v>0.122951111</v>
      </c>
      <c r="O4290">
        <v>0.39050790000000002</v>
      </c>
      <c r="P4290">
        <v>172.08823530000001</v>
      </c>
      <c r="Q4290">
        <v>29.581605960000001</v>
      </c>
      <c r="R4290">
        <v>0.24280444400000001</v>
      </c>
      <c r="S4290" t="s">
        <v>114</v>
      </c>
      <c r="T4290" t="s">
        <v>1019</v>
      </c>
      <c r="U4290">
        <v>0.11985333300000001</v>
      </c>
    </row>
    <row r="4291" spans="1:21" x14ac:dyDescent="0.25">
      <c r="A4291" t="s">
        <v>90</v>
      </c>
      <c r="B4291" t="s">
        <v>1009</v>
      </c>
      <c r="C4291">
        <v>6</v>
      </c>
      <c r="D4291" t="s">
        <v>35</v>
      </c>
      <c r="E4291" t="s">
        <v>94</v>
      </c>
      <c r="F4291" t="s">
        <v>111</v>
      </c>
      <c r="G4291" t="s">
        <v>121</v>
      </c>
      <c r="H4291" t="s">
        <v>253</v>
      </c>
      <c r="J4291">
        <v>0</v>
      </c>
      <c r="K4291">
        <v>3</v>
      </c>
      <c r="L4291">
        <v>94.97142857</v>
      </c>
      <c r="M4291">
        <v>24.31591813</v>
      </c>
      <c r="N4291">
        <v>0.122951111</v>
      </c>
      <c r="O4291">
        <v>0.39050790000000002</v>
      </c>
      <c r="P4291">
        <v>172.08823530000001</v>
      </c>
      <c r="Q4291">
        <v>29.581605960000001</v>
      </c>
      <c r="R4291">
        <v>0.24280444400000001</v>
      </c>
      <c r="S4291" t="s">
        <v>114</v>
      </c>
      <c r="T4291" t="s">
        <v>1019</v>
      </c>
      <c r="U4291">
        <v>0.11985333300000001</v>
      </c>
    </row>
    <row r="4292" spans="1:21" x14ac:dyDescent="0.25">
      <c r="A4292" t="s">
        <v>90</v>
      </c>
      <c r="B4292" t="s">
        <v>1009</v>
      </c>
      <c r="C4292">
        <v>6</v>
      </c>
      <c r="D4292" t="s">
        <v>35</v>
      </c>
      <c r="E4292" t="s">
        <v>94</v>
      </c>
      <c r="F4292" t="s">
        <v>111</v>
      </c>
      <c r="G4292" t="s">
        <v>121</v>
      </c>
      <c r="H4292" t="s">
        <v>253</v>
      </c>
      <c r="J4292">
        <v>0</v>
      </c>
      <c r="K4292">
        <v>3</v>
      </c>
      <c r="L4292">
        <v>94.97142857</v>
      </c>
      <c r="M4292">
        <v>24.31591813</v>
      </c>
      <c r="N4292">
        <v>0.122951111</v>
      </c>
      <c r="O4292">
        <v>0.39050790000000002</v>
      </c>
      <c r="P4292">
        <v>172.08823530000001</v>
      </c>
      <c r="Q4292">
        <v>29.581605960000001</v>
      </c>
      <c r="R4292">
        <v>0.24280444400000001</v>
      </c>
      <c r="S4292" t="s">
        <v>114</v>
      </c>
      <c r="T4292" t="s">
        <v>1019</v>
      </c>
      <c r="U4292">
        <v>0.11985333300000001</v>
      </c>
    </row>
    <row r="4293" spans="1:21" x14ac:dyDescent="0.25">
      <c r="A4293" t="s">
        <v>90</v>
      </c>
      <c r="B4293" t="s">
        <v>1009</v>
      </c>
      <c r="C4293">
        <v>6</v>
      </c>
      <c r="D4293" t="s">
        <v>35</v>
      </c>
      <c r="E4293" t="s">
        <v>94</v>
      </c>
      <c r="F4293" t="s">
        <v>111</v>
      </c>
      <c r="G4293" t="s">
        <v>121</v>
      </c>
      <c r="H4293" t="s">
        <v>162</v>
      </c>
      <c r="J4293">
        <v>0</v>
      </c>
      <c r="K4293">
        <v>1</v>
      </c>
      <c r="L4293">
        <v>94.97142857</v>
      </c>
      <c r="M4293">
        <v>24.31591813</v>
      </c>
      <c r="N4293">
        <v>0.122951111</v>
      </c>
      <c r="O4293">
        <v>0.39050790000000002</v>
      </c>
      <c r="P4293">
        <v>82.53846154</v>
      </c>
      <c r="Q4293">
        <v>35.660530039999998</v>
      </c>
      <c r="R4293">
        <v>3.3754499999999998</v>
      </c>
      <c r="S4293" t="s">
        <v>114</v>
      </c>
      <c r="T4293" t="s">
        <v>1019</v>
      </c>
      <c r="U4293">
        <v>3.2524988889999999</v>
      </c>
    </row>
    <row r="4294" spans="1:21" x14ac:dyDescent="0.25">
      <c r="A4294" t="s">
        <v>90</v>
      </c>
      <c r="B4294" t="s">
        <v>1010</v>
      </c>
      <c r="C4294">
        <v>6</v>
      </c>
      <c r="D4294" t="s">
        <v>35</v>
      </c>
      <c r="E4294" t="s">
        <v>94</v>
      </c>
      <c r="F4294" t="s">
        <v>104</v>
      </c>
      <c r="G4294" t="s">
        <v>111</v>
      </c>
      <c r="H4294" t="s">
        <v>111</v>
      </c>
      <c r="J4294">
        <v>1</v>
      </c>
      <c r="K4294">
        <v>1</v>
      </c>
      <c r="L4294">
        <v>113.9375</v>
      </c>
      <c r="M4294">
        <v>33.375507550000002</v>
      </c>
      <c r="N4294">
        <v>2.4262999999999999</v>
      </c>
      <c r="O4294">
        <v>0.40692159999999999</v>
      </c>
      <c r="P4294">
        <v>94.97142857</v>
      </c>
      <c r="Q4294">
        <v>24.31591813</v>
      </c>
      <c r="R4294">
        <v>0.122951111</v>
      </c>
      <c r="S4294">
        <v>0.39050790000000002</v>
      </c>
      <c r="T4294" t="s">
        <v>1019</v>
      </c>
      <c r="U4294">
        <v>2.303348889</v>
      </c>
    </row>
    <row r="4295" spans="1:21" x14ac:dyDescent="0.25">
      <c r="A4295" t="s">
        <v>90</v>
      </c>
      <c r="B4295" t="s">
        <v>1010</v>
      </c>
      <c r="C4295">
        <v>6</v>
      </c>
      <c r="D4295" t="s">
        <v>35</v>
      </c>
      <c r="E4295" t="s">
        <v>94</v>
      </c>
      <c r="F4295" t="s">
        <v>104</v>
      </c>
      <c r="G4295" t="s">
        <v>111</v>
      </c>
      <c r="H4295" t="s">
        <v>253</v>
      </c>
      <c r="J4295">
        <v>1</v>
      </c>
      <c r="K4295">
        <v>2</v>
      </c>
      <c r="L4295">
        <v>113.9375</v>
      </c>
      <c r="M4295">
        <v>33.375507550000002</v>
      </c>
      <c r="N4295">
        <v>2.4262999999999999</v>
      </c>
      <c r="O4295">
        <v>0.40692159999999999</v>
      </c>
      <c r="P4295">
        <v>172.08823530000001</v>
      </c>
      <c r="Q4295">
        <v>29.581605960000001</v>
      </c>
      <c r="R4295">
        <v>0.24280444400000001</v>
      </c>
      <c r="S4295" t="s">
        <v>114</v>
      </c>
      <c r="T4295" t="s">
        <v>1019</v>
      </c>
      <c r="U4295">
        <v>2.183495556</v>
      </c>
    </row>
    <row r="4296" spans="1:21" x14ac:dyDescent="0.25">
      <c r="A4296" t="s">
        <v>90</v>
      </c>
      <c r="B4296" t="s">
        <v>1010</v>
      </c>
      <c r="C4296">
        <v>6</v>
      </c>
      <c r="D4296" t="s">
        <v>35</v>
      </c>
      <c r="E4296" t="s">
        <v>94</v>
      </c>
      <c r="F4296" t="s">
        <v>104</v>
      </c>
      <c r="G4296" t="s">
        <v>111</v>
      </c>
      <c r="H4296" t="s">
        <v>253</v>
      </c>
      <c r="J4296">
        <v>1</v>
      </c>
      <c r="K4296">
        <v>2</v>
      </c>
      <c r="L4296">
        <v>113.9375</v>
      </c>
      <c r="M4296">
        <v>33.375507550000002</v>
      </c>
      <c r="N4296">
        <v>2.4262999999999999</v>
      </c>
      <c r="O4296">
        <v>0.40692159999999999</v>
      </c>
      <c r="P4296">
        <v>172.08823530000001</v>
      </c>
      <c r="Q4296">
        <v>29.581605960000001</v>
      </c>
      <c r="R4296">
        <v>0.24280444400000001</v>
      </c>
      <c r="S4296" t="s">
        <v>114</v>
      </c>
      <c r="T4296" t="s">
        <v>1019</v>
      </c>
      <c r="U4296">
        <v>2.183495556</v>
      </c>
    </row>
    <row r="4297" spans="1:21" x14ac:dyDescent="0.25">
      <c r="A4297" t="s">
        <v>91</v>
      </c>
      <c r="B4297" t="s">
        <v>1011</v>
      </c>
      <c r="C4297">
        <v>6</v>
      </c>
      <c r="D4297" t="s">
        <v>37</v>
      </c>
      <c r="E4297" t="s">
        <v>94</v>
      </c>
      <c r="F4297" t="s">
        <v>112</v>
      </c>
      <c r="G4297" t="s">
        <v>112</v>
      </c>
      <c r="H4297" t="s">
        <v>112</v>
      </c>
      <c r="J4297">
        <v>0</v>
      </c>
      <c r="K4297">
        <v>1</v>
      </c>
      <c r="L4297">
        <v>65.09375</v>
      </c>
      <c r="M4297">
        <v>37.895352600000002</v>
      </c>
      <c r="N4297">
        <v>2.2882677779999998</v>
      </c>
      <c r="O4297">
        <v>2.2111774</v>
      </c>
      <c r="P4297">
        <v>65.09375</v>
      </c>
      <c r="Q4297">
        <v>37.895352600000002</v>
      </c>
      <c r="R4297">
        <v>2.2882677779999998</v>
      </c>
      <c r="S4297">
        <v>2.2111774</v>
      </c>
      <c r="T4297" t="s">
        <v>1019</v>
      </c>
      <c r="U4297">
        <v>0</v>
      </c>
    </row>
    <row r="4298" spans="1:21" x14ac:dyDescent="0.25">
      <c r="A4298" t="s">
        <v>92</v>
      </c>
      <c r="B4298" t="s">
        <v>1012</v>
      </c>
      <c r="C4298">
        <v>6</v>
      </c>
      <c r="D4298" t="s">
        <v>64</v>
      </c>
      <c r="E4298" t="s">
        <v>94</v>
      </c>
      <c r="F4298" t="s">
        <v>112</v>
      </c>
      <c r="G4298" t="s">
        <v>102</v>
      </c>
      <c r="H4298" t="s">
        <v>102</v>
      </c>
      <c r="J4298">
        <v>0</v>
      </c>
      <c r="K4298">
        <v>2</v>
      </c>
      <c r="L4298">
        <v>65.09375</v>
      </c>
      <c r="M4298">
        <v>37.895352600000002</v>
      </c>
      <c r="N4298">
        <v>2.2882677779999998</v>
      </c>
      <c r="O4298">
        <v>2.2111774</v>
      </c>
      <c r="P4298">
        <v>84.740740740000007</v>
      </c>
      <c r="Q4298">
        <v>29.167014049999999</v>
      </c>
      <c r="R4298">
        <v>1.1169849999999999</v>
      </c>
      <c r="S4298">
        <v>1.1571499000000001</v>
      </c>
      <c r="T4298" t="s">
        <v>1019</v>
      </c>
      <c r="U4298">
        <v>1.1712827779999999</v>
      </c>
    </row>
    <row r="4299" spans="1:21" x14ac:dyDescent="0.25">
      <c r="A4299" t="s">
        <v>92</v>
      </c>
      <c r="B4299" t="s">
        <v>1012</v>
      </c>
      <c r="C4299">
        <v>6</v>
      </c>
      <c r="D4299" t="s">
        <v>64</v>
      </c>
      <c r="E4299" t="s">
        <v>94</v>
      </c>
      <c r="F4299" t="s">
        <v>112</v>
      </c>
      <c r="G4299" t="s">
        <v>102</v>
      </c>
      <c r="H4299" t="s">
        <v>102</v>
      </c>
      <c r="J4299">
        <v>0</v>
      </c>
      <c r="K4299">
        <v>2</v>
      </c>
      <c r="L4299">
        <v>65.09375</v>
      </c>
      <c r="M4299">
        <v>37.895352600000002</v>
      </c>
      <c r="N4299">
        <v>2.2882677779999998</v>
      </c>
      <c r="O4299">
        <v>2.2111774</v>
      </c>
      <c r="P4299">
        <v>84.740740740000007</v>
      </c>
      <c r="Q4299">
        <v>29.167014049999999</v>
      </c>
      <c r="R4299">
        <v>1.1169849999999999</v>
      </c>
      <c r="S4299">
        <v>1.1571499000000001</v>
      </c>
      <c r="T4299" t="s">
        <v>1019</v>
      </c>
      <c r="U4299">
        <v>1.1712827779999999</v>
      </c>
    </row>
    <row r="4300" spans="1:21" x14ac:dyDescent="0.25">
      <c r="A4300" t="s">
        <v>92</v>
      </c>
      <c r="B4300" t="s">
        <v>1012</v>
      </c>
      <c r="C4300">
        <v>6</v>
      </c>
      <c r="D4300" t="s">
        <v>64</v>
      </c>
      <c r="E4300" t="s">
        <v>94</v>
      </c>
      <c r="F4300" t="s">
        <v>112</v>
      </c>
      <c r="G4300" t="s">
        <v>102</v>
      </c>
      <c r="H4300" t="s">
        <v>241</v>
      </c>
      <c r="J4300">
        <v>0</v>
      </c>
      <c r="K4300">
        <v>1</v>
      </c>
      <c r="L4300">
        <v>65.09375</v>
      </c>
      <c r="M4300">
        <v>37.895352600000002</v>
      </c>
      <c r="N4300">
        <v>2.2882677779999998</v>
      </c>
      <c r="O4300">
        <v>2.2111774</v>
      </c>
      <c r="P4300">
        <v>114</v>
      </c>
      <c r="Q4300">
        <v>30.43077242</v>
      </c>
      <c r="R4300">
        <v>0.53383111100000002</v>
      </c>
      <c r="S4300">
        <v>0.28333332999999999</v>
      </c>
      <c r="T4300" t="s">
        <v>1019</v>
      </c>
      <c r="U4300">
        <v>1.754436667</v>
      </c>
    </row>
    <row r="4301" spans="1:21" x14ac:dyDescent="0.25">
      <c r="A4301" t="s">
        <v>93</v>
      </c>
      <c r="B4301" t="s">
        <v>1013</v>
      </c>
      <c r="C4301">
        <v>6</v>
      </c>
      <c r="D4301" t="s">
        <v>66</v>
      </c>
      <c r="E4301" t="s">
        <v>95</v>
      </c>
      <c r="F4301" t="s">
        <v>104</v>
      </c>
      <c r="G4301" t="s">
        <v>103</v>
      </c>
      <c r="H4301" t="s">
        <v>104</v>
      </c>
      <c r="J4301">
        <v>0</v>
      </c>
      <c r="K4301">
        <v>1</v>
      </c>
      <c r="L4301">
        <v>113.9375</v>
      </c>
      <c r="M4301">
        <v>33.375507550000002</v>
      </c>
      <c r="N4301">
        <v>2.4262999999999999</v>
      </c>
      <c r="O4301">
        <v>0.40692159999999999</v>
      </c>
      <c r="P4301">
        <v>113.9375</v>
      </c>
      <c r="Q4301">
        <v>33.375507550000002</v>
      </c>
      <c r="R4301">
        <v>2.4262999999999999</v>
      </c>
      <c r="S4301">
        <v>0.40692159999999999</v>
      </c>
      <c r="T4301" t="s">
        <v>1019</v>
      </c>
      <c r="U4301">
        <v>0</v>
      </c>
    </row>
    <row r="4302" spans="1:21" x14ac:dyDescent="0.25">
      <c r="A4302" t="s">
        <v>93</v>
      </c>
      <c r="B4302" t="s">
        <v>1013</v>
      </c>
      <c r="C4302">
        <v>6</v>
      </c>
      <c r="D4302" t="s">
        <v>66</v>
      </c>
      <c r="E4302" t="s">
        <v>95</v>
      </c>
      <c r="F4302" t="s">
        <v>104</v>
      </c>
      <c r="G4302" t="s">
        <v>103</v>
      </c>
      <c r="H4302" t="s">
        <v>111</v>
      </c>
      <c r="J4302">
        <v>0</v>
      </c>
      <c r="K4302">
        <v>1</v>
      </c>
      <c r="L4302">
        <v>113.9375</v>
      </c>
      <c r="M4302">
        <v>33.375507550000002</v>
      </c>
      <c r="N4302">
        <v>2.4262999999999999</v>
      </c>
      <c r="O4302">
        <v>0.40692159999999999</v>
      </c>
      <c r="P4302">
        <v>94.97142857</v>
      </c>
      <c r="Q4302">
        <v>24.31591813</v>
      </c>
      <c r="R4302">
        <v>0.122951111</v>
      </c>
      <c r="S4302">
        <v>0.39050790000000002</v>
      </c>
      <c r="T4302" t="s">
        <v>1019</v>
      </c>
      <c r="U4302">
        <v>2.303348889</v>
      </c>
    </row>
    <row r="4303" spans="1:21" x14ac:dyDescent="0.25">
      <c r="A4303" t="s">
        <v>93</v>
      </c>
      <c r="B4303" t="s">
        <v>1013</v>
      </c>
      <c r="C4303">
        <v>6</v>
      </c>
      <c r="D4303" t="s">
        <v>66</v>
      </c>
      <c r="E4303" t="s">
        <v>95</v>
      </c>
      <c r="F4303" t="s">
        <v>104</v>
      </c>
      <c r="G4303" t="s">
        <v>103</v>
      </c>
      <c r="H4303" t="s">
        <v>103</v>
      </c>
      <c r="J4303">
        <v>0</v>
      </c>
      <c r="K4303">
        <v>4</v>
      </c>
      <c r="L4303">
        <v>113.9375</v>
      </c>
      <c r="M4303">
        <v>33.375507550000002</v>
      </c>
      <c r="N4303">
        <v>2.4262999999999999</v>
      </c>
      <c r="O4303">
        <v>0.40692159999999999</v>
      </c>
      <c r="P4303">
        <v>98.291666669999998</v>
      </c>
      <c r="Q4303">
        <v>30.315130790000001</v>
      </c>
      <c r="R4303">
        <v>5.0803484000000003E-2</v>
      </c>
      <c r="S4303">
        <v>0.42866070000000001</v>
      </c>
      <c r="T4303" t="s">
        <v>1019</v>
      </c>
      <c r="U4303">
        <v>2.3754965160000001</v>
      </c>
    </row>
    <row r="4304" spans="1:21" x14ac:dyDescent="0.25">
      <c r="A4304" t="s">
        <v>93</v>
      </c>
      <c r="B4304" t="s">
        <v>1013</v>
      </c>
      <c r="C4304">
        <v>6</v>
      </c>
      <c r="D4304" t="s">
        <v>66</v>
      </c>
      <c r="E4304" t="s">
        <v>95</v>
      </c>
      <c r="F4304" t="s">
        <v>104</v>
      </c>
      <c r="G4304" t="s">
        <v>103</v>
      </c>
      <c r="H4304" t="s">
        <v>103</v>
      </c>
      <c r="J4304">
        <v>0</v>
      </c>
      <c r="K4304">
        <v>4</v>
      </c>
      <c r="L4304">
        <v>113.9375</v>
      </c>
      <c r="M4304">
        <v>33.375507550000002</v>
      </c>
      <c r="N4304">
        <v>2.4262999999999999</v>
      </c>
      <c r="O4304">
        <v>0.40692159999999999</v>
      </c>
      <c r="P4304">
        <v>98.291666669999998</v>
      </c>
      <c r="Q4304">
        <v>30.315130790000001</v>
      </c>
      <c r="R4304">
        <v>5.0803484000000003E-2</v>
      </c>
      <c r="S4304">
        <v>0.42866070000000001</v>
      </c>
      <c r="T4304" t="s">
        <v>1019</v>
      </c>
      <c r="U4304">
        <v>2.3754965160000001</v>
      </c>
    </row>
    <row r="4305" spans="1:21" x14ac:dyDescent="0.25">
      <c r="A4305" t="s">
        <v>93</v>
      </c>
      <c r="B4305" t="s">
        <v>1013</v>
      </c>
      <c r="C4305">
        <v>6</v>
      </c>
      <c r="D4305" t="s">
        <v>66</v>
      </c>
      <c r="E4305" t="s">
        <v>95</v>
      </c>
      <c r="F4305" t="s">
        <v>104</v>
      </c>
      <c r="G4305" t="s">
        <v>103</v>
      </c>
      <c r="H4305" t="s">
        <v>103</v>
      </c>
      <c r="J4305">
        <v>0</v>
      </c>
      <c r="K4305">
        <v>4</v>
      </c>
      <c r="L4305">
        <v>113.9375</v>
      </c>
      <c r="M4305">
        <v>33.375507550000002</v>
      </c>
      <c r="N4305">
        <v>2.4262999999999999</v>
      </c>
      <c r="O4305">
        <v>0.40692159999999999</v>
      </c>
      <c r="P4305">
        <v>98.291666669999998</v>
      </c>
      <c r="Q4305">
        <v>30.315130790000001</v>
      </c>
      <c r="R4305">
        <v>5.0803484000000003E-2</v>
      </c>
      <c r="S4305">
        <v>0.42866070000000001</v>
      </c>
      <c r="T4305" t="s">
        <v>1019</v>
      </c>
      <c r="U4305">
        <v>2.3754965160000001</v>
      </c>
    </row>
    <row r="4306" spans="1:21" x14ac:dyDescent="0.25">
      <c r="A4306" t="s">
        <v>93</v>
      </c>
      <c r="B4306" t="s">
        <v>1013</v>
      </c>
      <c r="C4306">
        <v>6</v>
      </c>
      <c r="D4306" t="s">
        <v>66</v>
      </c>
      <c r="E4306" t="s">
        <v>95</v>
      </c>
      <c r="F4306" t="s">
        <v>104</v>
      </c>
      <c r="G4306" t="s">
        <v>103</v>
      </c>
      <c r="H4306" t="s">
        <v>103</v>
      </c>
      <c r="J4306">
        <v>0</v>
      </c>
      <c r="K4306">
        <v>4</v>
      </c>
      <c r="L4306">
        <v>113.9375</v>
      </c>
      <c r="M4306">
        <v>33.375507550000002</v>
      </c>
      <c r="N4306">
        <v>2.4262999999999999</v>
      </c>
      <c r="O4306">
        <v>0.40692159999999999</v>
      </c>
      <c r="P4306">
        <v>98.291666669999998</v>
      </c>
      <c r="Q4306">
        <v>30.315130790000001</v>
      </c>
      <c r="R4306">
        <v>5.0803484000000003E-2</v>
      </c>
      <c r="S4306">
        <v>0.42866070000000001</v>
      </c>
      <c r="T4306" t="s">
        <v>1019</v>
      </c>
      <c r="U4306">
        <v>2.3754965160000001</v>
      </c>
    </row>
    <row r="4307" spans="1:21" x14ac:dyDescent="0.25">
      <c r="A4307" t="s">
        <v>93</v>
      </c>
      <c r="B4307" t="s">
        <v>1013</v>
      </c>
      <c r="C4307">
        <v>6</v>
      </c>
      <c r="D4307" t="s">
        <v>66</v>
      </c>
      <c r="E4307" t="s">
        <v>95</v>
      </c>
      <c r="F4307" t="s">
        <v>104</v>
      </c>
      <c r="G4307" t="s">
        <v>103</v>
      </c>
      <c r="H4307" t="s">
        <v>238</v>
      </c>
      <c r="J4307">
        <v>0</v>
      </c>
      <c r="K4307">
        <v>2</v>
      </c>
      <c r="L4307">
        <v>113.9375</v>
      </c>
      <c r="M4307">
        <v>33.375507550000002</v>
      </c>
      <c r="N4307">
        <v>2.4262999999999999</v>
      </c>
      <c r="O4307">
        <v>0.40692159999999999</v>
      </c>
      <c r="P4307">
        <v>87.5</v>
      </c>
      <c r="Q4307">
        <v>29.478311600000001</v>
      </c>
      <c r="R4307">
        <v>3.0797751000000002E-2</v>
      </c>
      <c r="S4307">
        <v>0.12931835</v>
      </c>
      <c r="T4307" t="s">
        <v>1019</v>
      </c>
      <c r="U4307">
        <v>2.3955022490000002</v>
      </c>
    </row>
    <row r="4308" spans="1:21" x14ac:dyDescent="0.25">
      <c r="A4308" t="s">
        <v>93</v>
      </c>
      <c r="B4308" t="s">
        <v>1013</v>
      </c>
      <c r="C4308">
        <v>6</v>
      </c>
      <c r="D4308" t="s">
        <v>66</v>
      </c>
      <c r="E4308" t="s">
        <v>95</v>
      </c>
      <c r="F4308" t="s">
        <v>104</v>
      </c>
      <c r="G4308" t="s">
        <v>103</v>
      </c>
      <c r="H4308" t="s">
        <v>238</v>
      </c>
      <c r="J4308">
        <v>0</v>
      </c>
      <c r="K4308">
        <v>2</v>
      </c>
      <c r="L4308">
        <v>113.9375</v>
      </c>
      <c r="M4308">
        <v>33.375507550000002</v>
      </c>
      <c r="N4308">
        <v>2.4262999999999999</v>
      </c>
      <c r="O4308">
        <v>0.40692159999999999</v>
      </c>
      <c r="P4308">
        <v>87.5</v>
      </c>
      <c r="Q4308">
        <v>29.478311600000001</v>
      </c>
      <c r="R4308">
        <v>3.0797751000000002E-2</v>
      </c>
      <c r="S4308">
        <v>0.12931835</v>
      </c>
      <c r="T4308" t="s">
        <v>1019</v>
      </c>
      <c r="U4308">
        <v>2.3955022490000002</v>
      </c>
    </row>
    <row r="4309" spans="1:21" x14ac:dyDescent="0.25">
      <c r="A4309" t="s">
        <v>93</v>
      </c>
      <c r="B4309" t="s">
        <v>1013</v>
      </c>
      <c r="C4309">
        <v>6</v>
      </c>
      <c r="D4309" t="s">
        <v>66</v>
      </c>
      <c r="E4309" t="s">
        <v>95</v>
      </c>
      <c r="F4309" t="s">
        <v>104</v>
      </c>
      <c r="G4309" t="s">
        <v>103</v>
      </c>
      <c r="H4309" t="s">
        <v>246</v>
      </c>
      <c r="J4309">
        <v>0</v>
      </c>
      <c r="K4309">
        <v>1</v>
      </c>
      <c r="L4309">
        <v>113.9375</v>
      </c>
      <c r="M4309">
        <v>33.375507550000002</v>
      </c>
      <c r="N4309">
        <v>2.4262999999999999</v>
      </c>
      <c r="O4309">
        <v>0.40692159999999999</v>
      </c>
      <c r="P4309">
        <v>120.25</v>
      </c>
      <c r="Q4309">
        <v>30.670450110000001</v>
      </c>
      <c r="R4309">
        <v>0.91037498500000003</v>
      </c>
      <c r="S4309" t="s">
        <v>114</v>
      </c>
      <c r="T4309" t="s">
        <v>1019</v>
      </c>
      <c r="U4309">
        <v>1.5159250150000001</v>
      </c>
    </row>
    <row r="4310" spans="1:21" x14ac:dyDescent="0.25">
      <c r="A4310" t="s">
        <v>67</v>
      </c>
      <c r="B4310" t="s">
        <v>820</v>
      </c>
      <c r="C4310">
        <v>10</v>
      </c>
      <c r="D4310" t="s">
        <v>11</v>
      </c>
      <c r="E4310" t="s">
        <v>94</v>
      </c>
      <c r="F4310" t="s">
        <v>113</v>
      </c>
      <c r="G4310" t="s">
        <v>121</v>
      </c>
      <c r="H4310" t="s">
        <v>113</v>
      </c>
      <c r="J4310">
        <v>0</v>
      </c>
      <c r="K4310">
        <v>2</v>
      </c>
      <c r="L4310">
        <v>83.757575759999995</v>
      </c>
      <c r="M4310">
        <v>22.60997987</v>
      </c>
      <c r="N4310">
        <v>0.72884000000000004</v>
      </c>
      <c r="O4310">
        <v>0.21301339999999999</v>
      </c>
      <c r="P4310">
        <v>83.757575759999995</v>
      </c>
      <c r="Q4310">
        <v>22.60997987</v>
      </c>
      <c r="R4310">
        <v>0.72884000000000004</v>
      </c>
      <c r="S4310">
        <v>0.21301339999999999</v>
      </c>
      <c r="T4310" t="s">
        <v>1040</v>
      </c>
      <c r="U4310">
        <v>0</v>
      </c>
    </row>
    <row r="4311" spans="1:21" x14ac:dyDescent="0.25">
      <c r="A4311" t="s">
        <v>67</v>
      </c>
      <c r="B4311" t="s">
        <v>820</v>
      </c>
      <c r="C4311">
        <v>10</v>
      </c>
      <c r="D4311" t="s">
        <v>11</v>
      </c>
      <c r="E4311" t="s">
        <v>94</v>
      </c>
      <c r="F4311" t="s">
        <v>113</v>
      </c>
      <c r="G4311" t="s">
        <v>121</v>
      </c>
      <c r="H4311" t="s">
        <v>113</v>
      </c>
      <c r="J4311">
        <v>0</v>
      </c>
      <c r="K4311">
        <v>2</v>
      </c>
      <c r="L4311">
        <v>83.757575759999995</v>
      </c>
      <c r="M4311">
        <v>22.60997987</v>
      </c>
      <c r="N4311">
        <v>0.72884000000000004</v>
      </c>
      <c r="O4311">
        <v>0.21301339999999999</v>
      </c>
      <c r="P4311">
        <v>83.757575759999995</v>
      </c>
      <c r="Q4311">
        <v>22.60997987</v>
      </c>
      <c r="R4311">
        <v>0.72884000000000004</v>
      </c>
      <c r="S4311">
        <v>0.21301339999999999</v>
      </c>
      <c r="T4311" t="s">
        <v>1040</v>
      </c>
      <c r="U4311">
        <v>0</v>
      </c>
    </row>
    <row r="4312" spans="1:21" x14ac:dyDescent="0.25">
      <c r="A4312" t="s">
        <v>67</v>
      </c>
      <c r="B4312" t="s">
        <v>820</v>
      </c>
      <c r="C4312">
        <v>10</v>
      </c>
      <c r="D4312" t="s">
        <v>11</v>
      </c>
      <c r="E4312" t="s">
        <v>94</v>
      </c>
      <c r="F4312" t="s">
        <v>113</v>
      </c>
      <c r="G4312" t="s">
        <v>121</v>
      </c>
      <c r="H4312" t="s">
        <v>248</v>
      </c>
      <c r="J4312">
        <v>0</v>
      </c>
      <c r="K4312">
        <v>1</v>
      </c>
      <c r="L4312">
        <v>83.757575759999995</v>
      </c>
      <c r="M4312">
        <v>22.60997987</v>
      </c>
      <c r="N4312">
        <v>0.72884000000000004</v>
      </c>
      <c r="O4312">
        <v>0.21301339999999999</v>
      </c>
      <c r="P4312">
        <v>83.92307692</v>
      </c>
      <c r="Q4312">
        <v>44.319135699999997</v>
      </c>
      <c r="R4312">
        <v>5.9548609999999997E-3</v>
      </c>
      <c r="S4312">
        <v>0.18017928</v>
      </c>
      <c r="T4312" t="s">
        <v>1040</v>
      </c>
      <c r="U4312">
        <v>3.2834119999999994E-2</v>
      </c>
    </row>
    <row r="4313" spans="1:21" x14ac:dyDescent="0.25">
      <c r="A4313" t="s">
        <v>67</v>
      </c>
      <c r="B4313" t="s">
        <v>821</v>
      </c>
      <c r="C4313">
        <v>10</v>
      </c>
      <c r="D4313" t="s">
        <v>11</v>
      </c>
      <c r="E4313" t="s">
        <v>94</v>
      </c>
      <c r="F4313" t="s">
        <v>103</v>
      </c>
      <c r="G4313" t="s">
        <v>121</v>
      </c>
      <c r="H4313" t="s">
        <v>103</v>
      </c>
      <c r="J4313">
        <v>0</v>
      </c>
      <c r="K4313">
        <v>1</v>
      </c>
      <c r="L4313">
        <v>98.291666669999998</v>
      </c>
      <c r="M4313">
        <v>30.315130790000001</v>
      </c>
      <c r="N4313">
        <v>5.0803484000000003E-2</v>
      </c>
      <c r="O4313">
        <v>0.42866070000000001</v>
      </c>
      <c r="P4313">
        <v>98.291666669999998</v>
      </c>
      <c r="Q4313">
        <v>30.315130790000001</v>
      </c>
      <c r="R4313">
        <v>5.0803484000000003E-2</v>
      </c>
      <c r="S4313">
        <v>0.42866070000000001</v>
      </c>
      <c r="T4313" t="s">
        <v>1040</v>
      </c>
      <c r="U4313">
        <v>0</v>
      </c>
    </row>
    <row r="4314" spans="1:21" x14ac:dyDescent="0.25">
      <c r="A4314" t="s">
        <v>67</v>
      </c>
      <c r="B4314" t="s">
        <v>822</v>
      </c>
      <c r="C4314">
        <v>10</v>
      </c>
      <c r="D4314" t="s">
        <v>11</v>
      </c>
      <c r="E4314" t="s">
        <v>94</v>
      </c>
      <c r="F4314" t="s">
        <v>112</v>
      </c>
      <c r="G4314" t="s">
        <v>121</v>
      </c>
      <c r="H4314" t="s">
        <v>235</v>
      </c>
      <c r="J4314">
        <v>0</v>
      </c>
      <c r="K4314">
        <v>1</v>
      </c>
      <c r="L4314">
        <v>65.09375</v>
      </c>
      <c r="M4314">
        <v>37.895352600000002</v>
      </c>
      <c r="N4314">
        <v>2.2882677779999998</v>
      </c>
      <c r="O4314">
        <v>2.2111774</v>
      </c>
      <c r="P4314">
        <v>132.27272730000001</v>
      </c>
      <c r="Q4314">
        <v>20.180448590000001</v>
      </c>
      <c r="R4314">
        <v>3.7813451999999997E-2</v>
      </c>
      <c r="S4314">
        <v>0.41404401000000002</v>
      </c>
      <c r="T4314" t="s">
        <v>1040</v>
      </c>
      <c r="U4314">
        <v>1.7971333899999999</v>
      </c>
    </row>
    <row r="4315" spans="1:21" x14ac:dyDescent="0.25">
      <c r="A4315" t="s">
        <v>67</v>
      </c>
      <c r="B4315" t="s">
        <v>822</v>
      </c>
      <c r="C4315">
        <v>10</v>
      </c>
      <c r="D4315" t="s">
        <v>11</v>
      </c>
      <c r="E4315" t="s">
        <v>94</v>
      </c>
      <c r="F4315" t="s">
        <v>112</v>
      </c>
      <c r="G4315" t="s">
        <v>121</v>
      </c>
      <c r="H4315" t="s">
        <v>248</v>
      </c>
      <c r="J4315">
        <v>0</v>
      </c>
      <c r="K4315">
        <v>2</v>
      </c>
      <c r="L4315">
        <v>65.09375</v>
      </c>
      <c r="M4315">
        <v>37.895352600000002</v>
      </c>
      <c r="N4315">
        <v>2.2882677779999998</v>
      </c>
      <c r="O4315">
        <v>2.2111774</v>
      </c>
      <c r="P4315">
        <v>83.92307692</v>
      </c>
      <c r="Q4315">
        <v>44.319135699999997</v>
      </c>
      <c r="R4315">
        <v>5.9548609999999997E-3</v>
      </c>
      <c r="S4315">
        <v>0.18017928</v>
      </c>
      <c r="T4315" t="s">
        <v>1040</v>
      </c>
      <c r="U4315">
        <v>2.03099812</v>
      </c>
    </row>
    <row r="4316" spans="1:21" x14ac:dyDescent="0.25">
      <c r="A4316" t="s">
        <v>67</v>
      </c>
      <c r="B4316" t="s">
        <v>822</v>
      </c>
      <c r="C4316">
        <v>10</v>
      </c>
      <c r="D4316" t="s">
        <v>11</v>
      </c>
      <c r="E4316" t="s">
        <v>94</v>
      </c>
      <c r="F4316" t="s">
        <v>112</v>
      </c>
      <c r="G4316" t="s">
        <v>121</v>
      </c>
      <c r="H4316" t="s">
        <v>248</v>
      </c>
      <c r="J4316">
        <v>0</v>
      </c>
      <c r="K4316">
        <v>2</v>
      </c>
      <c r="L4316">
        <v>65.09375</v>
      </c>
      <c r="M4316">
        <v>37.895352600000002</v>
      </c>
      <c r="N4316">
        <v>2.2882677779999998</v>
      </c>
      <c r="O4316">
        <v>2.2111774</v>
      </c>
      <c r="P4316">
        <v>83.92307692</v>
      </c>
      <c r="Q4316">
        <v>44.319135699999997</v>
      </c>
      <c r="R4316">
        <v>5.9548609999999997E-3</v>
      </c>
      <c r="S4316">
        <v>0.18017928</v>
      </c>
      <c r="T4316" t="s">
        <v>1040</v>
      </c>
      <c r="U4316">
        <v>2.03099812</v>
      </c>
    </row>
    <row r="4317" spans="1:21" x14ac:dyDescent="0.25">
      <c r="A4317" t="s">
        <v>68</v>
      </c>
      <c r="B4317" t="s">
        <v>823</v>
      </c>
      <c r="C4317">
        <v>10</v>
      </c>
      <c r="D4317" t="s">
        <v>15</v>
      </c>
      <c r="E4317" t="s">
        <v>95</v>
      </c>
      <c r="F4317" t="s">
        <v>113</v>
      </c>
      <c r="G4317" t="s">
        <v>121</v>
      </c>
      <c r="H4317" t="s">
        <v>113</v>
      </c>
      <c r="J4317">
        <v>0</v>
      </c>
      <c r="K4317">
        <v>1</v>
      </c>
      <c r="L4317">
        <v>83.757575759999995</v>
      </c>
      <c r="M4317">
        <v>22.60997987</v>
      </c>
      <c r="N4317">
        <v>0.72884000000000004</v>
      </c>
      <c r="O4317">
        <v>0.21301339999999999</v>
      </c>
      <c r="P4317">
        <v>83.757575759999995</v>
      </c>
      <c r="Q4317">
        <v>22.60997987</v>
      </c>
      <c r="R4317">
        <v>0.72884000000000004</v>
      </c>
      <c r="S4317">
        <v>0.21301339999999999</v>
      </c>
      <c r="T4317" t="s">
        <v>1040</v>
      </c>
      <c r="U4317">
        <v>0</v>
      </c>
    </row>
    <row r="4318" spans="1:21" x14ac:dyDescent="0.25">
      <c r="A4318" t="s">
        <v>68</v>
      </c>
      <c r="B4318" t="s">
        <v>824</v>
      </c>
      <c r="C4318">
        <v>10</v>
      </c>
      <c r="D4318" t="s">
        <v>15</v>
      </c>
      <c r="E4318" t="s">
        <v>95</v>
      </c>
      <c r="F4318" t="s">
        <v>110</v>
      </c>
      <c r="G4318" t="s">
        <v>113</v>
      </c>
      <c r="H4318" t="s">
        <v>113</v>
      </c>
      <c r="J4318">
        <v>0</v>
      </c>
      <c r="K4318">
        <v>2</v>
      </c>
      <c r="L4318">
        <v>73.260869569999997</v>
      </c>
      <c r="M4318">
        <v>34.453830549999999</v>
      </c>
      <c r="N4318">
        <v>1.058333333</v>
      </c>
      <c r="O4318">
        <v>0.90897070000000002</v>
      </c>
      <c r="P4318">
        <v>83.757575759999995</v>
      </c>
      <c r="Q4318">
        <v>22.60997987</v>
      </c>
      <c r="R4318">
        <v>0.72884000000000004</v>
      </c>
      <c r="S4318">
        <v>0.21301339999999999</v>
      </c>
      <c r="T4318" t="s">
        <v>1040</v>
      </c>
      <c r="U4318">
        <v>0.6959573</v>
      </c>
    </row>
    <row r="4319" spans="1:21" x14ac:dyDescent="0.25">
      <c r="A4319" t="s">
        <v>68</v>
      </c>
      <c r="B4319" t="s">
        <v>824</v>
      </c>
      <c r="C4319">
        <v>10</v>
      </c>
      <c r="D4319" t="s">
        <v>15</v>
      </c>
      <c r="E4319" t="s">
        <v>95</v>
      </c>
      <c r="F4319" t="s">
        <v>110</v>
      </c>
      <c r="G4319" t="s">
        <v>113</v>
      </c>
      <c r="H4319" t="s">
        <v>113</v>
      </c>
      <c r="J4319">
        <v>0</v>
      </c>
      <c r="K4319">
        <v>2</v>
      </c>
      <c r="L4319">
        <v>73.260869569999997</v>
      </c>
      <c r="M4319">
        <v>34.453830549999999</v>
      </c>
      <c r="N4319">
        <v>1.058333333</v>
      </c>
      <c r="O4319">
        <v>0.90897070000000002</v>
      </c>
      <c r="P4319">
        <v>83.757575759999995</v>
      </c>
      <c r="Q4319">
        <v>22.60997987</v>
      </c>
      <c r="R4319">
        <v>0.72884000000000004</v>
      </c>
      <c r="S4319">
        <v>0.21301339999999999</v>
      </c>
      <c r="T4319" t="s">
        <v>1040</v>
      </c>
      <c r="U4319">
        <v>0.6959573</v>
      </c>
    </row>
    <row r="4320" spans="1:21" x14ac:dyDescent="0.25">
      <c r="A4320" t="s">
        <v>68</v>
      </c>
      <c r="B4320" t="s">
        <v>825</v>
      </c>
      <c r="C4320">
        <v>10</v>
      </c>
      <c r="D4320" t="s">
        <v>15</v>
      </c>
      <c r="E4320" t="s">
        <v>95</v>
      </c>
      <c r="F4320" t="s">
        <v>111</v>
      </c>
      <c r="G4320" t="s">
        <v>121</v>
      </c>
      <c r="H4320" t="s">
        <v>239</v>
      </c>
      <c r="J4320">
        <v>0</v>
      </c>
      <c r="K4320">
        <v>1</v>
      </c>
      <c r="L4320">
        <v>94.97142857</v>
      </c>
      <c r="M4320">
        <v>24.31591813</v>
      </c>
      <c r="N4320">
        <v>0.122951111</v>
      </c>
      <c r="O4320">
        <v>0.39050790000000002</v>
      </c>
      <c r="P4320">
        <v>100.45454549999999</v>
      </c>
      <c r="Q4320">
        <v>26.754810689999999</v>
      </c>
      <c r="R4320">
        <v>0.75829999999999997</v>
      </c>
      <c r="S4320">
        <v>0.40907861000000001</v>
      </c>
      <c r="T4320" t="s">
        <v>1040</v>
      </c>
      <c r="U4320">
        <v>-1.857070999999999E-2</v>
      </c>
    </row>
    <row r="4321" spans="1:21" x14ac:dyDescent="0.25">
      <c r="A4321" t="s">
        <v>68</v>
      </c>
      <c r="B4321" t="s">
        <v>826</v>
      </c>
      <c r="C4321">
        <v>10</v>
      </c>
      <c r="D4321" t="s">
        <v>15</v>
      </c>
      <c r="E4321" t="s">
        <v>95</v>
      </c>
      <c r="F4321" t="s">
        <v>104</v>
      </c>
      <c r="G4321" t="s">
        <v>121</v>
      </c>
      <c r="H4321" t="s">
        <v>114</v>
      </c>
      <c r="I4321" t="s">
        <v>161</v>
      </c>
      <c r="J4321">
        <v>1</v>
      </c>
      <c r="K4321">
        <v>0</v>
      </c>
      <c r="L4321">
        <v>113.9375</v>
      </c>
      <c r="M4321">
        <v>33.375507550000002</v>
      </c>
      <c r="N4321">
        <v>2.4262999999999999</v>
      </c>
      <c r="O4321">
        <v>0.40692159999999999</v>
      </c>
      <c r="P4321" t="s">
        <v>114</v>
      </c>
      <c r="Q4321" t="s">
        <v>114</v>
      </c>
      <c r="R4321" t="s">
        <v>114</v>
      </c>
      <c r="S4321" t="s">
        <v>114</v>
      </c>
      <c r="T4321" t="s">
        <v>1040</v>
      </c>
      <c r="U4321" t="s">
        <v>114</v>
      </c>
    </row>
    <row r="4322" spans="1:21" x14ac:dyDescent="0.25">
      <c r="A4322" t="s">
        <v>69</v>
      </c>
      <c r="B4322" t="s">
        <v>827</v>
      </c>
      <c r="C4322">
        <v>10</v>
      </c>
      <c r="D4322" t="s">
        <v>17</v>
      </c>
      <c r="E4322" t="s">
        <v>95</v>
      </c>
      <c r="F4322" t="s">
        <v>102</v>
      </c>
      <c r="G4322" t="s">
        <v>102</v>
      </c>
      <c r="H4322" t="s">
        <v>102</v>
      </c>
      <c r="J4322">
        <v>0</v>
      </c>
      <c r="K4322">
        <v>1</v>
      </c>
      <c r="L4322">
        <v>84.740740740000007</v>
      </c>
      <c r="M4322">
        <v>29.167014049999999</v>
      </c>
      <c r="N4322">
        <v>1.1169849999999999</v>
      </c>
      <c r="O4322">
        <v>1.1571499000000001</v>
      </c>
      <c r="P4322">
        <v>84.740740740000007</v>
      </c>
      <c r="Q4322">
        <v>29.167014049999999</v>
      </c>
      <c r="R4322">
        <v>1.1169849999999999</v>
      </c>
      <c r="S4322">
        <v>1.1571499000000001</v>
      </c>
      <c r="T4322" t="s">
        <v>1040</v>
      </c>
      <c r="U4322">
        <v>0</v>
      </c>
    </row>
    <row r="4323" spans="1:21" x14ac:dyDescent="0.25">
      <c r="A4323" t="s">
        <v>69</v>
      </c>
      <c r="B4323" t="s">
        <v>827</v>
      </c>
      <c r="C4323">
        <v>10</v>
      </c>
      <c r="D4323" t="s">
        <v>17</v>
      </c>
      <c r="E4323" t="s">
        <v>95</v>
      </c>
      <c r="F4323" t="s">
        <v>102</v>
      </c>
      <c r="G4323" t="s">
        <v>102</v>
      </c>
      <c r="H4323" t="s">
        <v>235</v>
      </c>
      <c r="J4323">
        <v>0</v>
      </c>
      <c r="K4323">
        <v>2</v>
      </c>
      <c r="L4323">
        <v>84.740740740000007</v>
      </c>
      <c r="M4323">
        <v>29.167014049999999</v>
      </c>
      <c r="N4323">
        <v>1.1169849999999999</v>
      </c>
      <c r="O4323">
        <v>1.1571499000000001</v>
      </c>
      <c r="P4323">
        <v>132.27272730000001</v>
      </c>
      <c r="Q4323">
        <v>20.180448590000001</v>
      </c>
      <c r="R4323">
        <v>3.7813451999999997E-2</v>
      </c>
      <c r="S4323">
        <v>0.41404401000000002</v>
      </c>
      <c r="T4323" t="s">
        <v>1040</v>
      </c>
      <c r="U4323">
        <v>0.74310589000000005</v>
      </c>
    </row>
    <row r="4324" spans="1:21" x14ac:dyDescent="0.25">
      <c r="A4324" t="s">
        <v>69</v>
      </c>
      <c r="B4324" t="s">
        <v>827</v>
      </c>
      <c r="C4324">
        <v>10</v>
      </c>
      <c r="D4324" t="s">
        <v>17</v>
      </c>
      <c r="E4324" t="s">
        <v>95</v>
      </c>
      <c r="F4324" t="s">
        <v>102</v>
      </c>
      <c r="G4324" t="s">
        <v>102</v>
      </c>
      <c r="H4324" t="s">
        <v>235</v>
      </c>
      <c r="J4324">
        <v>0</v>
      </c>
      <c r="K4324">
        <v>2</v>
      </c>
      <c r="L4324">
        <v>84.740740740000007</v>
      </c>
      <c r="M4324">
        <v>29.167014049999999</v>
      </c>
      <c r="N4324">
        <v>1.1169849999999999</v>
      </c>
      <c r="O4324">
        <v>1.1571499000000001</v>
      </c>
      <c r="P4324">
        <v>132.27272730000001</v>
      </c>
      <c r="Q4324">
        <v>20.180448590000001</v>
      </c>
      <c r="R4324">
        <v>3.7813451999999997E-2</v>
      </c>
      <c r="S4324">
        <v>0.41404401000000002</v>
      </c>
      <c r="T4324" t="s">
        <v>1040</v>
      </c>
      <c r="U4324">
        <v>0.74310589000000005</v>
      </c>
    </row>
    <row r="4325" spans="1:21" x14ac:dyDescent="0.25">
      <c r="A4325" t="s">
        <v>69</v>
      </c>
      <c r="B4325" t="s">
        <v>828</v>
      </c>
      <c r="C4325">
        <v>10</v>
      </c>
      <c r="D4325" t="s">
        <v>17</v>
      </c>
      <c r="E4325" t="s">
        <v>95</v>
      </c>
      <c r="F4325" t="s">
        <v>113</v>
      </c>
      <c r="G4325" t="s">
        <v>113</v>
      </c>
      <c r="H4325" t="s">
        <v>113</v>
      </c>
      <c r="J4325">
        <v>0</v>
      </c>
      <c r="K4325">
        <v>1</v>
      </c>
      <c r="L4325">
        <v>83.757575759999995</v>
      </c>
      <c r="M4325">
        <v>22.60997987</v>
      </c>
      <c r="N4325">
        <v>0.72884000000000004</v>
      </c>
      <c r="O4325">
        <v>0.21301339999999999</v>
      </c>
      <c r="P4325">
        <v>83.757575759999995</v>
      </c>
      <c r="Q4325">
        <v>22.60997987</v>
      </c>
      <c r="R4325">
        <v>0.72884000000000004</v>
      </c>
      <c r="S4325">
        <v>0.21301339999999999</v>
      </c>
      <c r="T4325" t="s">
        <v>1040</v>
      </c>
      <c r="U4325">
        <v>0</v>
      </c>
    </row>
    <row r="4326" spans="1:21" x14ac:dyDescent="0.25">
      <c r="A4326" t="s">
        <v>69</v>
      </c>
      <c r="B4326" t="s">
        <v>828</v>
      </c>
      <c r="C4326">
        <v>10</v>
      </c>
      <c r="D4326" t="s">
        <v>17</v>
      </c>
      <c r="E4326" t="s">
        <v>95</v>
      </c>
      <c r="F4326" t="s">
        <v>113</v>
      </c>
      <c r="G4326" t="s">
        <v>113</v>
      </c>
      <c r="H4326" t="s">
        <v>235</v>
      </c>
      <c r="J4326">
        <v>0</v>
      </c>
      <c r="K4326">
        <v>2</v>
      </c>
      <c r="L4326">
        <v>83.757575759999995</v>
      </c>
      <c r="M4326">
        <v>22.60997987</v>
      </c>
      <c r="N4326">
        <v>0.72884000000000004</v>
      </c>
      <c r="O4326">
        <v>0.21301339999999999</v>
      </c>
      <c r="P4326">
        <v>132.27272730000001</v>
      </c>
      <c r="Q4326">
        <v>20.180448590000001</v>
      </c>
      <c r="R4326">
        <v>3.7813451999999997E-2</v>
      </c>
      <c r="S4326">
        <v>0.41404401000000002</v>
      </c>
      <c r="T4326" t="s">
        <v>1040</v>
      </c>
      <c r="U4326">
        <v>-0.20103061000000003</v>
      </c>
    </row>
    <row r="4327" spans="1:21" x14ac:dyDescent="0.25">
      <c r="A4327" t="s">
        <v>69</v>
      </c>
      <c r="B4327" t="s">
        <v>828</v>
      </c>
      <c r="C4327">
        <v>10</v>
      </c>
      <c r="D4327" t="s">
        <v>17</v>
      </c>
      <c r="E4327" t="s">
        <v>95</v>
      </c>
      <c r="F4327" t="s">
        <v>113</v>
      </c>
      <c r="G4327" t="s">
        <v>113</v>
      </c>
      <c r="H4327" t="s">
        <v>235</v>
      </c>
      <c r="J4327">
        <v>0</v>
      </c>
      <c r="K4327">
        <v>2</v>
      </c>
      <c r="L4327">
        <v>83.757575759999995</v>
      </c>
      <c r="M4327">
        <v>22.60997987</v>
      </c>
      <c r="N4327">
        <v>0.72884000000000004</v>
      </c>
      <c r="O4327">
        <v>0.21301339999999999</v>
      </c>
      <c r="P4327">
        <v>132.27272730000001</v>
      </c>
      <c r="Q4327">
        <v>20.180448590000001</v>
      </c>
      <c r="R4327">
        <v>3.7813451999999997E-2</v>
      </c>
      <c r="S4327">
        <v>0.41404401000000002</v>
      </c>
      <c r="T4327" t="s">
        <v>1040</v>
      </c>
      <c r="U4327">
        <v>-0.20103061000000003</v>
      </c>
    </row>
    <row r="4328" spans="1:21" x14ac:dyDescent="0.25">
      <c r="A4328" t="s">
        <v>69</v>
      </c>
      <c r="B4328" t="s">
        <v>829</v>
      </c>
      <c r="C4328">
        <v>10</v>
      </c>
      <c r="D4328" t="s">
        <v>17</v>
      </c>
      <c r="E4328" t="s">
        <v>95</v>
      </c>
      <c r="F4328" t="s">
        <v>103</v>
      </c>
      <c r="G4328" t="s">
        <v>103</v>
      </c>
      <c r="H4328" t="s">
        <v>103</v>
      </c>
      <c r="J4328">
        <v>0</v>
      </c>
      <c r="K4328">
        <v>1</v>
      </c>
      <c r="L4328">
        <v>98.291666669999998</v>
      </c>
      <c r="M4328">
        <v>30.315130790000001</v>
      </c>
      <c r="N4328">
        <v>5.0803484000000003E-2</v>
      </c>
      <c r="O4328">
        <v>0.42866070000000001</v>
      </c>
      <c r="P4328">
        <v>98.291666669999998</v>
      </c>
      <c r="Q4328">
        <v>30.315130790000001</v>
      </c>
      <c r="R4328">
        <v>5.0803484000000003E-2</v>
      </c>
      <c r="S4328">
        <v>0.42866070000000001</v>
      </c>
      <c r="T4328" t="s">
        <v>1040</v>
      </c>
      <c r="U4328">
        <v>0</v>
      </c>
    </row>
    <row r="4329" spans="1:21" x14ac:dyDescent="0.25">
      <c r="A4329" t="s">
        <v>69</v>
      </c>
      <c r="B4329" t="s">
        <v>829</v>
      </c>
      <c r="C4329">
        <v>10</v>
      </c>
      <c r="D4329" t="s">
        <v>17</v>
      </c>
      <c r="E4329" t="s">
        <v>95</v>
      </c>
      <c r="F4329" t="s">
        <v>103</v>
      </c>
      <c r="G4329" t="s">
        <v>103</v>
      </c>
      <c r="H4329" t="s">
        <v>241</v>
      </c>
      <c r="J4329">
        <v>0</v>
      </c>
      <c r="K4329">
        <v>1</v>
      </c>
      <c r="L4329">
        <v>98.291666669999998</v>
      </c>
      <c r="M4329">
        <v>30.315130790000001</v>
      </c>
      <c r="N4329">
        <v>5.0803484000000003E-2</v>
      </c>
      <c r="O4329">
        <v>0.42866070000000001</v>
      </c>
      <c r="P4329">
        <v>114</v>
      </c>
      <c r="Q4329">
        <v>30.43077242</v>
      </c>
      <c r="R4329">
        <v>0.53383111100000002</v>
      </c>
      <c r="S4329">
        <v>0.28333332999999999</v>
      </c>
      <c r="T4329" t="s">
        <v>1040</v>
      </c>
      <c r="U4329">
        <v>0.14532737000000001</v>
      </c>
    </row>
    <row r="4330" spans="1:21" x14ac:dyDescent="0.25">
      <c r="A4330" t="s">
        <v>69</v>
      </c>
      <c r="B4330" t="s">
        <v>829</v>
      </c>
      <c r="C4330">
        <v>10</v>
      </c>
      <c r="D4330" t="s">
        <v>17</v>
      </c>
      <c r="E4330" t="s">
        <v>95</v>
      </c>
      <c r="F4330" t="s">
        <v>103</v>
      </c>
      <c r="G4330" t="s">
        <v>103</v>
      </c>
      <c r="H4330" t="s">
        <v>235</v>
      </c>
      <c r="J4330">
        <v>0</v>
      </c>
      <c r="K4330">
        <v>1</v>
      </c>
      <c r="L4330">
        <v>98.291666669999998</v>
      </c>
      <c r="M4330">
        <v>30.315130790000001</v>
      </c>
      <c r="N4330">
        <v>5.0803484000000003E-2</v>
      </c>
      <c r="O4330">
        <v>0.42866070000000001</v>
      </c>
      <c r="P4330">
        <v>132.27272730000001</v>
      </c>
      <c r="Q4330">
        <v>20.180448590000001</v>
      </c>
      <c r="R4330">
        <v>3.7813451999999997E-2</v>
      </c>
      <c r="S4330">
        <v>0.41404401000000002</v>
      </c>
      <c r="T4330" t="s">
        <v>1040</v>
      </c>
      <c r="U4330">
        <v>1.4616689999999988E-2</v>
      </c>
    </row>
    <row r="4331" spans="1:21" x14ac:dyDescent="0.25">
      <c r="A4331" t="s">
        <v>69</v>
      </c>
      <c r="B4331" t="s">
        <v>830</v>
      </c>
      <c r="C4331">
        <v>10</v>
      </c>
      <c r="D4331" t="s">
        <v>17</v>
      </c>
      <c r="E4331" t="s">
        <v>95</v>
      </c>
      <c r="F4331" t="s">
        <v>111</v>
      </c>
      <c r="G4331" t="s">
        <v>121</v>
      </c>
      <c r="H4331" t="s">
        <v>235</v>
      </c>
      <c r="J4331">
        <v>0</v>
      </c>
      <c r="K4331">
        <v>3</v>
      </c>
      <c r="L4331">
        <v>94.97142857</v>
      </c>
      <c r="M4331">
        <v>24.31591813</v>
      </c>
      <c r="N4331">
        <v>0.122951111</v>
      </c>
      <c r="O4331">
        <v>0.39050790000000002</v>
      </c>
      <c r="P4331">
        <v>132.27272730000001</v>
      </c>
      <c r="Q4331">
        <v>20.180448590000001</v>
      </c>
      <c r="R4331">
        <v>3.7813451999999997E-2</v>
      </c>
      <c r="S4331">
        <v>0.41404401000000002</v>
      </c>
      <c r="T4331" t="s">
        <v>1040</v>
      </c>
      <c r="U4331">
        <v>-2.3536109999999999E-2</v>
      </c>
    </row>
    <row r="4332" spans="1:21" x14ac:dyDescent="0.25">
      <c r="A4332" t="s">
        <v>69</v>
      </c>
      <c r="B4332" t="s">
        <v>830</v>
      </c>
      <c r="C4332">
        <v>10</v>
      </c>
      <c r="D4332" t="s">
        <v>17</v>
      </c>
      <c r="E4332" t="s">
        <v>95</v>
      </c>
      <c r="F4332" t="s">
        <v>111</v>
      </c>
      <c r="G4332" t="s">
        <v>121</v>
      </c>
      <c r="H4332" t="s">
        <v>235</v>
      </c>
      <c r="J4332">
        <v>0</v>
      </c>
      <c r="K4332">
        <v>3</v>
      </c>
      <c r="L4332">
        <v>94.97142857</v>
      </c>
      <c r="M4332">
        <v>24.31591813</v>
      </c>
      <c r="N4332">
        <v>0.122951111</v>
      </c>
      <c r="O4332">
        <v>0.39050790000000002</v>
      </c>
      <c r="P4332">
        <v>132.27272730000001</v>
      </c>
      <c r="Q4332">
        <v>20.180448590000001</v>
      </c>
      <c r="R4332">
        <v>3.7813451999999997E-2</v>
      </c>
      <c r="S4332">
        <v>0.41404401000000002</v>
      </c>
      <c r="T4332" t="s">
        <v>1040</v>
      </c>
      <c r="U4332">
        <v>-2.3536109999999999E-2</v>
      </c>
    </row>
    <row r="4333" spans="1:21" x14ac:dyDescent="0.25">
      <c r="A4333" t="s">
        <v>69</v>
      </c>
      <c r="B4333" t="s">
        <v>830</v>
      </c>
      <c r="C4333">
        <v>10</v>
      </c>
      <c r="D4333" t="s">
        <v>17</v>
      </c>
      <c r="E4333" t="s">
        <v>95</v>
      </c>
      <c r="F4333" t="s">
        <v>111</v>
      </c>
      <c r="G4333" t="s">
        <v>121</v>
      </c>
      <c r="H4333" t="s">
        <v>235</v>
      </c>
      <c r="J4333">
        <v>0</v>
      </c>
      <c r="K4333">
        <v>3</v>
      </c>
      <c r="L4333">
        <v>94.97142857</v>
      </c>
      <c r="M4333">
        <v>24.31591813</v>
      </c>
      <c r="N4333">
        <v>0.122951111</v>
      </c>
      <c r="O4333">
        <v>0.39050790000000002</v>
      </c>
      <c r="P4333">
        <v>132.27272730000001</v>
      </c>
      <c r="Q4333">
        <v>20.180448590000001</v>
      </c>
      <c r="R4333">
        <v>3.7813451999999997E-2</v>
      </c>
      <c r="S4333">
        <v>0.41404401000000002</v>
      </c>
      <c r="T4333" t="s">
        <v>1040</v>
      </c>
      <c r="U4333">
        <v>-2.3536109999999999E-2</v>
      </c>
    </row>
    <row r="4334" spans="1:21" x14ac:dyDescent="0.25">
      <c r="A4334" t="s">
        <v>69</v>
      </c>
      <c r="B4334" t="s">
        <v>831</v>
      </c>
      <c r="C4334">
        <v>10</v>
      </c>
      <c r="D4334" t="s">
        <v>17</v>
      </c>
      <c r="E4334" t="s">
        <v>95</v>
      </c>
      <c r="F4334" t="s">
        <v>112</v>
      </c>
      <c r="G4334" t="s">
        <v>121</v>
      </c>
      <c r="H4334" t="s">
        <v>235</v>
      </c>
      <c r="I4334" t="s">
        <v>252</v>
      </c>
      <c r="J4334">
        <v>1</v>
      </c>
      <c r="K4334">
        <v>2</v>
      </c>
      <c r="L4334">
        <v>65.09375</v>
      </c>
      <c r="M4334">
        <v>37.895352600000002</v>
      </c>
      <c r="N4334">
        <v>2.2882677779999998</v>
      </c>
      <c r="O4334">
        <v>2.2111774</v>
      </c>
      <c r="P4334">
        <v>132.27272730000001</v>
      </c>
      <c r="Q4334">
        <v>20.180448590000001</v>
      </c>
      <c r="R4334">
        <v>3.7813451999999997E-2</v>
      </c>
      <c r="S4334">
        <v>0.41404401000000002</v>
      </c>
      <c r="T4334" t="s">
        <v>1040</v>
      </c>
      <c r="U4334">
        <v>1.7971333899999999</v>
      </c>
    </row>
    <row r="4335" spans="1:21" x14ac:dyDescent="0.25">
      <c r="A4335" t="s">
        <v>69</v>
      </c>
      <c r="B4335" t="s">
        <v>831</v>
      </c>
      <c r="C4335">
        <v>10</v>
      </c>
      <c r="D4335" t="s">
        <v>17</v>
      </c>
      <c r="E4335" t="s">
        <v>95</v>
      </c>
      <c r="F4335" t="s">
        <v>112</v>
      </c>
      <c r="G4335" t="s">
        <v>121</v>
      </c>
      <c r="H4335" t="s">
        <v>235</v>
      </c>
      <c r="I4335" t="s">
        <v>252</v>
      </c>
      <c r="J4335">
        <v>1</v>
      </c>
      <c r="K4335">
        <v>2</v>
      </c>
      <c r="L4335">
        <v>65.09375</v>
      </c>
      <c r="M4335">
        <v>37.895352600000002</v>
      </c>
      <c r="N4335">
        <v>2.2882677779999998</v>
      </c>
      <c r="O4335">
        <v>2.2111774</v>
      </c>
      <c r="P4335">
        <v>132.27272730000001</v>
      </c>
      <c r="Q4335">
        <v>20.180448590000001</v>
      </c>
      <c r="R4335">
        <v>3.7813451999999997E-2</v>
      </c>
      <c r="S4335">
        <v>0.41404401000000002</v>
      </c>
      <c r="T4335" t="s">
        <v>1040</v>
      </c>
      <c r="U4335">
        <v>1.7971333899999999</v>
      </c>
    </row>
    <row r="4336" spans="1:21" x14ac:dyDescent="0.25">
      <c r="A4336" t="s">
        <v>70</v>
      </c>
      <c r="B4336" t="s">
        <v>832</v>
      </c>
      <c r="C4336">
        <v>10</v>
      </c>
      <c r="D4336" t="s">
        <v>19</v>
      </c>
      <c r="E4336" t="s">
        <v>95</v>
      </c>
      <c r="F4336" t="s">
        <v>102</v>
      </c>
      <c r="G4336" t="s">
        <v>121</v>
      </c>
      <c r="H4336" t="s">
        <v>102</v>
      </c>
      <c r="J4336">
        <v>0</v>
      </c>
      <c r="K4336">
        <v>1</v>
      </c>
      <c r="L4336">
        <v>84.740740740000007</v>
      </c>
      <c r="M4336">
        <v>29.167014049999999</v>
      </c>
      <c r="N4336">
        <v>1.1169849999999999</v>
      </c>
      <c r="O4336">
        <v>1.1571499000000001</v>
      </c>
      <c r="P4336">
        <v>84.740740740000007</v>
      </c>
      <c r="Q4336">
        <v>29.167014049999999</v>
      </c>
      <c r="R4336">
        <v>1.1169849999999999</v>
      </c>
      <c r="S4336">
        <v>1.1571499000000001</v>
      </c>
      <c r="T4336" t="s">
        <v>1040</v>
      </c>
      <c r="U4336">
        <v>0</v>
      </c>
    </row>
    <row r="4337" spans="1:21" x14ac:dyDescent="0.25">
      <c r="A4337" t="s">
        <v>70</v>
      </c>
      <c r="B4337" t="s">
        <v>832</v>
      </c>
      <c r="C4337">
        <v>10</v>
      </c>
      <c r="D4337" t="s">
        <v>19</v>
      </c>
      <c r="E4337" t="s">
        <v>95</v>
      </c>
      <c r="F4337" t="s">
        <v>102</v>
      </c>
      <c r="G4337" t="s">
        <v>121</v>
      </c>
      <c r="H4337" t="s">
        <v>236</v>
      </c>
      <c r="J4337">
        <v>0</v>
      </c>
      <c r="K4337">
        <v>1</v>
      </c>
      <c r="L4337">
        <v>84.740740740000007</v>
      </c>
      <c r="M4337">
        <v>29.167014049999999</v>
      </c>
      <c r="N4337">
        <v>1.1169849999999999</v>
      </c>
      <c r="O4337">
        <v>1.1571499000000001</v>
      </c>
      <c r="P4337">
        <v>113.33333330000001</v>
      </c>
      <c r="Q4337">
        <v>26.41632581</v>
      </c>
      <c r="R4337">
        <v>1.6844570160000001</v>
      </c>
      <c r="S4337">
        <v>8.9285710000000004E-2</v>
      </c>
      <c r="T4337" t="s">
        <v>1040</v>
      </c>
      <c r="U4337">
        <v>1.0678641900000001</v>
      </c>
    </row>
    <row r="4338" spans="1:21" x14ac:dyDescent="0.25">
      <c r="A4338" t="s">
        <v>70</v>
      </c>
      <c r="B4338" t="s">
        <v>833</v>
      </c>
      <c r="C4338">
        <v>10</v>
      </c>
      <c r="D4338" t="s">
        <v>19</v>
      </c>
      <c r="E4338" t="s">
        <v>95</v>
      </c>
      <c r="F4338" t="s">
        <v>105</v>
      </c>
      <c r="G4338" t="s">
        <v>121</v>
      </c>
      <c r="H4338" t="s">
        <v>235</v>
      </c>
      <c r="J4338">
        <v>0</v>
      </c>
      <c r="K4338">
        <v>1</v>
      </c>
      <c r="L4338">
        <v>67.5</v>
      </c>
      <c r="M4338">
        <v>47.937235809999997</v>
      </c>
      <c r="N4338">
        <v>0.41599678000000001</v>
      </c>
      <c r="O4338">
        <v>2.0950346999999998</v>
      </c>
      <c r="P4338">
        <v>132.27272730000001</v>
      </c>
      <c r="Q4338">
        <v>20.180448590000001</v>
      </c>
      <c r="R4338">
        <v>3.7813451999999997E-2</v>
      </c>
      <c r="S4338">
        <v>0.41404401000000002</v>
      </c>
      <c r="T4338" t="s">
        <v>1040</v>
      </c>
      <c r="U4338">
        <v>1.6809906899999998</v>
      </c>
    </row>
    <row r="4339" spans="1:21" x14ac:dyDescent="0.25">
      <c r="A4339" t="s">
        <v>70</v>
      </c>
      <c r="B4339" t="s">
        <v>833</v>
      </c>
      <c r="C4339">
        <v>10</v>
      </c>
      <c r="D4339" t="s">
        <v>19</v>
      </c>
      <c r="E4339" t="s">
        <v>95</v>
      </c>
      <c r="F4339" t="s">
        <v>105</v>
      </c>
      <c r="G4339" t="s">
        <v>121</v>
      </c>
      <c r="H4339" t="s">
        <v>236</v>
      </c>
      <c r="J4339">
        <v>0</v>
      </c>
      <c r="K4339">
        <v>2</v>
      </c>
      <c r="L4339">
        <v>67.5</v>
      </c>
      <c r="M4339">
        <v>47.937235809999997</v>
      </c>
      <c r="N4339">
        <v>0.41599678000000001</v>
      </c>
      <c r="O4339">
        <v>2.0950346999999998</v>
      </c>
      <c r="P4339">
        <v>113.33333330000001</v>
      </c>
      <c r="Q4339">
        <v>26.41632581</v>
      </c>
      <c r="R4339">
        <v>1.6844570160000001</v>
      </c>
      <c r="S4339">
        <v>8.9285710000000004E-2</v>
      </c>
      <c r="T4339" t="s">
        <v>1040</v>
      </c>
      <c r="U4339">
        <v>2.0057489899999998</v>
      </c>
    </row>
    <row r="4340" spans="1:21" x14ac:dyDescent="0.25">
      <c r="A4340" t="s">
        <v>70</v>
      </c>
      <c r="B4340" t="s">
        <v>833</v>
      </c>
      <c r="C4340">
        <v>10</v>
      </c>
      <c r="D4340" t="s">
        <v>19</v>
      </c>
      <c r="E4340" t="s">
        <v>95</v>
      </c>
      <c r="F4340" t="s">
        <v>105</v>
      </c>
      <c r="G4340" t="s">
        <v>121</v>
      </c>
      <c r="H4340" t="s">
        <v>236</v>
      </c>
      <c r="J4340">
        <v>0</v>
      </c>
      <c r="K4340">
        <v>2</v>
      </c>
      <c r="L4340">
        <v>67.5</v>
      </c>
      <c r="M4340">
        <v>47.937235809999997</v>
      </c>
      <c r="N4340">
        <v>0.41599678000000001</v>
      </c>
      <c r="O4340">
        <v>2.0950346999999998</v>
      </c>
      <c r="P4340">
        <v>113.33333330000001</v>
      </c>
      <c r="Q4340">
        <v>26.41632581</v>
      </c>
      <c r="R4340">
        <v>1.6844570160000001</v>
      </c>
      <c r="S4340">
        <v>8.9285710000000004E-2</v>
      </c>
      <c r="T4340" t="s">
        <v>1040</v>
      </c>
      <c r="U4340">
        <v>2.0057489899999998</v>
      </c>
    </row>
    <row r="4341" spans="1:21" x14ac:dyDescent="0.25">
      <c r="A4341" t="s">
        <v>70</v>
      </c>
      <c r="B4341" t="s">
        <v>833</v>
      </c>
      <c r="C4341">
        <v>10</v>
      </c>
      <c r="D4341" t="s">
        <v>19</v>
      </c>
      <c r="E4341" t="s">
        <v>95</v>
      </c>
      <c r="F4341" t="s">
        <v>105</v>
      </c>
      <c r="G4341" t="s">
        <v>121</v>
      </c>
      <c r="H4341" t="s">
        <v>162</v>
      </c>
      <c r="J4341">
        <v>0</v>
      </c>
      <c r="K4341">
        <v>1</v>
      </c>
      <c r="L4341">
        <v>67.5</v>
      </c>
      <c r="M4341">
        <v>47.937235809999997</v>
      </c>
      <c r="N4341">
        <v>0.41599678000000001</v>
      </c>
      <c r="O4341">
        <v>2.0950346999999998</v>
      </c>
      <c r="P4341">
        <v>82.53846154</v>
      </c>
      <c r="Q4341">
        <v>35.660530039999998</v>
      </c>
      <c r="R4341">
        <v>3.3754499999999998</v>
      </c>
      <c r="S4341" t="s">
        <v>114</v>
      </c>
      <c r="T4341" t="s">
        <v>1040</v>
      </c>
      <c r="U4341" t="s">
        <v>114</v>
      </c>
    </row>
    <row r="4342" spans="1:21" x14ac:dyDescent="0.25">
      <c r="A4342" t="s">
        <v>70</v>
      </c>
      <c r="B4342" t="s">
        <v>834</v>
      </c>
      <c r="C4342">
        <v>10</v>
      </c>
      <c r="D4342" t="s">
        <v>19</v>
      </c>
      <c r="E4342" t="s">
        <v>95</v>
      </c>
      <c r="F4342" t="s">
        <v>111</v>
      </c>
      <c r="G4342" t="s">
        <v>121</v>
      </c>
      <c r="H4342" t="s">
        <v>235</v>
      </c>
      <c r="J4342">
        <v>0</v>
      </c>
      <c r="K4342">
        <v>1</v>
      </c>
      <c r="L4342">
        <v>94.97142857</v>
      </c>
      <c r="M4342">
        <v>24.31591813</v>
      </c>
      <c r="N4342">
        <v>0.122951111</v>
      </c>
      <c r="O4342">
        <v>0.39050790000000002</v>
      </c>
      <c r="P4342">
        <v>132.27272730000001</v>
      </c>
      <c r="Q4342">
        <v>20.180448590000001</v>
      </c>
      <c r="R4342">
        <v>3.7813451999999997E-2</v>
      </c>
      <c r="S4342">
        <v>0.41404401000000002</v>
      </c>
      <c r="T4342" t="s">
        <v>1040</v>
      </c>
      <c r="U4342">
        <v>-2.3536109999999999E-2</v>
      </c>
    </row>
    <row r="4343" spans="1:21" x14ac:dyDescent="0.25">
      <c r="A4343" t="s">
        <v>71</v>
      </c>
      <c r="B4343" t="s">
        <v>835</v>
      </c>
      <c r="C4343">
        <v>10</v>
      </c>
      <c r="D4343" t="s">
        <v>21</v>
      </c>
      <c r="E4343" t="s">
        <v>94</v>
      </c>
      <c r="F4343" t="s">
        <v>102</v>
      </c>
      <c r="G4343" t="s">
        <v>121</v>
      </c>
      <c r="H4343" t="s">
        <v>114</v>
      </c>
      <c r="J4343">
        <v>0</v>
      </c>
      <c r="K4343" t="s">
        <v>114</v>
      </c>
      <c r="L4343">
        <v>84.740740740000007</v>
      </c>
      <c r="M4343">
        <v>29.167014049999999</v>
      </c>
      <c r="N4343">
        <v>1.1169849999999999</v>
      </c>
      <c r="O4343">
        <v>1.1571499000000001</v>
      </c>
      <c r="P4343" t="s">
        <v>114</v>
      </c>
      <c r="Q4343" t="s">
        <v>114</v>
      </c>
      <c r="R4343" t="s">
        <v>114</v>
      </c>
      <c r="S4343" t="s">
        <v>114</v>
      </c>
      <c r="T4343" t="s">
        <v>1040</v>
      </c>
      <c r="U4343" t="s">
        <v>114</v>
      </c>
    </row>
    <row r="4344" spans="1:21" x14ac:dyDescent="0.25">
      <c r="A4344" t="s">
        <v>71</v>
      </c>
      <c r="B4344" t="s">
        <v>836</v>
      </c>
      <c r="C4344">
        <v>10</v>
      </c>
      <c r="D4344" t="s">
        <v>21</v>
      </c>
      <c r="E4344" t="s">
        <v>94</v>
      </c>
      <c r="F4344" t="s">
        <v>111</v>
      </c>
      <c r="G4344" t="s">
        <v>111</v>
      </c>
      <c r="H4344" t="s">
        <v>111</v>
      </c>
      <c r="J4344">
        <v>0</v>
      </c>
      <c r="K4344">
        <v>1</v>
      </c>
      <c r="L4344">
        <v>94.97142857</v>
      </c>
      <c r="M4344">
        <v>24.31591813</v>
      </c>
      <c r="N4344">
        <v>0.122951111</v>
      </c>
      <c r="O4344">
        <v>0.39050790000000002</v>
      </c>
      <c r="P4344">
        <v>94.97142857</v>
      </c>
      <c r="Q4344">
        <v>24.31591813</v>
      </c>
      <c r="R4344">
        <v>0.122951111</v>
      </c>
      <c r="S4344">
        <v>0.39050790000000002</v>
      </c>
      <c r="T4344" t="s">
        <v>1040</v>
      </c>
      <c r="U4344">
        <v>0</v>
      </c>
    </row>
    <row r="4345" spans="1:21" x14ac:dyDescent="0.25">
      <c r="A4345" t="s">
        <v>71</v>
      </c>
      <c r="B4345" t="s">
        <v>836</v>
      </c>
      <c r="C4345">
        <v>10</v>
      </c>
      <c r="D4345" t="s">
        <v>21</v>
      </c>
      <c r="E4345" t="s">
        <v>94</v>
      </c>
      <c r="F4345" t="s">
        <v>111</v>
      </c>
      <c r="G4345" t="s">
        <v>111</v>
      </c>
      <c r="H4345" t="s">
        <v>250</v>
      </c>
      <c r="J4345">
        <v>0</v>
      </c>
      <c r="K4345">
        <v>1</v>
      </c>
      <c r="L4345">
        <v>94.97142857</v>
      </c>
      <c r="M4345">
        <v>24.31591813</v>
      </c>
      <c r="N4345">
        <v>0.122951111</v>
      </c>
      <c r="O4345">
        <v>0.39050790000000002</v>
      </c>
      <c r="P4345">
        <v>157.14285709999999</v>
      </c>
      <c r="Q4345">
        <v>28.969081320000001</v>
      </c>
      <c r="R4345">
        <v>0.55164111100000002</v>
      </c>
      <c r="S4345" t="s">
        <v>114</v>
      </c>
      <c r="T4345" t="s">
        <v>1040</v>
      </c>
      <c r="U4345" t="s">
        <v>114</v>
      </c>
    </row>
    <row r="4346" spans="1:21" x14ac:dyDescent="0.25">
      <c r="A4346" t="s">
        <v>71</v>
      </c>
      <c r="B4346" t="s">
        <v>837</v>
      </c>
      <c r="C4346">
        <v>10</v>
      </c>
      <c r="D4346" t="s">
        <v>21</v>
      </c>
      <c r="E4346" t="s">
        <v>94</v>
      </c>
      <c r="F4346" t="s">
        <v>104</v>
      </c>
      <c r="G4346" t="s">
        <v>104</v>
      </c>
      <c r="H4346" t="s">
        <v>104</v>
      </c>
      <c r="J4346">
        <v>0</v>
      </c>
      <c r="K4346">
        <v>1</v>
      </c>
      <c r="L4346">
        <v>113.9375</v>
      </c>
      <c r="M4346">
        <v>33.375507550000002</v>
      </c>
      <c r="N4346">
        <v>2.4262999999999999</v>
      </c>
      <c r="O4346">
        <v>0.40692159999999999</v>
      </c>
      <c r="P4346">
        <v>113.9375</v>
      </c>
      <c r="Q4346">
        <v>33.375507550000002</v>
      </c>
      <c r="R4346">
        <v>2.4262999999999999</v>
      </c>
      <c r="S4346">
        <v>0.40692159999999999</v>
      </c>
      <c r="T4346" t="s">
        <v>1040</v>
      </c>
      <c r="U4346">
        <v>0</v>
      </c>
    </row>
    <row r="4347" spans="1:21" x14ac:dyDescent="0.25">
      <c r="A4347" t="s">
        <v>72</v>
      </c>
      <c r="B4347" t="s">
        <v>838</v>
      </c>
      <c r="C4347">
        <v>10</v>
      </c>
      <c r="D4347" t="s">
        <v>23</v>
      </c>
      <c r="E4347" t="s">
        <v>95</v>
      </c>
      <c r="F4347" t="s">
        <v>105</v>
      </c>
      <c r="G4347" t="s">
        <v>121</v>
      </c>
      <c r="H4347" t="s">
        <v>238</v>
      </c>
      <c r="J4347">
        <v>0</v>
      </c>
      <c r="K4347">
        <v>1</v>
      </c>
      <c r="L4347">
        <v>67.5</v>
      </c>
      <c r="M4347">
        <v>47.937235809999997</v>
      </c>
      <c r="N4347">
        <v>0.41599678000000001</v>
      </c>
      <c r="O4347">
        <v>2.0950346999999998</v>
      </c>
      <c r="P4347">
        <v>87.5</v>
      </c>
      <c r="Q4347">
        <v>29.478311600000001</v>
      </c>
      <c r="R4347">
        <v>3.0797751000000002E-2</v>
      </c>
      <c r="S4347">
        <v>0.12931835</v>
      </c>
      <c r="T4347" t="s">
        <v>1040</v>
      </c>
      <c r="U4347">
        <v>1.9657163499999999</v>
      </c>
    </row>
    <row r="4348" spans="1:21" x14ac:dyDescent="0.25">
      <c r="A4348" t="s">
        <v>72</v>
      </c>
      <c r="B4348" t="s">
        <v>839</v>
      </c>
      <c r="C4348">
        <v>10</v>
      </c>
      <c r="D4348" t="s">
        <v>23</v>
      </c>
      <c r="E4348" t="s">
        <v>95</v>
      </c>
      <c r="F4348" t="s">
        <v>111</v>
      </c>
      <c r="G4348" t="s">
        <v>121</v>
      </c>
      <c r="H4348" t="s">
        <v>114</v>
      </c>
      <c r="J4348">
        <v>0</v>
      </c>
      <c r="K4348">
        <v>0</v>
      </c>
      <c r="L4348">
        <v>94.97142857</v>
      </c>
      <c r="M4348">
        <v>24.31591813</v>
      </c>
      <c r="N4348">
        <v>0.122951111</v>
      </c>
      <c r="O4348">
        <v>0.39050790000000002</v>
      </c>
      <c r="P4348" t="s">
        <v>114</v>
      </c>
      <c r="Q4348" t="s">
        <v>114</v>
      </c>
      <c r="R4348" t="s">
        <v>114</v>
      </c>
      <c r="S4348" t="s">
        <v>114</v>
      </c>
      <c r="T4348" t="s">
        <v>1040</v>
      </c>
      <c r="U4348" t="s">
        <v>114</v>
      </c>
    </row>
    <row r="4349" spans="1:21" x14ac:dyDescent="0.25">
      <c r="A4349" t="s">
        <v>72</v>
      </c>
      <c r="B4349" t="s">
        <v>840</v>
      </c>
      <c r="C4349">
        <v>10</v>
      </c>
      <c r="D4349" t="s">
        <v>23</v>
      </c>
      <c r="E4349" t="s">
        <v>95</v>
      </c>
      <c r="F4349" t="s">
        <v>104</v>
      </c>
      <c r="G4349" t="s">
        <v>104</v>
      </c>
      <c r="H4349" t="s">
        <v>104</v>
      </c>
      <c r="J4349">
        <v>0</v>
      </c>
      <c r="K4349">
        <v>1</v>
      </c>
      <c r="L4349">
        <v>113.9375</v>
      </c>
      <c r="M4349">
        <v>33.375507550000002</v>
      </c>
      <c r="N4349">
        <v>2.4262999999999999</v>
      </c>
      <c r="O4349">
        <v>0.40692159999999999</v>
      </c>
      <c r="P4349">
        <v>113.9375</v>
      </c>
      <c r="Q4349">
        <v>33.375507550000002</v>
      </c>
      <c r="R4349">
        <v>2.4262999999999999</v>
      </c>
      <c r="S4349">
        <v>0.40692159999999999</v>
      </c>
      <c r="T4349" t="s">
        <v>1040</v>
      </c>
      <c r="U4349">
        <v>0</v>
      </c>
    </row>
    <row r="4350" spans="1:21" x14ac:dyDescent="0.25">
      <c r="A4350" t="s">
        <v>72</v>
      </c>
      <c r="B4350" t="s">
        <v>840</v>
      </c>
      <c r="C4350">
        <v>10</v>
      </c>
      <c r="D4350" t="s">
        <v>23</v>
      </c>
      <c r="E4350" t="s">
        <v>95</v>
      </c>
      <c r="F4350" t="s">
        <v>104</v>
      </c>
      <c r="G4350" t="s">
        <v>104</v>
      </c>
      <c r="H4350" t="s">
        <v>244</v>
      </c>
      <c r="J4350">
        <v>0</v>
      </c>
      <c r="K4350">
        <v>1</v>
      </c>
      <c r="L4350">
        <v>113.9375</v>
      </c>
      <c r="M4350">
        <v>33.375507550000002</v>
      </c>
      <c r="N4350">
        <v>2.4262999999999999</v>
      </c>
      <c r="O4350">
        <v>0.40692159999999999</v>
      </c>
      <c r="P4350">
        <v>75</v>
      </c>
      <c r="Q4350">
        <v>28.80614499</v>
      </c>
      <c r="R4350">
        <v>2.3860428570000001</v>
      </c>
      <c r="S4350">
        <v>0.26400832000000002</v>
      </c>
      <c r="T4350" t="s">
        <v>1040</v>
      </c>
      <c r="U4350">
        <v>0.14291327999999998</v>
      </c>
    </row>
    <row r="4351" spans="1:21" x14ac:dyDescent="0.25">
      <c r="A4351" t="s">
        <v>72</v>
      </c>
      <c r="B4351" t="s">
        <v>841</v>
      </c>
      <c r="C4351">
        <v>10</v>
      </c>
      <c r="D4351" t="s">
        <v>23</v>
      </c>
      <c r="E4351" t="s">
        <v>95</v>
      </c>
      <c r="F4351" t="s">
        <v>112</v>
      </c>
      <c r="G4351" t="s">
        <v>121</v>
      </c>
      <c r="H4351" t="s">
        <v>238</v>
      </c>
      <c r="J4351">
        <v>0</v>
      </c>
      <c r="K4351">
        <v>1</v>
      </c>
      <c r="L4351">
        <v>65.09375</v>
      </c>
      <c r="M4351">
        <v>37.895352600000002</v>
      </c>
      <c r="N4351">
        <v>2.2882677779999998</v>
      </c>
      <c r="O4351">
        <v>2.2111774</v>
      </c>
      <c r="P4351">
        <v>87.5</v>
      </c>
      <c r="Q4351">
        <v>29.478311600000001</v>
      </c>
      <c r="R4351">
        <v>3.0797751000000002E-2</v>
      </c>
      <c r="S4351">
        <v>0.12931835</v>
      </c>
      <c r="T4351" t="s">
        <v>1040</v>
      </c>
      <c r="U4351">
        <v>2.0818590499999998</v>
      </c>
    </row>
    <row r="4352" spans="1:21" x14ac:dyDescent="0.25">
      <c r="A4352" t="s">
        <v>73</v>
      </c>
      <c r="B4352" t="s">
        <v>842</v>
      </c>
      <c r="C4352">
        <v>10</v>
      </c>
      <c r="D4352" t="s">
        <v>25</v>
      </c>
      <c r="E4352" t="s">
        <v>94</v>
      </c>
      <c r="F4352" t="s">
        <v>105</v>
      </c>
      <c r="G4352" t="s">
        <v>112</v>
      </c>
      <c r="H4352" t="s">
        <v>112</v>
      </c>
      <c r="J4352">
        <v>0</v>
      </c>
      <c r="K4352">
        <v>1</v>
      </c>
      <c r="L4352">
        <v>67.5</v>
      </c>
      <c r="M4352">
        <v>47.937235809999997</v>
      </c>
      <c r="N4352">
        <v>0.41599678000000001</v>
      </c>
      <c r="O4352">
        <v>2.0950346999999998</v>
      </c>
      <c r="P4352">
        <v>65.09375</v>
      </c>
      <c r="Q4352">
        <v>37.895352600000002</v>
      </c>
      <c r="R4352">
        <v>2.2882677779999998</v>
      </c>
      <c r="S4352">
        <v>2.2111774</v>
      </c>
      <c r="T4352" t="s">
        <v>1040</v>
      </c>
      <c r="U4352">
        <v>-0.11614270000000015</v>
      </c>
    </row>
    <row r="4353" spans="1:21" x14ac:dyDescent="0.25">
      <c r="A4353" t="s">
        <v>73</v>
      </c>
      <c r="B4353" t="s">
        <v>843</v>
      </c>
      <c r="C4353">
        <v>10</v>
      </c>
      <c r="D4353" t="s">
        <v>25</v>
      </c>
      <c r="E4353" t="s">
        <v>94</v>
      </c>
      <c r="F4353" t="s">
        <v>110</v>
      </c>
      <c r="G4353" t="s">
        <v>110</v>
      </c>
      <c r="H4353" t="s">
        <v>110</v>
      </c>
      <c r="J4353">
        <v>0</v>
      </c>
      <c r="K4353">
        <v>3</v>
      </c>
      <c r="L4353">
        <v>73.260869569999997</v>
      </c>
      <c r="M4353">
        <v>34.453830549999999</v>
      </c>
      <c r="N4353">
        <v>1.058333333</v>
      </c>
      <c r="O4353">
        <v>0.90897070000000002</v>
      </c>
      <c r="P4353">
        <v>73.260869569999997</v>
      </c>
      <c r="Q4353">
        <v>34.453830549999999</v>
      </c>
      <c r="R4353">
        <v>1.058333333</v>
      </c>
      <c r="S4353">
        <v>0.90897070000000002</v>
      </c>
      <c r="T4353" t="s">
        <v>1040</v>
      </c>
      <c r="U4353">
        <v>0</v>
      </c>
    </row>
    <row r="4354" spans="1:21" x14ac:dyDescent="0.25">
      <c r="A4354" t="s">
        <v>73</v>
      </c>
      <c r="B4354" t="s">
        <v>843</v>
      </c>
      <c r="C4354">
        <v>10</v>
      </c>
      <c r="D4354" t="s">
        <v>25</v>
      </c>
      <c r="E4354" t="s">
        <v>94</v>
      </c>
      <c r="F4354" t="s">
        <v>110</v>
      </c>
      <c r="G4354" t="s">
        <v>110</v>
      </c>
      <c r="H4354" t="s">
        <v>110</v>
      </c>
      <c r="J4354">
        <v>0</v>
      </c>
      <c r="K4354">
        <v>3</v>
      </c>
      <c r="L4354">
        <v>73.260869569999997</v>
      </c>
      <c r="M4354">
        <v>34.453830549999999</v>
      </c>
      <c r="N4354">
        <v>1.058333333</v>
      </c>
      <c r="O4354">
        <v>0.90897070000000002</v>
      </c>
      <c r="P4354">
        <v>73.260869569999997</v>
      </c>
      <c r="Q4354">
        <v>34.453830549999999</v>
      </c>
      <c r="R4354">
        <v>1.058333333</v>
      </c>
      <c r="S4354">
        <v>0.90897070000000002</v>
      </c>
      <c r="T4354" t="s">
        <v>1040</v>
      </c>
      <c r="U4354">
        <v>0</v>
      </c>
    </row>
    <row r="4355" spans="1:21" x14ac:dyDescent="0.25">
      <c r="A4355" t="s">
        <v>73</v>
      </c>
      <c r="B4355" t="s">
        <v>843</v>
      </c>
      <c r="C4355">
        <v>10</v>
      </c>
      <c r="D4355" t="s">
        <v>25</v>
      </c>
      <c r="E4355" t="s">
        <v>94</v>
      </c>
      <c r="F4355" t="s">
        <v>110</v>
      </c>
      <c r="G4355" t="s">
        <v>110</v>
      </c>
      <c r="H4355" t="s">
        <v>110</v>
      </c>
      <c r="J4355">
        <v>0</v>
      </c>
      <c r="K4355">
        <v>3</v>
      </c>
      <c r="L4355">
        <v>73.260869569999997</v>
      </c>
      <c r="M4355">
        <v>34.453830549999999</v>
      </c>
      <c r="N4355">
        <v>1.058333333</v>
      </c>
      <c r="O4355">
        <v>0.90897070000000002</v>
      </c>
      <c r="P4355">
        <v>73.260869569999997</v>
      </c>
      <c r="Q4355">
        <v>34.453830549999999</v>
      </c>
      <c r="R4355">
        <v>1.058333333</v>
      </c>
      <c r="S4355">
        <v>0.90897070000000002</v>
      </c>
      <c r="T4355" t="s">
        <v>1040</v>
      </c>
      <c r="U4355">
        <v>0</v>
      </c>
    </row>
    <row r="4356" spans="1:21" x14ac:dyDescent="0.25">
      <c r="A4356" t="s">
        <v>73</v>
      </c>
      <c r="B4356" t="s">
        <v>843</v>
      </c>
      <c r="C4356">
        <v>10</v>
      </c>
      <c r="D4356" t="s">
        <v>25</v>
      </c>
      <c r="E4356" t="s">
        <v>94</v>
      </c>
      <c r="F4356" t="s">
        <v>110</v>
      </c>
      <c r="G4356" t="s">
        <v>110</v>
      </c>
      <c r="H4356" t="s">
        <v>251</v>
      </c>
      <c r="J4356">
        <v>0</v>
      </c>
      <c r="K4356">
        <v>1</v>
      </c>
      <c r="L4356">
        <v>73.260869569999997</v>
      </c>
      <c r="M4356">
        <v>34.453830549999999</v>
      </c>
      <c r="N4356">
        <v>1.058333333</v>
      </c>
      <c r="O4356">
        <v>0.90897070000000002</v>
      </c>
      <c r="P4356">
        <v>85</v>
      </c>
      <c r="Q4356">
        <v>37.099157669999997</v>
      </c>
      <c r="R4356">
        <v>0.65291888899999995</v>
      </c>
      <c r="S4356" t="s">
        <v>114</v>
      </c>
      <c r="T4356" t="s">
        <v>1040</v>
      </c>
      <c r="U4356" t="s">
        <v>114</v>
      </c>
    </row>
    <row r="4357" spans="1:21" x14ac:dyDescent="0.25">
      <c r="A4357" t="s">
        <v>73</v>
      </c>
      <c r="B4357" t="s">
        <v>843</v>
      </c>
      <c r="C4357">
        <v>10</v>
      </c>
      <c r="D4357" t="s">
        <v>25</v>
      </c>
      <c r="E4357" t="s">
        <v>94</v>
      </c>
      <c r="F4357" t="s">
        <v>110</v>
      </c>
      <c r="G4357" t="s">
        <v>110</v>
      </c>
      <c r="H4357" t="s">
        <v>246</v>
      </c>
      <c r="J4357">
        <v>0</v>
      </c>
      <c r="K4357">
        <v>1</v>
      </c>
      <c r="L4357">
        <v>73.260869569999997</v>
      </c>
      <c r="M4357">
        <v>34.453830549999999</v>
      </c>
      <c r="N4357">
        <v>1.058333333</v>
      </c>
      <c r="O4357">
        <v>0.90897070000000002</v>
      </c>
      <c r="P4357">
        <v>120.25</v>
      </c>
      <c r="Q4357">
        <v>30.670450110000001</v>
      </c>
      <c r="R4357">
        <v>0.91037498500000003</v>
      </c>
      <c r="S4357" t="s">
        <v>114</v>
      </c>
      <c r="T4357" t="s">
        <v>1040</v>
      </c>
      <c r="U4357" t="s">
        <v>114</v>
      </c>
    </row>
    <row r="4358" spans="1:21" x14ac:dyDescent="0.25">
      <c r="A4358" t="s">
        <v>73</v>
      </c>
      <c r="B4358" t="s">
        <v>844</v>
      </c>
      <c r="C4358">
        <v>10</v>
      </c>
      <c r="D4358" t="s">
        <v>25</v>
      </c>
      <c r="E4358" t="s">
        <v>94</v>
      </c>
      <c r="F4358" t="s">
        <v>104</v>
      </c>
      <c r="G4358" t="s">
        <v>104</v>
      </c>
      <c r="H4358" t="s">
        <v>104</v>
      </c>
      <c r="J4358">
        <v>0</v>
      </c>
      <c r="K4358">
        <v>1</v>
      </c>
      <c r="L4358">
        <v>113.9375</v>
      </c>
      <c r="M4358">
        <v>33.375507550000002</v>
      </c>
      <c r="N4358">
        <v>2.4262999999999999</v>
      </c>
      <c r="O4358">
        <v>0.40692159999999999</v>
      </c>
      <c r="P4358">
        <v>113.9375</v>
      </c>
      <c r="Q4358">
        <v>33.375507550000002</v>
      </c>
      <c r="R4358">
        <v>2.4262999999999999</v>
      </c>
      <c r="S4358">
        <v>0.40692159999999999</v>
      </c>
      <c r="T4358" t="s">
        <v>1040</v>
      </c>
      <c r="U4358">
        <v>0</v>
      </c>
    </row>
    <row r="4359" spans="1:21" x14ac:dyDescent="0.25">
      <c r="A4359" t="s">
        <v>73</v>
      </c>
      <c r="B4359" t="s">
        <v>845</v>
      </c>
      <c r="C4359">
        <v>10</v>
      </c>
      <c r="D4359" t="s">
        <v>25</v>
      </c>
      <c r="E4359" t="s">
        <v>94</v>
      </c>
      <c r="F4359" t="s">
        <v>112</v>
      </c>
      <c r="G4359" t="s">
        <v>121</v>
      </c>
      <c r="H4359" t="s">
        <v>114</v>
      </c>
      <c r="J4359">
        <v>0</v>
      </c>
      <c r="K4359" t="s">
        <v>114</v>
      </c>
      <c r="L4359">
        <v>65.09375</v>
      </c>
      <c r="M4359">
        <v>37.895352600000002</v>
      </c>
      <c r="N4359">
        <v>2.2882677779999998</v>
      </c>
      <c r="O4359">
        <v>2.2111774</v>
      </c>
      <c r="P4359" t="s">
        <v>114</v>
      </c>
      <c r="Q4359" t="s">
        <v>114</v>
      </c>
      <c r="R4359" t="s">
        <v>114</v>
      </c>
      <c r="S4359" t="s">
        <v>114</v>
      </c>
      <c r="T4359" t="s">
        <v>1040</v>
      </c>
      <c r="U4359" t="s">
        <v>114</v>
      </c>
    </row>
    <row r="4360" spans="1:21" x14ac:dyDescent="0.25">
      <c r="A4360" t="s">
        <v>74</v>
      </c>
      <c r="B4360" t="s">
        <v>846</v>
      </c>
      <c r="C4360">
        <v>10</v>
      </c>
      <c r="D4360" t="s">
        <v>27</v>
      </c>
      <c r="E4360" t="s">
        <v>95</v>
      </c>
      <c r="F4360" t="s">
        <v>102</v>
      </c>
      <c r="G4360" t="s">
        <v>113</v>
      </c>
      <c r="H4360" t="s">
        <v>113</v>
      </c>
      <c r="J4360">
        <v>0</v>
      </c>
      <c r="K4360">
        <v>3</v>
      </c>
      <c r="L4360">
        <v>84.740740740000007</v>
      </c>
      <c r="M4360">
        <v>29.167014049999999</v>
      </c>
      <c r="N4360">
        <v>1.1169849999999999</v>
      </c>
      <c r="O4360">
        <v>1.1571499000000001</v>
      </c>
      <c r="P4360">
        <v>83.757575759999995</v>
      </c>
      <c r="Q4360">
        <v>22.60997987</v>
      </c>
      <c r="R4360">
        <v>0.72884000000000004</v>
      </c>
      <c r="S4360">
        <v>0.21301339999999999</v>
      </c>
      <c r="T4360" t="s">
        <v>1040</v>
      </c>
      <c r="U4360">
        <v>0.94413650000000005</v>
      </c>
    </row>
    <row r="4361" spans="1:21" x14ac:dyDescent="0.25">
      <c r="A4361" t="s">
        <v>74</v>
      </c>
      <c r="B4361" t="s">
        <v>846</v>
      </c>
      <c r="C4361">
        <v>10</v>
      </c>
      <c r="D4361" t="s">
        <v>27</v>
      </c>
      <c r="E4361" t="s">
        <v>95</v>
      </c>
      <c r="F4361" t="s">
        <v>102</v>
      </c>
      <c r="G4361" t="s">
        <v>113</v>
      </c>
      <c r="H4361" t="s">
        <v>113</v>
      </c>
      <c r="J4361">
        <v>0</v>
      </c>
      <c r="K4361">
        <v>3</v>
      </c>
      <c r="L4361">
        <v>84.740740740000007</v>
      </c>
      <c r="M4361">
        <v>29.167014049999999</v>
      </c>
      <c r="N4361">
        <v>1.1169849999999999</v>
      </c>
      <c r="O4361">
        <v>1.1571499000000001</v>
      </c>
      <c r="P4361">
        <v>83.757575759999995</v>
      </c>
      <c r="Q4361">
        <v>22.60997987</v>
      </c>
      <c r="R4361">
        <v>0.72884000000000004</v>
      </c>
      <c r="S4361">
        <v>0.21301339999999999</v>
      </c>
      <c r="T4361" t="s">
        <v>1040</v>
      </c>
      <c r="U4361">
        <v>0.94413650000000005</v>
      </c>
    </row>
    <row r="4362" spans="1:21" x14ac:dyDescent="0.25">
      <c r="A4362" t="s">
        <v>74</v>
      </c>
      <c r="B4362" t="s">
        <v>846</v>
      </c>
      <c r="C4362">
        <v>10</v>
      </c>
      <c r="D4362" t="s">
        <v>27</v>
      </c>
      <c r="E4362" t="s">
        <v>95</v>
      </c>
      <c r="F4362" t="s">
        <v>102</v>
      </c>
      <c r="G4362" t="s">
        <v>113</v>
      </c>
      <c r="H4362" t="s">
        <v>113</v>
      </c>
      <c r="J4362">
        <v>0</v>
      </c>
      <c r="K4362">
        <v>3</v>
      </c>
      <c r="L4362">
        <v>84.740740740000007</v>
      </c>
      <c r="M4362">
        <v>29.167014049999999</v>
      </c>
      <c r="N4362">
        <v>1.1169849999999999</v>
      </c>
      <c r="O4362">
        <v>1.1571499000000001</v>
      </c>
      <c r="P4362">
        <v>83.757575759999995</v>
      </c>
      <c r="Q4362">
        <v>22.60997987</v>
      </c>
      <c r="R4362">
        <v>0.72884000000000004</v>
      </c>
      <c r="S4362">
        <v>0.21301339999999999</v>
      </c>
      <c r="T4362" t="s">
        <v>1040</v>
      </c>
      <c r="U4362">
        <v>0.94413650000000005</v>
      </c>
    </row>
    <row r="4363" spans="1:21" x14ac:dyDescent="0.25">
      <c r="A4363" t="s">
        <v>74</v>
      </c>
      <c r="B4363" t="s">
        <v>846</v>
      </c>
      <c r="C4363">
        <v>10</v>
      </c>
      <c r="D4363" t="s">
        <v>27</v>
      </c>
      <c r="E4363" t="s">
        <v>95</v>
      </c>
      <c r="F4363" t="s">
        <v>102</v>
      </c>
      <c r="G4363" t="s">
        <v>113</v>
      </c>
      <c r="H4363" t="s">
        <v>103</v>
      </c>
      <c r="J4363">
        <v>0</v>
      </c>
      <c r="K4363">
        <v>1</v>
      </c>
      <c r="L4363">
        <v>84.740740740000007</v>
      </c>
      <c r="M4363">
        <v>29.167014049999999</v>
      </c>
      <c r="N4363">
        <v>1.1169849999999999</v>
      </c>
      <c r="O4363">
        <v>1.1571499000000001</v>
      </c>
      <c r="P4363">
        <v>98.291666669999998</v>
      </c>
      <c r="Q4363">
        <v>30.315130790000001</v>
      </c>
      <c r="R4363">
        <v>5.0803484000000003E-2</v>
      </c>
      <c r="S4363">
        <v>0.42866070000000001</v>
      </c>
      <c r="T4363" t="s">
        <v>1040</v>
      </c>
      <c r="U4363">
        <v>0.72848920000000006</v>
      </c>
    </row>
    <row r="4364" spans="1:21" x14ac:dyDescent="0.25">
      <c r="A4364" t="s">
        <v>74</v>
      </c>
      <c r="B4364" t="s">
        <v>847</v>
      </c>
      <c r="C4364">
        <v>10</v>
      </c>
      <c r="D4364" t="s">
        <v>27</v>
      </c>
      <c r="E4364" t="s">
        <v>95</v>
      </c>
      <c r="F4364" t="s">
        <v>113</v>
      </c>
      <c r="G4364" t="s">
        <v>113</v>
      </c>
      <c r="H4364" t="s">
        <v>113</v>
      </c>
      <c r="J4364">
        <v>0</v>
      </c>
      <c r="K4364">
        <v>1</v>
      </c>
      <c r="L4364">
        <v>83.757575759999995</v>
      </c>
      <c r="M4364">
        <v>22.60997987</v>
      </c>
      <c r="N4364">
        <v>0.72884000000000004</v>
      </c>
      <c r="O4364">
        <v>0.21301339999999999</v>
      </c>
      <c r="P4364">
        <v>83.757575759999995</v>
      </c>
      <c r="Q4364">
        <v>22.60997987</v>
      </c>
      <c r="R4364">
        <v>0.72884000000000004</v>
      </c>
      <c r="S4364">
        <v>0.21301339999999999</v>
      </c>
      <c r="T4364" t="s">
        <v>1040</v>
      </c>
      <c r="U4364">
        <v>0</v>
      </c>
    </row>
    <row r="4365" spans="1:21" x14ac:dyDescent="0.25">
      <c r="A4365" t="s">
        <v>74</v>
      </c>
      <c r="B4365" t="s">
        <v>847</v>
      </c>
      <c r="C4365">
        <v>10</v>
      </c>
      <c r="D4365" t="s">
        <v>27</v>
      </c>
      <c r="E4365" t="s">
        <v>95</v>
      </c>
      <c r="F4365" t="s">
        <v>113</v>
      </c>
      <c r="G4365" t="s">
        <v>113</v>
      </c>
      <c r="H4365" t="s">
        <v>248</v>
      </c>
      <c r="J4365">
        <v>0</v>
      </c>
      <c r="K4365">
        <v>2</v>
      </c>
      <c r="L4365">
        <v>83.757575759999995</v>
      </c>
      <c r="M4365">
        <v>22.60997987</v>
      </c>
      <c r="N4365">
        <v>0.72884000000000004</v>
      </c>
      <c r="O4365">
        <v>0.21301339999999999</v>
      </c>
      <c r="P4365">
        <v>83.92307692</v>
      </c>
      <c r="Q4365">
        <v>44.319135699999997</v>
      </c>
      <c r="R4365">
        <v>5.9548609999999997E-3</v>
      </c>
      <c r="S4365">
        <v>0.18017928</v>
      </c>
      <c r="T4365" t="s">
        <v>1040</v>
      </c>
      <c r="U4365">
        <v>3.2834119999999994E-2</v>
      </c>
    </row>
    <row r="4366" spans="1:21" x14ac:dyDescent="0.25">
      <c r="A4366" t="s">
        <v>74</v>
      </c>
      <c r="B4366" t="s">
        <v>847</v>
      </c>
      <c r="C4366">
        <v>10</v>
      </c>
      <c r="D4366" t="s">
        <v>27</v>
      </c>
      <c r="E4366" t="s">
        <v>95</v>
      </c>
      <c r="F4366" t="s">
        <v>113</v>
      </c>
      <c r="G4366" t="s">
        <v>113</v>
      </c>
      <c r="H4366" t="s">
        <v>248</v>
      </c>
      <c r="J4366">
        <v>0</v>
      </c>
      <c r="K4366">
        <v>2</v>
      </c>
      <c r="L4366">
        <v>83.757575759999995</v>
      </c>
      <c r="M4366">
        <v>22.60997987</v>
      </c>
      <c r="N4366">
        <v>0.72884000000000004</v>
      </c>
      <c r="O4366">
        <v>0.21301339999999999</v>
      </c>
      <c r="P4366">
        <v>83.92307692</v>
      </c>
      <c r="Q4366">
        <v>44.319135699999997</v>
      </c>
      <c r="R4366">
        <v>5.9548609999999997E-3</v>
      </c>
      <c r="S4366">
        <v>0.18017928</v>
      </c>
      <c r="T4366" t="s">
        <v>1040</v>
      </c>
      <c r="U4366">
        <v>3.2834119999999994E-2</v>
      </c>
    </row>
    <row r="4367" spans="1:21" x14ac:dyDescent="0.25">
      <c r="A4367" t="s">
        <v>74</v>
      </c>
      <c r="B4367" t="s">
        <v>848</v>
      </c>
      <c r="C4367">
        <v>10</v>
      </c>
      <c r="D4367" t="s">
        <v>27</v>
      </c>
      <c r="E4367" t="s">
        <v>95</v>
      </c>
      <c r="F4367" t="s">
        <v>103</v>
      </c>
      <c r="G4367" t="s">
        <v>113</v>
      </c>
      <c r="H4367" t="s">
        <v>113</v>
      </c>
      <c r="J4367">
        <v>0</v>
      </c>
      <c r="K4367">
        <v>1</v>
      </c>
      <c r="L4367">
        <v>98.291666669999998</v>
      </c>
      <c r="M4367">
        <v>30.315130790000001</v>
      </c>
      <c r="N4367">
        <v>5.0803484000000003E-2</v>
      </c>
      <c r="O4367">
        <v>0.42866070000000001</v>
      </c>
      <c r="P4367">
        <v>83.757575759999995</v>
      </c>
      <c r="Q4367">
        <v>22.60997987</v>
      </c>
      <c r="R4367">
        <v>0.72884000000000004</v>
      </c>
      <c r="S4367">
        <v>0.21301339999999999</v>
      </c>
      <c r="T4367" t="s">
        <v>1040</v>
      </c>
      <c r="U4367">
        <v>0.21564730000000001</v>
      </c>
    </row>
    <row r="4368" spans="1:21" x14ac:dyDescent="0.25">
      <c r="A4368" t="s">
        <v>75</v>
      </c>
      <c r="B4368" t="s">
        <v>849</v>
      </c>
      <c r="C4368">
        <v>10</v>
      </c>
      <c r="D4368" t="s">
        <v>29</v>
      </c>
      <c r="E4368" t="s">
        <v>94</v>
      </c>
      <c r="F4368" t="s">
        <v>105</v>
      </c>
      <c r="G4368" t="s">
        <v>121</v>
      </c>
      <c r="H4368" t="s">
        <v>251</v>
      </c>
      <c r="J4368">
        <v>0</v>
      </c>
      <c r="K4368">
        <v>1</v>
      </c>
      <c r="L4368">
        <v>67.5</v>
      </c>
      <c r="M4368">
        <v>47.937235809999997</v>
      </c>
      <c r="N4368">
        <v>0.41599678000000001</v>
      </c>
      <c r="O4368">
        <v>2.0950346999999998</v>
      </c>
      <c r="P4368">
        <v>85</v>
      </c>
      <c r="Q4368">
        <v>37.099157669999997</v>
      </c>
      <c r="R4368">
        <v>0.65291888899999995</v>
      </c>
      <c r="S4368" t="s">
        <v>114</v>
      </c>
      <c r="T4368" t="s">
        <v>1040</v>
      </c>
      <c r="U4368" t="s">
        <v>114</v>
      </c>
    </row>
    <row r="4369" spans="1:21" x14ac:dyDescent="0.25">
      <c r="A4369" t="s">
        <v>75</v>
      </c>
      <c r="B4369" t="s">
        <v>849</v>
      </c>
      <c r="C4369">
        <v>10</v>
      </c>
      <c r="D4369" t="s">
        <v>29</v>
      </c>
      <c r="E4369" t="s">
        <v>94</v>
      </c>
      <c r="F4369" t="s">
        <v>105</v>
      </c>
      <c r="G4369" t="s">
        <v>121</v>
      </c>
      <c r="H4369" t="s">
        <v>244</v>
      </c>
      <c r="J4369">
        <v>0</v>
      </c>
      <c r="K4369">
        <v>1</v>
      </c>
      <c r="L4369">
        <v>67.5</v>
      </c>
      <c r="M4369">
        <v>47.937235809999997</v>
      </c>
      <c r="N4369">
        <v>0.41599678000000001</v>
      </c>
      <c r="O4369">
        <v>2.0950346999999998</v>
      </c>
      <c r="P4369">
        <v>75</v>
      </c>
      <c r="Q4369">
        <v>28.80614499</v>
      </c>
      <c r="R4369">
        <v>2.3860428570000001</v>
      </c>
      <c r="S4369">
        <v>0.26400832000000002</v>
      </c>
      <c r="T4369" t="s">
        <v>1040</v>
      </c>
      <c r="U4369">
        <v>1.8310263799999997</v>
      </c>
    </row>
    <row r="4370" spans="1:21" x14ac:dyDescent="0.25">
      <c r="A4370" t="s">
        <v>75</v>
      </c>
      <c r="B4370" t="s">
        <v>850</v>
      </c>
      <c r="C4370">
        <v>10</v>
      </c>
      <c r="D4370" t="s">
        <v>29</v>
      </c>
      <c r="E4370" t="s">
        <v>94</v>
      </c>
      <c r="F4370" t="s">
        <v>110</v>
      </c>
      <c r="G4370" t="s">
        <v>104</v>
      </c>
      <c r="H4370" t="s">
        <v>104</v>
      </c>
      <c r="J4370">
        <v>0</v>
      </c>
      <c r="K4370">
        <v>2</v>
      </c>
      <c r="L4370">
        <v>73.260869569999997</v>
      </c>
      <c r="M4370">
        <v>34.453830549999999</v>
      </c>
      <c r="N4370">
        <v>1.058333333</v>
      </c>
      <c r="O4370">
        <v>0.90897070000000002</v>
      </c>
      <c r="P4370">
        <v>113.9375</v>
      </c>
      <c r="Q4370">
        <v>33.375507550000002</v>
      </c>
      <c r="R4370">
        <v>2.4262999999999999</v>
      </c>
      <c r="S4370">
        <v>0.40692159999999999</v>
      </c>
      <c r="T4370" t="s">
        <v>1040</v>
      </c>
      <c r="U4370">
        <v>0.50204910000000003</v>
      </c>
    </row>
    <row r="4371" spans="1:21" x14ac:dyDescent="0.25">
      <c r="A4371" t="s">
        <v>75</v>
      </c>
      <c r="B4371" t="s">
        <v>850</v>
      </c>
      <c r="C4371">
        <v>10</v>
      </c>
      <c r="D4371" t="s">
        <v>29</v>
      </c>
      <c r="E4371" t="s">
        <v>94</v>
      </c>
      <c r="F4371" t="s">
        <v>110</v>
      </c>
      <c r="G4371" t="s">
        <v>104</v>
      </c>
      <c r="H4371" t="s">
        <v>104</v>
      </c>
      <c r="J4371">
        <v>0</v>
      </c>
      <c r="K4371">
        <v>2</v>
      </c>
      <c r="L4371">
        <v>73.260869569999997</v>
      </c>
      <c r="M4371">
        <v>34.453830549999999</v>
      </c>
      <c r="N4371">
        <v>1.058333333</v>
      </c>
      <c r="O4371">
        <v>0.90897070000000002</v>
      </c>
      <c r="P4371">
        <v>113.9375</v>
      </c>
      <c r="Q4371">
        <v>33.375507550000002</v>
      </c>
      <c r="R4371">
        <v>2.4262999999999999</v>
      </c>
      <c r="S4371">
        <v>0.40692159999999999</v>
      </c>
      <c r="T4371" t="s">
        <v>1040</v>
      </c>
      <c r="U4371">
        <v>0.50204910000000003</v>
      </c>
    </row>
    <row r="4372" spans="1:21" x14ac:dyDescent="0.25">
      <c r="A4372" t="s">
        <v>75</v>
      </c>
      <c r="B4372" t="s">
        <v>851</v>
      </c>
      <c r="C4372">
        <v>10</v>
      </c>
      <c r="D4372" t="s">
        <v>29</v>
      </c>
      <c r="E4372" t="s">
        <v>94</v>
      </c>
      <c r="F4372" t="s">
        <v>103</v>
      </c>
      <c r="G4372" t="s">
        <v>121</v>
      </c>
      <c r="H4372" t="s">
        <v>251</v>
      </c>
      <c r="J4372">
        <v>0</v>
      </c>
      <c r="K4372">
        <v>1</v>
      </c>
      <c r="L4372">
        <v>98.291666669999998</v>
      </c>
      <c r="M4372">
        <v>30.315130790000001</v>
      </c>
      <c r="N4372">
        <v>5.0803484000000003E-2</v>
      </c>
      <c r="O4372">
        <v>0.42866070000000001</v>
      </c>
      <c r="P4372">
        <v>85</v>
      </c>
      <c r="Q4372">
        <v>37.099157669999997</v>
      </c>
      <c r="R4372">
        <v>0.65291888899999995</v>
      </c>
      <c r="S4372" t="s">
        <v>114</v>
      </c>
      <c r="T4372" t="s">
        <v>1040</v>
      </c>
      <c r="U4372" t="s">
        <v>114</v>
      </c>
    </row>
    <row r="4373" spans="1:21" x14ac:dyDescent="0.25">
      <c r="A4373" t="s">
        <v>75</v>
      </c>
      <c r="B4373" t="s">
        <v>851</v>
      </c>
      <c r="C4373">
        <v>10</v>
      </c>
      <c r="D4373" t="s">
        <v>29</v>
      </c>
      <c r="E4373" t="s">
        <v>94</v>
      </c>
      <c r="F4373" t="s">
        <v>103</v>
      </c>
      <c r="G4373" t="s">
        <v>121</v>
      </c>
      <c r="H4373" t="s">
        <v>233</v>
      </c>
      <c r="J4373">
        <v>0</v>
      </c>
      <c r="K4373">
        <v>1</v>
      </c>
      <c r="L4373">
        <v>98.291666669999998</v>
      </c>
      <c r="M4373">
        <v>30.315130790000001</v>
      </c>
      <c r="N4373">
        <v>5.0803484000000003E-2</v>
      </c>
      <c r="O4373">
        <v>0.42866070000000001</v>
      </c>
      <c r="P4373">
        <v>106.0540541</v>
      </c>
      <c r="Q4373">
        <v>52.690533369999997</v>
      </c>
      <c r="R4373">
        <v>7.6058968000000005E-2</v>
      </c>
      <c r="S4373">
        <v>0.44888888999999998</v>
      </c>
      <c r="T4373" t="s">
        <v>1040</v>
      </c>
      <c r="U4373">
        <v>-2.0228189999999979E-2</v>
      </c>
    </row>
    <row r="4374" spans="1:21" x14ac:dyDescent="0.25">
      <c r="A4374" t="s">
        <v>75</v>
      </c>
      <c r="B4374" t="s">
        <v>851</v>
      </c>
      <c r="C4374">
        <v>10</v>
      </c>
      <c r="D4374" t="s">
        <v>29</v>
      </c>
      <c r="E4374" t="s">
        <v>94</v>
      </c>
      <c r="F4374" t="s">
        <v>103</v>
      </c>
      <c r="G4374" t="s">
        <v>121</v>
      </c>
      <c r="H4374" t="s">
        <v>105</v>
      </c>
      <c r="J4374">
        <v>0</v>
      </c>
      <c r="K4374">
        <v>1</v>
      </c>
      <c r="L4374">
        <v>98.291666669999998</v>
      </c>
      <c r="M4374">
        <v>30.315130790000001</v>
      </c>
      <c r="N4374">
        <v>5.0803484000000003E-2</v>
      </c>
      <c r="O4374">
        <v>0.42866070000000001</v>
      </c>
      <c r="P4374">
        <v>67.5</v>
      </c>
      <c r="Q4374">
        <v>47.937235809999997</v>
      </c>
      <c r="R4374">
        <v>0.41599678000000001</v>
      </c>
      <c r="S4374">
        <v>2.0950346999999998</v>
      </c>
      <c r="T4374" t="s">
        <v>1040</v>
      </c>
      <c r="U4374">
        <v>-1.6663739999999998</v>
      </c>
    </row>
    <row r="4375" spans="1:21" x14ac:dyDescent="0.25">
      <c r="A4375" t="s">
        <v>76</v>
      </c>
      <c r="B4375" t="s">
        <v>852</v>
      </c>
      <c r="C4375">
        <v>10</v>
      </c>
      <c r="D4375" t="s">
        <v>31</v>
      </c>
      <c r="E4375" t="s">
        <v>94</v>
      </c>
      <c r="F4375" t="s">
        <v>113</v>
      </c>
      <c r="G4375" t="s">
        <v>113</v>
      </c>
      <c r="H4375" t="s">
        <v>113</v>
      </c>
      <c r="J4375">
        <v>0</v>
      </c>
      <c r="K4375">
        <v>2</v>
      </c>
      <c r="L4375">
        <v>83.757575759999995</v>
      </c>
      <c r="M4375">
        <v>22.60997987</v>
      </c>
      <c r="N4375">
        <v>0.72884000000000004</v>
      </c>
      <c r="O4375">
        <v>0.21301339999999999</v>
      </c>
      <c r="P4375">
        <v>83.757575759999995</v>
      </c>
      <c r="Q4375">
        <v>22.60997987</v>
      </c>
      <c r="R4375">
        <v>0.72884000000000004</v>
      </c>
      <c r="S4375">
        <v>0.21301339999999999</v>
      </c>
      <c r="T4375" t="s">
        <v>1040</v>
      </c>
      <c r="U4375">
        <v>0</v>
      </c>
    </row>
    <row r="4376" spans="1:21" x14ac:dyDescent="0.25">
      <c r="A4376" t="s">
        <v>76</v>
      </c>
      <c r="B4376" t="s">
        <v>852</v>
      </c>
      <c r="C4376">
        <v>10</v>
      </c>
      <c r="D4376" t="s">
        <v>31</v>
      </c>
      <c r="E4376" t="s">
        <v>94</v>
      </c>
      <c r="F4376" t="s">
        <v>113</v>
      </c>
      <c r="G4376" t="s">
        <v>113</v>
      </c>
      <c r="H4376" t="s">
        <v>113</v>
      </c>
      <c r="J4376">
        <v>0</v>
      </c>
      <c r="K4376">
        <v>2</v>
      </c>
      <c r="L4376">
        <v>83.757575759999995</v>
      </c>
      <c r="M4376">
        <v>22.60997987</v>
      </c>
      <c r="N4376">
        <v>0.72884000000000004</v>
      </c>
      <c r="O4376">
        <v>0.21301339999999999</v>
      </c>
      <c r="P4376">
        <v>83.757575759999995</v>
      </c>
      <c r="Q4376">
        <v>22.60997987</v>
      </c>
      <c r="R4376">
        <v>0.72884000000000004</v>
      </c>
      <c r="S4376">
        <v>0.21301339999999999</v>
      </c>
      <c r="T4376" t="s">
        <v>1040</v>
      </c>
      <c r="U4376">
        <v>0</v>
      </c>
    </row>
    <row r="4377" spans="1:21" x14ac:dyDescent="0.25">
      <c r="A4377" t="s">
        <v>76</v>
      </c>
      <c r="B4377" t="s">
        <v>852</v>
      </c>
      <c r="C4377">
        <v>10</v>
      </c>
      <c r="D4377" t="s">
        <v>31</v>
      </c>
      <c r="E4377" t="s">
        <v>94</v>
      </c>
      <c r="F4377" t="s">
        <v>113</v>
      </c>
      <c r="G4377" t="s">
        <v>113</v>
      </c>
      <c r="H4377" t="s">
        <v>238</v>
      </c>
      <c r="J4377">
        <v>0</v>
      </c>
      <c r="K4377">
        <v>1</v>
      </c>
      <c r="L4377">
        <v>83.757575759999995</v>
      </c>
      <c r="M4377">
        <v>22.60997987</v>
      </c>
      <c r="N4377">
        <v>0.72884000000000004</v>
      </c>
      <c r="O4377">
        <v>0.21301339999999999</v>
      </c>
      <c r="P4377">
        <v>87.5</v>
      </c>
      <c r="Q4377">
        <v>29.478311600000001</v>
      </c>
      <c r="R4377">
        <v>3.0797751000000002E-2</v>
      </c>
      <c r="S4377">
        <v>0.12931835</v>
      </c>
      <c r="T4377" t="s">
        <v>1040</v>
      </c>
      <c r="U4377">
        <v>8.3695049999999993E-2</v>
      </c>
    </row>
    <row r="4378" spans="1:21" x14ac:dyDescent="0.25">
      <c r="A4378" t="s">
        <v>76</v>
      </c>
      <c r="B4378" t="s">
        <v>852</v>
      </c>
      <c r="C4378">
        <v>10</v>
      </c>
      <c r="D4378" t="s">
        <v>31</v>
      </c>
      <c r="E4378" t="s">
        <v>94</v>
      </c>
      <c r="F4378" t="s">
        <v>113</v>
      </c>
      <c r="G4378" t="s">
        <v>113</v>
      </c>
      <c r="H4378" t="s">
        <v>235</v>
      </c>
      <c r="J4378">
        <v>0</v>
      </c>
      <c r="K4378">
        <v>5</v>
      </c>
      <c r="L4378">
        <v>83.757575759999995</v>
      </c>
      <c r="M4378">
        <v>22.60997987</v>
      </c>
      <c r="N4378">
        <v>0.72884000000000004</v>
      </c>
      <c r="O4378">
        <v>0.21301339999999999</v>
      </c>
      <c r="P4378">
        <v>132.27272730000001</v>
      </c>
      <c r="Q4378">
        <v>20.180448590000001</v>
      </c>
      <c r="R4378">
        <v>3.7813451999999997E-2</v>
      </c>
      <c r="S4378">
        <v>0.41404401000000002</v>
      </c>
      <c r="T4378" t="s">
        <v>1040</v>
      </c>
      <c r="U4378">
        <v>-0.20103061000000003</v>
      </c>
    </row>
    <row r="4379" spans="1:21" x14ac:dyDescent="0.25">
      <c r="A4379" t="s">
        <v>76</v>
      </c>
      <c r="B4379" t="s">
        <v>852</v>
      </c>
      <c r="C4379">
        <v>10</v>
      </c>
      <c r="D4379" t="s">
        <v>31</v>
      </c>
      <c r="E4379" t="s">
        <v>94</v>
      </c>
      <c r="F4379" t="s">
        <v>113</v>
      </c>
      <c r="G4379" t="s">
        <v>113</v>
      </c>
      <c r="H4379" t="s">
        <v>235</v>
      </c>
      <c r="J4379">
        <v>0</v>
      </c>
      <c r="K4379">
        <v>5</v>
      </c>
      <c r="L4379">
        <v>83.757575759999995</v>
      </c>
      <c r="M4379">
        <v>22.60997987</v>
      </c>
      <c r="N4379">
        <v>0.72884000000000004</v>
      </c>
      <c r="O4379">
        <v>0.21301339999999999</v>
      </c>
      <c r="P4379">
        <v>132.27272730000001</v>
      </c>
      <c r="Q4379">
        <v>20.180448590000001</v>
      </c>
      <c r="R4379">
        <v>3.7813451999999997E-2</v>
      </c>
      <c r="S4379">
        <v>0.41404401000000002</v>
      </c>
      <c r="T4379" t="s">
        <v>1040</v>
      </c>
      <c r="U4379">
        <v>-0.20103061000000003</v>
      </c>
    </row>
    <row r="4380" spans="1:21" x14ac:dyDescent="0.25">
      <c r="A4380" t="s">
        <v>76</v>
      </c>
      <c r="B4380" t="s">
        <v>852</v>
      </c>
      <c r="C4380">
        <v>10</v>
      </c>
      <c r="D4380" t="s">
        <v>31</v>
      </c>
      <c r="E4380" t="s">
        <v>94</v>
      </c>
      <c r="F4380" t="s">
        <v>113</v>
      </c>
      <c r="G4380" t="s">
        <v>113</v>
      </c>
      <c r="H4380" t="s">
        <v>235</v>
      </c>
      <c r="J4380">
        <v>0</v>
      </c>
      <c r="K4380">
        <v>5</v>
      </c>
      <c r="L4380">
        <v>83.757575759999995</v>
      </c>
      <c r="M4380">
        <v>22.60997987</v>
      </c>
      <c r="N4380">
        <v>0.72884000000000004</v>
      </c>
      <c r="O4380">
        <v>0.21301339999999999</v>
      </c>
      <c r="P4380">
        <v>132.27272730000001</v>
      </c>
      <c r="Q4380">
        <v>20.180448590000001</v>
      </c>
      <c r="R4380">
        <v>3.7813451999999997E-2</v>
      </c>
      <c r="S4380">
        <v>0.41404401000000002</v>
      </c>
      <c r="T4380" t="s">
        <v>1040</v>
      </c>
      <c r="U4380">
        <v>-0.20103061000000003</v>
      </c>
    </row>
    <row r="4381" spans="1:21" x14ac:dyDescent="0.25">
      <c r="A4381" t="s">
        <v>76</v>
      </c>
      <c r="B4381" t="s">
        <v>852</v>
      </c>
      <c r="C4381">
        <v>10</v>
      </c>
      <c r="D4381" t="s">
        <v>31</v>
      </c>
      <c r="E4381" t="s">
        <v>94</v>
      </c>
      <c r="F4381" t="s">
        <v>113</v>
      </c>
      <c r="G4381" t="s">
        <v>113</v>
      </c>
      <c r="H4381" t="s">
        <v>235</v>
      </c>
      <c r="J4381">
        <v>0</v>
      </c>
      <c r="K4381">
        <v>5</v>
      </c>
      <c r="L4381">
        <v>83.757575759999995</v>
      </c>
      <c r="M4381">
        <v>22.60997987</v>
      </c>
      <c r="N4381">
        <v>0.72884000000000004</v>
      </c>
      <c r="O4381">
        <v>0.21301339999999999</v>
      </c>
      <c r="P4381">
        <v>132.27272730000001</v>
      </c>
      <c r="Q4381">
        <v>20.180448590000001</v>
      </c>
      <c r="R4381">
        <v>3.7813451999999997E-2</v>
      </c>
      <c r="S4381">
        <v>0.41404401000000002</v>
      </c>
      <c r="T4381" t="s">
        <v>1040</v>
      </c>
      <c r="U4381">
        <v>-0.20103061000000003</v>
      </c>
    </row>
    <row r="4382" spans="1:21" x14ac:dyDescent="0.25">
      <c r="A4382" t="s">
        <v>76</v>
      </c>
      <c r="B4382" t="s">
        <v>852</v>
      </c>
      <c r="C4382">
        <v>10</v>
      </c>
      <c r="D4382" t="s">
        <v>31</v>
      </c>
      <c r="E4382" t="s">
        <v>94</v>
      </c>
      <c r="F4382" t="s">
        <v>113</v>
      </c>
      <c r="G4382" t="s">
        <v>113</v>
      </c>
      <c r="H4382" t="s">
        <v>235</v>
      </c>
      <c r="J4382">
        <v>0</v>
      </c>
      <c r="K4382">
        <v>5</v>
      </c>
      <c r="L4382">
        <v>83.757575759999995</v>
      </c>
      <c r="M4382">
        <v>22.60997987</v>
      </c>
      <c r="N4382">
        <v>0.72884000000000004</v>
      </c>
      <c r="O4382">
        <v>0.21301339999999999</v>
      </c>
      <c r="P4382">
        <v>132.27272730000001</v>
      </c>
      <c r="Q4382">
        <v>20.180448590000001</v>
      </c>
      <c r="R4382">
        <v>3.7813451999999997E-2</v>
      </c>
      <c r="S4382">
        <v>0.41404401000000002</v>
      </c>
      <c r="T4382" t="s">
        <v>1040</v>
      </c>
      <c r="U4382">
        <v>-0.20103061000000003</v>
      </c>
    </row>
    <row r="4383" spans="1:21" x14ac:dyDescent="0.25">
      <c r="A4383" t="s">
        <v>77</v>
      </c>
      <c r="B4383" t="s">
        <v>853</v>
      </c>
      <c r="C4383">
        <v>10</v>
      </c>
      <c r="D4383" t="s">
        <v>33</v>
      </c>
      <c r="E4383" t="s">
        <v>94</v>
      </c>
      <c r="F4383" t="s">
        <v>102</v>
      </c>
      <c r="G4383" t="s">
        <v>110</v>
      </c>
      <c r="H4383" t="s">
        <v>110</v>
      </c>
      <c r="J4383">
        <v>0</v>
      </c>
      <c r="K4383">
        <v>1</v>
      </c>
      <c r="L4383">
        <v>84.740740740000007</v>
      </c>
      <c r="M4383">
        <v>29.167014049999999</v>
      </c>
      <c r="N4383">
        <v>1.1169849999999999</v>
      </c>
      <c r="O4383">
        <v>1.1571499000000001</v>
      </c>
      <c r="P4383">
        <v>73.260869569999997</v>
      </c>
      <c r="Q4383">
        <v>34.453830549999999</v>
      </c>
      <c r="R4383">
        <v>1.058333333</v>
      </c>
      <c r="S4383">
        <v>0.90897070000000002</v>
      </c>
      <c r="T4383" t="s">
        <v>1040</v>
      </c>
      <c r="U4383">
        <v>0.24817920000000004</v>
      </c>
    </row>
    <row r="4384" spans="1:21" x14ac:dyDescent="0.25">
      <c r="A4384" t="s">
        <v>77</v>
      </c>
      <c r="B4384" t="s">
        <v>853</v>
      </c>
      <c r="C4384">
        <v>10</v>
      </c>
      <c r="D4384" t="s">
        <v>33</v>
      </c>
      <c r="E4384" t="s">
        <v>94</v>
      </c>
      <c r="F4384" t="s">
        <v>102</v>
      </c>
      <c r="G4384" t="s">
        <v>110</v>
      </c>
      <c r="H4384" t="s">
        <v>162</v>
      </c>
      <c r="J4384">
        <v>0</v>
      </c>
      <c r="K4384">
        <v>1</v>
      </c>
      <c r="L4384">
        <v>84.740740740000007</v>
      </c>
      <c r="M4384">
        <v>29.167014049999999</v>
      </c>
      <c r="N4384">
        <v>1.1169849999999999</v>
      </c>
      <c r="O4384">
        <v>1.1571499000000001</v>
      </c>
      <c r="P4384">
        <v>82.53846154</v>
      </c>
      <c r="Q4384">
        <v>35.660530039999998</v>
      </c>
      <c r="R4384">
        <v>3.3754499999999998</v>
      </c>
      <c r="S4384" t="s">
        <v>114</v>
      </c>
      <c r="T4384" t="s">
        <v>1040</v>
      </c>
      <c r="U4384" t="s">
        <v>114</v>
      </c>
    </row>
    <row r="4385" spans="1:21" x14ac:dyDescent="0.25">
      <c r="A4385" t="s">
        <v>77</v>
      </c>
      <c r="B4385" t="s">
        <v>854</v>
      </c>
      <c r="C4385">
        <v>10</v>
      </c>
      <c r="D4385" t="s">
        <v>33</v>
      </c>
      <c r="E4385" t="s">
        <v>94</v>
      </c>
      <c r="F4385" t="s">
        <v>110</v>
      </c>
      <c r="G4385" t="s">
        <v>110</v>
      </c>
      <c r="H4385" t="s">
        <v>110</v>
      </c>
      <c r="J4385">
        <v>0</v>
      </c>
      <c r="K4385">
        <v>3</v>
      </c>
      <c r="L4385">
        <v>73.260869569999997</v>
      </c>
      <c r="M4385">
        <v>34.453830549999999</v>
      </c>
      <c r="N4385">
        <v>1.058333333</v>
      </c>
      <c r="O4385">
        <v>0.90897070000000002</v>
      </c>
      <c r="P4385">
        <v>73.260869569999997</v>
      </c>
      <c r="Q4385">
        <v>34.453830549999999</v>
      </c>
      <c r="R4385">
        <v>1.058333333</v>
      </c>
      <c r="S4385">
        <v>0.90897070000000002</v>
      </c>
      <c r="T4385" t="s">
        <v>1040</v>
      </c>
      <c r="U4385">
        <v>0</v>
      </c>
    </row>
    <row r="4386" spans="1:21" x14ac:dyDescent="0.25">
      <c r="A4386" t="s">
        <v>77</v>
      </c>
      <c r="B4386" t="s">
        <v>854</v>
      </c>
      <c r="C4386">
        <v>10</v>
      </c>
      <c r="D4386" t="s">
        <v>33</v>
      </c>
      <c r="E4386" t="s">
        <v>94</v>
      </c>
      <c r="F4386" t="s">
        <v>110</v>
      </c>
      <c r="G4386" t="s">
        <v>110</v>
      </c>
      <c r="H4386" t="s">
        <v>110</v>
      </c>
      <c r="J4386">
        <v>0</v>
      </c>
      <c r="K4386">
        <v>3</v>
      </c>
      <c r="L4386">
        <v>73.260869569999997</v>
      </c>
      <c r="M4386">
        <v>34.453830549999999</v>
      </c>
      <c r="N4386">
        <v>1.058333333</v>
      </c>
      <c r="O4386">
        <v>0.90897070000000002</v>
      </c>
      <c r="P4386">
        <v>73.260869569999997</v>
      </c>
      <c r="Q4386">
        <v>34.453830549999999</v>
      </c>
      <c r="R4386">
        <v>1.058333333</v>
      </c>
      <c r="S4386">
        <v>0.90897070000000002</v>
      </c>
      <c r="T4386" t="s">
        <v>1040</v>
      </c>
      <c r="U4386">
        <v>0</v>
      </c>
    </row>
    <row r="4387" spans="1:21" x14ac:dyDescent="0.25">
      <c r="A4387" t="s">
        <v>77</v>
      </c>
      <c r="B4387" t="s">
        <v>854</v>
      </c>
      <c r="C4387">
        <v>10</v>
      </c>
      <c r="D4387" t="s">
        <v>33</v>
      </c>
      <c r="E4387" t="s">
        <v>94</v>
      </c>
      <c r="F4387" t="s">
        <v>110</v>
      </c>
      <c r="G4387" t="s">
        <v>110</v>
      </c>
      <c r="H4387" t="s">
        <v>110</v>
      </c>
      <c r="J4387">
        <v>0</v>
      </c>
      <c r="K4387">
        <v>3</v>
      </c>
      <c r="L4387">
        <v>73.260869569999997</v>
      </c>
      <c r="M4387">
        <v>34.453830549999999</v>
      </c>
      <c r="N4387">
        <v>1.058333333</v>
      </c>
      <c r="O4387">
        <v>0.90897070000000002</v>
      </c>
      <c r="P4387">
        <v>73.260869569999997</v>
      </c>
      <c r="Q4387">
        <v>34.453830549999999</v>
      </c>
      <c r="R4387">
        <v>1.058333333</v>
      </c>
      <c r="S4387">
        <v>0.90897070000000002</v>
      </c>
      <c r="T4387" t="s">
        <v>1040</v>
      </c>
      <c r="U4387">
        <v>0</v>
      </c>
    </row>
    <row r="4388" spans="1:21" x14ac:dyDescent="0.25">
      <c r="A4388" t="s">
        <v>78</v>
      </c>
      <c r="B4388" t="s">
        <v>855</v>
      </c>
      <c r="C4388">
        <v>10</v>
      </c>
      <c r="D4388" t="s">
        <v>35</v>
      </c>
      <c r="E4388" t="s">
        <v>94</v>
      </c>
      <c r="F4388" t="s">
        <v>111</v>
      </c>
      <c r="G4388" t="s">
        <v>121</v>
      </c>
      <c r="H4388" t="s">
        <v>114</v>
      </c>
      <c r="J4388">
        <v>0</v>
      </c>
      <c r="K4388">
        <v>0</v>
      </c>
      <c r="L4388">
        <v>94.97142857</v>
      </c>
      <c r="M4388">
        <v>24.31591813</v>
      </c>
      <c r="N4388">
        <v>0.122951111</v>
      </c>
      <c r="O4388">
        <v>0.39050790000000002</v>
      </c>
      <c r="P4388" t="s">
        <v>114</v>
      </c>
      <c r="Q4388" t="s">
        <v>114</v>
      </c>
      <c r="R4388" t="s">
        <v>114</v>
      </c>
      <c r="S4388" t="s">
        <v>114</v>
      </c>
      <c r="T4388" t="s">
        <v>1040</v>
      </c>
      <c r="U4388" t="s">
        <v>114</v>
      </c>
    </row>
    <row r="4389" spans="1:21" x14ac:dyDescent="0.25">
      <c r="A4389" t="s">
        <v>50</v>
      </c>
      <c r="B4389" t="s">
        <v>856</v>
      </c>
      <c r="C4389">
        <v>12</v>
      </c>
      <c r="D4389" t="s">
        <v>11</v>
      </c>
      <c r="E4389" t="s">
        <v>95</v>
      </c>
      <c r="F4389" t="s">
        <v>113</v>
      </c>
      <c r="G4389" t="s">
        <v>113</v>
      </c>
      <c r="H4389" t="s">
        <v>113</v>
      </c>
      <c r="J4389">
        <v>0</v>
      </c>
      <c r="K4389">
        <v>6</v>
      </c>
      <c r="L4389">
        <v>83.757575759999995</v>
      </c>
      <c r="M4389">
        <v>22.60997987</v>
      </c>
      <c r="N4389">
        <v>0.72884000000000004</v>
      </c>
      <c r="O4389">
        <v>0.21301339999999999</v>
      </c>
      <c r="P4389">
        <v>83.757575759999995</v>
      </c>
      <c r="Q4389">
        <v>22.60997987</v>
      </c>
      <c r="R4389">
        <v>0.72884000000000004</v>
      </c>
      <c r="S4389">
        <v>0.21301339999999999</v>
      </c>
      <c r="T4389" t="s">
        <v>1040</v>
      </c>
      <c r="U4389">
        <v>0</v>
      </c>
    </row>
    <row r="4390" spans="1:21" x14ac:dyDescent="0.25">
      <c r="A4390" t="s">
        <v>50</v>
      </c>
      <c r="B4390" t="s">
        <v>856</v>
      </c>
      <c r="C4390">
        <v>12</v>
      </c>
      <c r="D4390" t="s">
        <v>11</v>
      </c>
      <c r="E4390" t="s">
        <v>95</v>
      </c>
      <c r="F4390" t="s">
        <v>113</v>
      </c>
      <c r="G4390" t="s">
        <v>113</v>
      </c>
      <c r="H4390" t="s">
        <v>113</v>
      </c>
      <c r="J4390">
        <v>0</v>
      </c>
      <c r="K4390">
        <v>6</v>
      </c>
      <c r="L4390">
        <v>83.757575759999995</v>
      </c>
      <c r="M4390">
        <v>22.60997987</v>
      </c>
      <c r="N4390">
        <v>0.72884000000000004</v>
      </c>
      <c r="O4390">
        <v>0.21301339999999999</v>
      </c>
      <c r="P4390">
        <v>83.757575759999995</v>
      </c>
      <c r="Q4390">
        <v>22.60997987</v>
      </c>
      <c r="R4390">
        <v>0.72884000000000004</v>
      </c>
      <c r="S4390">
        <v>0.21301339999999999</v>
      </c>
      <c r="T4390" t="s">
        <v>1040</v>
      </c>
      <c r="U4390">
        <v>0</v>
      </c>
    </row>
    <row r="4391" spans="1:21" x14ac:dyDescent="0.25">
      <c r="A4391" t="s">
        <v>50</v>
      </c>
      <c r="B4391" t="s">
        <v>856</v>
      </c>
      <c r="C4391">
        <v>12</v>
      </c>
      <c r="D4391" t="s">
        <v>11</v>
      </c>
      <c r="E4391" t="s">
        <v>95</v>
      </c>
      <c r="F4391" t="s">
        <v>113</v>
      </c>
      <c r="G4391" t="s">
        <v>113</v>
      </c>
      <c r="H4391" t="s">
        <v>113</v>
      </c>
      <c r="J4391">
        <v>0</v>
      </c>
      <c r="K4391">
        <v>6</v>
      </c>
      <c r="L4391">
        <v>83.757575759999995</v>
      </c>
      <c r="M4391">
        <v>22.60997987</v>
      </c>
      <c r="N4391">
        <v>0.72884000000000004</v>
      </c>
      <c r="O4391">
        <v>0.21301339999999999</v>
      </c>
      <c r="P4391">
        <v>83.757575759999995</v>
      </c>
      <c r="Q4391">
        <v>22.60997987</v>
      </c>
      <c r="R4391">
        <v>0.72884000000000004</v>
      </c>
      <c r="S4391">
        <v>0.21301339999999999</v>
      </c>
      <c r="T4391" t="s">
        <v>1040</v>
      </c>
      <c r="U4391">
        <v>0</v>
      </c>
    </row>
    <row r="4392" spans="1:21" x14ac:dyDescent="0.25">
      <c r="A4392" t="s">
        <v>50</v>
      </c>
      <c r="B4392" t="s">
        <v>856</v>
      </c>
      <c r="C4392">
        <v>12</v>
      </c>
      <c r="D4392" t="s">
        <v>11</v>
      </c>
      <c r="E4392" t="s">
        <v>95</v>
      </c>
      <c r="F4392" t="s">
        <v>113</v>
      </c>
      <c r="G4392" t="s">
        <v>113</v>
      </c>
      <c r="H4392" t="s">
        <v>113</v>
      </c>
      <c r="J4392">
        <v>0</v>
      </c>
      <c r="K4392">
        <v>6</v>
      </c>
      <c r="L4392">
        <v>83.757575759999995</v>
      </c>
      <c r="M4392">
        <v>22.60997987</v>
      </c>
      <c r="N4392">
        <v>0.72884000000000004</v>
      </c>
      <c r="O4392">
        <v>0.21301339999999999</v>
      </c>
      <c r="P4392">
        <v>83.757575759999995</v>
      </c>
      <c r="Q4392">
        <v>22.60997987</v>
      </c>
      <c r="R4392">
        <v>0.72884000000000004</v>
      </c>
      <c r="S4392">
        <v>0.21301339999999999</v>
      </c>
      <c r="T4392" t="s">
        <v>1040</v>
      </c>
      <c r="U4392">
        <v>0</v>
      </c>
    </row>
    <row r="4393" spans="1:21" x14ac:dyDescent="0.25">
      <c r="A4393" t="s">
        <v>50</v>
      </c>
      <c r="B4393" t="s">
        <v>856</v>
      </c>
      <c r="C4393">
        <v>12</v>
      </c>
      <c r="D4393" t="s">
        <v>11</v>
      </c>
      <c r="E4393" t="s">
        <v>95</v>
      </c>
      <c r="F4393" t="s">
        <v>113</v>
      </c>
      <c r="G4393" t="s">
        <v>113</v>
      </c>
      <c r="H4393" t="s">
        <v>113</v>
      </c>
      <c r="J4393">
        <v>0</v>
      </c>
      <c r="K4393">
        <v>6</v>
      </c>
      <c r="L4393">
        <v>83.757575759999995</v>
      </c>
      <c r="M4393">
        <v>22.60997987</v>
      </c>
      <c r="N4393">
        <v>0.72884000000000004</v>
      </c>
      <c r="O4393">
        <v>0.21301339999999999</v>
      </c>
      <c r="P4393">
        <v>83.757575759999995</v>
      </c>
      <c r="Q4393">
        <v>22.60997987</v>
      </c>
      <c r="R4393">
        <v>0.72884000000000004</v>
      </c>
      <c r="S4393">
        <v>0.21301339999999999</v>
      </c>
      <c r="T4393" t="s">
        <v>1040</v>
      </c>
      <c r="U4393">
        <v>0</v>
      </c>
    </row>
    <row r="4394" spans="1:21" x14ac:dyDescent="0.25">
      <c r="A4394" t="s">
        <v>50</v>
      </c>
      <c r="B4394" t="s">
        <v>856</v>
      </c>
      <c r="C4394">
        <v>12</v>
      </c>
      <c r="D4394" t="s">
        <v>11</v>
      </c>
      <c r="E4394" t="s">
        <v>95</v>
      </c>
      <c r="F4394" t="s">
        <v>113</v>
      </c>
      <c r="G4394" t="s">
        <v>113</v>
      </c>
      <c r="H4394" t="s">
        <v>113</v>
      </c>
      <c r="J4394">
        <v>0</v>
      </c>
      <c r="K4394">
        <v>6</v>
      </c>
      <c r="L4394">
        <v>83.757575759999995</v>
      </c>
      <c r="M4394">
        <v>22.60997987</v>
      </c>
      <c r="N4394">
        <v>0.72884000000000004</v>
      </c>
      <c r="O4394">
        <v>0.21301339999999999</v>
      </c>
      <c r="P4394">
        <v>83.757575759999995</v>
      </c>
      <c r="Q4394">
        <v>22.60997987</v>
      </c>
      <c r="R4394">
        <v>0.72884000000000004</v>
      </c>
      <c r="S4394">
        <v>0.21301339999999999</v>
      </c>
      <c r="T4394" t="s">
        <v>1040</v>
      </c>
      <c r="U4394">
        <v>0</v>
      </c>
    </row>
    <row r="4395" spans="1:21" x14ac:dyDescent="0.25">
      <c r="A4395" t="s">
        <v>50</v>
      </c>
      <c r="B4395" t="s">
        <v>856</v>
      </c>
      <c r="C4395">
        <v>12</v>
      </c>
      <c r="D4395" t="s">
        <v>11</v>
      </c>
      <c r="E4395" t="s">
        <v>95</v>
      </c>
      <c r="F4395" t="s">
        <v>113</v>
      </c>
      <c r="G4395" t="s">
        <v>113</v>
      </c>
      <c r="H4395" t="s">
        <v>238</v>
      </c>
      <c r="J4395">
        <v>0</v>
      </c>
      <c r="K4395">
        <v>1</v>
      </c>
      <c r="L4395">
        <v>83.757575759999995</v>
      </c>
      <c r="M4395">
        <v>22.60997987</v>
      </c>
      <c r="N4395">
        <v>0.72884000000000004</v>
      </c>
      <c r="O4395">
        <v>0.21301339999999999</v>
      </c>
      <c r="P4395">
        <v>87.5</v>
      </c>
      <c r="Q4395">
        <v>29.478311600000001</v>
      </c>
      <c r="R4395">
        <v>3.0797751000000002E-2</v>
      </c>
      <c r="S4395">
        <v>0.12931835</v>
      </c>
      <c r="T4395" t="s">
        <v>1040</v>
      </c>
      <c r="U4395">
        <v>8.3695049999999993E-2</v>
      </c>
    </row>
    <row r="4396" spans="1:21" x14ac:dyDescent="0.25">
      <c r="A4396" t="s">
        <v>50</v>
      </c>
      <c r="B4396" t="s">
        <v>857</v>
      </c>
      <c r="C4396">
        <v>12</v>
      </c>
      <c r="D4396" t="s">
        <v>11</v>
      </c>
      <c r="E4396" t="s">
        <v>95</v>
      </c>
      <c r="F4396" t="s">
        <v>103</v>
      </c>
      <c r="G4396" t="s">
        <v>113</v>
      </c>
      <c r="H4396" t="s">
        <v>113</v>
      </c>
      <c r="J4396">
        <v>0</v>
      </c>
      <c r="K4396">
        <v>4</v>
      </c>
      <c r="L4396">
        <v>98.291666669999998</v>
      </c>
      <c r="M4396">
        <v>30.315130790000001</v>
      </c>
      <c r="N4396">
        <v>5.0803484000000003E-2</v>
      </c>
      <c r="O4396">
        <v>0.42866070000000001</v>
      </c>
      <c r="P4396">
        <v>83.757575759999995</v>
      </c>
      <c r="Q4396">
        <v>22.60997987</v>
      </c>
      <c r="R4396">
        <v>0.72884000000000004</v>
      </c>
      <c r="S4396">
        <v>0.21301339999999999</v>
      </c>
      <c r="T4396" t="s">
        <v>1040</v>
      </c>
      <c r="U4396">
        <v>0.21564730000000001</v>
      </c>
    </row>
    <row r="4397" spans="1:21" x14ac:dyDescent="0.25">
      <c r="A4397" t="s">
        <v>50</v>
      </c>
      <c r="B4397" t="s">
        <v>857</v>
      </c>
      <c r="C4397">
        <v>12</v>
      </c>
      <c r="D4397" t="s">
        <v>11</v>
      </c>
      <c r="E4397" t="s">
        <v>95</v>
      </c>
      <c r="F4397" t="s">
        <v>103</v>
      </c>
      <c r="G4397" t="s">
        <v>113</v>
      </c>
      <c r="H4397" t="s">
        <v>113</v>
      </c>
      <c r="J4397">
        <v>0</v>
      </c>
      <c r="K4397">
        <v>4</v>
      </c>
      <c r="L4397">
        <v>98.291666669999998</v>
      </c>
      <c r="M4397">
        <v>30.315130790000001</v>
      </c>
      <c r="N4397">
        <v>5.0803484000000003E-2</v>
      </c>
      <c r="O4397">
        <v>0.42866070000000001</v>
      </c>
      <c r="P4397">
        <v>83.757575759999995</v>
      </c>
      <c r="Q4397">
        <v>22.60997987</v>
      </c>
      <c r="R4397">
        <v>0.72884000000000004</v>
      </c>
      <c r="S4397">
        <v>0.21301339999999999</v>
      </c>
      <c r="T4397" t="s">
        <v>1040</v>
      </c>
      <c r="U4397">
        <v>0.21564730000000001</v>
      </c>
    </row>
    <row r="4398" spans="1:21" x14ac:dyDescent="0.25">
      <c r="A4398" t="s">
        <v>50</v>
      </c>
      <c r="B4398" t="s">
        <v>857</v>
      </c>
      <c r="C4398">
        <v>12</v>
      </c>
      <c r="D4398" t="s">
        <v>11</v>
      </c>
      <c r="E4398" t="s">
        <v>95</v>
      </c>
      <c r="F4398" t="s">
        <v>103</v>
      </c>
      <c r="G4398" t="s">
        <v>113</v>
      </c>
      <c r="H4398" t="s">
        <v>113</v>
      </c>
      <c r="J4398">
        <v>0</v>
      </c>
      <c r="K4398">
        <v>4</v>
      </c>
      <c r="L4398">
        <v>98.291666669999998</v>
      </c>
      <c r="M4398">
        <v>30.315130790000001</v>
      </c>
      <c r="N4398">
        <v>5.0803484000000003E-2</v>
      </c>
      <c r="O4398">
        <v>0.42866070000000001</v>
      </c>
      <c r="P4398">
        <v>83.757575759999995</v>
      </c>
      <c r="Q4398">
        <v>22.60997987</v>
      </c>
      <c r="R4398">
        <v>0.72884000000000004</v>
      </c>
      <c r="S4398">
        <v>0.21301339999999999</v>
      </c>
      <c r="T4398" t="s">
        <v>1040</v>
      </c>
      <c r="U4398">
        <v>0.21564730000000001</v>
      </c>
    </row>
    <row r="4399" spans="1:21" x14ac:dyDescent="0.25">
      <c r="A4399" t="s">
        <v>50</v>
      </c>
      <c r="B4399" t="s">
        <v>857</v>
      </c>
      <c r="C4399">
        <v>12</v>
      </c>
      <c r="D4399" t="s">
        <v>11</v>
      </c>
      <c r="E4399" t="s">
        <v>95</v>
      </c>
      <c r="F4399" t="s">
        <v>103</v>
      </c>
      <c r="G4399" t="s">
        <v>113</v>
      </c>
      <c r="H4399" t="s">
        <v>113</v>
      </c>
      <c r="J4399">
        <v>0</v>
      </c>
      <c r="K4399">
        <v>4</v>
      </c>
      <c r="L4399">
        <v>98.291666669999998</v>
      </c>
      <c r="M4399">
        <v>30.315130790000001</v>
      </c>
      <c r="N4399">
        <v>5.0803484000000003E-2</v>
      </c>
      <c r="O4399">
        <v>0.42866070000000001</v>
      </c>
      <c r="P4399">
        <v>83.757575759999995</v>
      </c>
      <c r="Q4399">
        <v>22.60997987</v>
      </c>
      <c r="R4399">
        <v>0.72884000000000004</v>
      </c>
      <c r="S4399">
        <v>0.21301339999999999</v>
      </c>
      <c r="T4399" t="s">
        <v>1040</v>
      </c>
      <c r="U4399">
        <v>0.21564730000000001</v>
      </c>
    </row>
    <row r="4400" spans="1:21" x14ac:dyDescent="0.25">
      <c r="A4400" t="s">
        <v>50</v>
      </c>
      <c r="B4400" t="s">
        <v>857</v>
      </c>
      <c r="C4400">
        <v>12</v>
      </c>
      <c r="D4400" t="s">
        <v>11</v>
      </c>
      <c r="E4400" t="s">
        <v>95</v>
      </c>
      <c r="F4400" t="s">
        <v>103</v>
      </c>
      <c r="G4400" t="s">
        <v>113</v>
      </c>
      <c r="H4400" t="s">
        <v>242</v>
      </c>
      <c r="J4400">
        <v>0</v>
      </c>
      <c r="K4400">
        <v>3</v>
      </c>
      <c r="L4400">
        <v>98.291666669999998</v>
      </c>
      <c r="M4400">
        <v>30.315130790000001</v>
      </c>
      <c r="N4400">
        <v>5.0803484000000003E-2</v>
      </c>
      <c r="O4400">
        <v>0.42866070000000001</v>
      </c>
      <c r="P4400">
        <v>139.375</v>
      </c>
      <c r="Q4400">
        <v>23.713465920000001</v>
      </c>
      <c r="R4400" t="s">
        <v>114</v>
      </c>
      <c r="S4400" t="s">
        <v>114</v>
      </c>
      <c r="T4400" t="s">
        <v>1040</v>
      </c>
      <c r="U4400" t="s">
        <v>114</v>
      </c>
    </row>
    <row r="4401" spans="1:21" x14ac:dyDescent="0.25">
      <c r="A4401" t="s">
        <v>50</v>
      </c>
      <c r="B4401" t="s">
        <v>857</v>
      </c>
      <c r="C4401">
        <v>12</v>
      </c>
      <c r="D4401" t="s">
        <v>11</v>
      </c>
      <c r="E4401" t="s">
        <v>95</v>
      </c>
      <c r="F4401" t="s">
        <v>103</v>
      </c>
      <c r="G4401" t="s">
        <v>113</v>
      </c>
      <c r="H4401" t="s">
        <v>242</v>
      </c>
      <c r="J4401">
        <v>0</v>
      </c>
      <c r="K4401">
        <v>3</v>
      </c>
      <c r="L4401">
        <v>98.291666669999998</v>
      </c>
      <c r="M4401">
        <v>30.315130790000001</v>
      </c>
      <c r="N4401">
        <v>5.0803484000000003E-2</v>
      </c>
      <c r="O4401">
        <v>0.42866070000000001</v>
      </c>
      <c r="P4401">
        <v>139.375</v>
      </c>
      <c r="Q4401">
        <v>23.713465920000001</v>
      </c>
      <c r="R4401" t="s">
        <v>114</v>
      </c>
      <c r="S4401" t="s">
        <v>114</v>
      </c>
      <c r="T4401" t="s">
        <v>1040</v>
      </c>
      <c r="U4401" t="s">
        <v>114</v>
      </c>
    </row>
    <row r="4402" spans="1:21" x14ac:dyDescent="0.25">
      <c r="A4402" t="s">
        <v>50</v>
      </c>
      <c r="B4402" t="s">
        <v>857</v>
      </c>
      <c r="C4402">
        <v>12</v>
      </c>
      <c r="D4402" t="s">
        <v>11</v>
      </c>
      <c r="E4402" t="s">
        <v>95</v>
      </c>
      <c r="F4402" t="s">
        <v>103</v>
      </c>
      <c r="G4402" t="s">
        <v>113</v>
      </c>
      <c r="H4402" t="s">
        <v>242</v>
      </c>
      <c r="J4402">
        <v>0</v>
      </c>
      <c r="K4402">
        <v>3</v>
      </c>
      <c r="L4402">
        <v>98.291666669999998</v>
      </c>
      <c r="M4402">
        <v>30.315130790000001</v>
      </c>
      <c r="N4402">
        <v>5.0803484000000003E-2</v>
      </c>
      <c r="O4402">
        <v>0.42866070000000001</v>
      </c>
      <c r="P4402">
        <v>139.375</v>
      </c>
      <c r="Q4402">
        <v>23.713465920000001</v>
      </c>
      <c r="R4402" t="s">
        <v>114</v>
      </c>
      <c r="S4402" t="s">
        <v>114</v>
      </c>
      <c r="T4402" t="s">
        <v>1040</v>
      </c>
      <c r="U4402" t="s">
        <v>114</v>
      </c>
    </row>
    <row r="4403" spans="1:21" x14ac:dyDescent="0.25">
      <c r="A4403" t="s">
        <v>50</v>
      </c>
      <c r="B4403" t="s">
        <v>858</v>
      </c>
      <c r="C4403">
        <v>12</v>
      </c>
      <c r="D4403" t="s">
        <v>11</v>
      </c>
      <c r="E4403" t="s">
        <v>95</v>
      </c>
      <c r="F4403" t="s">
        <v>111</v>
      </c>
      <c r="G4403" t="s">
        <v>113</v>
      </c>
      <c r="H4403" t="s">
        <v>113</v>
      </c>
      <c r="J4403">
        <v>0</v>
      </c>
      <c r="K4403">
        <v>3</v>
      </c>
      <c r="L4403">
        <v>94.97142857</v>
      </c>
      <c r="M4403">
        <v>24.31591813</v>
      </c>
      <c r="N4403">
        <v>0.122951111</v>
      </c>
      <c r="O4403">
        <v>0.39050790000000002</v>
      </c>
      <c r="P4403">
        <v>83.757575759999995</v>
      </c>
      <c r="Q4403">
        <v>22.60997987</v>
      </c>
      <c r="R4403">
        <v>0.72884000000000004</v>
      </c>
      <c r="S4403">
        <v>0.21301339999999999</v>
      </c>
      <c r="T4403" t="s">
        <v>1040</v>
      </c>
      <c r="U4403">
        <v>0.17749450000000003</v>
      </c>
    </row>
    <row r="4404" spans="1:21" x14ac:dyDescent="0.25">
      <c r="A4404" t="s">
        <v>50</v>
      </c>
      <c r="B4404" t="s">
        <v>858</v>
      </c>
      <c r="C4404">
        <v>12</v>
      </c>
      <c r="D4404" t="s">
        <v>11</v>
      </c>
      <c r="E4404" t="s">
        <v>95</v>
      </c>
      <c r="F4404" t="s">
        <v>111</v>
      </c>
      <c r="G4404" t="s">
        <v>113</v>
      </c>
      <c r="H4404" t="s">
        <v>113</v>
      </c>
      <c r="J4404">
        <v>0</v>
      </c>
      <c r="K4404">
        <v>3</v>
      </c>
      <c r="L4404">
        <v>94.97142857</v>
      </c>
      <c r="M4404">
        <v>24.31591813</v>
      </c>
      <c r="N4404">
        <v>0.122951111</v>
      </c>
      <c r="O4404">
        <v>0.39050790000000002</v>
      </c>
      <c r="P4404">
        <v>83.757575759999995</v>
      </c>
      <c r="Q4404">
        <v>22.60997987</v>
      </c>
      <c r="R4404">
        <v>0.72884000000000004</v>
      </c>
      <c r="S4404">
        <v>0.21301339999999999</v>
      </c>
      <c r="T4404" t="s">
        <v>1040</v>
      </c>
      <c r="U4404">
        <v>0.17749450000000003</v>
      </c>
    </row>
    <row r="4405" spans="1:21" x14ac:dyDescent="0.25">
      <c r="A4405" t="s">
        <v>50</v>
      </c>
      <c r="B4405" t="s">
        <v>858</v>
      </c>
      <c r="C4405">
        <v>12</v>
      </c>
      <c r="D4405" t="s">
        <v>11</v>
      </c>
      <c r="E4405" t="s">
        <v>95</v>
      </c>
      <c r="F4405" t="s">
        <v>111</v>
      </c>
      <c r="G4405" t="s">
        <v>113</v>
      </c>
      <c r="H4405" t="s">
        <v>113</v>
      </c>
      <c r="J4405">
        <v>0</v>
      </c>
      <c r="K4405">
        <v>3</v>
      </c>
      <c r="L4405">
        <v>94.97142857</v>
      </c>
      <c r="M4405">
        <v>24.31591813</v>
      </c>
      <c r="N4405">
        <v>0.122951111</v>
      </c>
      <c r="O4405">
        <v>0.39050790000000002</v>
      </c>
      <c r="P4405">
        <v>83.757575759999995</v>
      </c>
      <c r="Q4405">
        <v>22.60997987</v>
      </c>
      <c r="R4405">
        <v>0.72884000000000004</v>
      </c>
      <c r="S4405">
        <v>0.21301339999999999</v>
      </c>
      <c r="T4405" t="s">
        <v>1040</v>
      </c>
      <c r="U4405">
        <v>0.17749450000000003</v>
      </c>
    </row>
    <row r="4406" spans="1:21" x14ac:dyDescent="0.25">
      <c r="A4406" t="s">
        <v>50</v>
      </c>
      <c r="B4406" t="s">
        <v>858</v>
      </c>
      <c r="C4406">
        <v>12</v>
      </c>
      <c r="D4406" t="s">
        <v>11</v>
      </c>
      <c r="E4406" t="s">
        <v>95</v>
      </c>
      <c r="F4406" t="s">
        <v>111</v>
      </c>
      <c r="G4406" t="s">
        <v>113</v>
      </c>
      <c r="H4406" t="s">
        <v>242</v>
      </c>
      <c r="J4406">
        <v>0</v>
      </c>
      <c r="K4406">
        <v>2</v>
      </c>
      <c r="L4406">
        <v>94.97142857</v>
      </c>
      <c r="M4406">
        <v>24.31591813</v>
      </c>
      <c r="N4406">
        <v>0.122951111</v>
      </c>
      <c r="O4406">
        <v>0.39050790000000002</v>
      </c>
      <c r="P4406">
        <v>139.375</v>
      </c>
      <c r="Q4406">
        <v>23.713465920000001</v>
      </c>
      <c r="R4406" t="s">
        <v>114</v>
      </c>
      <c r="S4406" t="s">
        <v>114</v>
      </c>
      <c r="T4406" t="s">
        <v>1040</v>
      </c>
      <c r="U4406" t="s">
        <v>114</v>
      </c>
    </row>
    <row r="4407" spans="1:21" x14ac:dyDescent="0.25">
      <c r="A4407" t="s">
        <v>50</v>
      </c>
      <c r="B4407" t="s">
        <v>858</v>
      </c>
      <c r="C4407">
        <v>12</v>
      </c>
      <c r="D4407" t="s">
        <v>11</v>
      </c>
      <c r="E4407" t="s">
        <v>95</v>
      </c>
      <c r="F4407" t="s">
        <v>111</v>
      </c>
      <c r="G4407" t="s">
        <v>113</v>
      </c>
      <c r="H4407" t="s">
        <v>242</v>
      </c>
      <c r="J4407">
        <v>0</v>
      </c>
      <c r="K4407">
        <v>2</v>
      </c>
      <c r="L4407">
        <v>94.97142857</v>
      </c>
      <c r="M4407">
        <v>24.31591813</v>
      </c>
      <c r="N4407">
        <v>0.122951111</v>
      </c>
      <c r="O4407">
        <v>0.39050790000000002</v>
      </c>
      <c r="P4407">
        <v>139.375</v>
      </c>
      <c r="Q4407">
        <v>23.713465920000001</v>
      </c>
      <c r="R4407" t="s">
        <v>114</v>
      </c>
      <c r="S4407" t="s">
        <v>114</v>
      </c>
      <c r="T4407" t="s">
        <v>1040</v>
      </c>
      <c r="U4407" t="s">
        <v>114</v>
      </c>
    </row>
    <row r="4408" spans="1:21" x14ac:dyDescent="0.25">
      <c r="A4408" t="s">
        <v>50</v>
      </c>
      <c r="B4408" t="s">
        <v>859</v>
      </c>
      <c r="C4408">
        <v>12</v>
      </c>
      <c r="D4408" t="s">
        <v>11</v>
      </c>
      <c r="E4408" t="s">
        <v>95</v>
      </c>
      <c r="F4408" t="s">
        <v>104</v>
      </c>
      <c r="G4408" t="s">
        <v>121</v>
      </c>
      <c r="H4408" t="s">
        <v>103</v>
      </c>
      <c r="J4408">
        <v>0</v>
      </c>
      <c r="K4408">
        <v>1</v>
      </c>
      <c r="L4408">
        <v>113.9375</v>
      </c>
      <c r="M4408">
        <v>33.375507550000002</v>
      </c>
      <c r="N4408">
        <v>2.4262999999999999</v>
      </c>
      <c r="O4408">
        <v>0.40692159999999999</v>
      </c>
      <c r="P4408">
        <v>98.291666669999998</v>
      </c>
      <c r="Q4408">
        <v>30.315130790000001</v>
      </c>
      <c r="R4408">
        <v>5.0803484000000003E-2</v>
      </c>
      <c r="S4408">
        <v>0.42866070000000001</v>
      </c>
      <c r="T4408" t="s">
        <v>1040</v>
      </c>
      <c r="U4408">
        <v>-2.1739100000000011E-2</v>
      </c>
    </row>
    <row r="4409" spans="1:21" x14ac:dyDescent="0.25">
      <c r="A4409" t="s">
        <v>50</v>
      </c>
      <c r="B4409" t="s">
        <v>859</v>
      </c>
      <c r="C4409">
        <v>12</v>
      </c>
      <c r="D4409" t="s">
        <v>11</v>
      </c>
      <c r="E4409" t="s">
        <v>95</v>
      </c>
      <c r="F4409" t="s">
        <v>104</v>
      </c>
      <c r="G4409" t="s">
        <v>121</v>
      </c>
      <c r="H4409" t="s">
        <v>238</v>
      </c>
      <c r="J4409">
        <v>0</v>
      </c>
      <c r="K4409">
        <v>1</v>
      </c>
      <c r="L4409">
        <v>113.9375</v>
      </c>
      <c r="M4409">
        <v>33.375507550000002</v>
      </c>
      <c r="N4409">
        <v>2.4262999999999999</v>
      </c>
      <c r="O4409">
        <v>0.40692159999999999</v>
      </c>
      <c r="P4409">
        <v>87.5</v>
      </c>
      <c r="Q4409">
        <v>29.478311600000001</v>
      </c>
      <c r="R4409">
        <v>3.0797751000000002E-2</v>
      </c>
      <c r="S4409">
        <v>0.12931835</v>
      </c>
      <c r="T4409" t="s">
        <v>1040</v>
      </c>
      <c r="U4409">
        <v>0.27760324999999997</v>
      </c>
    </row>
    <row r="4410" spans="1:21" x14ac:dyDescent="0.25">
      <c r="A4410" t="s">
        <v>51</v>
      </c>
      <c r="B4410" t="s">
        <v>860</v>
      </c>
      <c r="C4410">
        <v>12</v>
      </c>
      <c r="D4410" t="s">
        <v>15</v>
      </c>
      <c r="E4410" t="s">
        <v>94</v>
      </c>
      <c r="F4410" t="s">
        <v>105</v>
      </c>
      <c r="G4410" t="s">
        <v>104</v>
      </c>
      <c r="H4410" t="s">
        <v>104</v>
      </c>
      <c r="J4410">
        <v>0</v>
      </c>
      <c r="K4410">
        <v>2</v>
      </c>
      <c r="L4410">
        <v>67.5</v>
      </c>
      <c r="M4410">
        <v>47.937235809999997</v>
      </c>
      <c r="N4410">
        <v>0.41599678000000001</v>
      </c>
      <c r="O4410">
        <v>2.0950346999999998</v>
      </c>
      <c r="P4410">
        <v>113.9375</v>
      </c>
      <c r="Q4410">
        <v>33.375507550000002</v>
      </c>
      <c r="R4410">
        <v>2.4262999999999999</v>
      </c>
      <c r="S4410">
        <v>0.40692159999999999</v>
      </c>
      <c r="T4410" t="s">
        <v>1040</v>
      </c>
      <c r="U4410">
        <v>1.6881130999999998</v>
      </c>
    </row>
    <row r="4411" spans="1:21" x14ac:dyDescent="0.25">
      <c r="A4411" t="s">
        <v>51</v>
      </c>
      <c r="B4411" t="s">
        <v>860</v>
      </c>
      <c r="C4411">
        <v>12</v>
      </c>
      <c r="D4411" t="s">
        <v>15</v>
      </c>
      <c r="E4411" t="s">
        <v>94</v>
      </c>
      <c r="F4411" t="s">
        <v>105</v>
      </c>
      <c r="G4411" t="s">
        <v>104</v>
      </c>
      <c r="H4411" t="s">
        <v>104</v>
      </c>
      <c r="J4411">
        <v>0</v>
      </c>
      <c r="K4411">
        <v>2</v>
      </c>
      <c r="L4411">
        <v>67.5</v>
      </c>
      <c r="M4411">
        <v>47.937235809999997</v>
      </c>
      <c r="N4411">
        <v>0.41599678000000001</v>
      </c>
      <c r="O4411">
        <v>2.0950346999999998</v>
      </c>
      <c r="P4411">
        <v>113.9375</v>
      </c>
      <c r="Q4411">
        <v>33.375507550000002</v>
      </c>
      <c r="R4411">
        <v>2.4262999999999999</v>
      </c>
      <c r="S4411">
        <v>0.40692159999999999</v>
      </c>
      <c r="T4411" t="s">
        <v>1040</v>
      </c>
      <c r="U4411">
        <v>1.6881130999999998</v>
      </c>
    </row>
    <row r="4412" spans="1:21" x14ac:dyDescent="0.25">
      <c r="A4412" t="s">
        <v>51</v>
      </c>
      <c r="B4412" t="s">
        <v>861</v>
      </c>
      <c r="C4412">
        <v>12</v>
      </c>
      <c r="D4412" t="s">
        <v>15</v>
      </c>
      <c r="E4412" t="s">
        <v>94</v>
      </c>
      <c r="F4412" t="s">
        <v>111</v>
      </c>
      <c r="G4412" t="s">
        <v>121</v>
      </c>
      <c r="H4412" t="s">
        <v>241</v>
      </c>
      <c r="J4412">
        <v>0</v>
      </c>
      <c r="K4412">
        <v>1</v>
      </c>
      <c r="L4412">
        <v>94.97142857</v>
      </c>
      <c r="M4412">
        <v>24.31591813</v>
      </c>
      <c r="N4412">
        <v>0.122951111</v>
      </c>
      <c r="O4412">
        <v>0.39050790000000002</v>
      </c>
      <c r="P4412">
        <v>114</v>
      </c>
      <c r="Q4412">
        <v>30.43077242</v>
      </c>
      <c r="R4412">
        <v>0.53383111100000002</v>
      </c>
      <c r="S4412">
        <v>0.28333332999999999</v>
      </c>
      <c r="T4412" t="s">
        <v>1040</v>
      </c>
      <c r="U4412">
        <v>0.10717457000000002</v>
      </c>
    </row>
    <row r="4413" spans="1:21" x14ac:dyDescent="0.25">
      <c r="A4413" t="s">
        <v>51</v>
      </c>
      <c r="B4413" t="s">
        <v>862</v>
      </c>
      <c r="C4413">
        <v>12</v>
      </c>
      <c r="D4413" t="s">
        <v>15</v>
      </c>
      <c r="E4413" t="s">
        <v>94</v>
      </c>
      <c r="F4413" t="s">
        <v>112</v>
      </c>
      <c r="G4413" t="s">
        <v>112</v>
      </c>
      <c r="H4413" t="s">
        <v>112</v>
      </c>
      <c r="J4413">
        <v>0</v>
      </c>
      <c r="K4413">
        <v>2</v>
      </c>
      <c r="L4413">
        <v>65.09375</v>
      </c>
      <c r="M4413">
        <v>37.895352600000002</v>
      </c>
      <c r="N4413">
        <v>2.2882677779999998</v>
      </c>
      <c r="O4413">
        <v>2.2111774</v>
      </c>
      <c r="P4413">
        <v>65.09375</v>
      </c>
      <c r="Q4413">
        <v>37.895352600000002</v>
      </c>
      <c r="R4413">
        <v>2.2882677779999998</v>
      </c>
      <c r="S4413">
        <v>2.2111774</v>
      </c>
      <c r="T4413" t="s">
        <v>1040</v>
      </c>
      <c r="U4413">
        <v>0</v>
      </c>
    </row>
    <row r="4414" spans="1:21" x14ac:dyDescent="0.25">
      <c r="A4414" t="s">
        <v>51</v>
      </c>
      <c r="B4414" t="s">
        <v>862</v>
      </c>
      <c r="C4414">
        <v>12</v>
      </c>
      <c r="D4414" t="s">
        <v>15</v>
      </c>
      <c r="E4414" t="s">
        <v>94</v>
      </c>
      <c r="F4414" t="s">
        <v>112</v>
      </c>
      <c r="G4414" t="s">
        <v>112</v>
      </c>
      <c r="H4414" t="s">
        <v>112</v>
      </c>
      <c r="J4414">
        <v>0</v>
      </c>
      <c r="K4414">
        <v>2</v>
      </c>
      <c r="L4414">
        <v>65.09375</v>
      </c>
      <c r="M4414">
        <v>37.895352600000002</v>
      </c>
      <c r="N4414">
        <v>2.2882677779999998</v>
      </c>
      <c r="O4414">
        <v>2.2111774</v>
      </c>
      <c r="P4414">
        <v>65.09375</v>
      </c>
      <c r="Q4414">
        <v>37.895352600000002</v>
      </c>
      <c r="R4414">
        <v>2.2882677779999998</v>
      </c>
      <c r="S4414">
        <v>2.2111774</v>
      </c>
      <c r="T4414" t="s">
        <v>1040</v>
      </c>
      <c r="U4414">
        <v>0</v>
      </c>
    </row>
    <row r="4415" spans="1:21" x14ac:dyDescent="0.25">
      <c r="A4415" t="s">
        <v>52</v>
      </c>
      <c r="B4415" t="s">
        <v>863</v>
      </c>
      <c r="C4415">
        <v>12</v>
      </c>
      <c r="D4415" t="s">
        <v>17</v>
      </c>
      <c r="E4415" t="s">
        <v>95</v>
      </c>
      <c r="F4415" t="s">
        <v>102</v>
      </c>
      <c r="G4415" t="s">
        <v>121</v>
      </c>
      <c r="H4415" t="s">
        <v>238</v>
      </c>
      <c r="J4415">
        <v>0</v>
      </c>
      <c r="K4415">
        <v>1</v>
      </c>
      <c r="L4415">
        <v>84.740740740000007</v>
      </c>
      <c r="M4415">
        <v>29.167014049999999</v>
      </c>
      <c r="N4415">
        <v>1.1169849999999999</v>
      </c>
      <c r="O4415">
        <v>1.1571499000000001</v>
      </c>
      <c r="P4415">
        <v>87.5</v>
      </c>
      <c r="Q4415">
        <v>29.478311600000001</v>
      </c>
      <c r="R4415">
        <v>3.0797751000000002E-2</v>
      </c>
      <c r="S4415">
        <v>0.12931835</v>
      </c>
      <c r="T4415" t="s">
        <v>1040</v>
      </c>
      <c r="U4415">
        <v>1.0278315500000001</v>
      </c>
    </row>
    <row r="4416" spans="1:21" x14ac:dyDescent="0.25">
      <c r="A4416" t="s">
        <v>52</v>
      </c>
      <c r="B4416" t="s">
        <v>863</v>
      </c>
      <c r="C4416">
        <v>12</v>
      </c>
      <c r="D4416" t="s">
        <v>17</v>
      </c>
      <c r="E4416" t="s">
        <v>95</v>
      </c>
      <c r="F4416" t="s">
        <v>102</v>
      </c>
      <c r="G4416" t="s">
        <v>121</v>
      </c>
      <c r="H4416" t="s">
        <v>113</v>
      </c>
      <c r="J4416">
        <v>0</v>
      </c>
      <c r="K4416">
        <v>1</v>
      </c>
      <c r="L4416">
        <v>84.740740740000007</v>
      </c>
      <c r="M4416">
        <v>29.167014049999999</v>
      </c>
      <c r="N4416">
        <v>1.1169849999999999</v>
      </c>
      <c r="O4416">
        <v>1.1571499000000001</v>
      </c>
      <c r="P4416">
        <v>83.757575759999995</v>
      </c>
      <c r="Q4416">
        <v>22.60997987</v>
      </c>
      <c r="R4416">
        <v>0.72884000000000004</v>
      </c>
      <c r="S4416">
        <v>0.21301339999999999</v>
      </c>
      <c r="T4416" t="s">
        <v>1040</v>
      </c>
      <c r="U4416">
        <v>0.94413650000000005</v>
      </c>
    </row>
    <row r="4417" spans="1:21" x14ac:dyDescent="0.25">
      <c r="A4417" t="s">
        <v>52</v>
      </c>
      <c r="B4417" t="s">
        <v>864</v>
      </c>
      <c r="C4417">
        <v>12</v>
      </c>
      <c r="D4417" t="s">
        <v>17</v>
      </c>
      <c r="E4417" t="s">
        <v>95</v>
      </c>
      <c r="F4417" t="s">
        <v>103</v>
      </c>
      <c r="G4417" t="s">
        <v>121</v>
      </c>
      <c r="H4417" t="s">
        <v>234</v>
      </c>
      <c r="J4417">
        <v>0</v>
      </c>
      <c r="K4417">
        <v>5</v>
      </c>
      <c r="L4417">
        <v>98.291666669999998</v>
      </c>
      <c r="M4417">
        <v>30.315130790000001</v>
      </c>
      <c r="N4417">
        <v>5.0803484000000003E-2</v>
      </c>
      <c r="O4417">
        <v>0.42866070000000001</v>
      </c>
      <c r="P4417">
        <v>89.8125</v>
      </c>
      <c r="Q4417">
        <v>34.754706650000003</v>
      </c>
      <c r="R4417">
        <v>2.3065078999999999E-2</v>
      </c>
      <c r="S4417">
        <v>2.4791666700000001</v>
      </c>
      <c r="T4417" t="s">
        <v>1040</v>
      </c>
      <c r="U4417">
        <v>-2.0505059700000001</v>
      </c>
    </row>
    <row r="4418" spans="1:21" x14ac:dyDescent="0.25">
      <c r="A4418" t="s">
        <v>52</v>
      </c>
      <c r="B4418" t="s">
        <v>864</v>
      </c>
      <c r="C4418">
        <v>12</v>
      </c>
      <c r="D4418" t="s">
        <v>17</v>
      </c>
      <c r="E4418" t="s">
        <v>95</v>
      </c>
      <c r="F4418" t="s">
        <v>103</v>
      </c>
      <c r="G4418" t="s">
        <v>121</v>
      </c>
      <c r="H4418" t="s">
        <v>234</v>
      </c>
      <c r="J4418">
        <v>0</v>
      </c>
      <c r="K4418">
        <v>5</v>
      </c>
      <c r="L4418">
        <v>98.291666669999998</v>
      </c>
      <c r="M4418">
        <v>30.315130790000001</v>
      </c>
      <c r="N4418">
        <v>5.0803484000000003E-2</v>
      </c>
      <c r="O4418">
        <v>0.42866070000000001</v>
      </c>
      <c r="P4418">
        <v>89.8125</v>
      </c>
      <c r="Q4418">
        <v>34.754706650000003</v>
      </c>
      <c r="R4418">
        <v>2.3065078999999999E-2</v>
      </c>
      <c r="S4418">
        <v>2.4791666700000001</v>
      </c>
      <c r="T4418" t="s">
        <v>1040</v>
      </c>
      <c r="U4418">
        <v>-2.0505059700000001</v>
      </c>
    </row>
    <row r="4419" spans="1:21" x14ac:dyDescent="0.25">
      <c r="A4419" t="s">
        <v>52</v>
      </c>
      <c r="B4419" t="s">
        <v>864</v>
      </c>
      <c r="C4419">
        <v>12</v>
      </c>
      <c r="D4419" t="s">
        <v>17</v>
      </c>
      <c r="E4419" t="s">
        <v>95</v>
      </c>
      <c r="F4419" t="s">
        <v>103</v>
      </c>
      <c r="G4419" t="s">
        <v>121</v>
      </c>
      <c r="H4419" t="s">
        <v>234</v>
      </c>
      <c r="J4419">
        <v>0</v>
      </c>
      <c r="K4419">
        <v>5</v>
      </c>
      <c r="L4419">
        <v>98.291666669999998</v>
      </c>
      <c r="M4419">
        <v>30.315130790000001</v>
      </c>
      <c r="N4419">
        <v>5.0803484000000003E-2</v>
      </c>
      <c r="O4419">
        <v>0.42866070000000001</v>
      </c>
      <c r="P4419">
        <v>89.8125</v>
      </c>
      <c r="Q4419">
        <v>34.754706650000003</v>
      </c>
      <c r="R4419">
        <v>2.3065078999999999E-2</v>
      </c>
      <c r="S4419">
        <v>2.4791666700000001</v>
      </c>
      <c r="T4419" t="s">
        <v>1040</v>
      </c>
      <c r="U4419">
        <v>-2.0505059700000001</v>
      </c>
    </row>
    <row r="4420" spans="1:21" x14ac:dyDescent="0.25">
      <c r="A4420" t="s">
        <v>52</v>
      </c>
      <c r="B4420" t="s">
        <v>864</v>
      </c>
      <c r="C4420">
        <v>12</v>
      </c>
      <c r="D4420" t="s">
        <v>17</v>
      </c>
      <c r="E4420" t="s">
        <v>95</v>
      </c>
      <c r="F4420" t="s">
        <v>103</v>
      </c>
      <c r="G4420" t="s">
        <v>121</v>
      </c>
      <c r="H4420" t="s">
        <v>234</v>
      </c>
      <c r="J4420">
        <v>0</v>
      </c>
      <c r="K4420">
        <v>5</v>
      </c>
      <c r="L4420">
        <v>98.291666669999998</v>
      </c>
      <c r="M4420">
        <v>30.315130790000001</v>
      </c>
      <c r="N4420">
        <v>5.0803484000000003E-2</v>
      </c>
      <c r="O4420">
        <v>0.42866070000000001</v>
      </c>
      <c r="P4420">
        <v>89.8125</v>
      </c>
      <c r="Q4420">
        <v>34.754706650000003</v>
      </c>
      <c r="R4420">
        <v>2.3065078999999999E-2</v>
      </c>
      <c r="S4420">
        <v>2.4791666700000001</v>
      </c>
      <c r="T4420" t="s">
        <v>1040</v>
      </c>
      <c r="U4420">
        <v>-2.0505059700000001</v>
      </c>
    </row>
    <row r="4421" spans="1:21" x14ac:dyDescent="0.25">
      <c r="A4421" t="s">
        <v>52</v>
      </c>
      <c r="B4421" t="s">
        <v>864</v>
      </c>
      <c r="C4421">
        <v>12</v>
      </c>
      <c r="D4421" t="s">
        <v>17</v>
      </c>
      <c r="E4421" t="s">
        <v>95</v>
      </c>
      <c r="F4421" t="s">
        <v>103</v>
      </c>
      <c r="G4421" t="s">
        <v>121</v>
      </c>
      <c r="H4421" t="s">
        <v>234</v>
      </c>
      <c r="J4421">
        <v>0</v>
      </c>
      <c r="K4421">
        <v>5</v>
      </c>
      <c r="L4421">
        <v>98.291666669999998</v>
      </c>
      <c r="M4421">
        <v>30.315130790000001</v>
      </c>
      <c r="N4421">
        <v>5.0803484000000003E-2</v>
      </c>
      <c r="O4421">
        <v>0.42866070000000001</v>
      </c>
      <c r="P4421">
        <v>89.8125</v>
      </c>
      <c r="Q4421">
        <v>34.754706650000003</v>
      </c>
      <c r="R4421">
        <v>2.3065078999999999E-2</v>
      </c>
      <c r="S4421">
        <v>2.4791666700000001</v>
      </c>
      <c r="T4421" t="s">
        <v>1040</v>
      </c>
      <c r="U4421">
        <v>-2.0505059700000001</v>
      </c>
    </row>
    <row r="4422" spans="1:21" x14ac:dyDescent="0.25">
      <c r="A4422" t="s">
        <v>52</v>
      </c>
      <c r="B4422" t="s">
        <v>865</v>
      </c>
      <c r="C4422">
        <v>12</v>
      </c>
      <c r="D4422" t="s">
        <v>17</v>
      </c>
      <c r="E4422" t="s">
        <v>95</v>
      </c>
      <c r="F4422" t="s">
        <v>111</v>
      </c>
      <c r="G4422" t="s">
        <v>103</v>
      </c>
      <c r="H4422" t="s">
        <v>103</v>
      </c>
      <c r="J4422">
        <v>0</v>
      </c>
      <c r="K4422">
        <v>1</v>
      </c>
      <c r="L4422">
        <v>94.97142857</v>
      </c>
      <c r="M4422">
        <v>24.31591813</v>
      </c>
      <c r="N4422">
        <v>0.122951111</v>
      </c>
      <c r="O4422">
        <v>0.39050790000000002</v>
      </c>
      <c r="P4422">
        <v>98.291666669999998</v>
      </c>
      <c r="Q4422">
        <v>30.315130790000001</v>
      </c>
      <c r="R4422">
        <v>5.0803484000000003E-2</v>
      </c>
      <c r="S4422">
        <v>0.42866070000000001</v>
      </c>
      <c r="T4422" t="s">
        <v>1040</v>
      </c>
      <c r="U4422">
        <v>-3.8152799999999987E-2</v>
      </c>
    </row>
    <row r="4423" spans="1:21" x14ac:dyDescent="0.25">
      <c r="A4423" t="s">
        <v>52</v>
      </c>
      <c r="B4423" t="s">
        <v>866</v>
      </c>
      <c r="C4423">
        <v>12</v>
      </c>
      <c r="D4423" t="s">
        <v>17</v>
      </c>
      <c r="E4423" t="s">
        <v>95</v>
      </c>
      <c r="F4423" t="s">
        <v>112</v>
      </c>
      <c r="G4423" t="s">
        <v>121</v>
      </c>
      <c r="H4423" t="s">
        <v>235</v>
      </c>
      <c r="J4423">
        <v>0</v>
      </c>
      <c r="K4423">
        <v>1</v>
      </c>
      <c r="L4423">
        <v>65.09375</v>
      </c>
      <c r="M4423">
        <v>37.895352600000002</v>
      </c>
      <c r="N4423">
        <v>2.2882677779999998</v>
      </c>
      <c r="O4423">
        <v>2.2111774</v>
      </c>
      <c r="P4423">
        <v>132.27272730000001</v>
      </c>
      <c r="Q4423">
        <v>20.180448590000001</v>
      </c>
      <c r="R4423">
        <v>3.7813451999999997E-2</v>
      </c>
      <c r="S4423">
        <v>0.41404401000000002</v>
      </c>
      <c r="T4423" t="s">
        <v>1040</v>
      </c>
      <c r="U4423">
        <v>1.7971333899999999</v>
      </c>
    </row>
    <row r="4424" spans="1:21" x14ac:dyDescent="0.25">
      <c r="A4424" t="s">
        <v>53</v>
      </c>
      <c r="B4424" t="s">
        <v>867</v>
      </c>
      <c r="C4424">
        <v>12</v>
      </c>
      <c r="D4424" t="s">
        <v>19</v>
      </c>
      <c r="E4424" t="s">
        <v>94</v>
      </c>
      <c r="F4424" t="s">
        <v>102</v>
      </c>
      <c r="G4424" t="s">
        <v>121</v>
      </c>
      <c r="H4424" t="s">
        <v>808</v>
      </c>
      <c r="J4424">
        <v>0</v>
      </c>
      <c r="K4424">
        <v>1</v>
      </c>
      <c r="L4424">
        <v>84.740740740000007</v>
      </c>
      <c r="M4424">
        <v>29.167014049999999</v>
      </c>
      <c r="N4424">
        <v>1.1169849999999999</v>
      </c>
      <c r="O4424">
        <v>1.1571499000000001</v>
      </c>
      <c r="P4424">
        <v>102.79166669999999</v>
      </c>
      <c r="Q4424">
        <v>27.057373470000002</v>
      </c>
      <c r="R4424">
        <v>6.3567849939999999</v>
      </c>
      <c r="S4424" t="s">
        <v>114</v>
      </c>
      <c r="T4424" t="s">
        <v>1040</v>
      </c>
      <c r="U4424" t="s">
        <v>114</v>
      </c>
    </row>
    <row r="4425" spans="1:21" x14ac:dyDescent="0.25">
      <c r="A4425" t="s">
        <v>53</v>
      </c>
      <c r="B4425" t="s">
        <v>867</v>
      </c>
      <c r="C4425">
        <v>12</v>
      </c>
      <c r="D4425" t="s">
        <v>19</v>
      </c>
      <c r="E4425" t="s">
        <v>94</v>
      </c>
      <c r="F4425" t="s">
        <v>102</v>
      </c>
      <c r="G4425" t="s">
        <v>121</v>
      </c>
      <c r="H4425" t="s">
        <v>241</v>
      </c>
      <c r="J4425">
        <v>0</v>
      </c>
      <c r="K4425">
        <v>1</v>
      </c>
      <c r="L4425">
        <v>84.740740740000007</v>
      </c>
      <c r="M4425">
        <v>29.167014049999999</v>
      </c>
      <c r="N4425">
        <v>1.1169849999999999</v>
      </c>
      <c r="O4425">
        <v>1.1571499000000001</v>
      </c>
      <c r="P4425">
        <v>114</v>
      </c>
      <c r="Q4425">
        <v>30.43077242</v>
      </c>
      <c r="R4425">
        <v>0.53383111100000002</v>
      </c>
      <c r="S4425">
        <v>0.28333332999999999</v>
      </c>
      <c r="T4425" t="s">
        <v>1040</v>
      </c>
      <c r="U4425">
        <v>0.87381657000000001</v>
      </c>
    </row>
    <row r="4426" spans="1:21" x14ac:dyDescent="0.25">
      <c r="A4426" t="s">
        <v>53</v>
      </c>
      <c r="B4426" t="s">
        <v>868</v>
      </c>
      <c r="C4426">
        <v>12</v>
      </c>
      <c r="D4426" t="s">
        <v>19</v>
      </c>
      <c r="E4426" t="s">
        <v>94</v>
      </c>
      <c r="F4426" t="s">
        <v>113</v>
      </c>
      <c r="G4426" t="s">
        <v>121</v>
      </c>
      <c r="H4426" t="s">
        <v>103</v>
      </c>
      <c r="J4426">
        <v>0</v>
      </c>
      <c r="K4426">
        <v>1</v>
      </c>
      <c r="L4426">
        <v>83.757575759999995</v>
      </c>
      <c r="M4426">
        <v>22.60997987</v>
      </c>
      <c r="N4426">
        <v>0.72884000000000004</v>
      </c>
      <c r="O4426">
        <v>0.21301339999999999</v>
      </c>
      <c r="P4426">
        <v>98.291666669999998</v>
      </c>
      <c r="Q4426">
        <v>30.315130790000001</v>
      </c>
      <c r="R4426">
        <v>5.0803484000000003E-2</v>
      </c>
      <c r="S4426">
        <v>0.42866070000000001</v>
      </c>
      <c r="T4426" t="s">
        <v>1040</v>
      </c>
      <c r="U4426">
        <v>-0.21564730000000001</v>
      </c>
    </row>
    <row r="4427" spans="1:21" x14ac:dyDescent="0.25">
      <c r="A4427" t="s">
        <v>53</v>
      </c>
      <c r="B4427" t="s">
        <v>868</v>
      </c>
      <c r="C4427">
        <v>12</v>
      </c>
      <c r="D4427" t="s">
        <v>19</v>
      </c>
      <c r="E4427" t="s">
        <v>94</v>
      </c>
      <c r="F4427" t="s">
        <v>113</v>
      </c>
      <c r="G4427" t="s">
        <v>121</v>
      </c>
      <c r="H4427" t="s">
        <v>238</v>
      </c>
      <c r="J4427">
        <v>0</v>
      </c>
      <c r="K4427">
        <v>1</v>
      </c>
      <c r="L4427">
        <v>83.757575759999995</v>
      </c>
      <c r="M4427">
        <v>22.60997987</v>
      </c>
      <c r="N4427">
        <v>0.72884000000000004</v>
      </c>
      <c r="O4427">
        <v>0.21301339999999999</v>
      </c>
      <c r="P4427">
        <v>87.5</v>
      </c>
      <c r="Q4427">
        <v>29.478311600000001</v>
      </c>
      <c r="R4427">
        <v>3.0797751000000002E-2</v>
      </c>
      <c r="S4427">
        <v>0.12931835</v>
      </c>
      <c r="T4427" t="s">
        <v>1040</v>
      </c>
      <c r="U4427">
        <v>8.3695049999999993E-2</v>
      </c>
    </row>
    <row r="4428" spans="1:21" x14ac:dyDescent="0.25">
      <c r="A4428" t="s">
        <v>53</v>
      </c>
      <c r="B4428" t="s">
        <v>868</v>
      </c>
      <c r="C4428">
        <v>12</v>
      </c>
      <c r="D4428" t="s">
        <v>19</v>
      </c>
      <c r="E4428" t="s">
        <v>94</v>
      </c>
      <c r="F4428" t="s">
        <v>113</v>
      </c>
      <c r="G4428" t="s">
        <v>121</v>
      </c>
      <c r="H4428" t="s">
        <v>235</v>
      </c>
      <c r="J4428">
        <v>0</v>
      </c>
      <c r="K4428">
        <v>1</v>
      </c>
      <c r="L4428">
        <v>83.757575759999995</v>
      </c>
      <c r="M4428">
        <v>22.60997987</v>
      </c>
      <c r="N4428">
        <v>0.72884000000000004</v>
      </c>
      <c r="O4428">
        <v>0.21301339999999999</v>
      </c>
      <c r="P4428">
        <v>132.27272730000001</v>
      </c>
      <c r="Q4428">
        <v>20.180448590000001</v>
      </c>
      <c r="R4428">
        <v>3.7813451999999997E-2</v>
      </c>
      <c r="S4428">
        <v>0.41404401000000002</v>
      </c>
      <c r="T4428" t="s">
        <v>1040</v>
      </c>
      <c r="U4428">
        <v>-0.20103061000000003</v>
      </c>
    </row>
    <row r="4429" spans="1:21" x14ac:dyDescent="0.25">
      <c r="A4429" t="s">
        <v>53</v>
      </c>
      <c r="B4429" t="s">
        <v>868</v>
      </c>
      <c r="C4429">
        <v>12</v>
      </c>
      <c r="D4429" t="s">
        <v>19</v>
      </c>
      <c r="E4429" t="s">
        <v>94</v>
      </c>
      <c r="F4429" t="s">
        <v>113</v>
      </c>
      <c r="G4429" t="s">
        <v>121</v>
      </c>
      <c r="H4429" t="s">
        <v>241</v>
      </c>
      <c r="J4429">
        <v>0</v>
      </c>
      <c r="K4429">
        <v>2</v>
      </c>
      <c r="L4429">
        <v>83.757575759999995</v>
      </c>
      <c r="M4429">
        <v>22.60997987</v>
      </c>
      <c r="N4429">
        <v>0.72884000000000004</v>
      </c>
      <c r="O4429">
        <v>0.21301339999999999</v>
      </c>
      <c r="P4429">
        <v>114</v>
      </c>
      <c r="Q4429">
        <v>30.43077242</v>
      </c>
      <c r="R4429">
        <v>0.53383111100000002</v>
      </c>
      <c r="S4429">
        <v>0.28333332999999999</v>
      </c>
      <c r="T4429" t="s">
        <v>1040</v>
      </c>
      <c r="U4429">
        <v>-7.0319930000000003E-2</v>
      </c>
    </row>
    <row r="4430" spans="1:21" x14ac:dyDescent="0.25">
      <c r="A4430" t="s">
        <v>53</v>
      </c>
      <c r="B4430" t="s">
        <v>868</v>
      </c>
      <c r="C4430">
        <v>12</v>
      </c>
      <c r="D4430" t="s">
        <v>19</v>
      </c>
      <c r="E4430" t="s">
        <v>94</v>
      </c>
      <c r="F4430" t="s">
        <v>113</v>
      </c>
      <c r="G4430" t="s">
        <v>121</v>
      </c>
      <c r="H4430" t="s">
        <v>241</v>
      </c>
      <c r="J4430">
        <v>0</v>
      </c>
      <c r="K4430">
        <v>2</v>
      </c>
      <c r="L4430">
        <v>83.757575759999995</v>
      </c>
      <c r="M4430">
        <v>22.60997987</v>
      </c>
      <c r="N4430">
        <v>0.72884000000000004</v>
      </c>
      <c r="O4430">
        <v>0.21301339999999999</v>
      </c>
      <c r="P4430">
        <v>114</v>
      </c>
      <c r="Q4430">
        <v>30.43077242</v>
      </c>
      <c r="R4430">
        <v>0.53383111100000002</v>
      </c>
      <c r="S4430">
        <v>0.28333332999999999</v>
      </c>
      <c r="T4430" t="s">
        <v>1040</v>
      </c>
      <c r="U4430">
        <v>-7.0319930000000003E-2</v>
      </c>
    </row>
    <row r="4431" spans="1:21" x14ac:dyDescent="0.25">
      <c r="A4431" t="s">
        <v>53</v>
      </c>
      <c r="B4431" t="s">
        <v>868</v>
      </c>
      <c r="C4431">
        <v>12</v>
      </c>
      <c r="D4431" t="s">
        <v>19</v>
      </c>
      <c r="E4431" t="s">
        <v>94</v>
      </c>
      <c r="F4431" t="s">
        <v>113</v>
      </c>
      <c r="G4431" t="s">
        <v>121</v>
      </c>
      <c r="H4431" t="s">
        <v>242</v>
      </c>
      <c r="J4431">
        <v>0</v>
      </c>
      <c r="K4431">
        <v>1</v>
      </c>
      <c r="L4431">
        <v>83.757575759999995</v>
      </c>
      <c r="M4431">
        <v>22.60997987</v>
      </c>
      <c r="N4431">
        <v>0.72884000000000004</v>
      </c>
      <c r="O4431">
        <v>0.21301339999999999</v>
      </c>
      <c r="P4431">
        <v>139.375</v>
      </c>
      <c r="Q4431">
        <v>23.713465920000001</v>
      </c>
      <c r="R4431" t="s">
        <v>114</v>
      </c>
      <c r="S4431" t="s">
        <v>114</v>
      </c>
      <c r="T4431" t="s">
        <v>1040</v>
      </c>
      <c r="U4431" t="s">
        <v>114</v>
      </c>
    </row>
    <row r="4432" spans="1:21" x14ac:dyDescent="0.25">
      <c r="A4432" t="s">
        <v>53</v>
      </c>
      <c r="B4432" t="s">
        <v>868</v>
      </c>
      <c r="C4432">
        <v>12</v>
      </c>
      <c r="D4432" t="s">
        <v>19</v>
      </c>
      <c r="E4432" t="s">
        <v>94</v>
      </c>
      <c r="F4432" t="s">
        <v>113</v>
      </c>
      <c r="G4432" t="s">
        <v>121</v>
      </c>
      <c r="H4432" t="s">
        <v>112</v>
      </c>
      <c r="J4432">
        <v>0</v>
      </c>
      <c r="K4432">
        <v>1</v>
      </c>
      <c r="L4432">
        <v>83.757575759999995</v>
      </c>
      <c r="M4432">
        <v>22.60997987</v>
      </c>
      <c r="N4432">
        <v>0.72884000000000004</v>
      </c>
      <c r="O4432">
        <v>0.21301339999999999</v>
      </c>
      <c r="P4432">
        <v>65.09375</v>
      </c>
      <c r="Q4432">
        <v>37.895352600000002</v>
      </c>
      <c r="R4432">
        <v>2.2882677779999998</v>
      </c>
      <c r="S4432">
        <v>2.2111774</v>
      </c>
      <c r="T4432" t="s">
        <v>1040</v>
      </c>
      <c r="U4432">
        <v>-1.9981640000000001</v>
      </c>
    </row>
    <row r="4433" spans="1:21" x14ac:dyDescent="0.25">
      <c r="A4433" t="s">
        <v>53</v>
      </c>
      <c r="B4433" t="s">
        <v>869</v>
      </c>
      <c r="C4433">
        <v>12</v>
      </c>
      <c r="D4433" t="s">
        <v>19</v>
      </c>
      <c r="E4433" t="s">
        <v>94</v>
      </c>
      <c r="F4433" t="s">
        <v>103</v>
      </c>
      <c r="G4433" t="s">
        <v>121</v>
      </c>
      <c r="H4433" t="s">
        <v>103</v>
      </c>
      <c r="J4433">
        <v>0</v>
      </c>
      <c r="K4433">
        <v>1</v>
      </c>
      <c r="L4433">
        <v>98.291666669999998</v>
      </c>
      <c r="M4433">
        <v>30.315130790000001</v>
      </c>
      <c r="N4433">
        <v>5.0803484000000003E-2</v>
      </c>
      <c r="O4433">
        <v>0.42866070000000001</v>
      </c>
      <c r="P4433">
        <v>98.291666669999998</v>
      </c>
      <c r="Q4433">
        <v>30.315130790000001</v>
      </c>
      <c r="R4433">
        <v>5.0803484000000003E-2</v>
      </c>
      <c r="S4433">
        <v>0.42866070000000001</v>
      </c>
      <c r="T4433" t="s">
        <v>1040</v>
      </c>
      <c r="U4433">
        <v>0</v>
      </c>
    </row>
    <row r="4434" spans="1:21" x14ac:dyDescent="0.25">
      <c r="A4434" t="s">
        <v>53</v>
      </c>
      <c r="B4434" t="s">
        <v>869</v>
      </c>
      <c r="C4434">
        <v>12</v>
      </c>
      <c r="D4434" t="s">
        <v>19</v>
      </c>
      <c r="E4434" t="s">
        <v>94</v>
      </c>
      <c r="F4434" t="s">
        <v>103</v>
      </c>
      <c r="G4434" t="s">
        <v>121</v>
      </c>
      <c r="H4434" t="s">
        <v>241</v>
      </c>
      <c r="J4434">
        <v>0</v>
      </c>
      <c r="K4434">
        <v>1</v>
      </c>
      <c r="L4434">
        <v>98.291666669999998</v>
      </c>
      <c r="M4434">
        <v>30.315130790000001</v>
      </c>
      <c r="N4434">
        <v>5.0803484000000003E-2</v>
      </c>
      <c r="O4434">
        <v>0.42866070000000001</v>
      </c>
      <c r="P4434">
        <v>114</v>
      </c>
      <c r="Q4434">
        <v>30.43077242</v>
      </c>
      <c r="R4434">
        <v>0.53383111100000002</v>
      </c>
      <c r="S4434">
        <v>0.28333332999999999</v>
      </c>
      <c r="T4434" t="s">
        <v>1040</v>
      </c>
      <c r="U4434">
        <v>0.14532737000000001</v>
      </c>
    </row>
    <row r="4435" spans="1:21" x14ac:dyDescent="0.25">
      <c r="A4435" t="s">
        <v>53</v>
      </c>
      <c r="B4435" t="s">
        <v>870</v>
      </c>
      <c r="C4435">
        <v>12</v>
      </c>
      <c r="D4435" t="s">
        <v>19</v>
      </c>
      <c r="E4435" t="s">
        <v>94</v>
      </c>
      <c r="F4435" t="s">
        <v>112</v>
      </c>
      <c r="G4435" t="s">
        <v>121</v>
      </c>
      <c r="H4435" t="s">
        <v>114</v>
      </c>
      <c r="J4435">
        <v>0</v>
      </c>
      <c r="K4435">
        <v>0</v>
      </c>
      <c r="L4435">
        <v>65.09375</v>
      </c>
      <c r="M4435">
        <v>37.895352600000002</v>
      </c>
      <c r="N4435">
        <v>2.2882677779999998</v>
      </c>
      <c r="O4435">
        <v>2.2111774</v>
      </c>
      <c r="P4435" t="s">
        <v>114</v>
      </c>
      <c r="Q4435" t="s">
        <v>114</v>
      </c>
      <c r="R4435" t="s">
        <v>114</v>
      </c>
      <c r="S4435" t="s">
        <v>114</v>
      </c>
      <c r="T4435" t="s">
        <v>1040</v>
      </c>
      <c r="U4435" t="s">
        <v>114</v>
      </c>
    </row>
    <row r="4436" spans="1:21" x14ac:dyDescent="0.25">
      <c r="A4436" t="s">
        <v>54</v>
      </c>
      <c r="B4436" t="s">
        <v>871</v>
      </c>
      <c r="C4436">
        <v>12</v>
      </c>
      <c r="D4436" t="s">
        <v>21</v>
      </c>
      <c r="E4436" t="s">
        <v>95</v>
      </c>
      <c r="F4436" t="s">
        <v>113</v>
      </c>
      <c r="G4436" t="s">
        <v>121</v>
      </c>
      <c r="H4436" t="s">
        <v>241</v>
      </c>
      <c r="J4436">
        <v>0</v>
      </c>
      <c r="K4436">
        <v>2</v>
      </c>
      <c r="L4436">
        <v>83.757575759999995</v>
      </c>
      <c r="M4436">
        <v>22.60997987</v>
      </c>
      <c r="N4436">
        <v>0.72884000000000004</v>
      </c>
      <c r="O4436">
        <v>0.21301339999999999</v>
      </c>
      <c r="P4436">
        <v>114</v>
      </c>
      <c r="Q4436">
        <v>30.43077242</v>
      </c>
      <c r="R4436">
        <v>0.53383111100000002</v>
      </c>
      <c r="S4436">
        <v>0.28333332999999999</v>
      </c>
      <c r="T4436" t="s">
        <v>1040</v>
      </c>
      <c r="U4436">
        <v>-7.0319930000000003E-2</v>
      </c>
    </row>
    <row r="4437" spans="1:21" x14ac:dyDescent="0.25">
      <c r="A4437" t="s">
        <v>54</v>
      </c>
      <c r="B4437" t="s">
        <v>871</v>
      </c>
      <c r="C4437">
        <v>12</v>
      </c>
      <c r="D4437" t="s">
        <v>21</v>
      </c>
      <c r="E4437" t="s">
        <v>95</v>
      </c>
      <c r="F4437" t="s">
        <v>113</v>
      </c>
      <c r="G4437" t="s">
        <v>121</v>
      </c>
      <c r="H4437" t="s">
        <v>241</v>
      </c>
      <c r="J4437">
        <v>0</v>
      </c>
      <c r="K4437">
        <v>2</v>
      </c>
      <c r="L4437">
        <v>83.757575759999995</v>
      </c>
      <c r="M4437">
        <v>22.60997987</v>
      </c>
      <c r="N4437">
        <v>0.72884000000000004</v>
      </c>
      <c r="O4437">
        <v>0.21301339999999999</v>
      </c>
      <c r="P4437">
        <v>114</v>
      </c>
      <c r="Q4437">
        <v>30.43077242</v>
      </c>
      <c r="R4437">
        <v>0.53383111100000002</v>
      </c>
      <c r="S4437">
        <v>0.28333332999999999</v>
      </c>
      <c r="T4437" t="s">
        <v>1040</v>
      </c>
      <c r="U4437">
        <v>-7.0319930000000003E-2</v>
      </c>
    </row>
    <row r="4438" spans="1:21" x14ac:dyDescent="0.25">
      <c r="A4438" t="s">
        <v>54</v>
      </c>
      <c r="B4438" t="s">
        <v>872</v>
      </c>
      <c r="C4438">
        <v>12</v>
      </c>
      <c r="D4438" t="s">
        <v>21</v>
      </c>
      <c r="E4438" t="s">
        <v>95</v>
      </c>
      <c r="F4438" t="s">
        <v>110</v>
      </c>
      <c r="G4438" t="s">
        <v>121</v>
      </c>
      <c r="H4438" t="s">
        <v>241</v>
      </c>
      <c r="I4438" t="s">
        <v>162</v>
      </c>
      <c r="J4438">
        <v>1</v>
      </c>
      <c r="K4438">
        <v>2</v>
      </c>
      <c r="L4438">
        <v>73.260869569999997</v>
      </c>
      <c r="M4438">
        <v>34.453830549999999</v>
      </c>
      <c r="N4438">
        <v>1.058333333</v>
      </c>
      <c r="O4438">
        <v>0.90897070000000002</v>
      </c>
      <c r="P4438">
        <v>114</v>
      </c>
      <c r="Q4438">
        <v>30.43077242</v>
      </c>
      <c r="R4438">
        <v>0.53383111100000002</v>
      </c>
      <c r="S4438">
        <v>0.28333332999999999</v>
      </c>
      <c r="T4438" t="s">
        <v>1040</v>
      </c>
      <c r="U4438">
        <v>0.62563736999999997</v>
      </c>
    </row>
    <row r="4439" spans="1:21" x14ac:dyDescent="0.25">
      <c r="A4439" t="s">
        <v>54</v>
      </c>
      <c r="B4439" t="s">
        <v>872</v>
      </c>
      <c r="C4439">
        <v>12</v>
      </c>
      <c r="D4439" t="s">
        <v>21</v>
      </c>
      <c r="E4439" t="s">
        <v>95</v>
      </c>
      <c r="F4439" t="s">
        <v>110</v>
      </c>
      <c r="G4439" t="s">
        <v>121</v>
      </c>
      <c r="H4439" t="s">
        <v>241</v>
      </c>
      <c r="I4439" t="s">
        <v>162</v>
      </c>
      <c r="J4439">
        <v>1</v>
      </c>
      <c r="K4439">
        <v>2</v>
      </c>
      <c r="L4439">
        <v>73.260869569999997</v>
      </c>
      <c r="M4439">
        <v>34.453830549999999</v>
      </c>
      <c r="N4439">
        <v>1.058333333</v>
      </c>
      <c r="O4439">
        <v>0.90897070000000002</v>
      </c>
      <c r="P4439">
        <v>114</v>
      </c>
      <c r="Q4439">
        <v>30.43077242</v>
      </c>
      <c r="R4439">
        <v>0.53383111100000002</v>
      </c>
      <c r="S4439">
        <v>0.28333332999999999</v>
      </c>
      <c r="T4439" t="s">
        <v>1040</v>
      </c>
      <c r="U4439">
        <v>0.62563736999999997</v>
      </c>
    </row>
    <row r="4440" spans="1:21" x14ac:dyDescent="0.25">
      <c r="A4440" t="s">
        <v>54</v>
      </c>
      <c r="B4440" t="s">
        <v>873</v>
      </c>
      <c r="C4440">
        <v>12</v>
      </c>
      <c r="D4440" t="s">
        <v>21</v>
      </c>
      <c r="E4440" t="s">
        <v>95</v>
      </c>
      <c r="F4440" t="s">
        <v>111</v>
      </c>
      <c r="G4440" t="s">
        <v>121</v>
      </c>
      <c r="H4440" t="s">
        <v>162</v>
      </c>
      <c r="J4440">
        <v>0</v>
      </c>
      <c r="K4440">
        <v>1</v>
      </c>
      <c r="L4440">
        <v>94.97142857</v>
      </c>
      <c r="M4440">
        <v>24.31591813</v>
      </c>
      <c r="N4440">
        <v>0.122951111</v>
      </c>
      <c r="O4440">
        <v>0.39050790000000002</v>
      </c>
      <c r="P4440">
        <v>82.53846154</v>
      </c>
      <c r="Q4440">
        <v>35.660530039999998</v>
      </c>
      <c r="R4440">
        <v>3.3754499999999998</v>
      </c>
      <c r="S4440" t="s">
        <v>114</v>
      </c>
      <c r="T4440" t="s">
        <v>1040</v>
      </c>
      <c r="U4440" t="s">
        <v>114</v>
      </c>
    </row>
    <row r="4441" spans="1:21" x14ac:dyDescent="0.25">
      <c r="A4441" t="s">
        <v>55</v>
      </c>
      <c r="B4441" t="s">
        <v>874</v>
      </c>
      <c r="C4441">
        <v>12</v>
      </c>
      <c r="D4441" t="s">
        <v>23</v>
      </c>
      <c r="E4441" t="s">
        <v>94</v>
      </c>
      <c r="F4441" t="s">
        <v>113</v>
      </c>
      <c r="G4441" t="s">
        <v>110</v>
      </c>
      <c r="H4441" t="s">
        <v>238</v>
      </c>
      <c r="J4441">
        <v>0</v>
      </c>
      <c r="K4441">
        <v>1</v>
      </c>
      <c r="L4441">
        <v>83.757575759999995</v>
      </c>
      <c r="M4441">
        <v>22.60997987</v>
      </c>
      <c r="N4441">
        <v>0.72884000000000004</v>
      </c>
      <c r="O4441">
        <v>0.21301339999999999</v>
      </c>
      <c r="P4441">
        <v>87.5</v>
      </c>
      <c r="Q4441">
        <v>29.478311600000001</v>
      </c>
      <c r="R4441">
        <v>3.0797751000000002E-2</v>
      </c>
      <c r="S4441">
        <v>0.12931835</v>
      </c>
      <c r="T4441" t="s">
        <v>1040</v>
      </c>
      <c r="U4441">
        <v>8.3695049999999993E-2</v>
      </c>
    </row>
    <row r="4442" spans="1:21" x14ac:dyDescent="0.25">
      <c r="A4442" t="s">
        <v>55</v>
      </c>
      <c r="B4442" t="s">
        <v>874</v>
      </c>
      <c r="C4442">
        <v>12</v>
      </c>
      <c r="D4442" t="s">
        <v>23</v>
      </c>
      <c r="E4442" t="s">
        <v>94</v>
      </c>
      <c r="F4442" t="s">
        <v>113</v>
      </c>
      <c r="G4442" t="s">
        <v>110</v>
      </c>
      <c r="H4442" t="s">
        <v>103</v>
      </c>
      <c r="J4442">
        <v>0</v>
      </c>
      <c r="K4442">
        <v>1</v>
      </c>
      <c r="L4442">
        <v>83.757575759999995</v>
      </c>
      <c r="M4442">
        <v>22.60997987</v>
      </c>
      <c r="N4442">
        <v>0.72884000000000004</v>
      </c>
      <c r="O4442">
        <v>0.21301339999999999</v>
      </c>
      <c r="P4442">
        <v>98.291666669999998</v>
      </c>
      <c r="Q4442">
        <v>30.315130790000001</v>
      </c>
      <c r="R4442">
        <v>5.0803484000000003E-2</v>
      </c>
      <c r="S4442">
        <v>0.42866070000000001</v>
      </c>
      <c r="T4442" t="s">
        <v>1040</v>
      </c>
      <c r="U4442">
        <v>-0.21564730000000001</v>
      </c>
    </row>
    <row r="4443" spans="1:21" x14ac:dyDescent="0.25">
      <c r="A4443" t="s">
        <v>55</v>
      </c>
      <c r="B4443" t="s">
        <v>874</v>
      </c>
      <c r="C4443">
        <v>12</v>
      </c>
      <c r="D4443" t="s">
        <v>23</v>
      </c>
      <c r="E4443" t="s">
        <v>94</v>
      </c>
      <c r="F4443" t="s">
        <v>113</v>
      </c>
      <c r="G4443" t="s">
        <v>110</v>
      </c>
      <c r="H4443" t="s">
        <v>808</v>
      </c>
      <c r="J4443">
        <v>0</v>
      </c>
      <c r="K4443">
        <v>1</v>
      </c>
      <c r="L4443">
        <v>83.757575759999995</v>
      </c>
      <c r="M4443">
        <v>22.60997987</v>
      </c>
      <c r="N4443">
        <v>0.72884000000000004</v>
      </c>
      <c r="O4443">
        <v>0.21301339999999999</v>
      </c>
      <c r="P4443">
        <v>102.79166669999999</v>
      </c>
      <c r="Q4443">
        <v>27.057373470000002</v>
      </c>
      <c r="R4443">
        <v>6.3567849939999999</v>
      </c>
      <c r="S4443" t="s">
        <v>114</v>
      </c>
      <c r="T4443" t="s">
        <v>1040</v>
      </c>
      <c r="U4443" t="s">
        <v>114</v>
      </c>
    </row>
    <row r="4444" spans="1:21" x14ac:dyDescent="0.25">
      <c r="A4444" t="s">
        <v>55</v>
      </c>
      <c r="B4444" t="s">
        <v>874</v>
      </c>
      <c r="C4444">
        <v>12</v>
      </c>
      <c r="D4444" t="s">
        <v>23</v>
      </c>
      <c r="E4444" t="s">
        <v>94</v>
      </c>
      <c r="F4444" t="s">
        <v>113</v>
      </c>
      <c r="G4444" t="s">
        <v>110</v>
      </c>
      <c r="H4444" t="s">
        <v>113</v>
      </c>
      <c r="J4444">
        <v>0</v>
      </c>
      <c r="K4444">
        <v>1</v>
      </c>
      <c r="L4444">
        <v>83.757575759999995</v>
      </c>
      <c r="M4444">
        <v>22.60997987</v>
      </c>
      <c r="N4444">
        <v>0.72884000000000004</v>
      </c>
      <c r="O4444">
        <v>0.21301339999999999</v>
      </c>
      <c r="P4444">
        <v>83.757575759999995</v>
      </c>
      <c r="Q4444">
        <v>22.60997987</v>
      </c>
      <c r="R4444">
        <v>0.72884000000000004</v>
      </c>
      <c r="S4444">
        <v>0.21301339999999999</v>
      </c>
      <c r="T4444" t="s">
        <v>1040</v>
      </c>
      <c r="U4444">
        <v>0</v>
      </c>
    </row>
    <row r="4445" spans="1:21" x14ac:dyDescent="0.25">
      <c r="A4445" t="s">
        <v>55</v>
      </c>
      <c r="B4445" t="s">
        <v>875</v>
      </c>
      <c r="C4445">
        <v>12</v>
      </c>
      <c r="D4445" t="s">
        <v>23</v>
      </c>
      <c r="E4445" t="s">
        <v>94</v>
      </c>
      <c r="F4445" t="s">
        <v>110</v>
      </c>
      <c r="G4445" t="s">
        <v>103</v>
      </c>
      <c r="H4445" t="s">
        <v>114</v>
      </c>
      <c r="J4445">
        <v>0</v>
      </c>
      <c r="K4445" t="s">
        <v>114</v>
      </c>
      <c r="L4445">
        <v>73.260869569999997</v>
      </c>
      <c r="M4445">
        <v>34.453830549999999</v>
      </c>
      <c r="N4445">
        <v>1.058333333</v>
      </c>
      <c r="O4445">
        <v>0.90897070000000002</v>
      </c>
      <c r="P4445" t="s">
        <v>114</v>
      </c>
      <c r="Q4445" t="s">
        <v>114</v>
      </c>
      <c r="R4445" t="s">
        <v>114</v>
      </c>
      <c r="S4445" t="s">
        <v>114</v>
      </c>
      <c r="T4445" t="s">
        <v>1040</v>
      </c>
      <c r="U4445" t="s">
        <v>114</v>
      </c>
    </row>
    <row r="4446" spans="1:21" x14ac:dyDescent="0.25">
      <c r="A4446" t="s">
        <v>55</v>
      </c>
      <c r="B4446" t="s">
        <v>876</v>
      </c>
      <c r="C4446">
        <v>12</v>
      </c>
      <c r="D4446" t="s">
        <v>23</v>
      </c>
      <c r="E4446" t="s">
        <v>94</v>
      </c>
      <c r="F4446" t="s">
        <v>103</v>
      </c>
      <c r="G4446" t="s">
        <v>103</v>
      </c>
      <c r="H4446" t="s">
        <v>114</v>
      </c>
      <c r="J4446">
        <v>0</v>
      </c>
      <c r="K4446" t="s">
        <v>114</v>
      </c>
      <c r="L4446">
        <v>98.291666669999998</v>
      </c>
      <c r="M4446">
        <v>30.315130790000001</v>
      </c>
      <c r="N4446">
        <v>5.0803484000000003E-2</v>
      </c>
      <c r="O4446">
        <v>0.42866070000000001</v>
      </c>
      <c r="P4446" t="s">
        <v>114</v>
      </c>
      <c r="Q4446" t="s">
        <v>114</v>
      </c>
      <c r="R4446" t="s">
        <v>114</v>
      </c>
      <c r="S4446" t="s">
        <v>114</v>
      </c>
      <c r="T4446" t="s">
        <v>1040</v>
      </c>
      <c r="U4446" t="s">
        <v>114</v>
      </c>
    </row>
    <row r="4447" spans="1:21" x14ac:dyDescent="0.25">
      <c r="A4447" t="s">
        <v>55</v>
      </c>
      <c r="B4447" t="s">
        <v>877</v>
      </c>
      <c r="C4447">
        <v>12</v>
      </c>
      <c r="D4447" t="s">
        <v>23</v>
      </c>
      <c r="E4447" t="s">
        <v>94</v>
      </c>
      <c r="F4447" t="s">
        <v>111</v>
      </c>
      <c r="G4447" t="s">
        <v>113</v>
      </c>
      <c r="H4447" t="s">
        <v>113</v>
      </c>
      <c r="J4447">
        <v>0</v>
      </c>
      <c r="K4447">
        <v>2</v>
      </c>
      <c r="L4447">
        <v>94.97142857</v>
      </c>
      <c r="M4447">
        <v>24.31591813</v>
      </c>
      <c r="N4447">
        <v>0.122951111</v>
      </c>
      <c r="O4447">
        <v>0.39050790000000002</v>
      </c>
      <c r="P4447">
        <v>83.757575759999995</v>
      </c>
      <c r="Q4447">
        <v>22.60997987</v>
      </c>
      <c r="R4447">
        <v>0.72884000000000004</v>
      </c>
      <c r="S4447">
        <v>0.21301339999999999</v>
      </c>
      <c r="T4447" t="s">
        <v>1040</v>
      </c>
      <c r="U4447">
        <v>0.17749450000000003</v>
      </c>
    </row>
    <row r="4448" spans="1:21" x14ac:dyDescent="0.25">
      <c r="A4448" t="s">
        <v>55</v>
      </c>
      <c r="B4448" t="s">
        <v>877</v>
      </c>
      <c r="C4448">
        <v>12</v>
      </c>
      <c r="D4448" t="s">
        <v>23</v>
      </c>
      <c r="E4448" t="s">
        <v>94</v>
      </c>
      <c r="F4448" t="s">
        <v>111</v>
      </c>
      <c r="G4448" t="s">
        <v>113</v>
      </c>
      <c r="H4448" t="s">
        <v>113</v>
      </c>
      <c r="J4448">
        <v>0</v>
      </c>
      <c r="K4448">
        <v>2</v>
      </c>
      <c r="L4448">
        <v>94.97142857</v>
      </c>
      <c r="M4448">
        <v>24.31591813</v>
      </c>
      <c r="N4448">
        <v>0.122951111</v>
      </c>
      <c r="O4448">
        <v>0.39050790000000002</v>
      </c>
      <c r="P4448">
        <v>83.757575759999995</v>
      </c>
      <c r="Q4448">
        <v>22.60997987</v>
      </c>
      <c r="R4448">
        <v>0.72884000000000004</v>
      </c>
      <c r="S4448">
        <v>0.21301339999999999</v>
      </c>
      <c r="T4448" t="s">
        <v>1040</v>
      </c>
      <c r="U4448">
        <v>0.17749450000000003</v>
      </c>
    </row>
    <row r="4449" spans="1:21" x14ac:dyDescent="0.25">
      <c r="A4449" t="s">
        <v>55</v>
      </c>
      <c r="B4449" t="s">
        <v>877</v>
      </c>
      <c r="C4449">
        <v>12</v>
      </c>
      <c r="D4449" t="s">
        <v>23</v>
      </c>
      <c r="E4449" t="s">
        <v>94</v>
      </c>
      <c r="F4449" t="s">
        <v>111</v>
      </c>
      <c r="G4449" t="s">
        <v>113</v>
      </c>
      <c r="H4449" t="s">
        <v>797</v>
      </c>
      <c r="J4449">
        <v>0</v>
      </c>
      <c r="K4449">
        <v>1</v>
      </c>
      <c r="L4449">
        <v>94.97142857</v>
      </c>
      <c r="M4449">
        <v>24.31591813</v>
      </c>
      <c r="N4449">
        <v>0.122951111</v>
      </c>
      <c r="O4449">
        <v>0.39050790000000002</v>
      </c>
      <c r="P4449">
        <v>179.45454549999999</v>
      </c>
      <c r="Q4449">
        <v>26.326869609999999</v>
      </c>
      <c r="R4449">
        <v>2.3456094639999998</v>
      </c>
      <c r="S4449">
        <v>0.18833116</v>
      </c>
      <c r="T4449" t="s">
        <v>1040</v>
      </c>
      <c r="U4449">
        <v>0.20217674000000002</v>
      </c>
    </row>
    <row r="4450" spans="1:21" x14ac:dyDescent="0.25">
      <c r="A4450" t="s">
        <v>56</v>
      </c>
      <c r="B4450" t="s">
        <v>878</v>
      </c>
      <c r="C4450">
        <v>12</v>
      </c>
      <c r="D4450" t="s">
        <v>25</v>
      </c>
      <c r="E4450" t="s">
        <v>94</v>
      </c>
      <c r="F4450" t="s">
        <v>113</v>
      </c>
      <c r="G4450" t="s">
        <v>113</v>
      </c>
      <c r="H4450" t="s">
        <v>113</v>
      </c>
      <c r="J4450">
        <v>0</v>
      </c>
      <c r="K4450">
        <v>3</v>
      </c>
      <c r="L4450">
        <v>83.757575759999995</v>
      </c>
      <c r="M4450">
        <v>22.60997987</v>
      </c>
      <c r="N4450">
        <v>0.72884000000000004</v>
      </c>
      <c r="O4450">
        <v>0.21301339999999999</v>
      </c>
      <c r="P4450">
        <v>83.757575759999995</v>
      </c>
      <c r="Q4450">
        <v>22.60997987</v>
      </c>
      <c r="R4450">
        <v>0.72884000000000004</v>
      </c>
      <c r="S4450">
        <v>0.21301339999999999</v>
      </c>
      <c r="T4450" t="s">
        <v>1040</v>
      </c>
      <c r="U4450">
        <v>0</v>
      </c>
    </row>
    <row r="4451" spans="1:21" x14ac:dyDescent="0.25">
      <c r="A4451" t="s">
        <v>56</v>
      </c>
      <c r="B4451" t="s">
        <v>878</v>
      </c>
      <c r="C4451">
        <v>12</v>
      </c>
      <c r="D4451" t="s">
        <v>25</v>
      </c>
      <c r="E4451" t="s">
        <v>94</v>
      </c>
      <c r="F4451" t="s">
        <v>113</v>
      </c>
      <c r="G4451" t="s">
        <v>113</v>
      </c>
      <c r="H4451" t="s">
        <v>113</v>
      </c>
      <c r="J4451">
        <v>0</v>
      </c>
      <c r="K4451">
        <v>3</v>
      </c>
      <c r="L4451">
        <v>83.757575759999995</v>
      </c>
      <c r="M4451">
        <v>22.60997987</v>
      </c>
      <c r="N4451">
        <v>0.72884000000000004</v>
      </c>
      <c r="O4451">
        <v>0.21301339999999999</v>
      </c>
      <c r="P4451">
        <v>83.757575759999995</v>
      </c>
      <c r="Q4451">
        <v>22.60997987</v>
      </c>
      <c r="R4451">
        <v>0.72884000000000004</v>
      </c>
      <c r="S4451">
        <v>0.21301339999999999</v>
      </c>
      <c r="T4451" t="s">
        <v>1040</v>
      </c>
      <c r="U4451">
        <v>0</v>
      </c>
    </row>
    <row r="4452" spans="1:21" x14ac:dyDescent="0.25">
      <c r="A4452" t="s">
        <v>56</v>
      </c>
      <c r="B4452" t="s">
        <v>878</v>
      </c>
      <c r="C4452">
        <v>12</v>
      </c>
      <c r="D4452" t="s">
        <v>25</v>
      </c>
      <c r="E4452" t="s">
        <v>94</v>
      </c>
      <c r="F4452" t="s">
        <v>113</v>
      </c>
      <c r="G4452" t="s">
        <v>113</v>
      </c>
      <c r="H4452" t="s">
        <v>113</v>
      </c>
      <c r="J4452">
        <v>0</v>
      </c>
      <c r="K4452">
        <v>3</v>
      </c>
      <c r="L4452">
        <v>83.757575759999995</v>
      </c>
      <c r="M4452">
        <v>22.60997987</v>
      </c>
      <c r="N4452">
        <v>0.72884000000000004</v>
      </c>
      <c r="O4452">
        <v>0.21301339999999999</v>
      </c>
      <c r="P4452">
        <v>83.757575759999995</v>
      </c>
      <c r="Q4452">
        <v>22.60997987</v>
      </c>
      <c r="R4452">
        <v>0.72884000000000004</v>
      </c>
      <c r="S4452">
        <v>0.21301339999999999</v>
      </c>
      <c r="T4452" t="s">
        <v>1040</v>
      </c>
      <c r="U4452">
        <v>0</v>
      </c>
    </row>
    <row r="4453" spans="1:21" x14ac:dyDescent="0.25">
      <c r="A4453" t="s">
        <v>56</v>
      </c>
      <c r="B4453" t="s">
        <v>879</v>
      </c>
      <c r="C4453">
        <v>12</v>
      </c>
      <c r="D4453" t="s">
        <v>25</v>
      </c>
      <c r="E4453" t="s">
        <v>94</v>
      </c>
      <c r="F4453" t="s">
        <v>111</v>
      </c>
      <c r="G4453" t="s">
        <v>121</v>
      </c>
      <c r="H4453" t="s">
        <v>112</v>
      </c>
      <c r="J4453">
        <v>0</v>
      </c>
      <c r="K4453">
        <v>1</v>
      </c>
      <c r="L4453">
        <v>94.97142857</v>
      </c>
      <c r="M4453">
        <v>24.31591813</v>
      </c>
      <c r="N4453">
        <v>0.122951111</v>
      </c>
      <c r="O4453">
        <v>0.39050790000000002</v>
      </c>
      <c r="P4453">
        <v>65.09375</v>
      </c>
      <c r="Q4453">
        <v>37.895352600000002</v>
      </c>
      <c r="R4453">
        <v>2.2882677779999998</v>
      </c>
      <c r="S4453">
        <v>2.2111774</v>
      </c>
      <c r="T4453" t="s">
        <v>1040</v>
      </c>
      <c r="U4453">
        <v>-1.8206694999999999</v>
      </c>
    </row>
    <row r="4454" spans="1:21" x14ac:dyDescent="0.25">
      <c r="A4454" t="s">
        <v>56</v>
      </c>
      <c r="B4454" t="s">
        <v>880</v>
      </c>
      <c r="C4454">
        <v>12</v>
      </c>
      <c r="D4454" t="s">
        <v>25</v>
      </c>
      <c r="E4454" t="s">
        <v>94</v>
      </c>
      <c r="F4454" t="s">
        <v>104</v>
      </c>
      <c r="G4454" t="s">
        <v>121</v>
      </c>
      <c r="H4454" t="s">
        <v>104</v>
      </c>
      <c r="J4454">
        <v>0</v>
      </c>
      <c r="K4454">
        <v>1</v>
      </c>
      <c r="L4454">
        <v>113.9375</v>
      </c>
      <c r="M4454">
        <v>33.375507550000002</v>
      </c>
      <c r="N4454">
        <v>2.4262999999999999</v>
      </c>
      <c r="O4454">
        <v>0.40692159999999999</v>
      </c>
      <c r="P4454">
        <v>113.9375</v>
      </c>
      <c r="Q4454">
        <v>33.375507550000002</v>
      </c>
      <c r="R4454">
        <v>2.4262999999999999</v>
      </c>
      <c r="S4454">
        <v>0.40692159999999999</v>
      </c>
      <c r="T4454" t="s">
        <v>1040</v>
      </c>
      <c r="U4454">
        <v>0</v>
      </c>
    </row>
    <row r="4455" spans="1:21" x14ac:dyDescent="0.25">
      <c r="A4455" t="s">
        <v>56</v>
      </c>
      <c r="B4455" t="s">
        <v>881</v>
      </c>
      <c r="C4455">
        <v>12</v>
      </c>
      <c r="D4455" t="s">
        <v>25</v>
      </c>
      <c r="E4455" t="s">
        <v>94</v>
      </c>
      <c r="F4455" t="s">
        <v>112</v>
      </c>
      <c r="G4455" t="s">
        <v>121</v>
      </c>
      <c r="H4455" t="s">
        <v>241</v>
      </c>
      <c r="J4455">
        <v>0</v>
      </c>
      <c r="K4455">
        <v>4</v>
      </c>
      <c r="L4455">
        <v>65.09375</v>
      </c>
      <c r="M4455">
        <v>37.895352600000002</v>
      </c>
      <c r="N4455">
        <v>2.2882677779999998</v>
      </c>
      <c r="O4455">
        <v>2.2111774</v>
      </c>
      <c r="P4455">
        <v>114</v>
      </c>
      <c r="Q4455">
        <v>30.43077242</v>
      </c>
      <c r="R4455">
        <v>0.53383111100000002</v>
      </c>
      <c r="S4455">
        <v>0.28333332999999999</v>
      </c>
      <c r="T4455" t="s">
        <v>1040</v>
      </c>
      <c r="U4455">
        <v>1.9278440699999999</v>
      </c>
    </row>
    <row r="4456" spans="1:21" x14ac:dyDescent="0.25">
      <c r="A4456" t="s">
        <v>56</v>
      </c>
      <c r="B4456" t="s">
        <v>881</v>
      </c>
      <c r="C4456">
        <v>12</v>
      </c>
      <c r="D4456" t="s">
        <v>25</v>
      </c>
      <c r="E4456" t="s">
        <v>94</v>
      </c>
      <c r="F4456" t="s">
        <v>112</v>
      </c>
      <c r="G4456" t="s">
        <v>121</v>
      </c>
      <c r="H4456" t="s">
        <v>241</v>
      </c>
      <c r="J4456">
        <v>0</v>
      </c>
      <c r="K4456">
        <v>4</v>
      </c>
      <c r="L4456">
        <v>65.09375</v>
      </c>
      <c r="M4456">
        <v>37.895352600000002</v>
      </c>
      <c r="N4456">
        <v>2.2882677779999998</v>
      </c>
      <c r="O4456">
        <v>2.2111774</v>
      </c>
      <c r="P4456">
        <v>114</v>
      </c>
      <c r="Q4456">
        <v>30.43077242</v>
      </c>
      <c r="R4456">
        <v>0.53383111100000002</v>
      </c>
      <c r="S4456">
        <v>0.28333332999999999</v>
      </c>
      <c r="T4456" t="s">
        <v>1040</v>
      </c>
      <c r="U4456">
        <v>1.9278440699999999</v>
      </c>
    </row>
    <row r="4457" spans="1:21" x14ac:dyDescent="0.25">
      <c r="A4457" t="s">
        <v>56</v>
      </c>
      <c r="B4457" t="s">
        <v>881</v>
      </c>
      <c r="C4457">
        <v>12</v>
      </c>
      <c r="D4457" t="s">
        <v>25</v>
      </c>
      <c r="E4457" t="s">
        <v>94</v>
      </c>
      <c r="F4457" t="s">
        <v>112</v>
      </c>
      <c r="G4457" t="s">
        <v>121</v>
      </c>
      <c r="H4457" t="s">
        <v>241</v>
      </c>
      <c r="J4457">
        <v>0</v>
      </c>
      <c r="K4457">
        <v>4</v>
      </c>
      <c r="L4457">
        <v>65.09375</v>
      </c>
      <c r="M4457">
        <v>37.895352600000002</v>
      </c>
      <c r="N4457">
        <v>2.2882677779999998</v>
      </c>
      <c r="O4457">
        <v>2.2111774</v>
      </c>
      <c r="P4457">
        <v>114</v>
      </c>
      <c r="Q4457">
        <v>30.43077242</v>
      </c>
      <c r="R4457">
        <v>0.53383111100000002</v>
      </c>
      <c r="S4457">
        <v>0.28333332999999999</v>
      </c>
      <c r="T4457" t="s">
        <v>1040</v>
      </c>
      <c r="U4457">
        <v>1.9278440699999999</v>
      </c>
    </row>
    <row r="4458" spans="1:21" x14ac:dyDescent="0.25">
      <c r="A4458" t="s">
        <v>56</v>
      </c>
      <c r="B4458" t="s">
        <v>881</v>
      </c>
      <c r="C4458">
        <v>12</v>
      </c>
      <c r="D4458" t="s">
        <v>25</v>
      </c>
      <c r="E4458" t="s">
        <v>94</v>
      </c>
      <c r="F4458" t="s">
        <v>112</v>
      </c>
      <c r="G4458" t="s">
        <v>121</v>
      </c>
      <c r="H4458" t="s">
        <v>241</v>
      </c>
      <c r="J4458">
        <v>0</v>
      </c>
      <c r="K4458">
        <v>4</v>
      </c>
      <c r="L4458">
        <v>65.09375</v>
      </c>
      <c r="M4458">
        <v>37.895352600000002</v>
      </c>
      <c r="N4458">
        <v>2.2882677779999998</v>
      </c>
      <c r="O4458">
        <v>2.2111774</v>
      </c>
      <c r="P4458">
        <v>114</v>
      </c>
      <c r="Q4458">
        <v>30.43077242</v>
      </c>
      <c r="R4458">
        <v>0.53383111100000002</v>
      </c>
      <c r="S4458">
        <v>0.28333332999999999</v>
      </c>
      <c r="T4458" t="s">
        <v>1040</v>
      </c>
      <c r="U4458">
        <v>1.9278440699999999</v>
      </c>
    </row>
    <row r="4459" spans="1:21" x14ac:dyDescent="0.25">
      <c r="A4459" t="s">
        <v>57</v>
      </c>
      <c r="B4459" t="s">
        <v>882</v>
      </c>
      <c r="C4459">
        <v>12</v>
      </c>
      <c r="D4459" t="s">
        <v>27</v>
      </c>
      <c r="E4459" t="s">
        <v>94</v>
      </c>
      <c r="F4459" t="s">
        <v>105</v>
      </c>
      <c r="G4459" t="s">
        <v>121</v>
      </c>
      <c r="H4459" t="s">
        <v>247</v>
      </c>
      <c r="J4459">
        <v>0</v>
      </c>
      <c r="K4459">
        <v>1</v>
      </c>
      <c r="L4459">
        <v>67.5</v>
      </c>
      <c r="M4459">
        <v>47.937235809999997</v>
      </c>
      <c r="N4459">
        <v>0.41599678000000001</v>
      </c>
      <c r="O4459">
        <v>2.0950346999999998</v>
      </c>
      <c r="P4459">
        <v>65.791044779999993</v>
      </c>
      <c r="Q4459">
        <v>22.94519201</v>
      </c>
      <c r="R4459">
        <v>8.1320334999999994E-2</v>
      </c>
      <c r="S4459">
        <v>0.17285655</v>
      </c>
      <c r="T4459" t="s">
        <v>1040</v>
      </c>
      <c r="U4459">
        <v>1.9221781499999997</v>
      </c>
    </row>
    <row r="4460" spans="1:21" x14ac:dyDescent="0.25">
      <c r="A4460" t="s">
        <v>57</v>
      </c>
      <c r="B4460" t="s">
        <v>882</v>
      </c>
      <c r="C4460">
        <v>12</v>
      </c>
      <c r="D4460" t="s">
        <v>27</v>
      </c>
      <c r="E4460" t="s">
        <v>94</v>
      </c>
      <c r="F4460" t="s">
        <v>105</v>
      </c>
      <c r="G4460" t="s">
        <v>121</v>
      </c>
      <c r="H4460" t="s">
        <v>103</v>
      </c>
      <c r="J4460">
        <v>0</v>
      </c>
      <c r="K4460">
        <v>1</v>
      </c>
      <c r="L4460">
        <v>67.5</v>
      </c>
      <c r="M4460">
        <v>47.937235809999997</v>
      </c>
      <c r="N4460">
        <v>0.41599678000000001</v>
      </c>
      <c r="O4460">
        <v>2.0950346999999998</v>
      </c>
      <c r="P4460">
        <v>98.291666669999998</v>
      </c>
      <c r="Q4460">
        <v>30.315130790000001</v>
      </c>
      <c r="R4460">
        <v>5.0803484000000003E-2</v>
      </c>
      <c r="S4460">
        <v>0.42866070000000001</v>
      </c>
      <c r="T4460" t="s">
        <v>1040</v>
      </c>
      <c r="U4460">
        <v>1.6663739999999998</v>
      </c>
    </row>
    <row r="4461" spans="1:21" x14ac:dyDescent="0.25">
      <c r="A4461" t="s">
        <v>57</v>
      </c>
      <c r="B4461" t="s">
        <v>882</v>
      </c>
      <c r="C4461">
        <v>12</v>
      </c>
      <c r="D4461" t="s">
        <v>27</v>
      </c>
      <c r="E4461" t="s">
        <v>94</v>
      </c>
      <c r="F4461" t="s">
        <v>105</v>
      </c>
      <c r="G4461" t="s">
        <v>121</v>
      </c>
      <c r="H4461" t="s">
        <v>233</v>
      </c>
      <c r="J4461">
        <v>0</v>
      </c>
      <c r="K4461">
        <v>6</v>
      </c>
      <c r="L4461">
        <v>67.5</v>
      </c>
      <c r="M4461">
        <v>47.937235809999997</v>
      </c>
      <c r="N4461">
        <v>0.41599678000000001</v>
      </c>
      <c r="O4461">
        <v>2.0950346999999998</v>
      </c>
      <c r="P4461">
        <v>106.0540541</v>
      </c>
      <c r="Q4461">
        <v>52.690533369999997</v>
      </c>
      <c r="R4461">
        <v>7.6058968000000005E-2</v>
      </c>
      <c r="S4461">
        <v>0.44888888999999998</v>
      </c>
      <c r="T4461" t="s">
        <v>1040</v>
      </c>
      <c r="U4461">
        <v>1.6461458099999997</v>
      </c>
    </row>
    <row r="4462" spans="1:21" x14ac:dyDescent="0.25">
      <c r="A4462" t="s">
        <v>57</v>
      </c>
      <c r="B4462" t="s">
        <v>882</v>
      </c>
      <c r="C4462">
        <v>12</v>
      </c>
      <c r="D4462" t="s">
        <v>27</v>
      </c>
      <c r="E4462" t="s">
        <v>94</v>
      </c>
      <c r="F4462" t="s">
        <v>105</v>
      </c>
      <c r="G4462" t="s">
        <v>121</v>
      </c>
      <c r="H4462" t="s">
        <v>233</v>
      </c>
      <c r="J4462">
        <v>0</v>
      </c>
      <c r="K4462">
        <v>6</v>
      </c>
      <c r="L4462">
        <v>67.5</v>
      </c>
      <c r="M4462">
        <v>47.937235809999997</v>
      </c>
      <c r="N4462">
        <v>0.41599678000000001</v>
      </c>
      <c r="O4462">
        <v>2.0950346999999998</v>
      </c>
      <c r="P4462">
        <v>106.0540541</v>
      </c>
      <c r="Q4462">
        <v>52.690533369999997</v>
      </c>
      <c r="R4462">
        <v>7.6058968000000005E-2</v>
      </c>
      <c r="S4462">
        <v>0.44888888999999998</v>
      </c>
      <c r="T4462" t="s">
        <v>1040</v>
      </c>
      <c r="U4462">
        <v>1.6461458099999997</v>
      </c>
    </row>
    <row r="4463" spans="1:21" x14ac:dyDescent="0.25">
      <c r="A4463" t="s">
        <v>57</v>
      </c>
      <c r="B4463" t="s">
        <v>882</v>
      </c>
      <c r="C4463">
        <v>12</v>
      </c>
      <c r="D4463" t="s">
        <v>27</v>
      </c>
      <c r="E4463" t="s">
        <v>94</v>
      </c>
      <c r="F4463" t="s">
        <v>105</v>
      </c>
      <c r="G4463" t="s">
        <v>121</v>
      </c>
      <c r="H4463" t="s">
        <v>233</v>
      </c>
      <c r="J4463">
        <v>0</v>
      </c>
      <c r="K4463">
        <v>6</v>
      </c>
      <c r="L4463">
        <v>67.5</v>
      </c>
      <c r="M4463">
        <v>47.937235809999997</v>
      </c>
      <c r="N4463">
        <v>0.41599678000000001</v>
      </c>
      <c r="O4463">
        <v>2.0950346999999998</v>
      </c>
      <c r="P4463">
        <v>106.0540541</v>
      </c>
      <c r="Q4463">
        <v>52.690533369999997</v>
      </c>
      <c r="R4463">
        <v>7.6058968000000005E-2</v>
      </c>
      <c r="S4463">
        <v>0.44888888999999998</v>
      </c>
      <c r="T4463" t="s">
        <v>1040</v>
      </c>
      <c r="U4463">
        <v>1.6461458099999997</v>
      </c>
    </row>
    <row r="4464" spans="1:21" x14ac:dyDescent="0.25">
      <c r="A4464" t="s">
        <v>57</v>
      </c>
      <c r="B4464" t="s">
        <v>882</v>
      </c>
      <c r="C4464">
        <v>12</v>
      </c>
      <c r="D4464" t="s">
        <v>27</v>
      </c>
      <c r="E4464" t="s">
        <v>94</v>
      </c>
      <c r="F4464" t="s">
        <v>105</v>
      </c>
      <c r="G4464" t="s">
        <v>121</v>
      </c>
      <c r="H4464" t="s">
        <v>233</v>
      </c>
      <c r="J4464">
        <v>0</v>
      </c>
      <c r="K4464">
        <v>6</v>
      </c>
      <c r="L4464">
        <v>67.5</v>
      </c>
      <c r="M4464">
        <v>47.937235809999997</v>
      </c>
      <c r="N4464">
        <v>0.41599678000000001</v>
      </c>
      <c r="O4464">
        <v>2.0950346999999998</v>
      </c>
      <c r="P4464">
        <v>106.0540541</v>
      </c>
      <c r="Q4464">
        <v>52.690533369999997</v>
      </c>
      <c r="R4464">
        <v>7.6058968000000005E-2</v>
      </c>
      <c r="S4464">
        <v>0.44888888999999998</v>
      </c>
      <c r="T4464" t="s">
        <v>1040</v>
      </c>
      <c r="U4464">
        <v>1.6461458099999997</v>
      </c>
    </row>
    <row r="4465" spans="1:21" x14ac:dyDescent="0.25">
      <c r="A4465" t="s">
        <v>57</v>
      </c>
      <c r="B4465" t="s">
        <v>882</v>
      </c>
      <c r="C4465">
        <v>12</v>
      </c>
      <c r="D4465" t="s">
        <v>27</v>
      </c>
      <c r="E4465" t="s">
        <v>94</v>
      </c>
      <c r="F4465" t="s">
        <v>105</v>
      </c>
      <c r="G4465" t="s">
        <v>121</v>
      </c>
      <c r="H4465" t="s">
        <v>233</v>
      </c>
      <c r="J4465">
        <v>0</v>
      </c>
      <c r="K4465">
        <v>6</v>
      </c>
      <c r="L4465">
        <v>67.5</v>
      </c>
      <c r="M4465">
        <v>47.937235809999997</v>
      </c>
      <c r="N4465">
        <v>0.41599678000000001</v>
      </c>
      <c r="O4465">
        <v>2.0950346999999998</v>
      </c>
      <c r="P4465">
        <v>106.0540541</v>
      </c>
      <c r="Q4465">
        <v>52.690533369999997</v>
      </c>
      <c r="R4465">
        <v>7.6058968000000005E-2</v>
      </c>
      <c r="S4465">
        <v>0.44888888999999998</v>
      </c>
      <c r="T4465" t="s">
        <v>1040</v>
      </c>
      <c r="U4465">
        <v>1.6461458099999997</v>
      </c>
    </row>
    <row r="4466" spans="1:21" x14ac:dyDescent="0.25">
      <c r="A4466" t="s">
        <v>57</v>
      </c>
      <c r="B4466" t="s">
        <v>882</v>
      </c>
      <c r="C4466">
        <v>12</v>
      </c>
      <c r="D4466" t="s">
        <v>27</v>
      </c>
      <c r="E4466" t="s">
        <v>94</v>
      </c>
      <c r="F4466" t="s">
        <v>105</v>
      </c>
      <c r="G4466" t="s">
        <v>121</v>
      </c>
      <c r="H4466" t="s">
        <v>233</v>
      </c>
      <c r="J4466">
        <v>0</v>
      </c>
      <c r="K4466">
        <v>6</v>
      </c>
      <c r="L4466">
        <v>67.5</v>
      </c>
      <c r="M4466">
        <v>47.937235809999997</v>
      </c>
      <c r="N4466">
        <v>0.41599678000000001</v>
      </c>
      <c r="O4466">
        <v>2.0950346999999998</v>
      </c>
      <c r="P4466">
        <v>106.0540541</v>
      </c>
      <c r="Q4466">
        <v>52.690533369999997</v>
      </c>
      <c r="R4466">
        <v>7.6058968000000005E-2</v>
      </c>
      <c r="S4466">
        <v>0.44888888999999998</v>
      </c>
      <c r="T4466" t="s">
        <v>1040</v>
      </c>
      <c r="U4466">
        <v>1.6461458099999997</v>
      </c>
    </row>
    <row r="4467" spans="1:21" x14ac:dyDescent="0.25">
      <c r="A4467" t="s">
        <v>57</v>
      </c>
      <c r="B4467" t="s">
        <v>883</v>
      </c>
      <c r="C4467">
        <v>12</v>
      </c>
      <c r="D4467" t="s">
        <v>27</v>
      </c>
      <c r="E4467" t="s">
        <v>94</v>
      </c>
      <c r="F4467" t="s">
        <v>113</v>
      </c>
      <c r="G4467" t="s">
        <v>121</v>
      </c>
      <c r="H4467" t="s">
        <v>114</v>
      </c>
      <c r="J4467">
        <v>0</v>
      </c>
      <c r="K4467" t="s">
        <v>114</v>
      </c>
      <c r="L4467">
        <v>83.757575759999995</v>
      </c>
      <c r="M4467">
        <v>22.60997987</v>
      </c>
      <c r="N4467">
        <v>0.72884000000000004</v>
      </c>
      <c r="O4467">
        <v>0.21301339999999999</v>
      </c>
      <c r="P4467" t="s">
        <v>114</v>
      </c>
      <c r="Q4467" t="s">
        <v>114</v>
      </c>
      <c r="R4467" t="s">
        <v>114</v>
      </c>
      <c r="S4467" t="s">
        <v>114</v>
      </c>
      <c r="T4467" t="s">
        <v>1040</v>
      </c>
      <c r="U4467" t="s">
        <v>114</v>
      </c>
    </row>
    <row r="4468" spans="1:21" x14ac:dyDescent="0.25">
      <c r="A4468" t="s">
        <v>57</v>
      </c>
      <c r="B4468" t="s">
        <v>884</v>
      </c>
      <c r="C4468">
        <v>12</v>
      </c>
      <c r="D4468" t="s">
        <v>27</v>
      </c>
      <c r="E4468" t="s">
        <v>94</v>
      </c>
      <c r="F4468" t="s">
        <v>112</v>
      </c>
      <c r="G4468" t="s">
        <v>112</v>
      </c>
      <c r="H4468" t="s">
        <v>112</v>
      </c>
      <c r="J4468">
        <v>0</v>
      </c>
      <c r="K4468">
        <v>2</v>
      </c>
      <c r="L4468">
        <v>65.09375</v>
      </c>
      <c r="M4468">
        <v>37.895352600000002</v>
      </c>
      <c r="N4468">
        <v>2.2882677779999998</v>
      </c>
      <c r="O4468">
        <v>2.2111774</v>
      </c>
      <c r="P4468">
        <v>65.09375</v>
      </c>
      <c r="Q4468">
        <v>37.895352600000002</v>
      </c>
      <c r="R4468">
        <v>2.2882677779999998</v>
      </c>
      <c r="S4468">
        <v>2.2111774</v>
      </c>
      <c r="T4468" t="s">
        <v>1040</v>
      </c>
      <c r="U4468">
        <v>0</v>
      </c>
    </row>
    <row r="4469" spans="1:21" x14ac:dyDescent="0.25">
      <c r="A4469" t="s">
        <v>57</v>
      </c>
      <c r="B4469" t="s">
        <v>884</v>
      </c>
      <c r="C4469">
        <v>12</v>
      </c>
      <c r="D4469" t="s">
        <v>27</v>
      </c>
      <c r="E4469" t="s">
        <v>94</v>
      </c>
      <c r="F4469" t="s">
        <v>112</v>
      </c>
      <c r="G4469" t="s">
        <v>112</v>
      </c>
      <c r="H4469" t="s">
        <v>112</v>
      </c>
      <c r="J4469">
        <v>0</v>
      </c>
      <c r="K4469">
        <v>2</v>
      </c>
      <c r="L4469">
        <v>65.09375</v>
      </c>
      <c r="M4469">
        <v>37.895352600000002</v>
      </c>
      <c r="N4469">
        <v>2.2882677779999998</v>
      </c>
      <c r="O4469">
        <v>2.2111774</v>
      </c>
      <c r="P4469">
        <v>65.09375</v>
      </c>
      <c r="Q4469">
        <v>37.895352600000002</v>
      </c>
      <c r="R4469">
        <v>2.2882677779999998</v>
      </c>
      <c r="S4469">
        <v>2.2111774</v>
      </c>
      <c r="T4469" t="s">
        <v>1040</v>
      </c>
      <c r="U4469">
        <v>0</v>
      </c>
    </row>
    <row r="4470" spans="1:21" x14ac:dyDescent="0.25">
      <c r="A4470" t="s">
        <v>57</v>
      </c>
      <c r="B4470" t="s">
        <v>884</v>
      </c>
      <c r="C4470">
        <v>12</v>
      </c>
      <c r="D4470" t="s">
        <v>27</v>
      </c>
      <c r="E4470" t="s">
        <v>94</v>
      </c>
      <c r="F4470" t="s">
        <v>112</v>
      </c>
      <c r="G4470" t="s">
        <v>112</v>
      </c>
      <c r="H4470" t="s">
        <v>247</v>
      </c>
      <c r="J4470">
        <v>0</v>
      </c>
      <c r="K4470">
        <v>1</v>
      </c>
      <c r="L4470">
        <v>65.09375</v>
      </c>
      <c r="M4470">
        <v>37.895352600000002</v>
      </c>
      <c r="N4470">
        <v>2.2882677779999998</v>
      </c>
      <c r="O4470">
        <v>2.2111774</v>
      </c>
      <c r="P4470">
        <v>65.791044779999993</v>
      </c>
      <c r="Q4470">
        <v>22.94519201</v>
      </c>
      <c r="R4470">
        <v>8.1320334999999994E-2</v>
      </c>
      <c r="S4470">
        <v>0.17285655</v>
      </c>
      <c r="T4470" t="s">
        <v>1040</v>
      </c>
      <c r="U4470">
        <v>2.0383208499999999</v>
      </c>
    </row>
    <row r="4471" spans="1:21" x14ac:dyDescent="0.25">
      <c r="A4471" t="s">
        <v>58</v>
      </c>
      <c r="B4471" t="s">
        <v>885</v>
      </c>
      <c r="C4471">
        <v>12</v>
      </c>
      <c r="D4471" t="s">
        <v>29</v>
      </c>
      <c r="E4471" t="s">
        <v>95</v>
      </c>
      <c r="F4471" t="s">
        <v>102</v>
      </c>
      <c r="G4471" t="s">
        <v>104</v>
      </c>
      <c r="H4471" t="s">
        <v>104</v>
      </c>
      <c r="J4471">
        <v>0</v>
      </c>
      <c r="K4471">
        <v>1</v>
      </c>
      <c r="L4471">
        <v>84.740740740000007</v>
      </c>
      <c r="M4471">
        <v>29.167014049999999</v>
      </c>
      <c r="N4471">
        <v>1.1169849999999999</v>
      </c>
      <c r="O4471">
        <v>1.1571499000000001</v>
      </c>
      <c r="P4471">
        <v>113.9375</v>
      </c>
      <c r="Q4471">
        <v>33.375507550000002</v>
      </c>
      <c r="R4471">
        <v>2.4262999999999999</v>
      </c>
      <c r="S4471">
        <v>0.40692159999999999</v>
      </c>
      <c r="T4471" t="s">
        <v>1040</v>
      </c>
      <c r="U4471">
        <v>0.75022830000000007</v>
      </c>
    </row>
    <row r="4472" spans="1:21" x14ac:dyDescent="0.25">
      <c r="A4472" t="s">
        <v>58</v>
      </c>
      <c r="B4472" t="s">
        <v>885</v>
      </c>
      <c r="C4472">
        <v>12</v>
      </c>
      <c r="D4472" t="s">
        <v>29</v>
      </c>
      <c r="E4472" t="s">
        <v>95</v>
      </c>
      <c r="F4472" t="s">
        <v>102</v>
      </c>
      <c r="G4472" t="s">
        <v>104</v>
      </c>
      <c r="H4472" t="s">
        <v>246</v>
      </c>
      <c r="J4472">
        <v>0</v>
      </c>
      <c r="K4472">
        <v>1</v>
      </c>
      <c r="L4472">
        <v>84.740740740000007</v>
      </c>
      <c r="M4472">
        <v>29.167014049999999</v>
      </c>
      <c r="N4472">
        <v>1.1169849999999999</v>
      </c>
      <c r="O4472">
        <v>1.1571499000000001</v>
      </c>
      <c r="P4472">
        <v>120.25</v>
      </c>
      <c r="Q4472">
        <v>30.670450110000001</v>
      </c>
      <c r="R4472">
        <v>0.91037498500000003</v>
      </c>
      <c r="S4472" t="s">
        <v>114</v>
      </c>
      <c r="T4472" t="s">
        <v>1040</v>
      </c>
      <c r="U4472" t="s">
        <v>114</v>
      </c>
    </row>
    <row r="4473" spans="1:21" x14ac:dyDescent="0.25">
      <c r="A4473" t="s">
        <v>58</v>
      </c>
      <c r="B4473" t="s">
        <v>886</v>
      </c>
      <c r="C4473">
        <v>12</v>
      </c>
      <c r="D4473" t="s">
        <v>29</v>
      </c>
      <c r="E4473" t="s">
        <v>95</v>
      </c>
      <c r="F4473" t="s">
        <v>110</v>
      </c>
      <c r="G4473" t="s">
        <v>121</v>
      </c>
      <c r="H4473" t="s">
        <v>246</v>
      </c>
      <c r="I4473" t="s">
        <v>162</v>
      </c>
      <c r="J4473">
        <v>1</v>
      </c>
      <c r="K4473">
        <v>1</v>
      </c>
      <c r="L4473">
        <v>73.260869569999997</v>
      </c>
      <c r="M4473">
        <v>34.453830549999999</v>
      </c>
      <c r="N4473">
        <v>1.058333333</v>
      </c>
      <c r="O4473">
        <v>0.90897070000000002</v>
      </c>
      <c r="P4473">
        <v>120.25</v>
      </c>
      <c r="Q4473">
        <v>30.670450110000001</v>
      </c>
      <c r="R4473">
        <v>0.91037498500000003</v>
      </c>
      <c r="S4473" t="s">
        <v>114</v>
      </c>
      <c r="T4473" t="s">
        <v>1040</v>
      </c>
      <c r="U4473" t="s">
        <v>114</v>
      </c>
    </row>
    <row r="4474" spans="1:21" x14ac:dyDescent="0.25">
      <c r="A4474" t="s">
        <v>58</v>
      </c>
      <c r="B4474" t="s">
        <v>886</v>
      </c>
      <c r="C4474">
        <v>12</v>
      </c>
      <c r="D4474" t="s">
        <v>29</v>
      </c>
      <c r="E4474" t="s">
        <v>95</v>
      </c>
      <c r="F4474" t="s">
        <v>110</v>
      </c>
      <c r="G4474" t="s">
        <v>121</v>
      </c>
      <c r="H4474" t="s">
        <v>239</v>
      </c>
      <c r="J4474">
        <v>1</v>
      </c>
      <c r="K4474">
        <v>1</v>
      </c>
      <c r="L4474">
        <v>73.260869569999997</v>
      </c>
      <c r="M4474">
        <v>34.453830549999999</v>
      </c>
      <c r="N4474">
        <v>1.058333333</v>
      </c>
      <c r="O4474">
        <v>0.90897070000000002</v>
      </c>
      <c r="P4474">
        <v>100.45454549999999</v>
      </c>
      <c r="Q4474">
        <v>26.754810689999999</v>
      </c>
      <c r="R4474">
        <v>0.75829999999999997</v>
      </c>
      <c r="S4474">
        <v>0.40907861000000001</v>
      </c>
      <c r="T4474" t="s">
        <v>1040</v>
      </c>
      <c r="U4474">
        <v>0.49989209000000001</v>
      </c>
    </row>
    <row r="4475" spans="1:21" x14ac:dyDescent="0.25">
      <c r="A4475" t="s">
        <v>58</v>
      </c>
      <c r="B4475" t="s">
        <v>887</v>
      </c>
      <c r="C4475">
        <v>12</v>
      </c>
      <c r="D4475" t="s">
        <v>29</v>
      </c>
      <c r="E4475" t="s">
        <v>95</v>
      </c>
      <c r="F4475" t="s">
        <v>103</v>
      </c>
      <c r="G4475" t="s">
        <v>121</v>
      </c>
      <c r="H4475" t="s">
        <v>249</v>
      </c>
      <c r="J4475">
        <v>0</v>
      </c>
      <c r="K4475">
        <v>1</v>
      </c>
      <c r="L4475">
        <v>98.291666669999998</v>
      </c>
      <c r="M4475">
        <v>30.315130790000001</v>
      </c>
      <c r="N4475">
        <v>5.0803484000000003E-2</v>
      </c>
      <c r="O4475">
        <v>0.42866070000000001</v>
      </c>
      <c r="P4475">
        <v>81.666666669999998</v>
      </c>
      <c r="Q4475">
        <v>48.056268459999998</v>
      </c>
      <c r="R4475">
        <v>0.120291364</v>
      </c>
      <c r="S4475" t="s">
        <v>114</v>
      </c>
      <c r="T4475" t="s">
        <v>1040</v>
      </c>
      <c r="U4475" t="s">
        <v>114</v>
      </c>
    </row>
    <row r="4476" spans="1:21" x14ac:dyDescent="0.25">
      <c r="A4476" t="s">
        <v>58</v>
      </c>
      <c r="B4476" t="s">
        <v>887</v>
      </c>
      <c r="C4476">
        <v>12</v>
      </c>
      <c r="D4476" t="s">
        <v>29</v>
      </c>
      <c r="E4476" t="s">
        <v>95</v>
      </c>
      <c r="F4476" t="s">
        <v>103</v>
      </c>
      <c r="G4476" t="s">
        <v>121</v>
      </c>
      <c r="H4476" t="s">
        <v>238</v>
      </c>
      <c r="J4476">
        <v>0</v>
      </c>
      <c r="K4476">
        <v>1</v>
      </c>
      <c r="L4476">
        <v>98.291666669999998</v>
      </c>
      <c r="M4476">
        <v>30.315130790000001</v>
      </c>
      <c r="N4476">
        <v>5.0803484000000003E-2</v>
      </c>
      <c r="O4476">
        <v>0.42866070000000001</v>
      </c>
      <c r="P4476">
        <v>87.5</v>
      </c>
      <c r="Q4476">
        <v>29.478311600000001</v>
      </c>
      <c r="R4476">
        <v>3.0797751000000002E-2</v>
      </c>
      <c r="S4476">
        <v>0.12931835</v>
      </c>
      <c r="T4476" t="s">
        <v>1040</v>
      </c>
      <c r="U4476">
        <v>0.29934234999999998</v>
      </c>
    </row>
    <row r="4477" spans="1:21" x14ac:dyDescent="0.25">
      <c r="A4477" t="s">
        <v>59</v>
      </c>
      <c r="B4477" t="s">
        <v>888</v>
      </c>
      <c r="C4477">
        <v>12</v>
      </c>
      <c r="D4477" t="s">
        <v>31</v>
      </c>
      <c r="E4477" t="s">
        <v>94</v>
      </c>
      <c r="F4477" t="s">
        <v>105</v>
      </c>
      <c r="G4477" t="s">
        <v>121</v>
      </c>
      <c r="H4477" t="s">
        <v>241</v>
      </c>
      <c r="J4477">
        <v>0</v>
      </c>
      <c r="K4477">
        <v>1</v>
      </c>
      <c r="L4477">
        <v>67.5</v>
      </c>
      <c r="M4477">
        <v>47.937235809999997</v>
      </c>
      <c r="N4477">
        <v>0.41599678000000001</v>
      </c>
      <c r="O4477">
        <v>2.0950346999999998</v>
      </c>
      <c r="P4477">
        <v>114</v>
      </c>
      <c r="Q4477">
        <v>30.43077242</v>
      </c>
      <c r="R4477">
        <v>0.53383111100000002</v>
      </c>
      <c r="S4477">
        <v>0.28333332999999999</v>
      </c>
      <c r="T4477" t="s">
        <v>1040</v>
      </c>
      <c r="U4477">
        <v>1.8117013699999998</v>
      </c>
    </row>
    <row r="4478" spans="1:21" x14ac:dyDescent="0.25">
      <c r="A4478" t="s">
        <v>59</v>
      </c>
      <c r="B4478" t="s">
        <v>889</v>
      </c>
      <c r="C4478">
        <v>12</v>
      </c>
      <c r="D4478" t="s">
        <v>31</v>
      </c>
      <c r="E4478" t="s">
        <v>94</v>
      </c>
      <c r="F4478" t="s">
        <v>110</v>
      </c>
      <c r="G4478" t="s">
        <v>121</v>
      </c>
      <c r="H4478" t="s">
        <v>241</v>
      </c>
      <c r="J4478">
        <v>0</v>
      </c>
      <c r="K4478">
        <v>2</v>
      </c>
      <c r="L4478">
        <v>73.260869569999997</v>
      </c>
      <c r="M4478">
        <v>34.453830549999999</v>
      </c>
      <c r="N4478">
        <v>1.058333333</v>
      </c>
      <c r="O4478">
        <v>0.90897070000000002</v>
      </c>
      <c r="P4478">
        <v>114</v>
      </c>
      <c r="Q4478">
        <v>30.43077242</v>
      </c>
      <c r="R4478">
        <v>0.53383111100000002</v>
      </c>
      <c r="S4478">
        <v>0.28333332999999999</v>
      </c>
      <c r="T4478" t="s">
        <v>1040</v>
      </c>
      <c r="U4478">
        <v>0.62563736999999997</v>
      </c>
    </row>
    <row r="4479" spans="1:21" x14ac:dyDescent="0.25">
      <c r="A4479" t="s">
        <v>59</v>
      </c>
      <c r="B4479" t="s">
        <v>889</v>
      </c>
      <c r="C4479">
        <v>12</v>
      </c>
      <c r="D4479" t="s">
        <v>31</v>
      </c>
      <c r="E4479" t="s">
        <v>94</v>
      </c>
      <c r="F4479" t="s">
        <v>110</v>
      </c>
      <c r="G4479" t="s">
        <v>121</v>
      </c>
      <c r="H4479" t="s">
        <v>241</v>
      </c>
      <c r="J4479">
        <v>0</v>
      </c>
      <c r="K4479">
        <v>2</v>
      </c>
      <c r="L4479">
        <v>73.260869569999997</v>
      </c>
      <c r="M4479">
        <v>34.453830549999999</v>
      </c>
      <c r="N4479">
        <v>1.058333333</v>
      </c>
      <c r="O4479">
        <v>0.90897070000000002</v>
      </c>
      <c r="P4479">
        <v>114</v>
      </c>
      <c r="Q4479">
        <v>30.43077242</v>
      </c>
      <c r="R4479">
        <v>0.53383111100000002</v>
      </c>
      <c r="S4479">
        <v>0.28333332999999999</v>
      </c>
      <c r="T4479" t="s">
        <v>1040</v>
      </c>
      <c r="U4479">
        <v>0.62563736999999997</v>
      </c>
    </row>
    <row r="4480" spans="1:21" x14ac:dyDescent="0.25">
      <c r="A4480" t="s">
        <v>60</v>
      </c>
      <c r="B4480" t="s">
        <v>890</v>
      </c>
      <c r="C4480">
        <v>12</v>
      </c>
      <c r="D4480" t="s">
        <v>33</v>
      </c>
      <c r="E4480" t="s">
        <v>95</v>
      </c>
      <c r="F4480" t="s">
        <v>102</v>
      </c>
      <c r="G4480" t="s">
        <v>104</v>
      </c>
      <c r="H4480" t="s">
        <v>104</v>
      </c>
      <c r="J4480">
        <v>0</v>
      </c>
      <c r="K4480">
        <v>1</v>
      </c>
      <c r="L4480">
        <v>84.740740740000007</v>
      </c>
      <c r="M4480">
        <v>29.167014049999999</v>
      </c>
      <c r="N4480">
        <v>1.1169849999999999</v>
      </c>
      <c r="O4480">
        <v>1.1571499000000001</v>
      </c>
      <c r="P4480">
        <v>113.9375</v>
      </c>
      <c r="Q4480">
        <v>33.375507550000002</v>
      </c>
      <c r="R4480">
        <v>2.4262999999999999</v>
      </c>
      <c r="S4480">
        <v>0.40692159999999999</v>
      </c>
      <c r="T4480" t="s">
        <v>1040</v>
      </c>
      <c r="U4480">
        <v>0.75022830000000007</v>
      </c>
    </row>
    <row r="4481" spans="1:21" x14ac:dyDescent="0.25">
      <c r="A4481" t="s">
        <v>60</v>
      </c>
      <c r="B4481" t="s">
        <v>891</v>
      </c>
      <c r="C4481">
        <v>12</v>
      </c>
      <c r="D4481" t="s">
        <v>33</v>
      </c>
      <c r="E4481" t="s">
        <v>95</v>
      </c>
      <c r="F4481" t="s">
        <v>110</v>
      </c>
      <c r="G4481" t="s">
        <v>121</v>
      </c>
      <c r="H4481" t="s">
        <v>241</v>
      </c>
      <c r="J4481">
        <v>0</v>
      </c>
      <c r="K4481">
        <v>2</v>
      </c>
      <c r="L4481">
        <v>73.260869569999997</v>
      </c>
      <c r="M4481">
        <v>34.453830549999999</v>
      </c>
      <c r="N4481">
        <v>1.058333333</v>
      </c>
      <c r="O4481">
        <v>0.90897070000000002</v>
      </c>
      <c r="P4481">
        <v>114</v>
      </c>
      <c r="Q4481">
        <v>30.43077242</v>
      </c>
      <c r="R4481">
        <v>0.53383111100000002</v>
      </c>
      <c r="S4481">
        <v>0.28333332999999999</v>
      </c>
      <c r="T4481" t="s">
        <v>1040</v>
      </c>
      <c r="U4481">
        <v>0.62563736999999997</v>
      </c>
    </row>
    <row r="4482" spans="1:21" x14ac:dyDescent="0.25">
      <c r="A4482" t="s">
        <v>60</v>
      </c>
      <c r="B4482" t="s">
        <v>891</v>
      </c>
      <c r="C4482">
        <v>12</v>
      </c>
      <c r="D4482" t="s">
        <v>33</v>
      </c>
      <c r="E4482" t="s">
        <v>95</v>
      </c>
      <c r="F4482" t="s">
        <v>110</v>
      </c>
      <c r="G4482" t="s">
        <v>121</v>
      </c>
      <c r="H4482" t="s">
        <v>241</v>
      </c>
      <c r="J4482">
        <v>0</v>
      </c>
      <c r="K4482">
        <v>2</v>
      </c>
      <c r="L4482">
        <v>73.260869569999997</v>
      </c>
      <c r="M4482">
        <v>34.453830549999999</v>
      </c>
      <c r="N4482">
        <v>1.058333333</v>
      </c>
      <c r="O4482">
        <v>0.90897070000000002</v>
      </c>
      <c r="P4482">
        <v>114</v>
      </c>
      <c r="Q4482">
        <v>30.43077242</v>
      </c>
      <c r="R4482">
        <v>0.53383111100000002</v>
      </c>
      <c r="S4482">
        <v>0.28333332999999999</v>
      </c>
      <c r="T4482" t="s">
        <v>1040</v>
      </c>
      <c r="U4482">
        <v>0.62563736999999997</v>
      </c>
    </row>
    <row r="4483" spans="1:21" x14ac:dyDescent="0.25">
      <c r="A4483" t="s">
        <v>60</v>
      </c>
      <c r="B4483" t="s">
        <v>891</v>
      </c>
      <c r="C4483">
        <v>12</v>
      </c>
      <c r="D4483" t="s">
        <v>33</v>
      </c>
      <c r="E4483" t="s">
        <v>95</v>
      </c>
      <c r="F4483" t="s">
        <v>110</v>
      </c>
      <c r="G4483" t="s">
        <v>121</v>
      </c>
      <c r="H4483" t="s">
        <v>246</v>
      </c>
      <c r="J4483">
        <v>0</v>
      </c>
      <c r="K4483">
        <v>2</v>
      </c>
      <c r="L4483">
        <v>73.260869569999997</v>
      </c>
      <c r="M4483">
        <v>34.453830549999999</v>
      </c>
      <c r="N4483">
        <v>1.058333333</v>
      </c>
      <c r="O4483">
        <v>0.90897070000000002</v>
      </c>
      <c r="P4483">
        <v>120.25</v>
      </c>
      <c r="Q4483">
        <v>30.670450110000001</v>
      </c>
      <c r="R4483">
        <v>0.91037498500000003</v>
      </c>
      <c r="S4483" t="s">
        <v>114</v>
      </c>
      <c r="T4483" t="s">
        <v>1040</v>
      </c>
      <c r="U4483" t="s">
        <v>114</v>
      </c>
    </row>
    <row r="4484" spans="1:21" x14ac:dyDescent="0.25">
      <c r="A4484" t="s">
        <v>60</v>
      </c>
      <c r="B4484" t="s">
        <v>891</v>
      </c>
      <c r="C4484">
        <v>12</v>
      </c>
      <c r="D4484" t="s">
        <v>33</v>
      </c>
      <c r="E4484" t="s">
        <v>95</v>
      </c>
      <c r="F4484" t="s">
        <v>110</v>
      </c>
      <c r="G4484" t="s">
        <v>121</v>
      </c>
      <c r="H4484" t="s">
        <v>246</v>
      </c>
      <c r="J4484">
        <v>0</v>
      </c>
      <c r="K4484">
        <v>2</v>
      </c>
      <c r="L4484">
        <v>73.260869569999997</v>
      </c>
      <c r="M4484">
        <v>34.453830549999999</v>
      </c>
      <c r="N4484">
        <v>1.058333333</v>
      </c>
      <c r="O4484">
        <v>0.90897070000000002</v>
      </c>
      <c r="P4484">
        <v>120.25</v>
      </c>
      <c r="Q4484">
        <v>30.670450110000001</v>
      </c>
      <c r="R4484">
        <v>0.91037498500000003</v>
      </c>
      <c r="S4484" t="s">
        <v>114</v>
      </c>
      <c r="T4484" t="s">
        <v>1040</v>
      </c>
      <c r="U4484" t="s">
        <v>114</v>
      </c>
    </row>
    <row r="4485" spans="1:21" x14ac:dyDescent="0.25">
      <c r="A4485" t="s">
        <v>60</v>
      </c>
      <c r="B4485" t="s">
        <v>892</v>
      </c>
      <c r="C4485">
        <v>12</v>
      </c>
      <c r="D4485" t="s">
        <v>33</v>
      </c>
      <c r="E4485" t="s">
        <v>95</v>
      </c>
      <c r="F4485" t="s">
        <v>104</v>
      </c>
      <c r="G4485" t="s">
        <v>104</v>
      </c>
      <c r="H4485" t="s">
        <v>104</v>
      </c>
      <c r="J4485">
        <v>0</v>
      </c>
      <c r="K4485">
        <v>1</v>
      </c>
      <c r="L4485">
        <v>113.9375</v>
      </c>
      <c r="M4485">
        <v>33.375507550000002</v>
      </c>
      <c r="N4485">
        <v>2.4262999999999999</v>
      </c>
      <c r="O4485">
        <v>0.40692159999999999</v>
      </c>
      <c r="P4485">
        <v>113.9375</v>
      </c>
      <c r="Q4485">
        <v>33.375507550000002</v>
      </c>
      <c r="R4485">
        <v>2.4262999999999999</v>
      </c>
      <c r="S4485">
        <v>0.40692159999999999</v>
      </c>
      <c r="T4485" t="s">
        <v>1040</v>
      </c>
      <c r="U4485">
        <v>0</v>
      </c>
    </row>
    <row r="4486" spans="1:21" x14ac:dyDescent="0.25">
      <c r="A4486" t="s">
        <v>60</v>
      </c>
      <c r="B4486" t="s">
        <v>892</v>
      </c>
      <c r="C4486">
        <v>12</v>
      </c>
      <c r="D4486" t="s">
        <v>33</v>
      </c>
      <c r="E4486" t="s">
        <v>95</v>
      </c>
      <c r="F4486" t="s">
        <v>104</v>
      </c>
      <c r="G4486" t="s">
        <v>104</v>
      </c>
      <c r="H4486" t="s">
        <v>246</v>
      </c>
      <c r="J4486">
        <v>0</v>
      </c>
      <c r="K4486">
        <v>2</v>
      </c>
      <c r="L4486">
        <v>113.9375</v>
      </c>
      <c r="M4486">
        <v>33.375507550000002</v>
      </c>
      <c r="N4486">
        <v>2.4262999999999999</v>
      </c>
      <c r="O4486">
        <v>0.40692159999999999</v>
      </c>
      <c r="P4486">
        <v>120.25</v>
      </c>
      <c r="Q4486">
        <v>30.670450110000001</v>
      </c>
      <c r="R4486">
        <v>0.91037498500000003</v>
      </c>
      <c r="S4486" t="s">
        <v>114</v>
      </c>
      <c r="T4486" t="s">
        <v>1040</v>
      </c>
      <c r="U4486" t="s">
        <v>114</v>
      </c>
    </row>
    <row r="4487" spans="1:21" x14ac:dyDescent="0.25">
      <c r="A4487" t="s">
        <v>60</v>
      </c>
      <c r="B4487" t="s">
        <v>892</v>
      </c>
      <c r="C4487">
        <v>12</v>
      </c>
      <c r="D4487" t="s">
        <v>33</v>
      </c>
      <c r="E4487" t="s">
        <v>95</v>
      </c>
      <c r="F4487" t="s">
        <v>104</v>
      </c>
      <c r="G4487" t="s">
        <v>104</v>
      </c>
      <c r="H4487" t="s">
        <v>246</v>
      </c>
      <c r="J4487">
        <v>0</v>
      </c>
      <c r="K4487">
        <v>2</v>
      </c>
      <c r="L4487">
        <v>113.9375</v>
      </c>
      <c r="M4487">
        <v>33.375507550000002</v>
      </c>
      <c r="N4487">
        <v>2.4262999999999999</v>
      </c>
      <c r="O4487">
        <v>0.40692159999999999</v>
      </c>
      <c r="P4487">
        <v>120.25</v>
      </c>
      <c r="Q4487">
        <v>30.670450110000001</v>
      </c>
      <c r="R4487">
        <v>0.91037498500000003</v>
      </c>
      <c r="S4487" t="s">
        <v>114</v>
      </c>
      <c r="T4487" t="s">
        <v>1040</v>
      </c>
      <c r="U4487" t="s">
        <v>114</v>
      </c>
    </row>
    <row r="4488" spans="1:21" x14ac:dyDescent="0.25">
      <c r="A4488" t="s">
        <v>60</v>
      </c>
      <c r="B4488" t="s">
        <v>892</v>
      </c>
      <c r="C4488">
        <v>12</v>
      </c>
      <c r="D4488" t="s">
        <v>33</v>
      </c>
      <c r="E4488" t="s">
        <v>95</v>
      </c>
      <c r="F4488" t="s">
        <v>104</v>
      </c>
      <c r="G4488" t="s">
        <v>104</v>
      </c>
      <c r="H4488" t="s">
        <v>797</v>
      </c>
      <c r="J4488">
        <v>0</v>
      </c>
      <c r="K4488">
        <v>1</v>
      </c>
      <c r="L4488">
        <v>113.9375</v>
      </c>
      <c r="M4488">
        <v>33.375507550000002</v>
      </c>
      <c r="N4488">
        <v>2.4262999999999999</v>
      </c>
      <c r="O4488">
        <v>0.40692159999999999</v>
      </c>
      <c r="P4488">
        <v>179.45454549999999</v>
      </c>
      <c r="Q4488">
        <v>26.326869609999999</v>
      </c>
      <c r="R4488">
        <v>2.3456094639999998</v>
      </c>
      <c r="S4488">
        <v>0.18833116</v>
      </c>
      <c r="T4488" t="s">
        <v>1040</v>
      </c>
      <c r="U4488">
        <v>0.21859044</v>
      </c>
    </row>
    <row r="4489" spans="1:21" x14ac:dyDescent="0.25">
      <c r="A4489" t="s">
        <v>60</v>
      </c>
      <c r="B4489" t="s">
        <v>892</v>
      </c>
      <c r="C4489">
        <v>12</v>
      </c>
      <c r="D4489" t="s">
        <v>33</v>
      </c>
      <c r="E4489" t="s">
        <v>95</v>
      </c>
      <c r="F4489" t="s">
        <v>104</v>
      </c>
      <c r="G4489" t="s">
        <v>104</v>
      </c>
      <c r="H4489" t="s">
        <v>247</v>
      </c>
      <c r="J4489">
        <v>0</v>
      </c>
      <c r="K4489">
        <v>1</v>
      </c>
      <c r="L4489">
        <v>113.9375</v>
      </c>
      <c r="M4489">
        <v>33.375507550000002</v>
      </c>
      <c r="N4489">
        <v>2.4262999999999999</v>
      </c>
      <c r="O4489">
        <v>0.40692159999999999</v>
      </c>
      <c r="P4489">
        <v>65.791044779999993</v>
      </c>
      <c r="Q4489">
        <v>22.94519201</v>
      </c>
      <c r="R4489">
        <v>8.1320334999999994E-2</v>
      </c>
      <c r="S4489">
        <v>0.17285655</v>
      </c>
      <c r="T4489" t="s">
        <v>1040</v>
      </c>
      <c r="U4489">
        <v>0.23406505</v>
      </c>
    </row>
    <row r="4490" spans="1:21" x14ac:dyDescent="0.25">
      <c r="A4490" t="s">
        <v>60</v>
      </c>
      <c r="B4490" t="s">
        <v>893</v>
      </c>
      <c r="C4490">
        <v>12</v>
      </c>
      <c r="D4490" t="s">
        <v>33</v>
      </c>
      <c r="E4490" t="s">
        <v>95</v>
      </c>
      <c r="F4490" t="s">
        <v>112</v>
      </c>
      <c r="G4490" t="s">
        <v>121</v>
      </c>
      <c r="H4490" t="s">
        <v>114</v>
      </c>
      <c r="J4490">
        <v>0</v>
      </c>
      <c r="K4490">
        <v>0</v>
      </c>
      <c r="L4490">
        <v>65.09375</v>
      </c>
      <c r="M4490">
        <v>37.895352600000002</v>
      </c>
      <c r="N4490">
        <v>2.2882677779999998</v>
      </c>
      <c r="O4490">
        <v>2.2111774</v>
      </c>
      <c r="P4490" t="s">
        <v>114</v>
      </c>
      <c r="Q4490" t="s">
        <v>114</v>
      </c>
      <c r="R4490" t="s">
        <v>114</v>
      </c>
      <c r="S4490" t="s">
        <v>114</v>
      </c>
      <c r="T4490" t="s">
        <v>1040</v>
      </c>
      <c r="U4490" t="s">
        <v>114</v>
      </c>
    </row>
    <row r="4491" spans="1:21" x14ac:dyDescent="0.25">
      <c r="A4491" t="s">
        <v>61</v>
      </c>
      <c r="B4491" t="s">
        <v>894</v>
      </c>
      <c r="C4491">
        <v>12</v>
      </c>
      <c r="D4491" t="s">
        <v>35</v>
      </c>
      <c r="E4491" t="s">
        <v>94</v>
      </c>
      <c r="F4491" t="s">
        <v>102</v>
      </c>
      <c r="G4491" t="s">
        <v>121</v>
      </c>
      <c r="H4491" t="s">
        <v>162</v>
      </c>
      <c r="J4491">
        <v>1</v>
      </c>
      <c r="K4491">
        <v>1</v>
      </c>
      <c r="L4491">
        <v>84.740740740000007</v>
      </c>
      <c r="M4491">
        <v>29.167014049999999</v>
      </c>
      <c r="N4491">
        <v>1.1169849999999999</v>
      </c>
      <c r="O4491">
        <v>1.1571499000000001</v>
      </c>
      <c r="P4491">
        <v>82.53846154</v>
      </c>
      <c r="Q4491">
        <v>35.660530039999998</v>
      </c>
      <c r="R4491">
        <v>3.3754499999999998</v>
      </c>
      <c r="S4491" t="s">
        <v>114</v>
      </c>
      <c r="T4491" t="s">
        <v>1040</v>
      </c>
      <c r="U4491" t="s">
        <v>114</v>
      </c>
    </row>
    <row r="4492" spans="1:21" x14ac:dyDescent="0.25">
      <c r="A4492" t="s">
        <v>61</v>
      </c>
      <c r="B4492" t="s">
        <v>895</v>
      </c>
      <c r="C4492">
        <v>12</v>
      </c>
      <c r="D4492" t="s">
        <v>35</v>
      </c>
      <c r="E4492" t="s">
        <v>94</v>
      </c>
      <c r="F4492" t="s">
        <v>110</v>
      </c>
      <c r="G4492" t="s">
        <v>121</v>
      </c>
      <c r="H4492" t="s">
        <v>162</v>
      </c>
      <c r="J4492">
        <v>0</v>
      </c>
      <c r="K4492">
        <v>1</v>
      </c>
      <c r="L4492">
        <v>73.260869569999997</v>
      </c>
      <c r="M4492">
        <v>34.453830549999999</v>
      </c>
      <c r="N4492">
        <v>1.058333333</v>
      </c>
      <c r="O4492">
        <v>0.90897070000000002</v>
      </c>
      <c r="P4492">
        <v>82.53846154</v>
      </c>
      <c r="Q4492">
        <v>35.660530039999998</v>
      </c>
      <c r="R4492">
        <v>3.3754499999999998</v>
      </c>
      <c r="S4492" t="s">
        <v>114</v>
      </c>
      <c r="T4492" t="s">
        <v>1040</v>
      </c>
      <c r="U4492" t="s">
        <v>114</v>
      </c>
    </row>
    <row r="4493" spans="1:21" x14ac:dyDescent="0.25">
      <c r="A4493" t="s">
        <v>61</v>
      </c>
      <c r="B4493" t="s">
        <v>895</v>
      </c>
      <c r="C4493">
        <v>12</v>
      </c>
      <c r="D4493" t="s">
        <v>35</v>
      </c>
      <c r="E4493" t="s">
        <v>94</v>
      </c>
      <c r="F4493" t="s">
        <v>110</v>
      </c>
      <c r="G4493" t="s">
        <v>121</v>
      </c>
      <c r="H4493" t="s">
        <v>102</v>
      </c>
      <c r="J4493">
        <v>0</v>
      </c>
      <c r="K4493">
        <v>1</v>
      </c>
      <c r="L4493">
        <v>73.260869569999997</v>
      </c>
      <c r="M4493">
        <v>34.453830549999999</v>
      </c>
      <c r="N4493">
        <v>1.058333333</v>
      </c>
      <c r="O4493">
        <v>0.90897070000000002</v>
      </c>
      <c r="P4493">
        <v>84.740740740000007</v>
      </c>
      <c r="Q4493">
        <v>29.167014049999999</v>
      </c>
      <c r="R4493">
        <v>1.1169849999999999</v>
      </c>
      <c r="S4493">
        <v>1.1571499000000001</v>
      </c>
      <c r="T4493" t="s">
        <v>1040</v>
      </c>
      <c r="U4493">
        <v>-0.24817920000000004</v>
      </c>
    </row>
    <row r="4494" spans="1:21" x14ac:dyDescent="0.25">
      <c r="A4494" t="s">
        <v>61</v>
      </c>
      <c r="B4494" t="s">
        <v>896</v>
      </c>
      <c r="C4494">
        <v>12</v>
      </c>
      <c r="D4494" t="s">
        <v>35</v>
      </c>
      <c r="E4494" t="s">
        <v>94</v>
      </c>
      <c r="F4494" t="s">
        <v>112</v>
      </c>
      <c r="G4494" t="s">
        <v>121</v>
      </c>
      <c r="H4494" t="s">
        <v>162</v>
      </c>
      <c r="J4494">
        <v>0</v>
      </c>
      <c r="K4494">
        <v>1</v>
      </c>
      <c r="L4494">
        <v>65.09375</v>
      </c>
      <c r="M4494">
        <v>37.895352600000002</v>
      </c>
      <c r="N4494">
        <v>2.2882677779999998</v>
      </c>
      <c r="O4494">
        <v>2.2111774</v>
      </c>
      <c r="P4494">
        <v>82.53846154</v>
      </c>
      <c r="Q4494">
        <v>35.660530039999998</v>
      </c>
      <c r="R4494">
        <v>3.3754499999999998</v>
      </c>
      <c r="S4494" t="s">
        <v>114</v>
      </c>
      <c r="T4494" t="s">
        <v>1040</v>
      </c>
      <c r="U4494" t="s">
        <v>114</v>
      </c>
    </row>
    <row r="4495" spans="1:21" x14ac:dyDescent="0.25">
      <c r="A4495" t="s">
        <v>62</v>
      </c>
      <c r="B4495" t="s">
        <v>897</v>
      </c>
      <c r="C4495">
        <v>12</v>
      </c>
      <c r="D4495" t="s">
        <v>37</v>
      </c>
      <c r="E4495" t="s">
        <v>95</v>
      </c>
      <c r="F4495" t="s">
        <v>102</v>
      </c>
      <c r="G4495" t="s">
        <v>121</v>
      </c>
      <c r="H4495" t="s">
        <v>114</v>
      </c>
      <c r="J4495">
        <v>0</v>
      </c>
      <c r="K4495">
        <v>0</v>
      </c>
      <c r="L4495">
        <v>84.740740740000007</v>
      </c>
      <c r="M4495">
        <v>29.167014049999999</v>
      </c>
      <c r="N4495">
        <v>1.1169849999999999</v>
      </c>
      <c r="O4495">
        <v>1.1571499000000001</v>
      </c>
      <c r="P4495" t="s">
        <v>114</v>
      </c>
      <c r="Q4495" t="s">
        <v>114</v>
      </c>
      <c r="R4495" t="s">
        <v>114</v>
      </c>
      <c r="S4495" t="s">
        <v>114</v>
      </c>
      <c r="T4495" t="s">
        <v>1040</v>
      </c>
      <c r="U4495" t="s">
        <v>114</v>
      </c>
    </row>
    <row r="4496" spans="1:21" x14ac:dyDescent="0.25">
      <c r="A4496" t="s">
        <v>62</v>
      </c>
      <c r="B4496" t="s">
        <v>898</v>
      </c>
      <c r="C4496">
        <v>12</v>
      </c>
      <c r="D4496" t="s">
        <v>37</v>
      </c>
      <c r="E4496" t="s">
        <v>95</v>
      </c>
      <c r="F4496" t="s">
        <v>103</v>
      </c>
      <c r="G4496" t="s">
        <v>121</v>
      </c>
      <c r="H4496" t="s">
        <v>233</v>
      </c>
      <c r="J4496">
        <v>0</v>
      </c>
      <c r="K4496">
        <v>1</v>
      </c>
      <c r="L4496">
        <v>98.291666669999998</v>
      </c>
      <c r="M4496">
        <v>30.315130790000001</v>
      </c>
      <c r="N4496">
        <v>5.0803484000000003E-2</v>
      </c>
      <c r="O4496">
        <v>0.42866070000000001</v>
      </c>
      <c r="P4496">
        <v>106.0540541</v>
      </c>
      <c r="Q4496">
        <v>52.690533369999997</v>
      </c>
      <c r="R4496">
        <v>7.6058968000000005E-2</v>
      </c>
      <c r="S4496">
        <v>0.44888888999999998</v>
      </c>
      <c r="T4496" t="s">
        <v>1040</v>
      </c>
      <c r="U4496">
        <v>-2.0228189999999979E-2</v>
      </c>
    </row>
    <row r="4497" spans="1:21" x14ac:dyDescent="0.25">
      <c r="A4497" t="s">
        <v>62</v>
      </c>
      <c r="B4497" t="s">
        <v>898</v>
      </c>
      <c r="C4497">
        <v>12</v>
      </c>
      <c r="D4497" t="s">
        <v>37</v>
      </c>
      <c r="E4497" t="s">
        <v>95</v>
      </c>
      <c r="F4497" t="s">
        <v>103</v>
      </c>
      <c r="G4497" t="s">
        <v>121</v>
      </c>
      <c r="H4497" t="s">
        <v>234</v>
      </c>
      <c r="J4497">
        <v>0</v>
      </c>
      <c r="K4497">
        <v>1</v>
      </c>
      <c r="L4497">
        <v>98.291666669999998</v>
      </c>
      <c r="M4497">
        <v>30.315130790000001</v>
      </c>
      <c r="N4497">
        <v>5.0803484000000003E-2</v>
      </c>
      <c r="O4497">
        <v>0.42866070000000001</v>
      </c>
      <c r="P4497">
        <v>89.8125</v>
      </c>
      <c r="Q4497">
        <v>34.754706650000003</v>
      </c>
      <c r="R4497">
        <v>2.3065078999999999E-2</v>
      </c>
      <c r="S4497">
        <v>2.4791666700000001</v>
      </c>
      <c r="T4497" t="s">
        <v>1040</v>
      </c>
      <c r="U4497">
        <v>-2.0505059700000001</v>
      </c>
    </row>
    <row r="4498" spans="1:21" x14ac:dyDescent="0.25">
      <c r="A4498" t="s">
        <v>62</v>
      </c>
      <c r="B4498" t="s">
        <v>898</v>
      </c>
      <c r="C4498">
        <v>12</v>
      </c>
      <c r="D4498" t="s">
        <v>37</v>
      </c>
      <c r="E4498" t="s">
        <v>95</v>
      </c>
      <c r="F4498" t="s">
        <v>103</v>
      </c>
      <c r="G4498" t="s">
        <v>121</v>
      </c>
      <c r="H4498" t="s">
        <v>241</v>
      </c>
      <c r="J4498">
        <v>0</v>
      </c>
      <c r="K4498">
        <v>1</v>
      </c>
      <c r="L4498">
        <v>98.291666669999998</v>
      </c>
      <c r="M4498">
        <v>30.315130790000001</v>
      </c>
      <c r="N4498">
        <v>5.0803484000000003E-2</v>
      </c>
      <c r="O4498">
        <v>0.42866070000000001</v>
      </c>
      <c r="P4498">
        <v>114</v>
      </c>
      <c r="Q4498">
        <v>30.43077242</v>
      </c>
      <c r="R4498">
        <v>0.53383111100000002</v>
      </c>
      <c r="S4498">
        <v>0.28333332999999999</v>
      </c>
      <c r="T4498" t="s">
        <v>1040</v>
      </c>
      <c r="U4498">
        <v>0.14532737000000001</v>
      </c>
    </row>
    <row r="4499" spans="1:21" x14ac:dyDescent="0.25">
      <c r="A4499" t="s">
        <v>63</v>
      </c>
      <c r="B4499" t="s">
        <v>899</v>
      </c>
      <c r="C4499">
        <v>12</v>
      </c>
      <c r="D4499" t="s">
        <v>64</v>
      </c>
      <c r="E4499" t="s">
        <v>94</v>
      </c>
      <c r="F4499" t="s">
        <v>104</v>
      </c>
      <c r="G4499" t="s">
        <v>121</v>
      </c>
      <c r="H4499" t="s">
        <v>238</v>
      </c>
      <c r="J4499">
        <v>0</v>
      </c>
      <c r="K4499">
        <v>2</v>
      </c>
      <c r="L4499">
        <v>113.9375</v>
      </c>
      <c r="M4499">
        <v>33.375507550000002</v>
      </c>
      <c r="N4499">
        <v>2.4262999999999999</v>
      </c>
      <c r="O4499">
        <v>0.40692159999999999</v>
      </c>
      <c r="P4499">
        <v>87.5</v>
      </c>
      <c r="Q4499">
        <v>29.478311600000001</v>
      </c>
      <c r="R4499">
        <v>3.0797751000000002E-2</v>
      </c>
      <c r="S4499">
        <v>0.12931835</v>
      </c>
      <c r="T4499" t="s">
        <v>1040</v>
      </c>
      <c r="U4499">
        <v>0.27760324999999997</v>
      </c>
    </row>
    <row r="4500" spans="1:21" x14ac:dyDescent="0.25">
      <c r="A4500" t="s">
        <v>63</v>
      </c>
      <c r="B4500" t="s">
        <v>899</v>
      </c>
      <c r="C4500">
        <v>12</v>
      </c>
      <c r="D4500" t="s">
        <v>64</v>
      </c>
      <c r="E4500" t="s">
        <v>94</v>
      </c>
      <c r="F4500" t="s">
        <v>104</v>
      </c>
      <c r="G4500" t="s">
        <v>121</v>
      </c>
      <c r="H4500" t="s">
        <v>238</v>
      </c>
      <c r="J4500">
        <v>0</v>
      </c>
      <c r="K4500">
        <v>2</v>
      </c>
      <c r="L4500">
        <v>113.9375</v>
      </c>
      <c r="M4500">
        <v>33.375507550000002</v>
      </c>
      <c r="N4500">
        <v>2.4262999999999999</v>
      </c>
      <c r="O4500">
        <v>0.40692159999999999</v>
      </c>
      <c r="P4500">
        <v>87.5</v>
      </c>
      <c r="Q4500">
        <v>29.478311600000001</v>
      </c>
      <c r="R4500">
        <v>3.0797751000000002E-2</v>
      </c>
      <c r="S4500">
        <v>0.12931835</v>
      </c>
      <c r="T4500" t="s">
        <v>1040</v>
      </c>
      <c r="U4500">
        <v>0.27760324999999997</v>
      </c>
    </row>
    <row r="4501" spans="1:21" x14ac:dyDescent="0.25">
      <c r="A4501" t="s">
        <v>63</v>
      </c>
      <c r="B4501" t="s">
        <v>899</v>
      </c>
      <c r="C4501">
        <v>12</v>
      </c>
      <c r="D4501" t="s">
        <v>64</v>
      </c>
      <c r="E4501" t="s">
        <v>94</v>
      </c>
      <c r="F4501" t="s">
        <v>104</v>
      </c>
      <c r="G4501" t="s">
        <v>121</v>
      </c>
      <c r="H4501" t="s">
        <v>103</v>
      </c>
      <c r="J4501">
        <v>0</v>
      </c>
      <c r="K4501">
        <v>1</v>
      </c>
      <c r="L4501">
        <v>113.9375</v>
      </c>
      <c r="M4501">
        <v>33.375507550000002</v>
      </c>
      <c r="N4501">
        <v>2.4262999999999999</v>
      </c>
      <c r="O4501">
        <v>0.40692159999999999</v>
      </c>
      <c r="P4501">
        <v>98.291666669999998</v>
      </c>
      <c r="Q4501">
        <v>30.315130790000001</v>
      </c>
      <c r="R4501">
        <v>5.0803484000000003E-2</v>
      </c>
      <c r="S4501">
        <v>0.42866070000000001</v>
      </c>
      <c r="T4501" t="s">
        <v>1040</v>
      </c>
      <c r="U4501">
        <v>-2.1739100000000011E-2</v>
      </c>
    </row>
    <row r="4502" spans="1:21" x14ac:dyDescent="0.25">
      <c r="A4502" t="s">
        <v>63</v>
      </c>
      <c r="B4502" t="s">
        <v>899</v>
      </c>
      <c r="C4502">
        <v>12</v>
      </c>
      <c r="D4502" t="s">
        <v>64</v>
      </c>
      <c r="E4502" t="s">
        <v>94</v>
      </c>
      <c r="F4502" t="s">
        <v>104</v>
      </c>
      <c r="G4502" t="s">
        <v>121</v>
      </c>
      <c r="H4502" t="s">
        <v>248</v>
      </c>
      <c r="J4502">
        <v>0</v>
      </c>
      <c r="K4502">
        <v>2</v>
      </c>
      <c r="L4502">
        <v>113.9375</v>
      </c>
      <c r="M4502">
        <v>33.375507550000002</v>
      </c>
      <c r="N4502">
        <v>2.4262999999999999</v>
      </c>
      <c r="O4502">
        <v>0.40692159999999999</v>
      </c>
      <c r="P4502">
        <v>83.92307692</v>
      </c>
      <c r="Q4502">
        <v>44.319135699999997</v>
      </c>
      <c r="R4502">
        <v>5.9548609999999997E-3</v>
      </c>
      <c r="S4502">
        <v>0.18017928</v>
      </c>
      <c r="T4502" t="s">
        <v>1040</v>
      </c>
      <c r="U4502">
        <v>0.22674232</v>
      </c>
    </row>
    <row r="4503" spans="1:21" x14ac:dyDescent="0.25">
      <c r="A4503" t="s">
        <v>63</v>
      </c>
      <c r="B4503" t="s">
        <v>899</v>
      </c>
      <c r="C4503">
        <v>12</v>
      </c>
      <c r="D4503" t="s">
        <v>64</v>
      </c>
      <c r="E4503" t="s">
        <v>94</v>
      </c>
      <c r="F4503" t="s">
        <v>104</v>
      </c>
      <c r="G4503" t="s">
        <v>121</v>
      </c>
      <c r="H4503" t="s">
        <v>248</v>
      </c>
      <c r="J4503">
        <v>0</v>
      </c>
      <c r="K4503">
        <v>2</v>
      </c>
      <c r="L4503">
        <v>113.9375</v>
      </c>
      <c r="M4503">
        <v>33.375507550000002</v>
      </c>
      <c r="N4503">
        <v>2.4262999999999999</v>
      </c>
      <c r="O4503">
        <v>0.40692159999999999</v>
      </c>
      <c r="P4503">
        <v>83.92307692</v>
      </c>
      <c r="Q4503">
        <v>44.319135699999997</v>
      </c>
      <c r="R4503">
        <v>5.9548609999999997E-3</v>
      </c>
      <c r="S4503">
        <v>0.18017928</v>
      </c>
      <c r="T4503" t="s">
        <v>1040</v>
      </c>
      <c r="U4503">
        <v>0.22674232</v>
      </c>
    </row>
    <row r="4504" spans="1:21" x14ac:dyDescent="0.25">
      <c r="A4504" t="s">
        <v>65</v>
      </c>
      <c r="B4504" t="s">
        <v>900</v>
      </c>
      <c r="C4504">
        <v>12</v>
      </c>
      <c r="D4504" t="s">
        <v>66</v>
      </c>
      <c r="E4504" t="s">
        <v>95</v>
      </c>
      <c r="F4504" t="s">
        <v>105</v>
      </c>
      <c r="G4504" t="s">
        <v>121</v>
      </c>
      <c r="H4504" t="s">
        <v>111</v>
      </c>
      <c r="J4504">
        <v>0</v>
      </c>
      <c r="K4504">
        <v>1</v>
      </c>
      <c r="L4504">
        <v>67.5</v>
      </c>
      <c r="M4504">
        <v>47.937235809999997</v>
      </c>
      <c r="N4504">
        <v>0.41599678000000001</v>
      </c>
      <c r="O4504">
        <v>2.0950346999999998</v>
      </c>
      <c r="P4504">
        <v>94.97142857</v>
      </c>
      <c r="Q4504">
        <v>24.31591813</v>
      </c>
      <c r="R4504">
        <v>0.122951111</v>
      </c>
      <c r="S4504">
        <v>0.39050790000000002</v>
      </c>
      <c r="T4504" t="s">
        <v>1040</v>
      </c>
      <c r="U4504">
        <v>1.7045267999999998</v>
      </c>
    </row>
    <row r="4505" spans="1:21" x14ac:dyDescent="0.25">
      <c r="A4505" t="s">
        <v>65</v>
      </c>
      <c r="B4505" t="s">
        <v>900</v>
      </c>
      <c r="C4505">
        <v>12</v>
      </c>
      <c r="D4505" t="s">
        <v>66</v>
      </c>
      <c r="E4505" t="s">
        <v>95</v>
      </c>
      <c r="F4505" t="s">
        <v>105</v>
      </c>
      <c r="G4505" t="s">
        <v>121</v>
      </c>
      <c r="H4505" t="s">
        <v>808</v>
      </c>
      <c r="J4505">
        <v>0</v>
      </c>
      <c r="K4505">
        <v>1</v>
      </c>
      <c r="L4505">
        <v>67.5</v>
      </c>
      <c r="M4505">
        <v>47.937235809999997</v>
      </c>
      <c r="N4505">
        <v>0.41599678000000001</v>
      </c>
      <c r="O4505">
        <v>2.0950346999999998</v>
      </c>
      <c r="P4505">
        <v>102.79166669999999</v>
      </c>
      <c r="Q4505">
        <v>27.057373470000002</v>
      </c>
      <c r="R4505">
        <v>6.3567849939999999</v>
      </c>
      <c r="S4505" t="s">
        <v>114</v>
      </c>
      <c r="T4505" t="s">
        <v>1040</v>
      </c>
      <c r="U4505" t="s">
        <v>114</v>
      </c>
    </row>
    <row r="4506" spans="1:21" x14ac:dyDescent="0.25">
      <c r="A4506" t="s">
        <v>65</v>
      </c>
      <c r="B4506" t="s">
        <v>900</v>
      </c>
      <c r="C4506">
        <v>12</v>
      </c>
      <c r="D4506" t="s">
        <v>66</v>
      </c>
      <c r="E4506" t="s">
        <v>95</v>
      </c>
      <c r="F4506" t="s">
        <v>105</v>
      </c>
      <c r="G4506" t="s">
        <v>121</v>
      </c>
      <c r="H4506" t="s">
        <v>247</v>
      </c>
      <c r="J4506">
        <v>0</v>
      </c>
      <c r="K4506">
        <v>1</v>
      </c>
      <c r="L4506">
        <v>67.5</v>
      </c>
      <c r="M4506">
        <v>47.937235809999997</v>
      </c>
      <c r="N4506">
        <v>0.41599678000000001</v>
      </c>
      <c r="O4506">
        <v>2.0950346999999998</v>
      </c>
      <c r="P4506">
        <v>65.791044779999993</v>
      </c>
      <c r="Q4506">
        <v>22.94519201</v>
      </c>
      <c r="R4506">
        <v>8.1320334999999994E-2</v>
      </c>
      <c r="S4506">
        <v>0.17285655</v>
      </c>
      <c r="T4506" t="s">
        <v>1040</v>
      </c>
      <c r="U4506">
        <v>1.9221781499999997</v>
      </c>
    </row>
    <row r="4507" spans="1:21" x14ac:dyDescent="0.25">
      <c r="A4507" t="s">
        <v>65</v>
      </c>
      <c r="B4507" t="s">
        <v>900</v>
      </c>
      <c r="C4507">
        <v>12</v>
      </c>
      <c r="D4507" t="s">
        <v>66</v>
      </c>
      <c r="E4507" t="s">
        <v>95</v>
      </c>
      <c r="F4507" t="s">
        <v>105</v>
      </c>
      <c r="G4507" t="s">
        <v>121</v>
      </c>
      <c r="H4507" t="s">
        <v>248</v>
      </c>
      <c r="J4507">
        <v>0</v>
      </c>
      <c r="K4507">
        <v>2</v>
      </c>
      <c r="L4507">
        <v>67.5</v>
      </c>
      <c r="M4507">
        <v>47.937235809999997</v>
      </c>
      <c r="N4507">
        <v>0.41599678000000001</v>
      </c>
      <c r="O4507">
        <v>2.0950346999999998</v>
      </c>
      <c r="P4507">
        <v>83.92307692</v>
      </c>
      <c r="Q4507">
        <v>44.319135699999997</v>
      </c>
      <c r="R4507">
        <v>5.9548609999999997E-3</v>
      </c>
      <c r="S4507">
        <v>0.18017928</v>
      </c>
      <c r="T4507" t="s">
        <v>1040</v>
      </c>
      <c r="U4507">
        <v>1.9148554199999999</v>
      </c>
    </row>
    <row r="4508" spans="1:21" x14ac:dyDescent="0.25">
      <c r="A4508" t="s">
        <v>65</v>
      </c>
      <c r="B4508" t="s">
        <v>900</v>
      </c>
      <c r="C4508">
        <v>12</v>
      </c>
      <c r="D4508" t="s">
        <v>66</v>
      </c>
      <c r="E4508" t="s">
        <v>95</v>
      </c>
      <c r="F4508" t="s">
        <v>105</v>
      </c>
      <c r="G4508" t="s">
        <v>121</v>
      </c>
      <c r="H4508" t="s">
        <v>248</v>
      </c>
      <c r="J4508">
        <v>0</v>
      </c>
      <c r="K4508">
        <v>2</v>
      </c>
      <c r="L4508">
        <v>67.5</v>
      </c>
      <c r="M4508">
        <v>47.937235809999997</v>
      </c>
      <c r="N4508">
        <v>0.41599678000000001</v>
      </c>
      <c r="O4508">
        <v>2.0950346999999998</v>
      </c>
      <c r="P4508">
        <v>83.92307692</v>
      </c>
      <c r="Q4508">
        <v>44.319135699999997</v>
      </c>
      <c r="R4508">
        <v>5.9548609999999997E-3</v>
      </c>
      <c r="S4508">
        <v>0.18017928</v>
      </c>
      <c r="T4508" t="s">
        <v>1040</v>
      </c>
      <c r="U4508">
        <v>1.9148554199999999</v>
      </c>
    </row>
    <row r="4509" spans="1:21" x14ac:dyDescent="0.25">
      <c r="A4509" t="s">
        <v>10</v>
      </c>
      <c r="B4509" t="s">
        <v>901</v>
      </c>
      <c r="C4509">
        <v>15</v>
      </c>
      <c r="D4509" t="s">
        <v>11</v>
      </c>
      <c r="E4509" t="s">
        <v>94</v>
      </c>
      <c r="F4509" t="s">
        <v>102</v>
      </c>
      <c r="G4509" t="s">
        <v>102</v>
      </c>
      <c r="H4509" t="s">
        <v>102</v>
      </c>
      <c r="J4509">
        <v>0</v>
      </c>
      <c r="K4509">
        <v>1</v>
      </c>
      <c r="L4509">
        <v>84.740740740000007</v>
      </c>
      <c r="M4509">
        <v>29.167014049999999</v>
      </c>
      <c r="N4509">
        <v>1.1169849999999999</v>
      </c>
      <c r="O4509">
        <v>1.1571499000000001</v>
      </c>
      <c r="P4509">
        <v>84.740740740000007</v>
      </c>
      <c r="Q4509">
        <v>29.167014049999999</v>
      </c>
      <c r="R4509">
        <v>1.1169849999999999</v>
      </c>
      <c r="S4509">
        <v>1.1571499000000001</v>
      </c>
      <c r="T4509" t="s">
        <v>1040</v>
      </c>
      <c r="U4509">
        <v>0</v>
      </c>
    </row>
    <row r="4510" spans="1:21" x14ac:dyDescent="0.25">
      <c r="A4510" t="s">
        <v>10</v>
      </c>
      <c r="B4510" t="s">
        <v>901</v>
      </c>
      <c r="C4510">
        <v>16</v>
      </c>
      <c r="D4510" t="s">
        <v>11</v>
      </c>
      <c r="E4510" t="s">
        <v>94</v>
      </c>
      <c r="F4510" t="s">
        <v>102</v>
      </c>
      <c r="G4510" t="s">
        <v>102</v>
      </c>
      <c r="H4510" t="s">
        <v>111</v>
      </c>
      <c r="J4510">
        <v>0</v>
      </c>
      <c r="K4510">
        <v>1</v>
      </c>
      <c r="L4510">
        <v>84.740740740000007</v>
      </c>
      <c r="M4510">
        <v>29.167014049999999</v>
      </c>
      <c r="N4510">
        <v>1.1169849999999999</v>
      </c>
      <c r="O4510">
        <v>1.1571499000000001</v>
      </c>
      <c r="P4510">
        <v>94.97142857</v>
      </c>
      <c r="Q4510">
        <v>24.31591813</v>
      </c>
      <c r="R4510">
        <v>0.122951111</v>
      </c>
      <c r="S4510">
        <v>0.39050790000000002</v>
      </c>
      <c r="T4510" t="s">
        <v>1040</v>
      </c>
      <c r="U4510">
        <v>0.76664200000000005</v>
      </c>
    </row>
    <row r="4511" spans="1:21" x14ac:dyDescent="0.25">
      <c r="A4511" t="s">
        <v>10</v>
      </c>
      <c r="B4511" t="s">
        <v>902</v>
      </c>
      <c r="C4511">
        <v>15</v>
      </c>
      <c r="D4511" t="s">
        <v>11</v>
      </c>
      <c r="E4511" t="s">
        <v>94</v>
      </c>
      <c r="F4511" t="s">
        <v>105</v>
      </c>
      <c r="G4511" t="s">
        <v>121</v>
      </c>
      <c r="H4511" t="s">
        <v>244</v>
      </c>
      <c r="J4511">
        <v>0</v>
      </c>
      <c r="K4511">
        <v>2</v>
      </c>
      <c r="L4511">
        <v>67.5</v>
      </c>
      <c r="M4511">
        <v>47.937235809999997</v>
      </c>
      <c r="N4511">
        <v>0.41599678000000001</v>
      </c>
      <c r="O4511">
        <v>2.0950346999999998</v>
      </c>
      <c r="P4511">
        <v>75</v>
      </c>
      <c r="Q4511">
        <v>28.80614499</v>
      </c>
      <c r="R4511">
        <v>2.3860428570000001</v>
      </c>
      <c r="S4511">
        <v>0.26400832000000002</v>
      </c>
      <c r="T4511" t="s">
        <v>1040</v>
      </c>
      <c r="U4511">
        <v>1.8310263799999997</v>
      </c>
    </row>
    <row r="4512" spans="1:21" x14ac:dyDescent="0.25">
      <c r="A4512" t="s">
        <v>10</v>
      </c>
      <c r="B4512" t="s">
        <v>902</v>
      </c>
      <c r="C4512">
        <v>15</v>
      </c>
      <c r="D4512" t="s">
        <v>11</v>
      </c>
      <c r="E4512" t="s">
        <v>94</v>
      </c>
      <c r="F4512" t="s">
        <v>105</v>
      </c>
      <c r="G4512" t="s">
        <v>121</v>
      </c>
      <c r="H4512" t="s">
        <v>244</v>
      </c>
      <c r="J4512">
        <v>0</v>
      </c>
      <c r="K4512">
        <v>2</v>
      </c>
      <c r="L4512">
        <v>67.5</v>
      </c>
      <c r="M4512">
        <v>47.937235809999997</v>
      </c>
      <c r="N4512">
        <v>0.41599678000000001</v>
      </c>
      <c r="O4512">
        <v>2.0950346999999998</v>
      </c>
      <c r="P4512">
        <v>75</v>
      </c>
      <c r="Q4512">
        <v>28.80614499</v>
      </c>
      <c r="R4512">
        <v>2.3860428570000001</v>
      </c>
      <c r="S4512">
        <v>0.26400832000000002</v>
      </c>
      <c r="T4512" t="s">
        <v>1040</v>
      </c>
      <c r="U4512">
        <v>1.8310263799999997</v>
      </c>
    </row>
    <row r="4513" spans="1:21" x14ac:dyDescent="0.25">
      <c r="A4513" t="s">
        <v>10</v>
      </c>
      <c r="B4513" t="s">
        <v>902</v>
      </c>
      <c r="C4513">
        <v>16</v>
      </c>
      <c r="D4513" t="s">
        <v>11</v>
      </c>
      <c r="E4513" t="s">
        <v>94</v>
      </c>
      <c r="F4513" t="s">
        <v>105</v>
      </c>
      <c r="G4513" t="s">
        <v>121</v>
      </c>
      <c r="H4513" t="s">
        <v>104</v>
      </c>
      <c r="J4513">
        <v>0</v>
      </c>
      <c r="K4513">
        <v>1</v>
      </c>
      <c r="L4513">
        <v>67.5</v>
      </c>
      <c r="M4513">
        <v>47.937235809999997</v>
      </c>
      <c r="N4513">
        <v>0.41599678000000001</v>
      </c>
      <c r="O4513">
        <v>2.0950346999999998</v>
      </c>
      <c r="P4513">
        <v>113.9375</v>
      </c>
      <c r="Q4513">
        <v>33.375507550000002</v>
      </c>
      <c r="R4513">
        <v>2.4262999999999999</v>
      </c>
      <c r="S4513">
        <v>0.40692159999999999</v>
      </c>
      <c r="T4513" t="s">
        <v>1040</v>
      </c>
      <c r="U4513">
        <v>1.6881130999999998</v>
      </c>
    </row>
    <row r="4514" spans="1:21" x14ac:dyDescent="0.25">
      <c r="A4514" t="s">
        <v>10</v>
      </c>
      <c r="B4514" t="s">
        <v>903</v>
      </c>
      <c r="C4514">
        <v>15</v>
      </c>
      <c r="D4514" t="s">
        <v>11</v>
      </c>
      <c r="E4514" t="s">
        <v>94</v>
      </c>
      <c r="F4514" t="s">
        <v>103</v>
      </c>
      <c r="G4514" t="s">
        <v>121</v>
      </c>
      <c r="H4514" t="s">
        <v>245</v>
      </c>
      <c r="J4514">
        <v>0</v>
      </c>
      <c r="K4514">
        <v>1</v>
      </c>
      <c r="L4514">
        <v>98.291666669999998</v>
      </c>
      <c r="M4514">
        <v>30.315130790000001</v>
      </c>
      <c r="N4514">
        <v>5.0803484000000003E-2</v>
      </c>
      <c r="O4514">
        <v>0.42866070000000001</v>
      </c>
      <c r="P4514" t="s">
        <v>114</v>
      </c>
      <c r="Q4514" t="s">
        <v>114</v>
      </c>
      <c r="R4514" t="s">
        <v>114</v>
      </c>
      <c r="S4514" t="s">
        <v>114</v>
      </c>
      <c r="T4514" t="s">
        <v>1040</v>
      </c>
      <c r="U4514" t="s">
        <v>114</v>
      </c>
    </row>
    <row r="4515" spans="1:21" x14ac:dyDescent="0.25">
      <c r="A4515" t="s">
        <v>10</v>
      </c>
      <c r="B4515" t="s">
        <v>904</v>
      </c>
      <c r="C4515">
        <v>15</v>
      </c>
      <c r="D4515" t="s">
        <v>11</v>
      </c>
      <c r="E4515" t="s">
        <v>94</v>
      </c>
      <c r="F4515" t="s">
        <v>104</v>
      </c>
      <c r="G4515" t="s">
        <v>121</v>
      </c>
      <c r="H4515" t="s">
        <v>242</v>
      </c>
      <c r="J4515">
        <v>0</v>
      </c>
      <c r="K4515">
        <v>6</v>
      </c>
      <c r="L4515">
        <v>113.9375</v>
      </c>
      <c r="M4515">
        <v>33.375507550000002</v>
      </c>
      <c r="N4515">
        <v>2.4262999999999999</v>
      </c>
      <c r="O4515">
        <v>0.40692159999999999</v>
      </c>
      <c r="P4515">
        <v>139.375</v>
      </c>
      <c r="Q4515">
        <v>23.713465920000001</v>
      </c>
      <c r="R4515" t="s">
        <v>114</v>
      </c>
      <c r="S4515" t="s">
        <v>114</v>
      </c>
      <c r="T4515" t="s">
        <v>1040</v>
      </c>
      <c r="U4515" t="s">
        <v>114</v>
      </c>
    </row>
    <row r="4516" spans="1:21" x14ac:dyDescent="0.25">
      <c r="A4516" t="s">
        <v>10</v>
      </c>
      <c r="B4516" t="s">
        <v>904</v>
      </c>
      <c r="C4516">
        <v>15</v>
      </c>
      <c r="D4516" t="s">
        <v>11</v>
      </c>
      <c r="E4516" t="s">
        <v>94</v>
      </c>
      <c r="F4516" t="s">
        <v>104</v>
      </c>
      <c r="G4516" t="s">
        <v>121</v>
      </c>
      <c r="H4516" t="s">
        <v>242</v>
      </c>
      <c r="J4516">
        <v>0</v>
      </c>
      <c r="K4516">
        <v>6</v>
      </c>
      <c r="L4516">
        <v>113.9375</v>
      </c>
      <c r="M4516">
        <v>33.375507550000002</v>
      </c>
      <c r="N4516">
        <v>2.4262999999999999</v>
      </c>
      <c r="O4516">
        <v>0.40692159999999999</v>
      </c>
      <c r="P4516">
        <v>139.375</v>
      </c>
      <c r="Q4516">
        <v>23.713465920000001</v>
      </c>
      <c r="R4516" t="s">
        <v>114</v>
      </c>
      <c r="S4516" t="s">
        <v>114</v>
      </c>
      <c r="T4516" t="s">
        <v>1040</v>
      </c>
      <c r="U4516" t="s">
        <v>114</v>
      </c>
    </row>
    <row r="4517" spans="1:21" x14ac:dyDescent="0.25">
      <c r="A4517" t="s">
        <v>10</v>
      </c>
      <c r="B4517" t="s">
        <v>904</v>
      </c>
      <c r="C4517">
        <v>15</v>
      </c>
      <c r="D4517" t="s">
        <v>11</v>
      </c>
      <c r="E4517" t="s">
        <v>94</v>
      </c>
      <c r="F4517" t="s">
        <v>104</v>
      </c>
      <c r="G4517" t="s">
        <v>121</v>
      </c>
      <c r="H4517" t="s">
        <v>242</v>
      </c>
      <c r="J4517">
        <v>0</v>
      </c>
      <c r="K4517">
        <v>6</v>
      </c>
      <c r="L4517">
        <v>113.9375</v>
      </c>
      <c r="M4517">
        <v>33.375507550000002</v>
      </c>
      <c r="N4517">
        <v>2.4262999999999999</v>
      </c>
      <c r="O4517">
        <v>0.40692159999999999</v>
      </c>
      <c r="P4517">
        <v>139.375</v>
      </c>
      <c r="Q4517">
        <v>23.713465920000001</v>
      </c>
      <c r="R4517" t="s">
        <v>114</v>
      </c>
      <c r="S4517" t="s">
        <v>114</v>
      </c>
      <c r="T4517" t="s">
        <v>1040</v>
      </c>
      <c r="U4517" t="s">
        <v>114</v>
      </c>
    </row>
    <row r="4518" spans="1:21" x14ac:dyDescent="0.25">
      <c r="A4518" t="s">
        <v>10</v>
      </c>
      <c r="B4518" t="s">
        <v>904</v>
      </c>
      <c r="C4518">
        <v>15</v>
      </c>
      <c r="D4518" t="s">
        <v>11</v>
      </c>
      <c r="E4518" t="s">
        <v>94</v>
      </c>
      <c r="F4518" t="s">
        <v>104</v>
      </c>
      <c r="G4518" t="s">
        <v>121</v>
      </c>
      <c r="H4518" t="s">
        <v>242</v>
      </c>
      <c r="J4518">
        <v>0</v>
      </c>
      <c r="K4518">
        <v>6</v>
      </c>
      <c r="L4518">
        <v>113.9375</v>
      </c>
      <c r="M4518">
        <v>33.375507550000002</v>
      </c>
      <c r="N4518">
        <v>2.4262999999999999</v>
      </c>
      <c r="O4518">
        <v>0.40692159999999999</v>
      </c>
      <c r="P4518">
        <v>139.375</v>
      </c>
      <c r="Q4518">
        <v>23.713465920000001</v>
      </c>
      <c r="R4518" t="s">
        <v>114</v>
      </c>
      <c r="S4518" t="s">
        <v>114</v>
      </c>
      <c r="T4518" t="s">
        <v>1040</v>
      </c>
      <c r="U4518" t="s">
        <v>114</v>
      </c>
    </row>
    <row r="4519" spans="1:21" x14ac:dyDescent="0.25">
      <c r="A4519" t="s">
        <v>10</v>
      </c>
      <c r="B4519" t="s">
        <v>904</v>
      </c>
      <c r="C4519">
        <v>15</v>
      </c>
      <c r="D4519" t="s">
        <v>11</v>
      </c>
      <c r="E4519" t="s">
        <v>94</v>
      </c>
      <c r="F4519" t="s">
        <v>104</v>
      </c>
      <c r="G4519" t="s">
        <v>121</v>
      </c>
      <c r="H4519" t="s">
        <v>242</v>
      </c>
      <c r="J4519">
        <v>0</v>
      </c>
      <c r="K4519">
        <v>6</v>
      </c>
      <c r="L4519">
        <v>113.9375</v>
      </c>
      <c r="M4519">
        <v>33.375507550000002</v>
      </c>
      <c r="N4519">
        <v>2.4262999999999999</v>
      </c>
      <c r="O4519">
        <v>0.40692159999999999</v>
      </c>
      <c r="P4519">
        <v>139.375</v>
      </c>
      <c r="Q4519">
        <v>23.713465920000001</v>
      </c>
      <c r="R4519" t="s">
        <v>114</v>
      </c>
      <c r="S4519" t="s">
        <v>114</v>
      </c>
      <c r="T4519" t="s">
        <v>1040</v>
      </c>
      <c r="U4519" t="s">
        <v>114</v>
      </c>
    </row>
    <row r="4520" spans="1:21" x14ac:dyDescent="0.25">
      <c r="A4520" t="s">
        <v>10</v>
      </c>
      <c r="B4520" t="s">
        <v>904</v>
      </c>
      <c r="C4520">
        <v>15</v>
      </c>
      <c r="D4520" t="s">
        <v>11</v>
      </c>
      <c r="E4520" t="s">
        <v>94</v>
      </c>
      <c r="F4520" t="s">
        <v>104</v>
      </c>
      <c r="G4520" t="s">
        <v>121</v>
      </c>
      <c r="H4520" t="s">
        <v>242</v>
      </c>
      <c r="J4520">
        <v>0</v>
      </c>
      <c r="K4520">
        <v>6</v>
      </c>
      <c r="L4520">
        <v>113.9375</v>
      </c>
      <c r="M4520">
        <v>33.375507550000002</v>
      </c>
      <c r="N4520">
        <v>2.4262999999999999</v>
      </c>
      <c r="O4520">
        <v>0.40692159999999999</v>
      </c>
      <c r="P4520">
        <v>139.375</v>
      </c>
      <c r="Q4520">
        <v>23.713465920000001</v>
      </c>
      <c r="R4520" t="s">
        <v>114</v>
      </c>
      <c r="S4520" t="s">
        <v>114</v>
      </c>
      <c r="T4520" t="s">
        <v>1040</v>
      </c>
      <c r="U4520" t="s">
        <v>114</v>
      </c>
    </row>
    <row r="4521" spans="1:21" x14ac:dyDescent="0.25">
      <c r="A4521" t="s">
        <v>14</v>
      </c>
      <c r="B4521" t="s">
        <v>905</v>
      </c>
      <c r="C4521">
        <v>15</v>
      </c>
      <c r="D4521" t="s">
        <v>15</v>
      </c>
      <c r="E4521" t="s">
        <v>94</v>
      </c>
      <c r="F4521" t="s">
        <v>102</v>
      </c>
      <c r="G4521" t="s">
        <v>121</v>
      </c>
      <c r="H4521" t="s">
        <v>114</v>
      </c>
      <c r="J4521">
        <v>0</v>
      </c>
      <c r="K4521" t="s">
        <v>114</v>
      </c>
      <c r="L4521">
        <v>84.740740740000007</v>
      </c>
      <c r="M4521">
        <v>29.167014049999999</v>
      </c>
      <c r="N4521">
        <v>1.1169849999999999</v>
      </c>
      <c r="O4521">
        <v>1.1571499000000001</v>
      </c>
      <c r="P4521" t="s">
        <v>114</v>
      </c>
      <c r="Q4521" t="s">
        <v>114</v>
      </c>
      <c r="R4521" t="s">
        <v>114</v>
      </c>
      <c r="S4521" t="s">
        <v>114</v>
      </c>
      <c r="T4521" t="s">
        <v>1040</v>
      </c>
      <c r="U4521" t="s">
        <v>114</v>
      </c>
    </row>
    <row r="4522" spans="1:21" x14ac:dyDescent="0.25">
      <c r="A4522" t="s">
        <v>14</v>
      </c>
      <c r="B4522" t="s">
        <v>906</v>
      </c>
      <c r="C4522">
        <v>15</v>
      </c>
      <c r="D4522" t="s">
        <v>15</v>
      </c>
      <c r="E4522" t="s">
        <v>94</v>
      </c>
      <c r="F4522" t="s">
        <v>110</v>
      </c>
      <c r="G4522" t="s">
        <v>121</v>
      </c>
      <c r="H4522" t="s">
        <v>114</v>
      </c>
      <c r="J4522">
        <v>0</v>
      </c>
      <c r="K4522" t="s">
        <v>114</v>
      </c>
      <c r="L4522">
        <v>73.260869569999997</v>
      </c>
      <c r="M4522">
        <v>34.453830549999999</v>
      </c>
      <c r="N4522">
        <v>1.058333333</v>
      </c>
      <c r="O4522">
        <v>0.90897070000000002</v>
      </c>
      <c r="P4522" t="s">
        <v>114</v>
      </c>
      <c r="Q4522" t="s">
        <v>114</v>
      </c>
      <c r="R4522" t="s">
        <v>114</v>
      </c>
      <c r="S4522" t="s">
        <v>114</v>
      </c>
      <c r="T4522" t="s">
        <v>1040</v>
      </c>
      <c r="U4522" t="s">
        <v>114</v>
      </c>
    </row>
    <row r="4523" spans="1:21" x14ac:dyDescent="0.25">
      <c r="A4523" t="s">
        <v>14</v>
      </c>
      <c r="B4523" t="s">
        <v>907</v>
      </c>
      <c r="C4523">
        <v>15</v>
      </c>
      <c r="D4523" t="s">
        <v>15</v>
      </c>
      <c r="E4523" t="s">
        <v>94</v>
      </c>
      <c r="F4523" t="s">
        <v>111</v>
      </c>
      <c r="G4523" t="s">
        <v>110</v>
      </c>
      <c r="H4523" t="s">
        <v>110</v>
      </c>
      <c r="J4523">
        <v>0</v>
      </c>
      <c r="K4523">
        <v>1</v>
      </c>
      <c r="L4523">
        <v>94.97142857</v>
      </c>
      <c r="M4523">
        <v>24.31591813</v>
      </c>
      <c r="N4523">
        <v>0.122951111</v>
      </c>
      <c r="O4523">
        <v>0.39050790000000002</v>
      </c>
      <c r="P4523">
        <v>73.260869569999997</v>
      </c>
      <c r="Q4523">
        <v>34.453830549999999</v>
      </c>
      <c r="R4523">
        <v>1.058333333</v>
      </c>
      <c r="S4523">
        <v>0.90897070000000002</v>
      </c>
      <c r="T4523" t="s">
        <v>1040</v>
      </c>
      <c r="U4523">
        <v>-0.5184628</v>
      </c>
    </row>
    <row r="4524" spans="1:21" x14ac:dyDescent="0.25">
      <c r="A4524" t="s">
        <v>14</v>
      </c>
      <c r="B4524" t="s">
        <v>908</v>
      </c>
      <c r="C4524">
        <v>15</v>
      </c>
      <c r="D4524" t="s">
        <v>15</v>
      </c>
      <c r="E4524" t="s">
        <v>94</v>
      </c>
      <c r="F4524" t="s">
        <v>104</v>
      </c>
      <c r="G4524" t="s">
        <v>110</v>
      </c>
      <c r="H4524" t="s">
        <v>110</v>
      </c>
      <c r="J4524">
        <v>0</v>
      </c>
      <c r="K4524">
        <v>1</v>
      </c>
      <c r="L4524">
        <v>113.9375</v>
      </c>
      <c r="M4524">
        <v>33.375507550000002</v>
      </c>
      <c r="N4524">
        <v>2.4262999999999999</v>
      </c>
      <c r="O4524">
        <v>0.40692159999999999</v>
      </c>
      <c r="P4524">
        <v>73.260869569999997</v>
      </c>
      <c r="Q4524">
        <v>34.453830549999999</v>
      </c>
      <c r="R4524">
        <v>1.058333333</v>
      </c>
      <c r="S4524">
        <v>0.90897070000000002</v>
      </c>
      <c r="T4524" t="s">
        <v>1040</v>
      </c>
      <c r="U4524">
        <v>-0.50204910000000003</v>
      </c>
    </row>
    <row r="4525" spans="1:21" x14ac:dyDescent="0.25">
      <c r="A4525" t="s">
        <v>14</v>
      </c>
      <c r="B4525" t="s">
        <v>908</v>
      </c>
      <c r="C4525">
        <v>16</v>
      </c>
      <c r="D4525" t="s">
        <v>15</v>
      </c>
      <c r="E4525" t="s">
        <v>94</v>
      </c>
      <c r="F4525" t="s">
        <v>104</v>
      </c>
      <c r="G4525" t="s">
        <v>110</v>
      </c>
      <c r="H4525" t="s">
        <v>104</v>
      </c>
      <c r="J4525">
        <v>0</v>
      </c>
      <c r="K4525">
        <v>2</v>
      </c>
      <c r="L4525">
        <v>113.9375</v>
      </c>
      <c r="M4525">
        <v>33.375507550000002</v>
      </c>
      <c r="N4525">
        <v>2.4262999999999999</v>
      </c>
      <c r="O4525">
        <v>0.40692159999999999</v>
      </c>
      <c r="P4525">
        <v>113.9375</v>
      </c>
      <c r="Q4525">
        <v>33.375507550000002</v>
      </c>
      <c r="R4525">
        <v>2.4262999999999999</v>
      </c>
      <c r="S4525">
        <v>0.40692159999999999</v>
      </c>
      <c r="T4525" t="s">
        <v>1040</v>
      </c>
      <c r="U4525">
        <v>0</v>
      </c>
    </row>
    <row r="4526" spans="1:21" x14ac:dyDescent="0.25">
      <c r="A4526" t="s">
        <v>14</v>
      </c>
      <c r="B4526" t="s">
        <v>908</v>
      </c>
      <c r="C4526">
        <v>16</v>
      </c>
      <c r="D4526" t="s">
        <v>15</v>
      </c>
      <c r="E4526" t="s">
        <v>94</v>
      </c>
      <c r="F4526" t="s">
        <v>104</v>
      </c>
      <c r="G4526" t="s">
        <v>110</v>
      </c>
      <c r="H4526" t="s">
        <v>104</v>
      </c>
      <c r="J4526">
        <v>0</v>
      </c>
      <c r="K4526">
        <v>2</v>
      </c>
      <c r="L4526">
        <v>113.9375</v>
      </c>
      <c r="M4526">
        <v>33.375507550000002</v>
      </c>
      <c r="N4526">
        <v>2.4262999999999999</v>
      </c>
      <c r="O4526">
        <v>0.40692159999999999</v>
      </c>
      <c r="P4526">
        <v>113.9375</v>
      </c>
      <c r="Q4526">
        <v>33.375507550000002</v>
      </c>
      <c r="R4526">
        <v>2.4262999999999999</v>
      </c>
      <c r="S4526">
        <v>0.40692159999999999</v>
      </c>
      <c r="T4526" t="s">
        <v>1040</v>
      </c>
      <c r="U4526">
        <v>0</v>
      </c>
    </row>
    <row r="4527" spans="1:21" x14ac:dyDescent="0.25">
      <c r="A4527" t="s">
        <v>16</v>
      </c>
      <c r="B4527" t="s">
        <v>909</v>
      </c>
      <c r="C4527">
        <v>15</v>
      </c>
      <c r="D4527" t="s">
        <v>17</v>
      </c>
      <c r="E4527" t="s">
        <v>95</v>
      </c>
      <c r="F4527" t="s">
        <v>113</v>
      </c>
      <c r="G4527" t="s">
        <v>104</v>
      </c>
      <c r="H4527" t="s">
        <v>104</v>
      </c>
      <c r="J4527">
        <v>0</v>
      </c>
      <c r="K4527">
        <v>1</v>
      </c>
      <c r="L4527">
        <v>83.757575759999995</v>
      </c>
      <c r="M4527">
        <v>22.60997987</v>
      </c>
      <c r="N4527">
        <v>0.72884000000000004</v>
      </c>
      <c r="O4527">
        <v>0.21301339999999999</v>
      </c>
      <c r="P4527">
        <v>113.9375</v>
      </c>
      <c r="Q4527">
        <v>33.375507550000002</v>
      </c>
      <c r="R4527">
        <v>2.4262999999999999</v>
      </c>
      <c r="S4527">
        <v>0.40692159999999999</v>
      </c>
      <c r="T4527" t="s">
        <v>1040</v>
      </c>
      <c r="U4527">
        <v>-0.1939082</v>
      </c>
    </row>
    <row r="4528" spans="1:21" x14ac:dyDescent="0.25">
      <c r="A4528" t="s">
        <v>16</v>
      </c>
      <c r="B4528" t="s">
        <v>909</v>
      </c>
      <c r="C4528">
        <v>16</v>
      </c>
      <c r="D4528" t="s">
        <v>17</v>
      </c>
      <c r="E4528" t="s">
        <v>95</v>
      </c>
      <c r="F4528" t="s">
        <v>113</v>
      </c>
      <c r="G4528" t="s">
        <v>104</v>
      </c>
      <c r="H4528" t="s">
        <v>113</v>
      </c>
      <c r="J4528">
        <v>0</v>
      </c>
      <c r="K4528">
        <v>3</v>
      </c>
      <c r="L4528">
        <v>83.757575759999995</v>
      </c>
      <c r="M4528">
        <v>22.60997987</v>
      </c>
      <c r="N4528">
        <v>0.72884000000000004</v>
      </c>
      <c r="O4528">
        <v>0.21301339999999999</v>
      </c>
      <c r="P4528">
        <v>83.757575759999995</v>
      </c>
      <c r="Q4528">
        <v>22.60997987</v>
      </c>
      <c r="R4528">
        <v>0.72884000000000004</v>
      </c>
      <c r="S4528">
        <v>0.21301339999999999</v>
      </c>
      <c r="T4528" t="s">
        <v>1040</v>
      </c>
      <c r="U4528">
        <v>0</v>
      </c>
    </row>
    <row r="4529" spans="1:21" x14ac:dyDescent="0.25">
      <c r="A4529" t="s">
        <v>16</v>
      </c>
      <c r="B4529" t="s">
        <v>909</v>
      </c>
      <c r="C4529">
        <v>16</v>
      </c>
      <c r="D4529" t="s">
        <v>17</v>
      </c>
      <c r="E4529" t="s">
        <v>95</v>
      </c>
      <c r="F4529" t="s">
        <v>113</v>
      </c>
      <c r="G4529" t="s">
        <v>104</v>
      </c>
      <c r="H4529" t="s">
        <v>113</v>
      </c>
      <c r="J4529">
        <v>0</v>
      </c>
      <c r="K4529">
        <v>3</v>
      </c>
      <c r="L4529">
        <v>83.757575759999995</v>
      </c>
      <c r="M4529">
        <v>22.60997987</v>
      </c>
      <c r="N4529">
        <v>0.72884000000000004</v>
      </c>
      <c r="O4529">
        <v>0.21301339999999999</v>
      </c>
      <c r="P4529">
        <v>83.757575759999995</v>
      </c>
      <c r="Q4529">
        <v>22.60997987</v>
      </c>
      <c r="R4529">
        <v>0.72884000000000004</v>
      </c>
      <c r="S4529">
        <v>0.21301339999999999</v>
      </c>
      <c r="T4529" t="s">
        <v>1040</v>
      </c>
      <c r="U4529">
        <v>0</v>
      </c>
    </row>
    <row r="4530" spans="1:21" x14ac:dyDescent="0.25">
      <c r="A4530" t="s">
        <v>16</v>
      </c>
      <c r="B4530" t="s">
        <v>909</v>
      </c>
      <c r="C4530">
        <v>16</v>
      </c>
      <c r="D4530" t="s">
        <v>17</v>
      </c>
      <c r="E4530" t="s">
        <v>95</v>
      </c>
      <c r="F4530" t="s">
        <v>113</v>
      </c>
      <c r="G4530" t="s">
        <v>104</v>
      </c>
      <c r="H4530" t="s">
        <v>113</v>
      </c>
      <c r="J4530">
        <v>0</v>
      </c>
      <c r="K4530">
        <v>3</v>
      </c>
      <c r="L4530">
        <v>83.757575759999995</v>
      </c>
      <c r="M4530">
        <v>22.60997987</v>
      </c>
      <c r="N4530">
        <v>0.72884000000000004</v>
      </c>
      <c r="O4530">
        <v>0.21301339999999999</v>
      </c>
      <c r="P4530">
        <v>83.757575759999995</v>
      </c>
      <c r="Q4530">
        <v>22.60997987</v>
      </c>
      <c r="R4530">
        <v>0.72884000000000004</v>
      </c>
      <c r="S4530">
        <v>0.21301339999999999</v>
      </c>
      <c r="T4530" t="s">
        <v>1040</v>
      </c>
      <c r="U4530">
        <v>0</v>
      </c>
    </row>
    <row r="4531" spans="1:21" x14ac:dyDescent="0.25">
      <c r="A4531" t="s">
        <v>16</v>
      </c>
      <c r="B4531" t="s">
        <v>910</v>
      </c>
      <c r="C4531">
        <v>15</v>
      </c>
      <c r="D4531" t="s">
        <v>17</v>
      </c>
      <c r="E4531" t="s">
        <v>95</v>
      </c>
      <c r="F4531" t="s">
        <v>110</v>
      </c>
      <c r="G4531" t="s">
        <v>121</v>
      </c>
      <c r="H4531" t="s">
        <v>104</v>
      </c>
      <c r="J4531">
        <v>0</v>
      </c>
      <c r="K4531">
        <v>1</v>
      </c>
      <c r="L4531">
        <v>73.260869569999997</v>
      </c>
      <c r="M4531">
        <v>34.453830549999999</v>
      </c>
      <c r="N4531">
        <v>1.058333333</v>
      </c>
      <c r="O4531">
        <v>0.90897070000000002</v>
      </c>
      <c r="P4531">
        <v>113.9375</v>
      </c>
      <c r="Q4531">
        <v>33.375507550000002</v>
      </c>
      <c r="R4531">
        <v>2.4262999999999999</v>
      </c>
      <c r="S4531">
        <v>0.40692159999999999</v>
      </c>
      <c r="T4531" t="s">
        <v>1040</v>
      </c>
      <c r="U4531">
        <v>0.50204910000000003</v>
      </c>
    </row>
    <row r="4532" spans="1:21" x14ac:dyDescent="0.25">
      <c r="A4532" t="s">
        <v>16</v>
      </c>
      <c r="B4532" t="s">
        <v>910</v>
      </c>
      <c r="C4532">
        <v>16</v>
      </c>
      <c r="D4532" t="s">
        <v>17</v>
      </c>
      <c r="E4532" t="s">
        <v>95</v>
      </c>
      <c r="F4532" t="s">
        <v>110</v>
      </c>
      <c r="G4532" t="s">
        <v>121</v>
      </c>
      <c r="H4532" t="s">
        <v>241</v>
      </c>
      <c r="J4532">
        <v>0</v>
      </c>
      <c r="K4532">
        <v>1</v>
      </c>
      <c r="L4532">
        <v>73.260869569999997</v>
      </c>
      <c r="M4532">
        <v>34.453830549999999</v>
      </c>
      <c r="N4532">
        <v>1.058333333</v>
      </c>
      <c r="O4532">
        <v>0.90897070000000002</v>
      </c>
      <c r="P4532">
        <v>114</v>
      </c>
      <c r="Q4532">
        <v>30.43077242</v>
      </c>
      <c r="R4532">
        <v>0.53383111100000002</v>
      </c>
      <c r="S4532">
        <v>0.28333332999999999</v>
      </c>
      <c r="T4532" t="s">
        <v>1040</v>
      </c>
      <c r="U4532">
        <v>0.62563736999999997</v>
      </c>
    </row>
    <row r="4533" spans="1:21" x14ac:dyDescent="0.25">
      <c r="A4533" t="s">
        <v>16</v>
      </c>
      <c r="B4533" t="s">
        <v>911</v>
      </c>
      <c r="C4533">
        <v>15</v>
      </c>
      <c r="D4533" t="s">
        <v>17</v>
      </c>
      <c r="E4533" t="s">
        <v>95</v>
      </c>
      <c r="F4533" t="s">
        <v>111</v>
      </c>
      <c r="G4533" t="s">
        <v>113</v>
      </c>
      <c r="H4533" t="s">
        <v>113</v>
      </c>
      <c r="J4533">
        <v>0</v>
      </c>
      <c r="K4533">
        <v>2</v>
      </c>
      <c r="L4533">
        <v>94.97142857</v>
      </c>
      <c r="M4533">
        <v>24.31591813</v>
      </c>
      <c r="N4533">
        <v>0.122951111</v>
      </c>
      <c r="O4533">
        <v>0.39050790000000002</v>
      </c>
      <c r="P4533">
        <v>83.757575759999995</v>
      </c>
      <c r="Q4533">
        <v>22.60997987</v>
      </c>
      <c r="R4533">
        <v>0.72884000000000004</v>
      </c>
      <c r="S4533">
        <v>0.21301339999999999</v>
      </c>
      <c r="T4533" t="s">
        <v>1040</v>
      </c>
      <c r="U4533">
        <v>0.17749450000000003</v>
      </c>
    </row>
    <row r="4534" spans="1:21" x14ac:dyDescent="0.25">
      <c r="A4534" t="s">
        <v>16</v>
      </c>
      <c r="B4534" t="s">
        <v>911</v>
      </c>
      <c r="C4534">
        <v>15</v>
      </c>
      <c r="D4534" t="s">
        <v>17</v>
      </c>
      <c r="E4534" t="s">
        <v>95</v>
      </c>
      <c r="F4534" t="s">
        <v>111</v>
      </c>
      <c r="G4534" t="s">
        <v>113</v>
      </c>
      <c r="H4534" t="s">
        <v>113</v>
      </c>
      <c r="J4534">
        <v>0</v>
      </c>
      <c r="K4534">
        <v>2</v>
      </c>
      <c r="L4534">
        <v>94.97142857</v>
      </c>
      <c r="M4534">
        <v>24.31591813</v>
      </c>
      <c r="N4534">
        <v>0.122951111</v>
      </c>
      <c r="O4534">
        <v>0.39050790000000002</v>
      </c>
      <c r="P4534">
        <v>83.757575759999995</v>
      </c>
      <c r="Q4534">
        <v>22.60997987</v>
      </c>
      <c r="R4534">
        <v>0.72884000000000004</v>
      </c>
      <c r="S4534">
        <v>0.21301339999999999</v>
      </c>
      <c r="T4534" t="s">
        <v>1040</v>
      </c>
      <c r="U4534">
        <v>0.17749450000000003</v>
      </c>
    </row>
    <row r="4535" spans="1:21" x14ac:dyDescent="0.25">
      <c r="A4535" t="s">
        <v>16</v>
      </c>
      <c r="B4535" t="s">
        <v>911</v>
      </c>
      <c r="C4535">
        <v>16</v>
      </c>
      <c r="D4535" t="s">
        <v>17</v>
      </c>
      <c r="E4535" t="s">
        <v>95</v>
      </c>
      <c r="F4535" t="s">
        <v>111</v>
      </c>
      <c r="G4535" t="s">
        <v>113</v>
      </c>
      <c r="H4535" t="s">
        <v>247</v>
      </c>
      <c r="J4535">
        <v>0</v>
      </c>
      <c r="K4535">
        <v>3</v>
      </c>
      <c r="L4535">
        <v>94.97142857</v>
      </c>
      <c r="M4535">
        <v>24.31591813</v>
      </c>
      <c r="N4535">
        <v>0.122951111</v>
      </c>
      <c r="O4535">
        <v>0.39050790000000002</v>
      </c>
      <c r="P4535">
        <v>65.791044779999993</v>
      </c>
      <c r="Q4535">
        <v>22.94519201</v>
      </c>
      <c r="R4535">
        <v>8.1320334999999994E-2</v>
      </c>
      <c r="S4535">
        <v>0.17285655</v>
      </c>
      <c r="T4535" t="s">
        <v>1040</v>
      </c>
      <c r="U4535">
        <v>0.21765135000000002</v>
      </c>
    </row>
    <row r="4536" spans="1:21" x14ac:dyDescent="0.25">
      <c r="A4536" t="s">
        <v>16</v>
      </c>
      <c r="B4536" t="s">
        <v>911</v>
      </c>
      <c r="C4536">
        <v>16</v>
      </c>
      <c r="D4536" t="s">
        <v>17</v>
      </c>
      <c r="E4536" t="s">
        <v>95</v>
      </c>
      <c r="F4536" t="s">
        <v>111</v>
      </c>
      <c r="G4536" t="s">
        <v>113</v>
      </c>
      <c r="H4536" t="s">
        <v>247</v>
      </c>
      <c r="J4536">
        <v>0</v>
      </c>
      <c r="K4536">
        <v>3</v>
      </c>
      <c r="L4536">
        <v>94.97142857</v>
      </c>
      <c r="M4536">
        <v>24.31591813</v>
      </c>
      <c r="N4536">
        <v>0.122951111</v>
      </c>
      <c r="O4536">
        <v>0.39050790000000002</v>
      </c>
      <c r="P4536">
        <v>65.791044779999993</v>
      </c>
      <c r="Q4536">
        <v>22.94519201</v>
      </c>
      <c r="R4536">
        <v>8.1320334999999994E-2</v>
      </c>
      <c r="S4536">
        <v>0.17285655</v>
      </c>
      <c r="T4536" t="s">
        <v>1040</v>
      </c>
      <c r="U4536">
        <v>0.21765135000000002</v>
      </c>
    </row>
    <row r="4537" spans="1:21" x14ac:dyDescent="0.25">
      <c r="A4537" t="s">
        <v>16</v>
      </c>
      <c r="B4537" t="s">
        <v>911</v>
      </c>
      <c r="C4537">
        <v>16</v>
      </c>
      <c r="D4537" t="s">
        <v>17</v>
      </c>
      <c r="E4537" t="s">
        <v>95</v>
      </c>
      <c r="F4537" t="s">
        <v>111</v>
      </c>
      <c r="G4537" t="s">
        <v>113</v>
      </c>
      <c r="H4537" t="s">
        <v>247</v>
      </c>
      <c r="J4537">
        <v>0</v>
      </c>
      <c r="K4537">
        <v>3</v>
      </c>
      <c r="L4537">
        <v>94.97142857</v>
      </c>
      <c r="M4537">
        <v>24.31591813</v>
      </c>
      <c r="N4537">
        <v>0.122951111</v>
      </c>
      <c r="O4537">
        <v>0.39050790000000002</v>
      </c>
      <c r="P4537">
        <v>65.791044779999993</v>
      </c>
      <c r="Q4537">
        <v>22.94519201</v>
      </c>
      <c r="R4537">
        <v>8.1320334999999994E-2</v>
      </c>
      <c r="S4537">
        <v>0.17285655</v>
      </c>
      <c r="T4537" t="s">
        <v>1040</v>
      </c>
      <c r="U4537">
        <v>0.21765135000000002</v>
      </c>
    </row>
    <row r="4538" spans="1:21" x14ac:dyDescent="0.25">
      <c r="A4538" t="s">
        <v>16</v>
      </c>
      <c r="B4538" t="s">
        <v>912</v>
      </c>
      <c r="C4538">
        <v>15</v>
      </c>
      <c r="D4538" t="s">
        <v>17</v>
      </c>
      <c r="E4538" t="s">
        <v>95</v>
      </c>
      <c r="F4538" t="s">
        <v>104</v>
      </c>
      <c r="G4538" t="s">
        <v>121</v>
      </c>
      <c r="H4538" t="s">
        <v>247</v>
      </c>
      <c r="J4538">
        <v>0</v>
      </c>
      <c r="K4538">
        <v>1</v>
      </c>
      <c r="L4538">
        <v>113.9375</v>
      </c>
      <c r="M4538">
        <v>33.375507550000002</v>
      </c>
      <c r="N4538">
        <v>2.4262999999999999</v>
      </c>
      <c r="O4538">
        <v>0.40692159999999999</v>
      </c>
      <c r="P4538">
        <v>65.791044779999993</v>
      </c>
      <c r="Q4538">
        <v>22.94519201</v>
      </c>
      <c r="R4538">
        <v>8.1320334999999994E-2</v>
      </c>
      <c r="S4538">
        <v>0.17285655</v>
      </c>
      <c r="T4538" t="s">
        <v>1040</v>
      </c>
      <c r="U4538">
        <v>0.23406505</v>
      </c>
    </row>
    <row r="4539" spans="1:21" x14ac:dyDescent="0.25">
      <c r="A4539" t="s">
        <v>16</v>
      </c>
      <c r="B4539" t="s">
        <v>912</v>
      </c>
      <c r="C4539">
        <v>16</v>
      </c>
      <c r="D4539" t="s">
        <v>17</v>
      </c>
      <c r="E4539" t="s">
        <v>95</v>
      </c>
      <c r="F4539" t="s">
        <v>104</v>
      </c>
      <c r="G4539" t="s">
        <v>121</v>
      </c>
      <c r="H4539" t="s">
        <v>111</v>
      </c>
      <c r="J4539">
        <v>0</v>
      </c>
      <c r="K4539">
        <v>1</v>
      </c>
      <c r="L4539">
        <v>113.9375</v>
      </c>
      <c r="M4539">
        <v>33.375507550000002</v>
      </c>
      <c r="N4539">
        <v>2.4262999999999999</v>
      </c>
      <c r="O4539">
        <v>0.40692159999999999</v>
      </c>
      <c r="P4539">
        <v>94.97142857</v>
      </c>
      <c r="Q4539">
        <v>24.31591813</v>
      </c>
      <c r="R4539">
        <v>0.122951111</v>
      </c>
      <c r="S4539">
        <v>0.39050790000000002</v>
      </c>
      <c r="T4539" t="s">
        <v>1040</v>
      </c>
      <c r="U4539">
        <v>1.6413699999999976E-2</v>
      </c>
    </row>
    <row r="4540" spans="1:21" x14ac:dyDescent="0.25">
      <c r="A4540" t="s">
        <v>18</v>
      </c>
      <c r="B4540" t="s">
        <v>913</v>
      </c>
      <c r="C4540">
        <v>15</v>
      </c>
      <c r="D4540" t="s">
        <v>19</v>
      </c>
      <c r="E4540" t="s">
        <v>95</v>
      </c>
      <c r="F4540" t="s">
        <v>113</v>
      </c>
      <c r="G4540" t="s">
        <v>121</v>
      </c>
      <c r="H4540" t="s">
        <v>113</v>
      </c>
      <c r="J4540">
        <v>0</v>
      </c>
      <c r="K4540">
        <v>3</v>
      </c>
      <c r="L4540">
        <v>83.757575759999995</v>
      </c>
      <c r="M4540">
        <v>22.60997987</v>
      </c>
      <c r="N4540">
        <v>0.72884000000000004</v>
      </c>
      <c r="O4540">
        <v>0.21301339999999999</v>
      </c>
      <c r="P4540">
        <v>83.757575759999995</v>
      </c>
      <c r="Q4540">
        <v>22.60997987</v>
      </c>
      <c r="R4540">
        <v>0.72884000000000004</v>
      </c>
      <c r="S4540">
        <v>0.21301339999999999</v>
      </c>
      <c r="T4540" t="s">
        <v>1040</v>
      </c>
      <c r="U4540">
        <v>0</v>
      </c>
    </row>
    <row r="4541" spans="1:21" x14ac:dyDescent="0.25">
      <c r="A4541" t="s">
        <v>18</v>
      </c>
      <c r="B4541" t="s">
        <v>913</v>
      </c>
      <c r="C4541">
        <v>15</v>
      </c>
      <c r="D4541" t="s">
        <v>19</v>
      </c>
      <c r="E4541" t="s">
        <v>95</v>
      </c>
      <c r="F4541" t="s">
        <v>113</v>
      </c>
      <c r="G4541" t="s">
        <v>121</v>
      </c>
      <c r="H4541" t="s">
        <v>113</v>
      </c>
      <c r="J4541">
        <v>0</v>
      </c>
      <c r="K4541">
        <v>3</v>
      </c>
      <c r="L4541">
        <v>83.757575759999995</v>
      </c>
      <c r="M4541">
        <v>22.60997987</v>
      </c>
      <c r="N4541">
        <v>0.72884000000000004</v>
      </c>
      <c r="O4541">
        <v>0.21301339999999999</v>
      </c>
      <c r="P4541">
        <v>83.757575759999995</v>
      </c>
      <c r="Q4541">
        <v>22.60997987</v>
      </c>
      <c r="R4541">
        <v>0.72884000000000004</v>
      </c>
      <c r="S4541">
        <v>0.21301339999999999</v>
      </c>
      <c r="T4541" t="s">
        <v>1040</v>
      </c>
      <c r="U4541">
        <v>0</v>
      </c>
    </row>
    <row r="4542" spans="1:21" x14ac:dyDescent="0.25">
      <c r="A4542" t="s">
        <v>18</v>
      </c>
      <c r="B4542" t="s">
        <v>913</v>
      </c>
      <c r="C4542">
        <v>15</v>
      </c>
      <c r="D4542" t="s">
        <v>19</v>
      </c>
      <c r="E4542" t="s">
        <v>95</v>
      </c>
      <c r="F4542" t="s">
        <v>113</v>
      </c>
      <c r="G4542" t="s">
        <v>121</v>
      </c>
      <c r="H4542" t="s">
        <v>113</v>
      </c>
      <c r="J4542">
        <v>0</v>
      </c>
      <c r="K4542">
        <v>3</v>
      </c>
      <c r="L4542">
        <v>83.757575759999995</v>
      </c>
      <c r="M4542">
        <v>22.60997987</v>
      </c>
      <c r="N4542">
        <v>0.72884000000000004</v>
      </c>
      <c r="O4542">
        <v>0.21301339999999999</v>
      </c>
      <c r="P4542">
        <v>83.757575759999995</v>
      </c>
      <c r="Q4542">
        <v>22.60997987</v>
      </c>
      <c r="R4542">
        <v>0.72884000000000004</v>
      </c>
      <c r="S4542">
        <v>0.21301339999999999</v>
      </c>
      <c r="T4542" t="s">
        <v>1040</v>
      </c>
      <c r="U4542">
        <v>0</v>
      </c>
    </row>
    <row r="4543" spans="1:21" x14ac:dyDescent="0.25">
      <c r="A4543" t="s">
        <v>18</v>
      </c>
      <c r="B4543" t="s">
        <v>913</v>
      </c>
      <c r="C4543">
        <v>16</v>
      </c>
      <c r="D4543" t="s">
        <v>19</v>
      </c>
      <c r="E4543" t="s">
        <v>95</v>
      </c>
      <c r="F4543" t="s">
        <v>113</v>
      </c>
      <c r="G4543" t="s">
        <v>121</v>
      </c>
      <c r="H4543" t="s">
        <v>808</v>
      </c>
      <c r="J4543">
        <v>0</v>
      </c>
      <c r="K4543">
        <v>1</v>
      </c>
      <c r="L4543">
        <v>83.757575759999995</v>
      </c>
      <c r="M4543">
        <v>22.60997987</v>
      </c>
      <c r="N4543">
        <v>0.72884000000000004</v>
      </c>
      <c r="O4543">
        <v>0.21301339999999999</v>
      </c>
      <c r="P4543">
        <v>102.79166669999999</v>
      </c>
      <c r="Q4543">
        <v>27.057373470000002</v>
      </c>
      <c r="R4543">
        <v>6.3567849939999999</v>
      </c>
      <c r="S4543" t="s">
        <v>114</v>
      </c>
      <c r="T4543" t="s">
        <v>1040</v>
      </c>
      <c r="U4543" t="s">
        <v>114</v>
      </c>
    </row>
    <row r="4544" spans="1:21" x14ac:dyDescent="0.25">
      <c r="A4544" t="s">
        <v>18</v>
      </c>
      <c r="B4544" t="s">
        <v>913</v>
      </c>
      <c r="C4544">
        <v>17</v>
      </c>
      <c r="D4544" t="s">
        <v>19</v>
      </c>
      <c r="E4544" t="s">
        <v>95</v>
      </c>
      <c r="F4544" t="s">
        <v>113</v>
      </c>
      <c r="G4544" t="s">
        <v>121</v>
      </c>
      <c r="H4544" t="s">
        <v>242</v>
      </c>
      <c r="J4544">
        <v>0</v>
      </c>
      <c r="K4544">
        <v>15</v>
      </c>
      <c r="L4544">
        <v>83.757575759999995</v>
      </c>
      <c r="M4544">
        <v>22.60997987</v>
      </c>
      <c r="N4544">
        <v>0.72884000000000004</v>
      </c>
      <c r="O4544">
        <v>0.21301339999999999</v>
      </c>
      <c r="P4544">
        <v>139.375</v>
      </c>
      <c r="Q4544">
        <v>23.713465920000001</v>
      </c>
      <c r="R4544" t="s">
        <v>114</v>
      </c>
      <c r="S4544" t="s">
        <v>114</v>
      </c>
      <c r="T4544" t="s">
        <v>1040</v>
      </c>
      <c r="U4544" t="s">
        <v>114</v>
      </c>
    </row>
    <row r="4545" spans="1:21" x14ac:dyDescent="0.25">
      <c r="A4545" t="s">
        <v>18</v>
      </c>
      <c r="B4545" t="s">
        <v>913</v>
      </c>
      <c r="C4545">
        <v>17</v>
      </c>
      <c r="D4545" t="s">
        <v>19</v>
      </c>
      <c r="E4545" t="s">
        <v>95</v>
      </c>
      <c r="F4545" t="s">
        <v>113</v>
      </c>
      <c r="G4545" t="s">
        <v>121</v>
      </c>
      <c r="H4545" t="s">
        <v>242</v>
      </c>
      <c r="J4545">
        <v>0</v>
      </c>
      <c r="K4545">
        <v>15</v>
      </c>
      <c r="L4545">
        <v>83.757575759999995</v>
      </c>
      <c r="M4545">
        <v>22.60997987</v>
      </c>
      <c r="N4545">
        <v>0.72884000000000004</v>
      </c>
      <c r="O4545">
        <v>0.21301339999999999</v>
      </c>
      <c r="P4545">
        <v>139.375</v>
      </c>
      <c r="Q4545">
        <v>23.713465920000001</v>
      </c>
      <c r="R4545" t="s">
        <v>114</v>
      </c>
      <c r="S4545" t="s">
        <v>114</v>
      </c>
      <c r="T4545" t="s">
        <v>1040</v>
      </c>
      <c r="U4545" t="s">
        <v>114</v>
      </c>
    </row>
    <row r="4546" spans="1:21" x14ac:dyDescent="0.25">
      <c r="A4546" t="s">
        <v>18</v>
      </c>
      <c r="B4546" t="s">
        <v>913</v>
      </c>
      <c r="C4546">
        <v>17</v>
      </c>
      <c r="D4546" t="s">
        <v>19</v>
      </c>
      <c r="E4546" t="s">
        <v>95</v>
      </c>
      <c r="F4546" t="s">
        <v>113</v>
      </c>
      <c r="G4546" t="s">
        <v>121</v>
      </c>
      <c r="H4546" t="s">
        <v>242</v>
      </c>
      <c r="J4546">
        <v>0</v>
      </c>
      <c r="K4546">
        <v>15</v>
      </c>
      <c r="L4546">
        <v>83.757575759999995</v>
      </c>
      <c r="M4546">
        <v>22.60997987</v>
      </c>
      <c r="N4546">
        <v>0.72884000000000004</v>
      </c>
      <c r="O4546">
        <v>0.21301339999999999</v>
      </c>
      <c r="P4546">
        <v>139.375</v>
      </c>
      <c r="Q4546">
        <v>23.713465920000001</v>
      </c>
      <c r="R4546" t="s">
        <v>114</v>
      </c>
      <c r="S4546" t="s">
        <v>114</v>
      </c>
      <c r="T4546" t="s">
        <v>1040</v>
      </c>
      <c r="U4546" t="s">
        <v>114</v>
      </c>
    </row>
    <row r="4547" spans="1:21" x14ac:dyDescent="0.25">
      <c r="A4547" t="s">
        <v>18</v>
      </c>
      <c r="B4547" t="s">
        <v>913</v>
      </c>
      <c r="C4547">
        <v>17</v>
      </c>
      <c r="D4547" t="s">
        <v>19</v>
      </c>
      <c r="E4547" t="s">
        <v>95</v>
      </c>
      <c r="F4547" t="s">
        <v>113</v>
      </c>
      <c r="G4547" t="s">
        <v>121</v>
      </c>
      <c r="H4547" t="s">
        <v>242</v>
      </c>
      <c r="J4547">
        <v>0</v>
      </c>
      <c r="K4547">
        <v>15</v>
      </c>
      <c r="L4547">
        <v>83.757575759999995</v>
      </c>
      <c r="M4547">
        <v>22.60997987</v>
      </c>
      <c r="N4547">
        <v>0.72884000000000004</v>
      </c>
      <c r="O4547">
        <v>0.21301339999999999</v>
      </c>
      <c r="P4547">
        <v>139.375</v>
      </c>
      <c r="Q4547">
        <v>23.713465920000001</v>
      </c>
      <c r="R4547" t="s">
        <v>114</v>
      </c>
      <c r="S4547" t="s">
        <v>114</v>
      </c>
      <c r="T4547" t="s">
        <v>1040</v>
      </c>
      <c r="U4547" t="s">
        <v>114</v>
      </c>
    </row>
    <row r="4548" spans="1:21" x14ac:dyDescent="0.25">
      <c r="A4548" t="s">
        <v>18</v>
      </c>
      <c r="B4548" t="s">
        <v>913</v>
      </c>
      <c r="C4548">
        <v>17</v>
      </c>
      <c r="D4548" t="s">
        <v>19</v>
      </c>
      <c r="E4548" t="s">
        <v>95</v>
      </c>
      <c r="F4548" t="s">
        <v>113</v>
      </c>
      <c r="G4548" t="s">
        <v>121</v>
      </c>
      <c r="H4548" t="s">
        <v>242</v>
      </c>
      <c r="J4548">
        <v>0</v>
      </c>
      <c r="K4548">
        <v>15</v>
      </c>
      <c r="L4548">
        <v>83.757575759999995</v>
      </c>
      <c r="M4548">
        <v>22.60997987</v>
      </c>
      <c r="N4548">
        <v>0.72884000000000004</v>
      </c>
      <c r="O4548">
        <v>0.21301339999999999</v>
      </c>
      <c r="P4548">
        <v>139.375</v>
      </c>
      <c r="Q4548">
        <v>23.713465920000001</v>
      </c>
      <c r="R4548" t="s">
        <v>114</v>
      </c>
      <c r="S4548" t="s">
        <v>114</v>
      </c>
      <c r="T4548" t="s">
        <v>1040</v>
      </c>
      <c r="U4548" t="s">
        <v>114</v>
      </c>
    </row>
    <row r="4549" spans="1:21" x14ac:dyDescent="0.25">
      <c r="A4549" t="s">
        <v>18</v>
      </c>
      <c r="B4549" t="s">
        <v>913</v>
      </c>
      <c r="C4549">
        <v>17</v>
      </c>
      <c r="D4549" t="s">
        <v>19</v>
      </c>
      <c r="E4549" t="s">
        <v>95</v>
      </c>
      <c r="F4549" t="s">
        <v>113</v>
      </c>
      <c r="G4549" t="s">
        <v>121</v>
      </c>
      <c r="H4549" t="s">
        <v>242</v>
      </c>
      <c r="J4549">
        <v>0</v>
      </c>
      <c r="K4549">
        <v>15</v>
      </c>
      <c r="L4549">
        <v>83.757575759999995</v>
      </c>
      <c r="M4549">
        <v>22.60997987</v>
      </c>
      <c r="N4549">
        <v>0.72884000000000004</v>
      </c>
      <c r="O4549">
        <v>0.21301339999999999</v>
      </c>
      <c r="P4549">
        <v>139.375</v>
      </c>
      <c r="Q4549">
        <v>23.713465920000001</v>
      </c>
      <c r="R4549" t="s">
        <v>114</v>
      </c>
      <c r="S4549" t="s">
        <v>114</v>
      </c>
      <c r="T4549" t="s">
        <v>1040</v>
      </c>
      <c r="U4549" t="s">
        <v>114</v>
      </c>
    </row>
    <row r="4550" spans="1:21" x14ac:dyDescent="0.25">
      <c r="A4550" t="s">
        <v>18</v>
      </c>
      <c r="B4550" t="s">
        <v>913</v>
      </c>
      <c r="C4550">
        <v>17</v>
      </c>
      <c r="D4550" t="s">
        <v>19</v>
      </c>
      <c r="E4550" t="s">
        <v>95</v>
      </c>
      <c r="F4550" t="s">
        <v>113</v>
      </c>
      <c r="G4550" t="s">
        <v>121</v>
      </c>
      <c r="H4550" t="s">
        <v>242</v>
      </c>
      <c r="J4550">
        <v>0</v>
      </c>
      <c r="K4550">
        <v>15</v>
      </c>
      <c r="L4550">
        <v>83.757575759999995</v>
      </c>
      <c r="M4550">
        <v>22.60997987</v>
      </c>
      <c r="N4550">
        <v>0.72884000000000004</v>
      </c>
      <c r="O4550">
        <v>0.21301339999999999</v>
      </c>
      <c r="P4550">
        <v>139.375</v>
      </c>
      <c r="Q4550">
        <v>23.713465920000001</v>
      </c>
      <c r="R4550" t="s">
        <v>114</v>
      </c>
      <c r="S4550" t="s">
        <v>114</v>
      </c>
      <c r="T4550" t="s">
        <v>1040</v>
      </c>
      <c r="U4550" t="s">
        <v>114</v>
      </c>
    </row>
    <row r="4551" spans="1:21" x14ac:dyDescent="0.25">
      <c r="A4551" t="s">
        <v>18</v>
      </c>
      <c r="B4551" t="s">
        <v>913</v>
      </c>
      <c r="C4551">
        <v>17</v>
      </c>
      <c r="D4551" t="s">
        <v>19</v>
      </c>
      <c r="E4551" t="s">
        <v>95</v>
      </c>
      <c r="F4551" t="s">
        <v>113</v>
      </c>
      <c r="G4551" t="s">
        <v>121</v>
      </c>
      <c r="H4551" t="s">
        <v>242</v>
      </c>
      <c r="J4551">
        <v>0</v>
      </c>
      <c r="K4551">
        <v>15</v>
      </c>
      <c r="L4551">
        <v>83.757575759999995</v>
      </c>
      <c r="M4551">
        <v>22.60997987</v>
      </c>
      <c r="N4551">
        <v>0.72884000000000004</v>
      </c>
      <c r="O4551">
        <v>0.21301339999999999</v>
      </c>
      <c r="P4551">
        <v>139.375</v>
      </c>
      <c r="Q4551">
        <v>23.713465920000001</v>
      </c>
      <c r="R4551" t="s">
        <v>114</v>
      </c>
      <c r="S4551" t="s">
        <v>114</v>
      </c>
      <c r="T4551" t="s">
        <v>1040</v>
      </c>
      <c r="U4551" t="s">
        <v>114</v>
      </c>
    </row>
    <row r="4552" spans="1:21" x14ac:dyDescent="0.25">
      <c r="A4552" t="s">
        <v>18</v>
      </c>
      <c r="B4552" t="s">
        <v>913</v>
      </c>
      <c r="C4552">
        <v>17</v>
      </c>
      <c r="D4552" t="s">
        <v>19</v>
      </c>
      <c r="E4552" t="s">
        <v>95</v>
      </c>
      <c r="F4552" t="s">
        <v>113</v>
      </c>
      <c r="G4552" t="s">
        <v>121</v>
      </c>
      <c r="H4552" t="s">
        <v>242</v>
      </c>
      <c r="J4552">
        <v>0</v>
      </c>
      <c r="K4552">
        <v>15</v>
      </c>
      <c r="L4552">
        <v>83.757575759999995</v>
      </c>
      <c r="M4552">
        <v>22.60997987</v>
      </c>
      <c r="N4552">
        <v>0.72884000000000004</v>
      </c>
      <c r="O4552">
        <v>0.21301339999999999</v>
      </c>
      <c r="P4552">
        <v>139.375</v>
      </c>
      <c r="Q4552">
        <v>23.713465920000001</v>
      </c>
      <c r="R4552" t="s">
        <v>114</v>
      </c>
      <c r="S4552" t="s">
        <v>114</v>
      </c>
      <c r="T4552" t="s">
        <v>1040</v>
      </c>
      <c r="U4552" t="s">
        <v>114</v>
      </c>
    </row>
    <row r="4553" spans="1:21" x14ac:dyDescent="0.25">
      <c r="A4553" t="s">
        <v>18</v>
      </c>
      <c r="B4553" t="s">
        <v>913</v>
      </c>
      <c r="C4553">
        <v>17</v>
      </c>
      <c r="D4553" t="s">
        <v>19</v>
      </c>
      <c r="E4553" t="s">
        <v>95</v>
      </c>
      <c r="F4553" t="s">
        <v>113</v>
      </c>
      <c r="G4553" t="s">
        <v>121</v>
      </c>
      <c r="H4553" t="s">
        <v>242</v>
      </c>
      <c r="J4553">
        <v>0</v>
      </c>
      <c r="K4553">
        <v>15</v>
      </c>
      <c r="L4553">
        <v>83.757575759999995</v>
      </c>
      <c r="M4553">
        <v>22.60997987</v>
      </c>
      <c r="N4553">
        <v>0.72884000000000004</v>
      </c>
      <c r="O4553">
        <v>0.21301339999999999</v>
      </c>
      <c r="P4553">
        <v>139.375</v>
      </c>
      <c r="Q4553">
        <v>23.713465920000001</v>
      </c>
      <c r="R4553" t="s">
        <v>114</v>
      </c>
      <c r="S4553" t="s">
        <v>114</v>
      </c>
      <c r="T4553" t="s">
        <v>1040</v>
      </c>
      <c r="U4553" t="s">
        <v>114</v>
      </c>
    </row>
    <row r="4554" spans="1:21" x14ac:dyDescent="0.25">
      <c r="A4554" t="s">
        <v>18</v>
      </c>
      <c r="B4554" t="s">
        <v>913</v>
      </c>
      <c r="C4554">
        <v>17</v>
      </c>
      <c r="D4554" t="s">
        <v>19</v>
      </c>
      <c r="E4554" t="s">
        <v>95</v>
      </c>
      <c r="F4554" t="s">
        <v>113</v>
      </c>
      <c r="G4554" t="s">
        <v>121</v>
      </c>
      <c r="H4554" t="s">
        <v>242</v>
      </c>
      <c r="J4554">
        <v>0</v>
      </c>
      <c r="K4554">
        <v>15</v>
      </c>
      <c r="L4554">
        <v>83.757575759999995</v>
      </c>
      <c r="M4554">
        <v>22.60997987</v>
      </c>
      <c r="N4554">
        <v>0.72884000000000004</v>
      </c>
      <c r="O4554">
        <v>0.21301339999999999</v>
      </c>
      <c r="P4554">
        <v>139.375</v>
      </c>
      <c r="Q4554">
        <v>23.713465920000001</v>
      </c>
      <c r="R4554" t="s">
        <v>114</v>
      </c>
      <c r="S4554" t="s">
        <v>114</v>
      </c>
      <c r="T4554" t="s">
        <v>1040</v>
      </c>
      <c r="U4554" t="s">
        <v>114</v>
      </c>
    </row>
    <row r="4555" spans="1:21" x14ac:dyDescent="0.25">
      <c r="A4555" t="s">
        <v>18</v>
      </c>
      <c r="B4555" t="s">
        <v>913</v>
      </c>
      <c r="C4555">
        <v>17</v>
      </c>
      <c r="D4555" t="s">
        <v>19</v>
      </c>
      <c r="E4555" t="s">
        <v>95</v>
      </c>
      <c r="F4555" t="s">
        <v>113</v>
      </c>
      <c r="G4555" t="s">
        <v>121</v>
      </c>
      <c r="H4555" t="s">
        <v>242</v>
      </c>
      <c r="J4555">
        <v>0</v>
      </c>
      <c r="K4555">
        <v>15</v>
      </c>
      <c r="L4555">
        <v>83.757575759999995</v>
      </c>
      <c r="M4555">
        <v>22.60997987</v>
      </c>
      <c r="N4555">
        <v>0.72884000000000004</v>
      </c>
      <c r="O4555">
        <v>0.21301339999999999</v>
      </c>
      <c r="P4555">
        <v>139.375</v>
      </c>
      <c r="Q4555">
        <v>23.713465920000001</v>
      </c>
      <c r="R4555" t="s">
        <v>114</v>
      </c>
      <c r="S4555" t="s">
        <v>114</v>
      </c>
      <c r="T4555" t="s">
        <v>1040</v>
      </c>
      <c r="U4555" t="s">
        <v>114</v>
      </c>
    </row>
    <row r="4556" spans="1:21" x14ac:dyDescent="0.25">
      <c r="A4556" t="s">
        <v>18</v>
      </c>
      <c r="B4556" t="s">
        <v>913</v>
      </c>
      <c r="C4556">
        <v>17</v>
      </c>
      <c r="D4556" t="s">
        <v>19</v>
      </c>
      <c r="E4556" t="s">
        <v>95</v>
      </c>
      <c r="F4556" t="s">
        <v>113</v>
      </c>
      <c r="G4556" t="s">
        <v>121</v>
      </c>
      <c r="H4556" t="s">
        <v>242</v>
      </c>
      <c r="J4556">
        <v>0</v>
      </c>
      <c r="K4556">
        <v>15</v>
      </c>
      <c r="L4556">
        <v>83.757575759999995</v>
      </c>
      <c r="M4556">
        <v>22.60997987</v>
      </c>
      <c r="N4556">
        <v>0.72884000000000004</v>
      </c>
      <c r="O4556">
        <v>0.21301339999999999</v>
      </c>
      <c r="P4556">
        <v>139.375</v>
      </c>
      <c r="Q4556">
        <v>23.713465920000001</v>
      </c>
      <c r="R4556" t="s">
        <v>114</v>
      </c>
      <c r="S4556" t="s">
        <v>114</v>
      </c>
      <c r="T4556" t="s">
        <v>1040</v>
      </c>
      <c r="U4556" t="s">
        <v>114</v>
      </c>
    </row>
    <row r="4557" spans="1:21" x14ac:dyDescent="0.25">
      <c r="A4557" t="s">
        <v>18</v>
      </c>
      <c r="B4557" t="s">
        <v>913</v>
      </c>
      <c r="C4557">
        <v>17</v>
      </c>
      <c r="D4557" t="s">
        <v>19</v>
      </c>
      <c r="E4557" t="s">
        <v>95</v>
      </c>
      <c r="F4557" t="s">
        <v>113</v>
      </c>
      <c r="G4557" t="s">
        <v>121</v>
      </c>
      <c r="H4557" t="s">
        <v>242</v>
      </c>
      <c r="J4557">
        <v>0</v>
      </c>
      <c r="K4557">
        <v>15</v>
      </c>
      <c r="L4557">
        <v>83.757575759999995</v>
      </c>
      <c r="M4557">
        <v>22.60997987</v>
      </c>
      <c r="N4557">
        <v>0.72884000000000004</v>
      </c>
      <c r="O4557">
        <v>0.21301339999999999</v>
      </c>
      <c r="P4557">
        <v>139.375</v>
      </c>
      <c r="Q4557">
        <v>23.713465920000001</v>
      </c>
      <c r="R4557" t="s">
        <v>114</v>
      </c>
      <c r="S4557" t="s">
        <v>114</v>
      </c>
      <c r="T4557" t="s">
        <v>1040</v>
      </c>
      <c r="U4557" t="s">
        <v>114</v>
      </c>
    </row>
    <row r="4558" spans="1:21" x14ac:dyDescent="0.25">
      <c r="A4558" t="s">
        <v>18</v>
      </c>
      <c r="B4558" t="s">
        <v>913</v>
      </c>
      <c r="C4558">
        <v>17</v>
      </c>
      <c r="D4558" t="s">
        <v>19</v>
      </c>
      <c r="E4558" t="s">
        <v>95</v>
      </c>
      <c r="F4558" t="s">
        <v>113</v>
      </c>
      <c r="G4558" t="s">
        <v>121</v>
      </c>
      <c r="H4558" t="s">
        <v>242</v>
      </c>
      <c r="J4558">
        <v>0</v>
      </c>
      <c r="K4558">
        <v>15</v>
      </c>
      <c r="L4558">
        <v>83.757575759999995</v>
      </c>
      <c r="M4558">
        <v>22.60997987</v>
      </c>
      <c r="N4558">
        <v>0.72884000000000004</v>
      </c>
      <c r="O4558">
        <v>0.21301339999999999</v>
      </c>
      <c r="P4558">
        <v>139.375</v>
      </c>
      <c r="Q4558">
        <v>23.713465920000001</v>
      </c>
      <c r="R4558" t="s">
        <v>114</v>
      </c>
      <c r="S4558" t="s">
        <v>114</v>
      </c>
      <c r="T4558" t="s">
        <v>1040</v>
      </c>
      <c r="U4558" t="s">
        <v>114</v>
      </c>
    </row>
    <row r="4559" spans="1:21" x14ac:dyDescent="0.25">
      <c r="A4559" t="s">
        <v>18</v>
      </c>
      <c r="B4559" t="s">
        <v>914</v>
      </c>
      <c r="C4559">
        <v>15</v>
      </c>
      <c r="D4559" t="s">
        <v>19</v>
      </c>
      <c r="E4559" t="s">
        <v>95</v>
      </c>
      <c r="F4559" t="s">
        <v>111</v>
      </c>
      <c r="G4559" t="s">
        <v>121</v>
      </c>
      <c r="H4559" t="s">
        <v>113</v>
      </c>
      <c r="J4559">
        <v>0</v>
      </c>
      <c r="K4559">
        <v>2</v>
      </c>
      <c r="L4559">
        <v>94.97142857</v>
      </c>
      <c r="M4559">
        <v>24.31591813</v>
      </c>
      <c r="N4559">
        <v>0.122951111</v>
      </c>
      <c r="O4559">
        <v>0.39050790000000002</v>
      </c>
      <c r="P4559">
        <v>83.757575759999995</v>
      </c>
      <c r="Q4559">
        <v>22.60997987</v>
      </c>
      <c r="R4559">
        <v>0.72884000000000004</v>
      </c>
      <c r="S4559">
        <v>0.21301339999999999</v>
      </c>
      <c r="T4559" t="s">
        <v>1040</v>
      </c>
      <c r="U4559">
        <v>0.17749450000000003</v>
      </c>
    </row>
    <row r="4560" spans="1:21" x14ac:dyDescent="0.25">
      <c r="A4560" t="s">
        <v>18</v>
      </c>
      <c r="B4560" t="s">
        <v>914</v>
      </c>
      <c r="C4560">
        <v>15</v>
      </c>
      <c r="D4560" t="s">
        <v>19</v>
      </c>
      <c r="E4560" t="s">
        <v>95</v>
      </c>
      <c r="F4560" t="s">
        <v>111</v>
      </c>
      <c r="G4560" t="s">
        <v>121</v>
      </c>
      <c r="H4560" t="s">
        <v>113</v>
      </c>
      <c r="J4560">
        <v>0</v>
      </c>
      <c r="K4560">
        <v>2</v>
      </c>
      <c r="L4560">
        <v>94.97142857</v>
      </c>
      <c r="M4560">
        <v>24.31591813</v>
      </c>
      <c r="N4560">
        <v>0.122951111</v>
      </c>
      <c r="O4560">
        <v>0.39050790000000002</v>
      </c>
      <c r="P4560">
        <v>83.757575759999995</v>
      </c>
      <c r="Q4560">
        <v>22.60997987</v>
      </c>
      <c r="R4560">
        <v>0.72884000000000004</v>
      </c>
      <c r="S4560">
        <v>0.21301339999999999</v>
      </c>
      <c r="T4560" t="s">
        <v>1040</v>
      </c>
      <c r="U4560">
        <v>0.17749450000000003</v>
      </c>
    </row>
    <row r="4561" spans="1:21" x14ac:dyDescent="0.25">
      <c r="A4561" t="s">
        <v>18</v>
      </c>
      <c r="B4561" t="s">
        <v>914</v>
      </c>
      <c r="C4561">
        <v>16</v>
      </c>
      <c r="D4561" t="s">
        <v>19</v>
      </c>
      <c r="E4561" t="s">
        <v>95</v>
      </c>
      <c r="F4561" t="s">
        <v>111</v>
      </c>
      <c r="G4561" t="s">
        <v>121</v>
      </c>
      <c r="H4561" t="s">
        <v>242</v>
      </c>
      <c r="J4561">
        <v>0</v>
      </c>
      <c r="K4561">
        <v>2</v>
      </c>
      <c r="L4561">
        <v>94.97142857</v>
      </c>
      <c r="M4561">
        <v>24.31591813</v>
      </c>
      <c r="N4561">
        <v>0.122951111</v>
      </c>
      <c r="O4561">
        <v>0.39050790000000002</v>
      </c>
      <c r="P4561">
        <v>139.375</v>
      </c>
      <c r="Q4561">
        <v>23.713465920000001</v>
      </c>
      <c r="R4561" t="s">
        <v>114</v>
      </c>
      <c r="S4561" t="s">
        <v>114</v>
      </c>
      <c r="T4561" t="s">
        <v>1040</v>
      </c>
      <c r="U4561" t="s">
        <v>114</v>
      </c>
    </row>
    <row r="4562" spans="1:21" x14ac:dyDescent="0.25">
      <c r="A4562" t="s">
        <v>18</v>
      </c>
      <c r="B4562" t="s">
        <v>914</v>
      </c>
      <c r="C4562">
        <v>16</v>
      </c>
      <c r="D4562" t="s">
        <v>19</v>
      </c>
      <c r="E4562" t="s">
        <v>95</v>
      </c>
      <c r="F4562" t="s">
        <v>111</v>
      </c>
      <c r="G4562" t="s">
        <v>121</v>
      </c>
      <c r="H4562" t="s">
        <v>242</v>
      </c>
      <c r="J4562">
        <v>0</v>
      </c>
      <c r="K4562">
        <v>2</v>
      </c>
      <c r="L4562">
        <v>94.97142857</v>
      </c>
      <c r="M4562">
        <v>24.31591813</v>
      </c>
      <c r="N4562">
        <v>0.122951111</v>
      </c>
      <c r="O4562">
        <v>0.39050790000000002</v>
      </c>
      <c r="P4562">
        <v>139.375</v>
      </c>
      <c r="Q4562">
        <v>23.713465920000001</v>
      </c>
      <c r="R4562" t="s">
        <v>114</v>
      </c>
      <c r="S4562" t="s">
        <v>114</v>
      </c>
      <c r="T4562" t="s">
        <v>1040</v>
      </c>
      <c r="U4562" t="s">
        <v>114</v>
      </c>
    </row>
    <row r="4563" spans="1:21" x14ac:dyDescent="0.25">
      <c r="A4563" t="s">
        <v>18</v>
      </c>
      <c r="B4563" t="s">
        <v>915</v>
      </c>
      <c r="C4563">
        <v>15</v>
      </c>
      <c r="D4563" t="s">
        <v>19</v>
      </c>
      <c r="E4563" t="s">
        <v>95</v>
      </c>
      <c r="F4563" t="s">
        <v>104</v>
      </c>
      <c r="G4563" t="s">
        <v>121</v>
      </c>
      <c r="H4563" t="s">
        <v>247</v>
      </c>
      <c r="J4563">
        <v>0</v>
      </c>
      <c r="K4563">
        <v>1</v>
      </c>
      <c r="L4563">
        <v>113.9375</v>
      </c>
      <c r="M4563">
        <v>33.375507550000002</v>
      </c>
      <c r="N4563">
        <v>2.4262999999999999</v>
      </c>
      <c r="O4563">
        <v>0.40692159999999999</v>
      </c>
      <c r="P4563">
        <v>65.791044779999993</v>
      </c>
      <c r="Q4563">
        <v>22.94519201</v>
      </c>
      <c r="R4563">
        <v>8.1320334999999994E-2</v>
      </c>
      <c r="S4563">
        <v>0.17285655</v>
      </c>
      <c r="T4563" t="s">
        <v>1040</v>
      </c>
      <c r="U4563">
        <v>0.23406505</v>
      </c>
    </row>
    <row r="4564" spans="1:21" x14ac:dyDescent="0.25">
      <c r="A4564" t="s">
        <v>18</v>
      </c>
      <c r="B4564" t="s">
        <v>915</v>
      </c>
      <c r="C4564">
        <v>16</v>
      </c>
      <c r="D4564" t="s">
        <v>19</v>
      </c>
      <c r="E4564" t="s">
        <v>95</v>
      </c>
      <c r="F4564" t="s">
        <v>104</v>
      </c>
      <c r="G4564" t="s">
        <v>121</v>
      </c>
      <c r="H4564" t="s">
        <v>113</v>
      </c>
      <c r="J4564">
        <v>0</v>
      </c>
      <c r="K4564">
        <v>3</v>
      </c>
      <c r="L4564">
        <v>113.9375</v>
      </c>
      <c r="M4564">
        <v>33.375507550000002</v>
      </c>
      <c r="N4564">
        <v>2.4262999999999999</v>
      </c>
      <c r="O4564">
        <v>0.40692159999999999</v>
      </c>
      <c r="P4564">
        <v>83.757575759999995</v>
      </c>
      <c r="Q4564">
        <v>22.60997987</v>
      </c>
      <c r="R4564">
        <v>0.72884000000000004</v>
      </c>
      <c r="S4564">
        <v>0.21301339999999999</v>
      </c>
      <c r="T4564" t="s">
        <v>1040</v>
      </c>
      <c r="U4564">
        <v>0.1939082</v>
      </c>
    </row>
    <row r="4565" spans="1:21" x14ac:dyDescent="0.25">
      <c r="A4565" t="s">
        <v>18</v>
      </c>
      <c r="B4565" t="s">
        <v>915</v>
      </c>
      <c r="C4565">
        <v>16</v>
      </c>
      <c r="D4565" t="s">
        <v>19</v>
      </c>
      <c r="E4565" t="s">
        <v>95</v>
      </c>
      <c r="F4565" t="s">
        <v>104</v>
      </c>
      <c r="G4565" t="s">
        <v>121</v>
      </c>
      <c r="H4565" t="s">
        <v>113</v>
      </c>
      <c r="J4565">
        <v>0</v>
      </c>
      <c r="K4565">
        <v>3</v>
      </c>
      <c r="L4565">
        <v>113.9375</v>
      </c>
      <c r="M4565">
        <v>33.375507550000002</v>
      </c>
      <c r="N4565">
        <v>2.4262999999999999</v>
      </c>
      <c r="O4565">
        <v>0.40692159999999999</v>
      </c>
      <c r="P4565">
        <v>83.757575759999995</v>
      </c>
      <c r="Q4565">
        <v>22.60997987</v>
      </c>
      <c r="R4565">
        <v>0.72884000000000004</v>
      </c>
      <c r="S4565">
        <v>0.21301339999999999</v>
      </c>
      <c r="T4565" t="s">
        <v>1040</v>
      </c>
      <c r="U4565">
        <v>0.1939082</v>
      </c>
    </row>
    <row r="4566" spans="1:21" x14ac:dyDescent="0.25">
      <c r="A4566" t="s">
        <v>18</v>
      </c>
      <c r="B4566" t="s">
        <v>915</v>
      </c>
      <c r="C4566">
        <v>16</v>
      </c>
      <c r="D4566" t="s">
        <v>19</v>
      </c>
      <c r="E4566" t="s">
        <v>95</v>
      </c>
      <c r="F4566" t="s">
        <v>104</v>
      </c>
      <c r="G4566" t="s">
        <v>121</v>
      </c>
      <c r="H4566" t="s">
        <v>113</v>
      </c>
      <c r="J4566">
        <v>0</v>
      </c>
      <c r="K4566">
        <v>3</v>
      </c>
      <c r="L4566">
        <v>113.9375</v>
      </c>
      <c r="M4566">
        <v>33.375507550000002</v>
      </c>
      <c r="N4566">
        <v>2.4262999999999999</v>
      </c>
      <c r="O4566">
        <v>0.40692159999999999</v>
      </c>
      <c r="P4566">
        <v>83.757575759999995</v>
      </c>
      <c r="Q4566">
        <v>22.60997987</v>
      </c>
      <c r="R4566">
        <v>0.72884000000000004</v>
      </c>
      <c r="S4566">
        <v>0.21301339999999999</v>
      </c>
      <c r="T4566" t="s">
        <v>1040</v>
      </c>
      <c r="U4566">
        <v>0.1939082</v>
      </c>
    </row>
    <row r="4567" spans="1:21" x14ac:dyDescent="0.25">
      <c r="A4567" t="s">
        <v>18</v>
      </c>
      <c r="B4567" t="s">
        <v>916</v>
      </c>
      <c r="C4567">
        <v>15</v>
      </c>
      <c r="D4567" t="s">
        <v>19</v>
      </c>
      <c r="E4567" t="s">
        <v>95</v>
      </c>
      <c r="F4567" t="s">
        <v>112</v>
      </c>
      <c r="G4567" t="s">
        <v>113</v>
      </c>
      <c r="H4567" t="s">
        <v>113</v>
      </c>
      <c r="J4567">
        <v>0</v>
      </c>
      <c r="K4567">
        <v>1</v>
      </c>
      <c r="L4567">
        <v>65.09375</v>
      </c>
      <c r="M4567">
        <v>37.895352600000002</v>
      </c>
      <c r="N4567">
        <v>2.2882677779999998</v>
      </c>
      <c r="O4567">
        <v>2.2111774</v>
      </c>
      <c r="P4567">
        <v>83.757575759999995</v>
      </c>
      <c r="Q4567">
        <v>22.60997987</v>
      </c>
      <c r="R4567">
        <v>0.72884000000000004</v>
      </c>
      <c r="S4567">
        <v>0.21301339999999999</v>
      </c>
      <c r="T4567" t="s">
        <v>1040</v>
      </c>
      <c r="U4567">
        <v>1.9981640000000001</v>
      </c>
    </row>
    <row r="4568" spans="1:21" x14ac:dyDescent="0.25">
      <c r="A4568" t="s">
        <v>20</v>
      </c>
      <c r="B4568" t="s">
        <v>917</v>
      </c>
      <c r="C4568">
        <v>15</v>
      </c>
      <c r="D4568" t="s">
        <v>21</v>
      </c>
      <c r="E4568" t="s">
        <v>94</v>
      </c>
      <c r="F4568" t="s">
        <v>102</v>
      </c>
      <c r="G4568" t="s">
        <v>121</v>
      </c>
      <c r="H4568" t="s">
        <v>246</v>
      </c>
      <c r="J4568">
        <v>0</v>
      </c>
      <c r="K4568">
        <v>1</v>
      </c>
      <c r="L4568">
        <v>84.740740740000007</v>
      </c>
      <c r="M4568">
        <v>29.167014049999999</v>
      </c>
      <c r="N4568">
        <v>1.1169849999999999</v>
      </c>
      <c r="O4568">
        <v>1.1571499000000001</v>
      </c>
      <c r="P4568">
        <v>120.25</v>
      </c>
      <c r="Q4568">
        <v>30.670450110000001</v>
      </c>
      <c r="R4568">
        <v>0.91037498500000003</v>
      </c>
      <c r="S4568" t="s">
        <v>114</v>
      </c>
      <c r="T4568" t="s">
        <v>1040</v>
      </c>
      <c r="U4568" t="s">
        <v>114</v>
      </c>
    </row>
    <row r="4569" spans="1:21" x14ac:dyDescent="0.25">
      <c r="A4569" t="s">
        <v>20</v>
      </c>
      <c r="B4569" t="s">
        <v>918</v>
      </c>
      <c r="C4569">
        <v>15</v>
      </c>
      <c r="D4569" t="s">
        <v>21</v>
      </c>
      <c r="E4569" t="s">
        <v>94</v>
      </c>
      <c r="F4569" t="s">
        <v>113</v>
      </c>
      <c r="G4569" t="s">
        <v>113</v>
      </c>
      <c r="H4569" t="s">
        <v>113</v>
      </c>
      <c r="J4569">
        <v>0</v>
      </c>
      <c r="K4569">
        <v>1</v>
      </c>
      <c r="L4569">
        <v>83.757575759999995</v>
      </c>
      <c r="M4569">
        <v>22.60997987</v>
      </c>
      <c r="N4569">
        <v>0.72884000000000004</v>
      </c>
      <c r="O4569">
        <v>0.21301339999999999</v>
      </c>
      <c r="P4569">
        <v>83.757575759999995</v>
      </c>
      <c r="Q4569">
        <v>22.60997987</v>
      </c>
      <c r="R4569">
        <v>0.72884000000000004</v>
      </c>
      <c r="S4569">
        <v>0.21301339999999999</v>
      </c>
      <c r="T4569" t="s">
        <v>1040</v>
      </c>
      <c r="U4569">
        <v>0</v>
      </c>
    </row>
    <row r="4570" spans="1:21" x14ac:dyDescent="0.25">
      <c r="A4570" t="s">
        <v>20</v>
      </c>
      <c r="B4570" t="s">
        <v>919</v>
      </c>
      <c r="C4570">
        <v>15</v>
      </c>
      <c r="D4570" t="s">
        <v>21</v>
      </c>
      <c r="E4570" t="s">
        <v>94</v>
      </c>
      <c r="F4570" t="s">
        <v>110</v>
      </c>
      <c r="G4570" t="s">
        <v>121</v>
      </c>
      <c r="H4570" t="s">
        <v>113</v>
      </c>
      <c r="J4570">
        <v>0</v>
      </c>
      <c r="K4570">
        <v>2</v>
      </c>
      <c r="L4570">
        <v>73.260869569999997</v>
      </c>
      <c r="M4570">
        <v>34.453830549999999</v>
      </c>
      <c r="N4570">
        <v>1.058333333</v>
      </c>
      <c r="O4570">
        <v>0.90897070000000002</v>
      </c>
      <c r="P4570">
        <v>83.757575759999995</v>
      </c>
      <c r="Q4570">
        <v>22.60997987</v>
      </c>
      <c r="R4570">
        <v>0.72884000000000004</v>
      </c>
      <c r="S4570">
        <v>0.21301339999999999</v>
      </c>
      <c r="T4570" t="s">
        <v>1040</v>
      </c>
      <c r="U4570">
        <v>0.6959573</v>
      </c>
    </row>
    <row r="4571" spans="1:21" x14ac:dyDescent="0.25">
      <c r="A4571" t="s">
        <v>20</v>
      </c>
      <c r="B4571" t="s">
        <v>919</v>
      </c>
      <c r="C4571">
        <v>15</v>
      </c>
      <c r="D4571" t="s">
        <v>21</v>
      </c>
      <c r="E4571" t="s">
        <v>94</v>
      </c>
      <c r="F4571" t="s">
        <v>110</v>
      </c>
      <c r="G4571" t="s">
        <v>121</v>
      </c>
      <c r="H4571" t="s">
        <v>113</v>
      </c>
      <c r="J4571">
        <v>0</v>
      </c>
      <c r="K4571">
        <v>2</v>
      </c>
      <c r="L4571">
        <v>73.260869569999997</v>
      </c>
      <c r="M4571">
        <v>34.453830549999999</v>
      </c>
      <c r="N4571">
        <v>1.058333333</v>
      </c>
      <c r="O4571">
        <v>0.90897070000000002</v>
      </c>
      <c r="P4571">
        <v>83.757575759999995</v>
      </c>
      <c r="Q4571">
        <v>22.60997987</v>
      </c>
      <c r="R4571">
        <v>0.72884000000000004</v>
      </c>
      <c r="S4571">
        <v>0.21301339999999999</v>
      </c>
      <c r="T4571" t="s">
        <v>1040</v>
      </c>
      <c r="U4571">
        <v>0.6959573</v>
      </c>
    </row>
    <row r="4572" spans="1:21" x14ac:dyDescent="0.25">
      <c r="A4572" t="s">
        <v>20</v>
      </c>
      <c r="B4572" t="s">
        <v>919</v>
      </c>
      <c r="C4572">
        <v>16</v>
      </c>
      <c r="D4572" t="s">
        <v>21</v>
      </c>
      <c r="E4572" t="s">
        <v>94</v>
      </c>
      <c r="F4572" t="s">
        <v>110</v>
      </c>
      <c r="G4572" t="s">
        <v>121</v>
      </c>
      <c r="H4572" t="s">
        <v>102</v>
      </c>
      <c r="J4572">
        <v>0</v>
      </c>
      <c r="K4572">
        <v>1</v>
      </c>
      <c r="L4572">
        <v>73.260869569999997</v>
      </c>
      <c r="M4572">
        <v>34.453830549999999</v>
      </c>
      <c r="N4572">
        <v>1.058333333</v>
      </c>
      <c r="O4572">
        <v>0.90897070000000002</v>
      </c>
      <c r="P4572">
        <v>84.740740740000007</v>
      </c>
      <c r="Q4572">
        <v>29.167014049999999</v>
      </c>
      <c r="R4572">
        <v>1.1169849999999999</v>
      </c>
      <c r="S4572">
        <v>1.1571499000000001</v>
      </c>
      <c r="T4572" t="s">
        <v>1040</v>
      </c>
      <c r="U4572">
        <v>-0.24817920000000004</v>
      </c>
    </row>
    <row r="4573" spans="1:21" x14ac:dyDescent="0.25">
      <c r="A4573" t="s">
        <v>20</v>
      </c>
      <c r="B4573" t="s">
        <v>920</v>
      </c>
      <c r="C4573">
        <v>15</v>
      </c>
      <c r="D4573" t="s">
        <v>21</v>
      </c>
      <c r="E4573" t="s">
        <v>94</v>
      </c>
      <c r="F4573" t="s">
        <v>111</v>
      </c>
      <c r="G4573" t="s">
        <v>121</v>
      </c>
      <c r="H4573" t="s">
        <v>110</v>
      </c>
      <c r="J4573">
        <v>0</v>
      </c>
      <c r="K4573">
        <v>1</v>
      </c>
      <c r="L4573">
        <v>94.97142857</v>
      </c>
      <c r="M4573">
        <v>24.31591813</v>
      </c>
      <c r="N4573">
        <v>0.122951111</v>
      </c>
      <c r="O4573">
        <v>0.39050790000000002</v>
      </c>
      <c r="P4573">
        <v>73.260869569999997</v>
      </c>
      <c r="Q4573">
        <v>34.453830549999999</v>
      </c>
      <c r="R4573">
        <v>1.058333333</v>
      </c>
      <c r="S4573">
        <v>0.90897070000000002</v>
      </c>
      <c r="T4573" t="s">
        <v>1040</v>
      </c>
      <c r="U4573">
        <v>-0.5184628</v>
      </c>
    </row>
    <row r="4574" spans="1:21" x14ac:dyDescent="0.25">
      <c r="A4574" t="s">
        <v>22</v>
      </c>
      <c r="B4574" t="s">
        <v>921</v>
      </c>
      <c r="C4574">
        <v>15</v>
      </c>
      <c r="D4574" t="s">
        <v>23</v>
      </c>
      <c r="E4574" t="s">
        <v>95</v>
      </c>
      <c r="F4574" t="s">
        <v>102</v>
      </c>
      <c r="G4574" t="s">
        <v>121</v>
      </c>
      <c r="H4574" t="s">
        <v>236</v>
      </c>
      <c r="J4574">
        <v>0</v>
      </c>
      <c r="K4574">
        <v>1</v>
      </c>
      <c r="L4574">
        <v>84.740740740000007</v>
      </c>
      <c r="M4574">
        <v>29.167014049999999</v>
      </c>
      <c r="N4574">
        <v>1.1169849999999999</v>
      </c>
      <c r="O4574">
        <v>1.1571499000000001</v>
      </c>
      <c r="P4574">
        <v>113.33333330000001</v>
      </c>
      <c r="Q4574">
        <v>26.41632581</v>
      </c>
      <c r="R4574">
        <v>1.6844570160000001</v>
      </c>
      <c r="S4574">
        <v>8.9285710000000004E-2</v>
      </c>
      <c r="T4574" t="s">
        <v>1040</v>
      </c>
      <c r="U4574">
        <v>1.0678641900000001</v>
      </c>
    </row>
    <row r="4575" spans="1:21" x14ac:dyDescent="0.25">
      <c r="A4575" t="s">
        <v>22</v>
      </c>
      <c r="B4575" t="s">
        <v>922</v>
      </c>
      <c r="C4575">
        <v>15</v>
      </c>
      <c r="D4575" t="s">
        <v>23</v>
      </c>
      <c r="E4575" t="s">
        <v>95</v>
      </c>
      <c r="F4575" t="s">
        <v>105</v>
      </c>
      <c r="G4575" t="s">
        <v>121</v>
      </c>
      <c r="H4575" t="s">
        <v>113</v>
      </c>
      <c r="J4575">
        <v>0</v>
      </c>
      <c r="K4575">
        <v>4</v>
      </c>
      <c r="L4575">
        <v>67.5</v>
      </c>
      <c r="M4575">
        <v>47.937235809999997</v>
      </c>
      <c r="N4575">
        <v>0.41599678000000001</v>
      </c>
      <c r="O4575">
        <v>2.0950346999999998</v>
      </c>
      <c r="P4575">
        <v>83.757575759999995</v>
      </c>
      <c r="Q4575">
        <v>22.60997987</v>
      </c>
      <c r="R4575">
        <v>0.72884000000000004</v>
      </c>
      <c r="S4575">
        <v>0.21301339999999999</v>
      </c>
      <c r="T4575" t="s">
        <v>1040</v>
      </c>
      <c r="U4575">
        <v>1.8820212999999999</v>
      </c>
    </row>
    <row r="4576" spans="1:21" x14ac:dyDescent="0.25">
      <c r="A4576" t="s">
        <v>22</v>
      </c>
      <c r="B4576" t="s">
        <v>922</v>
      </c>
      <c r="C4576">
        <v>15</v>
      </c>
      <c r="D4576" t="s">
        <v>23</v>
      </c>
      <c r="E4576" t="s">
        <v>95</v>
      </c>
      <c r="F4576" t="s">
        <v>105</v>
      </c>
      <c r="G4576" t="s">
        <v>121</v>
      </c>
      <c r="H4576" t="s">
        <v>113</v>
      </c>
      <c r="J4576">
        <v>0</v>
      </c>
      <c r="K4576">
        <v>4</v>
      </c>
      <c r="L4576">
        <v>67.5</v>
      </c>
      <c r="M4576">
        <v>47.937235809999997</v>
      </c>
      <c r="N4576">
        <v>0.41599678000000001</v>
      </c>
      <c r="O4576">
        <v>2.0950346999999998</v>
      </c>
      <c r="P4576">
        <v>83.757575759999995</v>
      </c>
      <c r="Q4576">
        <v>22.60997987</v>
      </c>
      <c r="R4576">
        <v>0.72884000000000004</v>
      </c>
      <c r="S4576">
        <v>0.21301339999999999</v>
      </c>
      <c r="T4576" t="s">
        <v>1040</v>
      </c>
      <c r="U4576">
        <v>1.8820212999999999</v>
      </c>
    </row>
    <row r="4577" spans="1:21" x14ac:dyDescent="0.25">
      <c r="A4577" t="s">
        <v>22</v>
      </c>
      <c r="B4577" t="s">
        <v>922</v>
      </c>
      <c r="C4577">
        <v>15</v>
      </c>
      <c r="D4577" t="s">
        <v>23</v>
      </c>
      <c r="E4577" t="s">
        <v>95</v>
      </c>
      <c r="F4577" t="s">
        <v>105</v>
      </c>
      <c r="G4577" t="s">
        <v>121</v>
      </c>
      <c r="H4577" t="s">
        <v>113</v>
      </c>
      <c r="J4577">
        <v>0</v>
      </c>
      <c r="K4577">
        <v>4</v>
      </c>
      <c r="L4577">
        <v>67.5</v>
      </c>
      <c r="M4577">
        <v>47.937235809999997</v>
      </c>
      <c r="N4577">
        <v>0.41599678000000001</v>
      </c>
      <c r="O4577">
        <v>2.0950346999999998</v>
      </c>
      <c r="P4577">
        <v>83.757575759999995</v>
      </c>
      <c r="Q4577">
        <v>22.60997987</v>
      </c>
      <c r="R4577">
        <v>0.72884000000000004</v>
      </c>
      <c r="S4577">
        <v>0.21301339999999999</v>
      </c>
      <c r="T4577" t="s">
        <v>1040</v>
      </c>
      <c r="U4577">
        <v>1.8820212999999999</v>
      </c>
    </row>
    <row r="4578" spans="1:21" x14ac:dyDescent="0.25">
      <c r="A4578" t="s">
        <v>22</v>
      </c>
      <c r="B4578" t="s">
        <v>922</v>
      </c>
      <c r="C4578">
        <v>15</v>
      </c>
      <c r="D4578" t="s">
        <v>23</v>
      </c>
      <c r="E4578" t="s">
        <v>95</v>
      </c>
      <c r="F4578" t="s">
        <v>105</v>
      </c>
      <c r="G4578" t="s">
        <v>121</v>
      </c>
      <c r="H4578" t="s">
        <v>113</v>
      </c>
      <c r="J4578">
        <v>0</v>
      </c>
      <c r="K4578">
        <v>4</v>
      </c>
      <c r="L4578">
        <v>67.5</v>
      </c>
      <c r="M4578">
        <v>47.937235809999997</v>
      </c>
      <c r="N4578">
        <v>0.41599678000000001</v>
      </c>
      <c r="O4578">
        <v>2.0950346999999998</v>
      </c>
      <c r="P4578">
        <v>83.757575759999995</v>
      </c>
      <c r="Q4578">
        <v>22.60997987</v>
      </c>
      <c r="R4578">
        <v>0.72884000000000004</v>
      </c>
      <c r="S4578">
        <v>0.21301339999999999</v>
      </c>
      <c r="T4578" t="s">
        <v>1040</v>
      </c>
      <c r="U4578">
        <v>1.8820212999999999</v>
      </c>
    </row>
    <row r="4579" spans="1:21" x14ac:dyDescent="0.25">
      <c r="A4579" t="s">
        <v>22</v>
      </c>
      <c r="B4579" t="s">
        <v>922</v>
      </c>
      <c r="C4579">
        <v>16</v>
      </c>
      <c r="D4579" t="s">
        <v>23</v>
      </c>
      <c r="E4579" t="s">
        <v>95</v>
      </c>
      <c r="F4579" t="s">
        <v>105</v>
      </c>
      <c r="G4579" t="s">
        <v>121</v>
      </c>
      <c r="H4579" t="s">
        <v>103</v>
      </c>
      <c r="J4579">
        <v>0</v>
      </c>
      <c r="K4579">
        <v>1</v>
      </c>
      <c r="L4579">
        <v>67.5</v>
      </c>
      <c r="M4579">
        <v>47.937235809999997</v>
      </c>
      <c r="N4579">
        <v>0.41599678000000001</v>
      </c>
      <c r="O4579">
        <v>2.0950346999999998</v>
      </c>
      <c r="P4579">
        <v>98.291666669999998</v>
      </c>
      <c r="Q4579">
        <v>30.315130790000001</v>
      </c>
      <c r="R4579">
        <v>5.0803484000000003E-2</v>
      </c>
      <c r="S4579">
        <v>0.42866070000000001</v>
      </c>
      <c r="T4579" t="s">
        <v>1040</v>
      </c>
      <c r="U4579">
        <v>1.6663739999999998</v>
      </c>
    </row>
    <row r="4580" spans="1:21" x14ac:dyDescent="0.25">
      <c r="A4580" t="s">
        <v>22</v>
      </c>
      <c r="B4580" t="s">
        <v>922</v>
      </c>
      <c r="C4580">
        <v>17</v>
      </c>
      <c r="D4580" t="s">
        <v>23</v>
      </c>
      <c r="E4580" t="s">
        <v>95</v>
      </c>
      <c r="F4580" t="s">
        <v>105</v>
      </c>
      <c r="G4580" t="s">
        <v>121</v>
      </c>
      <c r="H4580" t="s">
        <v>234</v>
      </c>
      <c r="J4580">
        <v>0</v>
      </c>
      <c r="K4580">
        <v>1</v>
      </c>
      <c r="L4580">
        <v>67.5</v>
      </c>
      <c r="M4580">
        <v>47.937235809999997</v>
      </c>
      <c r="N4580">
        <v>0.41599678000000001</v>
      </c>
      <c r="O4580">
        <v>2.0950346999999998</v>
      </c>
      <c r="P4580">
        <v>89.8125</v>
      </c>
      <c r="Q4580">
        <v>34.754706650000003</v>
      </c>
      <c r="R4580">
        <v>2.3065078999999999E-2</v>
      </c>
      <c r="S4580">
        <v>2.4791666700000001</v>
      </c>
      <c r="T4580" t="s">
        <v>1040</v>
      </c>
      <c r="U4580">
        <v>-0.38413197000000032</v>
      </c>
    </row>
    <row r="4581" spans="1:21" x14ac:dyDescent="0.25">
      <c r="A4581" t="s">
        <v>22</v>
      </c>
      <c r="B4581" t="s">
        <v>923</v>
      </c>
      <c r="C4581">
        <v>15</v>
      </c>
      <c r="D4581" t="s">
        <v>23</v>
      </c>
      <c r="E4581" t="s">
        <v>95</v>
      </c>
      <c r="F4581" t="s">
        <v>103</v>
      </c>
      <c r="G4581" t="s">
        <v>103</v>
      </c>
      <c r="H4581" t="s">
        <v>103</v>
      </c>
      <c r="J4581">
        <v>0</v>
      </c>
      <c r="K4581">
        <v>6</v>
      </c>
      <c r="L4581">
        <v>98.291666669999998</v>
      </c>
      <c r="M4581">
        <v>30.315130790000001</v>
      </c>
      <c r="N4581">
        <v>5.0803484000000003E-2</v>
      </c>
      <c r="O4581">
        <v>0.42866070000000001</v>
      </c>
      <c r="P4581">
        <v>98.291666669999998</v>
      </c>
      <c r="Q4581">
        <v>30.315130790000001</v>
      </c>
      <c r="R4581">
        <v>5.0803484000000003E-2</v>
      </c>
      <c r="S4581">
        <v>0.42866070000000001</v>
      </c>
      <c r="T4581" t="s">
        <v>1040</v>
      </c>
      <c r="U4581">
        <v>0</v>
      </c>
    </row>
    <row r="4582" spans="1:21" x14ac:dyDescent="0.25">
      <c r="A4582" t="s">
        <v>22</v>
      </c>
      <c r="B4582" t="s">
        <v>923</v>
      </c>
      <c r="C4582">
        <v>15</v>
      </c>
      <c r="D4582" t="s">
        <v>23</v>
      </c>
      <c r="E4582" t="s">
        <v>95</v>
      </c>
      <c r="F4582" t="s">
        <v>103</v>
      </c>
      <c r="G4582" t="s">
        <v>103</v>
      </c>
      <c r="H4582" t="s">
        <v>103</v>
      </c>
      <c r="J4582">
        <v>0</v>
      </c>
      <c r="K4582">
        <v>6</v>
      </c>
      <c r="L4582">
        <v>98.291666669999998</v>
      </c>
      <c r="M4582">
        <v>30.315130790000001</v>
      </c>
      <c r="N4582">
        <v>5.0803484000000003E-2</v>
      </c>
      <c r="O4582">
        <v>0.42866070000000001</v>
      </c>
      <c r="P4582">
        <v>98.291666669999998</v>
      </c>
      <c r="Q4582">
        <v>30.315130790000001</v>
      </c>
      <c r="R4582">
        <v>5.0803484000000003E-2</v>
      </c>
      <c r="S4582">
        <v>0.42866070000000001</v>
      </c>
      <c r="T4582" t="s">
        <v>1040</v>
      </c>
      <c r="U4582">
        <v>0</v>
      </c>
    </row>
    <row r="4583" spans="1:21" x14ac:dyDescent="0.25">
      <c r="A4583" t="s">
        <v>22</v>
      </c>
      <c r="B4583" t="s">
        <v>923</v>
      </c>
      <c r="C4583">
        <v>15</v>
      </c>
      <c r="D4583" t="s">
        <v>23</v>
      </c>
      <c r="E4583" t="s">
        <v>95</v>
      </c>
      <c r="F4583" t="s">
        <v>103</v>
      </c>
      <c r="G4583" t="s">
        <v>103</v>
      </c>
      <c r="H4583" t="s">
        <v>103</v>
      </c>
      <c r="J4583">
        <v>0</v>
      </c>
      <c r="K4583">
        <v>6</v>
      </c>
      <c r="L4583">
        <v>98.291666669999998</v>
      </c>
      <c r="M4583">
        <v>30.315130790000001</v>
      </c>
      <c r="N4583">
        <v>5.0803484000000003E-2</v>
      </c>
      <c r="O4583">
        <v>0.42866070000000001</v>
      </c>
      <c r="P4583">
        <v>98.291666669999998</v>
      </c>
      <c r="Q4583">
        <v>30.315130790000001</v>
      </c>
      <c r="R4583">
        <v>5.0803484000000003E-2</v>
      </c>
      <c r="S4583">
        <v>0.42866070000000001</v>
      </c>
      <c r="T4583" t="s">
        <v>1040</v>
      </c>
      <c r="U4583">
        <v>0</v>
      </c>
    </row>
    <row r="4584" spans="1:21" x14ac:dyDescent="0.25">
      <c r="A4584" t="s">
        <v>22</v>
      </c>
      <c r="B4584" t="s">
        <v>923</v>
      </c>
      <c r="C4584">
        <v>15</v>
      </c>
      <c r="D4584" t="s">
        <v>23</v>
      </c>
      <c r="E4584" t="s">
        <v>95</v>
      </c>
      <c r="F4584" t="s">
        <v>103</v>
      </c>
      <c r="G4584" t="s">
        <v>103</v>
      </c>
      <c r="H4584" t="s">
        <v>103</v>
      </c>
      <c r="J4584">
        <v>0</v>
      </c>
      <c r="K4584">
        <v>6</v>
      </c>
      <c r="L4584">
        <v>98.291666669999998</v>
      </c>
      <c r="M4584">
        <v>30.315130790000001</v>
      </c>
      <c r="N4584">
        <v>5.0803484000000003E-2</v>
      </c>
      <c r="O4584">
        <v>0.42866070000000001</v>
      </c>
      <c r="P4584">
        <v>98.291666669999998</v>
      </c>
      <c r="Q4584">
        <v>30.315130790000001</v>
      </c>
      <c r="R4584">
        <v>5.0803484000000003E-2</v>
      </c>
      <c r="S4584">
        <v>0.42866070000000001</v>
      </c>
      <c r="T4584" t="s">
        <v>1040</v>
      </c>
      <c r="U4584">
        <v>0</v>
      </c>
    </row>
    <row r="4585" spans="1:21" x14ac:dyDescent="0.25">
      <c r="A4585" t="s">
        <v>22</v>
      </c>
      <c r="B4585" t="s">
        <v>923</v>
      </c>
      <c r="C4585">
        <v>15</v>
      </c>
      <c r="D4585" t="s">
        <v>23</v>
      </c>
      <c r="E4585" t="s">
        <v>95</v>
      </c>
      <c r="F4585" t="s">
        <v>103</v>
      </c>
      <c r="G4585" t="s">
        <v>103</v>
      </c>
      <c r="H4585" t="s">
        <v>103</v>
      </c>
      <c r="J4585">
        <v>0</v>
      </c>
      <c r="K4585">
        <v>6</v>
      </c>
      <c r="L4585">
        <v>98.291666669999998</v>
      </c>
      <c r="M4585">
        <v>30.315130790000001</v>
      </c>
      <c r="N4585">
        <v>5.0803484000000003E-2</v>
      </c>
      <c r="O4585">
        <v>0.42866070000000001</v>
      </c>
      <c r="P4585">
        <v>98.291666669999998</v>
      </c>
      <c r="Q4585">
        <v>30.315130790000001</v>
      </c>
      <c r="R4585">
        <v>5.0803484000000003E-2</v>
      </c>
      <c r="S4585">
        <v>0.42866070000000001</v>
      </c>
      <c r="T4585" t="s">
        <v>1040</v>
      </c>
      <c r="U4585">
        <v>0</v>
      </c>
    </row>
    <row r="4586" spans="1:21" x14ac:dyDescent="0.25">
      <c r="A4586" t="s">
        <v>22</v>
      </c>
      <c r="B4586" t="s">
        <v>923</v>
      </c>
      <c r="C4586">
        <v>15</v>
      </c>
      <c r="D4586" t="s">
        <v>23</v>
      </c>
      <c r="E4586" t="s">
        <v>95</v>
      </c>
      <c r="F4586" t="s">
        <v>103</v>
      </c>
      <c r="G4586" t="s">
        <v>103</v>
      </c>
      <c r="H4586" t="s">
        <v>103</v>
      </c>
      <c r="J4586">
        <v>0</v>
      </c>
      <c r="K4586">
        <v>6</v>
      </c>
      <c r="L4586">
        <v>98.291666669999998</v>
      </c>
      <c r="M4586">
        <v>30.315130790000001</v>
      </c>
      <c r="N4586">
        <v>5.0803484000000003E-2</v>
      </c>
      <c r="O4586">
        <v>0.42866070000000001</v>
      </c>
      <c r="P4586">
        <v>98.291666669999998</v>
      </c>
      <c r="Q4586">
        <v>30.315130790000001</v>
      </c>
      <c r="R4586">
        <v>5.0803484000000003E-2</v>
      </c>
      <c r="S4586">
        <v>0.42866070000000001</v>
      </c>
      <c r="T4586" t="s">
        <v>1040</v>
      </c>
      <c r="U4586">
        <v>0</v>
      </c>
    </row>
    <row r="4587" spans="1:21" x14ac:dyDescent="0.25">
      <c r="A4587" t="s">
        <v>22</v>
      </c>
      <c r="B4587" t="s">
        <v>923</v>
      </c>
      <c r="C4587">
        <v>16</v>
      </c>
      <c r="D4587" t="s">
        <v>23</v>
      </c>
      <c r="E4587" t="s">
        <v>95</v>
      </c>
      <c r="F4587" t="s">
        <v>103</v>
      </c>
      <c r="G4587" t="s">
        <v>103</v>
      </c>
      <c r="H4587" t="s">
        <v>248</v>
      </c>
      <c r="J4587">
        <v>0</v>
      </c>
      <c r="K4587">
        <v>4</v>
      </c>
      <c r="L4587">
        <v>98.291666669999998</v>
      </c>
      <c r="M4587">
        <v>30.315130790000001</v>
      </c>
      <c r="N4587">
        <v>5.0803484000000003E-2</v>
      </c>
      <c r="O4587">
        <v>0.42866070000000001</v>
      </c>
      <c r="P4587">
        <v>83.92307692</v>
      </c>
      <c r="Q4587">
        <v>44.319135699999997</v>
      </c>
      <c r="R4587">
        <v>5.9548609999999997E-3</v>
      </c>
      <c r="S4587">
        <v>0.18017928</v>
      </c>
      <c r="T4587" t="s">
        <v>1040</v>
      </c>
      <c r="U4587">
        <v>0.24848142000000001</v>
      </c>
    </row>
    <row r="4588" spans="1:21" x14ac:dyDescent="0.25">
      <c r="A4588" t="s">
        <v>22</v>
      </c>
      <c r="B4588" t="s">
        <v>923</v>
      </c>
      <c r="C4588">
        <v>16</v>
      </c>
      <c r="D4588" t="s">
        <v>23</v>
      </c>
      <c r="E4588" t="s">
        <v>95</v>
      </c>
      <c r="F4588" t="s">
        <v>103</v>
      </c>
      <c r="G4588" t="s">
        <v>103</v>
      </c>
      <c r="H4588" t="s">
        <v>248</v>
      </c>
      <c r="J4588">
        <v>0</v>
      </c>
      <c r="K4588">
        <v>4</v>
      </c>
      <c r="L4588">
        <v>98.291666669999998</v>
      </c>
      <c r="M4588">
        <v>30.315130790000001</v>
      </c>
      <c r="N4588">
        <v>5.0803484000000003E-2</v>
      </c>
      <c r="O4588">
        <v>0.42866070000000001</v>
      </c>
      <c r="P4588">
        <v>83.92307692</v>
      </c>
      <c r="Q4588">
        <v>44.319135699999997</v>
      </c>
      <c r="R4588">
        <v>5.9548609999999997E-3</v>
      </c>
      <c r="S4588">
        <v>0.18017928</v>
      </c>
      <c r="T4588" t="s">
        <v>1040</v>
      </c>
      <c r="U4588">
        <v>0.24848142000000001</v>
      </c>
    </row>
    <row r="4589" spans="1:21" x14ac:dyDescent="0.25">
      <c r="A4589" t="s">
        <v>22</v>
      </c>
      <c r="B4589" t="s">
        <v>923</v>
      </c>
      <c r="C4589">
        <v>16</v>
      </c>
      <c r="D4589" t="s">
        <v>23</v>
      </c>
      <c r="E4589" t="s">
        <v>95</v>
      </c>
      <c r="F4589" t="s">
        <v>103</v>
      </c>
      <c r="G4589" t="s">
        <v>103</v>
      </c>
      <c r="H4589" t="s">
        <v>248</v>
      </c>
      <c r="J4589">
        <v>0</v>
      </c>
      <c r="K4589">
        <v>4</v>
      </c>
      <c r="L4589">
        <v>98.291666669999998</v>
      </c>
      <c r="M4589">
        <v>30.315130790000001</v>
      </c>
      <c r="N4589">
        <v>5.0803484000000003E-2</v>
      </c>
      <c r="O4589">
        <v>0.42866070000000001</v>
      </c>
      <c r="P4589">
        <v>83.92307692</v>
      </c>
      <c r="Q4589">
        <v>44.319135699999997</v>
      </c>
      <c r="R4589">
        <v>5.9548609999999997E-3</v>
      </c>
      <c r="S4589">
        <v>0.18017928</v>
      </c>
      <c r="T4589" t="s">
        <v>1040</v>
      </c>
      <c r="U4589">
        <v>0.24848142000000001</v>
      </c>
    </row>
    <row r="4590" spans="1:21" x14ac:dyDescent="0.25">
      <c r="A4590" t="s">
        <v>22</v>
      </c>
      <c r="B4590" t="s">
        <v>923</v>
      </c>
      <c r="C4590">
        <v>16</v>
      </c>
      <c r="D4590" t="s">
        <v>23</v>
      </c>
      <c r="E4590" t="s">
        <v>95</v>
      </c>
      <c r="F4590" t="s">
        <v>103</v>
      </c>
      <c r="G4590" t="s">
        <v>103</v>
      </c>
      <c r="H4590" t="s">
        <v>248</v>
      </c>
      <c r="J4590">
        <v>0</v>
      </c>
      <c r="K4590">
        <v>4</v>
      </c>
      <c r="L4590">
        <v>98.291666669999998</v>
      </c>
      <c r="M4590">
        <v>30.315130790000001</v>
      </c>
      <c r="N4590">
        <v>5.0803484000000003E-2</v>
      </c>
      <c r="O4590">
        <v>0.42866070000000001</v>
      </c>
      <c r="P4590">
        <v>83.92307692</v>
      </c>
      <c r="Q4590">
        <v>44.319135699999997</v>
      </c>
      <c r="R4590">
        <v>5.9548609999999997E-3</v>
      </c>
      <c r="S4590">
        <v>0.18017928</v>
      </c>
      <c r="T4590" t="s">
        <v>1040</v>
      </c>
      <c r="U4590">
        <v>0.24848142000000001</v>
      </c>
    </row>
    <row r="4591" spans="1:21" x14ac:dyDescent="0.25">
      <c r="A4591" t="s">
        <v>22</v>
      </c>
      <c r="B4591" t="s">
        <v>924</v>
      </c>
      <c r="C4591">
        <v>15</v>
      </c>
      <c r="D4591" t="s">
        <v>23</v>
      </c>
      <c r="E4591" t="s">
        <v>95</v>
      </c>
      <c r="F4591" t="s">
        <v>111</v>
      </c>
      <c r="G4591" t="s">
        <v>121</v>
      </c>
      <c r="H4591" t="s">
        <v>112</v>
      </c>
      <c r="J4591">
        <v>1</v>
      </c>
      <c r="K4591">
        <v>1</v>
      </c>
      <c r="L4591">
        <v>94.97142857</v>
      </c>
      <c r="M4591">
        <v>24.31591813</v>
      </c>
      <c r="N4591">
        <v>0.122951111</v>
      </c>
      <c r="O4591">
        <v>0.39050790000000002</v>
      </c>
      <c r="P4591">
        <v>65.09375</v>
      </c>
      <c r="Q4591">
        <v>37.895352600000002</v>
      </c>
      <c r="R4591">
        <v>2.2882677779999998</v>
      </c>
      <c r="S4591">
        <v>2.2111774</v>
      </c>
      <c r="T4591" t="s">
        <v>1040</v>
      </c>
      <c r="U4591">
        <v>-1.8206694999999999</v>
      </c>
    </row>
    <row r="4592" spans="1:21" x14ac:dyDescent="0.25">
      <c r="A4592" t="s">
        <v>22</v>
      </c>
      <c r="B4592" t="s">
        <v>924</v>
      </c>
      <c r="C4592">
        <v>16</v>
      </c>
      <c r="D4592" t="s">
        <v>23</v>
      </c>
      <c r="E4592" t="s">
        <v>95</v>
      </c>
      <c r="F4592" t="s">
        <v>111</v>
      </c>
      <c r="G4592" t="s">
        <v>121</v>
      </c>
      <c r="H4592" t="s">
        <v>239</v>
      </c>
      <c r="J4592">
        <v>1</v>
      </c>
      <c r="K4592">
        <v>1</v>
      </c>
      <c r="L4592">
        <v>94.97142857</v>
      </c>
      <c r="M4592">
        <v>24.31591813</v>
      </c>
      <c r="N4592">
        <v>0.122951111</v>
      </c>
      <c r="O4592">
        <v>0.39050790000000002</v>
      </c>
      <c r="P4592">
        <v>100.45454549999999</v>
      </c>
      <c r="Q4592">
        <v>26.754810689999999</v>
      </c>
      <c r="R4592">
        <v>0.75829999999999997</v>
      </c>
      <c r="S4592">
        <v>0.40907861000000001</v>
      </c>
      <c r="T4592" t="s">
        <v>1040</v>
      </c>
      <c r="U4592">
        <v>-1.857070999999999E-2</v>
      </c>
    </row>
    <row r="4593" spans="1:21" x14ac:dyDescent="0.25">
      <c r="A4593" t="s">
        <v>22</v>
      </c>
      <c r="B4593" t="s">
        <v>924</v>
      </c>
      <c r="C4593">
        <v>17</v>
      </c>
      <c r="D4593" t="s">
        <v>23</v>
      </c>
      <c r="E4593" t="s">
        <v>95</v>
      </c>
      <c r="F4593" t="s">
        <v>111</v>
      </c>
      <c r="G4593" t="s">
        <v>121</v>
      </c>
      <c r="H4593" t="s">
        <v>248</v>
      </c>
      <c r="J4593">
        <v>1</v>
      </c>
      <c r="K4593">
        <v>5</v>
      </c>
      <c r="L4593">
        <v>94.97142857</v>
      </c>
      <c r="M4593">
        <v>24.31591813</v>
      </c>
      <c r="N4593">
        <v>0.122951111</v>
      </c>
      <c r="O4593">
        <v>0.39050790000000002</v>
      </c>
      <c r="P4593">
        <v>83.92307692</v>
      </c>
      <c r="Q4593">
        <v>44.319135699999997</v>
      </c>
      <c r="R4593">
        <v>5.9548609999999997E-3</v>
      </c>
      <c r="S4593">
        <v>0.18017928</v>
      </c>
      <c r="T4593" t="s">
        <v>1040</v>
      </c>
      <c r="U4593">
        <v>0.21032862000000002</v>
      </c>
    </row>
    <row r="4594" spans="1:21" x14ac:dyDescent="0.25">
      <c r="A4594" t="s">
        <v>22</v>
      </c>
      <c r="B4594" t="s">
        <v>924</v>
      </c>
      <c r="C4594">
        <v>17</v>
      </c>
      <c r="D4594" t="s">
        <v>23</v>
      </c>
      <c r="E4594" t="s">
        <v>95</v>
      </c>
      <c r="F4594" t="s">
        <v>111</v>
      </c>
      <c r="G4594" t="s">
        <v>121</v>
      </c>
      <c r="H4594" t="s">
        <v>248</v>
      </c>
      <c r="J4594">
        <v>1</v>
      </c>
      <c r="K4594">
        <v>5</v>
      </c>
      <c r="L4594">
        <v>94.97142857</v>
      </c>
      <c r="M4594">
        <v>24.31591813</v>
      </c>
      <c r="N4594">
        <v>0.122951111</v>
      </c>
      <c r="O4594">
        <v>0.39050790000000002</v>
      </c>
      <c r="P4594">
        <v>83.92307692</v>
      </c>
      <c r="Q4594">
        <v>44.319135699999997</v>
      </c>
      <c r="R4594">
        <v>5.9548609999999997E-3</v>
      </c>
      <c r="S4594">
        <v>0.18017928</v>
      </c>
      <c r="T4594" t="s">
        <v>1040</v>
      </c>
      <c r="U4594">
        <v>0.21032862000000002</v>
      </c>
    </row>
    <row r="4595" spans="1:21" x14ac:dyDescent="0.25">
      <c r="A4595" t="s">
        <v>22</v>
      </c>
      <c r="B4595" t="s">
        <v>924</v>
      </c>
      <c r="C4595">
        <v>17</v>
      </c>
      <c r="D4595" t="s">
        <v>23</v>
      </c>
      <c r="E4595" t="s">
        <v>95</v>
      </c>
      <c r="F4595" t="s">
        <v>111</v>
      </c>
      <c r="G4595" t="s">
        <v>121</v>
      </c>
      <c r="H4595" t="s">
        <v>248</v>
      </c>
      <c r="J4595">
        <v>1</v>
      </c>
      <c r="K4595">
        <v>5</v>
      </c>
      <c r="L4595">
        <v>94.97142857</v>
      </c>
      <c r="M4595">
        <v>24.31591813</v>
      </c>
      <c r="N4595">
        <v>0.122951111</v>
      </c>
      <c r="O4595">
        <v>0.39050790000000002</v>
      </c>
      <c r="P4595">
        <v>83.92307692</v>
      </c>
      <c r="Q4595">
        <v>44.319135699999997</v>
      </c>
      <c r="R4595">
        <v>5.9548609999999997E-3</v>
      </c>
      <c r="S4595">
        <v>0.18017928</v>
      </c>
      <c r="T4595" t="s">
        <v>1040</v>
      </c>
      <c r="U4595">
        <v>0.21032862000000002</v>
      </c>
    </row>
    <row r="4596" spans="1:21" x14ac:dyDescent="0.25">
      <c r="A4596" t="s">
        <v>22</v>
      </c>
      <c r="B4596" t="s">
        <v>924</v>
      </c>
      <c r="C4596">
        <v>17</v>
      </c>
      <c r="D4596" t="s">
        <v>23</v>
      </c>
      <c r="E4596" t="s">
        <v>95</v>
      </c>
      <c r="F4596" t="s">
        <v>111</v>
      </c>
      <c r="G4596" t="s">
        <v>121</v>
      </c>
      <c r="H4596" t="s">
        <v>248</v>
      </c>
      <c r="J4596">
        <v>1</v>
      </c>
      <c r="K4596">
        <v>5</v>
      </c>
      <c r="L4596">
        <v>94.97142857</v>
      </c>
      <c r="M4596">
        <v>24.31591813</v>
      </c>
      <c r="N4596">
        <v>0.122951111</v>
      </c>
      <c r="O4596">
        <v>0.39050790000000002</v>
      </c>
      <c r="P4596">
        <v>83.92307692</v>
      </c>
      <c r="Q4596">
        <v>44.319135699999997</v>
      </c>
      <c r="R4596">
        <v>5.9548609999999997E-3</v>
      </c>
      <c r="S4596">
        <v>0.18017928</v>
      </c>
      <c r="T4596" t="s">
        <v>1040</v>
      </c>
      <c r="U4596">
        <v>0.21032862000000002</v>
      </c>
    </row>
    <row r="4597" spans="1:21" x14ac:dyDescent="0.25">
      <c r="A4597" t="s">
        <v>22</v>
      </c>
      <c r="B4597" t="s">
        <v>924</v>
      </c>
      <c r="C4597">
        <v>17</v>
      </c>
      <c r="D4597" t="s">
        <v>23</v>
      </c>
      <c r="E4597" t="s">
        <v>95</v>
      </c>
      <c r="F4597" t="s">
        <v>111</v>
      </c>
      <c r="G4597" t="s">
        <v>121</v>
      </c>
      <c r="H4597" t="s">
        <v>248</v>
      </c>
      <c r="J4597">
        <v>1</v>
      </c>
      <c r="K4597">
        <v>5</v>
      </c>
      <c r="L4597">
        <v>94.97142857</v>
      </c>
      <c r="M4597">
        <v>24.31591813</v>
      </c>
      <c r="N4597">
        <v>0.122951111</v>
      </c>
      <c r="O4597">
        <v>0.39050790000000002</v>
      </c>
      <c r="P4597">
        <v>83.92307692</v>
      </c>
      <c r="Q4597">
        <v>44.319135699999997</v>
      </c>
      <c r="R4597">
        <v>5.9548609999999997E-3</v>
      </c>
      <c r="S4597">
        <v>0.18017928</v>
      </c>
      <c r="T4597" t="s">
        <v>1040</v>
      </c>
      <c r="U4597">
        <v>0.21032862000000002</v>
      </c>
    </row>
    <row r="4598" spans="1:21" x14ac:dyDescent="0.25">
      <c r="A4598" t="s">
        <v>22</v>
      </c>
      <c r="B4598" t="s">
        <v>925</v>
      </c>
      <c r="C4598">
        <v>15</v>
      </c>
      <c r="D4598" t="s">
        <v>23</v>
      </c>
      <c r="E4598" t="s">
        <v>95</v>
      </c>
      <c r="F4598" t="s">
        <v>112</v>
      </c>
      <c r="G4598" t="s">
        <v>103</v>
      </c>
      <c r="H4598" t="s">
        <v>103</v>
      </c>
      <c r="J4598">
        <v>0</v>
      </c>
      <c r="K4598">
        <v>3</v>
      </c>
      <c r="L4598">
        <v>65.09375</v>
      </c>
      <c r="M4598">
        <v>37.895352600000002</v>
      </c>
      <c r="N4598">
        <v>2.2882677779999998</v>
      </c>
      <c r="O4598">
        <v>2.2111774</v>
      </c>
      <c r="P4598">
        <v>98.291666669999998</v>
      </c>
      <c r="Q4598">
        <v>30.315130790000001</v>
      </c>
      <c r="R4598">
        <v>5.0803484000000003E-2</v>
      </c>
      <c r="S4598">
        <v>0.42866070000000001</v>
      </c>
      <c r="T4598" t="s">
        <v>1040</v>
      </c>
      <c r="U4598">
        <v>1.7825167</v>
      </c>
    </row>
    <row r="4599" spans="1:21" x14ac:dyDescent="0.25">
      <c r="A4599" t="s">
        <v>22</v>
      </c>
      <c r="B4599" t="s">
        <v>925</v>
      </c>
      <c r="C4599">
        <v>15</v>
      </c>
      <c r="D4599" t="s">
        <v>23</v>
      </c>
      <c r="E4599" t="s">
        <v>95</v>
      </c>
      <c r="F4599" t="s">
        <v>112</v>
      </c>
      <c r="G4599" t="s">
        <v>103</v>
      </c>
      <c r="H4599" t="s">
        <v>103</v>
      </c>
      <c r="J4599">
        <v>0</v>
      </c>
      <c r="K4599">
        <v>3</v>
      </c>
      <c r="L4599">
        <v>65.09375</v>
      </c>
      <c r="M4599">
        <v>37.895352600000002</v>
      </c>
      <c r="N4599">
        <v>2.2882677779999998</v>
      </c>
      <c r="O4599">
        <v>2.2111774</v>
      </c>
      <c r="P4599">
        <v>98.291666669999998</v>
      </c>
      <c r="Q4599">
        <v>30.315130790000001</v>
      </c>
      <c r="R4599">
        <v>5.0803484000000003E-2</v>
      </c>
      <c r="S4599">
        <v>0.42866070000000001</v>
      </c>
      <c r="T4599" t="s">
        <v>1040</v>
      </c>
      <c r="U4599">
        <v>1.7825167</v>
      </c>
    </row>
    <row r="4600" spans="1:21" x14ac:dyDescent="0.25">
      <c r="A4600" t="s">
        <v>22</v>
      </c>
      <c r="B4600" t="s">
        <v>925</v>
      </c>
      <c r="C4600">
        <v>15</v>
      </c>
      <c r="D4600" t="s">
        <v>23</v>
      </c>
      <c r="E4600" t="s">
        <v>95</v>
      </c>
      <c r="F4600" t="s">
        <v>112</v>
      </c>
      <c r="G4600" t="s">
        <v>103</v>
      </c>
      <c r="H4600" t="s">
        <v>103</v>
      </c>
      <c r="J4600">
        <v>0</v>
      </c>
      <c r="K4600">
        <v>3</v>
      </c>
      <c r="L4600">
        <v>65.09375</v>
      </c>
      <c r="M4600">
        <v>37.895352600000002</v>
      </c>
      <c r="N4600">
        <v>2.2882677779999998</v>
      </c>
      <c r="O4600">
        <v>2.2111774</v>
      </c>
      <c r="P4600">
        <v>98.291666669999998</v>
      </c>
      <c r="Q4600">
        <v>30.315130790000001</v>
      </c>
      <c r="R4600">
        <v>5.0803484000000003E-2</v>
      </c>
      <c r="S4600">
        <v>0.42866070000000001</v>
      </c>
      <c r="T4600" t="s">
        <v>1040</v>
      </c>
      <c r="U4600">
        <v>1.7825167</v>
      </c>
    </row>
    <row r="4601" spans="1:21" x14ac:dyDescent="0.25">
      <c r="A4601" t="s">
        <v>22</v>
      </c>
      <c r="B4601" t="s">
        <v>925</v>
      </c>
      <c r="C4601">
        <v>16</v>
      </c>
      <c r="D4601" t="s">
        <v>23</v>
      </c>
      <c r="E4601" t="s">
        <v>95</v>
      </c>
      <c r="F4601" t="s">
        <v>112</v>
      </c>
      <c r="G4601" t="s">
        <v>103</v>
      </c>
      <c r="H4601" t="s">
        <v>113</v>
      </c>
      <c r="J4601">
        <v>0</v>
      </c>
      <c r="K4601">
        <v>2</v>
      </c>
      <c r="L4601">
        <v>65.09375</v>
      </c>
      <c r="M4601">
        <v>37.895352600000002</v>
      </c>
      <c r="N4601">
        <v>2.2882677779999998</v>
      </c>
      <c r="O4601">
        <v>2.2111774</v>
      </c>
      <c r="P4601">
        <v>83.757575759999995</v>
      </c>
      <c r="Q4601">
        <v>22.60997987</v>
      </c>
      <c r="R4601">
        <v>0.72884000000000004</v>
      </c>
      <c r="S4601">
        <v>0.21301339999999999</v>
      </c>
      <c r="T4601" t="s">
        <v>1040</v>
      </c>
      <c r="U4601">
        <v>1.9981640000000001</v>
      </c>
    </row>
    <row r="4602" spans="1:21" x14ac:dyDescent="0.25">
      <c r="A4602" t="s">
        <v>22</v>
      </c>
      <c r="B4602" t="s">
        <v>925</v>
      </c>
      <c r="C4602">
        <v>16</v>
      </c>
      <c r="D4602" t="s">
        <v>23</v>
      </c>
      <c r="E4602" t="s">
        <v>95</v>
      </c>
      <c r="F4602" t="s">
        <v>112</v>
      </c>
      <c r="G4602" t="s">
        <v>103</v>
      </c>
      <c r="H4602" t="s">
        <v>113</v>
      </c>
      <c r="J4602">
        <v>0</v>
      </c>
      <c r="K4602">
        <v>2</v>
      </c>
      <c r="L4602">
        <v>65.09375</v>
      </c>
      <c r="M4602">
        <v>37.895352600000002</v>
      </c>
      <c r="N4602">
        <v>2.2882677779999998</v>
      </c>
      <c r="O4602">
        <v>2.2111774</v>
      </c>
      <c r="P4602">
        <v>83.757575759999995</v>
      </c>
      <c r="Q4602">
        <v>22.60997987</v>
      </c>
      <c r="R4602">
        <v>0.72884000000000004</v>
      </c>
      <c r="S4602">
        <v>0.21301339999999999</v>
      </c>
      <c r="T4602" t="s">
        <v>1040</v>
      </c>
      <c r="U4602">
        <v>1.9981640000000001</v>
      </c>
    </row>
    <row r="4603" spans="1:21" x14ac:dyDescent="0.25">
      <c r="A4603" t="s">
        <v>22</v>
      </c>
      <c r="B4603" t="s">
        <v>925</v>
      </c>
      <c r="C4603">
        <v>17</v>
      </c>
      <c r="D4603" t="s">
        <v>23</v>
      </c>
      <c r="E4603" t="s">
        <v>95</v>
      </c>
      <c r="F4603" t="s">
        <v>112</v>
      </c>
      <c r="G4603" t="s">
        <v>103</v>
      </c>
      <c r="H4603" t="s">
        <v>247</v>
      </c>
      <c r="J4603">
        <v>0</v>
      </c>
      <c r="K4603">
        <v>1</v>
      </c>
      <c r="L4603">
        <v>65.09375</v>
      </c>
      <c r="M4603">
        <v>37.895352600000002</v>
      </c>
      <c r="N4603">
        <v>2.2882677779999998</v>
      </c>
      <c r="O4603">
        <v>2.2111774</v>
      </c>
      <c r="P4603">
        <v>65.791044779999993</v>
      </c>
      <c r="Q4603">
        <v>22.94519201</v>
      </c>
      <c r="R4603">
        <v>8.1320334999999994E-2</v>
      </c>
      <c r="S4603">
        <v>0.17285655</v>
      </c>
      <c r="T4603" t="s">
        <v>1040</v>
      </c>
      <c r="U4603">
        <v>2.0383208499999999</v>
      </c>
    </row>
    <row r="4604" spans="1:21" x14ac:dyDescent="0.25">
      <c r="A4604" t="s">
        <v>22</v>
      </c>
      <c r="B4604" t="s">
        <v>925</v>
      </c>
      <c r="C4604">
        <v>18</v>
      </c>
      <c r="D4604" t="s">
        <v>23</v>
      </c>
      <c r="E4604" t="s">
        <v>95</v>
      </c>
      <c r="F4604" t="s">
        <v>112</v>
      </c>
      <c r="G4604" t="s">
        <v>103</v>
      </c>
      <c r="H4604" t="s">
        <v>248</v>
      </c>
      <c r="J4604">
        <v>0</v>
      </c>
      <c r="K4604">
        <v>3</v>
      </c>
      <c r="L4604">
        <v>65.09375</v>
      </c>
      <c r="M4604">
        <v>37.895352600000002</v>
      </c>
      <c r="N4604">
        <v>2.2882677779999998</v>
      </c>
      <c r="O4604">
        <v>2.2111774</v>
      </c>
      <c r="P4604">
        <v>83.92307692</v>
      </c>
      <c r="Q4604">
        <v>44.319135699999997</v>
      </c>
      <c r="R4604">
        <v>5.9548609999999997E-3</v>
      </c>
      <c r="S4604">
        <v>0.18017928</v>
      </c>
      <c r="T4604" t="s">
        <v>1040</v>
      </c>
      <c r="U4604">
        <v>2.03099812</v>
      </c>
    </row>
    <row r="4605" spans="1:21" x14ac:dyDescent="0.25">
      <c r="A4605" t="s">
        <v>22</v>
      </c>
      <c r="B4605" t="s">
        <v>925</v>
      </c>
      <c r="C4605">
        <v>18</v>
      </c>
      <c r="D4605" t="s">
        <v>23</v>
      </c>
      <c r="E4605" t="s">
        <v>95</v>
      </c>
      <c r="F4605" t="s">
        <v>112</v>
      </c>
      <c r="G4605" t="s">
        <v>103</v>
      </c>
      <c r="H4605" t="s">
        <v>248</v>
      </c>
      <c r="J4605">
        <v>0</v>
      </c>
      <c r="K4605">
        <v>3</v>
      </c>
      <c r="L4605">
        <v>65.09375</v>
      </c>
      <c r="M4605">
        <v>37.895352600000002</v>
      </c>
      <c r="N4605">
        <v>2.2882677779999998</v>
      </c>
      <c r="O4605">
        <v>2.2111774</v>
      </c>
      <c r="P4605">
        <v>83.92307692</v>
      </c>
      <c r="Q4605">
        <v>44.319135699999997</v>
      </c>
      <c r="R4605">
        <v>5.9548609999999997E-3</v>
      </c>
      <c r="S4605">
        <v>0.18017928</v>
      </c>
      <c r="T4605" t="s">
        <v>1040</v>
      </c>
      <c r="U4605">
        <v>2.03099812</v>
      </c>
    </row>
    <row r="4606" spans="1:21" x14ac:dyDescent="0.25">
      <c r="A4606" t="s">
        <v>22</v>
      </c>
      <c r="B4606" t="s">
        <v>925</v>
      </c>
      <c r="C4606">
        <v>18</v>
      </c>
      <c r="D4606" t="s">
        <v>23</v>
      </c>
      <c r="E4606" t="s">
        <v>95</v>
      </c>
      <c r="F4606" t="s">
        <v>112</v>
      </c>
      <c r="G4606" t="s">
        <v>103</v>
      </c>
      <c r="H4606" t="s">
        <v>248</v>
      </c>
      <c r="J4606">
        <v>0</v>
      </c>
      <c r="K4606">
        <v>3</v>
      </c>
      <c r="L4606">
        <v>65.09375</v>
      </c>
      <c r="M4606">
        <v>37.895352600000002</v>
      </c>
      <c r="N4606">
        <v>2.2882677779999998</v>
      </c>
      <c r="O4606">
        <v>2.2111774</v>
      </c>
      <c r="P4606">
        <v>83.92307692</v>
      </c>
      <c r="Q4606">
        <v>44.319135699999997</v>
      </c>
      <c r="R4606">
        <v>5.9548609999999997E-3</v>
      </c>
      <c r="S4606">
        <v>0.18017928</v>
      </c>
      <c r="T4606" t="s">
        <v>1040</v>
      </c>
      <c r="U4606">
        <v>2.03099812</v>
      </c>
    </row>
    <row r="4607" spans="1:21" x14ac:dyDescent="0.25">
      <c r="A4607" t="s">
        <v>24</v>
      </c>
      <c r="B4607" t="s">
        <v>926</v>
      </c>
      <c r="C4607">
        <v>15</v>
      </c>
      <c r="D4607" t="s">
        <v>25</v>
      </c>
      <c r="E4607" t="s">
        <v>95</v>
      </c>
      <c r="F4607" t="s">
        <v>105</v>
      </c>
      <c r="G4607" t="s">
        <v>121</v>
      </c>
      <c r="H4607" t="s">
        <v>111</v>
      </c>
      <c r="J4607">
        <v>0</v>
      </c>
      <c r="K4607">
        <v>1</v>
      </c>
      <c r="L4607">
        <v>67.5</v>
      </c>
      <c r="M4607">
        <v>47.937235809999997</v>
      </c>
      <c r="N4607">
        <v>0.41599678000000001</v>
      </c>
      <c r="O4607">
        <v>2.0950346999999998</v>
      </c>
      <c r="P4607">
        <v>94.97142857</v>
      </c>
      <c r="Q4607">
        <v>24.31591813</v>
      </c>
      <c r="R4607">
        <v>0.122951111</v>
      </c>
      <c r="S4607">
        <v>0.39050790000000002</v>
      </c>
      <c r="T4607" t="s">
        <v>1040</v>
      </c>
      <c r="U4607">
        <v>1.7045267999999998</v>
      </c>
    </row>
    <row r="4608" spans="1:21" x14ac:dyDescent="0.25">
      <c r="A4608" t="s">
        <v>24</v>
      </c>
      <c r="B4608" t="s">
        <v>926</v>
      </c>
      <c r="C4608">
        <v>16</v>
      </c>
      <c r="D4608" t="s">
        <v>25</v>
      </c>
      <c r="E4608" t="s">
        <v>95</v>
      </c>
      <c r="F4608" t="s">
        <v>105</v>
      </c>
      <c r="G4608" t="s">
        <v>121</v>
      </c>
      <c r="H4608" t="s">
        <v>104</v>
      </c>
      <c r="J4608">
        <v>0</v>
      </c>
      <c r="K4608">
        <v>1</v>
      </c>
      <c r="L4608">
        <v>67.5</v>
      </c>
      <c r="M4608">
        <v>47.937235809999997</v>
      </c>
      <c r="N4608">
        <v>0.41599678000000001</v>
      </c>
      <c r="O4608">
        <v>2.0950346999999998</v>
      </c>
      <c r="P4608">
        <v>113.9375</v>
      </c>
      <c r="Q4608">
        <v>33.375507550000002</v>
      </c>
      <c r="R4608">
        <v>2.4262999999999999</v>
      </c>
      <c r="S4608">
        <v>0.40692159999999999</v>
      </c>
      <c r="T4608" t="s">
        <v>1040</v>
      </c>
      <c r="U4608">
        <v>1.6881130999999998</v>
      </c>
    </row>
    <row r="4609" spans="1:21" x14ac:dyDescent="0.25">
      <c r="A4609" t="s">
        <v>24</v>
      </c>
      <c r="B4609" t="s">
        <v>927</v>
      </c>
      <c r="C4609">
        <v>15</v>
      </c>
      <c r="D4609" t="s">
        <v>25</v>
      </c>
      <c r="E4609" t="s">
        <v>95</v>
      </c>
      <c r="F4609" t="s">
        <v>112</v>
      </c>
      <c r="G4609" t="s">
        <v>112</v>
      </c>
      <c r="H4609" t="s">
        <v>112</v>
      </c>
      <c r="J4609">
        <v>0</v>
      </c>
      <c r="K4609">
        <v>1</v>
      </c>
      <c r="L4609">
        <v>65.09375</v>
      </c>
      <c r="M4609">
        <v>37.895352600000002</v>
      </c>
      <c r="N4609">
        <v>2.2882677779999998</v>
      </c>
      <c r="O4609">
        <v>2.2111774</v>
      </c>
      <c r="P4609">
        <v>65.09375</v>
      </c>
      <c r="Q4609">
        <v>37.895352600000002</v>
      </c>
      <c r="R4609">
        <v>2.2882677779999998</v>
      </c>
      <c r="S4609">
        <v>2.2111774</v>
      </c>
      <c r="T4609" t="s">
        <v>1040</v>
      </c>
      <c r="U4609">
        <v>0</v>
      </c>
    </row>
    <row r="4610" spans="1:21" x14ac:dyDescent="0.25">
      <c r="A4610" t="s">
        <v>26</v>
      </c>
      <c r="B4610" t="s">
        <v>928</v>
      </c>
      <c r="C4610">
        <v>15</v>
      </c>
      <c r="D4610" t="s">
        <v>27</v>
      </c>
      <c r="E4610" t="s">
        <v>95</v>
      </c>
      <c r="F4610" t="s">
        <v>105</v>
      </c>
      <c r="G4610" t="s">
        <v>102</v>
      </c>
      <c r="H4610" t="s">
        <v>102</v>
      </c>
      <c r="J4610">
        <v>0</v>
      </c>
      <c r="K4610">
        <v>1</v>
      </c>
      <c r="L4610">
        <v>67.5</v>
      </c>
      <c r="M4610">
        <v>47.937235809999997</v>
      </c>
      <c r="N4610">
        <v>0.41599678000000001</v>
      </c>
      <c r="O4610">
        <v>2.0950346999999998</v>
      </c>
      <c r="P4610">
        <v>84.740740740000007</v>
      </c>
      <c r="Q4610">
        <v>29.167014049999999</v>
      </c>
      <c r="R4610">
        <v>1.1169849999999999</v>
      </c>
      <c r="S4610">
        <v>1.1571499000000001</v>
      </c>
      <c r="T4610" t="s">
        <v>1040</v>
      </c>
      <c r="U4610">
        <v>0.93788479999999974</v>
      </c>
    </row>
    <row r="4611" spans="1:21" x14ac:dyDescent="0.25">
      <c r="A4611" t="s">
        <v>26</v>
      </c>
      <c r="B4611" t="s">
        <v>928</v>
      </c>
      <c r="C4611">
        <v>16</v>
      </c>
      <c r="D4611" t="s">
        <v>27</v>
      </c>
      <c r="E4611" t="s">
        <v>95</v>
      </c>
      <c r="F4611" t="s">
        <v>105</v>
      </c>
      <c r="G4611" t="s">
        <v>102</v>
      </c>
      <c r="H4611" t="s">
        <v>111</v>
      </c>
      <c r="J4611">
        <v>0</v>
      </c>
      <c r="K4611">
        <v>1</v>
      </c>
      <c r="L4611">
        <v>67.5</v>
      </c>
      <c r="M4611">
        <v>47.937235809999997</v>
      </c>
      <c r="N4611">
        <v>0.41599678000000001</v>
      </c>
      <c r="O4611">
        <v>2.0950346999999998</v>
      </c>
      <c r="P4611">
        <v>94.97142857</v>
      </c>
      <c r="Q4611">
        <v>24.31591813</v>
      </c>
      <c r="R4611">
        <v>0.122951111</v>
      </c>
      <c r="S4611">
        <v>0.39050790000000002</v>
      </c>
      <c r="T4611" t="s">
        <v>1040</v>
      </c>
      <c r="U4611">
        <v>1.7045267999999998</v>
      </c>
    </row>
    <row r="4612" spans="1:21" x14ac:dyDescent="0.25">
      <c r="A4612" t="s">
        <v>26</v>
      </c>
      <c r="B4612" t="s">
        <v>928</v>
      </c>
      <c r="C4612">
        <v>17</v>
      </c>
      <c r="D4612" t="s">
        <v>27</v>
      </c>
      <c r="E4612" t="s">
        <v>95</v>
      </c>
      <c r="F4612" t="s">
        <v>105</v>
      </c>
      <c r="G4612" t="s">
        <v>102</v>
      </c>
      <c r="H4612" t="s">
        <v>242</v>
      </c>
      <c r="J4612">
        <v>0</v>
      </c>
      <c r="K4612">
        <v>1</v>
      </c>
      <c r="L4612">
        <v>67.5</v>
      </c>
      <c r="M4612">
        <v>47.937235809999997</v>
      </c>
      <c r="N4612">
        <v>0.41599678000000001</v>
      </c>
      <c r="O4612">
        <v>2.0950346999999998</v>
      </c>
      <c r="P4612">
        <v>139.375</v>
      </c>
      <c r="Q4612">
        <v>23.713465920000001</v>
      </c>
      <c r="R4612" t="s">
        <v>114</v>
      </c>
      <c r="S4612" t="s">
        <v>114</v>
      </c>
      <c r="T4612" t="s">
        <v>1040</v>
      </c>
      <c r="U4612" t="s">
        <v>114</v>
      </c>
    </row>
    <row r="4613" spans="1:21" x14ac:dyDescent="0.25">
      <c r="A4613" t="s">
        <v>26</v>
      </c>
      <c r="B4613" t="s">
        <v>929</v>
      </c>
      <c r="C4613">
        <v>15</v>
      </c>
      <c r="D4613" t="s">
        <v>27</v>
      </c>
      <c r="E4613" t="s">
        <v>95</v>
      </c>
      <c r="F4613" t="s">
        <v>110</v>
      </c>
      <c r="G4613" t="s">
        <v>111</v>
      </c>
      <c r="H4613" t="s">
        <v>111</v>
      </c>
      <c r="J4613">
        <v>0</v>
      </c>
      <c r="K4613">
        <v>1</v>
      </c>
      <c r="L4613">
        <v>73.260869569999997</v>
      </c>
      <c r="M4613">
        <v>34.453830549999999</v>
      </c>
      <c r="N4613">
        <v>1.058333333</v>
      </c>
      <c r="O4613">
        <v>0.90897070000000002</v>
      </c>
      <c r="P4613">
        <v>94.97142857</v>
      </c>
      <c r="Q4613">
        <v>24.31591813</v>
      </c>
      <c r="R4613">
        <v>0.122951111</v>
      </c>
      <c r="S4613">
        <v>0.39050790000000002</v>
      </c>
      <c r="T4613" t="s">
        <v>1040</v>
      </c>
      <c r="U4613">
        <v>0.5184628</v>
      </c>
    </row>
    <row r="4614" spans="1:21" x14ac:dyDescent="0.25">
      <c r="A4614" t="s">
        <v>26</v>
      </c>
      <c r="B4614" t="s">
        <v>929</v>
      </c>
      <c r="C4614">
        <v>16</v>
      </c>
      <c r="D4614" t="s">
        <v>27</v>
      </c>
      <c r="E4614" t="s">
        <v>95</v>
      </c>
      <c r="F4614" t="s">
        <v>110</v>
      </c>
      <c r="G4614" t="s">
        <v>111</v>
      </c>
      <c r="H4614" t="s">
        <v>242</v>
      </c>
      <c r="J4614">
        <v>0</v>
      </c>
      <c r="K4614">
        <v>8</v>
      </c>
      <c r="L4614">
        <v>73.260869569999997</v>
      </c>
      <c r="M4614">
        <v>34.453830549999999</v>
      </c>
      <c r="N4614">
        <v>1.058333333</v>
      </c>
      <c r="O4614">
        <v>0.90897070000000002</v>
      </c>
      <c r="P4614">
        <v>139.375</v>
      </c>
      <c r="Q4614">
        <v>23.713465920000001</v>
      </c>
      <c r="R4614" t="s">
        <v>114</v>
      </c>
      <c r="S4614" t="s">
        <v>114</v>
      </c>
      <c r="T4614" t="s">
        <v>1040</v>
      </c>
      <c r="U4614" t="s">
        <v>114</v>
      </c>
    </row>
    <row r="4615" spans="1:21" x14ac:dyDescent="0.25">
      <c r="A4615" t="s">
        <v>26</v>
      </c>
      <c r="B4615" t="s">
        <v>929</v>
      </c>
      <c r="C4615">
        <v>16</v>
      </c>
      <c r="D4615" t="s">
        <v>27</v>
      </c>
      <c r="E4615" t="s">
        <v>95</v>
      </c>
      <c r="F4615" t="s">
        <v>110</v>
      </c>
      <c r="G4615" t="s">
        <v>111</v>
      </c>
      <c r="H4615" t="s">
        <v>242</v>
      </c>
      <c r="J4615">
        <v>0</v>
      </c>
      <c r="K4615">
        <v>8</v>
      </c>
      <c r="L4615">
        <v>73.260869569999997</v>
      </c>
      <c r="M4615">
        <v>34.453830549999999</v>
      </c>
      <c r="N4615">
        <v>1.058333333</v>
      </c>
      <c r="O4615">
        <v>0.90897070000000002</v>
      </c>
      <c r="P4615">
        <v>139.375</v>
      </c>
      <c r="Q4615">
        <v>23.713465920000001</v>
      </c>
      <c r="R4615" t="s">
        <v>114</v>
      </c>
      <c r="S4615" t="s">
        <v>114</v>
      </c>
      <c r="T4615" t="s">
        <v>1040</v>
      </c>
      <c r="U4615" t="s">
        <v>114</v>
      </c>
    </row>
    <row r="4616" spans="1:21" x14ac:dyDescent="0.25">
      <c r="A4616" t="s">
        <v>26</v>
      </c>
      <c r="B4616" t="s">
        <v>929</v>
      </c>
      <c r="C4616">
        <v>16</v>
      </c>
      <c r="D4616" t="s">
        <v>27</v>
      </c>
      <c r="E4616" t="s">
        <v>95</v>
      </c>
      <c r="F4616" t="s">
        <v>110</v>
      </c>
      <c r="G4616" t="s">
        <v>111</v>
      </c>
      <c r="H4616" t="s">
        <v>242</v>
      </c>
      <c r="J4616">
        <v>0</v>
      </c>
      <c r="K4616">
        <v>8</v>
      </c>
      <c r="L4616">
        <v>73.260869569999997</v>
      </c>
      <c r="M4616">
        <v>34.453830549999999</v>
      </c>
      <c r="N4616">
        <v>1.058333333</v>
      </c>
      <c r="O4616">
        <v>0.90897070000000002</v>
      </c>
      <c r="P4616">
        <v>139.375</v>
      </c>
      <c r="Q4616">
        <v>23.713465920000001</v>
      </c>
      <c r="R4616" t="s">
        <v>114</v>
      </c>
      <c r="S4616" t="s">
        <v>114</v>
      </c>
      <c r="T4616" t="s">
        <v>1040</v>
      </c>
      <c r="U4616" t="s">
        <v>114</v>
      </c>
    </row>
    <row r="4617" spans="1:21" x14ac:dyDescent="0.25">
      <c r="A4617" t="s">
        <v>26</v>
      </c>
      <c r="B4617" t="s">
        <v>929</v>
      </c>
      <c r="C4617">
        <v>16</v>
      </c>
      <c r="D4617" t="s">
        <v>27</v>
      </c>
      <c r="E4617" t="s">
        <v>95</v>
      </c>
      <c r="F4617" t="s">
        <v>110</v>
      </c>
      <c r="G4617" t="s">
        <v>111</v>
      </c>
      <c r="H4617" t="s">
        <v>242</v>
      </c>
      <c r="J4617">
        <v>0</v>
      </c>
      <c r="K4617">
        <v>8</v>
      </c>
      <c r="L4617">
        <v>73.260869569999997</v>
      </c>
      <c r="M4617">
        <v>34.453830549999999</v>
      </c>
      <c r="N4617">
        <v>1.058333333</v>
      </c>
      <c r="O4617">
        <v>0.90897070000000002</v>
      </c>
      <c r="P4617">
        <v>139.375</v>
      </c>
      <c r="Q4617">
        <v>23.713465920000001</v>
      </c>
      <c r="R4617" t="s">
        <v>114</v>
      </c>
      <c r="S4617" t="s">
        <v>114</v>
      </c>
      <c r="T4617" t="s">
        <v>1040</v>
      </c>
      <c r="U4617" t="s">
        <v>114</v>
      </c>
    </row>
    <row r="4618" spans="1:21" x14ac:dyDescent="0.25">
      <c r="A4618" t="s">
        <v>26</v>
      </c>
      <c r="B4618" t="s">
        <v>929</v>
      </c>
      <c r="C4618">
        <v>16</v>
      </c>
      <c r="D4618" t="s">
        <v>27</v>
      </c>
      <c r="E4618" t="s">
        <v>95</v>
      </c>
      <c r="F4618" t="s">
        <v>110</v>
      </c>
      <c r="G4618" t="s">
        <v>111</v>
      </c>
      <c r="H4618" t="s">
        <v>242</v>
      </c>
      <c r="J4618">
        <v>0</v>
      </c>
      <c r="K4618">
        <v>8</v>
      </c>
      <c r="L4618">
        <v>73.260869569999997</v>
      </c>
      <c r="M4618">
        <v>34.453830549999999</v>
      </c>
      <c r="N4618">
        <v>1.058333333</v>
      </c>
      <c r="O4618">
        <v>0.90897070000000002</v>
      </c>
      <c r="P4618">
        <v>139.375</v>
      </c>
      <c r="Q4618">
        <v>23.713465920000001</v>
      </c>
      <c r="R4618" t="s">
        <v>114</v>
      </c>
      <c r="S4618" t="s">
        <v>114</v>
      </c>
      <c r="T4618" t="s">
        <v>1040</v>
      </c>
      <c r="U4618" t="s">
        <v>114</v>
      </c>
    </row>
    <row r="4619" spans="1:21" x14ac:dyDescent="0.25">
      <c r="A4619" t="s">
        <v>26</v>
      </c>
      <c r="B4619" t="s">
        <v>929</v>
      </c>
      <c r="C4619">
        <v>16</v>
      </c>
      <c r="D4619" t="s">
        <v>27</v>
      </c>
      <c r="E4619" t="s">
        <v>95</v>
      </c>
      <c r="F4619" t="s">
        <v>110</v>
      </c>
      <c r="G4619" t="s">
        <v>111</v>
      </c>
      <c r="H4619" t="s">
        <v>242</v>
      </c>
      <c r="J4619">
        <v>0</v>
      </c>
      <c r="K4619">
        <v>8</v>
      </c>
      <c r="L4619">
        <v>73.260869569999997</v>
      </c>
      <c r="M4619">
        <v>34.453830549999999</v>
      </c>
      <c r="N4619">
        <v>1.058333333</v>
      </c>
      <c r="O4619">
        <v>0.90897070000000002</v>
      </c>
      <c r="P4619">
        <v>139.375</v>
      </c>
      <c r="Q4619">
        <v>23.713465920000001</v>
      </c>
      <c r="R4619" t="s">
        <v>114</v>
      </c>
      <c r="S4619" t="s">
        <v>114</v>
      </c>
      <c r="T4619" t="s">
        <v>1040</v>
      </c>
      <c r="U4619" t="s">
        <v>114</v>
      </c>
    </row>
    <row r="4620" spans="1:21" x14ac:dyDescent="0.25">
      <c r="A4620" t="s">
        <v>26</v>
      </c>
      <c r="B4620" t="s">
        <v>929</v>
      </c>
      <c r="C4620">
        <v>16</v>
      </c>
      <c r="D4620" t="s">
        <v>27</v>
      </c>
      <c r="E4620" t="s">
        <v>95</v>
      </c>
      <c r="F4620" t="s">
        <v>110</v>
      </c>
      <c r="G4620" t="s">
        <v>111</v>
      </c>
      <c r="H4620" t="s">
        <v>242</v>
      </c>
      <c r="J4620">
        <v>0</v>
      </c>
      <c r="K4620">
        <v>8</v>
      </c>
      <c r="L4620">
        <v>73.260869569999997</v>
      </c>
      <c r="M4620">
        <v>34.453830549999999</v>
      </c>
      <c r="N4620">
        <v>1.058333333</v>
      </c>
      <c r="O4620">
        <v>0.90897070000000002</v>
      </c>
      <c r="P4620">
        <v>139.375</v>
      </c>
      <c r="Q4620">
        <v>23.713465920000001</v>
      </c>
      <c r="R4620" t="s">
        <v>114</v>
      </c>
      <c r="S4620" t="s">
        <v>114</v>
      </c>
      <c r="T4620" t="s">
        <v>1040</v>
      </c>
      <c r="U4620" t="s">
        <v>114</v>
      </c>
    </row>
    <row r="4621" spans="1:21" x14ac:dyDescent="0.25">
      <c r="A4621" t="s">
        <v>26</v>
      </c>
      <c r="B4621" t="s">
        <v>929</v>
      </c>
      <c r="C4621">
        <v>16</v>
      </c>
      <c r="D4621" t="s">
        <v>27</v>
      </c>
      <c r="E4621" t="s">
        <v>95</v>
      </c>
      <c r="F4621" t="s">
        <v>110</v>
      </c>
      <c r="G4621" t="s">
        <v>111</v>
      </c>
      <c r="H4621" t="s">
        <v>242</v>
      </c>
      <c r="J4621">
        <v>0</v>
      </c>
      <c r="K4621">
        <v>8</v>
      </c>
      <c r="L4621">
        <v>73.260869569999997</v>
      </c>
      <c r="M4621">
        <v>34.453830549999999</v>
      </c>
      <c r="N4621">
        <v>1.058333333</v>
      </c>
      <c r="O4621">
        <v>0.90897070000000002</v>
      </c>
      <c r="P4621">
        <v>139.375</v>
      </c>
      <c r="Q4621">
        <v>23.713465920000001</v>
      </c>
      <c r="R4621" t="s">
        <v>114</v>
      </c>
      <c r="S4621" t="s">
        <v>114</v>
      </c>
      <c r="T4621" t="s">
        <v>1040</v>
      </c>
      <c r="U4621" t="s">
        <v>114</v>
      </c>
    </row>
    <row r="4622" spans="1:21" x14ac:dyDescent="0.25">
      <c r="A4622" t="s">
        <v>26</v>
      </c>
      <c r="B4622" t="s">
        <v>930</v>
      </c>
      <c r="C4622">
        <v>15</v>
      </c>
      <c r="D4622" t="s">
        <v>27</v>
      </c>
      <c r="E4622" t="s">
        <v>95</v>
      </c>
      <c r="F4622" t="s">
        <v>111</v>
      </c>
      <c r="G4622" t="s">
        <v>102</v>
      </c>
      <c r="H4622" t="s">
        <v>244</v>
      </c>
      <c r="J4622">
        <v>0</v>
      </c>
      <c r="K4622">
        <v>1</v>
      </c>
      <c r="L4622">
        <v>94.97142857</v>
      </c>
      <c r="M4622">
        <v>24.31591813</v>
      </c>
      <c r="N4622">
        <v>0.122951111</v>
      </c>
      <c r="O4622">
        <v>0.39050790000000002</v>
      </c>
      <c r="P4622">
        <v>75</v>
      </c>
      <c r="Q4622">
        <v>28.80614499</v>
      </c>
      <c r="R4622">
        <v>2.3860428570000001</v>
      </c>
      <c r="S4622">
        <v>0.26400832000000002</v>
      </c>
      <c r="T4622" t="s">
        <v>1040</v>
      </c>
      <c r="U4622">
        <v>0.12649958</v>
      </c>
    </row>
    <row r="4623" spans="1:21" x14ac:dyDescent="0.25">
      <c r="A4623" t="s">
        <v>26</v>
      </c>
      <c r="B4623" t="s">
        <v>930</v>
      </c>
      <c r="C4623">
        <v>16</v>
      </c>
      <c r="D4623" t="s">
        <v>27</v>
      </c>
      <c r="E4623" t="s">
        <v>95</v>
      </c>
      <c r="F4623" t="s">
        <v>111</v>
      </c>
      <c r="G4623" t="s">
        <v>102</v>
      </c>
      <c r="H4623" t="s">
        <v>236</v>
      </c>
      <c r="J4623">
        <v>0</v>
      </c>
      <c r="K4623">
        <v>1</v>
      </c>
      <c r="L4623">
        <v>94.97142857</v>
      </c>
      <c r="M4623">
        <v>24.31591813</v>
      </c>
      <c r="N4623">
        <v>0.122951111</v>
      </c>
      <c r="O4623">
        <v>0.39050790000000002</v>
      </c>
      <c r="P4623">
        <v>113.33333330000001</v>
      </c>
      <c r="Q4623">
        <v>26.41632581</v>
      </c>
      <c r="R4623">
        <v>1.6844570160000001</v>
      </c>
      <c r="S4623">
        <v>8.9285710000000004E-2</v>
      </c>
      <c r="T4623" t="s">
        <v>1040</v>
      </c>
      <c r="U4623">
        <v>0.30122219</v>
      </c>
    </row>
    <row r="4624" spans="1:21" x14ac:dyDescent="0.25">
      <c r="A4624" t="s">
        <v>26</v>
      </c>
      <c r="B4624" t="s">
        <v>930</v>
      </c>
      <c r="C4624">
        <v>17</v>
      </c>
      <c r="D4624" t="s">
        <v>27</v>
      </c>
      <c r="E4624" t="s">
        <v>95</v>
      </c>
      <c r="F4624" t="s">
        <v>111</v>
      </c>
      <c r="G4624" t="s">
        <v>102</v>
      </c>
      <c r="H4624" t="s">
        <v>102</v>
      </c>
      <c r="J4624">
        <v>0</v>
      </c>
      <c r="K4624">
        <v>1</v>
      </c>
      <c r="L4624">
        <v>94.97142857</v>
      </c>
      <c r="M4624">
        <v>24.31591813</v>
      </c>
      <c r="N4624">
        <v>0.122951111</v>
      </c>
      <c r="O4624">
        <v>0.39050790000000002</v>
      </c>
      <c r="P4624">
        <v>84.740740740000007</v>
      </c>
      <c r="Q4624">
        <v>29.167014049999999</v>
      </c>
      <c r="R4624">
        <v>1.1169849999999999</v>
      </c>
      <c r="S4624">
        <v>1.1571499000000001</v>
      </c>
      <c r="T4624" t="s">
        <v>1040</v>
      </c>
      <c r="U4624">
        <v>-0.76664200000000005</v>
      </c>
    </row>
    <row r="4625" spans="1:21" x14ac:dyDescent="0.25">
      <c r="A4625" t="s">
        <v>26</v>
      </c>
      <c r="B4625" t="s">
        <v>930</v>
      </c>
      <c r="C4625">
        <v>18</v>
      </c>
      <c r="D4625" t="s">
        <v>27</v>
      </c>
      <c r="E4625" t="s">
        <v>95</v>
      </c>
      <c r="F4625" t="s">
        <v>111</v>
      </c>
      <c r="G4625" t="s">
        <v>102</v>
      </c>
      <c r="H4625" t="s">
        <v>242</v>
      </c>
      <c r="J4625">
        <v>0</v>
      </c>
      <c r="K4625">
        <v>3</v>
      </c>
      <c r="L4625">
        <v>94.97142857</v>
      </c>
      <c r="M4625">
        <v>24.31591813</v>
      </c>
      <c r="N4625">
        <v>0.122951111</v>
      </c>
      <c r="O4625">
        <v>0.39050790000000002</v>
      </c>
      <c r="P4625">
        <v>139.375</v>
      </c>
      <c r="Q4625">
        <v>23.713465920000001</v>
      </c>
      <c r="R4625" t="s">
        <v>114</v>
      </c>
      <c r="S4625" t="s">
        <v>114</v>
      </c>
      <c r="T4625" t="s">
        <v>1040</v>
      </c>
      <c r="U4625" t="s">
        <v>114</v>
      </c>
    </row>
    <row r="4626" spans="1:21" x14ac:dyDescent="0.25">
      <c r="A4626" t="s">
        <v>26</v>
      </c>
      <c r="B4626" t="s">
        <v>930</v>
      </c>
      <c r="C4626">
        <v>18</v>
      </c>
      <c r="D4626" t="s">
        <v>27</v>
      </c>
      <c r="E4626" t="s">
        <v>95</v>
      </c>
      <c r="F4626" t="s">
        <v>111</v>
      </c>
      <c r="G4626" t="s">
        <v>102</v>
      </c>
      <c r="H4626" t="s">
        <v>242</v>
      </c>
      <c r="J4626">
        <v>0</v>
      </c>
      <c r="K4626">
        <v>3</v>
      </c>
      <c r="L4626">
        <v>94.97142857</v>
      </c>
      <c r="M4626">
        <v>24.31591813</v>
      </c>
      <c r="N4626">
        <v>0.122951111</v>
      </c>
      <c r="O4626">
        <v>0.39050790000000002</v>
      </c>
      <c r="P4626">
        <v>139.375</v>
      </c>
      <c r="Q4626">
        <v>23.713465920000001</v>
      </c>
      <c r="R4626" t="s">
        <v>114</v>
      </c>
      <c r="S4626" t="s">
        <v>114</v>
      </c>
      <c r="T4626" t="s">
        <v>1040</v>
      </c>
      <c r="U4626" t="s">
        <v>114</v>
      </c>
    </row>
    <row r="4627" spans="1:21" x14ac:dyDescent="0.25">
      <c r="A4627" t="s">
        <v>26</v>
      </c>
      <c r="B4627" t="s">
        <v>930</v>
      </c>
      <c r="C4627">
        <v>18</v>
      </c>
      <c r="D4627" t="s">
        <v>27</v>
      </c>
      <c r="E4627" t="s">
        <v>95</v>
      </c>
      <c r="F4627" t="s">
        <v>111</v>
      </c>
      <c r="G4627" t="s">
        <v>102</v>
      </c>
      <c r="H4627" t="s">
        <v>242</v>
      </c>
      <c r="J4627">
        <v>0</v>
      </c>
      <c r="K4627">
        <v>3</v>
      </c>
      <c r="L4627">
        <v>94.97142857</v>
      </c>
      <c r="M4627">
        <v>24.31591813</v>
      </c>
      <c r="N4627">
        <v>0.122951111</v>
      </c>
      <c r="O4627">
        <v>0.39050790000000002</v>
      </c>
      <c r="P4627">
        <v>139.375</v>
      </c>
      <c r="Q4627">
        <v>23.713465920000001</v>
      </c>
      <c r="R4627" t="s">
        <v>114</v>
      </c>
      <c r="S4627" t="s">
        <v>114</v>
      </c>
      <c r="T4627" t="s">
        <v>1040</v>
      </c>
      <c r="U4627" t="s">
        <v>114</v>
      </c>
    </row>
    <row r="4628" spans="1:21" x14ac:dyDescent="0.25">
      <c r="A4628" t="s">
        <v>28</v>
      </c>
      <c r="B4628" t="s">
        <v>931</v>
      </c>
      <c r="C4628">
        <v>15</v>
      </c>
      <c r="D4628" t="s">
        <v>29</v>
      </c>
      <c r="E4628" t="s">
        <v>94</v>
      </c>
      <c r="F4628" t="s">
        <v>113</v>
      </c>
      <c r="G4628" t="s">
        <v>113</v>
      </c>
      <c r="H4628" t="s">
        <v>113</v>
      </c>
      <c r="J4628">
        <v>0</v>
      </c>
      <c r="K4628">
        <v>2</v>
      </c>
      <c r="L4628">
        <v>83.757575759999995</v>
      </c>
      <c r="M4628">
        <v>22.60997987</v>
      </c>
      <c r="N4628">
        <v>0.72884000000000004</v>
      </c>
      <c r="O4628">
        <v>0.21301339999999999</v>
      </c>
      <c r="P4628">
        <v>83.757575759999995</v>
      </c>
      <c r="Q4628">
        <v>22.60997987</v>
      </c>
      <c r="R4628">
        <v>0.72884000000000004</v>
      </c>
      <c r="S4628">
        <v>0.21301339999999999</v>
      </c>
      <c r="T4628" t="s">
        <v>1040</v>
      </c>
      <c r="U4628">
        <v>0</v>
      </c>
    </row>
    <row r="4629" spans="1:21" x14ac:dyDescent="0.25">
      <c r="A4629" t="s">
        <v>28</v>
      </c>
      <c r="B4629" t="s">
        <v>931</v>
      </c>
      <c r="C4629">
        <v>15</v>
      </c>
      <c r="D4629" t="s">
        <v>29</v>
      </c>
      <c r="E4629" t="s">
        <v>94</v>
      </c>
      <c r="F4629" t="s">
        <v>113</v>
      </c>
      <c r="G4629" t="s">
        <v>113</v>
      </c>
      <c r="H4629" t="s">
        <v>113</v>
      </c>
      <c r="J4629">
        <v>0</v>
      </c>
      <c r="K4629">
        <v>2</v>
      </c>
      <c r="L4629">
        <v>83.757575759999995</v>
      </c>
      <c r="M4629">
        <v>22.60997987</v>
      </c>
      <c r="N4629">
        <v>0.72884000000000004</v>
      </c>
      <c r="O4629">
        <v>0.21301339999999999</v>
      </c>
      <c r="P4629">
        <v>83.757575759999995</v>
      </c>
      <c r="Q4629">
        <v>22.60997987</v>
      </c>
      <c r="R4629">
        <v>0.72884000000000004</v>
      </c>
      <c r="S4629">
        <v>0.21301339999999999</v>
      </c>
      <c r="T4629" t="s">
        <v>1040</v>
      </c>
      <c r="U4629">
        <v>0</v>
      </c>
    </row>
    <row r="4630" spans="1:21" x14ac:dyDescent="0.25">
      <c r="A4630" t="s">
        <v>28</v>
      </c>
      <c r="B4630" t="s">
        <v>931</v>
      </c>
      <c r="C4630">
        <v>16</v>
      </c>
      <c r="D4630" t="s">
        <v>29</v>
      </c>
      <c r="E4630" t="s">
        <v>94</v>
      </c>
      <c r="F4630" t="s">
        <v>113</v>
      </c>
      <c r="G4630" t="s">
        <v>113</v>
      </c>
      <c r="H4630" t="s">
        <v>248</v>
      </c>
      <c r="J4630">
        <v>0</v>
      </c>
      <c r="K4630">
        <v>12</v>
      </c>
      <c r="L4630">
        <v>83.757575759999995</v>
      </c>
      <c r="M4630">
        <v>22.60997987</v>
      </c>
      <c r="N4630">
        <v>0.72884000000000004</v>
      </c>
      <c r="O4630">
        <v>0.21301339999999999</v>
      </c>
      <c r="P4630">
        <v>83.92307692</v>
      </c>
      <c r="Q4630">
        <v>44.319135699999997</v>
      </c>
      <c r="R4630">
        <v>5.9548609999999997E-3</v>
      </c>
      <c r="S4630">
        <v>0.18017928</v>
      </c>
      <c r="T4630" t="s">
        <v>1040</v>
      </c>
      <c r="U4630">
        <v>3.2834119999999994E-2</v>
      </c>
    </row>
    <row r="4631" spans="1:21" x14ac:dyDescent="0.25">
      <c r="A4631" t="s">
        <v>28</v>
      </c>
      <c r="B4631" t="s">
        <v>931</v>
      </c>
      <c r="C4631">
        <v>16</v>
      </c>
      <c r="D4631" t="s">
        <v>29</v>
      </c>
      <c r="E4631" t="s">
        <v>94</v>
      </c>
      <c r="F4631" t="s">
        <v>113</v>
      </c>
      <c r="G4631" t="s">
        <v>113</v>
      </c>
      <c r="H4631" t="s">
        <v>248</v>
      </c>
      <c r="J4631">
        <v>0</v>
      </c>
      <c r="K4631">
        <v>12</v>
      </c>
      <c r="L4631">
        <v>83.757575759999995</v>
      </c>
      <c r="M4631">
        <v>22.60997987</v>
      </c>
      <c r="N4631">
        <v>0.72884000000000004</v>
      </c>
      <c r="O4631">
        <v>0.21301339999999999</v>
      </c>
      <c r="P4631">
        <v>83.92307692</v>
      </c>
      <c r="Q4631">
        <v>44.319135699999997</v>
      </c>
      <c r="R4631">
        <v>5.9548609999999997E-3</v>
      </c>
      <c r="S4631">
        <v>0.18017928</v>
      </c>
      <c r="T4631" t="s">
        <v>1040</v>
      </c>
      <c r="U4631">
        <v>3.2834119999999994E-2</v>
      </c>
    </row>
    <row r="4632" spans="1:21" x14ac:dyDescent="0.25">
      <c r="A4632" t="s">
        <v>28</v>
      </c>
      <c r="B4632" t="s">
        <v>931</v>
      </c>
      <c r="C4632">
        <v>16</v>
      </c>
      <c r="D4632" t="s">
        <v>29</v>
      </c>
      <c r="E4632" t="s">
        <v>94</v>
      </c>
      <c r="F4632" t="s">
        <v>113</v>
      </c>
      <c r="G4632" t="s">
        <v>113</v>
      </c>
      <c r="H4632" t="s">
        <v>248</v>
      </c>
      <c r="J4632">
        <v>0</v>
      </c>
      <c r="K4632">
        <v>12</v>
      </c>
      <c r="L4632">
        <v>83.757575759999995</v>
      </c>
      <c r="M4632">
        <v>22.60997987</v>
      </c>
      <c r="N4632">
        <v>0.72884000000000004</v>
      </c>
      <c r="O4632">
        <v>0.21301339999999999</v>
      </c>
      <c r="P4632">
        <v>83.92307692</v>
      </c>
      <c r="Q4632">
        <v>44.319135699999997</v>
      </c>
      <c r="R4632">
        <v>5.9548609999999997E-3</v>
      </c>
      <c r="S4632">
        <v>0.18017928</v>
      </c>
      <c r="T4632" t="s">
        <v>1040</v>
      </c>
      <c r="U4632">
        <v>3.2834119999999994E-2</v>
      </c>
    </row>
    <row r="4633" spans="1:21" x14ac:dyDescent="0.25">
      <c r="A4633" t="s">
        <v>28</v>
      </c>
      <c r="B4633" t="s">
        <v>931</v>
      </c>
      <c r="C4633">
        <v>16</v>
      </c>
      <c r="D4633" t="s">
        <v>29</v>
      </c>
      <c r="E4633" t="s">
        <v>94</v>
      </c>
      <c r="F4633" t="s">
        <v>113</v>
      </c>
      <c r="G4633" t="s">
        <v>113</v>
      </c>
      <c r="H4633" t="s">
        <v>248</v>
      </c>
      <c r="J4633">
        <v>0</v>
      </c>
      <c r="K4633">
        <v>12</v>
      </c>
      <c r="L4633">
        <v>83.757575759999995</v>
      </c>
      <c r="M4633">
        <v>22.60997987</v>
      </c>
      <c r="N4633">
        <v>0.72884000000000004</v>
      </c>
      <c r="O4633">
        <v>0.21301339999999999</v>
      </c>
      <c r="P4633">
        <v>83.92307692</v>
      </c>
      <c r="Q4633">
        <v>44.319135699999997</v>
      </c>
      <c r="R4633">
        <v>5.9548609999999997E-3</v>
      </c>
      <c r="S4633">
        <v>0.18017928</v>
      </c>
      <c r="T4633" t="s">
        <v>1040</v>
      </c>
      <c r="U4633">
        <v>3.2834119999999994E-2</v>
      </c>
    </row>
    <row r="4634" spans="1:21" x14ac:dyDescent="0.25">
      <c r="A4634" t="s">
        <v>28</v>
      </c>
      <c r="B4634" t="s">
        <v>931</v>
      </c>
      <c r="C4634">
        <v>16</v>
      </c>
      <c r="D4634" t="s">
        <v>29</v>
      </c>
      <c r="E4634" t="s">
        <v>94</v>
      </c>
      <c r="F4634" t="s">
        <v>113</v>
      </c>
      <c r="G4634" t="s">
        <v>113</v>
      </c>
      <c r="H4634" t="s">
        <v>248</v>
      </c>
      <c r="J4634">
        <v>0</v>
      </c>
      <c r="K4634">
        <v>12</v>
      </c>
      <c r="L4634">
        <v>83.757575759999995</v>
      </c>
      <c r="M4634">
        <v>22.60997987</v>
      </c>
      <c r="N4634">
        <v>0.72884000000000004</v>
      </c>
      <c r="O4634">
        <v>0.21301339999999999</v>
      </c>
      <c r="P4634">
        <v>83.92307692</v>
      </c>
      <c r="Q4634">
        <v>44.319135699999997</v>
      </c>
      <c r="R4634">
        <v>5.9548609999999997E-3</v>
      </c>
      <c r="S4634">
        <v>0.18017928</v>
      </c>
      <c r="T4634" t="s">
        <v>1040</v>
      </c>
      <c r="U4634">
        <v>3.2834119999999994E-2</v>
      </c>
    </row>
    <row r="4635" spans="1:21" x14ac:dyDescent="0.25">
      <c r="A4635" t="s">
        <v>28</v>
      </c>
      <c r="B4635" t="s">
        <v>931</v>
      </c>
      <c r="C4635">
        <v>16</v>
      </c>
      <c r="D4635" t="s">
        <v>29</v>
      </c>
      <c r="E4635" t="s">
        <v>94</v>
      </c>
      <c r="F4635" t="s">
        <v>113</v>
      </c>
      <c r="G4635" t="s">
        <v>113</v>
      </c>
      <c r="H4635" t="s">
        <v>248</v>
      </c>
      <c r="J4635">
        <v>0</v>
      </c>
      <c r="K4635">
        <v>12</v>
      </c>
      <c r="L4635">
        <v>83.757575759999995</v>
      </c>
      <c r="M4635">
        <v>22.60997987</v>
      </c>
      <c r="N4635">
        <v>0.72884000000000004</v>
      </c>
      <c r="O4635">
        <v>0.21301339999999999</v>
      </c>
      <c r="P4635">
        <v>83.92307692</v>
      </c>
      <c r="Q4635">
        <v>44.319135699999997</v>
      </c>
      <c r="R4635">
        <v>5.9548609999999997E-3</v>
      </c>
      <c r="S4635">
        <v>0.18017928</v>
      </c>
      <c r="T4635" t="s">
        <v>1040</v>
      </c>
      <c r="U4635">
        <v>3.2834119999999994E-2</v>
      </c>
    </row>
    <row r="4636" spans="1:21" x14ac:dyDescent="0.25">
      <c r="A4636" t="s">
        <v>28</v>
      </c>
      <c r="B4636" t="s">
        <v>931</v>
      </c>
      <c r="C4636">
        <v>16</v>
      </c>
      <c r="D4636" t="s">
        <v>29</v>
      </c>
      <c r="E4636" t="s">
        <v>94</v>
      </c>
      <c r="F4636" t="s">
        <v>113</v>
      </c>
      <c r="G4636" t="s">
        <v>113</v>
      </c>
      <c r="H4636" t="s">
        <v>248</v>
      </c>
      <c r="J4636">
        <v>0</v>
      </c>
      <c r="K4636">
        <v>12</v>
      </c>
      <c r="L4636">
        <v>83.757575759999995</v>
      </c>
      <c r="M4636">
        <v>22.60997987</v>
      </c>
      <c r="N4636">
        <v>0.72884000000000004</v>
      </c>
      <c r="O4636">
        <v>0.21301339999999999</v>
      </c>
      <c r="P4636">
        <v>83.92307692</v>
      </c>
      <c r="Q4636">
        <v>44.319135699999997</v>
      </c>
      <c r="R4636">
        <v>5.9548609999999997E-3</v>
      </c>
      <c r="S4636">
        <v>0.18017928</v>
      </c>
      <c r="T4636" t="s">
        <v>1040</v>
      </c>
      <c r="U4636">
        <v>3.2834119999999994E-2</v>
      </c>
    </row>
    <row r="4637" spans="1:21" x14ac:dyDescent="0.25">
      <c r="A4637" t="s">
        <v>28</v>
      </c>
      <c r="B4637" t="s">
        <v>931</v>
      </c>
      <c r="C4637">
        <v>16</v>
      </c>
      <c r="D4637" t="s">
        <v>29</v>
      </c>
      <c r="E4637" t="s">
        <v>94</v>
      </c>
      <c r="F4637" t="s">
        <v>113</v>
      </c>
      <c r="G4637" t="s">
        <v>113</v>
      </c>
      <c r="H4637" t="s">
        <v>248</v>
      </c>
      <c r="J4637">
        <v>0</v>
      </c>
      <c r="K4637">
        <v>12</v>
      </c>
      <c r="L4637">
        <v>83.757575759999995</v>
      </c>
      <c r="M4637">
        <v>22.60997987</v>
      </c>
      <c r="N4637">
        <v>0.72884000000000004</v>
      </c>
      <c r="O4637">
        <v>0.21301339999999999</v>
      </c>
      <c r="P4637">
        <v>83.92307692</v>
      </c>
      <c r="Q4637">
        <v>44.319135699999997</v>
      </c>
      <c r="R4637">
        <v>5.9548609999999997E-3</v>
      </c>
      <c r="S4637">
        <v>0.18017928</v>
      </c>
      <c r="T4637" t="s">
        <v>1040</v>
      </c>
      <c r="U4637">
        <v>3.2834119999999994E-2</v>
      </c>
    </row>
    <row r="4638" spans="1:21" x14ac:dyDescent="0.25">
      <c r="A4638" t="s">
        <v>28</v>
      </c>
      <c r="B4638" t="s">
        <v>931</v>
      </c>
      <c r="C4638">
        <v>16</v>
      </c>
      <c r="D4638" t="s">
        <v>29</v>
      </c>
      <c r="E4638" t="s">
        <v>94</v>
      </c>
      <c r="F4638" t="s">
        <v>113</v>
      </c>
      <c r="G4638" t="s">
        <v>113</v>
      </c>
      <c r="H4638" t="s">
        <v>248</v>
      </c>
      <c r="J4638">
        <v>0</v>
      </c>
      <c r="K4638">
        <v>12</v>
      </c>
      <c r="L4638">
        <v>83.757575759999995</v>
      </c>
      <c r="M4638">
        <v>22.60997987</v>
      </c>
      <c r="N4638">
        <v>0.72884000000000004</v>
      </c>
      <c r="O4638">
        <v>0.21301339999999999</v>
      </c>
      <c r="P4638">
        <v>83.92307692</v>
      </c>
      <c r="Q4638">
        <v>44.319135699999997</v>
      </c>
      <c r="R4638">
        <v>5.9548609999999997E-3</v>
      </c>
      <c r="S4638">
        <v>0.18017928</v>
      </c>
      <c r="T4638" t="s">
        <v>1040</v>
      </c>
      <c r="U4638">
        <v>3.2834119999999994E-2</v>
      </c>
    </row>
    <row r="4639" spans="1:21" x14ac:dyDescent="0.25">
      <c r="A4639" t="s">
        <v>28</v>
      </c>
      <c r="B4639" t="s">
        <v>931</v>
      </c>
      <c r="C4639">
        <v>16</v>
      </c>
      <c r="D4639" t="s">
        <v>29</v>
      </c>
      <c r="E4639" t="s">
        <v>94</v>
      </c>
      <c r="F4639" t="s">
        <v>113</v>
      </c>
      <c r="G4639" t="s">
        <v>113</v>
      </c>
      <c r="H4639" t="s">
        <v>248</v>
      </c>
      <c r="J4639">
        <v>0</v>
      </c>
      <c r="K4639">
        <v>12</v>
      </c>
      <c r="L4639">
        <v>83.757575759999995</v>
      </c>
      <c r="M4639">
        <v>22.60997987</v>
      </c>
      <c r="N4639">
        <v>0.72884000000000004</v>
      </c>
      <c r="O4639">
        <v>0.21301339999999999</v>
      </c>
      <c r="P4639">
        <v>83.92307692</v>
      </c>
      <c r="Q4639">
        <v>44.319135699999997</v>
      </c>
      <c r="R4639">
        <v>5.9548609999999997E-3</v>
      </c>
      <c r="S4639">
        <v>0.18017928</v>
      </c>
      <c r="T4639" t="s">
        <v>1040</v>
      </c>
      <c r="U4639">
        <v>3.2834119999999994E-2</v>
      </c>
    </row>
    <row r="4640" spans="1:21" x14ac:dyDescent="0.25">
      <c r="A4640" t="s">
        <v>28</v>
      </c>
      <c r="B4640" t="s">
        <v>931</v>
      </c>
      <c r="C4640">
        <v>16</v>
      </c>
      <c r="D4640" t="s">
        <v>29</v>
      </c>
      <c r="E4640" t="s">
        <v>94</v>
      </c>
      <c r="F4640" t="s">
        <v>113</v>
      </c>
      <c r="G4640" t="s">
        <v>113</v>
      </c>
      <c r="H4640" t="s">
        <v>248</v>
      </c>
      <c r="J4640">
        <v>0</v>
      </c>
      <c r="K4640">
        <v>12</v>
      </c>
      <c r="L4640">
        <v>83.757575759999995</v>
      </c>
      <c r="M4640">
        <v>22.60997987</v>
      </c>
      <c r="N4640">
        <v>0.72884000000000004</v>
      </c>
      <c r="O4640">
        <v>0.21301339999999999</v>
      </c>
      <c r="P4640">
        <v>83.92307692</v>
      </c>
      <c r="Q4640">
        <v>44.319135699999997</v>
      </c>
      <c r="R4640">
        <v>5.9548609999999997E-3</v>
      </c>
      <c r="S4640">
        <v>0.18017928</v>
      </c>
      <c r="T4640" t="s">
        <v>1040</v>
      </c>
      <c r="U4640">
        <v>3.2834119999999994E-2</v>
      </c>
    </row>
    <row r="4641" spans="1:21" x14ac:dyDescent="0.25">
      <c r="A4641" t="s">
        <v>28</v>
      </c>
      <c r="B4641" t="s">
        <v>931</v>
      </c>
      <c r="C4641">
        <v>16</v>
      </c>
      <c r="D4641" t="s">
        <v>29</v>
      </c>
      <c r="E4641" t="s">
        <v>94</v>
      </c>
      <c r="F4641" t="s">
        <v>113</v>
      </c>
      <c r="G4641" t="s">
        <v>113</v>
      </c>
      <c r="H4641" t="s">
        <v>248</v>
      </c>
      <c r="J4641">
        <v>0</v>
      </c>
      <c r="K4641">
        <v>12</v>
      </c>
      <c r="L4641">
        <v>83.757575759999995</v>
      </c>
      <c r="M4641">
        <v>22.60997987</v>
      </c>
      <c r="N4641">
        <v>0.72884000000000004</v>
      </c>
      <c r="O4641">
        <v>0.21301339999999999</v>
      </c>
      <c r="P4641">
        <v>83.92307692</v>
      </c>
      <c r="Q4641">
        <v>44.319135699999997</v>
      </c>
      <c r="R4641">
        <v>5.9548609999999997E-3</v>
      </c>
      <c r="S4641">
        <v>0.18017928</v>
      </c>
      <c r="T4641" t="s">
        <v>1040</v>
      </c>
      <c r="U4641">
        <v>3.2834119999999994E-2</v>
      </c>
    </row>
    <row r="4642" spans="1:21" x14ac:dyDescent="0.25">
      <c r="A4642" t="s">
        <v>28</v>
      </c>
      <c r="B4642" t="s">
        <v>931</v>
      </c>
      <c r="C4642">
        <v>17</v>
      </c>
      <c r="D4642" t="s">
        <v>29</v>
      </c>
      <c r="E4642" t="s">
        <v>94</v>
      </c>
      <c r="F4642" t="s">
        <v>113</v>
      </c>
      <c r="G4642" t="s">
        <v>113</v>
      </c>
      <c r="H4642" t="s">
        <v>247</v>
      </c>
      <c r="J4642">
        <v>0</v>
      </c>
      <c r="K4642">
        <v>1</v>
      </c>
      <c r="L4642">
        <v>83.757575759999995</v>
      </c>
      <c r="M4642">
        <v>22.60997987</v>
      </c>
      <c r="N4642">
        <v>0.72884000000000004</v>
      </c>
      <c r="O4642">
        <v>0.21301339999999999</v>
      </c>
      <c r="P4642">
        <v>65.791044779999993</v>
      </c>
      <c r="Q4642">
        <v>22.94519201</v>
      </c>
      <c r="R4642">
        <v>8.1320334999999994E-2</v>
      </c>
      <c r="S4642">
        <v>0.17285655</v>
      </c>
      <c r="T4642" t="s">
        <v>1040</v>
      </c>
      <c r="U4642">
        <v>4.0156849999999994E-2</v>
      </c>
    </row>
    <row r="4643" spans="1:21" x14ac:dyDescent="0.25">
      <c r="A4643" t="s">
        <v>28</v>
      </c>
      <c r="B4643" t="s">
        <v>931</v>
      </c>
      <c r="C4643">
        <v>18</v>
      </c>
      <c r="D4643" t="s">
        <v>29</v>
      </c>
      <c r="E4643" t="s">
        <v>94</v>
      </c>
      <c r="F4643" t="s">
        <v>113</v>
      </c>
      <c r="G4643" t="s">
        <v>113</v>
      </c>
      <c r="H4643" t="s">
        <v>239</v>
      </c>
      <c r="J4643">
        <v>0</v>
      </c>
      <c r="K4643">
        <v>1</v>
      </c>
      <c r="L4643">
        <v>83.757575759999995</v>
      </c>
      <c r="M4643">
        <v>22.60997987</v>
      </c>
      <c r="N4643">
        <v>0.72884000000000004</v>
      </c>
      <c r="O4643">
        <v>0.21301339999999999</v>
      </c>
      <c r="P4643">
        <v>100.45454549999999</v>
      </c>
      <c r="Q4643">
        <v>26.754810689999999</v>
      </c>
      <c r="R4643">
        <v>0.75829999999999997</v>
      </c>
      <c r="S4643">
        <v>0.40907861000000001</v>
      </c>
      <c r="T4643" t="s">
        <v>1040</v>
      </c>
      <c r="U4643">
        <v>-0.19606521000000002</v>
      </c>
    </row>
    <row r="4644" spans="1:21" x14ac:dyDescent="0.25">
      <c r="A4644" t="s">
        <v>28</v>
      </c>
      <c r="B4644" t="s">
        <v>932</v>
      </c>
      <c r="C4644">
        <v>15</v>
      </c>
      <c r="D4644" t="s">
        <v>29</v>
      </c>
      <c r="E4644" t="s">
        <v>94</v>
      </c>
      <c r="F4644" t="s">
        <v>103</v>
      </c>
      <c r="G4644" t="s">
        <v>102</v>
      </c>
      <c r="H4644" t="s">
        <v>102</v>
      </c>
      <c r="J4644">
        <v>0</v>
      </c>
      <c r="K4644">
        <v>1</v>
      </c>
      <c r="L4644">
        <v>98.291666669999998</v>
      </c>
      <c r="M4644">
        <v>30.315130790000001</v>
      </c>
      <c r="N4644">
        <v>5.0803484000000003E-2</v>
      </c>
      <c r="O4644">
        <v>0.42866070000000001</v>
      </c>
      <c r="P4644">
        <v>84.740740740000007</v>
      </c>
      <c r="Q4644">
        <v>29.167014049999999</v>
      </c>
      <c r="R4644">
        <v>1.1169849999999999</v>
      </c>
      <c r="S4644">
        <v>1.1571499000000001</v>
      </c>
      <c r="T4644" t="s">
        <v>1040</v>
      </c>
      <c r="U4644">
        <v>-0.72848920000000006</v>
      </c>
    </row>
    <row r="4645" spans="1:21" x14ac:dyDescent="0.25">
      <c r="A4645" t="s">
        <v>28</v>
      </c>
      <c r="B4645" t="s">
        <v>932</v>
      </c>
      <c r="C4645">
        <v>16</v>
      </c>
      <c r="D4645" t="s">
        <v>29</v>
      </c>
      <c r="E4645" t="s">
        <v>94</v>
      </c>
      <c r="F4645" t="s">
        <v>103</v>
      </c>
      <c r="G4645" t="s">
        <v>102</v>
      </c>
      <c r="H4645" t="s">
        <v>103</v>
      </c>
      <c r="J4645">
        <v>0</v>
      </c>
      <c r="K4645">
        <v>2</v>
      </c>
      <c r="L4645">
        <v>98.291666669999998</v>
      </c>
      <c r="M4645">
        <v>30.315130790000001</v>
      </c>
      <c r="N4645">
        <v>5.0803484000000003E-2</v>
      </c>
      <c r="O4645">
        <v>0.42866070000000001</v>
      </c>
      <c r="P4645">
        <v>98.291666669999998</v>
      </c>
      <c r="Q4645">
        <v>30.315130790000001</v>
      </c>
      <c r="R4645">
        <v>5.0803484000000003E-2</v>
      </c>
      <c r="S4645">
        <v>0.42866070000000001</v>
      </c>
      <c r="T4645" t="s">
        <v>1040</v>
      </c>
      <c r="U4645">
        <v>0</v>
      </c>
    </row>
    <row r="4646" spans="1:21" x14ac:dyDescent="0.25">
      <c r="A4646" t="s">
        <v>28</v>
      </c>
      <c r="B4646" t="s">
        <v>932</v>
      </c>
      <c r="C4646">
        <v>16</v>
      </c>
      <c r="D4646" t="s">
        <v>29</v>
      </c>
      <c r="E4646" t="s">
        <v>94</v>
      </c>
      <c r="F4646" t="s">
        <v>103</v>
      </c>
      <c r="G4646" t="s">
        <v>102</v>
      </c>
      <c r="H4646" t="s">
        <v>103</v>
      </c>
      <c r="J4646">
        <v>0</v>
      </c>
      <c r="K4646">
        <v>2</v>
      </c>
      <c r="L4646">
        <v>98.291666669999998</v>
      </c>
      <c r="M4646">
        <v>30.315130790000001</v>
      </c>
      <c r="N4646">
        <v>5.0803484000000003E-2</v>
      </c>
      <c r="O4646">
        <v>0.42866070000000001</v>
      </c>
      <c r="P4646">
        <v>98.291666669999998</v>
      </c>
      <c r="Q4646">
        <v>30.315130790000001</v>
      </c>
      <c r="R4646">
        <v>5.0803484000000003E-2</v>
      </c>
      <c r="S4646">
        <v>0.42866070000000001</v>
      </c>
      <c r="T4646" t="s">
        <v>1040</v>
      </c>
      <c r="U4646">
        <v>0</v>
      </c>
    </row>
    <row r="4647" spans="1:21" x14ac:dyDescent="0.25">
      <c r="A4647" t="s">
        <v>28</v>
      </c>
      <c r="B4647" t="s">
        <v>933</v>
      </c>
      <c r="C4647">
        <v>15</v>
      </c>
      <c r="D4647" t="s">
        <v>29</v>
      </c>
      <c r="E4647" t="s">
        <v>94</v>
      </c>
      <c r="F4647" t="s">
        <v>111</v>
      </c>
      <c r="G4647" t="s">
        <v>121</v>
      </c>
      <c r="H4647" t="s">
        <v>247</v>
      </c>
      <c r="J4647">
        <v>0</v>
      </c>
      <c r="K4647">
        <v>1</v>
      </c>
      <c r="L4647">
        <v>94.97142857</v>
      </c>
      <c r="M4647">
        <v>24.31591813</v>
      </c>
      <c r="N4647">
        <v>0.122951111</v>
      </c>
      <c r="O4647">
        <v>0.39050790000000002</v>
      </c>
      <c r="P4647">
        <v>65.791044779999993</v>
      </c>
      <c r="Q4647">
        <v>22.94519201</v>
      </c>
      <c r="R4647">
        <v>8.1320334999999994E-2</v>
      </c>
      <c r="S4647">
        <v>0.17285655</v>
      </c>
      <c r="T4647" t="s">
        <v>1040</v>
      </c>
      <c r="U4647">
        <v>0.21765135000000002</v>
      </c>
    </row>
    <row r="4648" spans="1:21" x14ac:dyDescent="0.25">
      <c r="A4648" t="s">
        <v>28</v>
      </c>
      <c r="B4648" t="s">
        <v>933</v>
      </c>
      <c r="C4648">
        <v>16</v>
      </c>
      <c r="D4648" t="s">
        <v>29</v>
      </c>
      <c r="E4648" t="s">
        <v>94</v>
      </c>
      <c r="F4648" t="s">
        <v>111</v>
      </c>
      <c r="G4648" t="s">
        <v>121</v>
      </c>
      <c r="H4648" t="s">
        <v>113</v>
      </c>
      <c r="J4648">
        <v>0</v>
      </c>
      <c r="K4648">
        <v>3</v>
      </c>
      <c r="L4648">
        <v>94.97142857</v>
      </c>
      <c r="M4648">
        <v>24.31591813</v>
      </c>
      <c r="N4648">
        <v>0.122951111</v>
      </c>
      <c r="O4648">
        <v>0.39050790000000002</v>
      </c>
      <c r="P4648">
        <v>83.757575759999995</v>
      </c>
      <c r="Q4648">
        <v>22.60997987</v>
      </c>
      <c r="R4648">
        <v>0.72884000000000004</v>
      </c>
      <c r="S4648">
        <v>0.21301339999999999</v>
      </c>
      <c r="T4648" t="s">
        <v>1040</v>
      </c>
      <c r="U4648">
        <v>0.17749450000000003</v>
      </c>
    </row>
    <row r="4649" spans="1:21" x14ac:dyDescent="0.25">
      <c r="A4649" t="s">
        <v>28</v>
      </c>
      <c r="B4649" t="s">
        <v>933</v>
      </c>
      <c r="C4649">
        <v>16</v>
      </c>
      <c r="D4649" t="s">
        <v>29</v>
      </c>
      <c r="E4649" t="s">
        <v>94</v>
      </c>
      <c r="F4649" t="s">
        <v>111</v>
      </c>
      <c r="G4649" t="s">
        <v>121</v>
      </c>
      <c r="H4649" t="s">
        <v>113</v>
      </c>
      <c r="J4649">
        <v>0</v>
      </c>
      <c r="K4649">
        <v>3</v>
      </c>
      <c r="L4649">
        <v>94.97142857</v>
      </c>
      <c r="M4649">
        <v>24.31591813</v>
      </c>
      <c r="N4649">
        <v>0.122951111</v>
      </c>
      <c r="O4649">
        <v>0.39050790000000002</v>
      </c>
      <c r="P4649">
        <v>83.757575759999995</v>
      </c>
      <c r="Q4649">
        <v>22.60997987</v>
      </c>
      <c r="R4649">
        <v>0.72884000000000004</v>
      </c>
      <c r="S4649">
        <v>0.21301339999999999</v>
      </c>
      <c r="T4649" t="s">
        <v>1040</v>
      </c>
      <c r="U4649">
        <v>0.17749450000000003</v>
      </c>
    </row>
    <row r="4650" spans="1:21" x14ac:dyDescent="0.25">
      <c r="A4650" t="s">
        <v>28</v>
      </c>
      <c r="B4650" t="s">
        <v>933</v>
      </c>
      <c r="C4650">
        <v>16</v>
      </c>
      <c r="D4650" t="s">
        <v>29</v>
      </c>
      <c r="E4650" t="s">
        <v>94</v>
      </c>
      <c r="F4650" t="s">
        <v>111</v>
      </c>
      <c r="G4650" t="s">
        <v>121</v>
      </c>
      <c r="H4650" t="s">
        <v>113</v>
      </c>
      <c r="J4650">
        <v>0</v>
      </c>
      <c r="K4650">
        <v>3</v>
      </c>
      <c r="L4650">
        <v>94.97142857</v>
      </c>
      <c r="M4650">
        <v>24.31591813</v>
      </c>
      <c r="N4650">
        <v>0.122951111</v>
      </c>
      <c r="O4650">
        <v>0.39050790000000002</v>
      </c>
      <c r="P4650">
        <v>83.757575759999995</v>
      </c>
      <c r="Q4650">
        <v>22.60997987</v>
      </c>
      <c r="R4650">
        <v>0.72884000000000004</v>
      </c>
      <c r="S4650">
        <v>0.21301339999999999</v>
      </c>
      <c r="T4650" t="s">
        <v>1040</v>
      </c>
      <c r="U4650">
        <v>0.17749450000000003</v>
      </c>
    </row>
    <row r="4651" spans="1:21" x14ac:dyDescent="0.25">
      <c r="A4651" t="s">
        <v>28</v>
      </c>
      <c r="B4651" t="s">
        <v>933</v>
      </c>
      <c r="C4651">
        <v>17</v>
      </c>
      <c r="D4651" t="s">
        <v>29</v>
      </c>
      <c r="E4651" t="s">
        <v>94</v>
      </c>
      <c r="F4651" t="s">
        <v>111</v>
      </c>
      <c r="G4651" t="s">
        <v>121</v>
      </c>
      <c r="H4651" t="s">
        <v>248</v>
      </c>
      <c r="J4651">
        <v>0</v>
      </c>
      <c r="K4651">
        <v>1</v>
      </c>
      <c r="L4651">
        <v>94.97142857</v>
      </c>
      <c r="M4651">
        <v>24.31591813</v>
      </c>
      <c r="N4651">
        <v>0.122951111</v>
      </c>
      <c r="O4651">
        <v>0.39050790000000002</v>
      </c>
      <c r="P4651">
        <v>83.92307692</v>
      </c>
      <c r="Q4651">
        <v>44.319135699999997</v>
      </c>
      <c r="R4651">
        <v>5.9548609999999997E-3</v>
      </c>
      <c r="S4651">
        <v>0.18017928</v>
      </c>
      <c r="T4651" t="s">
        <v>1040</v>
      </c>
      <c r="U4651">
        <v>0.21032862000000002</v>
      </c>
    </row>
    <row r="4652" spans="1:21" x14ac:dyDescent="0.25">
      <c r="A4652" t="s">
        <v>28</v>
      </c>
      <c r="B4652" t="s">
        <v>934</v>
      </c>
      <c r="C4652">
        <v>15</v>
      </c>
      <c r="D4652" t="s">
        <v>29</v>
      </c>
      <c r="E4652" t="s">
        <v>94</v>
      </c>
      <c r="F4652" t="s">
        <v>112</v>
      </c>
      <c r="G4652" t="s">
        <v>121</v>
      </c>
      <c r="H4652" t="s">
        <v>103</v>
      </c>
      <c r="J4652">
        <v>0</v>
      </c>
      <c r="K4652">
        <v>4</v>
      </c>
      <c r="L4652">
        <v>65.09375</v>
      </c>
      <c r="M4652">
        <v>37.895352600000002</v>
      </c>
      <c r="N4652">
        <v>2.2882677779999998</v>
      </c>
      <c r="O4652">
        <v>2.2111774</v>
      </c>
      <c r="P4652">
        <v>98.291666669999998</v>
      </c>
      <c r="Q4652">
        <v>30.315130790000001</v>
      </c>
      <c r="R4652">
        <v>5.0803484000000003E-2</v>
      </c>
      <c r="S4652">
        <v>0.42866070000000001</v>
      </c>
      <c r="T4652" t="s">
        <v>1040</v>
      </c>
      <c r="U4652">
        <v>1.7825167</v>
      </c>
    </row>
    <row r="4653" spans="1:21" x14ac:dyDescent="0.25">
      <c r="A4653" t="s">
        <v>28</v>
      </c>
      <c r="B4653" t="s">
        <v>934</v>
      </c>
      <c r="C4653">
        <v>15</v>
      </c>
      <c r="D4653" t="s">
        <v>29</v>
      </c>
      <c r="E4653" t="s">
        <v>94</v>
      </c>
      <c r="F4653" t="s">
        <v>112</v>
      </c>
      <c r="G4653" t="s">
        <v>121</v>
      </c>
      <c r="H4653" t="s">
        <v>103</v>
      </c>
      <c r="J4653">
        <v>0</v>
      </c>
      <c r="K4653">
        <v>4</v>
      </c>
      <c r="L4653">
        <v>65.09375</v>
      </c>
      <c r="M4653">
        <v>37.895352600000002</v>
      </c>
      <c r="N4653">
        <v>2.2882677779999998</v>
      </c>
      <c r="O4653">
        <v>2.2111774</v>
      </c>
      <c r="P4653">
        <v>98.291666669999998</v>
      </c>
      <c r="Q4653">
        <v>30.315130790000001</v>
      </c>
      <c r="R4653">
        <v>5.0803484000000003E-2</v>
      </c>
      <c r="S4653">
        <v>0.42866070000000001</v>
      </c>
      <c r="T4653" t="s">
        <v>1040</v>
      </c>
      <c r="U4653">
        <v>1.7825167</v>
      </c>
    </row>
    <row r="4654" spans="1:21" x14ac:dyDescent="0.25">
      <c r="A4654" t="s">
        <v>28</v>
      </c>
      <c r="B4654" t="s">
        <v>934</v>
      </c>
      <c r="C4654">
        <v>15</v>
      </c>
      <c r="D4654" t="s">
        <v>29</v>
      </c>
      <c r="E4654" t="s">
        <v>94</v>
      </c>
      <c r="F4654" t="s">
        <v>112</v>
      </c>
      <c r="G4654" t="s">
        <v>121</v>
      </c>
      <c r="H4654" t="s">
        <v>103</v>
      </c>
      <c r="J4654">
        <v>0</v>
      </c>
      <c r="K4654">
        <v>4</v>
      </c>
      <c r="L4654">
        <v>65.09375</v>
      </c>
      <c r="M4654">
        <v>37.895352600000002</v>
      </c>
      <c r="N4654">
        <v>2.2882677779999998</v>
      </c>
      <c r="O4654">
        <v>2.2111774</v>
      </c>
      <c r="P4654">
        <v>98.291666669999998</v>
      </c>
      <c r="Q4654">
        <v>30.315130790000001</v>
      </c>
      <c r="R4654">
        <v>5.0803484000000003E-2</v>
      </c>
      <c r="S4654">
        <v>0.42866070000000001</v>
      </c>
      <c r="T4654" t="s">
        <v>1040</v>
      </c>
      <c r="U4654">
        <v>1.7825167</v>
      </c>
    </row>
    <row r="4655" spans="1:21" x14ac:dyDescent="0.25">
      <c r="A4655" t="s">
        <v>28</v>
      </c>
      <c r="B4655" t="s">
        <v>934</v>
      </c>
      <c r="C4655">
        <v>15</v>
      </c>
      <c r="D4655" t="s">
        <v>29</v>
      </c>
      <c r="E4655" t="s">
        <v>94</v>
      </c>
      <c r="F4655" t="s">
        <v>112</v>
      </c>
      <c r="G4655" t="s">
        <v>121</v>
      </c>
      <c r="H4655" t="s">
        <v>103</v>
      </c>
      <c r="J4655">
        <v>0</v>
      </c>
      <c r="K4655">
        <v>4</v>
      </c>
      <c r="L4655">
        <v>65.09375</v>
      </c>
      <c r="M4655">
        <v>37.895352600000002</v>
      </c>
      <c r="N4655">
        <v>2.2882677779999998</v>
      </c>
      <c r="O4655">
        <v>2.2111774</v>
      </c>
      <c r="P4655">
        <v>98.291666669999998</v>
      </c>
      <c r="Q4655">
        <v>30.315130790000001</v>
      </c>
      <c r="R4655">
        <v>5.0803484000000003E-2</v>
      </c>
      <c r="S4655">
        <v>0.42866070000000001</v>
      </c>
      <c r="T4655" t="s">
        <v>1040</v>
      </c>
      <c r="U4655">
        <v>1.7825167</v>
      </c>
    </row>
    <row r="4656" spans="1:21" x14ac:dyDescent="0.25">
      <c r="A4656" t="s">
        <v>28</v>
      </c>
      <c r="B4656" t="s">
        <v>934</v>
      </c>
      <c r="C4656">
        <v>16</v>
      </c>
      <c r="D4656" t="s">
        <v>29</v>
      </c>
      <c r="E4656" t="s">
        <v>94</v>
      </c>
      <c r="F4656" t="s">
        <v>112</v>
      </c>
      <c r="G4656" t="s">
        <v>121</v>
      </c>
      <c r="H4656" t="s">
        <v>113</v>
      </c>
      <c r="J4656">
        <v>0</v>
      </c>
      <c r="K4656">
        <v>6</v>
      </c>
      <c r="L4656">
        <v>65.09375</v>
      </c>
      <c r="M4656">
        <v>37.895352600000002</v>
      </c>
      <c r="N4656">
        <v>2.2882677779999998</v>
      </c>
      <c r="O4656">
        <v>2.2111774</v>
      </c>
      <c r="P4656">
        <v>83.757575759999995</v>
      </c>
      <c r="Q4656">
        <v>22.60997987</v>
      </c>
      <c r="R4656">
        <v>0.72884000000000004</v>
      </c>
      <c r="S4656">
        <v>0.21301339999999999</v>
      </c>
      <c r="T4656" t="s">
        <v>1040</v>
      </c>
      <c r="U4656">
        <v>1.9981640000000001</v>
      </c>
    </row>
    <row r="4657" spans="1:21" x14ac:dyDescent="0.25">
      <c r="A4657" t="s">
        <v>28</v>
      </c>
      <c r="B4657" t="s">
        <v>934</v>
      </c>
      <c r="C4657">
        <v>16</v>
      </c>
      <c r="D4657" t="s">
        <v>29</v>
      </c>
      <c r="E4657" t="s">
        <v>94</v>
      </c>
      <c r="F4657" t="s">
        <v>112</v>
      </c>
      <c r="G4657" t="s">
        <v>121</v>
      </c>
      <c r="H4657" t="s">
        <v>113</v>
      </c>
      <c r="J4657">
        <v>0</v>
      </c>
      <c r="K4657">
        <v>6</v>
      </c>
      <c r="L4657">
        <v>65.09375</v>
      </c>
      <c r="M4657">
        <v>37.895352600000002</v>
      </c>
      <c r="N4657">
        <v>2.2882677779999998</v>
      </c>
      <c r="O4657">
        <v>2.2111774</v>
      </c>
      <c r="P4657">
        <v>83.757575759999995</v>
      </c>
      <c r="Q4657">
        <v>22.60997987</v>
      </c>
      <c r="R4657">
        <v>0.72884000000000004</v>
      </c>
      <c r="S4657">
        <v>0.21301339999999999</v>
      </c>
      <c r="T4657" t="s">
        <v>1040</v>
      </c>
      <c r="U4657">
        <v>1.9981640000000001</v>
      </c>
    </row>
    <row r="4658" spans="1:21" x14ac:dyDescent="0.25">
      <c r="A4658" t="s">
        <v>28</v>
      </c>
      <c r="B4658" t="s">
        <v>934</v>
      </c>
      <c r="C4658">
        <v>16</v>
      </c>
      <c r="D4658" t="s">
        <v>29</v>
      </c>
      <c r="E4658" t="s">
        <v>94</v>
      </c>
      <c r="F4658" t="s">
        <v>112</v>
      </c>
      <c r="G4658" t="s">
        <v>121</v>
      </c>
      <c r="H4658" t="s">
        <v>113</v>
      </c>
      <c r="J4658">
        <v>0</v>
      </c>
      <c r="K4658">
        <v>6</v>
      </c>
      <c r="L4658">
        <v>65.09375</v>
      </c>
      <c r="M4658">
        <v>37.895352600000002</v>
      </c>
      <c r="N4658">
        <v>2.2882677779999998</v>
      </c>
      <c r="O4658">
        <v>2.2111774</v>
      </c>
      <c r="P4658">
        <v>83.757575759999995</v>
      </c>
      <c r="Q4658">
        <v>22.60997987</v>
      </c>
      <c r="R4658">
        <v>0.72884000000000004</v>
      </c>
      <c r="S4658">
        <v>0.21301339999999999</v>
      </c>
      <c r="T4658" t="s">
        <v>1040</v>
      </c>
      <c r="U4658">
        <v>1.9981640000000001</v>
      </c>
    </row>
    <row r="4659" spans="1:21" x14ac:dyDescent="0.25">
      <c r="A4659" t="s">
        <v>28</v>
      </c>
      <c r="B4659" t="s">
        <v>934</v>
      </c>
      <c r="C4659">
        <v>16</v>
      </c>
      <c r="D4659" t="s">
        <v>29</v>
      </c>
      <c r="E4659" t="s">
        <v>94</v>
      </c>
      <c r="F4659" t="s">
        <v>112</v>
      </c>
      <c r="G4659" t="s">
        <v>121</v>
      </c>
      <c r="H4659" t="s">
        <v>113</v>
      </c>
      <c r="J4659">
        <v>0</v>
      </c>
      <c r="K4659">
        <v>6</v>
      </c>
      <c r="L4659">
        <v>65.09375</v>
      </c>
      <c r="M4659">
        <v>37.895352600000002</v>
      </c>
      <c r="N4659">
        <v>2.2882677779999998</v>
      </c>
      <c r="O4659">
        <v>2.2111774</v>
      </c>
      <c r="P4659">
        <v>83.757575759999995</v>
      </c>
      <c r="Q4659">
        <v>22.60997987</v>
      </c>
      <c r="R4659">
        <v>0.72884000000000004</v>
      </c>
      <c r="S4659">
        <v>0.21301339999999999</v>
      </c>
      <c r="T4659" t="s">
        <v>1040</v>
      </c>
      <c r="U4659">
        <v>1.9981640000000001</v>
      </c>
    </row>
    <row r="4660" spans="1:21" x14ac:dyDescent="0.25">
      <c r="A4660" t="s">
        <v>28</v>
      </c>
      <c r="B4660" t="s">
        <v>934</v>
      </c>
      <c r="C4660">
        <v>16</v>
      </c>
      <c r="D4660" t="s">
        <v>29</v>
      </c>
      <c r="E4660" t="s">
        <v>94</v>
      </c>
      <c r="F4660" t="s">
        <v>112</v>
      </c>
      <c r="G4660" t="s">
        <v>121</v>
      </c>
      <c r="H4660" t="s">
        <v>113</v>
      </c>
      <c r="J4660">
        <v>0</v>
      </c>
      <c r="K4660">
        <v>6</v>
      </c>
      <c r="L4660">
        <v>65.09375</v>
      </c>
      <c r="M4660">
        <v>37.895352600000002</v>
      </c>
      <c r="N4660">
        <v>2.2882677779999998</v>
      </c>
      <c r="O4660">
        <v>2.2111774</v>
      </c>
      <c r="P4660">
        <v>83.757575759999995</v>
      </c>
      <c r="Q4660">
        <v>22.60997987</v>
      </c>
      <c r="R4660">
        <v>0.72884000000000004</v>
      </c>
      <c r="S4660">
        <v>0.21301339999999999</v>
      </c>
      <c r="T4660" t="s">
        <v>1040</v>
      </c>
      <c r="U4660">
        <v>1.9981640000000001</v>
      </c>
    </row>
    <row r="4661" spans="1:21" x14ac:dyDescent="0.25">
      <c r="A4661" t="s">
        <v>28</v>
      </c>
      <c r="B4661" t="s">
        <v>934</v>
      </c>
      <c r="C4661">
        <v>16</v>
      </c>
      <c r="D4661" t="s">
        <v>29</v>
      </c>
      <c r="E4661" t="s">
        <v>94</v>
      </c>
      <c r="F4661" t="s">
        <v>112</v>
      </c>
      <c r="G4661" t="s">
        <v>121</v>
      </c>
      <c r="H4661" t="s">
        <v>113</v>
      </c>
      <c r="J4661">
        <v>0</v>
      </c>
      <c r="K4661">
        <v>6</v>
      </c>
      <c r="L4661">
        <v>65.09375</v>
      </c>
      <c r="M4661">
        <v>37.895352600000002</v>
      </c>
      <c r="N4661">
        <v>2.2882677779999998</v>
      </c>
      <c r="O4661">
        <v>2.2111774</v>
      </c>
      <c r="P4661">
        <v>83.757575759999995</v>
      </c>
      <c r="Q4661">
        <v>22.60997987</v>
      </c>
      <c r="R4661">
        <v>0.72884000000000004</v>
      </c>
      <c r="S4661">
        <v>0.21301339999999999</v>
      </c>
      <c r="T4661" t="s">
        <v>1040</v>
      </c>
      <c r="U4661">
        <v>1.9981640000000001</v>
      </c>
    </row>
    <row r="4662" spans="1:21" x14ac:dyDescent="0.25">
      <c r="A4662" t="s">
        <v>28</v>
      </c>
      <c r="B4662" t="s">
        <v>934</v>
      </c>
      <c r="C4662">
        <v>17</v>
      </c>
      <c r="D4662" t="s">
        <v>29</v>
      </c>
      <c r="E4662" t="s">
        <v>94</v>
      </c>
      <c r="F4662" t="s">
        <v>112</v>
      </c>
      <c r="G4662" t="s">
        <v>121</v>
      </c>
      <c r="H4662" t="s">
        <v>248</v>
      </c>
      <c r="J4662">
        <v>0</v>
      </c>
      <c r="K4662">
        <v>3</v>
      </c>
      <c r="L4662">
        <v>65.09375</v>
      </c>
      <c r="M4662">
        <v>37.895352600000002</v>
      </c>
      <c r="N4662">
        <v>2.2882677779999998</v>
      </c>
      <c r="O4662">
        <v>2.2111774</v>
      </c>
      <c r="P4662">
        <v>83.92307692</v>
      </c>
      <c r="Q4662">
        <v>44.319135699999997</v>
      </c>
      <c r="R4662">
        <v>5.9548609999999997E-3</v>
      </c>
      <c r="S4662">
        <v>0.18017928</v>
      </c>
      <c r="T4662" t="s">
        <v>1040</v>
      </c>
      <c r="U4662">
        <v>2.03099812</v>
      </c>
    </row>
    <row r="4663" spans="1:21" x14ac:dyDescent="0.25">
      <c r="A4663" t="s">
        <v>28</v>
      </c>
      <c r="B4663" t="s">
        <v>934</v>
      </c>
      <c r="C4663">
        <v>17</v>
      </c>
      <c r="D4663" t="s">
        <v>29</v>
      </c>
      <c r="E4663" t="s">
        <v>94</v>
      </c>
      <c r="F4663" t="s">
        <v>112</v>
      </c>
      <c r="G4663" t="s">
        <v>121</v>
      </c>
      <c r="H4663" t="s">
        <v>248</v>
      </c>
      <c r="J4663">
        <v>0</v>
      </c>
      <c r="K4663">
        <v>3</v>
      </c>
      <c r="L4663">
        <v>65.09375</v>
      </c>
      <c r="M4663">
        <v>37.895352600000002</v>
      </c>
      <c r="N4663">
        <v>2.2882677779999998</v>
      </c>
      <c r="O4663">
        <v>2.2111774</v>
      </c>
      <c r="P4663">
        <v>83.92307692</v>
      </c>
      <c r="Q4663">
        <v>44.319135699999997</v>
      </c>
      <c r="R4663">
        <v>5.9548609999999997E-3</v>
      </c>
      <c r="S4663">
        <v>0.18017928</v>
      </c>
      <c r="T4663" t="s">
        <v>1040</v>
      </c>
      <c r="U4663">
        <v>2.03099812</v>
      </c>
    </row>
    <row r="4664" spans="1:21" x14ac:dyDescent="0.25">
      <c r="A4664" t="s">
        <v>28</v>
      </c>
      <c r="B4664" t="s">
        <v>934</v>
      </c>
      <c r="C4664">
        <v>17</v>
      </c>
      <c r="D4664" t="s">
        <v>29</v>
      </c>
      <c r="E4664" t="s">
        <v>94</v>
      </c>
      <c r="F4664" t="s">
        <v>112</v>
      </c>
      <c r="G4664" t="s">
        <v>121</v>
      </c>
      <c r="H4664" t="s">
        <v>248</v>
      </c>
      <c r="J4664">
        <v>0</v>
      </c>
      <c r="K4664">
        <v>3</v>
      </c>
      <c r="L4664">
        <v>65.09375</v>
      </c>
      <c r="M4664">
        <v>37.895352600000002</v>
      </c>
      <c r="N4664">
        <v>2.2882677779999998</v>
      </c>
      <c r="O4664">
        <v>2.2111774</v>
      </c>
      <c r="P4664">
        <v>83.92307692</v>
      </c>
      <c r="Q4664">
        <v>44.319135699999997</v>
      </c>
      <c r="R4664">
        <v>5.9548609999999997E-3</v>
      </c>
      <c r="S4664">
        <v>0.18017928</v>
      </c>
      <c r="T4664" t="s">
        <v>1040</v>
      </c>
      <c r="U4664">
        <v>2.03099812</v>
      </c>
    </row>
    <row r="4665" spans="1:21" x14ac:dyDescent="0.25">
      <c r="A4665" t="s">
        <v>30</v>
      </c>
      <c r="B4665" t="s">
        <v>935</v>
      </c>
      <c r="C4665">
        <v>15</v>
      </c>
      <c r="D4665" t="s">
        <v>31</v>
      </c>
      <c r="E4665" t="s">
        <v>95</v>
      </c>
      <c r="F4665" t="s">
        <v>113</v>
      </c>
      <c r="G4665" t="s">
        <v>121</v>
      </c>
      <c r="H4665" t="s">
        <v>113</v>
      </c>
      <c r="J4665">
        <v>0</v>
      </c>
      <c r="K4665">
        <v>1</v>
      </c>
      <c r="L4665">
        <v>83.757575759999995</v>
      </c>
      <c r="M4665">
        <v>22.60997987</v>
      </c>
      <c r="N4665">
        <v>0.72884000000000004</v>
      </c>
      <c r="O4665">
        <v>0.21301339999999999</v>
      </c>
      <c r="P4665">
        <v>83.757575759999995</v>
      </c>
      <c r="Q4665">
        <v>22.60997987</v>
      </c>
      <c r="R4665">
        <v>0.72884000000000004</v>
      </c>
      <c r="S4665">
        <v>0.21301339999999999</v>
      </c>
      <c r="T4665" t="s">
        <v>1040</v>
      </c>
      <c r="U4665">
        <v>0</v>
      </c>
    </row>
    <row r="4666" spans="1:21" x14ac:dyDescent="0.25">
      <c r="A4666" t="s">
        <v>30</v>
      </c>
      <c r="B4666" t="s">
        <v>935</v>
      </c>
      <c r="C4666">
        <v>16</v>
      </c>
      <c r="D4666" t="s">
        <v>31</v>
      </c>
      <c r="E4666" t="s">
        <v>95</v>
      </c>
      <c r="F4666" t="s">
        <v>113</v>
      </c>
      <c r="G4666" t="s">
        <v>121</v>
      </c>
      <c r="H4666" t="s">
        <v>103</v>
      </c>
      <c r="J4666">
        <v>0</v>
      </c>
      <c r="K4666">
        <v>2</v>
      </c>
      <c r="L4666">
        <v>83.757575759999995</v>
      </c>
      <c r="M4666">
        <v>22.60997987</v>
      </c>
      <c r="N4666">
        <v>0.72884000000000004</v>
      </c>
      <c r="O4666">
        <v>0.21301339999999999</v>
      </c>
      <c r="P4666">
        <v>98.291666669999998</v>
      </c>
      <c r="Q4666">
        <v>30.315130790000001</v>
      </c>
      <c r="R4666">
        <v>5.0803484000000003E-2</v>
      </c>
      <c r="S4666">
        <v>0.42866070000000001</v>
      </c>
      <c r="T4666" t="s">
        <v>1040</v>
      </c>
      <c r="U4666">
        <v>-0.21564730000000001</v>
      </c>
    </row>
    <row r="4667" spans="1:21" x14ac:dyDescent="0.25">
      <c r="A4667" t="s">
        <v>30</v>
      </c>
      <c r="B4667" t="s">
        <v>935</v>
      </c>
      <c r="C4667">
        <v>16</v>
      </c>
      <c r="D4667" t="s">
        <v>31</v>
      </c>
      <c r="E4667" t="s">
        <v>95</v>
      </c>
      <c r="F4667" t="s">
        <v>113</v>
      </c>
      <c r="G4667" t="s">
        <v>121</v>
      </c>
      <c r="H4667" t="s">
        <v>103</v>
      </c>
      <c r="J4667">
        <v>0</v>
      </c>
      <c r="K4667">
        <v>2</v>
      </c>
      <c r="L4667">
        <v>83.757575759999995</v>
      </c>
      <c r="M4667">
        <v>22.60997987</v>
      </c>
      <c r="N4667">
        <v>0.72884000000000004</v>
      </c>
      <c r="O4667">
        <v>0.21301339999999999</v>
      </c>
      <c r="P4667">
        <v>98.291666669999998</v>
      </c>
      <c r="Q4667">
        <v>30.315130790000001</v>
      </c>
      <c r="R4667">
        <v>5.0803484000000003E-2</v>
      </c>
      <c r="S4667">
        <v>0.42866070000000001</v>
      </c>
      <c r="T4667" t="s">
        <v>1040</v>
      </c>
      <c r="U4667">
        <v>-0.21564730000000001</v>
      </c>
    </row>
    <row r="4668" spans="1:21" x14ac:dyDescent="0.25">
      <c r="A4668" t="s">
        <v>30</v>
      </c>
      <c r="B4668" t="s">
        <v>935</v>
      </c>
      <c r="C4668">
        <v>17</v>
      </c>
      <c r="D4668" t="s">
        <v>31</v>
      </c>
      <c r="E4668" t="s">
        <v>95</v>
      </c>
      <c r="F4668" t="s">
        <v>113</v>
      </c>
      <c r="G4668" t="s">
        <v>121</v>
      </c>
      <c r="H4668" t="s">
        <v>248</v>
      </c>
      <c r="J4668">
        <v>0</v>
      </c>
      <c r="K4668">
        <v>9</v>
      </c>
      <c r="L4668">
        <v>83.757575759999995</v>
      </c>
      <c r="M4668">
        <v>22.60997987</v>
      </c>
      <c r="N4668">
        <v>0.72884000000000004</v>
      </c>
      <c r="O4668">
        <v>0.21301339999999999</v>
      </c>
      <c r="P4668">
        <v>83.92307692</v>
      </c>
      <c r="Q4668">
        <v>44.319135699999997</v>
      </c>
      <c r="R4668">
        <v>5.9548609999999997E-3</v>
      </c>
      <c r="S4668">
        <v>0.18017928</v>
      </c>
      <c r="T4668" t="s">
        <v>1040</v>
      </c>
      <c r="U4668">
        <v>3.2834119999999994E-2</v>
      </c>
    </row>
    <row r="4669" spans="1:21" x14ac:dyDescent="0.25">
      <c r="A4669" t="s">
        <v>30</v>
      </c>
      <c r="B4669" t="s">
        <v>935</v>
      </c>
      <c r="C4669">
        <v>17</v>
      </c>
      <c r="D4669" t="s">
        <v>31</v>
      </c>
      <c r="E4669" t="s">
        <v>95</v>
      </c>
      <c r="F4669" t="s">
        <v>113</v>
      </c>
      <c r="G4669" t="s">
        <v>121</v>
      </c>
      <c r="H4669" t="s">
        <v>248</v>
      </c>
      <c r="J4669">
        <v>0</v>
      </c>
      <c r="K4669">
        <v>9</v>
      </c>
      <c r="L4669">
        <v>83.757575759999995</v>
      </c>
      <c r="M4669">
        <v>22.60997987</v>
      </c>
      <c r="N4669">
        <v>0.72884000000000004</v>
      </c>
      <c r="O4669">
        <v>0.21301339999999999</v>
      </c>
      <c r="P4669">
        <v>83.92307692</v>
      </c>
      <c r="Q4669">
        <v>44.319135699999997</v>
      </c>
      <c r="R4669">
        <v>5.9548609999999997E-3</v>
      </c>
      <c r="S4669">
        <v>0.18017928</v>
      </c>
      <c r="T4669" t="s">
        <v>1040</v>
      </c>
      <c r="U4669">
        <v>3.2834119999999994E-2</v>
      </c>
    </row>
    <row r="4670" spans="1:21" x14ac:dyDescent="0.25">
      <c r="A4670" t="s">
        <v>30</v>
      </c>
      <c r="B4670" t="s">
        <v>935</v>
      </c>
      <c r="C4670">
        <v>17</v>
      </c>
      <c r="D4670" t="s">
        <v>31</v>
      </c>
      <c r="E4670" t="s">
        <v>95</v>
      </c>
      <c r="F4670" t="s">
        <v>113</v>
      </c>
      <c r="G4670" t="s">
        <v>121</v>
      </c>
      <c r="H4670" t="s">
        <v>248</v>
      </c>
      <c r="J4670">
        <v>0</v>
      </c>
      <c r="K4670">
        <v>9</v>
      </c>
      <c r="L4670">
        <v>83.757575759999995</v>
      </c>
      <c r="M4670">
        <v>22.60997987</v>
      </c>
      <c r="N4670">
        <v>0.72884000000000004</v>
      </c>
      <c r="O4670">
        <v>0.21301339999999999</v>
      </c>
      <c r="P4670">
        <v>83.92307692</v>
      </c>
      <c r="Q4670">
        <v>44.319135699999997</v>
      </c>
      <c r="R4670">
        <v>5.9548609999999997E-3</v>
      </c>
      <c r="S4670">
        <v>0.18017928</v>
      </c>
      <c r="T4670" t="s">
        <v>1040</v>
      </c>
      <c r="U4670">
        <v>3.2834119999999994E-2</v>
      </c>
    </row>
    <row r="4671" spans="1:21" x14ac:dyDescent="0.25">
      <c r="A4671" t="s">
        <v>30</v>
      </c>
      <c r="B4671" t="s">
        <v>935</v>
      </c>
      <c r="C4671">
        <v>17</v>
      </c>
      <c r="D4671" t="s">
        <v>31</v>
      </c>
      <c r="E4671" t="s">
        <v>95</v>
      </c>
      <c r="F4671" t="s">
        <v>113</v>
      </c>
      <c r="G4671" t="s">
        <v>121</v>
      </c>
      <c r="H4671" t="s">
        <v>248</v>
      </c>
      <c r="J4671">
        <v>0</v>
      </c>
      <c r="K4671">
        <v>9</v>
      </c>
      <c r="L4671">
        <v>83.757575759999995</v>
      </c>
      <c r="M4671">
        <v>22.60997987</v>
      </c>
      <c r="N4671">
        <v>0.72884000000000004</v>
      </c>
      <c r="O4671">
        <v>0.21301339999999999</v>
      </c>
      <c r="P4671">
        <v>83.92307692</v>
      </c>
      <c r="Q4671">
        <v>44.319135699999997</v>
      </c>
      <c r="R4671">
        <v>5.9548609999999997E-3</v>
      </c>
      <c r="S4671">
        <v>0.18017928</v>
      </c>
      <c r="T4671" t="s">
        <v>1040</v>
      </c>
      <c r="U4671">
        <v>3.2834119999999994E-2</v>
      </c>
    </row>
    <row r="4672" spans="1:21" x14ac:dyDescent="0.25">
      <c r="A4672" t="s">
        <v>30</v>
      </c>
      <c r="B4672" t="s">
        <v>935</v>
      </c>
      <c r="C4672">
        <v>17</v>
      </c>
      <c r="D4672" t="s">
        <v>31</v>
      </c>
      <c r="E4672" t="s">
        <v>95</v>
      </c>
      <c r="F4672" t="s">
        <v>113</v>
      </c>
      <c r="G4672" t="s">
        <v>121</v>
      </c>
      <c r="H4672" t="s">
        <v>248</v>
      </c>
      <c r="J4672">
        <v>0</v>
      </c>
      <c r="K4672">
        <v>9</v>
      </c>
      <c r="L4672">
        <v>83.757575759999995</v>
      </c>
      <c r="M4672">
        <v>22.60997987</v>
      </c>
      <c r="N4672">
        <v>0.72884000000000004</v>
      </c>
      <c r="O4672">
        <v>0.21301339999999999</v>
      </c>
      <c r="P4672">
        <v>83.92307692</v>
      </c>
      <c r="Q4672">
        <v>44.319135699999997</v>
      </c>
      <c r="R4672">
        <v>5.9548609999999997E-3</v>
      </c>
      <c r="S4672">
        <v>0.18017928</v>
      </c>
      <c r="T4672" t="s">
        <v>1040</v>
      </c>
      <c r="U4672">
        <v>3.2834119999999994E-2</v>
      </c>
    </row>
    <row r="4673" spans="1:21" x14ac:dyDescent="0.25">
      <c r="A4673" t="s">
        <v>30</v>
      </c>
      <c r="B4673" t="s">
        <v>935</v>
      </c>
      <c r="C4673">
        <v>17</v>
      </c>
      <c r="D4673" t="s">
        <v>31</v>
      </c>
      <c r="E4673" t="s">
        <v>95</v>
      </c>
      <c r="F4673" t="s">
        <v>113</v>
      </c>
      <c r="G4673" t="s">
        <v>121</v>
      </c>
      <c r="H4673" t="s">
        <v>248</v>
      </c>
      <c r="J4673">
        <v>0</v>
      </c>
      <c r="K4673">
        <v>9</v>
      </c>
      <c r="L4673">
        <v>83.757575759999995</v>
      </c>
      <c r="M4673">
        <v>22.60997987</v>
      </c>
      <c r="N4673">
        <v>0.72884000000000004</v>
      </c>
      <c r="O4673">
        <v>0.21301339999999999</v>
      </c>
      <c r="P4673">
        <v>83.92307692</v>
      </c>
      <c r="Q4673">
        <v>44.319135699999997</v>
      </c>
      <c r="R4673">
        <v>5.9548609999999997E-3</v>
      </c>
      <c r="S4673">
        <v>0.18017928</v>
      </c>
      <c r="T4673" t="s">
        <v>1040</v>
      </c>
      <c r="U4673">
        <v>3.2834119999999994E-2</v>
      </c>
    </row>
    <row r="4674" spans="1:21" x14ac:dyDescent="0.25">
      <c r="A4674" t="s">
        <v>30</v>
      </c>
      <c r="B4674" t="s">
        <v>935</v>
      </c>
      <c r="C4674">
        <v>17</v>
      </c>
      <c r="D4674" t="s">
        <v>31</v>
      </c>
      <c r="E4674" t="s">
        <v>95</v>
      </c>
      <c r="F4674" t="s">
        <v>113</v>
      </c>
      <c r="G4674" t="s">
        <v>121</v>
      </c>
      <c r="H4674" t="s">
        <v>248</v>
      </c>
      <c r="J4674">
        <v>0</v>
      </c>
      <c r="K4674">
        <v>9</v>
      </c>
      <c r="L4674">
        <v>83.757575759999995</v>
      </c>
      <c r="M4674">
        <v>22.60997987</v>
      </c>
      <c r="N4674">
        <v>0.72884000000000004</v>
      </c>
      <c r="O4674">
        <v>0.21301339999999999</v>
      </c>
      <c r="P4674">
        <v>83.92307692</v>
      </c>
      <c r="Q4674">
        <v>44.319135699999997</v>
      </c>
      <c r="R4674">
        <v>5.9548609999999997E-3</v>
      </c>
      <c r="S4674">
        <v>0.18017928</v>
      </c>
      <c r="T4674" t="s">
        <v>1040</v>
      </c>
      <c r="U4674">
        <v>3.2834119999999994E-2</v>
      </c>
    </row>
    <row r="4675" spans="1:21" x14ac:dyDescent="0.25">
      <c r="A4675" t="s">
        <v>30</v>
      </c>
      <c r="B4675" t="s">
        <v>935</v>
      </c>
      <c r="C4675">
        <v>17</v>
      </c>
      <c r="D4675" t="s">
        <v>31</v>
      </c>
      <c r="E4675" t="s">
        <v>95</v>
      </c>
      <c r="F4675" t="s">
        <v>113</v>
      </c>
      <c r="G4675" t="s">
        <v>121</v>
      </c>
      <c r="H4675" t="s">
        <v>248</v>
      </c>
      <c r="J4675">
        <v>0</v>
      </c>
      <c r="K4675">
        <v>9</v>
      </c>
      <c r="L4675">
        <v>83.757575759999995</v>
      </c>
      <c r="M4675">
        <v>22.60997987</v>
      </c>
      <c r="N4675">
        <v>0.72884000000000004</v>
      </c>
      <c r="O4675">
        <v>0.21301339999999999</v>
      </c>
      <c r="P4675">
        <v>83.92307692</v>
      </c>
      <c r="Q4675">
        <v>44.319135699999997</v>
      </c>
      <c r="R4675">
        <v>5.9548609999999997E-3</v>
      </c>
      <c r="S4675">
        <v>0.18017928</v>
      </c>
      <c r="T4675" t="s">
        <v>1040</v>
      </c>
      <c r="U4675">
        <v>3.2834119999999994E-2</v>
      </c>
    </row>
    <row r="4676" spans="1:21" x14ac:dyDescent="0.25">
      <c r="A4676" t="s">
        <v>30</v>
      </c>
      <c r="B4676" t="s">
        <v>935</v>
      </c>
      <c r="C4676">
        <v>17</v>
      </c>
      <c r="D4676" t="s">
        <v>31</v>
      </c>
      <c r="E4676" t="s">
        <v>95</v>
      </c>
      <c r="F4676" t="s">
        <v>113</v>
      </c>
      <c r="G4676" t="s">
        <v>121</v>
      </c>
      <c r="H4676" t="s">
        <v>248</v>
      </c>
      <c r="J4676">
        <v>0</v>
      </c>
      <c r="K4676">
        <v>9</v>
      </c>
      <c r="L4676">
        <v>83.757575759999995</v>
      </c>
      <c r="M4676">
        <v>22.60997987</v>
      </c>
      <c r="N4676">
        <v>0.72884000000000004</v>
      </c>
      <c r="O4676">
        <v>0.21301339999999999</v>
      </c>
      <c r="P4676">
        <v>83.92307692</v>
      </c>
      <c r="Q4676">
        <v>44.319135699999997</v>
      </c>
      <c r="R4676">
        <v>5.9548609999999997E-3</v>
      </c>
      <c r="S4676">
        <v>0.18017928</v>
      </c>
      <c r="T4676" t="s">
        <v>1040</v>
      </c>
      <c r="U4676">
        <v>3.2834119999999994E-2</v>
      </c>
    </row>
    <row r="4677" spans="1:21" x14ac:dyDescent="0.25">
      <c r="A4677" t="s">
        <v>30</v>
      </c>
      <c r="B4677" t="s">
        <v>935</v>
      </c>
      <c r="C4677">
        <v>18</v>
      </c>
      <c r="D4677" t="s">
        <v>31</v>
      </c>
      <c r="E4677" t="s">
        <v>95</v>
      </c>
      <c r="F4677" t="s">
        <v>113</v>
      </c>
      <c r="G4677" t="s">
        <v>121</v>
      </c>
      <c r="H4677" t="s">
        <v>111</v>
      </c>
      <c r="J4677">
        <v>0</v>
      </c>
      <c r="K4677">
        <v>1</v>
      </c>
      <c r="L4677">
        <v>83.757575759999995</v>
      </c>
      <c r="M4677">
        <v>22.60997987</v>
      </c>
      <c r="N4677">
        <v>0.72884000000000004</v>
      </c>
      <c r="O4677">
        <v>0.21301339999999999</v>
      </c>
      <c r="P4677">
        <v>94.97142857</v>
      </c>
      <c r="Q4677">
        <v>24.31591813</v>
      </c>
      <c r="R4677">
        <v>0.122951111</v>
      </c>
      <c r="S4677">
        <v>0.39050790000000002</v>
      </c>
      <c r="T4677" t="s">
        <v>1040</v>
      </c>
      <c r="U4677">
        <v>-0.17749450000000003</v>
      </c>
    </row>
    <row r="4678" spans="1:21" x14ac:dyDescent="0.25">
      <c r="A4678" t="s">
        <v>30</v>
      </c>
      <c r="B4678" t="s">
        <v>936</v>
      </c>
      <c r="C4678">
        <v>15</v>
      </c>
      <c r="D4678" t="s">
        <v>31</v>
      </c>
      <c r="E4678" t="s">
        <v>95</v>
      </c>
      <c r="F4678" t="s">
        <v>103</v>
      </c>
      <c r="G4678" t="s">
        <v>113</v>
      </c>
      <c r="H4678" t="s">
        <v>113</v>
      </c>
      <c r="J4678">
        <v>0</v>
      </c>
      <c r="K4678">
        <v>3</v>
      </c>
      <c r="L4678">
        <v>98.291666669999998</v>
      </c>
      <c r="M4678">
        <v>30.315130790000001</v>
      </c>
      <c r="N4678">
        <v>5.0803484000000003E-2</v>
      </c>
      <c r="O4678">
        <v>0.42866070000000001</v>
      </c>
      <c r="P4678">
        <v>83.757575759999995</v>
      </c>
      <c r="Q4678">
        <v>22.60997987</v>
      </c>
      <c r="R4678">
        <v>0.72884000000000004</v>
      </c>
      <c r="S4678">
        <v>0.21301339999999999</v>
      </c>
      <c r="T4678" t="s">
        <v>1040</v>
      </c>
      <c r="U4678">
        <v>0.21564730000000001</v>
      </c>
    </row>
    <row r="4679" spans="1:21" x14ac:dyDescent="0.25">
      <c r="A4679" t="s">
        <v>30</v>
      </c>
      <c r="B4679" t="s">
        <v>936</v>
      </c>
      <c r="C4679">
        <v>15</v>
      </c>
      <c r="D4679" t="s">
        <v>31</v>
      </c>
      <c r="E4679" t="s">
        <v>95</v>
      </c>
      <c r="F4679" t="s">
        <v>103</v>
      </c>
      <c r="G4679" t="s">
        <v>113</v>
      </c>
      <c r="H4679" t="s">
        <v>113</v>
      </c>
      <c r="J4679">
        <v>0</v>
      </c>
      <c r="K4679">
        <v>3</v>
      </c>
      <c r="L4679">
        <v>98.291666669999998</v>
      </c>
      <c r="M4679">
        <v>30.315130790000001</v>
      </c>
      <c r="N4679">
        <v>5.0803484000000003E-2</v>
      </c>
      <c r="O4679">
        <v>0.42866070000000001</v>
      </c>
      <c r="P4679">
        <v>83.757575759999995</v>
      </c>
      <c r="Q4679">
        <v>22.60997987</v>
      </c>
      <c r="R4679">
        <v>0.72884000000000004</v>
      </c>
      <c r="S4679">
        <v>0.21301339999999999</v>
      </c>
      <c r="T4679" t="s">
        <v>1040</v>
      </c>
      <c r="U4679">
        <v>0.21564730000000001</v>
      </c>
    </row>
    <row r="4680" spans="1:21" x14ac:dyDescent="0.25">
      <c r="A4680" t="s">
        <v>30</v>
      </c>
      <c r="B4680" t="s">
        <v>936</v>
      </c>
      <c r="C4680">
        <v>15</v>
      </c>
      <c r="D4680" t="s">
        <v>31</v>
      </c>
      <c r="E4680" t="s">
        <v>95</v>
      </c>
      <c r="F4680" t="s">
        <v>103</v>
      </c>
      <c r="G4680" t="s">
        <v>113</v>
      </c>
      <c r="H4680" t="s">
        <v>113</v>
      </c>
      <c r="J4680">
        <v>0</v>
      </c>
      <c r="K4680">
        <v>3</v>
      </c>
      <c r="L4680">
        <v>98.291666669999998</v>
      </c>
      <c r="M4680">
        <v>30.315130790000001</v>
      </c>
      <c r="N4680">
        <v>5.0803484000000003E-2</v>
      </c>
      <c r="O4680">
        <v>0.42866070000000001</v>
      </c>
      <c r="P4680">
        <v>83.757575759999995</v>
      </c>
      <c r="Q4680">
        <v>22.60997987</v>
      </c>
      <c r="R4680">
        <v>0.72884000000000004</v>
      </c>
      <c r="S4680">
        <v>0.21301339999999999</v>
      </c>
      <c r="T4680" t="s">
        <v>1040</v>
      </c>
      <c r="U4680">
        <v>0.21564730000000001</v>
      </c>
    </row>
    <row r="4681" spans="1:21" x14ac:dyDescent="0.25">
      <c r="A4681" t="s">
        <v>30</v>
      </c>
      <c r="B4681" t="s">
        <v>936</v>
      </c>
      <c r="C4681">
        <v>16</v>
      </c>
      <c r="D4681" t="s">
        <v>31</v>
      </c>
      <c r="E4681" t="s">
        <v>95</v>
      </c>
      <c r="F4681" t="s">
        <v>103</v>
      </c>
      <c r="G4681" t="s">
        <v>113</v>
      </c>
      <c r="H4681" t="s">
        <v>247</v>
      </c>
      <c r="J4681">
        <v>0</v>
      </c>
      <c r="K4681">
        <v>1</v>
      </c>
      <c r="L4681">
        <v>98.291666669999998</v>
      </c>
      <c r="M4681">
        <v>30.315130790000001</v>
      </c>
      <c r="N4681">
        <v>5.0803484000000003E-2</v>
      </c>
      <c r="O4681">
        <v>0.42866070000000001</v>
      </c>
      <c r="P4681">
        <v>65.791044779999993</v>
      </c>
      <c r="Q4681">
        <v>22.94519201</v>
      </c>
      <c r="R4681">
        <v>8.1320334999999994E-2</v>
      </c>
      <c r="S4681">
        <v>0.17285655</v>
      </c>
      <c r="T4681" t="s">
        <v>1040</v>
      </c>
      <c r="U4681">
        <v>0.25580415000000001</v>
      </c>
    </row>
    <row r="4682" spans="1:21" x14ac:dyDescent="0.25">
      <c r="A4682" t="s">
        <v>30</v>
      </c>
      <c r="B4682" t="s">
        <v>936</v>
      </c>
      <c r="C4682">
        <v>17</v>
      </c>
      <c r="D4682" t="s">
        <v>31</v>
      </c>
      <c r="E4682" t="s">
        <v>95</v>
      </c>
      <c r="F4682" t="s">
        <v>103</v>
      </c>
      <c r="G4682" t="s">
        <v>113</v>
      </c>
      <c r="H4682" t="s">
        <v>111</v>
      </c>
      <c r="J4682">
        <v>0</v>
      </c>
      <c r="K4682">
        <v>1</v>
      </c>
      <c r="L4682">
        <v>98.291666669999998</v>
      </c>
      <c r="M4682">
        <v>30.315130790000001</v>
      </c>
      <c r="N4682">
        <v>5.0803484000000003E-2</v>
      </c>
      <c r="O4682">
        <v>0.42866070000000001</v>
      </c>
      <c r="P4682">
        <v>94.97142857</v>
      </c>
      <c r="Q4682">
        <v>24.31591813</v>
      </c>
      <c r="R4682">
        <v>0.122951111</v>
      </c>
      <c r="S4682">
        <v>0.39050790000000002</v>
      </c>
      <c r="T4682" t="s">
        <v>1040</v>
      </c>
      <c r="U4682">
        <v>3.8152799999999987E-2</v>
      </c>
    </row>
    <row r="4683" spans="1:21" x14ac:dyDescent="0.25">
      <c r="A4683" t="s">
        <v>30</v>
      </c>
      <c r="B4683" t="s">
        <v>936</v>
      </c>
      <c r="C4683">
        <v>18</v>
      </c>
      <c r="D4683" t="s">
        <v>31</v>
      </c>
      <c r="E4683" t="s">
        <v>95</v>
      </c>
      <c r="F4683" t="s">
        <v>103</v>
      </c>
      <c r="G4683" t="s">
        <v>113</v>
      </c>
      <c r="H4683" t="s">
        <v>234</v>
      </c>
      <c r="J4683">
        <v>0</v>
      </c>
      <c r="K4683">
        <v>1</v>
      </c>
      <c r="L4683">
        <v>98.291666669999998</v>
      </c>
      <c r="M4683">
        <v>30.315130790000001</v>
      </c>
      <c r="N4683">
        <v>5.0803484000000003E-2</v>
      </c>
      <c r="O4683">
        <v>0.42866070000000001</v>
      </c>
      <c r="P4683">
        <v>89.8125</v>
      </c>
      <c r="Q4683">
        <v>34.754706650000003</v>
      </c>
      <c r="R4683">
        <v>2.3065078999999999E-2</v>
      </c>
      <c r="S4683">
        <v>2.4791666700000001</v>
      </c>
      <c r="T4683" t="s">
        <v>1040</v>
      </c>
      <c r="U4683">
        <v>-2.0505059700000001</v>
      </c>
    </row>
    <row r="4684" spans="1:21" x14ac:dyDescent="0.25">
      <c r="A4684" t="s">
        <v>30</v>
      </c>
      <c r="B4684" t="s">
        <v>936</v>
      </c>
      <c r="C4684">
        <v>19</v>
      </c>
      <c r="D4684" t="s">
        <v>31</v>
      </c>
      <c r="E4684" t="s">
        <v>95</v>
      </c>
      <c r="F4684" t="s">
        <v>103</v>
      </c>
      <c r="G4684" t="s">
        <v>113</v>
      </c>
      <c r="H4684" t="s">
        <v>241</v>
      </c>
      <c r="J4684">
        <v>0</v>
      </c>
      <c r="K4684">
        <v>1</v>
      </c>
      <c r="L4684">
        <v>98.291666669999998</v>
      </c>
      <c r="M4684">
        <v>30.315130790000001</v>
      </c>
      <c r="N4684">
        <v>5.0803484000000003E-2</v>
      </c>
      <c r="O4684">
        <v>0.42866070000000001</v>
      </c>
      <c r="P4684">
        <v>114</v>
      </c>
      <c r="Q4684">
        <v>30.43077242</v>
      </c>
      <c r="R4684">
        <v>0.53383111100000002</v>
      </c>
      <c r="S4684">
        <v>0.28333332999999999</v>
      </c>
      <c r="T4684" t="s">
        <v>1040</v>
      </c>
      <c r="U4684">
        <v>0.14532737000000001</v>
      </c>
    </row>
    <row r="4685" spans="1:21" x14ac:dyDescent="0.25">
      <c r="A4685" t="s">
        <v>30</v>
      </c>
      <c r="B4685" t="s">
        <v>937</v>
      </c>
      <c r="C4685">
        <v>15</v>
      </c>
      <c r="D4685" t="s">
        <v>31</v>
      </c>
      <c r="E4685" t="s">
        <v>95</v>
      </c>
      <c r="F4685" t="s">
        <v>112</v>
      </c>
      <c r="G4685" t="s">
        <v>103</v>
      </c>
      <c r="H4685" t="s">
        <v>114</v>
      </c>
      <c r="J4685">
        <v>0</v>
      </c>
      <c r="K4685" t="s">
        <v>114</v>
      </c>
      <c r="L4685">
        <v>65.09375</v>
      </c>
      <c r="M4685">
        <v>37.895352600000002</v>
      </c>
      <c r="N4685">
        <v>2.2882677779999998</v>
      </c>
      <c r="O4685">
        <v>2.2111774</v>
      </c>
      <c r="P4685" t="s">
        <v>114</v>
      </c>
      <c r="Q4685" t="s">
        <v>114</v>
      </c>
      <c r="R4685" t="s">
        <v>114</v>
      </c>
      <c r="S4685" t="s">
        <v>114</v>
      </c>
      <c r="T4685" t="s">
        <v>1040</v>
      </c>
      <c r="U4685" t="s">
        <v>114</v>
      </c>
    </row>
    <row r="4686" spans="1:21" x14ac:dyDescent="0.25">
      <c r="A4686" t="s">
        <v>32</v>
      </c>
      <c r="B4686" t="s">
        <v>938</v>
      </c>
      <c r="C4686">
        <v>15</v>
      </c>
      <c r="D4686" t="s">
        <v>33</v>
      </c>
      <c r="E4686" t="s">
        <v>94</v>
      </c>
      <c r="F4686" t="s">
        <v>105</v>
      </c>
      <c r="G4686" t="s">
        <v>121</v>
      </c>
      <c r="H4686" t="s">
        <v>247</v>
      </c>
      <c r="J4686">
        <v>0</v>
      </c>
      <c r="K4686">
        <v>2</v>
      </c>
      <c r="L4686">
        <v>67.5</v>
      </c>
      <c r="M4686">
        <v>47.937235809999997</v>
      </c>
      <c r="N4686">
        <v>0.41599678000000001</v>
      </c>
      <c r="O4686">
        <v>2.0950346999999998</v>
      </c>
      <c r="P4686">
        <v>65.791044779999993</v>
      </c>
      <c r="Q4686">
        <v>22.94519201</v>
      </c>
      <c r="R4686">
        <v>8.1320334999999994E-2</v>
      </c>
      <c r="S4686">
        <v>0.17285655</v>
      </c>
      <c r="T4686" t="s">
        <v>1040</v>
      </c>
      <c r="U4686">
        <v>1.9221781499999997</v>
      </c>
    </row>
    <row r="4687" spans="1:21" x14ac:dyDescent="0.25">
      <c r="A4687" t="s">
        <v>32</v>
      </c>
      <c r="B4687" t="s">
        <v>938</v>
      </c>
      <c r="C4687">
        <v>15</v>
      </c>
      <c r="D4687" t="s">
        <v>33</v>
      </c>
      <c r="E4687" t="s">
        <v>94</v>
      </c>
      <c r="F4687" t="s">
        <v>105</v>
      </c>
      <c r="G4687" t="s">
        <v>121</v>
      </c>
      <c r="H4687" t="s">
        <v>247</v>
      </c>
      <c r="J4687">
        <v>0</v>
      </c>
      <c r="K4687">
        <v>2</v>
      </c>
      <c r="L4687">
        <v>67.5</v>
      </c>
      <c r="M4687">
        <v>47.937235809999997</v>
      </c>
      <c r="N4687">
        <v>0.41599678000000001</v>
      </c>
      <c r="O4687">
        <v>2.0950346999999998</v>
      </c>
      <c r="P4687">
        <v>65.791044779999993</v>
      </c>
      <c r="Q4687">
        <v>22.94519201</v>
      </c>
      <c r="R4687">
        <v>8.1320334999999994E-2</v>
      </c>
      <c r="S4687">
        <v>0.17285655</v>
      </c>
      <c r="T4687" t="s">
        <v>1040</v>
      </c>
      <c r="U4687">
        <v>1.9221781499999997</v>
      </c>
    </row>
    <row r="4688" spans="1:21" x14ac:dyDescent="0.25">
      <c r="A4688" t="s">
        <v>32</v>
      </c>
      <c r="B4688" t="s">
        <v>938</v>
      </c>
      <c r="C4688">
        <v>16</v>
      </c>
      <c r="D4688" t="s">
        <v>33</v>
      </c>
      <c r="E4688" t="s">
        <v>94</v>
      </c>
      <c r="F4688" t="s">
        <v>105</v>
      </c>
      <c r="G4688" t="s">
        <v>121</v>
      </c>
      <c r="H4688" t="s">
        <v>249</v>
      </c>
      <c r="J4688">
        <v>0</v>
      </c>
      <c r="K4688">
        <v>1</v>
      </c>
      <c r="L4688">
        <v>67.5</v>
      </c>
      <c r="M4688">
        <v>47.937235809999997</v>
      </c>
      <c r="N4688">
        <v>0.41599678000000001</v>
      </c>
      <c r="O4688">
        <v>2.0950346999999998</v>
      </c>
      <c r="P4688">
        <v>81.666666669999998</v>
      </c>
      <c r="Q4688">
        <v>48.056268459999998</v>
      </c>
      <c r="R4688">
        <v>0.120291364</v>
      </c>
      <c r="S4688" t="s">
        <v>114</v>
      </c>
      <c r="T4688" t="s">
        <v>1040</v>
      </c>
      <c r="U4688" t="s">
        <v>114</v>
      </c>
    </row>
    <row r="4689" spans="1:21" x14ac:dyDescent="0.25">
      <c r="A4689" t="s">
        <v>34</v>
      </c>
      <c r="B4689" t="s">
        <v>939</v>
      </c>
      <c r="C4689">
        <v>15</v>
      </c>
      <c r="D4689" t="s">
        <v>35</v>
      </c>
      <c r="E4689" t="s">
        <v>94</v>
      </c>
      <c r="F4689" t="s">
        <v>112</v>
      </c>
      <c r="G4689" t="s">
        <v>112</v>
      </c>
      <c r="H4689" t="s">
        <v>112</v>
      </c>
      <c r="J4689">
        <v>0</v>
      </c>
      <c r="K4689">
        <v>1</v>
      </c>
      <c r="L4689">
        <v>65.09375</v>
      </c>
      <c r="M4689">
        <v>37.895352600000002</v>
      </c>
      <c r="N4689">
        <v>2.2882677779999998</v>
      </c>
      <c r="O4689">
        <v>2.2111774</v>
      </c>
      <c r="P4689">
        <v>65.09375</v>
      </c>
      <c r="Q4689">
        <v>37.895352600000002</v>
      </c>
      <c r="R4689">
        <v>2.2882677779999998</v>
      </c>
      <c r="S4689">
        <v>2.2111774</v>
      </c>
      <c r="T4689" t="s">
        <v>1040</v>
      </c>
      <c r="U4689">
        <v>0</v>
      </c>
    </row>
    <row r="4690" spans="1:21" x14ac:dyDescent="0.25">
      <c r="A4690" t="s">
        <v>36</v>
      </c>
      <c r="B4690" t="s">
        <v>940</v>
      </c>
      <c r="C4690">
        <v>15</v>
      </c>
      <c r="D4690" t="s">
        <v>37</v>
      </c>
      <c r="E4690" t="s">
        <v>95</v>
      </c>
      <c r="F4690" t="s">
        <v>110</v>
      </c>
      <c r="G4690" t="s">
        <v>121</v>
      </c>
      <c r="H4690" t="s">
        <v>110</v>
      </c>
      <c r="J4690">
        <v>0</v>
      </c>
      <c r="K4690">
        <v>1</v>
      </c>
      <c r="L4690">
        <v>73.260869569999997</v>
      </c>
      <c r="M4690">
        <v>34.453830549999999</v>
      </c>
      <c r="N4690">
        <v>1.058333333</v>
      </c>
      <c r="O4690">
        <v>0.90897070000000002</v>
      </c>
      <c r="P4690">
        <v>73.260869569999997</v>
      </c>
      <c r="Q4690">
        <v>34.453830549999999</v>
      </c>
      <c r="R4690">
        <v>1.058333333</v>
      </c>
      <c r="S4690">
        <v>0.90897070000000002</v>
      </c>
      <c r="T4690" t="s">
        <v>1040</v>
      </c>
      <c r="U4690">
        <v>0</v>
      </c>
    </row>
    <row r="4691" spans="1:21" x14ac:dyDescent="0.25">
      <c r="A4691" t="s">
        <v>36</v>
      </c>
      <c r="B4691" t="s">
        <v>941</v>
      </c>
      <c r="C4691">
        <v>15</v>
      </c>
      <c r="D4691" t="s">
        <v>37</v>
      </c>
      <c r="E4691" t="s">
        <v>95</v>
      </c>
      <c r="F4691" t="s">
        <v>104</v>
      </c>
      <c r="G4691" t="s">
        <v>121</v>
      </c>
      <c r="H4691" t="s">
        <v>104</v>
      </c>
      <c r="J4691">
        <v>0</v>
      </c>
      <c r="K4691">
        <v>1</v>
      </c>
      <c r="L4691">
        <v>113.9375</v>
      </c>
      <c r="M4691">
        <v>33.375507550000002</v>
      </c>
      <c r="N4691">
        <v>2.4262999999999999</v>
      </c>
      <c r="O4691">
        <v>0.40692159999999999</v>
      </c>
      <c r="P4691">
        <v>113.9375</v>
      </c>
      <c r="Q4691">
        <v>33.375507550000002</v>
      </c>
      <c r="R4691">
        <v>2.4262999999999999</v>
      </c>
      <c r="S4691">
        <v>0.40692159999999999</v>
      </c>
      <c r="T4691" t="s">
        <v>1040</v>
      </c>
      <c r="U4691">
        <v>0</v>
      </c>
    </row>
    <row r="4692" spans="1:21" x14ac:dyDescent="0.25">
      <c r="A4692" t="s">
        <v>36</v>
      </c>
      <c r="B4692" t="s">
        <v>941</v>
      </c>
      <c r="C4692">
        <v>16</v>
      </c>
      <c r="D4692" t="s">
        <v>37</v>
      </c>
      <c r="E4692" t="s">
        <v>95</v>
      </c>
      <c r="F4692" t="s">
        <v>104</v>
      </c>
      <c r="G4692" t="s">
        <v>121</v>
      </c>
      <c r="H4692" t="s">
        <v>111</v>
      </c>
      <c r="J4692">
        <v>0</v>
      </c>
      <c r="K4692">
        <v>1</v>
      </c>
      <c r="L4692">
        <v>113.9375</v>
      </c>
      <c r="M4692">
        <v>33.375507550000002</v>
      </c>
      <c r="N4692">
        <v>2.4262999999999999</v>
      </c>
      <c r="O4692">
        <v>0.40692159999999999</v>
      </c>
      <c r="P4692">
        <v>94.97142857</v>
      </c>
      <c r="Q4692">
        <v>24.31591813</v>
      </c>
      <c r="R4692">
        <v>0.122951111</v>
      </c>
      <c r="S4692">
        <v>0.39050790000000002</v>
      </c>
      <c r="T4692" t="s">
        <v>1040</v>
      </c>
      <c r="U4692">
        <v>1.6413699999999976E-2</v>
      </c>
    </row>
    <row r="4693" spans="1:21" x14ac:dyDescent="0.25">
      <c r="A4693" t="s">
        <v>36</v>
      </c>
      <c r="B4693" t="s">
        <v>941</v>
      </c>
      <c r="C4693">
        <v>17</v>
      </c>
      <c r="D4693" t="s">
        <v>37</v>
      </c>
      <c r="E4693" t="s">
        <v>95</v>
      </c>
      <c r="F4693" t="s">
        <v>104</v>
      </c>
      <c r="G4693" t="s">
        <v>121</v>
      </c>
      <c r="H4693" t="s">
        <v>162</v>
      </c>
      <c r="J4693">
        <v>0</v>
      </c>
      <c r="K4693">
        <v>1</v>
      </c>
      <c r="L4693">
        <v>113.9375</v>
      </c>
      <c r="M4693">
        <v>33.375507550000002</v>
      </c>
      <c r="N4693">
        <v>2.4262999999999999</v>
      </c>
      <c r="O4693">
        <v>0.40692159999999999</v>
      </c>
      <c r="P4693">
        <v>82.53846154</v>
      </c>
      <c r="Q4693">
        <v>35.660530039999998</v>
      </c>
      <c r="R4693">
        <v>3.3754499999999998</v>
      </c>
      <c r="S4693" t="s">
        <v>114</v>
      </c>
      <c r="T4693" t="s">
        <v>1040</v>
      </c>
      <c r="U4693" t="s">
        <v>114</v>
      </c>
    </row>
    <row r="4694" spans="1:21" x14ac:dyDescent="0.25">
      <c r="A4694" t="s">
        <v>38</v>
      </c>
      <c r="B4694" t="s">
        <v>942</v>
      </c>
      <c r="C4694">
        <v>2</v>
      </c>
      <c r="D4694" t="s">
        <v>11</v>
      </c>
      <c r="E4694" t="s">
        <v>95</v>
      </c>
      <c r="F4694" t="s">
        <v>113</v>
      </c>
      <c r="G4694" t="s">
        <v>103</v>
      </c>
      <c r="H4694" t="s">
        <v>103</v>
      </c>
      <c r="J4694">
        <v>0</v>
      </c>
      <c r="K4694">
        <v>3</v>
      </c>
      <c r="L4694">
        <v>83.757575759999995</v>
      </c>
      <c r="M4694">
        <v>22.60997987</v>
      </c>
      <c r="N4694">
        <v>0.72884000000000004</v>
      </c>
      <c r="O4694">
        <v>0.21301339999999999</v>
      </c>
      <c r="P4694">
        <v>98.291666669999998</v>
      </c>
      <c r="Q4694">
        <v>30.315130790000001</v>
      </c>
      <c r="R4694">
        <v>5.0803484000000003E-2</v>
      </c>
      <c r="S4694">
        <v>0.42866070000000001</v>
      </c>
      <c r="T4694" t="s">
        <v>1040</v>
      </c>
      <c r="U4694">
        <v>-0.21564730000000001</v>
      </c>
    </row>
    <row r="4695" spans="1:21" x14ac:dyDescent="0.25">
      <c r="A4695" t="s">
        <v>38</v>
      </c>
      <c r="B4695" t="s">
        <v>942</v>
      </c>
      <c r="C4695">
        <v>2</v>
      </c>
      <c r="D4695" t="s">
        <v>11</v>
      </c>
      <c r="E4695" t="s">
        <v>95</v>
      </c>
      <c r="F4695" t="s">
        <v>113</v>
      </c>
      <c r="G4695" t="s">
        <v>103</v>
      </c>
      <c r="H4695" t="s">
        <v>103</v>
      </c>
      <c r="J4695">
        <v>0</v>
      </c>
      <c r="K4695">
        <v>3</v>
      </c>
      <c r="L4695">
        <v>83.757575759999995</v>
      </c>
      <c r="M4695">
        <v>22.60997987</v>
      </c>
      <c r="N4695">
        <v>0.72884000000000004</v>
      </c>
      <c r="O4695">
        <v>0.21301339999999999</v>
      </c>
      <c r="P4695">
        <v>98.291666669999998</v>
      </c>
      <c r="Q4695">
        <v>30.315130790000001</v>
      </c>
      <c r="R4695">
        <v>5.0803484000000003E-2</v>
      </c>
      <c r="S4695">
        <v>0.42866070000000001</v>
      </c>
      <c r="T4695" t="s">
        <v>1040</v>
      </c>
      <c r="U4695">
        <v>-0.21564730000000001</v>
      </c>
    </row>
    <row r="4696" spans="1:21" x14ac:dyDescent="0.25">
      <c r="A4696" t="s">
        <v>38</v>
      </c>
      <c r="B4696" t="s">
        <v>942</v>
      </c>
      <c r="C4696">
        <v>2</v>
      </c>
      <c r="D4696" t="s">
        <v>11</v>
      </c>
      <c r="E4696" t="s">
        <v>95</v>
      </c>
      <c r="F4696" t="s">
        <v>113</v>
      </c>
      <c r="G4696" t="s">
        <v>103</v>
      </c>
      <c r="H4696" t="s">
        <v>103</v>
      </c>
      <c r="J4696">
        <v>0</v>
      </c>
      <c r="K4696">
        <v>3</v>
      </c>
      <c r="L4696">
        <v>83.757575759999995</v>
      </c>
      <c r="M4696">
        <v>22.60997987</v>
      </c>
      <c r="N4696">
        <v>0.72884000000000004</v>
      </c>
      <c r="O4696">
        <v>0.21301339999999999</v>
      </c>
      <c r="P4696">
        <v>98.291666669999998</v>
      </c>
      <c r="Q4696">
        <v>30.315130790000001</v>
      </c>
      <c r="R4696">
        <v>5.0803484000000003E-2</v>
      </c>
      <c r="S4696">
        <v>0.42866070000000001</v>
      </c>
      <c r="T4696" t="s">
        <v>1040</v>
      </c>
      <c r="U4696">
        <v>-0.21564730000000001</v>
      </c>
    </row>
    <row r="4697" spans="1:21" x14ac:dyDescent="0.25">
      <c r="A4697" t="s">
        <v>38</v>
      </c>
      <c r="B4697" t="s">
        <v>943</v>
      </c>
      <c r="C4697">
        <v>2</v>
      </c>
      <c r="D4697" t="s">
        <v>11</v>
      </c>
      <c r="E4697" t="s">
        <v>95</v>
      </c>
      <c r="F4697" t="s">
        <v>103</v>
      </c>
      <c r="G4697" t="s">
        <v>103</v>
      </c>
      <c r="H4697" t="s">
        <v>103</v>
      </c>
      <c r="J4697">
        <v>0</v>
      </c>
      <c r="K4697">
        <v>7</v>
      </c>
      <c r="L4697">
        <v>98.291666669999998</v>
      </c>
      <c r="M4697">
        <v>30.315130790000001</v>
      </c>
      <c r="N4697">
        <v>5.0803484000000003E-2</v>
      </c>
      <c r="O4697">
        <v>0.42866070000000001</v>
      </c>
      <c r="P4697">
        <v>98.291666669999998</v>
      </c>
      <c r="Q4697">
        <v>30.315130790000001</v>
      </c>
      <c r="R4697">
        <v>5.0803484000000003E-2</v>
      </c>
      <c r="S4697">
        <v>0.42866070000000001</v>
      </c>
      <c r="T4697" t="s">
        <v>1040</v>
      </c>
      <c r="U4697">
        <v>0</v>
      </c>
    </row>
    <row r="4698" spans="1:21" x14ac:dyDescent="0.25">
      <c r="A4698" t="s">
        <v>38</v>
      </c>
      <c r="B4698" t="s">
        <v>943</v>
      </c>
      <c r="C4698">
        <v>2</v>
      </c>
      <c r="D4698" t="s">
        <v>11</v>
      </c>
      <c r="E4698" t="s">
        <v>95</v>
      </c>
      <c r="F4698" t="s">
        <v>103</v>
      </c>
      <c r="G4698" t="s">
        <v>103</v>
      </c>
      <c r="H4698" t="s">
        <v>103</v>
      </c>
      <c r="J4698">
        <v>0</v>
      </c>
      <c r="K4698">
        <v>7</v>
      </c>
      <c r="L4698">
        <v>98.291666669999998</v>
      </c>
      <c r="M4698">
        <v>30.315130790000001</v>
      </c>
      <c r="N4698">
        <v>5.0803484000000003E-2</v>
      </c>
      <c r="O4698">
        <v>0.42866070000000001</v>
      </c>
      <c r="P4698">
        <v>98.291666669999998</v>
      </c>
      <c r="Q4698">
        <v>30.315130790000001</v>
      </c>
      <c r="R4698">
        <v>5.0803484000000003E-2</v>
      </c>
      <c r="S4698">
        <v>0.42866070000000001</v>
      </c>
      <c r="T4698" t="s">
        <v>1040</v>
      </c>
      <c r="U4698">
        <v>0</v>
      </c>
    </row>
    <row r="4699" spans="1:21" x14ac:dyDescent="0.25">
      <c r="A4699" t="s">
        <v>38</v>
      </c>
      <c r="B4699" t="s">
        <v>943</v>
      </c>
      <c r="C4699">
        <v>2</v>
      </c>
      <c r="D4699" t="s">
        <v>11</v>
      </c>
      <c r="E4699" t="s">
        <v>95</v>
      </c>
      <c r="F4699" t="s">
        <v>103</v>
      </c>
      <c r="G4699" t="s">
        <v>103</v>
      </c>
      <c r="H4699" t="s">
        <v>103</v>
      </c>
      <c r="J4699">
        <v>0</v>
      </c>
      <c r="K4699">
        <v>7</v>
      </c>
      <c r="L4699">
        <v>98.291666669999998</v>
      </c>
      <c r="M4699">
        <v>30.315130790000001</v>
      </c>
      <c r="N4699">
        <v>5.0803484000000003E-2</v>
      </c>
      <c r="O4699">
        <v>0.42866070000000001</v>
      </c>
      <c r="P4699">
        <v>98.291666669999998</v>
      </c>
      <c r="Q4699">
        <v>30.315130790000001</v>
      </c>
      <c r="R4699">
        <v>5.0803484000000003E-2</v>
      </c>
      <c r="S4699">
        <v>0.42866070000000001</v>
      </c>
      <c r="T4699" t="s">
        <v>1040</v>
      </c>
      <c r="U4699">
        <v>0</v>
      </c>
    </row>
    <row r="4700" spans="1:21" x14ac:dyDescent="0.25">
      <c r="A4700" t="s">
        <v>38</v>
      </c>
      <c r="B4700" t="s">
        <v>943</v>
      </c>
      <c r="C4700">
        <v>2</v>
      </c>
      <c r="D4700" t="s">
        <v>11</v>
      </c>
      <c r="E4700" t="s">
        <v>95</v>
      </c>
      <c r="F4700" t="s">
        <v>103</v>
      </c>
      <c r="G4700" t="s">
        <v>103</v>
      </c>
      <c r="H4700" t="s">
        <v>103</v>
      </c>
      <c r="J4700">
        <v>0</v>
      </c>
      <c r="K4700">
        <v>7</v>
      </c>
      <c r="L4700">
        <v>98.291666669999998</v>
      </c>
      <c r="M4700">
        <v>30.315130790000001</v>
      </c>
      <c r="N4700">
        <v>5.0803484000000003E-2</v>
      </c>
      <c r="O4700">
        <v>0.42866070000000001</v>
      </c>
      <c r="P4700">
        <v>98.291666669999998</v>
      </c>
      <c r="Q4700">
        <v>30.315130790000001</v>
      </c>
      <c r="R4700">
        <v>5.0803484000000003E-2</v>
      </c>
      <c r="S4700">
        <v>0.42866070000000001</v>
      </c>
      <c r="T4700" t="s">
        <v>1040</v>
      </c>
      <c r="U4700">
        <v>0</v>
      </c>
    </row>
    <row r="4701" spans="1:21" x14ac:dyDescent="0.25">
      <c r="A4701" t="s">
        <v>38</v>
      </c>
      <c r="B4701" t="s">
        <v>943</v>
      </c>
      <c r="C4701">
        <v>2</v>
      </c>
      <c r="D4701" t="s">
        <v>11</v>
      </c>
      <c r="E4701" t="s">
        <v>95</v>
      </c>
      <c r="F4701" t="s">
        <v>103</v>
      </c>
      <c r="G4701" t="s">
        <v>103</v>
      </c>
      <c r="H4701" t="s">
        <v>103</v>
      </c>
      <c r="J4701">
        <v>0</v>
      </c>
      <c r="K4701">
        <v>7</v>
      </c>
      <c r="L4701">
        <v>98.291666669999998</v>
      </c>
      <c r="M4701">
        <v>30.315130790000001</v>
      </c>
      <c r="N4701">
        <v>5.0803484000000003E-2</v>
      </c>
      <c r="O4701">
        <v>0.42866070000000001</v>
      </c>
      <c r="P4701">
        <v>98.291666669999998</v>
      </c>
      <c r="Q4701">
        <v>30.315130790000001</v>
      </c>
      <c r="R4701">
        <v>5.0803484000000003E-2</v>
      </c>
      <c r="S4701">
        <v>0.42866070000000001</v>
      </c>
      <c r="T4701" t="s">
        <v>1040</v>
      </c>
      <c r="U4701">
        <v>0</v>
      </c>
    </row>
    <row r="4702" spans="1:21" x14ac:dyDescent="0.25">
      <c r="A4702" t="s">
        <v>38</v>
      </c>
      <c r="B4702" t="s">
        <v>943</v>
      </c>
      <c r="C4702">
        <v>2</v>
      </c>
      <c r="D4702" t="s">
        <v>11</v>
      </c>
      <c r="E4702" t="s">
        <v>95</v>
      </c>
      <c r="F4702" t="s">
        <v>103</v>
      </c>
      <c r="G4702" t="s">
        <v>103</v>
      </c>
      <c r="H4702" t="s">
        <v>103</v>
      </c>
      <c r="J4702">
        <v>0</v>
      </c>
      <c r="K4702">
        <v>7</v>
      </c>
      <c r="L4702">
        <v>98.291666669999998</v>
      </c>
      <c r="M4702">
        <v>30.315130790000001</v>
      </c>
      <c r="N4702">
        <v>5.0803484000000003E-2</v>
      </c>
      <c r="O4702">
        <v>0.42866070000000001</v>
      </c>
      <c r="P4702">
        <v>98.291666669999998</v>
      </c>
      <c r="Q4702">
        <v>30.315130790000001</v>
      </c>
      <c r="R4702">
        <v>5.0803484000000003E-2</v>
      </c>
      <c r="S4702">
        <v>0.42866070000000001</v>
      </c>
      <c r="T4702" t="s">
        <v>1040</v>
      </c>
      <c r="U4702">
        <v>0</v>
      </c>
    </row>
    <row r="4703" spans="1:21" x14ac:dyDescent="0.25">
      <c r="A4703" t="s">
        <v>38</v>
      </c>
      <c r="B4703" t="s">
        <v>943</v>
      </c>
      <c r="C4703">
        <v>2</v>
      </c>
      <c r="D4703" t="s">
        <v>11</v>
      </c>
      <c r="E4703" t="s">
        <v>95</v>
      </c>
      <c r="F4703" t="s">
        <v>103</v>
      </c>
      <c r="G4703" t="s">
        <v>103</v>
      </c>
      <c r="H4703" t="s">
        <v>103</v>
      </c>
      <c r="J4703">
        <v>0</v>
      </c>
      <c r="K4703">
        <v>7</v>
      </c>
      <c r="L4703">
        <v>98.291666669999998</v>
      </c>
      <c r="M4703">
        <v>30.315130790000001</v>
      </c>
      <c r="N4703">
        <v>5.0803484000000003E-2</v>
      </c>
      <c r="O4703">
        <v>0.42866070000000001</v>
      </c>
      <c r="P4703">
        <v>98.291666669999998</v>
      </c>
      <c r="Q4703">
        <v>30.315130790000001</v>
      </c>
      <c r="R4703">
        <v>5.0803484000000003E-2</v>
      </c>
      <c r="S4703">
        <v>0.42866070000000001</v>
      </c>
      <c r="T4703" t="s">
        <v>1040</v>
      </c>
      <c r="U4703">
        <v>0</v>
      </c>
    </row>
    <row r="4704" spans="1:21" x14ac:dyDescent="0.25">
      <c r="A4704" t="s">
        <v>38</v>
      </c>
      <c r="B4704" t="s">
        <v>943</v>
      </c>
      <c r="C4704">
        <v>2</v>
      </c>
      <c r="D4704" t="s">
        <v>11</v>
      </c>
      <c r="E4704" t="s">
        <v>95</v>
      </c>
      <c r="F4704" t="s">
        <v>103</v>
      </c>
      <c r="G4704" t="s">
        <v>103</v>
      </c>
      <c r="H4704" t="s">
        <v>113</v>
      </c>
      <c r="J4704">
        <v>0</v>
      </c>
      <c r="K4704">
        <v>2</v>
      </c>
      <c r="L4704">
        <v>98.291666669999998</v>
      </c>
      <c r="M4704">
        <v>30.315130790000001</v>
      </c>
      <c r="N4704">
        <v>5.0803484000000003E-2</v>
      </c>
      <c r="O4704">
        <v>0.42866070000000001</v>
      </c>
      <c r="P4704">
        <v>83.757575759999995</v>
      </c>
      <c r="Q4704">
        <v>22.60997987</v>
      </c>
      <c r="R4704">
        <v>0.72884000000000004</v>
      </c>
      <c r="S4704">
        <v>0.21301339999999999</v>
      </c>
      <c r="T4704" t="s">
        <v>1040</v>
      </c>
      <c r="U4704">
        <v>0.21564730000000001</v>
      </c>
    </row>
    <row r="4705" spans="1:21" x14ac:dyDescent="0.25">
      <c r="A4705" t="s">
        <v>38</v>
      </c>
      <c r="B4705" t="s">
        <v>943</v>
      </c>
      <c r="C4705">
        <v>2</v>
      </c>
      <c r="D4705" t="s">
        <v>11</v>
      </c>
      <c r="E4705" t="s">
        <v>95</v>
      </c>
      <c r="F4705" t="s">
        <v>103</v>
      </c>
      <c r="G4705" t="s">
        <v>103</v>
      </c>
      <c r="H4705" t="s">
        <v>113</v>
      </c>
      <c r="J4705">
        <v>0</v>
      </c>
      <c r="K4705">
        <v>2</v>
      </c>
      <c r="L4705">
        <v>98.291666669999998</v>
      </c>
      <c r="M4705">
        <v>30.315130790000001</v>
      </c>
      <c r="N4705">
        <v>5.0803484000000003E-2</v>
      </c>
      <c r="O4705">
        <v>0.42866070000000001</v>
      </c>
      <c r="P4705">
        <v>83.757575759999995</v>
      </c>
      <c r="Q4705">
        <v>22.60997987</v>
      </c>
      <c r="R4705">
        <v>0.72884000000000004</v>
      </c>
      <c r="S4705">
        <v>0.21301339999999999</v>
      </c>
      <c r="T4705" t="s">
        <v>1040</v>
      </c>
      <c r="U4705">
        <v>0.21564730000000001</v>
      </c>
    </row>
    <row r="4706" spans="1:21" x14ac:dyDescent="0.25">
      <c r="A4706" t="s">
        <v>38</v>
      </c>
      <c r="B4706" t="s">
        <v>944</v>
      </c>
      <c r="C4706">
        <v>2</v>
      </c>
      <c r="D4706" t="s">
        <v>11</v>
      </c>
      <c r="E4706" t="s">
        <v>95</v>
      </c>
      <c r="F4706" t="s">
        <v>111</v>
      </c>
      <c r="G4706" t="s">
        <v>103</v>
      </c>
      <c r="H4706" t="s">
        <v>103</v>
      </c>
      <c r="J4706">
        <v>0</v>
      </c>
      <c r="K4706">
        <v>2</v>
      </c>
      <c r="L4706">
        <v>94.97142857</v>
      </c>
      <c r="M4706">
        <v>24.31591813</v>
      </c>
      <c r="N4706">
        <v>0.122951111</v>
      </c>
      <c r="O4706">
        <v>0.39050790000000002</v>
      </c>
      <c r="P4706">
        <v>98.291666669999998</v>
      </c>
      <c r="Q4706">
        <v>30.315130790000001</v>
      </c>
      <c r="R4706">
        <v>5.0803484000000003E-2</v>
      </c>
      <c r="S4706">
        <v>0.42866070000000001</v>
      </c>
      <c r="T4706" t="s">
        <v>1040</v>
      </c>
      <c r="U4706">
        <v>-3.8152799999999987E-2</v>
      </c>
    </row>
    <row r="4707" spans="1:21" x14ac:dyDescent="0.25">
      <c r="A4707" t="s">
        <v>38</v>
      </c>
      <c r="B4707" t="s">
        <v>944</v>
      </c>
      <c r="C4707">
        <v>2</v>
      </c>
      <c r="D4707" t="s">
        <v>11</v>
      </c>
      <c r="E4707" t="s">
        <v>95</v>
      </c>
      <c r="F4707" t="s">
        <v>111</v>
      </c>
      <c r="G4707" t="s">
        <v>103</v>
      </c>
      <c r="H4707" t="s">
        <v>103</v>
      </c>
      <c r="J4707">
        <v>0</v>
      </c>
      <c r="K4707">
        <v>2</v>
      </c>
      <c r="L4707">
        <v>94.97142857</v>
      </c>
      <c r="M4707">
        <v>24.31591813</v>
      </c>
      <c r="N4707">
        <v>0.122951111</v>
      </c>
      <c r="O4707">
        <v>0.39050790000000002</v>
      </c>
      <c r="P4707">
        <v>98.291666669999998</v>
      </c>
      <c r="Q4707">
        <v>30.315130790000001</v>
      </c>
      <c r="R4707">
        <v>5.0803484000000003E-2</v>
      </c>
      <c r="S4707">
        <v>0.42866070000000001</v>
      </c>
      <c r="T4707" t="s">
        <v>1040</v>
      </c>
      <c r="U4707">
        <v>-3.8152799999999987E-2</v>
      </c>
    </row>
    <row r="4708" spans="1:21" x14ac:dyDescent="0.25">
      <c r="A4708" t="s">
        <v>39</v>
      </c>
      <c r="B4708" t="s">
        <v>945</v>
      </c>
      <c r="C4708">
        <v>2</v>
      </c>
      <c r="D4708" t="s">
        <v>15</v>
      </c>
      <c r="E4708" t="s">
        <v>94</v>
      </c>
      <c r="F4708" t="s">
        <v>102</v>
      </c>
      <c r="G4708" t="s">
        <v>102</v>
      </c>
      <c r="H4708" t="s">
        <v>235</v>
      </c>
      <c r="J4708">
        <v>0</v>
      </c>
      <c r="K4708">
        <v>1</v>
      </c>
      <c r="L4708">
        <v>84.740740740000007</v>
      </c>
      <c r="M4708">
        <v>29.167014049999999</v>
      </c>
      <c r="N4708">
        <v>1.1169849999999999</v>
      </c>
      <c r="O4708">
        <v>1.1571499000000001</v>
      </c>
      <c r="P4708">
        <v>132.27272730000001</v>
      </c>
      <c r="Q4708">
        <v>20.180448590000001</v>
      </c>
      <c r="R4708">
        <v>3.7813451999999997E-2</v>
      </c>
      <c r="S4708">
        <v>0.41404401000000002</v>
      </c>
      <c r="T4708" t="s">
        <v>1040</v>
      </c>
      <c r="U4708">
        <v>0.74310589000000005</v>
      </c>
    </row>
    <row r="4709" spans="1:21" x14ac:dyDescent="0.25">
      <c r="A4709" t="s">
        <v>39</v>
      </c>
      <c r="B4709" t="s">
        <v>945</v>
      </c>
      <c r="C4709">
        <v>2</v>
      </c>
      <c r="D4709" t="s">
        <v>15</v>
      </c>
      <c r="E4709" t="s">
        <v>94</v>
      </c>
      <c r="F4709" t="s">
        <v>102</v>
      </c>
      <c r="G4709" t="s">
        <v>102</v>
      </c>
      <c r="H4709" t="s">
        <v>113</v>
      </c>
      <c r="J4709">
        <v>0</v>
      </c>
      <c r="K4709">
        <v>2</v>
      </c>
      <c r="L4709">
        <v>84.740740740000007</v>
      </c>
      <c r="M4709">
        <v>29.167014049999999</v>
      </c>
      <c r="N4709">
        <v>1.1169849999999999</v>
      </c>
      <c r="O4709">
        <v>1.1571499000000001</v>
      </c>
      <c r="P4709">
        <v>83.757575759999995</v>
      </c>
      <c r="Q4709">
        <v>22.60997987</v>
      </c>
      <c r="R4709">
        <v>0.72884000000000004</v>
      </c>
      <c r="S4709">
        <v>0.21301339999999999</v>
      </c>
      <c r="T4709" t="s">
        <v>1040</v>
      </c>
      <c r="U4709">
        <v>0.94413650000000005</v>
      </c>
    </row>
    <row r="4710" spans="1:21" x14ac:dyDescent="0.25">
      <c r="A4710" t="s">
        <v>39</v>
      </c>
      <c r="B4710" t="s">
        <v>945</v>
      </c>
      <c r="C4710">
        <v>2</v>
      </c>
      <c r="D4710" t="s">
        <v>15</v>
      </c>
      <c r="E4710" t="s">
        <v>94</v>
      </c>
      <c r="F4710" t="s">
        <v>102</v>
      </c>
      <c r="G4710" t="s">
        <v>102</v>
      </c>
      <c r="H4710" t="s">
        <v>113</v>
      </c>
      <c r="J4710">
        <v>0</v>
      </c>
      <c r="K4710">
        <v>2</v>
      </c>
      <c r="L4710">
        <v>84.740740740000007</v>
      </c>
      <c r="M4710">
        <v>29.167014049999999</v>
      </c>
      <c r="N4710">
        <v>1.1169849999999999</v>
      </c>
      <c r="O4710">
        <v>1.1571499000000001</v>
      </c>
      <c r="P4710">
        <v>83.757575759999995</v>
      </c>
      <c r="Q4710">
        <v>22.60997987</v>
      </c>
      <c r="R4710">
        <v>0.72884000000000004</v>
      </c>
      <c r="S4710">
        <v>0.21301339999999999</v>
      </c>
      <c r="T4710" t="s">
        <v>1040</v>
      </c>
      <c r="U4710">
        <v>0.94413650000000005</v>
      </c>
    </row>
    <row r="4711" spans="1:21" x14ac:dyDescent="0.25">
      <c r="A4711" t="s">
        <v>39</v>
      </c>
      <c r="B4711" t="s">
        <v>945</v>
      </c>
      <c r="C4711">
        <v>2</v>
      </c>
      <c r="D4711" t="s">
        <v>15</v>
      </c>
      <c r="E4711" t="s">
        <v>94</v>
      </c>
      <c r="F4711" t="s">
        <v>102</v>
      </c>
      <c r="G4711" t="s">
        <v>102</v>
      </c>
      <c r="H4711" t="s">
        <v>103</v>
      </c>
      <c r="J4711">
        <v>0</v>
      </c>
      <c r="K4711">
        <v>3</v>
      </c>
      <c r="L4711">
        <v>84.740740740000007</v>
      </c>
      <c r="M4711">
        <v>29.167014049999999</v>
      </c>
      <c r="N4711">
        <v>1.1169849999999999</v>
      </c>
      <c r="O4711">
        <v>1.1571499000000001</v>
      </c>
      <c r="P4711">
        <v>98.291666669999998</v>
      </c>
      <c r="Q4711">
        <v>30.315130790000001</v>
      </c>
      <c r="R4711">
        <v>5.0803484000000003E-2</v>
      </c>
      <c r="S4711">
        <v>0.42866070000000001</v>
      </c>
      <c r="T4711" t="s">
        <v>1040</v>
      </c>
      <c r="U4711">
        <v>0.72848920000000006</v>
      </c>
    </row>
    <row r="4712" spans="1:21" x14ac:dyDescent="0.25">
      <c r="A4712" t="s">
        <v>39</v>
      </c>
      <c r="B4712" t="s">
        <v>945</v>
      </c>
      <c r="C4712">
        <v>2</v>
      </c>
      <c r="D4712" t="s">
        <v>15</v>
      </c>
      <c r="E4712" t="s">
        <v>94</v>
      </c>
      <c r="F4712" t="s">
        <v>102</v>
      </c>
      <c r="G4712" t="s">
        <v>102</v>
      </c>
      <c r="H4712" t="s">
        <v>103</v>
      </c>
      <c r="J4712">
        <v>0</v>
      </c>
      <c r="K4712">
        <v>3</v>
      </c>
      <c r="L4712">
        <v>84.740740740000007</v>
      </c>
      <c r="M4712">
        <v>29.167014049999999</v>
      </c>
      <c r="N4712">
        <v>1.1169849999999999</v>
      </c>
      <c r="O4712">
        <v>1.1571499000000001</v>
      </c>
      <c r="P4712">
        <v>98.291666669999998</v>
      </c>
      <c r="Q4712">
        <v>30.315130790000001</v>
      </c>
      <c r="R4712">
        <v>5.0803484000000003E-2</v>
      </c>
      <c r="S4712">
        <v>0.42866070000000001</v>
      </c>
      <c r="T4712" t="s">
        <v>1040</v>
      </c>
      <c r="U4712">
        <v>0.72848920000000006</v>
      </c>
    </row>
    <row r="4713" spans="1:21" x14ac:dyDescent="0.25">
      <c r="A4713" t="s">
        <v>39</v>
      </c>
      <c r="B4713" t="s">
        <v>945</v>
      </c>
      <c r="C4713">
        <v>2</v>
      </c>
      <c r="D4713" t="s">
        <v>15</v>
      </c>
      <c r="E4713" t="s">
        <v>94</v>
      </c>
      <c r="F4713" t="s">
        <v>102</v>
      </c>
      <c r="G4713" t="s">
        <v>102</v>
      </c>
      <c r="H4713" t="s">
        <v>103</v>
      </c>
      <c r="J4713">
        <v>0</v>
      </c>
      <c r="K4713">
        <v>3</v>
      </c>
      <c r="L4713">
        <v>84.740740740000007</v>
      </c>
      <c r="M4713">
        <v>29.167014049999999</v>
      </c>
      <c r="N4713">
        <v>1.1169849999999999</v>
      </c>
      <c r="O4713">
        <v>1.1571499000000001</v>
      </c>
      <c r="P4713">
        <v>98.291666669999998</v>
      </c>
      <c r="Q4713">
        <v>30.315130790000001</v>
      </c>
      <c r="R4713">
        <v>5.0803484000000003E-2</v>
      </c>
      <c r="S4713">
        <v>0.42866070000000001</v>
      </c>
      <c r="T4713" t="s">
        <v>1040</v>
      </c>
      <c r="U4713">
        <v>0.72848920000000006</v>
      </c>
    </row>
    <row r="4714" spans="1:21" x14ac:dyDescent="0.25">
      <c r="A4714" t="s">
        <v>39</v>
      </c>
      <c r="B4714" t="s">
        <v>945</v>
      </c>
      <c r="C4714">
        <v>2</v>
      </c>
      <c r="D4714" t="s">
        <v>15</v>
      </c>
      <c r="E4714" t="s">
        <v>94</v>
      </c>
      <c r="F4714" t="s">
        <v>102</v>
      </c>
      <c r="G4714" t="s">
        <v>102</v>
      </c>
      <c r="H4714" t="s">
        <v>233</v>
      </c>
      <c r="J4714">
        <v>0</v>
      </c>
      <c r="K4714">
        <v>1</v>
      </c>
      <c r="L4714">
        <v>84.740740740000007</v>
      </c>
      <c r="M4714">
        <v>29.167014049999999</v>
      </c>
      <c r="N4714">
        <v>1.1169849999999999</v>
      </c>
      <c r="O4714">
        <v>1.1571499000000001</v>
      </c>
      <c r="P4714">
        <v>106.0540541</v>
      </c>
      <c r="Q4714">
        <v>52.690533369999997</v>
      </c>
      <c r="R4714">
        <v>7.6058968000000005E-2</v>
      </c>
      <c r="S4714">
        <v>0.44888888999999998</v>
      </c>
      <c r="T4714" t="s">
        <v>1040</v>
      </c>
      <c r="U4714">
        <v>0.70826101000000008</v>
      </c>
    </row>
    <row r="4715" spans="1:21" x14ac:dyDescent="0.25">
      <c r="A4715" t="s">
        <v>39</v>
      </c>
      <c r="B4715" t="s">
        <v>945</v>
      </c>
      <c r="C4715">
        <v>2</v>
      </c>
      <c r="D4715" t="s">
        <v>15</v>
      </c>
      <c r="E4715" t="s">
        <v>94</v>
      </c>
      <c r="F4715" t="s">
        <v>102</v>
      </c>
      <c r="G4715" t="s">
        <v>102</v>
      </c>
      <c r="H4715" t="s">
        <v>104</v>
      </c>
      <c r="J4715">
        <v>0</v>
      </c>
      <c r="K4715">
        <v>1</v>
      </c>
      <c r="L4715">
        <v>84.740740740000007</v>
      </c>
      <c r="M4715">
        <v>29.167014049999999</v>
      </c>
      <c r="N4715">
        <v>1.1169849999999999</v>
      </c>
      <c r="O4715">
        <v>1.1571499000000001</v>
      </c>
      <c r="P4715">
        <v>113.9375</v>
      </c>
      <c r="Q4715">
        <v>33.375507550000002</v>
      </c>
      <c r="R4715">
        <v>2.4262999999999999</v>
      </c>
      <c r="S4715">
        <v>0.40692159999999999</v>
      </c>
      <c r="T4715" t="s">
        <v>1040</v>
      </c>
      <c r="U4715">
        <v>0.75022830000000007</v>
      </c>
    </row>
    <row r="4716" spans="1:21" x14ac:dyDescent="0.25">
      <c r="A4716" t="s">
        <v>39</v>
      </c>
      <c r="B4716" t="s">
        <v>946</v>
      </c>
      <c r="C4716">
        <v>2</v>
      </c>
      <c r="D4716" t="s">
        <v>15</v>
      </c>
      <c r="E4716" t="s">
        <v>94</v>
      </c>
      <c r="F4716" t="s">
        <v>113</v>
      </c>
      <c r="G4716" t="s">
        <v>113</v>
      </c>
      <c r="H4716" t="s">
        <v>113</v>
      </c>
      <c r="J4716">
        <v>0</v>
      </c>
      <c r="K4716">
        <v>5</v>
      </c>
      <c r="L4716">
        <v>83.757575759999995</v>
      </c>
      <c r="M4716">
        <v>22.60997987</v>
      </c>
      <c r="N4716">
        <v>0.72884000000000004</v>
      </c>
      <c r="O4716">
        <v>0.21301339999999999</v>
      </c>
      <c r="P4716">
        <v>83.757575759999995</v>
      </c>
      <c r="Q4716">
        <v>22.60997987</v>
      </c>
      <c r="R4716">
        <v>0.72884000000000004</v>
      </c>
      <c r="S4716">
        <v>0.21301339999999999</v>
      </c>
      <c r="T4716" t="s">
        <v>1040</v>
      </c>
      <c r="U4716">
        <v>0</v>
      </c>
    </row>
    <row r="4717" spans="1:21" x14ac:dyDescent="0.25">
      <c r="A4717" t="s">
        <v>39</v>
      </c>
      <c r="B4717" t="s">
        <v>946</v>
      </c>
      <c r="C4717">
        <v>2</v>
      </c>
      <c r="D4717" t="s">
        <v>15</v>
      </c>
      <c r="E4717" t="s">
        <v>94</v>
      </c>
      <c r="F4717" t="s">
        <v>113</v>
      </c>
      <c r="G4717" t="s">
        <v>113</v>
      </c>
      <c r="H4717" t="s">
        <v>113</v>
      </c>
      <c r="J4717">
        <v>0</v>
      </c>
      <c r="K4717">
        <v>5</v>
      </c>
      <c r="L4717">
        <v>83.757575759999995</v>
      </c>
      <c r="M4717">
        <v>22.60997987</v>
      </c>
      <c r="N4717">
        <v>0.72884000000000004</v>
      </c>
      <c r="O4717">
        <v>0.21301339999999999</v>
      </c>
      <c r="P4717">
        <v>83.757575759999995</v>
      </c>
      <c r="Q4717">
        <v>22.60997987</v>
      </c>
      <c r="R4717">
        <v>0.72884000000000004</v>
      </c>
      <c r="S4717">
        <v>0.21301339999999999</v>
      </c>
      <c r="T4717" t="s">
        <v>1040</v>
      </c>
      <c r="U4717">
        <v>0</v>
      </c>
    </row>
    <row r="4718" spans="1:21" x14ac:dyDescent="0.25">
      <c r="A4718" t="s">
        <v>39</v>
      </c>
      <c r="B4718" t="s">
        <v>946</v>
      </c>
      <c r="C4718">
        <v>2</v>
      </c>
      <c r="D4718" t="s">
        <v>15</v>
      </c>
      <c r="E4718" t="s">
        <v>94</v>
      </c>
      <c r="F4718" t="s">
        <v>113</v>
      </c>
      <c r="G4718" t="s">
        <v>113</v>
      </c>
      <c r="H4718" t="s">
        <v>113</v>
      </c>
      <c r="J4718">
        <v>0</v>
      </c>
      <c r="K4718">
        <v>5</v>
      </c>
      <c r="L4718">
        <v>83.757575759999995</v>
      </c>
      <c r="M4718">
        <v>22.60997987</v>
      </c>
      <c r="N4718">
        <v>0.72884000000000004</v>
      </c>
      <c r="O4718">
        <v>0.21301339999999999</v>
      </c>
      <c r="P4718">
        <v>83.757575759999995</v>
      </c>
      <c r="Q4718">
        <v>22.60997987</v>
      </c>
      <c r="R4718">
        <v>0.72884000000000004</v>
      </c>
      <c r="S4718">
        <v>0.21301339999999999</v>
      </c>
      <c r="T4718" t="s">
        <v>1040</v>
      </c>
      <c r="U4718">
        <v>0</v>
      </c>
    </row>
    <row r="4719" spans="1:21" x14ac:dyDescent="0.25">
      <c r="A4719" t="s">
        <v>39</v>
      </c>
      <c r="B4719" t="s">
        <v>946</v>
      </c>
      <c r="C4719">
        <v>2</v>
      </c>
      <c r="D4719" t="s">
        <v>15</v>
      </c>
      <c r="E4719" t="s">
        <v>94</v>
      </c>
      <c r="F4719" t="s">
        <v>113</v>
      </c>
      <c r="G4719" t="s">
        <v>113</v>
      </c>
      <c r="H4719" t="s">
        <v>113</v>
      </c>
      <c r="J4719">
        <v>0</v>
      </c>
      <c r="K4719">
        <v>5</v>
      </c>
      <c r="L4719">
        <v>83.757575759999995</v>
      </c>
      <c r="M4719">
        <v>22.60997987</v>
      </c>
      <c r="N4719">
        <v>0.72884000000000004</v>
      </c>
      <c r="O4719">
        <v>0.21301339999999999</v>
      </c>
      <c r="P4719">
        <v>83.757575759999995</v>
      </c>
      <c r="Q4719">
        <v>22.60997987</v>
      </c>
      <c r="R4719">
        <v>0.72884000000000004</v>
      </c>
      <c r="S4719">
        <v>0.21301339999999999</v>
      </c>
      <c r="T4719" t="s">
        <v>1040</v>
      </c>
      <c r="U4719">
        <v>0</v>
      </c>
    </row>
    <row r="4720" spans="1:21" x14ac:dyDescent="0.25">
      <c r="A4720" t="s">
        <v>39</v>
      </c>
      <c r="B4720" t="s">
        <v>946</v>
      </c>
      <c r="C4720">
        <v>2</v>
      </c>
      <c r="D4720" t="s">
        <v>15</v>
      </c>
      <c r="E4720" t="s">
        <v>94</v>
      </c>
      <c r="F4720" t="s">
        <v>113</v>
      </c>
      <c r="G4720" t="s">
        <v>113</v>
      </c>
      <c r="H4720" t="s">
        <v>113</v>
      </c>
      <c r="J4720">
        <v>0</v>
      </c>
      <c r="K4720">
        <v>5</v>
      </c>
      <c r="L4720">
        <v>83.757575759999995</v>
      </c>
      <c r="M4720">
        <v>22.60997987</v>
      </c>
      <c r="N4720">
        <v>0.72884000000000004</v>
      </c>
      <c r="O4720">
        <v>0.21301339999999999</v>
      </c>
      <c r="P4720">
        <v>83.757575759999995</v>
      </c>
      <c r="Q4720">
        <v>22.60997987</v>
      </c>
      <c r="R4720">
        <v>0.72884000000000004</v>
      </c>
      <c r="S4720">
        <v>0.21301339999999999</v>
      </c>
      <c r="T4720" t="s">
        <v>1040</v>
      </c>
      <c r="U4720">
        <v>0</v>
      </c>
    </row>
    <row r="4721" spans="1:21" x14ac:dyDescent="0.25">
      <c r="A4721" t="s">
        <v>39</v>
      </c>
      <c r="B4721" t="s">
        <v>946</v>
      </c>
      <c r="C4721">
        <v>2</v>
      </c>
      <c r="D4721" t="s">
        <v>15</v>
      </c>
      <c r="E4721" t="s">
        <v>94</v>
      </c>
      <c r="F4721" t="s">
        <v>113</v>
      </c>
      <c r="G4721" t="s">
        <v>113</v>
      </c>
      <c r="H4721" t="s">
        <v>233</v>
      </c>
      <c r="J4721">
        <v>0</v>
      </c>
      <c r="K4721">
        <v>4</v>
      </c>
      <c r="L4721">
        <v>83.757575759999995</v>
      </c>
      <c r="M4721">
        <v>22.60997987</v>
      </c>
      <c r="N4721">
        <v>0.72884000000000004</v>
      </c>
      <c r="O4721">
        <v>0.21301339999999999</v>
      </c>
      <c r="P4721">
        <v>106.0540541</v>
      </c>
      <c r="Q4721">
        <v>52.690533369999997</v>
      </c>
      <c r="R4721">
        <v>7.6058968000000005E-2</v>
      </c>
      <c r="S4721">
        <v>0.44888888999999998</v>
      </c>
      <c r="T4721" t="s">
        <v>1040</v>
      </c>
      <c r="U4721">
        <v>-0.23587548999999999</v>
      </c>
    </row>
    <row r="4722" spans="1:21" x14ac:dyDescent="0.25">
      <c r="A4722" t="s">
        <v>39</v>
      </c>
      <c r="B4722" t="s">
        <v>946</v>
      </c>
      <c r="C4722">
        <v>2</v>
      </c>
      <c r="D4722" t="s">
        <v>15</v>
      </c>
      <c r="E4722" t="s">
        <v>94</v>
      </c>
      <c r="F4722" t="s">
        <v>113</v>
      </c>
      <c r="G4722" t="s">
        <v>113</v>
      </c>
      <c r="H4722" t="s">
        <v>233</v>
      </c>
      <c r="J4722">
        <v>0</v>
      </c>
      <c r="K4722">
        <v>4</v>
      </c>
      <c r="L4722">
        <v>83.757575759999995</v>
      </c>
      <c r="M4722">
        <v>22.60997987</v>
      </c>
      <c r="N4722">
        <v>0.72884000000000004</v>
      </c>
      <c r="O4722">
        <v>0.21301339999999999</v>
      </c>
      <c r="P4722">
        <v>106.0540541</v>
      </c>
      <c r="Q4722">
        <v>52.690533369999997</v>
      </c>
      <c r="R4722">
        <v>7.6058968000000005E-2</v>
      </c>
      <c r="S4722">
        <v>0.44888888999999998</v>
      </c>
      <c r="T4722" t="s">
        <v>1040</v>
      </c>
      <c r="U4722">
        <v>-0.23587548999999999</v>
      </c>
    </row>
    <row r="4723" spans="1:21" x14ac:dyDescent="0.25">
      <c r="A4723" t="s">
        <v>39</v>
      </c>
      <c r="B4723" t="s">
        <v>946</v>
      </c>
      <c r="C4723">
        <v>2</v>
      </c>
      <c r="D4723" t="s">
        <v>15</v>
      </c>
      <c r="E4723" t="s">
        <v>94</v>
      </c>
      <c r="F4723" t="s">
        <v>113</v>
      </c>
      <c r="G4723" t="s">
        <v>113</v>
      </c>
      <c r="H4723" t="s">
        <v>233</v>
      </c>
      <c r="J4723">
        <v>0</v>
      </c>
      <c r="K4723">
        <v>4</v>
      </c>
      <c r="L4723">
        <v>83.757575759999995</v>
      </c>
      <c r="M4723">
        <v>22.60997987</v>
      </c>
      <c r="N4723">
        <v>0.72884000000000004</v>
      </c>
      <c r="O4723">
        <v>0.21301339999999999</v>
      </c>
      <c r="P4723">
        <v>106.0540541</v>
      </c>
      <c r="Q4723">
        <v>52.690533369999997</v>
      </c>
      <c r="R4723">
        <v>7.6058968000000005E-2</v>
      </c>
      <c r="S4723">
        <v>0.44888888999999998</v>
      </c>
      <c r="T4723" t="s">
        <v>1040</v>
      </c>
      <c r="U4723">
        <v>-0.23587548999999999</v>
      </c>
    </row>
    <row r="4724" spans="1:21" x14ac:dyDescent="0.25">
      <c r="A4724" t="s">
        <v>39</v>
      </c>
      <c r="B4724" t="s">
        <v>946</v>
      </c>
      <c r="C4724">
        <v>2</v>
      </c>
      <c r="D4724" t="s">
        <v>15</v>
      </c>
      <c r="E4724" t="s">
        <v>94</v>
      </c>
      <c r="F4724" t="s">
        <v>113</v>
      </c>
      <c r="G4724" t="s">
        <v>113</v>
      </c>
      <c r="H4724" t="s">
        <v>233</v>
      </c>
      <c r="J4724">
        <v>0</v>
      </c>
      <c r="K4724">
        <v>4</v>
      </c>
      <c r="L4724">
        <v>83.757575759999995</v>
      </c>
      <c r="M4724">
        <v>22.60997987</v>
      </c>
      <c r="N4724">
        <v>0.72884000000000004</v>
      </c>
      <c r="O4724">
        <v>0.21301339999999999</v>
      </c>
      <c r="P4724">
        <v>106.0540541</v>
      </c>
      <c r="Q4724">
        <v>52.690533369999997</v>
      </c>
      <c r="R4724">
        <v>7.6058968000000005E-2</v>
      </c>
      <c r="S4724">
        <v>0.44888888999999998</v>
      </c>
      <c r="T4724" t="s">
        <v>1040</v>
      </c>
      <c r="U4724">
        <v>-0.23587548999999999</v>
      </c>
    </row>
    <row r="4725" spans="1:21" x14ac:dyDescent="0.25">
      <c r="A4725" t="s">
        <v>39</v>
      </c>
      <c r="B4725" t="s">
        <v>946</v>
      </c>
      <c r="C4725">
        <v>2</v>
      </c>
      <c r="D4725" t="s">
        <v>15</v>
      </c>
      <c r="E4725" t="s">
        <v>94</v>
      </c>
      <c r="F4725" t="s">
        <v>113</v>
      </c>
      <c r="G4725" t="s">
        <v>113</v>
      </c>
      <c r="H4725" t="s">
        <v>234</v>
      </c>
      <c r="J4725">
        <v>0</v>
      </c>
      <c r="K4725">
        <v>1</v>
      </c>
      <c r="L4725">
        <v>83.757575759999995</v>
      </c>
      <c r="M4725">
        <v>22.60997987</v>
      </c>
      <c r="N4725">
        <v>0.72884000000000004</v>
      </c>
      <c r="O4725">
        <v>0.21301339999999999</v>
      </c>
      <c r="P4725">
        <v>89.8125</v>
      </c>
      <c r="Q4725">
        <v>34.754706650000003</v>
      </c>
      <c r="R4725">
        <v>2.3065078999999999E-2</v>
      </c>
      <c r="S4725">
        <v>2.4791666700000001</v>
      </c>
      <c r="T4725" t="s">
        <v>1040</v>
      </c>
      <c r="U4725">
        <v>-2.2661532700000002</v>
      </c>
    </row>
    <row r="4726" spans="1:21" x14ac:dyDescent="0.25">
      <c r="A4726" t="s">
        <v>39</v>
      </c>
      <c r="B4726" t="s">
        <v>947</v>
      </c>
      <c r="C4726">
        <v>2</v>
      </c>
      <c r="D4726" t="s">
        <v>15</v>
      </c>
      <c r="E4726" t="s">
        <v>94</v>
      </c>
      <c r="F4726" t="s">
        <v>103</v>
      </c>
      <c r="G4726" t="s">
        <v>103</v>
      </c>
      <c r="H4726" t="s">
        <v>103</v>
      </c>
      <c r="J4726">
        <v>0</v>
      </c>
      <c r="K4726">
        <v>3</v>
      </c>
      <c r="L4726">
        <v>98.291666669999998</v>
      </c>
      <c r="M4726">
        <v>30.315130790000001</v>
      </c>
      <c r="N4726">
        <v>5.0803484000000003E-2</v>
      </c>
      <c r="O4726">
        <v>0.42866070000000001</v>
      </c>
      <c r="P4726">
        <v>98.291666669999998</v>
      </c>
      <c r="Q4726">
        <v>30.315130790000001</v>
      </c>
      <c r="R4726">
        <v>5.0803484000000003E-2</v>
      </c>
      <c r="S4726">
        <v>0.42866070000000001</v>
      </c>
      <c r="T4726" t="s">
        <v>1040</v>
      </c>
      <c r="U4726">
        <v>0</v>
      </c>
    </row>
    <row r="4727" spans="1:21" x14ac:dyDescent="0.25">
      <c r="A4727" t="s">
        <v>39</v>
      </c>
      <c r="B4727" t="s">
        <v>947</v>
      </c>
      <c r="C4727">
        <v>2</v>
      </c>
      <c r="D4727" t="s">
        <v>15</v>
      </c>
      <c r="E4727" t="s">
        <v>94</v>
      </c>
      <c r="F4727" t="s">
        <v>103</v>
      </c>
      <c r="G4727" t="s">
        <v>103</v>
      </c>
      <c r="H4727" t="s">
        <v>103</v>
      </c>
      <c r="J4727">
        <v>0</v>
      </c>
      <c r="K4727">
        <v>3</v>
      </c>
      <c r="L4727">
        <v>98.291666669999998</v>
      </c>
      <c r="M4727">
        <v>30.315130790000001</v>
      </c>
      <c r="N4727">
        <v>5.0803484000000003E-2</v>
      </c>
      <c r="O4727">
        <v>0.42866070000000001</v>
      </c>
      <c r="P4727">
        <v>98.291666669999998</v>
      </c>
      <c r="Q4727">
        <v>30.315130790000001</v>
      </c>
      <c r="R4727">
        <v>5.0803484000000003E-2</v>
      </c>
      <c r="S4727">
        <v>0.42866070000000001</v>
      </c>
      <c r="T4727" t="s">
        <v>1040</v>
      </c>
      <c r="U4727">
        <v>0</v>
      </c>
    </row>
    <row r="4728" spans="1:21" x14ac:dyDescent="0.25">
      <c r="A4728" t="s">
        <v>39</v>
      </c>
      <c r="B4728" t="s">
        <v>947</v>
      </c>
      <c r="C4728">
        <v>2</v>
      </c>
      <c r="D4728" t="s">
        <v>15</v>
      </c>
      <c r="E4728" t="s">
        <v>94</v>
      </c>
      <c r="F4728" t="s">
        <v>103</v>
      </c>
      <c r="G4728" t="s">
        <v>103</v>
      </c>
      <c r="H4728" t="s">
        <v>103</v>
      </c>
      <c r="J4728">
        <v>0</v>
      </c>
      <c r="K4728">
        <v>3</v>
      </c>
      <c r="L4728">
        <v>98.291666669999998</v>
      </c>
      <c r="M4728">
        <v>30.315130790000001</v>
      </c>
      <c r="N4728">
        <v>5.0803484000000003E-2</v>
      </c>
      <c r="O4728">
        <v>0.42866070000000001</v>
      </c>
      <c r="P4728">
        <v>98.291666669999998</v>
      </c>
      <c r="Q4728">
        <v>30.315130790000001</v>
      </c>
      <c r="R4728">
        <v>5.0803484000000003E-2</v>
      </c>
      <c r="S4728">
        <v>0.42866070000000001</v>
      </c>
      <c r="T4728" t="s">
        <v>1040</v>
      </c>
      <c r="U4728">
        <v>0</v>
      </c>
    </row>
    <row r="4729" spans="1:21" x14ac:dyDescent="0.25">
      <c r="A4729" t="s">
        <v>39</v>
      </c>
      <c r="B4729" t="s">
        <v>947</v>
      </c>
      <c r="C4729">
        <v>2</v>
      </c>
      <c r="D4729" t="s">
        <v>15</v>
      </c>
      <c r="E4729" t="s">
        <v>94</v>
      </c>
      <c r="F4729" t="s">
        <v>103</v>
      </c>
      <c r="G4729" t="s">
        <v>103</v>
      </c>
      <c r="H4729" t="s">
        <v>104</v>
      </c>
      <c r="J4729">
        <v>0</v>
      </c>
      <c r="K4729">
        <v>1</v>
      </c>
      <c r="L4729">
        <v>98.291666669999998</v>
      </c>
      <c r="M4729">
        <v>30.315130790000001</v>
      </c>
      <c r="N4729">
        <v>5.0803484000000003E-2</v>
      </c>
      <c r="O4729">
        <v>0.42866070000000001</v>
      </c>
      <c r="P4729">
        <v>113.9375</v>
      </c>
      <c r="Q4729">
        <v>33.375507550000002</v>
      </c>
      <c r="R4729">
        <v>2.4262999999999999</v>
      </c>
      <c r="S4729">
        <v>0.40692159999999999</v>
      </c>
      <c r="T4729" t="s">
        <v>1040</v>
      </c>
      <c r="U4729">
        <v>2.1739100000000011E-2</v>
      </c>
    </row>
    <row r="4730" spans="1:21" x14ac:dyDescent="0.25">
      <c r="A4730" t="s">
        <v>39</v>
      </c>
      <c r="B4730" t="s">
        <v>947</v>
      </c>
      <c r="C4730">
        <v>2</v>
      </c>
      <c r="D4730" t="s">
        <v>15</v>
      </c>
      <c r="E4730" t="s">
        <v>94</v>
      </c>
      <c r="F4730" t="s">
        <v>103</v>
      </c>
      <c r="G4730" t="s">
        <v>103</v>
      </c>
      <c r="H4730" t="s">
        <v>113</v>
      </c>
      <c r="J4730">
        <v>0</v>
      </c>
      <c r="K4730">
        <v>4</v>
      </c>
      <c r="L4730">
        <v>98.291666669999998</v>
      </c>
      <c r="M4730">
        <v>30.315130790000001</v>
      </c>
      <c r="N4730">
        <v>5.0803484000000003E-2</v>
      </c>
      <c r="O4730">
        <v>0.42866070000000001</v>
      </c>
      <c r="P4730">
        <v>83.757575759999995</v>
      </c>
      <c r="Q4730">
        <v>22.60997987</v>
      </c>
      <c r="R4730">
        <v>0.72884000000000004</v>
      </c>
      <c r="S4730">
        <v>0.21301339999999999</v>
      </c>
      <c r="T4730" t="s">
        <v>1040</v>
      </c>
      <c r="U4730">
        <v>0.21564730000000001</v>
      </c>
    </row>
    <row r="4731" spans="1:21" x14ac:dyDescent="0.25">
      <c r="A4731" t="s">
        <v>39</v>
      </c>
      <c r="B4731" t="s">
        <v>947</v>
      </c>
      <c r="C4731">
        <v>2</v>
      </c>
      <c r="D4731" t="s">
        <v>15</v>
      </c>
      <c r="E4731" t="s">
        <v>94</v>
      </c>
      <c r="F4731" t="s">
        <v>103</v>
      </c>
      <c r="G4731" t="s">
        <v>103</v>
      </c>
      <c r="H4731" t="s">
        <v>113</v>
      </c>
      <c r="J4731">
        <v>0</v>
      </c>
      <c r="K4731">
        <v>4</v>
      </c>
      <c r="L4731">
        <v>98.291666669999998</v>
      </c>
      <c r="M4731">
        <v>30.315130790000001</v>
      </c>
      <c r="N4731">
        <v>5.0803484000000003E-2</v>
      </c>
      <c r="O4731">
        <v>0.42866070000000001</v>
      </c>
      <c r="P4731">
        <v>83.757575759999995</v>
      </c>
      <c r="Q4731">
        <v>22.60997987</v>
      </c>
      <c r="R4731">
        <v>0.72884000000000004</v>
      </c>
      <c r="S4731">
        <v>0.21301339999999999</v>
      </c>
      <c r="T4731" t="s">
        <v>1040</v>
      </c>
      <c r="U4731">
        <v>0.21564730000000001</v>
      </c>
    </row>
    <row r="4732" spans="1:21" x14ac:dyDescent="0.25">
      <c r="A4732" t="s">
        <v>39</v>
      </c>
      <c r="B4732" t="s">
        <v>947</v>
      </c>
      <c r="C4732">
        <v>2</v>
      </c>
      <c r="D4732" t="s">
        <v>15</v>
      </c>
      <c r="E4732" t="s">
        <v>94</v>
      </c>
      <c r="F4732" t="s">
        <v>103</v>
      </c>
      <c r="G4732" t="s">
        <v>103</v>
      </c>
      <c r="H4732" t="s">
        <v>113</v>
      </c>
      <c r="J4732">
        <v>0</v>
      </c>
      <c r="K4732">
        <v>4</v>
      </c>
      <c r="L4732">
        <v>98.291666669999998</v>
      </c>
      <c r="M4732">
        <v>30.315130790000001</v>
      </c>
      <c r="N4732">
        <v>5.0803484000000003E-2</v>
      </c>
      <c r="O4732">
        <v>0.42866070000000001</v>
      </c>
      <c r="P4732">
        <v>83.757575759999995</v>
      </c>
      <c r="Q4732">
        <v>22.60997987</v>
      </c>
      <c r="R4732">
        <v>0.72884000000000004</v>
      </c>
      <c r="S4732">
        <v>0.21301339999999999</v>
      </c>
      <c r="T4732" t="s">
        <v>1040</v>
      </c>
      <c r="U4732">
        <v>0.21564730000000001</v>
      </c>
    </row>
    <row r="4733" spans="1:21" x14ac:dyDescent="0.25">
      <c r="A4733" t="s">
        <v>39</v>
      </c>
      <c r="B4733" t="s">
        <v>947</v>
      </c>
      <c r="C4733">
        <v>2</v>
      </c>
      <c r="D4733" t="s">
        <v>15</v>
      </c>
      <c r="E4733" t="s">
        <v>94</v>
      </c>
      <c r="F4733" t="s">
        <v>103</v>
      </c>
      <c r="G4733" t="s">
        <v>103</v>
      </c>
      <c r="H4733" t="s">
        <v>113</v>
      </c>
      <c r="J4733">
        <v>0</v>
      </c>
      <c r="K4733">
        <v>4</v>
      </c>
      <c r="L4733">
        <v>98.291666669999998</v>
      </c>
      <c r="M4733">
        <v>30.315130790000001</v>
      </c>
      <c r="N4733">
        <v>5.0803484000000003E-2</v>
      </c>
      <c r="O4733">
        <v>0.42866070000000001</v>
      </c>
      <c r="P4733">
        <v>83.757575759999995</v>
      </c>
      <c r="Q4733">
        <v>22.60997987</v>
      </c>
      <c r="R4733">
        <v>0.72884000000000004</v>
      </c>
      <c r="S4733">
        <v>0.21301339999999999</v>
      </c>
      <c r="T4733" t="s">
        <v>1040</v>
      </c>
      <c r="U4733">
        <v>0.21564730000000001</v>
      </c>
    </row>
    <row r="4734" spans="1:21" x14ac:dyDescent="0.25">
      <c r="A4734" t="s">
        <v>39</v>
      </c>
      <c r="B4734" t="s">
        <v>948</v>
      </c>
      <c r="C4734">
        <v>2</v>
      </c>
      <c r="D4734" t="s">
        <v>15</v>
      </c>
      <c r="E4734" t="s">
        <v>94</v>
      </c>
      <c r="F4734" t="s">
        <v>111</v>
      </c>
      <c r="G4734" t="s">
        <v>104</v>
      </c>
      <c r="H4734" t="s">
        <v>236</v>
      </c>
      <c r="J4734">
        <v>0</v>
      </c>
      <c r="K4734">
        <v>1</v>
      </c>
      <c r="L4734">
        <v>94.97142857</v>
      </c>
      <c r="M4734">
        <v>24.31591813</v>
      </c>
      <c r="N4734">
        <v>0.122951111</v>
      </c>
      <c r="O4734">
        <v>0.39050790000000002</v>
      </c>
      <c r="P4734">
        <v>113.33333330000001</v>
      </c>
      <c r="Q4734">
        <v>26.41632581</v>
      </c>
      <c r="R4734">
        <v>1.6844570160000001</v>
      </c>
      <c r="S4734">
        <v>8.9285710000000004E-2</v>
      </c>
      <c r="T4734" t="s">
        <v>1040</v>
      </c>
      <c r="U4734">
        <v>0.30122219</v>
      </c>
    </row>
    <row r="4735" spans="1:21" x14ac:dyDescent="0.25">
      <c r="A4735" t="s">
        <v>39</v>
      </c>
      <c r="B4735" t="s">
        <v>948</v>
      </c>
      <c r="C4735">
        <v>2</v>
      </c>
      <c r="D4735" t="s">
        <v>15</v>
      </c>
      <c r="E4735" t="s">
        <v>94</v>
      </c>
      <c r="F4735" t="s">
        <v>111</v>
      </c>
      <c r="G4735" t="s">
        <v>104</v>
      </c>
      <c r="H4735" t="s">
        <v>103</v>
      </c>
      <c r="J4735">
        <v>0</v>
      </c>
      <c r="K4735">
        <v>1</v>
      </c>
      <c r="L4735">
        <v>94.97142857</v>
      </c>
      <c r="M4735">
        <v>24.31591813</v>
      </c>
      <c r="N4735">
        <v>0.122951111</v>
      </c>
      <c r="O4735">
        <v>0.39050790000000002</v>
      </c>
      <c r="P4735">
        <v>98.291666669999998</v>
      </c>
      <c r="Q4735">
        <v>30.315130790000001</v>
      </c>
      <c r="R4735">
        <v>5.0803484000000003E-2</v>
      </c>
      <c r="S4735">
        <v>0.42866070000000001</v>
      </c>
      <c r="T4735" t="s">
        <v>1040</v>
      </c>
      <c r="U4735">
        <v>-3.8152799999999987E-2</v>
      </c>
    </row>
    <row r="4736" spans="1:21" x14ac:dyDescent="0.25">
      <c r="A4736" t="s">
        <v>39</v>
      </c>
      <c r="B4736" t="s">
        <v>948</v>
      </c>
      <c r="C4736">
        <v>2</v>
      </c>
      <c r="D4736" t="s">
        <v>15</v>
      </c>
      <c r="E4736" t="s">
        <v>94</v>
      </c>
      <c r="F4736" t="s">
        <v>111</v>
      </c>
      <c r="G4736" t="s">
        <v>104</v>
      </c>
      <c r="H4736" t="s">
        <v>104</v>
      </c>
      <c r="J4736">
        <v>0</v>
      </c>
      <c r="K4736">
        <v>1</v>
      </c>
      <c r="L4736">
        <v>94.97142857</v>
      </c>
      <c r="M4736">
        <v>24.31591813</v>
      </c>
      <c r="N4736">
        <v>0.122951111</v>
      </c>
      <c r="O4736">
        <v>0.39050790000000002</v>
      </c>
      <c r="P4736">
        <v>113.9375</v>
      </c>
      <c r="Q4736">
        <v>33.375507550000002</v>
      </c>
      <c r="R4736">
        <v>2.4262999999999999</v>
      </c>
      <c r="S4736">
        <v>0.40692159999999999</v>
      </c>
      <c r="T4736" t="s">
        <v>1040</v>
      </c>
      <c r="U4736">
        <v>-1.6413699999999976E-2</v>
      </c>
    </row>
    <row r="4737" spans="1:21" x14ac:dyDescent="0.25">
      <c r="A4737" t="s">
        <v>39</v>
      </c>
      <c r="B4737" t="s">
        <v>949</v>
      </c>
      <c r="C4737">
        <v>2</v>
      </c>
      <c r="D4737" t="s">
        <v>15</v>
      </c>
      <c r="E4737" t="s">
        <v>94</v>
      </c>
      <c r="F4737" t="s">
        <v>104</v>
      </c>
      <c r="G4737" t="s">
        <v>104</v>
      </c>
      <c r="H4737" t="s">
        <v>104</v>
      </c>
      <c r="J4737">
        <v>0</v>
      </c>
      <c r="K4737">
        <v>3</v>
      </c>
      <c r="L4737">
        <v>113.9375</v>
      </c>
      <c r="M4737">
        <v>33.375507550000002</v>
      </c>
      <c r="N4737">
        <v>2.4262999999999999</v>
      </c>
      <c r="O4737">
        <v>0.40692159999999999</v>
      </c>
      <c r="P4737">
        <v>113.9375</v>
      </c>
      <c r="Q4737">
        <v>33.375507550000002</v>
      </c>
      <c r="R4737">
        <v>2.4262999999999999</v>
      </c>
      <c r="S4737">
        <v>0.40692159999999999</v>
      </c>
      <c r="T4737" t="s">
        <v>1040</v>
      </c>
      <c r="U4737">
        <v>0</v>
      </c>
    </row>
    <row r="4738" spans="1:21" x14ac:dyDescent="0.25">
      <c r="A4738" t="s">
        <v>39</v>
      </c>
      <c r="B4738" t="s">
        <v>949</v>
      </c>
      <c r="C4738">
        <v>2</v>
      </c>
      <c r="D4738" t="s">
        <v>15</v>
      </c>
      <c r="E4738" t="s">
        <v>94</v>
      </c>
      <c r="F4738" t="s">
        <v>104</v>
      </c>
      <c r="G4738" t="s">
        <v>104</v>
      </c>
      <c r="H4738" t="s">
        <v>104</v>
      </c>
      <c r="J4738">
        <v>0</v>
      </c>
      <c r="K4738">
        <v>3</v>
      </c>
      <c r="L4738">
        <v>113.9375</v>
      </c>
      <c r="M4738">
        <v>33.375507550000002</v>
      </c>
      <c r="N4738">
        <v>2.4262999999999999</v>
      </c>
      <c r="O4738">
        <v>0.40692159999999999</v>
      </c>
      <c r="P4738">
        <v>113.9375</v>
      </c>
      <c r="Q4738">
        <v>33.375507550000002</v>
      </c>
      <c r="R4738">
        <v>2.4262999999999999</v>
      </c>
      <c r="S4738">
        <v>0.40692159999999999</v>
      </c>
      <c r="T4738" t="s">
        <v>1040</v>
      </c>
      <c r="U4738">
        <v>0</v>
      </c>
    </row>
    <row r="4739" spans="1:21" x14ac:dyDescent="0.25">
      <c r="A4739" t="s">
        <v>39</v>
      </c>
      <c r="B4739" t="s">
        <v>949</v>
      </c>
      <c r="C4739">
        <v>2</v>
      </c>
      <c r="D4739" t="s">
        <v>15</v>
      </c>
      <c r="E4739" t="s">
        <v>94</v>
      </c>
      <c r="F4739" t="s">
        <v>104</v>
      </c>
      <c r="G4739" t="s">
        <v>104</v>
      </c>
      <c r="H4739" t="s">
        <v>104</v>
      </c>
      <c r="J4739">
        <v>0</v>
      </c>
      <c r="K4739">
        <v>3</v>
      </c>
      <c r="L4739">
        <v>113.9375</v>
      </c>
      <c r="M4739">
        <v>33.375507550000002</v>
      </c>
      <c r="N4739">
        <v>2.4262999999999999</v>
      </c>
      <c r="O4739">
        <v>0.40692159999999999</v>
      </c>
      <c r="P4739">
        <v>113.9375</v>
      </c>
      <c r="Q4739">
        <v>33.375507550000002</v>
      </c>
      <c r="R4739">
        <v>2.4262999999999999</v>
      </c>
      <c r="S4739">
        <v>0.40692159999999999</v>
      </c>
      <c r="T4739" t="s">
        <v>1040</v>
      </c>
      <c r="U4739">
        <v>0</v>
      </c>
    </row>
    <row r="4740" spans="1:21" x14ac:dyDescent="0.25">
      <c r="A4740" t="s">
        <v>39</v>
      </c>
      <c r="B4740" t="s">
        <v>949</v>
      </c>
      <c r="C4740">
        <v>2</v>
      </c>
      <c r="D4740" t="s">
        <v>15</v>
      </c>
      <c r="E4740" t="s">
        <v>94</v>
      </c>
      <c r="F4740" t="s">
        <v>104</v>
      </c>
      <c r="G4740" t="s">
        <v>104</v>
      </c>
      <c r="H4740" t="s">
        <v>113</v>
      </c>
      <c r="J4740">
        <v>0</v>
      </c>
      <c r="K4740">
        <v>1</v>
      </c>
      <c r="L4740">
        <v>113.9375</v>
      </c>
      <c r="M4740">
        <v>33.375507550000002</v>
      </c>
      <c r="N4740">
        <v>2.4262999999999999</v>
      </c>
      <c r="O4740">
        <v>0.40692159999999999</v>
      </c>
      <c r="P4740">
        <v>83.757575759999995</v>
      </c>
      <c r="Q4740">
        <v>22.60997987</v>
      </c>
      <c r="R4740">
        <v>0.72884000000000004</v>
      </c>
      <c r="S4740">
        <v>0.21301339999999999</v>
      </c>
      <c r="T4740" t="s">
        <v>1040</v>
      </c>
      <c r="U4740">
        <v>0.1939082</v>
      </c>
    </row>
    <row r="4741" spans="1:21" x14ac:dyDescent="0.25">
      <c r="A4741" t="s">
        <v>40</v>
      </c>
      <c r="B4741" t="s">
        <v>950</v>
      </c>
      <c r="C4741">
        <v>2</v>
      </c>
      <c r="D4741" t="s">
        <v>17</v>
      </c>
      <c r="E4741" t="s">
        <v>95</v>
      </c>
      <c r="F4741" t="s">
        <v>113</v>
      </c>
      <c r="G4741" t="s">
        <v>113</v>
      </c>
      <c r="H4741" t="s">
        <v>113</v>
      </c>
      <c r="J4741">
        <v>0</v>
      </c>
      <c r="K4741">
        <v>1</v>
      </c>
      <c r="L4741">
        <v>83.757575759999995</v>
      </c>
      <c r="M4741">
        <v>22.60997987</v>
      </c>
      <c r="N4741">
        <v>0.72884000000000004</v>
      </c>
      <c r="O4741">
        <v>0.21301339999999999</v>
      </c>
      <c r="P4741">
        <v>83.757575759999995</v>
      </c>
      <c r="Q4741">
        <v>22.60997987</v>
      </c>
      <c r="R4741">
        <v>0.72884000000000004</v>
      </c>
      <c r="S4741">
        <v>0.21301339999999999</v>
      </c>
      <c r="T4741" t="s">
        <v>1040</v>
      </c>
      <c r="U4741">
        <v>0</v>
      </c>
    </row>
    <row r="4742" spans="1:21" x14ac:dyDescent="0.25">
      <c r="A4742" t="s">
        <v>40</v>
      </c>
      <c r="B4742" t="s">
        <v>950</v>
      </c>
      <c r="C4742">
        <v>2</v>
      </c>
      <c r="D4742" t="s">
        <v>17</v>
      </c>
      <c r="E4742" t="s">
        <v>95</v>
      </c>
      <c r="F4742" t="s">
        <v>113</v>
      </c>
      <c r="G4742" t="s">
        <v>113</v>
      </c>
      <c r="H4742" t="s">
        <v>103</v>
      </c>
      <c r="J4742">
        <v>0</v>
      </c>
      <c r="K4742">
        <v>2</v>
      </c>
      <c r="L4742">
        <v>83.757575759999995</v>
      </c>
      <c r="M4742">
        <v>22.60997987</v>
      </c>
      <c r="N4742">
        <v>0.72884000000000004</v>
      </c>
      <c r="O4742">
        <v>0.21301339999999999</v>
      </c>
      <c r="P4742">
        <v>98.291666669999998</v>
      </c>
      <c r="Q4742">
        <v>30.315130790000001</v>
      </c>
      <c r="R4742">
        <v>5.0803484000000003E-2</v>
      </c>
      <c r="S4742">
        <v>0.42866070000000001</v>
      </c>
      <c r="T4742" t="s">
        <v>1040</v>
      </c>
      <c r="U4742">
        <v>-0.21564730000000001</v>
      </c>
    </row>
    <row r="4743" spans="1:21" x14ac:dyDescent="0.25">
      <c r="A4743" t="s">
        <v>40</v>
      </c>
      <c r="B4743" t="s">
        <v>950</v>
      </c>
      <c r="C4743">
        <v>2</v>
      </c>
      <c r="D4743" t="s">
        <v>17</v>
      </c>
      <c r="E4743" t="s">
        <v>95</v>
      </c>
      <c r="F4743" t="s">
        <v>113</v>
      </c>
      <c r="G4743" t="s">
        <v>113</v>
      </c>
      <c r="H4743" t="s">
        <v>103</v>
      </c>
      <c r="J4743">
        <v>0</v>
      </c>
      <c r="K4743">
        <v>2</v>
      </c>
      <c r="L4743">
        <v>83.757575759999995</v>
      </c>
      <c r="M4743">
        <v>22.60997987</v>
      </c>
      <c r="N4743">
        <v>0.72884000000000004</v>
      </c>
      <c r="O4743">
        <v>0.21301339999999999</v>
      </c>
      <c r="P4743">
        <v>98.291666669999998</v>
      </c>
      <c r="Q4743">
        <v>30.315130790000001</v>
      </c>
      <c r="R4743">
        <v>5.0803484000000003E-2</v>
      </c>
      <c r="S4743">
        <v>0.42866070000000001</v>
      </c>
      <c r="T4743" t="s">
        <v>1040</v>
      </c>
      <c r="U4743">
        <v>-0.21564730000000001</v>
      </c>
    </row>
    <row r="4744" spans="1:21" x14ac:dyDescent="0.25">
      <c r="A4744" t="s">
        <v>40</v>
      </c>
      <c r="B4744" t="s">
        <v>951</v>
      </c>
      <c r="C4744">
        <v>2</v>
      </c>
      <c r="D4744" t="s">
        <v>17</v>
      </c>
      <c r="E4744" t="s">
        <v>95</v>
      </c>
      <c r="F4744" t="s">
        <v>103</v>
      </c>
      <c r="G4744" t="s">
        <v>103</v>
      </c>
      <c r="H4744" t="s">
        <v>103</v>
      </c>
      <c r="J4744">
        <v>0</v>
      </c>
      <c r="K4744">
        <v>6</v>
      </c>
      <c r="L4744">
        <v>98.291666669999998</v>
      </c>
      <c r="M4744">
        <v>30.315130790000001</v>
      </c>
      <c r="N4744">
        <v>5.0803484000000003E-2</v>
      </c>
      <c r="O4744">
        <v>0.42866070000000001</v>
      </c>
      <c r="P4744">
        <v>98.291666669999998</v>
      </c>
      <c r="Q4744">
        <v>30.315130790000001</v>
      </c>
      <c r="R4744">
        <v>5.0803484000000003E-2</v>
      </c>
      <c r="S4744">
        <v>0.42866070000000001</v>
      </c>
      <c r="T4744" t="s">
        <v>1040</v>
      </c>
      <c r="U4744">
        <v>0</v>
      </c>
    </row>
    <row r="4745" spans="1:21" x14ac:dyDescent="0.25">
      <c r="A4745" t="s">
        <v>40</v>
      </c>
      <c r="B4745" t="s">
        <v>951</v>
      </c>
      <c r="C4745">
        <v>2</v>
      </c>
      <c r="D4745" t="s">
        <v>17</v>
      </c>
      <c r="E4745" t="s">
        <v>95</v>
      </c>
      <c r="F4745" t="s">
        <v>103</v>
      </c>
      <c r="G4745" t="s">
        <v>103</v>
      </c>
      <c r="H4745" t="s">
        <v>103</v>
      </c>
      <c r="J4745">
        <v>0</v>
      </c>
      <c r="K4745">
        <v>6</v>
      </c>
      <c r="L4745">
        <v>98.291666669999998</v>
      </c>
      <c r="M4745">
        <v>30.315130790000001</v>
      </c>
      <c r="N4745">
        <v>5.0803484000000003E-2</v>
      </c>
      <c r="O4745">
        <v>0.42866070000000001</v>
      </c>
      <c r="P4745">
        <v>98.291666669999998</v>
      </c>
      <c r="Q4745">
        <v>30.315130790000001</v>
      </c>
      <c r="R4745">
        <v>5.0803484000000003E-2</v>
      </c>
      <c r="S4745">
        <v>0.42866070000000001</v>
      </c>
      <c r="T4745" t="s">
        <v>1040</v>
      </c>
      <c r="U4745">
        <v>0</v>
      </c>
    </row>
    <row r="4746" spans="1:21" x14ac:dyDescent="0.25">
      <c r="A4746" t="s">
        <v>40</v>
      </c>
      <c r="B4746" t="s">
        <v>951</v>
      </c>
      <c r="C4746">
        <v>2</v>
      </c>
      <c r="D4746" t="s">
        <v>17</v>
      </c>
      <c r="E4746" t="s">
        <v>95</v>
      </c>
      <c r="F4746" t="s">
        <v>103</v>
      </c>
      <c r="G4746" t="s">
        <v>103</v>
      </c>
      <c r="H4746" t="s">
        <v>103</v>
      </c>
      <c r="J4746">
        <v>0</v>
      </c>
      <c r="K4746">
        <v>6</v>
      </c>
      <c r="L4746">
        <v>98.291666669999998</v>
      </c>
      <c r="M4746">
        <v>30.315130790000001</v>
      </c>
      <c r="N4746">
        <v>5.0803484000000003E-2</v>
      </c>
      <c r="O4746">
        <v>0.42866070000000001</v>
      </c>
      <c r="P4746">
        <v>98.291666669999998</v>
      </c>
      <c r="Q4746">
        <v>30.315130790000001</v>
      </c>
      <c r="R4746">
        <v>5.0803484000000003E-2</v>
      </c>
      <c r="S4746">
        <v>0.42866070000000001</v>
      </c>
      <c r="T4746" t="s">
        <v>1040</v>
      </c>
      <c r="U4746">
        <v>0</v>
      </c>
    </row>
    <row r="4747" spans="1:21" x14ac:dyDescent="0.25">
      <c r="A4747" t="s">
        <v>40</v>
      </c>
      <c r="B4747" t="s">
        <v>951</v>
      </c>
      <c r="C4747">
        <v>2</v>
      </c>
      <c r="D4747" t="s">
        <v>17</v>
      </c>
      <c r="E4747" t="s">
        <v>95</v>
      </c>
      <c r="F4747" t="s">
        <v>103</v>
      </c>
      <c r="G4747" t="s">
        <v>103</v>
      </c>
      <c r="H4747" t="s">
        <v>103</v>
      </c>
      <c r="J4747">
        <v>0</v>
      </c>
      <c r="K4747">
        <v>6</v>
      </c>
      <c r="L4747">
        <v>98.291666669999998</v>
      </c>
      <c r="M4747">
        <v>30.315130790000001</v>
      </c>
      <c r="N4747">
        <v>5.0803484000000003E-2</v>
      </c>
      <c r="O4747">
        <v>0.42866070000000001</v>
      </c>
      <c r="P4747">
        <v>98.291666669999998</v>
      </c>
      <c r="Q4747">
        <v>30.315130790000001</v>
      </c>
      <c r="R4747">
        <v>5.0803484000000003E-2</v>
      </c>
      <c r="S4747">
        <v>0.42866070000000001</v>
      </c>
      <c r="T4747" t="s">
        <v>1040</v>
      </c>
      <c r="U4747">
        <v>0</v>
      </c>
    </row>
    <row r="4748" spans="1:21" x14ac:dyDescent="0.25">
      <c r="A4748" t="s">
        <v>40</v>
      </c>
      <c r="B4748" t="s">
        <v>951</v>
      </c>
      <c r="C4748">
        <v>2</v>
      </c>
      <c r="D4748" t="s">
        <v>17</v>
      </c>
      <c r="E4748" t="s">
        <v>95</v>
      </c>
      <c r="F4748" t="s">
        <v>103</v>
      </c>
      <c r="G4748" t="s">
        <v>103</v>
      </c>
      <c r="H4748" t="s">
        <v>103</v>
      </c>
      <c r="J4748">
        <v>0</v>
      </c>
      <c r="K4748">
        <v>6</v>
      </c>
      <c r="L4748">
        <v>98.291666669999998</v>
      </c>
      <c r="M4748">
        <v>30.315130790000001</v>
      </c>
      <c r="N4748">
        <v>5.0803484000000003E-2</v>
      </c>
      <c r="O4748">
        <v>0.42866070000000001</v>
      </c>
      <c r="P4748">
        <v>98.291666669999998</v>
      </c>
      <c r="Q4748">
        <v>30.315130790000001</v>
      </c>
      <c r="R4748">
        <v>5.0803484000000003E-2</v>
      </c>
      <c r="S4748">
        <v>0.42866070000000001</v>
      </c>
      <c r="T4748" t="s">
        <v>1040</v>
      </c>
      <c r="U4748">
        <v>0</v>
      </c>
    </row>
    <row r="4749" spans="1:21" x14ac:dyDescent="0.25">
      <c r="A4749" t="s">
        <v>40</v>
      </c>
      <c r="B4749" t="s">
        <v>951</v>
      </c>
      <c r="C4749">
        <v>2</v>
      </c>
      <c r="D4749" t="s">
        <v>17</v>
      </c>
      <c r="E4749" t="s">
        <v>95</v>
      </c>
      <c r="F4749" t="s">
        <v>103</v>
      </c>
      <c r="G4749" t="s">
        <v>103</v>
      </c>
      <c r="H4749" t="s">
        <v>103</v>
      </c>
      <c r="J4749">
        <v>0</v>
      </c>
      <c r="K4749">
        <v>6</v>
      </c>
      <c r="L4749">
        <v>98.291666669999998</v>
      </c>
      <c r="M4749">
        <v>30.315130790000001</v>
      </c>
      <c r="N4749">
        <v>5.0803484000000003E-2</v>
      </c>
      <c r="O4749">
        <v>0.42866070000000001</v>
      </c>
      <c r="P4749">
        <v>98.291666669999998</v>
      </c>
      <c r="Q4749">
        <v>30.315130790000001</v>
      </c>
      <c r="R4749">
        <v>5.0803484000000003E-2</v>
      </c>
      <c r="S4749">
        <v>0.42866070000000001</v>
      </c>
      <c r="T4749" t="s">
        <v>1040</v>
      </c>
      <c r="U4749">
        <v>0</v>
      </c>
    </row>
    <row r="4750" spans="1:21" x14ac:dyDescent="0.25">
      <c r="A4750" t="s">
        <v>40</v>
      </c>
      <c r="B4750" t="s">
        <v>952</v>
      </c>
      <c r="C4750">
        <v>2</v>
      </c>
      <c r="D4750" t="s">
        <v>17</v>
      </c>
      <c r="E4750" t="s">
        <v>95</v>
      </c>
      <c r="F4750" t="s">
        <v>112</v>
      </c>
      <c r="G4750" t="s">
        <v>103</v>
      </c>
      <c r="H4750" t="s">
        <v>103</v>
      </c>
      <c r="I4750" t="s">
        <v>243</v>
      </c>
      <c r="J4750">
        <v>1</v>
      </c>
      <c r="K4750">
        <v>7</v>
      </c>
      <c r="L4750">
        <v>65.09375</v>
      </c>
      <c r="M4750">
        <v>37.895352600000002</v>
      </c>
      <c r="N4750">
        <v>2.2882677779999998</v>
      </c>
      <c r="O4750">
        <v>2.2111774</v>
      </c>
      <c r="P4750">
        <v>98.291666669999998</v>
      </c>
      <c r="Q4750">
        <v>30.315130790000001</v>
      </c>
      <c r="R4750">
        <v>5.0803484000000003E-2</v>
      </c>
      <c r="S4750">
        <v>0.42866070000000001</v>
      </c>
      <c r="T4750" t="s">
        <v>1040</v>
      </c>
      <c r="U4750">
        <v>1.7825167</v>
      </c>
    </row>
    <row r="4751" spans="1:21" x14ac:dyDescent="0.25">
      <c r="A4751" t="s">
        <v>40</v>
      </c>
      <c r="B4751" t="s">
        <v>952</v>
      </c>
      <c r="C4751">
        <v>2</v>
      </c>
      <c r="D4751" t="s">
        <v>17</v>
      </c>
      <c r="E4751" t="s">
        <v>95</v>
      </c>
      <c r="F4751" t="s">
        <v>112</v>
      </c>
      <c r="G4751" t="s">
        <v>103</v>
      </c>
      <c r="H4751" t="s">
        <v>103</v>
      </c>
      <c r="I4751" t="s">
        <v>243</v>
      </c>
      <c r="J4751">
        <v>1</v>
      </c>
      <c r="K4751">
        <v>7</v>
      </c>
      <c r="L4751">
        <v>65.09375</v>
      </c>
      <c r="M4751">
        <v>37.895352600000002</v>
      </c>
      <c r="N4751">
        <v>2.2882677779999998</v>
      </c>
      <c r="O4751">
        <v>2.2111774</v>
      </c>
      <c r="P4751">
        <v>98.291666669999998</v>
      </c>
      <c r="Q4751">
        <v>30.315130790000001</v>
      </c>
      <c r="R4751">
        <v>5.0803484000000003E-2</v>
      </c>
      <c r="S4751">
        <v>0.42866070000000001</v>
      </c>
      <c r="T4751" t="s">
        <v>1040</v>
      </c>
      <c r="U4751">
        <v>1.7825167</v>
      </c>
    </row>
    <row r="4752" spans="1:21" x14ac:dyDescent="0.25">
      <c r="A4752" t="s">
        <v>40</v>
      </c>
      <c r="B4752" t="s">
        <v>952</v>
      </c>
      <c r="C4752">
        <v>2</v>
      </c>
      <c r="D4752" t="s">
        <v>17</v>
      </c>
      <c r="E4752" t="s">
        <v>95</v>
      </c>
      <c r="F4752" t="s">
        <v>112</v>
      </c>
      <c r="G4752" t="s">
        <v>103</v>
      </c>
      <c r="H4752" t="s">
        <v>103</v>
      </c>
      <c r="I4752" t="s">
        <v>243</v>
      </c>
      <c r="J4752">
        <v>1</v>
      </c>
      <c r="K4752">
        <v>7</v>
      </c>
      <c r="L4752">
        <v>65.09375</v>
      </c>
      <c r="M4752">
        <v>37.895352600000002</v>
      </c>
      <c r="N4752">
        <v>2.2882677779999998</v>
      </c>
      <c r="O4752">
        <v>2.2111774</v>
      </c>
      <c r="P4752">
        <v>98.291666669999998</v>
      </c>
      <c r="Q4752">
        <v>30.315130790000001</v>
      </c>
      <c r="R4752">
        <v>5.0803484000000003E-2</v>
      </c>
      <c r="S4752">
        <v>0.42866070000000001</v>
      </c>
      <c r="T4752" t="s">
        <v>1040</v>
      </c>
      <c r="U4752">
        <v>1.7825167</v>
      </c>
    </row>
    <row r="4753" spans="1:21" x14ac:dyDescent="0.25">
      <c r="A4753" t="s">
        <v>40</v>
      </c>
      <c r="B4753" t="s">
        <v>952</v>
      </c>
      <c r="C4753">
        <v>2</v>
      </c>
      <c r="D4753" t="s">
        <v>17</v>
      </c>
      <c r="E4753" t="s">
        <v>95</v>
      </c>
      <c r="F4753" t="s">
        <v>112</v>
      </c>
      <c r="G4753" t="s">
        <v>103</v>
      </c>
      <c r="H4753" t="s">
        <v>103</v>
      </c>
      <c r="I4753" t="s">
        <v>243</v>
      </c>
      <c r="J4753">
        <v>1</v>
      </c>
      <c r="K4753">
        <v>7</v>
      </c>
      <c r="L4753">
        <v>65.09375</v>
      </c>
      <c r="M4753">
        <v>37.895352600000002</v>
      </c>
      <c r="N4753">
        <v>2.2882677779999998</v>
      </c>
      <c r="O4753">
        <v>2.2111774</v>
      </c>
      <c r="P4753">
        <v>98.291666669999998</v>
      </c>
      <c r="Q4753">
        <v>30.315130790000001</v>
      </c>
      <c r="R4753">
        <v>5.0803484000000003E-2</v>
      </c>
      <c r="S4753">
        <v>0.42866070000000001</v>
      </c>
      <c r="T4753" t="s">
        <v>1040</v>
      </c>
      <c r="U4753">
        <v>1.7825167</v>
      </c>
    </row>
    <row r="4754" spans="1:21" x14ac:dyDescent="0.25">
      <c r="A4754" t="s">
        <v>40</v>
      </c>
      <c r="B4754" t="s">
        <v>952</v>
      </c>
      <c r="C4754">
        <v>2</v>
      </c>
      <c r="D4754" t="s">
        <v>17</v>
      </c>
      <c r="E4754" t="s">
        <v>95</v>
      </c>
      <c r="F4754" t="s">
        <v>112</v>
      </c>
      <c r="G4754" t="s">
        <v>103</v>
      </c>
      <c r="H4754" t="s">
        <v>103</v>
      </c>
      <c r="I4754" t="s">
        <v>243</v>
      </c>
      <c r="J4754">
        <v>1</v>
      </c>
      <c r="K4754">
        <v>7</v>
      </c>
      <c r="L4754">
        <v>65.09375</v>
      </c>
      <c r="M4754">
        <v>37.895352600000002</v>
      </c>
      <c r="N4754">
        <v>2.2882677779999998</v>
      </c>
      <c r="O4754">
        <v>2.2111774</v>
      </c>
      <c r="P4754">
        <v>98.291666669999998</v>
      </c>
      <c r="Q4754">
        <v>30.315130790000001</v>
      </c>
      <c r="R4754">
        <v>5.0803484000000003E-2</v>
      </c>
      <c r="S4754">
        <v>0.42866070000000001</v>
      </c>
      <c r="T4754" t="s">
        <v>1040</v>
      </c>
      <c r="U4754">
        <v>1.7825167</v>
      </c>
    </row>
    <row r="4755" spans="1:21" x14ac:dyDescent="0.25">
      <c r="A4755" t="s">
        <v>40</v>
      </c>
      <c r="B4755" t="s">
        <v>952</v>
      </c>
      <c r="C4755">
        <v>2</v>
      </c>
      <c r="D4755" t="s">
        <v>17</v>
      </c>
      <c r="E4755" t="s">
        <v>95</v>
      </c>
      <c r="F4755" t="s">
        <v>112</v>
      </c>
      <c r="G4755" t="s">
        <v>103</v>
      </c>
      <c r="H4755" t="s">
        <v>103</v>
      </c>
      <c r="I4755" t="s">
        <v>243</v>
      </c>
      <c r="J4755">
        <v>1</v>
      </c>
      <c r="K4755">
        <v>7</v>
      </c>
      <c r="L4755">
        <v>65.09375</v>
      </c>
      <c r="M4755">
        <v>37.895352600000002</v>
      </c>
      <c r="N4755">
        <v>2.2882677779999998</v>
      </c>
      <c r="O4755">
        <v>2.2111774</v>
      </c>
      <c r="P4755">
        <v>98.291666669999998</v>
      </c>
      <c r="Q4755">
        <v>30.315130790000001</v>
      </c>
      <c r="R4755">
        <v>5.0803484000000003E-2</v>
      </c>
      <c r="S4755">
        <v>0.42866070000000001</v>
      </c>
      <c r="T4755" t="s">
        <v>1040</v>
      </c>
      <c r="U4755">
        <v>1.7825167</v>
      </c>
    </row>
    <row r="4756" spans="1:21" x14ac:dyDescent="0.25">
      <c r="A4756" t="s">
        <v>40</v>
      </c>
      <c r="B4756" t="s">
        <v>952</v>
      </c>
      <c r="C4756">
        <v>2</v>
      </c>
      <c r="D4756" t="s">
        <v>17</v>
      </c>
      <c r="E4756" t="s">
        <v>95</v>
      </c>
      <c r="F4756" t="s">
        <v>112</v>
      </c>
      <c r="G4756" t="s">
        <v>103</v>
      </c>
      <c r="H4756" t="s">
        <v>103</v>
      </c>
      <c r="I4756" t="s">
        <v>243</v>
      </c>
      <c r="J4756">
        <v>1</v>
      </c>
      <c r="K4756">
        <v>7</v>
      </c>
      <c r="L4756">
        <v>65.09375</v>
      </c>
      <c r="M4756">
        <v>37.895352600000002</v>
      </c>
      <c r="N4756">
        <v>2.2882677779999998</v>
      </c>
      <c r="O4756">
        <v>2.2111774</v>
      </c>
      <c r="P4756">
        <v>98.291666669999998</v>
      </c>
      <c r="Q4756">
        <v>30.315130790000001</v>
      </c>
      <c r="R4756">
        <v>5.0803484000000003E-2</v>
      </c>
      <c r="S4756">
        <v>0.42866070000000001</v>
      </c>
      <c r="T4756" t="s">
        <v>1040</v>
      </c>
      <c r="U4756">
        <v>1.7825167</v>
      </c>
    </row>
    <row r="4757" spans="1:21" x14ac:dyDescent="0.25">
      <c r="A4757" t="s">
        <v>40</v>
      </c>
      <c r="B4757" t="s">
        <v>952</v>
      </c>
      <c r="C4757">
        <v>2</v>
      </c>
      <c r="D4757" t="s">
        <v>17</v>
      </c>
      <c r="E4757" t="s">
        <v>95</v>
      </c>
      <c r="F4757" t="s">
        <v>112</v>
      </c>
      <c r="G4757" t="s">
        <v>103</v>
      </c>
      <c r="H4757" t="s">
        <v>113</v>
      </c>
      <c r="J4757">
        <v>1</v>
      </c>
      <c r="K4757">
        <v>5</v>
      </c>
      <c r="L4757">
        <v>65.09375</v>
      </c>
      <c r="M4757">
        <v>37.895352600000002</v>
      </c>
      <c r="N4757">
        <v>2.2882677779999998</v>
      </c>
      <c r="O4757">
        <v>2.2111774</v>
      </c>
      <c r="P4757">
        <v>83.757575759999995</v>
      </c>
      <c r="Q4757">
        <v>22.60997987</v>
      </c>
      <c r="R4757">
        <v>0.72884000000000004</v>
      </c>
      <c r="S4757">
        <v>0.21301339999999999</v>
      </c>
      <c r="T4757" t="s">
        <v>1040</v>
      </c>
      <c r="U4757">
        <v>1.9981640000000001</v>
      </c>
    </row>
    <row r="4758" spans="1:21" x14ac:dyDescent="0.25">
      <c r="A4758" t="s">
        <v>40</v>
      </c>
      <c r="B4758" t="s">
        <v>952</v>
      </c>
      <c r="C4758">
        <v>2</v>
      </c>
      <c r="D4758" t="s">
        <v>17</v>
      </c>
      <c r="E4758" t="s">
        <v>95</v>
      </c>
      <c r="F4758" t="s">
        <v>112</v>
      </c>
      <c r="G4758" t="s">
        <v>103</v>
      </c>
      <c r="H4758" t="s">
        <v>113</v>
      </c>
      <c r="J4758">
        <v>1</v>
      </c>
      <c r="K4758">
        <v>5</v>
      </c>
      <c r="L4758">
        <v>65.09375</v>
      </c>
      <c r="M4758">
        <v>37.895352600000002</v>
      </c>
      <c r="N4758">
        <v>2.2882677779999998</v>
      </c>
      <c r="O4758">
        <v>2.2111774</v>
      </c>
      <c r="P4758">
        <v>83.757575759999995</v>
      </c>
      <c r="Q4758">
        <v>22.60997987</v>
      </c>
      <c r="R4758">
        <v>0.72884000000000004</v>
      </c>
      <c r="S4758">
        <v>0.21301339999999999</v>
      </c>
      <c r="T4758" t="s">
        <v>1040</v>
      </c>
      <c r="U4758">
        <v>1.9981640000000001</v>
      </c>
    </row>
    <row r="4759" spans="1:21" x14ac:dyDescent="0.25">
      <c r="A4759" t="s">
        <v>40</v>
      </c>
      <c r="B4759" t="s">
        <v>952</v>
      </c>
      <c r="C4759">
        <v>2</v>
      </c>
      <c r="D4759" t="s">
        <v>17</v>
      </c>
      <c r="E4759" t="s">
        <v>95</v>
      </c>
      <c r="F4759" t="s">
        <v>112</v>
      </c>
      <c r="G4759" t="s">
        <v>103</v>
      </c>
      <c r="H4759" t="s">
        <v>113</v>
      </c>
      <c r="J4759">
        <v>1</v>
      </c>
      <c r="K4759">
        <v>5</v>
      </c>
      <c r="L4759">
        <v>65.09375</v>
      </c>
      <c r="M4759">
        <v>37.895352600000002</v>
      </c>
      <c r="N4759">
        <v>2.2882677779999998</v>
      </c>
      <c r="O4759">
        <v>2.2111774</v>
      </c>
      <c r="P4759">
        <v>83.757575759999995</v>
      </c>
      <c r="Q4759">
        <v>22.60997987</v>
      </c>
      <c r="R4759">
        <v>0.72884000000000004</v>
      </c>
      <c r="S4759">
        <v>0.21301339999999999</v>
      </c>
      <c r="T4759" t="s">
        <v>1040</v>
      </c>
      <c r="U4759">
        <v>1.9981640000000001</v>
      </c>
    </row>
    <row r="4760" spans="1:21" x14ac:dyDescent="0.25">
      <c r="A4760" t="s">
        <v>40</v>
      </c>
      <c r="B4760" t="s">
        <v>952</v>
      </c>
      <c r="C4760">
        <v>2</v>
      </c>
      <c r="D4760" t="s">
        <v>17</v>
      </c>
      <c r="E4760" t="s">
        <v>95</v>
      </c>
      <c r="F4760" t="s">
        <v>112</v>
      </c>
      <c r="G4760" t="s">
        <v>103</v>
      </c>
      <c r="H4760" t="s">
        <v>113</v>
      </c>
      <c r="J4760">
        <v>1</v>
      </c>
      <c r="K4760">
        <v>5</v>
      </c>
      <c r="L4760">
        <v>65.09375</v>
      </c>
      <c r="M4760">
        <v>37.895352600000002</v>
      </c>
      <c r="N4760">
        <v>2.2882677779999998</v>
      </c>
      <c r="O4760">
        <v>2.2111774</v>
      </c>
      <c r="P4760">
        <v>83.757575759999995</v>
      </c>
      <c r="Q4760">
        <v>22.60997987</v>
      </c>
      <c r="R4760">
        <v>0.72884000000000004</v>
      </c>
      <c r="S4760">
        <v>0.21301339999999999</v>
      </c>
      <c r="T4760" t="s">
        <v>1040</v>
      </c>
      <c r="U4760">
        <v>1.9981640000000001</v>
      </c>
    </row>
    <row r="4761" spans="1:21" x14ac:dyDescent="0.25">
      <c r="A4761" t="s">
        <v>40</v>
      </c>
      <c r="B4761" t="s">
        <v>952</v>
      </c>
      <c r="C4761">
        <v>2</v>
      </c>
      <c r="D4761" t="s">
        <v>17</v>
      </c>
      <c r="E4761" t="s">
        <v>95</v>
      </c>
      <c r="F4761" t="s">
        <v>112</v>
      </c>
      <c r="G4761" t="s">
        <v>103</v>
      </c>
      <c r="H4761" t="s">
        <v>113</v>
      </c>
      <c r="J4761">
        <v>1</v>
      </c>
      <c r="K4761">
        <v>5</v>
      </c>
      <c r="L4761">
        <v>65.09375</v>
      </c>
      <c r="M4761">
        <v>37.895352600000002</v>
      </c>
      <c r="N4761">
        <v>2.2882677779999998</v>
      </c>
      <c r="O4761">
        <v>2.2111774</v>
      </c>
      <c r="P4761">
        <v>83.757575759999995</v>
      </c>
      <c r="Q4761">
        <v>22.60997987</v>
      </c>
      <c r="R4761">
        <v>0.72884000000000004</v>
      </c>
      <c r="S4761">
        <v>0.21301339999999999</v>
      </c>
      <c r="T4761" t="s">
        <v>1040</v>
      </c>
      <c r="U4761">
        <v>1.9981640000000001</v>
      </c>
    </row>
    <row r="4762" spans="1:21" x14ac:dyDescent="0.25">
      <c r="A4762" t="s">
        <v>41</v>
      </c>
      <c r="B4762" t="s">
        <v>953</v>
      </c>
      <c r="C4762">
        <v>2</v>
      </c>
      <c r="D4762" t="s">
        <v>19</v>
      </c>
      <c r="E4762" t="s">
        <v>94</v>
      </c>
      <c r="F4762" t="s">
        <v>105</v>
      </c>
      <c r="G4762" t="s">
        <v>104</v>
      </c>
      <c r="H4762" t="s">
        <v>104</v>
      </c>
      <c r="J4762">
        <v>0</v>
      </c>
      <c r="K4762">
        <v>3</v>
      </c>
      <c r="L4762">
        <v>67.5</v>
      </c>
      <c r="M4762">
        <v>47.937235809999997</v>
      </c>
      <c r="N4762">
        <v>0.41599678000000001</v>
      </c>
      <c r="O4762">
        <v>2.0950346999999998</v>
      </c>
      <c r="P4762">
        <v>113.9375</v>
      </c>
      <c r="Q4762">
        <v>33.375507550000002</v>
      </c>
      <c r="R4762">
        <v>2.4262999999999999</v>
      </c>
      <c r="S4762">
        <v>0.40692159999999999</v>
      </c>
      <c r="T4762" t="s">
        <v>1040</v>
      </c>
      <c r="U4762">
        <v>1.6881130999999998</v>
      </c>
    </row>
    <row r="4763" spans="1:21" x14ac:dyDescent="0.25">
      <c r="A4763" t="s">
        <v>41</v>
      </c>
      <c r="B4763" t="s">
        <v>953</v>
      </c>
      <c r="C4763">
        <v>2</v>
      </c>
      <c r="D4763" t="s">
        <v>19</v>
      </c>
      <c r="E4763" t="s">
        <v>94</v>
      </c>
      <c r="F4763" t="s">
        <v>105</v>
      </c>
      <c r="G4763" t="s">
        <v>104</v>
      </c>
      <c r="H4763" t="s">
        <v>104</v>
      </c>
      <c r="J4763">
        <v>0</v>
      </c>
      <c r="K4763">
        <v>3</v>
      </c>
      <c r="L4763">
        <v>67.5</v>
      </c>
      <c r="M4763">
        <v>47.937235809999997</v>
      </c>
      <c r="N4763">
        <v>0.41599678000000001</v>
      </c>
      <c r="O4763">
        <v>2.0950346999999998</v>
      </c>
      <c r="P4763">
        <v>113.9375</v>
      </c>
      <c r="Q4763">
        <v>33.375507550000002</v>
      </c>
      <c r="R4763">
        <v>2.4262999999999999</v>
      </c>
      <c r="S4763">
        <v>0.40692159999999999</v>
      </c>
      <c r="T4763" t="s">
        <v>1040</v>
      </c>
      <c r="U4763">
        <v>1.6881130999999998</v>
      </c>
    </row>
    <row r="4764" spans="1:21" x14ac:dyDescent="0.25">
      <c r="A4764" t="s">
        <v>41</v>
      </c>
      <c r="B4764" t="s">
        <v>953</v>
      </c>
      <c r="C4764">
        <v>2</v>
      </c>
      <c r="D4764" t="s">
        <v>19</v>
      </c>
      <c r="E4764" t="s">
        <v>94</v>
      </c>
      <c r="F4764" t="s">
        <v>105</v>
      </c>
      <c r="G4764" t="s">
        <v>104</v>
      </c>
      <c r="H4764" t="s">
        <v>104</v>
      </c>
      <c r="J4764">
        <v>0</v>
      </c>
      <c r="K4764">
        <v>3</v>
      </c>
      <c r="L4764">
        <v>67.5</v>
      </c>
      <c r="M4764">
        <v>47.937235809999997</v>
      </c>
      <c r="N4764">
        <v>0.41599678000000001</v>
      </c>
      <c r="O4764">
        <v>2.0950346999999998</v>
      </c>
      <c r="P4764">
        <v>113.9375</v>
      </c>
      <c r="Q4764">
        <v>33.375507550000002</v>
      </c>
      <c r="R4764">
        <v>2.4262999999999999</v>
      </c>
      <c r="S4764">
        <v>0.40692159999999999</v>
      </c>
      <c r="T4764" t="s">
        <v>1040</v>
      </c>
      <c r="U4764">
        <v>1.6881130999999998</v>
      </c>
    </row>
    <row r="4765" spans="1:21" x14ac:dyDescent="0.25">
      <c r="A4765" t="s">
        <v>41</v>
      </c>
      <c r="B4765" t="s">
        <v>953</v>
      </c>
      <c r="C4765">
        <v>2</v>
      </c>
      <c r="D4765" t="s">
        <v>19</v>
      </c>
      <c r="E4765" t="s">
        <v>94</v>
      </c>
      <c r="F4765" t="s">
        <v>105</v>
      </c>
      <c r="G4765" t="s">
        <v>104</v>
      </c>
      <c r="H4765" t="s">
        <v>113</v>
      </c>
      <c r="J4765">
        <v>0</v>
      </c>
      <c r="K4765">
        <v>1</v>
      </c>
      <c r="L4765">
        <v>67.5</v>
      </c>
      <c r="M4765">
        <v>47.937235809999997</v>
      </c>
      <c r="N4765">
        <v>0.41599678000000001</v>
      </c>
      <c r="O4765">
        <v>2.0950346999999998</v>
      </c>
      <c r="P4765">
        <v>83.757575759999995</v>
      </c>
      <c r="Q4765">
        <v>22.60997987</v>
      </c>
      <c r="R4765">
        <v>0.72884000000000004</v>
      </c>
      <c r="S4765">
        <v>0.21301339999999999</v>
      </c>
      <c r="T4765" t="s">
        <v>1040</v>
      </c>
      <c r="U4765">
        <v>1.8820212999999999</v>
      </c>
    </row>
    <row r="4766" spans="1:21" x14ac:dyDescent="0.25">
      <c r="A4766" t="s">
        <v>41</v>
      </c>
      <c r="B4766" t="s">
        <v>953</v>
      </c>
      <c r="C4766">
        <v>2</v>
      </c>
      <c r="D4766" t="s">
        <v>19</v>
      </c>
      <c r="E4766" t="s">
        <v>94</v>
      </c>
      <c r="F4766" t="s">
        <v>105</v>
      </c>
      <c r="G4766" t="s">
        <v>104</v>
      </c>
      <c r="H4766" t="s">
        <v>237</v>
      </c>
      <c r="J4766">
        <v>0</v>
      </c>
      <c r="K4766">
        <v>1</v>
      </c>
      <c r="L4766">
        <v>67.5</v>
      </c>
      <c r="M4766">
        <v>47.937235809999997</v>
      </c>
      <c r="N4766">
        <v>0.41599678000000001</v>
      </c>
      <c r="O4766">
        <v>2.0950346999999998</v>
      </c>
      <c r="P4766">
        <v>83.888888890000004</v>
      </c>
      <c r="Q4766">
        <v>31.026943280000001</v>
      </c>
      <c r="R4766">
        <v>0.53083999999999998</v>
      </c>
      <c r="S4766">
        <v>0.24845418999999999</v>
      </c>
      <c r="T4766" t="s">
        <v>1040</v>
      </c>
      <c r="U4766">
        <v>1.8465805099999999</v>
      </c>
    </row>
    <row r="4767" spans="1:21" x14ac:dyDescent="0.25">
      <c r="A4767" t="s">
        <v>41</v>
      </c>
      <c r="B4767" t="s">
        <v>953</v>
      </c>
      <c r="C4767">
        <v>2</v>
      </c>
      <c r="D4767" t="s">
        <v>19</v>
      </c>
      <c r="E4767" t="s">
        <v>94</v>
      </c>
      <c r="F4767" t="s">
        <v>105</v>
      </c>
      <c r="G4767" t="s">
        <v>104</v>
      </c>
      <c r="H4767" t="s">
        <v>239</v>
      </c>
      <c r="J4767">
        <v>0</v>
      </c>
      <c r="K4767">
        <v>1</v>
      </c>
      <c r="L4767">
        <v>67.5</v>
      </c>
      <c r="M4767">
        <v>47.937235809999997</v>
      </c>
      <c r="N4767">
        <v>0.41599678000000001</v>
      </c>
      <c r="O4767">
        <v>2.0950346999999998</v>
      </c>
      <c r="P4767">
        <v>100.45454549999999</v>
      </c>
      <c r="Q4767">
        <v>26.754810689999999</v>
      </c>
      <c r="R4767">
        <v>0.75829999999999997</v>
      </c>
      <c r="S4767">
        <v>0.40907861000000001</v>
      </c>
      <c r="T4767" t="s">
        <v>1040</v>
      </c>
      <c r="U4767">
        <v>1.6859560899999999</v>
      </c>
    </row>
    <row r="4768" spans="1:21" x14ac:dyDescent="0.25">
      <c r="A4768" t="s">
        <v>41</v>
      </c>
      <c r="B4768" t="s">
        <v>954</v>
      </c>
      <c r="C4768">
        <v>2</v>
      </c>
      <c r="D4768" t="s">
        <v>19</v>
      </c>
      <c r="E4768" t="s">
        <v>94</v>
      </c>
      <c r="F4768" t="s">
        <v>113</v>
      </c>
      <c r="G4768" t="s">
        <v>104</v>
      </c>
      <c r="H4768" t="s">
        <v>237</v>
      </c>
      <c r="J4768">
        <v>0</v>
      </c>
      <c r="K4768">
        <v>1</v>
      </c>
      <c r="L4768">
        <v>83.757575759999995</v>
      </c>
      <c r="M4768">
        <v>22.60997987</v>
      </c>
      <c r="N4768">
        <v>0.72884000000000004</v>
      </c>
      <c r="O4768">
        <v>0.21301339999999999</v>
      </c>
      <c r="P4768">
        <v>83.888888890000004</v>
      </c>
      <c r="Q4768">
        <v>31.026943280000001</v>
      </c>
      <c r="R4768">
        <v>0.53083999999999998</v>
      </c>
      <c r="S4768">
        <v>0.24845418999999999</v>
      </c>
      <c r="T4768" t="s">
        <v>1040</v>
      </c>
      <c r="U4768">
        <v>-3.544079E-2</v>
      </c>
    </row>
    <row r="4769" spans="1:21" x14ac:dyDescent="0.25">
      <c r="A4769" t="s">
        <v>41</v>
      </c>
      <c r="B4769" t="s">
        <v>954</v>
      </c>
      <c r="C4769">
        <v>2</v>
      </c>
      <c r="D4769" t="s">
        <v>19</v>
      </c>
      <c r="E4769" t="s">
        <v>94</v>
      </c>
      <c r="F4769" t="s">
        <v>113</v>
      </c>
      <c r="G4769" t="s">
        <v>104</v>
      </c>
      <c r="H4769" t="s">
        <v>113</v>
      </c>
      <c r="J4769">
        <v>0</v>
      </c>
      <c r="K4769">
        <v>7</v>
      </c>
      <c r="L4769">
        <v>83.757575759999995</v>
      </c>
      <c r="M4769">
        <v>22.60997987</v>
      </c>
      <c r="N4769">
        <v>0.72884000000000004</v>
      </c>
      <c r="O4769">
        <v>0.21301339999999999</v>
      </c>
      <c r="P4769">
        <v>83.757575759999995</v>
      </c>
      <c r="Q4769">
        <v>22.60997987</v>
      </c>
      <c r="R4769">
        <v>0.72884000000000004</v>
      </c>
      <c r="S4769">
        <v>0.21301339999999999</v>
      </c>
      <c r="T4769" t="s">
        <v>1040</v>
      </c>
      <c r="U4769">
        <v>0</v>
      </c>
    </row>
    <row r="4770" spans="1:21" x14ac:dyDescent="0.25">
      <c r="A4770" t="s">
        <v>41</v>
      </c>
      <c r="B4770" t="s">
        <v>954</v>
      </c>
      <c r="C4770">
        <v>2</v>
      </c>
      <c r="D4770" t="s">
        <v>19</v>
      </c>
      <c r="E4770" t="s">
        <v>94</v>
      </c>
      <c r="F4770" t="s">
        <v>113</v>
      </c>
      <c r="G4770" t="s">
        <v>104</v>
      </c>
      <c r="H4770" t="s">
        <v>113</v>
      </c>
      <c r="J4770">
        <v>0</v>
      </c>
      <c r="K4770">
        <v>7</v>
      </c>
      <c r="L4770">
        <v>83.757575759999995</v>
      </c>
      <c r="M4770">
        <v>22.60997987</v>
      </c>
      <c r="N4770">
        <v>0.72884000000000004</v>
      </c>
      <c r="O4770">
        <v>0.21301339999999999</v>
      </c>
      <c r="P4770">
        <v>83.757575759999995</v>
      </c>
      <c r="Q4770">
        <v>22.60997987</v>
      </c>
      <c r="R4770">
        <v>0.72884000000000004</v>
      </c>
      <c r="S4770">
        <v>0.21301339999999999</v>
      </c>
      <c r="T4770" t="s">
        <v>1040</v>
      </c>
      <c r="U4770">
        <v>0</v>
      </c>
    </row>
    <row r="4771" spans="1:21" x14ac:dyDescent="0.25">
      <c r="A4771" t="s">
        <v>41</v>
      </c>
      <c r="B4771" t="s">
        <v>954</v>
      </c>
      <c r="C4771">
        <v>2</v>
      </c>
      <c r="D4771" t="s">
        <v>19</v>
      </c>
      <c r="E4771" t="s">
        <v>94</v>
      </c>
      <c r="F4771" t="s">
        <v>113</v>
      </c>
      <c r="G4771" t="s">
        <v>104</v>
      </c>
      <c r="H4771" t="s">
        <v>113</v>
      </c>
      <c r="J4771">
        <v>0</v>
      </c>
      <c r="K4771">
        <v>7</v>
      </c>
      <c r="L4771">
        <v>83.757575759999995</v>
      </c>
      <c r="M4771">
        <v>22.60997987</v>
      </c>
      <c r="N4771">
        <v>0.72884000000000004</v>
      </c>
      <c r="O4771">
        <v>0.21301339999999999</v>
      </c>
      <c r="P4771">
        <v>83.757575759999995</v>
      </c>
      <c r="Q4771">
        <v>22.60997987</v>
      </c>
      <c r="R4771">
        <v>0.72884000000000004</v>
      </c>
      <c r="S4771">
        <v>0.21301339999999999</v>
      </c>
      <c r="T4771" t="s">
        <v>1040</v>
      </c>
      <c r="U4771">
        <v>0</v>
      </c>
    </row>
    <row r="4772" spans="1:21" x14ac:dyDescent="0.25">
      <c r="A4772" t="s">
        <v>41</v>
      </c>
      <c r="B4772" t="s">
        <v>954</v>
      </c>
      <c r="C4772">
        <v>2</v>
      </c>
      <c r="D4772" t="s">
        <v>19</v>
      </c>
      <c r="E4772" t="s">
        <v>94</v>
      </c>
      <c r="F4772" t="s">
        <v>113</v>
      </c>
      <c r="G4772" t="s">
        <v>104</v>
      </c>
      <c r="H4772" t="s">
        <v>113</v>
      </c>
      <c r="J4772">
        <v>0</v>
      </c>
      <c r="K4772">
        <v>7</v>
      </c>
      <c r="L4772">
        <v>83.757575759999995</v>
      </c>
      <c r="M4772">
        <v>22.60997987</v>
      </c>
      <c r="N4772">
        <v>0.72884000000000004</v>
      </c>
      <c r="O4772">
        <v>0.21301339999999999</v>
      </c>
      <c r="P4772">
        <v>83.757575759999995</v>
      </c>
      <c r="Q4772">
        <v>22.60997987</v>
      </c>
      <c r="R4772">
        <v>0.72884000000000004</v>
      </c>
      <c r="S4772">
        <v>0.21301339999999999</v>
      </c>
      <c r="T4772" t="s">
        <v>1040</v>
      </c>
      <c r="U4772">
        <v>0</v>
      </c>
    </row>
    <row r="4773" spans="1:21" x14ac:dyDescent="0.25">
      <c r="A4773" t="s">
        <v>41</v>
      </c>
      <c r="B4773" t="s">
        <v>954</v>
      </c>
      <c r="C4773">
        <v>2</v>
      </c>
      <c r="D4773" t="s">
        <v>19</v>
      </c>
      <c r="E4773" t="s">
        <v>94</v>
      </c>
      <c r="F4773" t="s">
        <v>113</v>
      </c>
      <c r="G4773" t="s">
        <v>104</v>
      </c>
      <c r="H4773" t="s">
        <v>113</v>
      </c>
      <c r="J4773">
        <v>0</v>
      </c>
      <c r="K4773">
        <v>7</v>
      </c>
      <c r="L4773">
        <v>83.757575759999995</v>
      </c>
      <c r="M4773">
        <v>22.60997987</v>
      </c>
      <c r="N4773">
        <v>0.72884000000000004</v>
      </c>
      <c r="O4773">
        <v>0.21301339999999999</v>
      </c>
      <c r="P4773">
        <v>83.757575759999995</v>
      </c>
      <c r="Q4773">
        <v>22.60997987</v>
      </c>
      <c r="R4773">
        <v>0.72884000000000004</v>
      </c>
      <c r="S4773">
        <v>0.21301339999999999</v>
      </c>
      <c r="T4773" t="s">
        <v>1040</v>
      </c>
      <c r="U4773">
        <v>0</v>
      </c>
    </row>
    <row r="4774" spans="1:21" x14ac:dyDescent="0.25">
      <c r="A4774" t="s">
        <v>41</v>
      </c>
      <c r="B4774" t="s">
        <v>954</v>
      </c>
      <c r="C4774">
        <v>2</v>
      </c>
      <c r="D4774" t="s">
        <v>19</v>
      </c>
      <c r="E4774" t="s">
        <v>94</v>
      </c>
      <c r="F4774" t="s">
        <v>113</v>
      </c>
      <c r="G4774" t="s">
        <v>104</v>
      </c>
      <c r="H4774" t="s">
        <v>113</v>
      </c>
      <c r="J4774">
        <v>0</v>
      </c>
      <c r="K4774">
        <v>7</v>
      </c>
      <c r="L4774">
        <v>83.757575759999995</v>
      </c>
      <c r="M4774">
        <v>22.60997987</v>
      </c>
      <c r="N4774">
        <v>0.72884000000000004</v>
      </c>
      <c r="O4774">
        <v>0.21301339999999999</v>
      </c>
      <c r="P4774">
        <v>83.757575759999995</v>
      </c>
      <c r="Q4774">
        <v>22.60997987</v>
      </c>
      <c r="R4774">
        <v>0.72884000000000004</v>
      </c>
      <c r="S4774">
        <v>0.21301339999999999</v>
      </c>
      <c r="T4774" t="s">
        <v>1040</v>
      </c>
      <c r="U4774">
        <v>0</v>
      </c>
    </row>
    <row r="4775" spans="1:21" x14ac:dyDescent="0.25">
      <c r="A4775" t="s">
        <v>41</v>
      </c>
      <c r="B4775" t="s">
        <v>954</v>
      </c>
      <c r="C4775">
        <v>2</v>
      </c>
      <c r="D4775" t="s">
        <v>19</v>
      </c>
      <c r="E4775" t="s">
        <v>94</v>
      </c>
      <c r="F4775" t="s">
        <v>113</v>
      </c>
      <c r="G4775" t="s">
        <v>104</v>
      </c>
      <c r="H4775" t="s">
        <v>113</v>
      </c>
      <c r="J4775">
        <v>0</v>
      </c>
      <c r="K4775">
        <v>7</v>
      </c>
      <c r="L4775">
        <v>83.757575759999995</v>
      </c>
      <c r="M4775">
        <v>22.60997987</v>
      </c>
      <c r="N4775">
        <v>0.72884000000000004</v>
      </c>
      <c r="O4775">
        <v>0.21301339999999999</v>
      </c>
      <c r="P4775">
        <v>83.757575759999995</v>
      </c>
      <c r="Q4775">
        <v>22.60997987</v>
      </c>
      <c r="R4775">
        <v>0.72884000000000004</v>
      </c>
      <c r="S4775">
        <v>0.21301339999999999</v>
      </c>
      <c r="T4775" t="s">
        <v>1040</v>
      </c>
      <c r="U4775">
        <v>0</v>
      </c>
    </row>
    <row r="4776" spans="1:21" x14ac:dyDescent="0.25">
      <c r="A4776" t="s">
        <v>41</v>
      </c>
      <c r="B4776" t="s">
        <v>954</v>
      </c>
      <c r="C4776">
        <v>2</v>
      </c>
      <c r="D4776" t="s">
        <v>19</v>
      </c>
      <c r="E4776" t="s">
        <v>94</v>
      </c>
      <c r="F4776" t="s">
        <v>113</v>
      </c>
      <c r="G4776" t="s">
        <v>104</v>
      </c>
      <c r="H4776" t="s">
        <v>104</v>
      </c>
      <c r="J4776">
        <v>0</v>
      </c>
      <c r="K4776">
        <v>1</v>
      </c>
      <c r="L4776">
        <v>83.757575759999995</v>
      </c>
      <c r="M4776">
        <v>22.60997987</v>
      </c>
      <c r="N4776">
        <v>0.72884000000000004</v>
      </c>
      <c r="O4776">
        <v>0.21301339999999999</v>
      </c>
      <c r="P4776">
        <v>113.9375</v>
      </c>
      <c r="Q4776">
        <v>33.375507550000002</v>
      </c>
      <c r="R4776">
        <v>2.4262999999999999</v>
      </c>
      <c r="S4776">
        <v>0.40692159999999999</v>
      </c>
      <c r="T4776" t="s">
        <v>1040</v>
      </c>
      <c r="U4776">
        <v>-0.1939082</v>
      </c>
    </row>
    <row r="4777" spans="1:21" x14ac:dyDescent="0.25">
      <c r="A4777" t="s">
        <v>41</v>
      </c>
      <c r="B4777" t="s">
        <v>954</v>
      </c>
      <c r="C4777">
        <v>2</v>
      </c>
      <c r="D4777" t="s">
        <v>19</v>
      </c>
      <c r="E4777" t="s">
        <v>94</v>
      </c>
      <c r="F4777" t="s">
        <v>113</v>
      </c>
      <c r="G4777" t="s">
        <v>104</v>
      </c>
      <c r="H4777" t="s">
        <v>238</v>
      </c>
      <c r="J4777">
        <v>0</v>
      </c>
      <c r="K4777">
        <v>1</v>
      </c>
      <c r="L4777">
        <v>83.757575759999995</v>
      </c>
      <c r="M4777">
        <v>22.60997987</v>
      </c>
      <c r="N4777">
        <v>0.72884000000000004</v>
      </c>
      <c r="O4777">
        <v>0.21301339999999999</v>
      </c>
      <c r="P4777">
        <v>87.5</v>
      </c>
      <c r="Q4777">
        <v>29.478311600000001</v>
      </c>
      <c r="R4777">
        <v>3.0797751000000002E-2</v>
      </c>
      <c r="S4777">
        <v>0.12931835</v>
      </c>
      <c r="T4777" t="s">
        <v>1040</v>
      </c>
      <c r="U4777">
        <v>8.3695049999999993E-2</v>
      </c>
    </row>
    <row r="4778" spans="1:21" x14ac:dyDescent="0.25">
      <c r="A4778" t="s">
        <v>41</v>
      </c>
      <c r="B4778" t="s">
        <v>955</v>
      </c>
      <c r="C4778">
        <v>2</v>
      </c>
      <c r="D4778" t="s">
        <v>19</v>
      </c>
      <c r="E4778" t="s">
        <v>94</v>
      </c>
      <c r="F4778" t="s">
        <v>103</v>
      </c>
      <c r="G4778" t="s">
        <v>113</v>
      </c>
      <c r="H4778" t="s">
        <v>103</v>
      </c>
      <c r="J4778">
        <v>0</v>
      </c>
      <c r="K4778">
        <v>2</v>
      </c>
      <c r="L4778">
        <v>98.291666669999998</v>
      </c>
      <c r="M4778">
        <v>30.315130790000001</v>
      </c>
      <c r="N4778">
        <v>5.0803484000000003E-2</v>
      </c>
      <c r="O4778">
        <v>0.42866070000000001</v>
      </c>
      <c r="P4778">
        <v>98.291666669999998</v>
      </c>
      <c r="Q4778">
        <v>30.315130790000001</v>
      </c>
      <c r="R4778">
        <v>5.0803484000000003E-2</v>
      </c>
      <c r="S4778">
        <v>0.42866070000000001</v>
      </c>
      <c r="T4778" t="s">
        <v>1040</v>
      </c>
      <c r="U4778">
        <v>0</v>
      </c>
    </row>
    <row r="4779" spans="1:21" x14ac:dyDescent="0.25">
      <c r="A4779" t="s">
        <v>41</v>
      </c>
      <c r="B4779" t="s">
        <v>955</v>
      </c>
      <c r="C4779">
        <v>2</v>
      </c>
      <c r="D4779" t="s">
        <v>19</v>
      </c>
      <c r="E4779" t="s">
        <v>94</v>
      </c>
      <c r="F4779" t="s">
        <v>103</v>
      </c>
      <c r="G4779" t="s">
        <v>113</v>
      </c>
      <c r="H4779" t="s">
        <v>103</v>
      </c>
      <c r="J4779">
        <v>0</v>
      </c>
      <c r="K4779">
        <v>2</v>
      </c>
      <c r="L4779">
        <v>98.291666669999998</v>
      </c>
      <c r="M4779">
        <v>30.315130790000001</v>
      </c>
      <c r="N4779">
        <v>5.0803484000000003E-2</v>
      </c>
      <c r="O4779">
        <v>0.42866070000000001</v>
      </c>
      <c r="P4779">
        <v>98.291666669999998</v>
      </c>
      <c r="Q4779">
        <v>30.315130790000001</v>
      </c>
      <c r="R4779">
        <v>5.0803484000000003E-2</v>
      </c>
      <c r="S4779">
        <v>0.42866070000000001</v>
      </c>
      <c r="T4779" t="s">
        <v>1040</v>
      </c>
      <c r="U4779">
        <v>0</v>
      </c>
    </row>
    <row r="4780" spans="1:21" x14ac:dyDescent="0.25">
      <c r="A4780" t="s">
        <v>41</v>
      </c>
      <c r="B4780" t="s">
        <v>955</v>
      </c>
      <c r="C4780">
        <v>2</v>
      </c>
      <c r="D4780" t="s">
        <v>19</v>
      </c>
      <c r="E4780" t="s">
        <v>94</v>
      </c>
      <c r="F4780" t="s">
        <v>103</v>
      </c>
      <c r="G4780" t="s">
        <v>113</v>
      </c>
      <c r="H4780" t="s">
        <v>113</v>
      </c>
      <c r="J4780">
        <v>0</v>
      </c>
      <c r="K4780">
        <v>3</v>
      </c>
      <c r="L4780">
        <v>98.291666669999998</v>
      </c>
      <c r="M4780">
        <v>30.315130790000001</v>
      </c>
      <c r="N4780">
        <v>5.0803484000000003E-2</v>
      </c>
      <c r="O4780">
        <v>0.42866070000000001</v>
      </c>
      <c r="P4780">
        <v>83.757575759999995</v>
      </c>
      <c r="Q4780">
        <v>22.60997987</v>
      </c>
      <c r="R4780">
        <v>0.72884000000000004</v>
      </c>
      <c r="S4780">
        <v>0.21301339999999999</v>
      </c>
      <c r="T4780" t="s">
        <v>1040</v>
      </c>
      <c r="U4780">
        <v>0.21564730000000001</v>
      </c>
    </row>
    <row r="4781" spans="1:21" x14ac:dyDescent="0.25">
      <c r="A4781" t="s">
        <v>41</v>
      </c>
      <c r="B4781" t="s">
        <v>955</v>
      </c>
      <c r="C4781">
        <v>2</v>
      </c>
      <c r="D4781" t="s">
        <v>19</v>
      </c>
      <c r="E4781" t="s">
        <v>94</v>
      </c>
      <c r="F4781" t="s">
        <v>103</v>
      </c>
      <c r="G4781" t="s">
        <v>113</v>
      </c>
      <c r="H4781" t="s">
        <v>113</v>
      </c>
      <c r="J4781">
        <v>0</v>
      </c>
      <c r="K4781">
        <v>3</v>
      </c>
      <c r="L4781">
        <v>98.291666669999998</v>
      </c>
      <c r="M4781">
        <v>30.315130790000001</v>
      </c>
      <c r="N4781">
        <v>5.0803484000000003E-2</v>
      </c>
      <c r="O4781">
        <v>0.42866070000000001</v>
      </c>
      <c r="P4781">
        <v>83.757575759999995</v>
      </c>
      <c r="Q4781">
        <v>22.60997987</v>
      </c>
      <c r="R4781">
        <v>0.72884000000000004</v>
      </c>
      <c r="S4781">
        <v>0.21301339999999999</v>
      </c>
      <c r="T4781" t="s">
        <v>1040</v>
      </c>
      <c r="U4781">
        <v>0.21564730000000001</v>
      </c>
    </row>
    <row r="4782" spans="1:21" x14ac:dyDescent="0.25">
      <c r="A4782" t="s">
        <v>41</v>
      </c>
      <c r="B4782" t="s">
        <v>955</v>
      </c>
      <c r="C4782">
        <v>2</v>
      </c>
      <c r="D4782" t="s">
        <v>19</v>
      </c>
      <c r="E4782" t="s">
        <v>94</v>
      </c>
      <c r="F4782" t="s">
        <v>103</v>
      </c>
      <c r="G4782" t="s">
        <v>113</v>
      </c>
      <c r="H4782" t="s">
        <v>113</v>
      </c>
      <c r="J4782">
        <v>0</v>
      </c>
      <c r="K4782">
        <v>3</v>
      </c>
      <c r="L4782">
        <v>98.291666669999998</v>
      </c>
      <c r="M4782">
        <v>30.315130790000001</v>
      </c>
      <c r="N4782">
        <v>5.0803484000000003E-2</v>
      </c>
      <c r="O4782">
        <v>0.42866070000000001</v>
      </c>
      <c r="P4782">
        <v>83.757575759999995</v>
      </c>
      <c r="Q4782">
        <v>22.60997987</v>
      </c>
      <c r="R4782">
        <v>0.72884000000000004</v>
      </c>
      <c r="S4782">
        <v>0.21301339999999999</v>
      </c>
      <c r="T4782" t="s">
        <v>1040</v>
      </c>
      <c r="U4782">
        <v>0.21564730000000001</v>
      </c>
    </row>
    <row r="4783" spans="1:21" x14ac:dyDescent="0.25">
      <c r="A4783" t="s">
        <v>42</v>
      </c>
      <c r="B4783" t="s">
        <v>956</v>
      </c>
      <c r="C4783">
        <v>2</v>
      </c>
      <c r="D4783" t="s">
        <v>21</v>
      </c>
      <c r="E4783" t="s">
        <v>94</v>
      </c>
      <c r="F4783" t="s">
        <v>105</v>
      </c>
      <c r="G4783" t="s">
        <v>121</v>
      </c>
      <c r="H4783" t="s">
        <v>242</v>
      </c>
      <c r="J4783">
        <v>0</v>
      </c>
      <c r="K4783">
        <v>6</v>
      </c>
      <c r="L4783">
        <v>67.5</v>
      </c>
      <c r="M4783">
        <v>47.937235809999997</v>
      </c>
      <c r="N4783">
        <v>0.41599678000000001</v>
      </c>
      <c r="O4783">
        <v>2.0950346999999998</v>
      </c>
      <c r="P4783">
        <v>139.375</v>
      </c>
      <c r="Q4783">
        <v>23.713465920000001</v>
      </c>
      <c r="R4783" t="s">
        <v>114</v>
      </c>
      <c r="S4783" t="s">
        <v>114</v>
      </c>
      <c r="T4783" t="s">
        <v>1040</v>
      </c>
      <c r="U4783" t="s">
        <v>114</v>
      </c>
    </row>
    <row r="4784" spans="1:21" x14ac:dyDescent="0.25">
      <c r="A4784" t="s">
        <v>42</v>
      </c>
      <c r="B4784" t="s">
        <v>956</v>
      </c>
      <c r="C4784">
        <v>2</v>
      </c>
      <c r="D4784" t="s">
        <v>21</v>
      </c>
      <c r="E4784" t="s">
        <v>94</v>
      </c>
      <c r="F4784" t="s">
        <v>105</v>
      </c>
      <c r="G4784" t="s">
        <v>121</v>
      </c>
      <c r="H4784" t="s">
        <v>242</v>
      </c>
      <c r="J4784">
        <v>0</v>
      </c>
      <c r="K4784">
        <v>6</v>
      </c>
      <c r="L4784">
        <v>67.5</v>
      </c>
      <c r="M4784">
        <v>47.937235809999997</v>
      </c>
      <c r="N4784">
        <v>0.41599678000000001</v>
      </c>
      <c r="O4784">
        <v>2.0950346999999998</v>
      </c>
      <c r="P4784">
        <v>139.375</v>
      </c>
      <c r="Q4784">
        <v>23.713465920000001</v>
      </c>
      <c r="R4784" t="s">
        <v>114</v>
      </c>
      <c r="S4784" t="s">
        <v>114</v>
      </c>
      <c r="T4784" t="s">
        <v>1040</v>
      </c>
      <c r="U4784" t="s">
        <v>114</v>
      </c>
    </row>
    <row r="4785" spans="1:21" x14ac:dyDescent="0.25">
      <c r="A4785" t="s">
        <v>42</v>
      </c>
      <c r="B4785" t="s">
        <v>956</v>
      </c>
      <c r="C4785">
        <v>2</v>
      </c>
      <c r="D4785" t="s">
        <v>21</v>
      </c>
      <c r="E4785" t="s">
        <v>94</v>
      </c>
      <c r="F4785" t="s">
        <v>105</v>
      </c>
      <c r="G4785" t="s">
        <v>121</v>
      </c>
      <c r="H4785" t="s">
        <v>242</v>
      </c>
      <c r="J4785">
        <v>0</v>
      </c>
      <c r="K4785">
        <v>6</v>
      </c>
      <c r="L4785">
        <v>67.5</v>
      </c>
      <c r="M4785">
        <v>47.937235809999997</v>
      </c>
      <c r="N4785">
        <v>0.41599678000000001</v>
      </c>
      <c r="O4785">
        <v>2.0950346999999998</v>
      </c>
      <c r="P4785">
        <v>139.375</v>
      </c>
      <c r="Q4785">
        <v>23.713465920000001</v>
      </c>
      <c r="R4785" t="s">
        <v>114</v>
      </c>
      <c r="S4785" t="s">
        <v>114</v>
      </c>
      <c r="T4785" t="s">
        <v>1040</v>
      </c>
      <c r="U4785" t="s">
        <v>114</v>
      </c>
    </row>
    <row r="4786" spans="1:21" x14ac:dyDescent="0.25">
      <c r="A4786" t="s">
        <v>42</v>
      </c>
      <c r="B4786" t="s">
        <v>956</v>
      </c>
      <c r="C4786">
        <v>2</v>
      </c>
      <c r="D4786" t="s">
        <v>21</v>
      </c>
      <c r="E4786" t="s">
        <v>94</v>
      </c>
      <c r="F4786" t="s">
        <v>105</v>
      </c>
      <c r="G4786" t="s">
        <v>121</v>
      </c>
      <c r="H4786" t="s">
        <v>242</v>
      </c>
      <c r="J4786">
        <v>0</v>
      </c>
      <c r="K4786">
        <v>6</v>
      </c>
      <c r="L4786">
        <v>67.5</v>
      </c>
      <c r="M4786">
        <v>47.937235809999997</v>
      </c>
      <c r="N4786">
        <v>0.41599678000000001</v>
      </c>
      <c r="O4786">
        <v>2.0950346999999998</v>
      </c>
      <c r="P4786">
        <v>139.375</v>
      </c>
      <c r="Q4786">
        <v>23.713465920000001</v>
      </c>
      <c r="R4786" t="s">
        <v>114</v>
      </c>
      <c r="S4786" t="s">
        <v>114</v>
      </c>
      <c r="T4786" t="s">
        <v>1040</v>
      </c>
      <c r="U4786" t="s">
        <v>114</v>
      </c>
    </row>
    <row r="4787" spans="1:21" x14ac:dyDescent="0.25">
      <c r="A4787" t="s">
        <v>42</v>
      </c>
      <c r="B4787" t="s">
        <v>956</v>
      </c>
      <c r="C4787">
        <v>2</v>
      </c>
      <c r="D4787" t="s">
        <v>21</v>
      </c>
      <c r="E4787" t="s">
        <v>94</v>
      </c>
      <c r="F4787" t="s">
        <v>105</v>
      </c>
      <c r="G4787" t="s">
        <v>121</v>
      </c>
      <c r="H4787" t="s">
        <v>242</v>
      </c>
      <c r="J4787">
        <v>0</v>
      </c>
      <c r="K4787">
        <v>6</v>
      </c>
      <c r="L4787">
        <v>67.5</v>
      </c>
      <c r="M4787">
        <v>47.937235809999997</v>
      </c>
      <c r="N4787">
        <v>0.41599678000000001</v>
      </c>
      <c r="O4787">
        <v>2.0950346999999998</v>
      </c>
      <c r="P4787">
        <v>139.375</v>
      </c>
      <c r="Q4787">
        <v>23.713465920000001</v>
      </c>
      <c r="R4787" t="s">
        <v>114</v>
      </c>
      <c r="S4787" t="s">
        <v>114</v>
      </c>
      <c r="T4787" t="s">
        <v>1040</v>
      </c>
      <c r="U4787" t="s">
        <v>114</v>
      </c>
    </row>
    <row r="4788" spans="1:21" x14ac:dyDescent="0.25">
      <c r="A4788" t="s">
        <v>42</v>
      </c>
      <c r="B4788" t="s">
        <v>956</v>
      </c>
      <c r="C4788">
        <v>2</v>
      </c>
      <c r="D4788" t="s">
        <v>21</v>
      </c>
      <c r="E4788" t="s">
        <v>94</v>
      </c>
      <c r="F4788" t="s">
        <v>105</v>
      </c>
      <c r="G4788" t="s">
        <v>121</v>
      </c>
      <c r="H4788" t="s">
        <v>242</v>
      </c>
      <c r="J4788">
        <v>0</v>
      </c>
      <c r="K4788">
        <v>6</v>
      </c>
      <c r="L4788">
        <v>67.5</v>
      </c>
      <c r="M4788">
        <v>47.937235809999997</v>
      </c>
      <c r="N4788">
        <v>0.41599678000000001</v>
      </c>
      <c r="O4788">
        <v>2.0950346999999998</v>
      </c>
      <c r="P4788">
        <v>139.375</v>
      </c>
      <c r="Q4788">
        <v>23.713465920000001</v>
      </c>
      <c r="R4788" t="s">
        <v>114</v>
      </c>
      <c r="S4788" t="s">
        <v>114</v>
      </c>
      <c r="T4788" t="s">
        <v>1040</v>
      </c>
      <c r="U4788" t="s">
        <v>114</v>
      </c>
    </row>
    <row r="4789" spans="1:21" x14ac:dyDescent="0.25">
      <c r="A4789" t="s">
        <v>42</v>
      </c>
      <c r="B4789" t="s">
        <v>957</v>
      </c>
      <c r="C4789">
        <v>2</v>
      </c>
      <c r="D4789" t="s">
        <v>21</v>
      </c>
      <c r="E4789" t="s">
        <v>94</v>
      </c>
      <c r="F4789" t="s">
        <v>110</v>
      </c>
      <c r="G4789" t="s">
        <v>113</v>
      </c>
      <c r="H4789" t="s">
        <v>104</v>
      </c>
      <c r="J4789">
        <v>0</v>
      </c>
      <c r="K4789">
        <v>2</v>
      </c>
      <c r="L4789">
        <v>73.260869569999997</v>
      </c>
      <c r="M4789">
        <v>34.453830549999999</v>
      </c>
      <c r="N4789">
        <v>1.058333333</v>
      </c>
      <c r="O4789">
        <v>0.90897070000000002</v>
      </c>
      <c r="P4789">
        <v>113.9375</v>
      </c>
      <c r="Q4789">
        <v>33.375507550000002</v>
      </c>
      <c r="R4789">
        <v>2.4262999999999999</v>
      </c>
      <c r="S4789">
        <v>0.40692159999999999</v>
      </c>
      <c r="T4789" t="s">
        <v>1040</v>
      </c>
      <c r="U4789">
        <v>0.50204910000000003</v>
      </c>
    </row>
    <row r="4790" spans="1:21" x14ac:dyDescent="0.25">
      <c r="A4790" t="s">
        <v>42</v>
      </c>
      <c r="B4790" t="s">
        <v>957</v>
      </c>
      <c r="C4790">
        <v>2</v>
      </c>
      <c r="D4790" t="s">
        <v>21</v>
      </c>
      <c r="E4790" t="s">
        <v>94</v>
      </c>
      <c r="F4790" t="s">
        <v>110</v>
      </c>
      <c r="G4790" t="s">
        <v>113</v>
      </c>
      <c r="H4790" t="s">
        <v>104</v>
      </c>
      <c r="J4790">
        <v>0</v>
      </c>
      <c r="K4790">
        <v>2</v>
      </c>
      <c r="L4790">
        <v>73.260869569999997</v>
      </c>
      <c r="M4790">
        <v>34.453830549999999</v>
      </c>
      <c r="N4790">
        <v>1.058333333</v>
      </c>
      <c r="O4790">
        <v>0.90897070000000002</v>
      </c>
      <c r="P4790">
        <v>113.9375</v>
      </c>
      <c r="Q4790">
        <v>33.375507550000002</v>
      </c>
      <c r="R4790">
        <v>2.4262999999999999</v>
      </c>
      <c r="S4790">
        <v>0.40692159999999999</v>
      </c>
      <c r="T4790" t="s">
        <v>1040</v>
      </c>
      <c r="U4790">
        <v>0.50204910000000003</v>
      </c>
    </row>
    <row r="4791" spans="1:21" x14ac:dyDescent="0.25">
      <c r="A4791" t="s">
        <v>42</v>
      </c>
      <c r="B4791" t="s">
        <v>957</v>
      </c>
      <c r="C4791">
        <v>2</v>
      </c>
      <c r="D4791" t="s">
        <v>21</v>
      </c>
      <c r="E4791" t="s">
        <v>94</v>
      </c>
      <c r="F4791" t="s">
        <v>110</v>
      </c>
      <c r="G4791" t="s">
        <v>113</v>
      </c>
      <c r="H4791" t="s">
        <v>242</v>
      </c>
      <c r="J4791">
        <v>0</v>
      </c>
      <c r="K4791">
        <v>5</v>
      </c>
      <c r="L4791">
        <v>73.260869569999997</v>
      </c>
      <c r="M4791">
        <v>34.453830549999999</v>
      </c>
      <c r="N4791">
        <v>1.058333333</v>
      </c>
      <c r="O4791">
        <v>0.90897070000000002</v>
      </c>
      <c r="P4791">
        <v>139.375</v>
      </c>
      <c r="Q4791">
        <v>23.713465920000001</v>
      </c>
      <c r="R4791" t="s">
        <v>114</v>
      </c>
      <c r="S4791" t="s">
        <v>114</v>
      </c>
      <c r="T4791" t="s">
        <v>1040</v>
      </c>
      <c r="U4791" t="s">
        <v>114</v>
      </c>
    </row>
    <row r="4792" spans="1:21" x14ac:dyDescent="0.25">
      <c r="A4792" t="s">
        <v>42</v>
      </c>
      <c r="B4792" t="s">
        <v>957</v>
      </c>
      <c r="C4792">
        <v>2</v>
      </c>
      <c r="D4792" t="s">
        <v>21</v>
      </c>
      <c r="E4792" t="s">
        <v>94</v>
      </c>
      <c r="F4792" t="s">
        <v>110</v>
      </c>
      <c r="G4792" t="s">
        <v>113</v>
      </c>
      <c r="H4792" t="s">
        <v>242</v>
      </c>
      <c r="J4792">
        <v>0</v>
      </c>
      <c r="K4792">
        <v>5</v>
      </c>
      <c r="L4792">
        <v>73.260869569999997</v>
      </c>
      <c r="M4792">
        <v>34.453830549999999</v>
      </c>
      <c r="N4792">
        <v>1.058333333</v>
      </c>
      <c r="O4792">
        <v>0.90897070000000002</v>
      </c>
      <c r="P4792">
        <v>139.375</v>
      </c>
      <c r="Q4792">
        <v>23.713465920000001</v>
      </c>
      <c r="R4792" t="s">
        <v>114</v>
      </c>
      <c r="S4792" t="s">
        <v>114</v>
      </c>
      <c r="T4792" t="s">
        <v>1040</v>
      </c>
      <c r="U4792" t="s">
        <v>114</v>
      </c>
    </row>
    <row r="4793" spans="1:21" x14ac:dyDescent="0.25">
      <c r="A4793" t="s">
        <v>42</v>
      </c>
      <c r="B4793" t="s">
        <v>957</v>
      </c>
      <c r="C4793">
        <v>2</v>
      </c>
      <c r="D4793" t="s">
        <v>21</v>
      </c>
      <c r="E4793" t="s">
        <v>94</v>
      </c>
      <c r="F4793" t="s">
        <v>110</v>
      </c>
      <c r="G4793" t="s">
        <v>113</v>
      </c>
      <c r="H4793" t="s">
        <v>242</v>
      </c>
      <c r="J4793">
        <v>0</v>
      </c>
      <c r="K4793">
        <v>5</v>
      </c>
      <c r="L4793">
        <v>73.260869569999997</v>
      </c>
      <c r="M4793">
        <v>34.453830549999999</v>
      </c>
      <c r="N4793">
        <v>1.058333333</v>
      </c>
      <c r="O4793">
        <v>0.90897070000000002</v>
      </c>
      <c r="P4793">
        <v>139.375</v>
      </c>
      <c r="Q4793">
        <v>23.713465920000001</v>
      </c>
      <c r="R4793" t="s">
        <v>114</v>
      </c>
      <c r="S4793" t="s">
        <v>114</v>
      </c>
      <c r="T4793" t="s">
        <v>1040</v>
      </c>
      <c r="U4793" t="s">
        <v>114</v>
      </c>
    </row>
    <row r="4794" spans="1:21" x14ac:dyDescent="0.25">
      <c r="A4794" t="s">
        <v>42</v>
      </c>
      <c r="B4794" t="s">
        <v>957</v>
      </c>
      <c r="C4794">
        <v>2</v>
      </c>
      <c r="D4794" t="s">
        <v>21</v>
      </c>
      <c r="E4794" t="s">
        <v>94</v>
      </c>
      <c r="F4794" t="s">
        <v>110</v>
      </c>
      <c r="G4794" t="s">
        <v>113</v>
      </c>
      <c r="H4794" t="s">
        <v>242</v>
      </c>
      <c r="J4794">
        <v>0</v>
      </c>
      <c r="K4794">
        <v>5</v>
      </c>
      <c r="L4794">
        <v>73.260869569999997</v>
      </c>
      <c r="M4794">
        <v>34.453830549999999</v>
      </c>
      <c r="N4794">
        <v>1.058333333</v>
      </c>
      <c r="O4794">
        <v>0.90897070000000002</v>
      </c>
      <c r="P4794">
        <v>139.375</v>
      </c>
      <c r="Q4794">
        <v>23.713465920000001</v>
      </c>
      <c r="R4794" t="s">
        <v>114</v>
      </c>
      <c r="S4794" t="s">
        <v>114</v>
      </c>
      <c r="T4794" t="s">
        <v>1040</v>
      </c>
      <c r="U4794" t="s">
        <v>114</v>
      </c>
    </row>
    <row r="4795" spans="1:21" x14ac:dyDescent="0.25">
      <c r="A4795" t="s">
        <v>42</v>
      </c>
      <c r="B4795" t="s">
        <v>957</v>
      </c>
      <c r="C4795">
        <v>2</v>
      </c>
      <c r="D4795" t="s">
        <v>21</v>
      </c>
      <c r="E4795" t="s">
        <v>94</v>
      </c>
      <c r="F4795" t="s">
        <v>110</v>
      </c>
      <c r="G4795" t="s">
        <v>113</v>
      </c>
      <c r="H4795" t="s">
        <v>242</v>
      </c>
      <c r="J4795">
        <v>0</v>
      </c>
      <c r="K4795">
        <v>5</v>
      </c>
      <c r="L4795">
        <v>73.260869569999997</v>
      </c>
      <c r="M4795">
        <v>34.453830549999999</v>
      </c>
      <c r="N4795">
        <v>1.058333333</v>
      </c>
      <c r="O4795">
        <v>0.90897070000000002</v>
      </c>
      <c r="P4795">
        <v>139.375</v>
      </c>
      <c r="Q4795">
        <v>23.713465920000001</v>
      </c>
      <c r="R4795" t="s">
        <v>114</v>
      </c>
      <c r="S4795" t="s">
        <v>114</v>
      </c>
      <c r="T4795" t="s">
        <v>1040</v>
      </c>
      <c r="U4795" t="s">
        <v>114</v>
      </c>
    </row>
    <row r="4796" spans="1:21" x14ac:dyDescent="0.25">
      <c r="A4796" t="s">
        <v>42</v>
      </c>
      <c r="B4796" t="s">
        <v>957</v>
      </c>
      <c r="C4796">
        <v>2</v>
      </c>
      <c r="D4796" t="s">
        <v>21</v>
      </c>
      <c r="E4796" t="s">
        <v>94</v>
      </c>
      <c r="F4796" t="s">
        <v>110</v>
      </c>
      <c r="G4796" t="s">
        <v>113</v>
      </c>
      <c r="H4796" t="s">
        <v>113</v>
      </c>
      <c r="J4796">
        <v>0</v>
      </c>
      <c r="K4796">
        <v>2</v>
      </c>
      <c r="L4796">
        <v>73.260869569999997</v>
      </c>
      <c r="M4796">
        <v>34.453830549999999</v>
      </c>
      <c r="N4796">
        <v>1.058333333</v>
      </c>
      <c r="O4796">
        <v>0.90897070000000002</v>
      </c>
      <c r="P4796">
        <v>83.757575759999995</v>
      </c>
      <c r="Q4796">
        <v>22.60997987</v>
      </c>
      <c r="R4796">
        <v>0.72884000000000004</v>
      </c>
      <c r="S4796">
        <v>0.21301339999999999</v>
      </c>
      <c r="T4796" t="s">
        <v>1040</v>
      </c>
      <c r="U4796">
        <v>0.6959573</v>
      </c>
    </row>
    <row r="4797" spans="1:21" x14ac:dyDescent="0.25">
      <c r="A4797" t="s">
        <v>42</v>
      </c>
      <c r="B4797" t="s">
        <v>957</v>
      </c>
      <c r="C4797">
        <v>2</v>
      </c>
      <c r="D4797" t="s">
        <v>21</v>
      </c>
      <c r="E4797" t="s">
        <v>94</v>
      </c>
      <c r="F4797" t="s">
        <v>110</v>
      </c>
      <c r="G4797" t="s">
        <v>113</v>
      </c>
      <c r="H4797" t="s">
        <v>113</v>
      </c>
      <c r="J4797">
        <v>0</v>
      </c>
      <c r="K4797">
        <v>2</v>
      </c>
      <c r="L4797">
        <v>73.260869569999997</v>
      </c>
      <c r="M4797">
        <v>34.453830549999999</v>
      </c>
      <c r="N4797">
        <v>1.058333333</v>
      </c>
      <c r="O4797">
        <v>0.90897070000000002</v>
      </c>
      <c r="P4797">
        <v>83.757575759999995</v>
      </c>
      <c r="Q4797">
        <v>22.60997987</v>
      </c>
      <c r="R4797">
        <v>0.72884000000000004</v>
      </c>
      <c r="S4797">
        <v>0.21301339999999999</v>
      </c>
      <c r="T4797" t="s">
        <v>1040</v>
      </c>
      <c r="U4797">
        <v>0.6959573</v>
      </c>
    </row>
    <row r="4798" spans="1:21" x14ac:dyDescent="0.25">
      <c r="A4798" t="s">
        <v>42</v>
      </c>
      <c r="B4798" t="s">
        <v>958</v>
      </c>
      <c r="C4798">
        <v>2</v>
      </c>
      <c r="D4798" t="s">
        <v>21</v>
      </c>
      <c r="E4798" t="s">
        <v>94</v>
      </c>
      <c r="F4798" t="s">
        <v>111</v>
      </c>
      <c r="G4798" t="s">
        <v>110</v>
      </c>
      <c r="H4798" t="s">
        <v>113</v>
      </c>
      <c r="J4798">
        <v>0</v>
      </c>
      <c r="K4798">
        <v>1</v>
      </c>
      <c r="L4798">
        <v>94.97142857</v>
      </c>
      <c r="M4798">
        <v>24.31591813</v>
      </c>
      <c r="N4798">
        <v>0.122951111</v>
      </c>
      <c r="O4798">
        <v>0.39050790000000002</v>
      </c>
      <c r="P4798">
        <v>83.757575759999995</v>
      </c>
      <c r="Q4798">
        <v>22.60997987</v>
      </c>
      <c r="R4798">
        <v>0.72884000000000004</v>
      </c>
      <c r="S4798">
        <v>0.21301339999999999</v>
      </c>
      <c r="T4798" t="s">
        <v>1040</v>
      </c>
      <c r="U4798">
        <v>0.17749450000000003</v>
      </c>
    </row>
    <row r="4799" spans="1:21" x14ac:dyDescent="0.25">
      <c r="A4799" t="s">
        <v>42</v>
      </c>
      <c r="B4799" t="s">
        <v>958</v>
      </c>
      <c r="C4799">
        <v>2</v>
      </c>
      <c r="D4799" t="s">
        <v>21</v>
      </c>
      <c r="E4799" t="s">
        <v>94</v>
      </c>
      <c r="F4799" t="s">
        <v>111</v>
      </c>
      <c r="G4799" t="s">
        <v>110</v>
      </c>
      <c r="H4799" t="s">
        <v>110</v>
      </c>
      <c r="J4799">
        <v>0</v>
      </c>
      <c r="K4799">
        <v>1</v>
      </c>
      <c r="L4799">
        <v>94.97142857</v>
      </c>
      <c r="M4799">
        <v>24.31591813</v>
      </c>
      <c r="N4799">
        <v>0.122951111</v>
      </c>
      <c r="O4799">
        <v>0.39050790000000002</v>
      </c>
      <c r="P4799">
        <v>73.260869569999997</v>
      </c>
      <c r="Q4799">
        <v>34.453830549999999</v>
      </c>
      <c r="R4799">
        <v>1.058333333</v>
      </c>
      <c r="S4799">
        <v>0.90897070000000002</v>
      </c>
      <c r="T4799" t="s">
        <v>1040</v>
      </c>
      <c r="U4799">
        <v>-0.5184628</v>
      </c>
    </row>
    <row r="4800" spans="1:21" x14ac:dyDescent="0.25">
      <c r="A4800" t="s">
        <v>42</v>
      </c>
      <c r="B4800" t="s">
        <v>959</v>
      </c>
      <c r="C4800">
        <v>2</v>
      </c>
      <c r="D4800" t="s">
        <v>21</v>
      </c>
      <c r="E4800" t="s">
        <v>94</v>
      </c>
      <c r="F4800" t="s">
        <v>104</v>
      </c>
      <c r="G4800" t="s">
        <v>121</v>
      </c>
      <c r="H4800" t="s">
        <v>110</v>
      </c>
      <c r="J4800">
        <v>1</v>
      </c>
      <c r="K4800">
        <v>2</v>
      </c>
      <c r="L4800">
        <v>113.9375</v>
      </c>
      <c r="M4800">
        <v>33.375507550000002</v>
      </c>
      <c r="N4800">
        <v>2.4262999999999999</v>
      </c>
      <c r="O4800">
        <v>0.40692159999999999</v>
      </c>
      <c r="P4800">
        <v>73.260869569999997</v>
      </c>
      <c r="Q4800">
        <v>34.453830549999999</v>
      </c>
      <c r="R4800">
        <v>1.058333333</v>
      </c>
      <c r="S4800">
        <v>0.90897070000000002</v>
      </c>
      <c r="T4800" t="s">
        <v>1040</v>
      </c>
      <c r="U4800">
        <v>-0.50204910000000003</v>
      </c>
    </row>
    <row r="4801" spans="1:21" x14ac:dyDescent="0.25">
      <c r="A4801" t="s">
        <v>42</v>
      </c>
      <c r="B4801" t="s">
        <v>959</v>
      </c>
      <c r="C4801">
        <v>2</v>
      </c>
      <c r="D4801" t="s">
        <v>21</v>
      </c>
      <c r="E4801" t="s">
        <v>94</v>
      </c>
      <c r="F4801" t="s">
        <v>104</v>
      </c>
      <c r="G4801" t="s">
        <v>121</v>
      </c>
      <c r="H4801" t="s">
        <v>110</v>
      </c>
      <c r="J4801">
        <v>1</v>
      </c>
      <c r="K4801">
        <v>2</v>
      </c>
      <c r="L4801">
        <v>113.9375</v>
      </c>
      <c r="M4801">
        <v>33.375507550000002</v>
      </c>
      <c r="N4801">
        <v>2.4262999999999999</v>
      </c>
      <c r="O4801">
        <v>0.40692159999999999</v>
      </c>
      <c r="P4801">
        <v>73.260869569999997</v>
      </c>
      <c r="Q4801">
        <v>34.453830549999999</v>
      </c>
      <c r="R4801">
        <v>1.058333333</v>
      </c>
      <c r="S4801">
        <v>0.90897070000000002</v>
      </c>
      <c r="T4801" t="s">
        <v>1040</v>
      </c>
      <c r="U4801">
        <v>-0.50204910000000003</v>
      </c>
    </row>
    <row r="4802" spans="1:21" x14ac:dyDescent="0.25">
      <c r="A4802" t="s">
        <v>42</v>
      </c>
      <c r="B4802" t="s">
        <v>959</v>
      </c>
      <c r="C4802">
        <v>2</v>
      </c>
      <c r="D4802" t="s">
        <v>21</v>
      </c>
      <c r="E4802" t="s">
        <v>94</v>
      </c>
      <c r="F4802" t="s">
        <v>104</v>
      </c>
      <c r="G4802" t="s">
        <v>121</v>
      </c>
      <c r="H4802" t="s">
        <v>240</v>
      </c>
      <c r="J4802">
        <v>1</v>
      </c>
      <c r="K4802">
        <v>2</v>
      </c>
      <c r="L4802">
        <v>113.9375</v>
      </c>
      <c r="M4802">
        <v>33.375507550000002</v>
      </c>
      <c r="N4802">
        <v>2.4262999999999999</v>
      </c>
      <c r="O4802">
        <v>0.40692159999999999</v>
      </c>
      <c r="P4802">
        <v>104.83333330000001</v>
      </c>
      <c r="Q4802">
        <v>43.798647680000002</v>
      </c>
      <c r="R4802">
        <v>7.7741939999999999E-3</v>
      </c>
      <c r="S4802" t="s">
        <v>114</v>
      </c>
      <c r="T4802" t="s">
        <v>1040</v>
      </c>
      <c r="U4802" t="s">
        <v>114</v>
      </c>
    </row>
    <row r="4803" spans="1:21" x14ac:dyDescent="0.25">
      <c r="A4803" t="s">
        <v>42</v>
      </c>
      <c r="B4803" t="s">
        <v>959</v>
      </c>
      <c r="C4803">
        <v>2</v>
      </c>
      <c r="D4803" t="s">
        <v>21</v>
      </c>
      <c r="E4803" t="s">
        <v>94</v>
      </c>
      <c r="F4803" t="s">
        <v>104</v>
      </c>
      <c r="G4803" t="s">
        <v>121</v>
      </c>
      <c r="H4803" t="s">
        <v>240</v>
      </c>
      <c r="J4803">
        <v>1</v>
      </c>
      <c r="K4803">
        <v>2</v>
      </c>
      <c r="L4803">
        <v>113.9375</v>
      </c>
      <c r="M4803">
        <v>33.375507550000002</v>
      </c>
      <c r="N4803">
        <v>2.4262999999999999</v>
      </c>
      <c r="O4803">
        <v>0.40692159999999999</v>
      </c>
      <c r="P4803">
        <v>104.83333330000001</v>
      </c>
      <c r="Q4803">
        <v>43.798647680000002</v>
      </c>
      <c r="R4803">
        <v>7.7741939999999999E-3</v>
      </c>
      <c r="S4803" t="s">
        <v>114</v>
      </c>
      <c r="T4803" t="s">
        <v>1040</v>
      </c>
      <c r="U4803" t="s">
        <v>114</v>
      </c>
    </row>
    <row r="4804" spans="1:21" x14ac:dyDescent="0.25">
      <c r="A4804" t="s">
        <v>42</v>
      </c>
      <c r="B4804" t="s">
        <v>959</v>
      </c>
      <c r="C4804">
        <v>2</v>
      </c>
      <c r="D4804" t="s">
        <v>21</v>
      </c>
      <c r="E4804" t="s">
        <v>94</v>
      </c>
      <c r="F4804" t="s">
        <v>104</v>
      </c>
      <c r="G4804" t="s">
        <v>121</v>
      </c>
      <c r="H4804" t="s">
        <v>241</v>
      </c>
      <c r="J4804">
        <v>1</v>
      </c>
      <c r="K4804">
        <v>1</v>
      </c>
      <c r="L4804">
        <v>113.9375</v>
      </c>
      <c r="M4804">
        <v>33.375507550000002</v>
      </c>
      <c r="N4804">
        <v>2.4262999999999999</v>
      </c>
      <c r="O4804">
        <v>0.40692159999999999</v>
      </c>
      <c r="P4804">
        <v>114</v>
      </c>
      <c r="Q4804">
        <v>30.43077242</v>
      </c>
      <c r="R4804">
        <v>0.53383111100000002</v>
      </c>
      <c r="S4804">
        <v>0.28333332999999999</v>
      </c>
      <c r="T4804" t="s">
        <v>1040</v>
      </c>
      <c r="U4804">
        <v>0.12358827</v>
      </c>
    </row>
    <row r="4805" spans="1:21" x14ac:dyDescent="0.25">
      <c r="A4805" t="s">
        <v>43</v>
      </c>
      <c r="B4805" t="s">
        <v>960</v>
      </c>
      <c r="C4805">
        <v>2</v>
      </c>
      <c r="D4805" t="s">
        <v>23</v>
      </c>
      <c r="E4805" t="s">
        <v>94</v>
      </c>
      <c r="F4805" t="s">
        <v>105</v>
      </c>
      <c r="G4805" t="s">
        <v>104</v>
      </c>
      <c r="H4805" t="s">
        <v>104</v>
      </c>
      <c r="J4805">
        <v>0</v>
      </c>
      <c r="K4805">
        <v>1</v>
      </c>
      <c r="L4805">
        <v>67.5</v>
      </c>
      <c r="M4805">
        <v>47.937235809999997</v>
      </c>
      <c r="N4805">
        <v>0.41599678000000001</v>
      </c>
      <c r="O4805">
        <v>2.0950346999999998</v>
      </c>
      <c r="P4805">
        <v>113.9375</v>
      </c>
      <c r="Q4805">
        <v>33.375507550000002</v>
      </c>
      <c r="R4805">
        <v>2.4262999999999999</v>
      </c>
      <c r="S4805">
        <v>0.40692159999999999</v>
      </c>
      <c r="T4805" t="s">
        <v>1040</v>
      </c>
      <c r="U4805">
        <v>1.6881130999999998</v>
      </c>
    </row>
    <row r="4806" spans="1:21" x14ac:dyDescent="0.25">
      <c r="A4806" t="s">
        <v>43</v>
      </c>
      <c r="B4806" t="s">
        <v>961</v>
      </c>
      <c r="C4806">
        <v>2</v>
      </c>
      <c r="D4806" t="s">
        <v>23</v>
      </c>
      <c r="E4806" t="s">
        <v>94</v>
      </c>
      <c r="F4806" t="s">
        <v>110</v>
      </c>
      <c r="G4806" t="s">
        <v>110</v>
      </c>
      <c r="H4806" t="s">
        <v>110</v>
      </c>
      <c r="J4806">
        <v>0</v>
      </c>
      <c r="K4806">
        <v>1</v>
      </c>
      <c r="L4806">
        <v>73.260869569999997</v>
      </c>
      <c r="M4806">
        <v>34.453830549999999</v>
      </c>
      <c r="N4806">
        <v>1.058333333</v>
      </c>
      <c r="O4806">
        <v>0.90897070000000002</v>
      </c>
      <c r="P4806">
        <v>73.260869569999997</v>
      </c>
      <c r="Q4806">
        <v>34.453830549999999</v>
      </c>
      <c r="R4806">
        <v>1.058333333</v>
      </c>
      <c r="S4806">
        <v>0.90897070000000002</v>
      </c>
      <c r="T4806" t="s">
        <v>1040</v>
      </c>
      <c r="U4806">
        <v>0</v>
      </c>
    </row>
    <row r="4807" spans="1:21" x14ac:dyDescent="0.25">
      <c r="A4807" t="s">
        <v>43</v>
      </c>
      <c r="B4807" t="s">
        <v>962</v>
      </c>
      <c r="C4807">
        <v>2</v>
      </c>
      <c r="D4807" t="s">
        <v>23</v>
      </c>
      <c r="E4807" t="s">
        <v>94</v>
      </c>
      <c r="F4807" t="s">
        <v>111</v>
      </c>
      <c r="G4807" t="s">
        <v>121</v>
      </c>
      <c r="H4807" t="s">
        <v>114</v>
      </c>
      <c r="J4807">
        <v>0</v>
      </c>
      <c r="K4807" t="s">
        <v>114</v>
      </c>
      <c r="L4807">
        <v>94.97142857</v>
      </c>
      <c r="M4807">
        <v>24.31591813</v>
      </c>
      <c r="N4807">
        <v>0.122951111</v>
      </c>
      <c r="O4807">
        <v>0.39050790000000002</v>
      </c>
      <c r="P4807" t="s">
        <v>114</v>
      </c>
      <c r="Q4807" t="s">
        <v>114</v>
      </c>
      <c r="R4807" t="s">
        <v>114</v>
      </c>
      <c r="S4807" t="s">
        <v>114</v>
      </c>
      <c r="T4807" t="s">
        <v>1040</v>
      </c>
      <c r="U4807" t="s">
        <v>114</v>
      </c>
    </row>
    <row r="4808" spans="1:21" x14ac:dyDescent="0.25">
      <c r="A4808" t="s">
        <v>43</v>
      </c>
      <c r="B4808" t="s">
        <v>963</v>
      </c>
      <c r="C4808">
        <v>2</v>
      </c>
      <c r="D4808" t="s">
        <v>23</v>
      </c>
      <c r="E4808" t="s">
        <v>94</v>
      </c>
      <c r="F4808" t="s">
        <v>104</v>
      </c>
      <c r="G4808" t="s">
        <v>104</v>
      </c>
      <c r="H4808" t="s">
        <v>104</v>
      </c>
      <c r="J4808">
        <v>0</v>
      </c>
      <c r="K4808">
        <v>1</v>
      </c>
      <c r="L4808">
        <v>113.9375</v>
      </c>
      <c r="M4808">
        <v>33.375507550000002</v>
      </c>
      <c r="N4808">
        <v>2.4262999999999999</v>
      </c>
      <c r="O4808">
        <v>0.40692159999999999</v>
      </c>
      <c r="P4808">
        <v>113.9375</v>
      </c>
      <c r="Q4808">
        <v>33.375507550000002</v>
      </c>
      <c r="R4808">
        <v>2.4262999999999999</v>
      </c>
      <c r="S4808">
        <v>0.40692159999999999</v>
      </c>
      <c r="T4808" t="s">
        <v>1040</v>
      </c>
      <c r="U4808">
        <v>0</v>
      </c>
    </row>
    <row r="4809" spans="1:21" x14ac:dyDescent="0.25">
      <c r="A4809" t="s">
        <v>43</v>
      </c>
      <c r="B4809" t="s">
        <v>963</v>
      </c>
      <c r="C4809">
        <v>2</v>
      </c>
      <c r="D4809" t="s">
        <v>23</v>
      </c>
      <c r="E4809" t="s">
        <v>94</v>
      </c>
      <c r="F4809" t="s">
        <v>104</v>
      </c>
      <c r="G4809" t="s">
        <v>104</v>
      </c>
      <c r="H4809" t="s">
        <v>808</v>
      </c>
      <c r="J4809">
        <v>0</v>
      </c>
      <c r="K4809">
        <v>1</v>
      </c>
      <c r="L4809">
        <v>113.9375</v>
      </c>
      <c r="M4809">
        <v>33.375507550000002</v>
      </c>
      <c r="N4809">
        <v>2.4262999999999999</v>
      </c>
      <c r="O4809">
        <v>0.40692159999999999</v>
      </c>
      <c r="P4809">
        <v>102.79166669999999</v>
      </c>
      <c r="Q4809">
        <v>27.057373470000002</v>
      </c>
      <c r="R4809">
        <v>6.3567849939999999</v>
      </c>
      <c r="S4809" t="s">
        <v>114</v>
      </c>
      <c r="T4809" t="s">
        <v>1040</v>
      </c>
      <c r="U4809" t="s">
        <v>114</v>
      </c>
    </row>
    <row r="4810" spans="1:21" x14ac:dyDescent="0.25">
      <c r="A4810" t="s">
        <v>44</v>
      </c>
      <c r="B4810" t="s">
        <v>964</v>
      </c>
      <c r="C4810">
        <v>2</v>
      </c>
      <c r="D4810" t="s">
        <v>25</v>
      </c>
      <c r="E4810" t="s">
        <v>95</v>
      </c>
      <c r="F4810" t="s">
        <v>102</v>
      </c>
      <c r="G4810" t="s">
        <v>102</v>
      </c>
      <c r="H4810" t="s">
        <v>102</v>
      </c>
      <c r="J4810">
        <v>0</v>
      </c>
      <c r="K4810">
        <v>1</v>
      </c>
      <c r="L4810">
        <v>84.740740740000007</v>
      </c>
      <c r="M4810">
        <v>29.167014049999999</v>
      </c>
      <c r="N4810">
        <v>1.1169849999999999</v>
      </c>
      <c r="O4810">
        <v>1.1571499000000001</v>
      </c>
      <c r="P4810">
        <v>84.740740740000007</v>
      </c>
      <c r="Q4810">
        <v>29.167014049999999</v>
      </c>
      <c r="R4810">
        <v>1.1169849999999999</v>
      </c>
      <c r="S4810">
        <v>1.1571499000000001</v>
      </c>
      <c r="T4810" t="s">
        <v>1040</v>
      </c>
      <c r="U4810">
        <v>0</v>
      </c>
    </row>
    <row r="4811" spans="1:21" x14ac:dyDescent="0.25">
      <c r="A4811" t="s">
        <v>44</v>
      </c>
      <c r="B4811" t="s">
        <v>965</v>
      </c>
      <c r="C4811">
        <v>2</v>
      </c>
      <c r="D4811" t="s">
        <v>25</v>
      </c>
      <c r="E4811" t="s">
        <v>95</v>
      </c>
      <c r="F4811" t="s">
        <v>110</v>
      </c>
      <c r="G4811" t="s">
        <v>121</v>
      </c>
      <c r="H4811" t="s">
        <v>114</v>
      </c>
      <c r="I4811" t="s">
        <v>162</v>
      </c>
      <c r="J4811">
        <v>1</v>
      </c>
      <c r="K4811">
        <v>0</v>
      </c>
      <c r="L4811">
        <v>73.260869569999997</v>
      </c>
      <c r="M4811">
        <v>34.453830549999999</v>
      </c>
      <c r="N4811">
        <v>1.058333333</v>
      </c>
      <c r="O4811">
        <v>0.90897070000000002</v>
      </c>
      <c r="P4811" t="s">
        <v>114</v>
      </c>
      <c r="Q4811" t="s">
        <v>114</v>
      </c>
      <c r="R4811" t="s">
        <v>114</v>
      </c>
      <c r="S4811" t="s">
        <v>114</v>
      </c>
      <c r="T4811" t="s">
        <v>1040</v>
      </c>
      <c r="U4811" t="s">
        <v>114</v>
      </c>
    </row>
    <row r="4812" spans="1:21" x14ac:dyDescent="0.25">
      <c r="A4812" t="s">
        <v>44</v>
      </c>
      <c r="B4812" t="s">
        <v>966</v>
      </c>
      <c r="C4812">
        <v>2</v>
      </c>
      <c r="D4812" t="s">
        <v>25</v>
      </c>
      <c r="E4812" t="s">
        <v>95</v>
      </c>
      <c r="F4812" t="s">
        <v>104</v>
      </c>
      <c r="G4812" t="s">
        <v>112</v>
      </c>
      <c r="H4812" t="s">
        <v>112</v>
      </c>
      <c r="J4812">
        <v>0</v>
      </c>
      <c r="K4812">
        <v>1</v>
      </c>
      <c r="L4812">
        <v>113.9375</v>
      </c>
      <c r="M4812">
        <v>33.375507550000002</v>
      </c>
      <c r="N4812">
        <v>2.4262999999999999</v>
      </c>
      <c r="O4812">
        <v>0.40692159999999999</v>
      </c>
      <c r="P4812">
        <v>65.09375</v>
      </c>
      <c r="Q4812">
        <v>37.895352600000002</v>
      </c>
      <c r="R4812">
        <v>2.2882677779999998</v>
      </c>
      <c r="S4812">
        <v>2.2111774</v>
      </c>
      <c r="T4812" t="s">
        <v>1040</v>
      </c>
      <c r="U4812">
        <v>-1.8042558</v>
      </c>
    </row>
    <row r="4813" spans="1:21" x14ac:dyDescent="0.25">
      <c r="A4813" t="s">
        <v>44</v>
      </c>
      <c r="B4813" t="s">
        <v>966</v>
      </c>
      <c r="C4813">
        <v>2</v>
      </c>
      <c r="D4813" t="s">
        <v>25</v>
      </c>
      <c r="E4813" t="s">
        <v>95</v>
      </c>
      <c r="F4813" t="s">
        <v>104</v>
      </c>
      <c r="G4813" t="s">
        <v>112</v>
      </c>
      <c r="H4813" t="s">
        <v>162</v>
      </c>
      <c r="J4813">
        <v>0</v>
      </c>
      <c r="K4813">
        <v>1</v>
      </c>
      <c r="L4813">
        <v>113.9375</v>
      </c>
      <c r="M4813">
        <v>33.375507550000002</v>
      </c>
      <c r="N4813">
        <v>2.4262999999999999</v>
      </c>
      <c r="O4813">
        <v>0.40692159999999999</v>
      </c>
      <c r="P4813">
        <v>82.53846154</v>
      </c>
      <c r="Q4813">
        <v>35.660530039999998</v>
      </c>
      <c r="R4813">
        <v>3.3754499999999998</v>
      </c>
      <c r="S4813" t="s">
        <v>114</v>
      </c>
      <c r="T4813" t="s">
        <v>1040</v>
      </c>
      <c r="U4813" t="s">
        <v>114</v>
      </c>
    </row>
    <row r="4814" spans="1:21" x14ac:dyDescent="0.25">
      <c r="A4814" t="s">
        <v>44</v>
      </c>
      <c r="B4814" t="s">
        <v>966</v>
      </c>
      <c r="C4814">
        <v>2</v>
      </c>
      <c r="D4814" t="s">
        <v>25</v>
      </c>
      <c r="E4814" t="s">
        <v>95</v>
      </c>
      <c r="F4814" t="s">
        <v>104</v>
      </c>
      <c r="G4814" t="s">
        <v>112</v>
      </c>
      <c r="H4814" t="s">
        <v>113</v>
      </c>
      <c r="J4814">
        <v>0</v>
      </c>
      <c r="K4814">
        <v>1</v>
      </c>
      <c r="L4814">
        <v>113.9375</v>
      </c>
      <c r="M4814">
        <v>33.375507550000002</v>
      </c>
      <c r="N4814">
        <v>2.4262999999999999</v>
      </c>
      <c r="O4814">
        <v>0.40692159999999999</v>
      </c>
      <c r="P4814">
        <v>83.757575759999995</v>
      </c>
      <c r="Q4814">
        <v>22.60997987</v>
      </c>
      <c r="R4814">
        <v>0.72884000000000004</v>
      </c>
      <c r="S4814">
        <v>0.21301339999999999</v>
      </c>
      <c r="T4814" t="s">
        <v>1040</v>
      </c>
      <c r="U4814">
        <v>0.1939082</v>
      </c>
    </row>
    <row r="4815" spans="1:21" x14ac:dyDescent="0.25">
      <c r="A4815" t="s">
        <v>44</v>
      </c>
      <c r="B4815" t="s">
        <v>967</v>
      </c>
      <c r="C4815">
        <v>2</v>
      </c>
      <c r="D4815" t="s">
        <v>25</v>
      </c>
      <c r="E4815" t="s">
        <v>95</v>
      </c>
      <c r="F4815" t="s">
        <v>112</v>
      </c>
      <c r="G4815" t="s">
        <v>121</v>
      </c>
      <c r="H4815" t="s">
        <v>114</v>
      </c>
      <c r="J4815">
        <v>0</v>
      </c>
      <c r="K4815" t="s">
        <v>114</v>
      </c>
      <c r="L4815">
        <v>65.09375</v>
      </c>
      <c r="M4815">
        <v>37.895352600000002</v>
      </c>
      <c r="N4815">
        <v>2.2882677779999998</v>
      </c>
      <c r="O4815">
        <v>2.2111774</v>
      </c>
      <c r="P4815" t="s">
        <v>114</v>
      </c>
      <c r="Q4815" t="s">
        <v>114</v>
      </c>
      <c r="R4815" t="s">
        <v>114</v>
      </c>
      <c r="S4815" t="s">
        <v>114</v>
      </c>
      <c r="T4815" t="s">
        <v>1040</v>
      </c>
      <c r="U4815" t="s">
        <v>114</v>
      </c>
    </row>
    <row r="4816" spans="1:21" x14ac:dyDescent="0.25">
      <c r="A4816" t="s">
        <v>45</v>
      </c>
      <c r="B4816" t="s">
        <v>968</v>
      </c>
      <c r="C4816">
        <v>2</v>
      </c>
      <c r="D4816" t="s">
        <v>27</v>
      </c>
      <c r="E4816" t="s">
        <v>95</v>
      </c>
      <c r="F4816" t="s">
        <v>102</v>
      </c>
      <c r="G4816" t="s">
        <v>113</v>
      </c>
      <c r="H4816" t="s">
        <v>113</v>
      </c>
      <c r="J4816">
        <v>0</v>
      </c>
      <c r="K4816">
        <v>2</v>
      </c>
      <c r="L4816">
        <v>84.740740740000007</v>
      </c>
      <c r="M4816">
        <v>29.167014049999999</v>
      </c>
      <c r="N4816">
        <v>1.1169849999999999</v>
      </c>
      <c r="O4816">
        <v>1.1571499000000001</v>
      </c>
      <c r="P4816">
        <v>83.757575759999995</v>
      </c>
      <c r="Q4816">
        <v>22.60997987</v>
      </c>
      <c r="R4816">
        <v>0.72884000000000004</v>
      </c>
      <c r="S4816">
        <v>0.21301339999999999</v>
      </c>
      <c r="T4816" t="s">
        <v>1040</v>
      </c>
      <c r="U4816">
        <v>0.94413650000000005</v>
      </c>
    </row>
    <row r="4817" spans="1:21" x14ac:dyDescent="0.25">
      <c r="A4817" t="s">
        <v>45</v>
      </c>
      <c r="B4817" t="s">
        <v>968</v>
      </c>
      <c r="C4817">
        <v>2</v>
      </c>
      <c r="D4817" t="s">
        <v>27</v>
      </c>
      <c r="E4817" t="s">
        <v>95</v>
      </c>
      <c r="F4817" t="s">
        <v>102</v>
      </c>
      <c r="G4817" t="s">
        <v>113</v>
      </c>
      <c r="H4817" t="s">
        <v>113</v>
      </c>
      <c r="J4817">
        <v>0</v>
      </c>
      <c r="K4817">
        <v>2</v>
      </c>
      <c r="L4817">
        <v>84.740740740000007</v>
      </c>
      <c r="M4817">
        <v>29.167014049999999</v>
      </c>
      <c r="N4817">
        <v>1.1169849999999999</v>
      </c>
      <c r="O4817">
        <v>1.1571499000000001</v>
      </c>
      <c r="P4817">
        <v>83.757575759999995</v>
      </c>
      <c r="Q4817">
        <v>22.60997987</v>
      </c>
      <c r="R4817">
        <v>0.72884000000000004</v>
      </c>
      <c r="S4817">
        <v>0.21301339999999999</v>
      </c>
      <c r="T4817" t="s">
        <v>1040</v>
      </c>
      <c r="U4817">
        <v>0.94413650000000005</v>
      </c>
    </row>
    <row r="4818" spans="1:21" x14ac:dyDescent="0.25">
      <c r="A4818" t="s">
        <v>45</v>
      </c>
      <c r="B4818" t="s">
        <v>969</v>
      </c>
      <c r="C4818">
        <v>2</v>
      </c>
      <c r="D4818" t="s">
        <v>27</v>
      </c>
      <c r="E4818" t="s">
        <v>95</v>
      </c>
      <c r="F4818" t="s">
        <v>105</v>
      </c>
      <c r="G4818" t="s">
        <v>113</v>
      </c>
      <c r="H4818" t="s">
        <v>113</v>
      </c>
      <c r="J4818">
        <v>0</v>
      </c>
      <c r="K4818">
        <v>6</v>
      </c>
      <c r="L4818">
        <v>67.5</v>
      </c>
      <c r="M4818">
        <v>47.937235809999997</v>
      </c>
      <c r="N4818">
        <v>0.41599678000000001</v>
      </c>
      <c r="O4818">
        <v>2.0950346999999998</v>
      </c>
      <c r="P4818">
        <v>83.757575759999995</v>
      </c>
      <c r="Q4818">
        <v>22.60997987</v>
      </c>
      <c r="R4818">
        <v>0.72884000000000004</v>
      </c>
      <c r="S4818">
        <v>0.21301339999999999</v>
      </c>
      <c r="T4818" t="s">
        <v>1040</v>
      </c>
      <c r="U4818">
        <v>1.8820212999999999</v>
      </c>
    </row>
    <row r="4819" spans="1:21" x14ac:dyDescent="0.25">
      <c r="A4819" t="s">
        <v>45</v>
      </c>
      <c r="B4819" t="s">
        <v>969</v>
      </c>
      <c r="C4819">
        <v>2</v>
      </c>
      <c r="D4819" t="s">
        <v>27</v>
      </c>
      <c r="E4819" t="s">
        <v>95</v>
      </c>
      <c r="F4819" t="s">
        <v>105</v>
      </c>
      <c r="G4819" t="s">
        <v>113</v>
      </c>
      <c r="H4819" t="s">
        <v>113</v>
      </c>
      <c r="J4819">
        <v>0</v>
      </c>
      <c r="K4819">
        <v>6</v>
      </c>
      <c r="L4819">
        <v>67.5</v>
      </c>
      <c r="M4819">
        <v>47.937235809999997</v>
      </c>
      <c r="N4819">
        <v>0.41599678000000001</v>
      </c>
      <c r="O4819">
        <v>2.0950346999999998</v>
      </c>
      <c r="P4819">
        <v>83.757575759999995</v>
      </c>
      <c r="Q4819">
        <v>22.60997987</v>
      </c>
      <c r="R4819">
        <v>0.72884000000000004</v>
      </c>
      <c r="S4819">
        <v>0.21301339999999999</v>
      </c>
      <c r="T4819" t="s">
        <v>1040</v>
      </c>
      <c r="U4819">
        <v>1.8820212999999999</v>
      </c>
    </row>
    <row r="4820" spans="1:21" x14ac:dyDescent="0.25">
      <c r="A4820" t="s">
        <v>45</v>
      </c>
      <c r="B4820" t="s">
        <v>969</v>
      </c>
      <c r="C4820">
        <v>2</v>
      </c>
      <c r="D4820" t="s">
        <v>27</v>
      </c>
      <c r="E4820" t="s">
        <v>95</v>
      </c>
      <c r="F4820" t="s">
        <v>105</v>
      </c>
      <c r="G4820" t="s">
        <v>113</v>
      </c>
      <c r="H4820" t="s">
        <v>113</v>
      </c>
      <c r="J4820">
        <v>0</v>
      </c>
      <c r="K4820">
        <v>6</v>
      </c>
      <c r="L4820">
        <v>67.5</v>
      </c>
      <c r="M4820">
        <v>47.937235809999997</v>
      </c>
      <c r="N4820">
        <v>0.41599678000000001</v>
      </c>
      <c r="O4820">
        <v>2.0950346999999998</v>
      </c>
      <c r="P4820">
        <v>83.757575759999995</v>
      </c>
      <c r="Q4820">
        <v>22.60997987</v>
      </c>
      <c r="R4820">
        <v>0.72884000000000004</v>
      </c>
      <c r="S4820">
        <v>0.21301339999999999</v>
      </c>
      <c r="T4820" t="s">
        <v>1040</v>
      </c>
      <c r="U4820">
        <v>1.8820212999999999</v>
      </c>
    </row>
    <row r="4821" spans="1:21" x14ac:dyDescent="0.25">
      <c r="A4821" t="s">
        <v>45</v>
      </c>
      <c r="B4821" t="s">
        <v>969</v>
      </c>
      <c r="C4821">
        <v>2</v>
      </c>
      <c r="D4821" t="s">
        <v>27</v>
      </c>
      <c r="E4821" t="s">
        <v>95</v>
      </c>
      <c r="F4821" t="s">
        <v>105</v>
      </c>
      <c r="G4821" t="s">
        <v>113</v>
      </c>
      <c r="H4821" t="s">
        <v>113</v>
      </c>
      <c r="J4821">
        <v>0</v>
      </c>
      <c r="K4821">
        <v>6</v>
      </c>
      <c r="L4821">
        <v>67.5</v>
      </c>
      <c r="M4821">
        <v>47.937235809999997</v>
      </c>
      <c r="N4821">
        <v>0.41599678000000001</v>
      </c>
      <c r="O4821">
        <v>2.0950346999999998</v>
      </c>
      <c r="P4821">
        <v>83.757575759999995</v>
      </c>
      <c r="Q4821">
        <v>22.60997987</v>
      </c>
      <c r="R4821">
        <v>0.72884000000000004</v>
      </c>
      <c r="S4821">
        <v>0.21301339999999999</v>
      </c>
      <c r="T4821" t="s">
        <v>1040</v>
      </c>
      <c r="U4821">
        <v>1.8820212999999999</v>
      </c>
    </row>
    <row r="4822" spans="1:21" x14ac:dyDescent="0.25">
      <c r="A4822" t="s">
        <v>45</v>
      </c>
      <c r="B4822" t="s">
        <v>969</v>
      </c>
      <c r="C4822">
        <v>2</v>
      </c>
      <c r="D4822" t="s">
        <v>27</v>
      </c>
      <c r="E4822" t="s">
        <v>95</v>
      </c>
      <c r="F4822" t="s">
        <v>105</v>
      </c>
      <c r="G4822" t="s">
        <v>113</v>
      </c>
      <c r="H4822" t="s">
        <v>113</v>
      </c>
      <c r="J4822">
        <v>0</v>
      </c>
      <c r="K4822">
        <v>6</v>
      </c>
      <c r="L4822">
        <v>67.5</v>
      </c>
      <c r="M4822">
        <v>47.937235809999997</v>
      </c>
      <c r="N4822">
        <v>0.41599678000000001</v>
      </c>
      <c r="O4822">
        <v>2.0950346999999998</v>
      </c>
      <c r="P4822">
        <v>83.757575759999995</v>
      </c>
      <c r="Q4822">
        <v>22.60997987</v>
      </c>
      <c r="R4822">
        <v>0.72884000000000004</v>
      </c>
      <c r="S4822">
        <v>0.21301339999999999</v>
      </c>
      <c r="T4822" t="s">
        <v>1040</v>
      </c>
      <c r="U4822">
        <v>1.8820212999999999</v>
      </c>
    </row>
    <row r="4823" spans="1:21" x14ac:dyDescent="0.25">
      <c r="A4823" t="s">
        <v>45</v>
      </c>
      <c r="B4823" t="s">
        <v>969</v>
      </c>
      <c r="C4823">
        <v>2</v>
      </c>
      <c r="D4823" t="s">
        <v>27</v>
      </c>
      <c r="E4823" t="s">
        <v>95</v>
      </c>
      <c r="F4823" t="s">
        <v>105</v>
      </c>
      <c r="G4823" t="s">
        <v>113</v>
      </c>
      <c r="H4823" t="s">
        <v>113</v>
      </c>
      <c r="J4823">
        <v>0</v>
      </c>
      <c r="K4823">
        <v>6</v>
      </c>
      <c r="L4823">
        <v>67.5</v>
      </c>
      <c r="M4823">
        <v>47.937235809999997</v>
      </c>
      <c r="N4823">
        <v>0.41599678000000001</v>
      </c>
      <c r="O4823">
        <v>2.0950346999999998</v>
      </c>
      <c r="P4823">
        <v>83.757575759999995</v>
      </c>
      <c r="Q4823">
        <v>22.60997987</v>
      </c>
      <c r="R4823">
        <v>0.72884000000000004</v>
      </c>
      <c r="S4823">
        <v>0.21301339999999999</v>
      </c>
      <c r="T4823" t="s">
        <v>1040</v>
      </c>
      <c r="U4823">
        <v>1.8820212999999999</v>
      </c>
    </row>
    <row r="4824" spans="1:21" x14ac:dyDescent="0.25">
      <c r="A4824" t="s">
        <v>45</v>
      </c>
      <c r="B4824" t="s">
        <v>970</v>
      </c>
      <c r="C4824">
        <v>2</v>
      </c>
      <c r="D4824" t="s">
        <v>27</v>
      </c>
      <c r="E4824" t="s">
        <v>95</v>
      </c>
      <c r="F4824" t="s">
        <v>112</v>
      </c>
      <c r="G4824" t="s">
        <v>121</v>
      </c>
      <c r="H4824" t="s">
        <v>113</v>
      </c>
      <c r="J4824">
        <v>0</v>
      </c>
      <c r="K4824">
        <v>8</v>
      </c>
      <c r="L4824">
        <v>65.09375</v>
      </c>
      <c r="M4824">
        <v>37.895352600000002</v>
      </c>
      <c r="N4824">
        <v>2.2882677779999998</v>
      </c>
      <c r="O4824">
        <v>2.2111774</v>
      </c>
      <c r="P4824">
        <v>83.757575759999995</v>
      </c>
      <c r="Q4824">
        <v>22.60997987</v>
      </c>
      <c r="R4824">
        <v>0.72884000000000004</v>
      </c>
      <c r="S4824">
        <v>0.21301339999999999</v>
      </c>
      <c r="T4824" t="s">
        <v>1040</v>
      </c>
      <c r="U4824">
        <v>1.9981640000000001</v>
      </c>
    </row>
    <row r="4825" spans="1:21" x14ac:dyDescent="0.25">
      <c r="A4825" t="s">
        <v>45</v>
      </c>
      <c r="B4825" t="s">
        <v>970</v>
      </c>
      <c r="C4825">
        <v>2</v>
      </c>
      <c r="D4825" t="s">
        <v>27</v>
      </c>
      <c r="E4825" t="s">
        <v>95</v>
      </c>
      <c r="F4825" t="s">
        <v>112</v>
      </c>
      <c r="G4825" t="s">
        <v>121</v>
      </c>
      <c r="H4825" t="s">
        <v>113</v>
      </c>
      <c r="J4825">
        <v>0</v>
      </c>
      <c r="K4825">
        <v>8</v>
      </c>
      <c r="L4825">
        <v>65.09375</v>
      </c>
      <c r="M4825">
        <v>37.895352600000002</v>
      </c>
      <c r="N4825">
        <v>2.2882677779999998</v>
      </c>
      <c r="O4825">
        <v>2.2111774</v>
      </c>
      <c r="P4825">
        <v>83.757575759999995</v>
      </c>
      <c r="Q4825">
        <v>22.60997987</v>
      </c>
      <c r="R4825">
        <v>0.72884000000000004</v>
      </c>
      <c r="S4825">
        <v>0.21301339999999999</v>
      </c>
      <c r="T4825" t="s">
        <v>1040</v>
      </c>
      <c r="U4825">
        <v>1.9981640000000001</v>
      </c>
    </row>
    <row r="4826" spans="1:21" x14ac:dyDescent="0.25">
      <c r="A4826" t="s">
        <v>45</v>
      </c>
      <c r="B4826" t="s">
        <v>970</v>
      </c>
      <c r="C4826">
        <v>2</v>
      </c>
      <c r="D4826" t="s">
        <v>27</v>
      </c>
      <c r="E4826" t="s">
        <v>95</v>
      </c>
      <c r="F4826" t="s">
        <v>112</v>
      </c>
      <c r="G4826" t="s">
        <v>121</v>
      </c>
      <c r="H4826" t="s">
        <v>113</v>
      </c>
      <c r="J4826">
        <v>0</v>
      </c>
      <c r="K4826">
        <v>8</v>
      </c>
      <c r="L4826">
        <v>65.09375</v>
      </c>
      <c r="M4826">
        <v>37.895352600000002</v>
      </c>
      <c r="N4826">
        <v>2.2882677779999998</v>
      </c>
      <c r="O4826">
        <v>2.2111774</v>
      </c>
      <c r="P4826">
        <v>83.757575759999995</v>
      </c>
      <c r="Q4826">
        <v>22.60997987</v>
      </c>
      <c r="R4826">
        <v>0.72884000000000004</v>
      </c>
      <c r="S4826">
        <v>0.21301339999999999</v>
      </c>
      <c r="T4826" t="s">
        <v>1040</v>
      </c>
      <c r="U4826">
        <v>1.9981640000000001</v>
      </c>
    </row>
    <row r="4827" spans="1:21" x14ac:dyDescent="0.25">
      <c r="A4827" t="s">
        <v>45</v>
      </c>
      <c r="B4827" t="s">
        <v>970</v>
      </c>
      <c r="C4827">
        <v>2</v>
      </c>
      <c r="D4827" t="s">
        <v>27</v>
      </c>
      <c r="E4827" t="s">
        <v>95</v>
      </c>
      <c r="F4827" t="s">
        <v>112</v>
      </c>
      <c r="G4827" t="s">
        <v>121</v>
      </c>
      <c r="H4827" t="s">
        <v>113</v>
      </c>
      <c r="J4827">
        <v>0</v>
      </c>
      <c r="K4827">
        <v>8</v>
      </c>
      <c r="L4827">
        <v>65.09375</v>
      </c>
      <c r="M4827">
        <v>37.895352600000002</v>
      </c>
      <c r="N4827">
        <v>2.2882677779999998</v>
      </c>
      <c r="O4827">
        <v>2.2111774</v>
      </c>
      <c r="P4827">
        <v>83.757575759999995</v>
      </c>
      <c r="Q4827">
        <v>22.60997987</v>
      </c>
      <c r="R4827">
        <v>0.72884000000000004</v>
      </c>
      <c r="S4827">
        <v>0.21301339999999999</v>
      </c>
      <c r="T4827" t="s">
        <v>1040</v>
      </c>
      <c r="U4827">
        <v>1.9981640000000001</v>
      </c>
    </row>
    <row r="4828" spans="1:21" x14ac:dyDescent="0.25">
      <c r="A4828" t="s">
        <v>45</v>
      </c>
      <c r="B4828" t="s">
        <v>970</v>
      </c>
      <c r="C4828">
        <v>2</v>
      </c>
      <c r="D4828" t="s">
        <v>27</v>
      </c>
      <c r="E4828" t="s">
        <v>95</v>
      </c>
      <c r="F4828" t="s">
        <v>112</v>
      </c>
      <c r="G4828" t="s">
        <v>121</v>
      </c>
      <c r="H4828" t="s">
        <v>113</v>
      </c>
      <c r="J4828">
        <v>0</v>
      </c>
      <c r="K4828">
        <v>8</v>
      </c>
      <c r="L4828">
        <v>65.09375</v>
      </c>
      <c r="M4828">
        <v>37.895352600000002</v>
      </c>
      <c r="N4828">
        <v>2.2882677779999998</v>
      </c>
      <c r="O4828">
        <v>2.2111774</v>
      </c>
      <c r="P4828">
        <v>83.757575759999995</v>
      </c>
      <c r="Q4828">
        <v>22.60997987</v>
      </c>
      <c r="R4828">
        <v>0.72884000000000004</v>
      </c>
      <c r="S4828">
        <v>0.21301339999999999</v>
      </c>
      <c r="T4828" t="s">
        <v>1040</v>
      </c>
      <c r="U4828">
        <v>1.9981640000000001</v>
      </c>
    </row>
    <row r="4829" spans="1:21" x14ac:dyDescent="0.25">
      <c r="A4829" t="s">
        <v>45</v>
      </c>
      <c r="B4829" t="s">
        <v>970</v>
      </c>
      <c r="C4829">
        <v>2</v>
      </c>
      <c r="D4829" t="s">
        <v>27</v>
      </c>
      <c r="E4829" t="s">
        <v>95</v>
      </c>
      <c r="F4829" t="s">
        <v>112</v>
      </c>
      <c r="G4829" t="s">
        <v>121</v>
      </c>
      <c r="H4829" t="s">
        <v>113</v>
      </c>
      <c r="J4829">
        <v>0</v>
      </c>
      <c r="K4829">
        <v>8</v>
      </c>
      <c r="L4829">
        <v>65.09375</v>
      </c>
      <c r="M4829">
        <v>37.895352600000002</v>
      </c>
      <c r="N4829">
        <v>2.2882677779999998</v>
      </c>
      <c r="O4829">
        <v>2.2111774</v>
      </c>
      <c r="P4829">
        <v>83.757575759999995</v>
      </c>
      <c r="Q4829">
        <v>22.60997987</v>
      </c>
      <c r="R4829">
        <v>0.72884000000000004</v>
      </c>
      <c r="S4829">
        <v>0.21301339999999999</v>
      </c>
      <c r="T4829" t="s">
        <v>1040</v>
      </c>
      <c r="U4829">
        <v>1.9981640000000001</v>
      </c>
    </row>
    <row r="4830" spans="1:21" x14ac:dyDescent="0.25">
      <c r="A4830" t="s">
        <v>45</v>
      </c>
      <c r="B4830" t="s">
        <v>970</v>
      </c>
      <c r="C4830">
        <v>2</v>
      </c>
      <c r="D4830" t="s">
        <v>27</v>
      </c>
      <c r="E4830" t="s">
        <v>95</v>
      </c>
      <c r="F4830" t="s">
        <v>112</v>
      </c>
      <c r="G4830" t="s">
        <v>121</v>
      </c>
      <c r="H4830" t="s">
        <v>113</v>
      </c>
      <c r="J4830">
        <v>0</v>
      </c>
      <c r="K4830">
        <v>8</v>
      </c>
      <c r="L4830">
        <v>65.09375</v>
      </c>
      <c r="M4830">
        <v>37.895352600000002</v>
      </c>
      <c r="N4830">
        <v>2.2882677779999998</v>
      </c>
      <c r="O4830">
        <v>2.2111774</v>
      </c>
      <c r="P4830">
        <v>83.757575759999995</v>
      </c>
      <c r="Q4830">
        <v>22.60997987</v>
      </c>
      <c r="R4830">
        <v>0.72884000000000004</v>
      </c>
      <c r="S4830">
        <v>0.21301339999999999</v>
      </c>
      <c r="T4830" t="s">
        <v>1040</v>
      </c>
      <c r="U4830">
        <v>1.9981640000000001</v>
      </c>
    </row>
    <row r="4831" spans="1:21" x14ac:dyDescent="0.25">
      <c r="A4831" t="s">
        <v>45</v>
      </c>
      <c r="B4831" t="s">
        <v>970</v>
      </c>
      <c r="C4831">
        <v>2</v>
      </c>
      <c r="D4831" t="s">
        <v>27</v>
      </c>
      <c r="E4831" t="s">
        <v>95</v>
      </c>
      <c r="F4831" t="s">
        <v>112</v>
      </c>
      <c r="G4831" t="s">
        <v>121</v>
      </c>
      <c r="H4831" t="s">
        <v>113</v>
      </c>
      <c r="J4831">
        <v>0</v>
      </c>
      <c r="K4831">
        <v>8</v>
      </c>
      <c r="L4831">
        <v>65.09375</v>
      </c>
      <c r="M4831">
        <v>37.895352600000002</v>
      </c>
      <c r="N4831">
        <v>2.2882677779999998</v>
      </c>
      <c r="O4831">
        <v>2.2111774</v>
      </c>
      <c r="P4831">
        <v>83.757575759999995</v>
      </c>
      <c r="Q4831">
        <v>22.60997987</v>
      </c>
      <c r="R4831">
        <v>0.72884000000000004</v>
      </c>
      <c r="S4831">
        <v>0.21301339999999999</v>
      </c>
      <c r="T4831" t="s">
        <v>1040</v>
      </c>
      <c r="U4831">
        <v>1.9981640000000001</v>
      </c>
    </row>
    <row r="4832" spans="1:21" x14ac:dyDescent="0.25">
      <c r="A4832" t="s">
        <v>45</v>
      </c>
      <c r="B4832" t="s">
        <v>970</v>
      </c>
      <c r="C4832">
        <v>2</v>
      </c>
      <c r="D4832" t="s">
        <v>27</v>
      </c>
      <c r="E4832" t="s">
        <v>95</v>
      </c>
      <c r="F4832" t="s">
        <v>112</v>
      </c>
      <c r="G4832" t="s">
        <v>121</v>
      </c>
      <c r="H4832" t="s">
        <v>103</v>
      </c>
      <c r="J4832">
        <v>0</v>
      </c>
      <c r="K4832">
        <v>1</v>
      </c>
      <c r="L4832">
        <v>65.09375</v>
      </c>
      <c r="M4832">
        <v>37.895352600000002</v>
      </c>
      <c r="N4832">
        <v>2.2882677779999998</v>
      </c>
      <c r="O4832">
        <v>2.2111774</v>
      </c>
      <c r="P4832">
        <v>98.291666669999998</v>
      </c>
      <c r="Q4832">
        <v>30.315130790000001</v>
      </c>
      <c r="R4832">
        <v>5.0803484000000003E-2</v>
      </c>
      <c r="S4832">
        <v>0.42866070000000001</v>
      </c>
      <c r="T4832" t="s">
        <v>1040</v>
      </c>
      <c r="U4832">
        <v>1.7825167</v>
      </c>
    </row>
    <row r="4833" spans="1:21" x14ac:dyDescent="0.25">
      <c r="A4833" t="s">
        <v>46</v>
      </c>
      <c r="B4833" t="s">
        <v>971</v>
      </c>
      <c r="C4833">
        <v>2</v>
      </c>
      <c r="D4833" t="s">
        <v>29</v>
      </c>
      <c r="E4833" t="s">
        <v>95</v>
      </c>
      <c r="F4833" t="s">
        <v>102</v>
      </c>
      <c r="G4833" t="s">
        <v>121</v>
      </c>
      <c r="H4833" t="s">
        <v>114</v>
      </c>
      <c r="J4833">
        <v>0</v>
      </c>
      <c r="K4833" t="s">
        <v>114</v>
      </c>
      <c r="L4833">
        <v>84.740740740000007</v>
      </c>
      <c r="M4833">
        <v>29.167014049999999</v>
      </c>
      <c r="N4833">
        <v>1.1169849999999999</v>
      </c>
      <c r="O4833">
        <v>1.1571499000000001</v>
      </c>
      <c r="P4833" t="s">
        <v>114</v>
      </c>
      <c r="Q4833" t="s">
        <v>114</v>
      </c>
      <c r="R4833" t="s">
        <v>114</v>
      </c>
      <c r="S4833" t="s">
        <v>114</v>
      </c>
      <c r="T4833" t="s">
        <v>1040</v>
      </c>
      <c r="U4833" t="s">
        <v>114</v>
      </c>
    </row>
    <row r="4834" spans="1:21" x14ac:dyDescent="0.25">
      <c r="A4834" t="s">
        <v>46</v>
      </c>
      <c r="B4834" t="s">
        <v>972</v>
      </c>
      <c r="C4834">
        <v>2</v>
      </c>
      <c r="D4834" t="s">
        <v>29</v>
      </c>
      <c r="E4834" t="s">
        <v>95</v>
      </c>
      <c r="F4834" t="s">
        <v>110</v>
      </c>
      <c r="G4834" t="s">
        <v>113</v>
      </c>
      <c r="H4834" t="s">
        <v>113</v>
      </c>
      <c r="J4834">
        <v>0</v>
      </c>
      <c r="K4834">
        <v>3</v>
      </c>
      <c r="L4834">
        <v>73.260869569999997</v>
      </c>
      <c r="M4834">
        <v>34.453830549999999</v>
      </c>
      <c r="N4834">
        <v>1.058333333</v>
      </c>
      <c r="O4834">
        <v>0.90897070000000002</v>
      </c>
      <c r="P4834">
        <v>83.757575759999995</v>
      </c>
      <c r="Q4834">
        <v>22.60997987</v>
      </c>
      <c r="R4834">
        <v>0.72884000000000004</v>
      </c>
      <c r="S4834">
        <v>0.21301339999999999</v>
      </c>
      <c r="T4834" t="s">
        <v>1040</v>
      </c>
      <c r="U4834">
        <v>0.6959573</v>
      </c>
    </row>
    <row r="4835" spans="1:21" x14ac:dyDescent="0.25">
      <c r="A4835" t="s">
        <v>46</v>
      </c>
      <c r="B4835" t="s">
        <v>972</v>
      </c>
      <c r="C4835">
        <v>2</v>
      </c>
      <c r="D4835" t="s">
        <v>29</v>
      </c>
      <c r="E4835" t="s">
        <v>95</v>
      </c>
      <c r="F4835" t="s">
        <v>110</v>
      </c>
      <c r="G4835" t="s">
        <v>113</v>
      </c>
      <c r="H4835" t="s">
        <v>113</v>
      </c>
      <c r="J4835">
        <v>0</v>
      </c>
      <c r="K4835">
        <v>3</v>
      </c>
      <c r="L4835">
        <v>73.260869569999997</v>
      </c>
      <c r="M4835">
        <v>34.453830549999999</v>
      </c>
      <c r="N4835">
        <v>1.058333333</v>
      </c>
      <c r="O4835">
        <v>0.90897070000000002</v>
      </c>
      <c r="P4835">
        <v>83.757575759999995</v>
      </c>
      <c r="Q4835">
        <v>22.60997987</v>
      </c>
      <c r="R4835">
        <v>0.72884000000000004</v>
      </c>
      <c r="S4835">
        <v>0.21301339999999999</v>
      </c>
      <c r="T4835" t="s">
        <v>1040</v>
      </c>
      <c r="U4835">
        <v>0.6959573</v>
      </c>
    </row>
    <row r="4836" spans="1:21" x14ac:dyDescent="0.25">
      <c r="A4836" t="s">
        <v>46</v>
      </c>
      <c r="B4836" t="s">
        <v>972</v>
      </c>
      <c r="C4836">
        <v>2</v>
      </c>
      <c r="D4836" t="s">
        <v>29</v>
      </c>
      <c r="E4836" t="s">
        <v>95</v>
      </c>
      <c r="F4836" t="s">
        <v>110</v>
      </c>
      <c r="G4836" t="s">
        <v>113</v>
      </c>
      <c r="H4836" t="s">
        <v>113</v>
      </c>
      <c r="J4836">
        <v>0</v>
      </c>
      <c r="K4836">
        <v>3</v>
      </c>
      <c r="L4836">
        <v>73.260869569999997</v>
      </c>
      <c r="M4836">
        <v>34.453830549999999</v>
      </c>
      <c r="N4836">
        <v>1.058333333</v>
      </c>
      <c r="O4836">
        <v>0.90897070000000002</v>
      </c>
      <c r="P4836">
        <v>83.757575759999995</v>
      </c>
      <c r="Q4836">
        <v>22.60997987</v>
      </c>
      <c r="R4836">
        <v>0.72884000000000004</v>
      </c>
      <c r="S4836">
        <v>0.21301339999999999</v>
      </c>
      <c r="T4836" t="s">
        <v>1040</v>
      </c>
      <c r="U4836">
        <v>0.6959573</v>
      </c>
    </row>
    <row r="4837" spans="1:21" x14ac:dyDescent="0.25">
      <c r="A4837" t="s">
        <v>46</v>
      </c>
      <c r="B4837" t="s">
        <v>973</v>
      </c>
      <c r="C4837">
        <v>2</v>
      </c>
      <c r="D4837" t="s">
        <v>29</v>
      </c>
      <c r="E4837" t="s">
        <v>95</v>
      </c>
      <c r="F4837" t="s">
        <v>112</v>
      </c>
      <c r="G4837" t="s">
        <v>121</v>
      </c>
      <c r="H4837" t="s">
        <v>114</v>
      </c>
      <c r="J4837">
        <v>0</v>
      </c>
      <c r="K4837" t="s">
        <v>114</v>
      </c>
      <c r="L4837">
        <v>65.09375</v>
      </c>
      <c r="M4837">
        <v>37.895352600000002</v>
      </c>
      <c r="N4837">
        <v>2.2882677779999998</v>
      </c>
      <c r="O4837">
        <v>2.2111774</v>
      </c>
      <c r="P4837" t="s">
        <v>114</v>
      </c>
      <c r="Q4837" t="s">
        <v>114</v>
      </c>
      <c r="R4837" t="s">
        <v>114</v>
      </c>
      <c r="S4837" t="s">
        <v>114</v>
      </c>
      <c r="T4837" t="s">
        <v>1040</v>
      </c>
      <c r="U4837" t="s">
        <v>114</v>
      </c>
    </row>
    <row r="4838" spans="1:21" x14ac:dyDescent="0.25">
      <c r="A4838" t="s">
        <v>47</v>
      </c>
      <c r="B4838" t="s">
        <v>974</v>
      </c>
      <c r="C4838">
        <v>2</v>
      </c>
      <c r="D4838" t="s">
        <v>31</v>
      </c>
      <c r="E4838" t="s">
        <v>94</v>
      </c>
      <c r="F4838" t="s">
        <v>112</v>
      </c>
      <c r="G4838" t="s">
        <v>112</v>
      </c>
      <c r="H4838" t="s">
        <v>112</v>
      </c>
      <c r="J4838">
        <v>0</v>
      </c>
      <c r="K4838">
        <v>1</v>
      </c>
      <c r="L4838">
        <v>65.09375</v>
      </c>
      <c r="M4838">
        <v>37.895352600000002</v>
      </c>
      <c r="N4838">
        <v>2.2882677779999998</v>
      </c>
      <c r="O4838">
        <v>2.2111774</v>
      </c>
      <c r="P4838">
        <v>65.09375</v>
      </c>
      <c r="Q4838">
        <v>37.895352600000002</v>
      </c>
      <c r="R4838">
        <v>2.2882677779999998</v>
      </c>
      <c r="S4838">
        <v>2.2111774</v>
      </c>
      <c r="T4838" t="s">
        <v>1040</v>
      </c>
      <c r="U4838">
        <v>0</v>
      </c>
    </row>
    <row r="4839" spans="1:21" x14ac:dyDescent="0.25">
      <c r="A4839" t="s">
        <v>47</v>
      </c>
      <c r="B4839" t="s">
        <v>974</v>
      </c>
      <c r="C4839">
        <v>2</v>
      </c>
      <c r="D4839" t="s">
        <v>31</v>
      </c>
      <c r="E4839" t="s">
        <v>94</v>
      </c>
      <c r="F4839" t="s">
        <v>112</v>
      </c>
      <c r="G4839" t="s">
        <v>112</v>
      </c>
      <c r="H4839" t="s">
        <v>113</v>
      </c>
      <c r="J4839">
        <v>0</v>
      </c>
      <c r="K4839">
        <v>1</v>
      </c>
      <c r="L4839">
        <v>65.09375</v>
      </c>
      <c r="M4839">
        <v>37.895352600000002</v>
      </c>
      <c r="N4839">
        <v>2.2882677779999998</v>
      </c>
      <c r="O4839">
        <v>2.2111774</v>
      </c>
      <c r="P4839">
        <v>83.757575759999995</v>
      </c>
      <c r="Q4839">
        <v>22.60997987</v>
      </c>
      <c r="R4839">
        <v>0.72884000000000004</v>
      </c>
      <c r="S4839">
        <v>0.21301339999999999</v>
      </c>
      <c r="T4839" t="s">
        <v>1040</v>
      </c>
      <c r="U4839">
        <v>1.9981640000000001</v>
      </c>
    </row>
    <row r="4840" spans="1:21" x14ac:dyDescent="0.25">
      <c r="A4840" t="s">
        <v>48</v>
      </c>
      <c r="B4840" t="s">
        <v>975</v>
      </c>
      <c r="C4840">
        <v>2</v>
      </c>
      <c r="D4840" t="s">
        <v>33</v>
      </c>
      <c r="E4840" t="s">
        <v>95</v>
      </c>
      <c r="F4840" t="s">
        <v>105</v>
      </c>
      <c r="G4840" t="s">
        <v>104</v>
      </c>
      <c r="H4840" t="s">
        <v>103</v>
      </c>
      <c r="J4840">
        <v>0</v>
      </c>
      <c r="K4840">
        <v>1</v>
      </c>
      <c r="L4840">
        <v>67.5</v>
      </c>
      <c r="M4840">
        <v>47.937235809999997</v>
      </c>
      <c r="N4840">
        <v>0.41599678000000001</v>
      </c>
      <c r="O4840">
        <v>2.0950346999999998</v>
      </c>
      <c r="P4840">
        <v>98.291666669999998</v>
      </c>
      <c r="Q4840">
        <v>30.315130790000001</v>
      </c>
      <c r="R4840">
        <v>5.0803484000000003E-2</v>
      </c>
      <c r="S4840">
        <v>0.42866070000000001</v>
      </c>
      <c r="T4840" t="s">
        <v>1040</v>
      </c>
      <c r="U4840">
        <v>1.6663739999999998</v>
      </c>
    </row>
    <row r="4841" spans="1:21" x14ac:dyDescent="0.25">
      <c r="A4841" t="s">
        <v>48</v>
      </c>
      <c r="B4841" t="s">
        <v>975</v>
      </c>
      <c r="C4841">
        <v>2</v>
      </c>
      <c r="D4841" t="s">
        <v>33</v>
      </c>
      <c r="E4841" t="s">
        <v>95</v>
      </c>
      <c r="F4841" t="s">
        <v>105</v>
      </c>
      <c r="G4841" t="s">
        <v>104</v>
      </c>
      <c r="H4841" t="s">
        <v>104</v>
      </c>
      <c r="J4841">
        <v>0</v>
      </c>
      <c r="K4841">
        <v>2</v>
      </c>
      <c r="L4841">
        <v>67.5</v>
      </c>
      <c r="M4841">
        <v>47.937235809999997</v>
      </c>
      <c r="N4841">
        <v>0.41599678000000001</v>
      </c>
      <c r="O4841">
        <v>2.0950346999999998</v>
      </c>
      <c r="P4841">
        <v>113.9375</v>
      </c>
      <c r="Q4841">
        <v>33.375507550000002</v>
      </c>
      <c r="R4841">
        <v>2.4262999999999999</v>
      </c>
      <c r="S4841">
        <v>0.40692159999999999</v>
      </c>
      <c r="T4841" t="s">
        <v>1040</v>
      </c>
      <c r="U4841">
        <v>1.6881130999999998</v>
      </c>
    </row>
    <row r="4842" spans="1:21" x14ac:dyDescent="0.25">
      <c r="A4842" t="s">
        <v>48</v>
      </c>
      <c r="B4842" t="s">
        <v>975</v>
      </c>
      <c r="C4842">
        <v>2</v>
      </c>
      <c r="D4842" t="s">
        <v>33</v>
      </c>
      <c r="E4842" t="s">
        <v>95</v>
      </c>
      <c r="F4842" t="s">
        <v>105</v>
      </c>
      <c r="G4842" t="s">
        <v>104</v>
      </c>
      <c r="H4842" t="s">
        <v>104</v>
      </c>
      <c r="J4842">
        <v>0</v>
      </c>
      <c r="K4842">
        <v>2</v>
      </c>
      <c r="L4842">
        <v>67.5</v>
      </c>
      <c r="M4842">
        <v>47.937235809999997</v>
      </c>
      <c r="N4842">
        <v>0.41599678000000001</v>
      </c>
      <c r="O4842">
        <v>2.0950346999999998</v>
      </c>
      <c r="P4842">
        <v>113.9375</v>
      </c>
      <c r="Q4842">
        <v>33.375507550000002</v>
      </c>
      <c r="R4842">
        <v>2.4262999999999999</v>
      </c>
      <c r="S4842">
        <v>0.40692159999999999</v>
      </c>
      <c r="T4842" t="s">
        <v>1040</v>
      </c>
      <c r="U4842">
        <v>1.6881130999999998</v>
      </c>
    </row>
    <row r="4843" spans="1:21" x14ac:dyDescent="0.25">
      <c r="A4843" t="s">
        <v>48</v>
      </c>
      <c r="B4843" t="s">
        <v>976</v>
      </c>
      <c r="C4843">
        <v>2</v>
      </c>
      <c r="D4843" t="s">
        <v>33</v>
      </c>
      <c r="E4843" t="s">
        <v>95</v>
      </c>
      <c r="F4843" t="s">
        <v>111</v>
      </c>
      <c r="G4843" t="s">
        <v>113</v>
      </c>
      <c r="H4843" t="s">
        <v>113</v>
      </c>
      <c r="J4843">
        <v>0</v>
      </c>
      <c r="K4843">
        <v>1</v>
      </c>
      <c r="L4843">
        <v>94.97142857</v>
      </c>
      <c r="M4843">
        <v>24.31591813</v>
      </c>
      <c r="N4843">
        <v>0.122951111</v>
      </c>
      <c r="O4843">
        <v>0.39050790000000002</v>
      </c>
      <c r="P4843">
        <v>83.757575759999995</v>
      </c>
      <c r="Q4843">
        <v>22.60997987</v>
      </c>
      <c r="R4843">
        <v>0.72884000000000004</v>
      </c>
      <c r="S4843">
        <v>0.21301339999999999</v>
      </c>
      <c r="T4843" t="s">
        <v>1040</v>
      </c>
      <c r="U4843">
        <v>0.17749450000000003</v>
      </c>
    </row>
    <row r="4844" spans="1:21" x14ac:dyDescent="0.25">
      <c r="A4844" t="s">
        <v>48</v>
      </c>
      <c r="B4844" t="s">
        <v>976</v>
      </c>
      <c r="C4844">
        <v>2</v>
      </c>
      <c r="D4844" t="s">
        <v>33</v>
      </c>
      <c r="E4844" t="s">
        <v>95</v>
      </c>
      <c r="F4844" t="s">
        <v>111</v>
      </c>
      <c r="G4844" t="s">
        <v>113</v>
      </c>
      <c r="H4844" t="s">
        <v>241</v>
      </c>
      <c r="J4844">
        <v>0</v>
      </c>
      <c r="K4844">
        <v>1</v>
      </c>
      <c r="L4844">
        <v>94.97142857</v>
      </c>
      <c r="M4844">
        <v>24.31591813</v>
      </c>
      <c r="N4844">
        <v>0.122951111</v>
      </c>
      <c r="O4844">
        <v>0.39050790000000002</v>
      </c>
      <c r="P4844">
        <v>114</v>
      </c>
      <c r="Q4844">
        <v>30.43077242</v>
      </c>
      <c r="R4844">
        <v>0.53383111100000002</v>
      </c>
      <c r="S4844">
        <v>0.28333332999999999</v>
      </c>
      <c r="T4844" t="s">
        <v>1040</v>
      </c>
      <c r="U4844">
        <v>0.10717457000000002</v>
      </c>
    </row>
    <row r="4845" spans="1:21" x14ac:dyDescent="0.25">
      <c r="A4845" t="s">
        <v>48</v>
      </c>
      <c r="B4845" t="s">
        <v>977</v>
      </c>
      <c r="C4845">
        <v>2</v>
      </c>
      <c r="D4845" t="s">
        <v>33</v>
      </c>
      <c r="E4845" t="s">
        <v>95</v>
      </c>
      <c r="F4845" t="s">
        <v>104</v>
      </c>
      <c r="G4845" t="s">
        <v>121</v>
      </c>
      <c r="H4845" t="s">
        <v>113</v>
      </c>
      <c r="J4845">
        <v>0</v>
      </c>
      <c r="K4845">
        <v>5</v>
      </c>
      <c r="L4845">
        <v>113.9375</v>
      </c>
      <c r="M4845">
        <v>33.375507550000002</v>
      </c>
      <c r="N4845">
        <v>2.4262999999999999</v>
      </c>
      <c r="O4845">
        <v>0.40692159999999999</v>
      </c>
      <c r="P4845">
        <v>83.757575759999995</v>
      </c>
      <c r="Q4845">
        <v>22.60997987</v>
      </c>
      <c r="R4845">
        <v>0.72884000000000004</v>
      </c>
      <c r="S4845">
        <v>0.21301339999999999</v>
      </c>
      <c r="T4845" t="s">
        <v>1040</v>
      </c>
      <c r="U4845">
        <v>0.1939082</v>
      </c>
    </row>
    <row r="4846" spans="1:21" x14ac:dyDescent="0.25">
      <c r="A4846" t="s">
        <v>48</v>
      </c>
      <c r="B4846" t="s">
        <v>977</v>
      </c>
      <c r="C4846">
        <v>2</v>
      </c>
      <c r="D4846" t="s">
        <v>33</v>
      </c>
      <c r="E4846" t="s">
        <v>95</v>
      </c>
      <c r="F4846" t="s">
        <v>104</v>
      </c>
      <c r="G4846" t="s">
        <v>121</v>
      </c>
      <c r="H4846" t="s">
        <v>113</v>
      </c>
      <c r="J4846">
        <v>0</v>
      </c>
      <c r="K4846">
        <v>5</v>
      </c>
      <c r="L4846">
        <v>113.9375</v>
      </c>
      <c r="M4846">
        <v>33.375507550000002</v>
      </c>
      <c r="N4846">
        <v>2.4262999999999999</v>
      </c>
      <c r="O4846">
        <v>0.40692159999999999</v>
      </c>
      <c r="P4846">
        <v>83.757575759999995</v>
      </c>
      <c r="Q4846">
        <v>22.60997987</v>
      </c>
      <c r="R4846">
        <v>0.72884000000000004</v>
      </c>
      <c r="S4846">
        <v>0.21301339999999999</v>
      </c>
      <c r="T4846" t="s">
        <v>1040</v>
      </c>
      <c r="U4846">
        <v>0.1939082</v>
      </c>
    </row>
    <row r="4847" spans="1:21" x14ac:dyDescent="0.25">
      <c r="A4847" t="s">
        <v>48</v>
      </c>
      <c r="B4847" t="s">
        <v>977</v>
      </c>
      <c r="C4847">
        <v>2</v>
      </c>
      <c r="D4847" t="s">
        <v>33</v>
      </c>
      <c r="E4847" t="s">
        <v>95</v>
      </c>
      <c r="F4847" t="s">
        <v>104</v>
      </c>
      <c r="G4847" t="s">
        <v>121</v>
      </c>
      <c r="H4847" t="s">
        <v>113</v>
      </c>
      <c r="J4847">
        <v>0</v>
      </c>
      <c r="K4847">
        <v>5</v>
      </c>
      <c r="L4847">
        <v>113.9375</v>
      </c>
      <c r="M4847">
        <v>33.375507550000002</v>
      </c>
      <c r="N4847">
        <v>2.4262999999999999</v>
      </c>
      <c r="O4847">
        <v>0.40692159999999999</v>
      </c>
      <c r="P4847">
        <v>83.757575759999995</v>
      </c>
      <c r="Q4847">
        <v>22.60997987</v>
      </c>
      <c r="R4847">
        <v>0.72884000000000004</v>
      </c>
      <c r="S4847">
        <v>0.21301339999999999</v>
      </c>
      <c r="T4847" t="s">
        <v>1040</v>
      </c>
      <c r="U4847">
        <v>0.1939082</v>
      </c>
    </row>
    <row r="4848" spans="1:21" x14ac:dyDescent="0.25">
      <c r="A4848" t="s">
        <v>48</v>
      </c>
      <c r="B4848" t="s">
        <v>977</v>
      </c>
      <c r="C4848">
        <v>2</v>
      </c>
      <c r="D4848" t="s">
        <v>33</v>
      </c>
      <c r="E4848" t="s">
        <v>95</v>
      </c>
      <c r="F4848" t="s">
        <v>104</v>
      </c>
      <c r="G4848" t="s">
        <v>121</v>
      </c>
      <c r="H4848" t="s">
        <v>113</v>
      </c>
      <c r="J4848">
        <v>0</v>
      </c>
      <c r="K4848">
        <v>5</v>
      </c>
      <c r="L4848">
        <v>113.9375</v>
      </c>
      <c r="M4848">
        <v>33.375507550000002</v>
      </c>
      <c r="N4848">
        <v>2.4262999999999999</v>
      </c>
      <c r="O4848">
        <v>0.40692159999999999</v>
      </c>
      <c r="P4848">
        <v>83.757575759999995</v>
      </c>
      <c r="Q4848">
        <v>22.60997987</v>
      </c>
      <c r="R4848">
        <v>0.72884000000000004</v>
      </c>
      <c r="S4848">
        <v>0.21301339999999999</v>
      </c>
      <c r="T4848" t="s">
        <v>1040</v>
      </c>
      <c r="U4848">
        <v>0.1939082</v>
      </c>
    </row>
    <row r="4849" spans="1:21" x14ac:dyDescent="0.25">
      <c r="A4849" t="s">
        <v>48</v>
      </c>
      <c r="B4849" t="s">
        <v>977</v>
      </c>
      <c r="C4849">
        <v>2</v>
      </c>
      <c r="D4849" t="s">
        <v>33</v>
      </c>
      <c r="E4849" t="s">
        <v>95</v>
      </c>
      <c r="F4849" t="s">
        <v>104</v>
      </c>
      <c r="G4849" t="s">
        <v>121</v>
      </c>
      <c r="H4849" t="s">
        <v>113</v>
      </c>
      <c r="J4849">
        <v>0</v>
      </c>
      <c r="K4849">
        <v>5</v>
      </c>
      <c r="L4849">
        <v>113.9375</v>
      </c>
      <c r="M4849">
        <v>33.375507550000002</v>
      </c>
      <c r="N4849">
        <v>2.4262999999999999</v>
      </c>
      <c r="O4849">
        <v>0.40692159999999999</v>
      </c>
      <c r="P4849">
        <v>83.757575759999995</v>
      </c>
      <c r="Q4849">
        <v>22.60997987</v>
      </c>
      <c r="R4849">
        <v>0.72884000000000004</v>
      </c>
      <c r="S4849">
        <v>0.21301339999999999</v>
      </c>
      <c r="T4849" t="s">
        <v>1040</v>
      </c>
      <c r="U4849">
        <v>0.1939082</v>
      </c>
    </row>
    <row r="4850" spans="1:21" x14ac:dyDescent="0.25">
      <c r="A4850" t="s">
        <v>48</v>
      </c>
      <c r="B4850" t="s">
        <v>977</v>
      </c>
      <c r="C4850">
        <v>2</v>
      </c>
      <c r="D4850" t="s">
        <v>33</v>
      </c>
      <c r="E4850" t="s">
        <v>95</v>
      </c>
      <c r="F4850" t="s">
        <v>104</v>
      </c>
      <c r="G4850" t="s">
        <v>121</v>
      </c>
      <c r="H4850" t="s">
        <v>104</v>
      </c>
      <c r="J4850">
        <v>0</v>
      </c>
      <c r="K4850">
        <v>2</v>
      </c>
      <c r="L4850">
        <v>113.9375</v>
      </c>
      <c r="M4850">
        <v>33.375507550000002</v>
      </c>
      <c r="N4850">
        <v>2.4262999999999999</v>
      </c>
      <c r="O4850">
        <v>0.40692159999999999</v>
      </c>
      <c r="P4850">
        <v>113.9375</v>
      </c>
      <c r="Q4850">
        <v>33.375507550000002</v>
      </c>
      <c r="R4850">
        <v>2.4262999999999999</v>
      </c>
      <c r="S4850">
        <v>0.40692159999999999</v>
      </c>
      <c r="T4850" t="s">
        <v>1040</v>
      </c>
      <c r="U4850">
        <v>0</v>
      </c>
    </row>
    <row r="4851" spans="1:21" x14ac:dyDescent="0.25">
      <c r="A4851" t="s">
        <v>48</v>
      </c>
      <c r="B4851" t="s">
        <v>977</v>
      </c>
      <c r="C4851">
        <v>2</v>
      </c>
      <c r="D4851" t="s">
        <v>33</v>
      </c>
      <c r="E4851" t="s">
        <v>95</v>
      </c>
      <c r="F4851" t="s">
        <v>104</v>
      </c>
      <c r="G4851" t="s">
        <v>121</v>
      </c>
      <c r="H4851" t="s">
        <v>104</v>
      </c>
      <c r="J4851">
        <v>0</v>
      </c>
      <c r="K4851">
        <v>2</v>
      </c>
      <c r="L4851">
        <v>113.9375</v>
      </c>
      <c r="M4851">
        <v>33.375507550000002</v>
      </c>
      <c r="N4851">
        <v>2.4262999999999999</v>
      </c>
      <c r="O4851">
        <v>0.40692159999999999</v>
      </c>
      <c r="P4851">
        <v>113.9375</v>
      </c>
      <c r="Q4851">
        <v>33.375507550000002</v>
      </c>
      <c r="R4851">
        <v>2.4262999999999999</v>
      </c>
      <c r="S4851">
        <v>0.40692159999999999</v>
      </c>
      <c r="T4851" t="s">
        <v>1040</v>
      </c>
      <c r="U4851">
        <v>0</v>
      </c>
    </row>
    <row r="4852" spans="1:21" x14ac:dyDescent="0.25">
      <c r="A4852" t="s">
        <v>48</v>
      </c>
      <c r="B4852" t="s">
        <v>977</v>
      </c>
      <c r="C4852">
        <v>2</v>
      </c>
      <c r="D4852" t="s">
        <v>33</v>
      </c>
      <c r="E4852" t="s">
        <v>95</v>
      </c>
      <c r="F4852" t="s">
        <v>104</v>
      </c>
      <c r="G4852" t="s">
        <v>121</v>
      </c>
      <c r="H4852" t="s">
        <v>103</v>
      </c>
      <c r="J4852">
        <v>0</v>
      </c>
      <c r="K4852">
        <v>1</v>
      </c>
      <c r="L4852">
        <v>113.9375</v>
      </c>
      <c r="M4852">
        <v>33.375507550000002</v>
      </c>
      <c r="N4852">
        <v>2.4262999999999999</v>
      </c>
      <c r="O4852">
        <v>0.40692159999999999</v>
      </c>
      <c r="P4852">
        <v>98.291666669999998</v>
      </c>
      <c r="Q4852">
        <v>30.315130790000001</v>
      </c>
      <c r="R4852">
        <v>5.0803484000000003E-2</v>
      </c>
      <c r="S4852">
        <v>0.42866070000000001</v>
      </c>
      <c r="T4852" t="s">
        <v>1040</v>
      </c>
      <c r="U4852">
        <v>-2.1739100000000011E-2</v>
      </c>
    </row>
    <row r="4853" spans="1:21" x14ac:dyDescent="0.25">
      <c r="A4853" t="s">
        <v>49</v>
      </c>
      <c r="B4853" t="s">
        <v>978</v>
      </c>
      <c r="C4853">
        <v>2</v>
      </c>
      <c r="D4853" t="s">
        <v>35</v>
      </c>
      <c r="E4853" t="s">
        <v>94</v>
      </c>
      <c r="F4853" t="s">
        <v>102</v>
      </c>
      <c r="G4853" t="s">
        <v>112</v>
      </c>
      <c r="H4853" t="s">
        <v>112</v>
      </c>
      <c r="J4853">
        <v>0</v>
      </c>
      <c r="K4853">
        <v>1</v>
      </c>
      <c r="L4853">
        <v>84.740740740000007</v>
      </c>
      <c r="M4853">
        <v>29.167014049999999</v>
      </c>
      <c r="N4853">
        <v>1.1169849999999999</v>
      </c>
      <c r="O4853">
        <v>1.1571499000000001</v>
      </c>
      <c r="P4853">
        <v>65.09375</v>
      </c>
      <c r="Q4853">
        <v>37.895352600000002</v>
      </c>
      <c r="R4853">
        <v>2.2882677779999998</v>
      </c>
      <c r="S4853">
        <v>2.2111774</v>
      </c>
      <c r="T4853" t="s">
        <v>1040</v>
      </c>
      <c r="U4853">
        <v>-1.0540274999999999</v>
      </c>
    </row>
    <row r="4854" spans="1:21" x14ac:dyDescent="0.25">
      <c r="A4854" t="s">
        <v>49</v>
      </c>
      <c r="B4854" t="s">
        <v>978</v>
      </c>
      <c r="C4854">
        <v>2</v>
      </c>
      <c r="D4854" t="s">
        <v>35</v>
      </c>
      <c r="E4854" t="s">
        <v>94</v>
      </c>
      <c r="F4854" t="s">
        <v>102</v>
      </c>
      <c r="G4854" t="s">
        <v>112</v>
      </c>
      <c r="H4854" t="s">
        <v>104</v>
      </c>
      <c r="J4854">
        <v>0</v>
      </c>
      <c r="K4854">
        <v>5</v>
      </c>
      <c r="L4854">
        <v>84.740740740000007</v>
      </c>
      <c r="M4854">
        <v>29.167014049999999</v>
      </c>
      <c r="N4854">
        <v>1.1169849999999999</v>
      </c>
      <c r="O4854">
        <v>1.1571499000000001</v>
      </c>
      <c r="P4854">
        <v>113.9375</v>
      </c>
      <c r="Q4854">
        <v>33.375507550000002</v>
      </c>
      <c r="R4854">
        <v>2.4262999999999999</v>
      </c>
      <c r="S4854">
        <v>0.40692159999999999</v>
      </c>
      <c r="T4854" t="s">
        <v>1040</v>
      </c>
      <c r="U4854">
        <v>0.75022830000000007</v>
      </c>
    </row>
    <row r="4855" spans="1:21" x14ac:dyDescent="0.25">
      <c r="A4855" t="s">
        <v>49</v>
      </c>
      <c r="B4855" t="s">
        <v>978</v>
      </c>
      <c r="C4855">
        <v>2</v>
      </c>
      <c r="D4855" t="s">
        <v>35</v>
      </c>
      <c r="E4855" t="s">
        <v>94</v>
      </c>
      <c r="F4855" t="s">
        <v>102</v>
      </c>
      <c r="G4855" t="s">
        <v>112</v>
      </c>
      <c r="H4855" t="s">
        <v>104</v>
      </c>
      <c r="J4855">
        <v>0</v>
      </c>
      <c r="K4855">
        <v>5</v>
      </c>
      <c r="L4855">
        <v>84.740740740000007</v>
      </c>
      <c r="M4855">
        <v>29.167014049999999</v>
      </c>
      <c r="N4855">
        <v>1.1169849999999999</v>
      </c>
      <c r="O4855">
        <v>1.1571499000000001</v>
      </c>
      <c r="P4855">
        <v>113.9375</v>
      </c>
      <c r="Q4855">
        <v>33.375507550000002</v>
      </c>
      <c r="R4855">
        <v>2.4262999999999999</v>
      </c>
      <c r="S4855">
        <v>0.40692159999999999</v>
      </c>
      <c r="T4855" t="s">
        <v>1040</v>
      </c>
      <c r="U4855">
        <v>0.75022830000000007</v>
      </c>
    </row>
    <row r="4856" spans="1:21" x14ac:dyDescent="0.25">
      <c r="A4856" t="s">
        <v>49</v>
      </c>
      <c r="B4856" t="s">
        <v>978</v>
      </c>
      <c r="C4856">
        <v>2</v>
      </c>
      <c r="D4856" t="s">
        <v>35</v>
      </c>
      <c r="E4856" t="s">
        <v>94</v>
      </c>
      <c r="F4856" t="s">
        <v>102</v>
      </c>
      <c r="G4856" t="s">
        <v>112</v>
      </c>
      <c r="H4856" t="s">
        <v>104</v>
      </c>
      <c r="J4856">
        <v>0</v>
      </c>
      <c r="K4856">
        <v>5</v>
      </c>
      <c r="L4856">
        <v>84.740740740000007</v>
      </c>
      <c r="M4856">
        <v>29.167014049999999</v>
      </c>
      <c r="N4856">
        <v>1.1169849999999999</v>
      </c>
      <c r="O4856">
        <v>1.1571499000000001</v>
      </c>
      <c r="P4856">
        <v>113.9375</v>
      </c>
      <c r="Q4856">
        <v>33.375507550000002</v>
      </c>
      <c r="R4856">
        <v>2.4262999999999999</v>
      </c>
      <c r="S4856">
        <v>0.40692159999999999</v>
      </c>
      <c r="T4856" t="s">
        <v>1040</v>
      </c>
      <c r="U4856">
        <v>0.75022830000000007</v>
      </c>
    </row>
    <row r="4857" spans="1:21" x14ac:dyDescent="0.25">
      <c r="A4857" t="s">
        <v>49</v>
      </c>
      <c r="B4857" t="s">
        <v>978</v>
      </c>
      <c r="C4857">
        <v>2</v>
      </c>
      <c r="D4857" t="s">
        <v>35</v>
      </c>
      <c r="E4857" t="s">
        <v>94</v>
      </c>
      <c r="F4857" t="s">
        <v>102</v>
      </c>
      <c r="G4857" t="s">
        <v>112</v>
      </c>
      <c r="H4857" t="s">
        <v>104</v>
      </c>
      <c r="J4857">
        <v>0</v>
      </c>
      <c r="K4857">
        <v>5</v>
      </c>
      <c r="L4857">
        <v>84.740740740000007</v>
      </c>
      <c r="M4857">
        <v>29.167014049999999</v>
      </c>
      <c r="N4857">
        <v>1.1169849999999999</v>
      </c>
      <c r="O4857">
        <v>1.1571499000000001</v>
      </c>
      <c r="P4857">
        <v>113.9375</v>
      </c>
      <c r="Q4857">
        <v>33.375507550000002</v>
      </c>
      <c r="R4857">
        <v>2.4262999999999999</v>
      </c>
      <c r="S4857">
        <v>0.40692159999999999</v>
      </c>
      <c r="T4857" t="s">
        <v>1040</v>
      </c>
      <c r="U4857">
        <v>0.75022830000000007</v>
      </c>
    </row>
    <row r="4858" spans="1:21" x14ac:dyDescent="0.25">
      <c r="A4858" t="s">
        <v>49</v>
      </c>
      <c r="B4858" t="s">
        <v>978</v>
      </c>
      <c r="C4858">
        <v>2</v>
      </c>
      <c r="D4858" t="s">
        <v>35</v>
      </c>
      <c r="E4858" t="s">
        <v>94</v>
      </c>
      <c r="F4858" t="s">
        <v>102</v>
      </c>
      <c r="G4858" t="s">
        <v>112</v>
      </c>
      <c r="H4858" t="s">
        <v>104</v>
      </c>
      <c r="J4858">
        <v>0</v>
      </c>
      <c r="K4858">
        <v>5</v>
      </c>
      <c r="L4858">
        <v>84.740740740000007</v>
      </c>
      <c r="M4858">
        <v>29.167014049999999</v>
      </c>
      <c r="N4858">
        <v>1.1169849999999999</v>
      </c>
      <c r="O4858">
        <v>1.1571499000000001</v>
      </c>
      <c r="P4858">
        <v>113.9375</v>
      </c>
      <c r="Q4858">
        <v>33.375507550000002</v>
      </c>
      <c r="R4858">
        <v>2.4262999999999999</v>
      </c>
      <c r="S4858">
        <v>0.40692159999999999</v>
      </c>
      <c r="T4858" t="s">
        <v>1040</v>
      </c>
      <c r="U4858">
        <v>0.75022830000000007</v>
      </c>
    </row>
    <row r="4859" spans="1:21" x14ac:dyDescent="0.25">
      <c r="A4859" t="s">
        <v>49</v>
      </c>
      <c r="B4859" t="s">
        <v>979</v>
      </c>
      <c r="C4859">
        <v>2</v>
      </c>
      <c r="D4859" t="s">
        <v>35</v>
      </c>
      <c r="E4859" t="s">
        <v>94</v>
      </c>
      <c r="F4859" t="s">
        <v>112</v>
      </c>
      <c r="G4859" t="s">
        <v>112</v>
      </c>
      <c r="H4859" t="s">
        <v>112</v>
      </c>
      <c r="J4859">
        <v>0</v>
      </c>
      <c r="K4859">
        <v>1</v>
      </c>
      <c r="L4859">
        <v>65.09375</v>
      </c>
      <c r="M4859">
        <v>37.895352600000002</v>
      </c>
      <c r="N4859">
        <v>2.2882677779999998</v>
      </c>
      <c r="O4859">
        <v>2.2111774</v>
      </c>
      <c r="P4859">
        <v>65.09375</v>
      </c>
      <c r="Q4859">
        <v>37.895352600000002</v>
      </c>
      <c r="R4859">
        <v>2.2882677779999998</v>
      </c>
      <c r="S4859">
        <v>2.2111774</v>
      </c>
      <c r="T4859" t="s">
        <v>1040</v>
      </c>
      <c r="U4859">
        <v>0</v>
      </c>
    </row>
    <row r="4860" spans="1:21" x14ac:dyDescent="0.25">
      <c r="A4860" t="s">
        <v>49</v>
      </c>
      <c r="B4860" t="s">
        <v>979</v>
      </c>
      <c r="C4860">
        <v>2</v>
      </c>
      <c r="D4860" t="s">
        <v>35</v>
      </c>
      <c r="E4860" t="s">
        <v>94</v>
      </c>
      <c r="F4860" t="s">
        <v>112</v>
      </c>
      <c r="G4860" t="s">
        <v>112</v>
      </c>
      <c r="H4860" t="s">
        <v>103</v>
      </c>
      <c r="J4860">
        <v>0</v>
      </c>
      <c r="K4860">
        <v>1</v>
      </c>
      <c r="L4860">
        <v>65.09375</v>
      </c>
      <c r="M4860">
        <v>37.895352600000002</v>
      </c>
      <c r="N4860">
        <v>2.2882677779999998</v>
      </c>
      <c r="O4860">
        <v>2.2111774</v>
      </c>
      <c r="P4860">
        <v>98.291666669999998</v>
      </c>
      <c r="Q4860">
        <v>30.315130790000001</v>
      </c>
      <c r="R4860">
        <v>5.0803484000000003E-2</v>
      </c>
      <c r="S4860">
        <v>0.42866070000000001</v>
      </c>
      <c r="T4860" t="s">
        <v>1040</v>
      </c>
      <c r="U4860">
        <v>1.7825167</v>
      </c>
    </row>
    <row r="4861" spans="1:21" x14ac:dyDescent="0.25">
      <c r="A4861" t="s">
        <v>79</v>
      </c>
      <c r="B4861" t="s">
        <v>980</v>
      </c>
      <c r="C4861">
        <v>6</v>
      </c>
      <c r="D4861" t="s">
        <v>11</v>
      </c>
      <c r="E4861" t="s">
        <v>95</v>
      </c>
      <c r="F4861" t="s">
        <v>113</v>
      </c>
      <c r="G4861" t="s">
        <v>113</v>
      </c>
      <c r="H4861" t="s">
        <v>113</v>
      </c>
      <c r="J4861">
        <v>0</v>
      </c>
      <c r="K4861">
        <v>4</v>
      </c>
      <c r="L4861">
        <v>83.757575759999995</v>
      </c>
      <c r="M4861">
        <v>22.60997987</v>
      </c>
      <c r="N4861">
        <v>0.72884000000000004</v>
      </c>
      <c r="O4861">
        <v>0.21301339999999999</v>
      </c>
      <c r="P4861">
        <v>83.757575759999995</v>
      </c>
      <c r="Q4861">
        <v>22.60997987</v>
      </c>
      <c r="R4861">
        <v>0.72884000000000004</v>
      </c>
      <c r="S4861">
        <v>0.21301339999999999</v>
      </c>
      <c r="T4861" t="s">
        <v>1040</v>
      </c>
      <c r="U4861">
        <v>0</v>
      </c>
    </row>
    <row r="4862" spans="1:21" x14ac:dyDescent="0.25">
      <c r="A4862" t="s">
        <v>79</v>
      </c>
      <c r="B4862" t="s">
        <v>980</v>
      </c>
      <c r="C4862">
        <v>6</v>
      </c>
      <c r="D4862" t="s">
        <v>11</v>
      </c>
      <c r="E4862" t="s">
        <v>95</v>
      </c>
      <c r="F4862" t="s">
        <v>113</v>
      </c>
      <c r="G4862" t="s">
        <v>113</v>
      </c>
      <c r="H4862" t="s">
        <v>113</v>
      </c>
      <c r="J4862">
        <v>0</v>
      </c>
      <c r="K4862">
        <v>4</v>
      </c>
      <c r="L4862">
        <v>83.757575759999995</v>
      </c>
      <c r="M4862">
        <v>22.60997987</v>
      </c>
      <c r="N4862">
        <v>0.72884000000000004</v>
      </c>
      <c r="O4862">
        <v>0.21301339999999999</v>
      </c>
      <c r="P4862">
        <v>83.757575759999995</v>
      </c>
      <c r="Q4862">
        <v>22.60997987</v>
      </c>
      <c r="R4862">
        <v>0.72884000000000004</v>
      </c>
      <c r="S4862">
        <v>0.21301339999999999</v>
      </c>
      <c r="T4862" t="s">
        <v>1040</v>
      </c>
      <c r="U4862">
        <v>0</v>
      </c>
    </row>
    <row r="4863" spans="1:21" x14ac:dyDescent="0.25">
      <c r="A4863" t="s">
        <v>79</v>
      </c>
      <c r="B4863" t="s">
        <v>980</v>
      </c>
      <c r="C4863">
        <v>6</v>
      </c>
      <c r="D4863" t="s">
        <v>11</v>
      </c>
      <c r="E4863" t="s">
        <v>95</v>
      </c>
      <c r="F4863" t="s">
        <v>113</v>
      </c>
      <c r="G4863" t="s">
        <v>113</v>
      </c>
      <c r="H4863" t="s">
        <v>113</v>
      </c>
      <c r="J4863">
        <v>0</v>
      </c>
      <c r="K4863">
        <v>4</v>
      </c>
      <c r="L4863">
        <v>83.757575759999995</v>
      </c>
      <c r="M4863">
        <v>22.60997987</v>
      </c>
      <c r="N4863">
        <v>0.72884000000000004</v>
      </c>
      <c r="O4863">
        <v>0.21301339999999999</v>
      </c>
      <c r="P4863">
        <v>83.757575759999995</v>
      </c>
      <c r="Q4863">
        <v>22.60997987</v>
      </c>
      <c r="R4863">
        <v>0.72884000000000004</v>
      </c>
      <c r="S4863">
        <v>0.21301339999999999</v>
      </c>
      <c r="T4863" t="s">
        <v>1040</v>
      </c>
      <c r="U4863">
        <v>0</v>
      </c>
    </row>
    <row r="4864" spans="1:21" x14ac:dyDescent="0.25">
      <c r="A4864" t="s">
        <v>79</v>
      </c>
      <c r="B4864" t="s">
        <v>980</v>
      </c>
      <c r="C4864">
        <v>6</v>
      </c>
      <c r="D4864" t="s">
        <v>11</v>
      </c>
      <c r="E4864" t="s">
        <v>95</v>
      </c>
      <c r="F4864" t="s">
        <v>113</v>
      </c>
      <c r="G4864" t="s">
        <v>113</v>
      </c>
      <c r="H4864" t="s">
        <v>113</v>
      </c>
      <c r="J4864">
        <v>0</v>
      </c>
      <c r="K4864">
        <v>4</v>
      </c>
      <c r="L4864">
        <v>83.757575759999995</v>
      </c>
      <c r="M4864">
        <v>22.60997987</v>
      </c>
      <c r="N4864">
        <v>0.72884000000000004</v>
      </c>
      <c r="O4864">
        <v>0.21301339999999999</v>
      </c>
      <c r="P4864">
        <v>83.757575759999995</v>
      </c>
      <c r="Q4864">
        <v>22.60997987</v>
      </c>
      <c r="R4864">
        <v>0.72884000000000004</v>
      </c>
      <c r="S4864">
        <v>0.21301339999999999</v>
      </c>
      <c r="T4864" t="s">
        <v>1040</v>
      </c>
      <c r="U4864">
        <v>0</v>
      </c>
    </row>
    <row r="4865" spans="1:21" x14ac:dyDescent="0.25">
      <c r="A4865" t="s">
        <v>79</v>
      </c>
      <c r="B4865" t="s">
        <v>981</v>
      </c>
      <c r="C4865">
        <v>6</v>
      </c>
      <c r="D4865" t="s">
        <v>11</v>
      </c>
      <c r="E4865" t="s">
        <v>95</v>
      </c>
      <c r="F4865" t="s">
        <v>103</v>
      </c>
      <c r="G4865" t="s">
        <v>113</v>
      </c>
      <c r="H4865" t="s">
        <v>113</v>
      </c>
      <c r="J4865">
        <v>0</v>
      </c>
      <c r="K4865">
        <v>7</v>
      </c>
      <c r="L4865">
        <v>98.291666669999998</v>
      </c>
      <c r="M4865">
        <v>30.315130790000001</v>
      </c>
      <c r="N4865">
        <v>5.0803484000000003E-2</v>
      </c>
      <c r="O4865">
        <v>0.42866070000000001</v>
      </c>
      <c r="P4865">
        <v>83.757575759999995</v>
      </c>
      <c r="Q4865">
        <v>22.60997987</v>
      </c>
      <c r="R4865">
        <v>0.72884000000000004</v>
      </c>
      <c r="S4865">
        <v>0.21301339999999999</v>
      </c>
      <c r="T4865" t="s">
        <v>1040</v>
      </c>
      <c r="U4865">
        <v>0.21564730000000001</v>
      </c>
    </row>
    <row r="4866" spans="1:21" x14ac:dyDescent="0.25">
      <c r="A4866" t="s">
        <v>79</v>
      </c>
      <c r="B4866" t="s">
        <v>981</v>
      </c>
      <c r="C4866">
        <v>6</v>
      </c>
      <c r="D4866" t="s">
        <v>11</v>
      </c>
      <c r="E4866" t="s">
        <v>95</v>
      </c>
      <c r="F4866" t="s">
        <v>103</v>
      </c>
      <c r="G4866" t="s">
        <v>113</v>
      </c>
      <c r="H4866" t="s">
        <v>113</v>
      </c>
      <c r="J4866">
        <v>0</v>
      </c>
      <c r="K4866">
        <v>7</v>
      </c>
      <c r="L4866">
        <v>98.291666669999998</v>
      </c>
      <c r="M4866">
        <v>30.315130790000001</v>
      </c>
      <c r="N4866">
        <v>5.0803484000000003E-2</v>
      </c>
      <c r="O4866">
        <v>0.42866070000000001</v>
      </c>
      <c r="P4866">
        <v>83.757575759999995</v>
      </c>
      <c r="Q4866">
        <v>22.60997987</v>
      </c>
      <c r="R4866">
        <v>0.72884000000000004</v>
      </c>
      <c r="S4866">
        <v>0.21301339999999999</v>
      </c>
      <c r="T4866" t="s">
        <v>1040</v>
      </c>
      <c r="U4866">
        <v>0.21564730000000001</v>
      </c>
    </row>
    <row r="4867" spans="1:21" x14ac:dyDescent="0.25">
      <c r="A4867" t="s">
        <v>79</v>
      </c>
      <c r="B4867" t="s">
        <v>981</v>
      </c>
      <c r="C4867">
        <v>6</v>
      </c>
      <c r="D4867" t="s">
        <v>11</v>
      </c>
      <c r="E4867" t="s">
        <v>95</v>
      </c>
      <c r="F4867" t="s">
        <v>103</v>
      </c>
      <c r="G4867" t="s">
        <v>113</v>
      </c>
      <c r="H4867" t="s">
        <v>113</v>
      </c>
      <c r="J4867">
        <v>0</v>
      </c>
      <c r="K4867">
        <v>7</v>
      </c>
      <c r="L4867">
        <v>98.291666669999998</v>
      </c>
      <c r="M4867">
        <v>30.315130790000001</v>
      </c>
      <c r="N4867">
        <v>5.0803484000000003E-2</v>
      </c>
      <c r="O4867">
        <v>0.42866070000000001</v>
      </c>
      <c r="P4867">
        <v>83.757575759999995</v>
      </c>
      <c r="Q4867">
        <v>22.60997987</v>
      </c>
      <c r="R4867">
        <v>0.72884000000000004</v>
      </c>
      <c r="S4867">
        <v>0.21301339999999999</v>
      </c>
      <c r="T4867" t="s">
        <v>1040</v>
      </c>
      <c r="U4867">
        <v>0.21564730000000001</v>
      </c>
    </row>
    <row r="4868" spans="1:21" x14ac:dyDescent="0.25">
      <c r="A4868" t="s">
        <v>79</v>
      </c>
      <c r="B4868" t="s">
        <v>981</v>
      </c>
      <c r="C4868">
        <v>6</v>
      </c>
      <c r="D4868" t="s">
        <v>11</v>
      </c>
      <c r="E4868" t="s">
        <v>95</v>
      </c>
      <c r="F4868" t="s">
        <v>103</v>
      </c>
      <c r="G4868" t="s">
        <v>113</v>
      </c>
      <c r="H4868" t="s">
        <v>113</v>
      </c>
      <c r="J4868">
        <v>0</v>
      </c>
      <c r="K4868">
        <v>7</v>
      </c>
      <c r="L4868">
        <v>98.291666669999998</v>
      </c>
      <c r="M4868">
        <v>30.315130790000001</v>
      </c>
      <c r="N4868">
        <v>5.0803484000000003E-2</v>
      </c>
      <c r="O4868">
        <v>0.42866070000000001</v>
      </c>
      <c r="P4868">
        <v>83.757575759999995</v>
      </c>
      <c r="Q4868">
        <v>22.60997987</v>
      </c>
      <c r="R4868">
        <v>0.72884000000000004</v>
      </c>
      <c r="S4868">
        <v>0.21301339999999999</v>
      </c>
      <c r="T4868" t="s">
        <v>1040</v>
      </c>
      <c r="U4868">
        <v>0.21564730000000001</v>
      </c>
    </row>
    <row r="4869" spans="1:21" x14ac:dyDescent="0.25">
      <c r="A4869" t="s">
        <v>79</v>
      </c>
      <c r="B4869" t="s">
        <v>981</v>
      </c>
      <c r="C4869">
        <v>6</v>
      </c>
      <c r="D4869" t="s">
        <v>11</v>
      </c>
      <c r="E4869" t="s">
        <v>95</v>
      </c>
      <c r="F4869" t="s">
        <v>103</v>
      </c>
      <c r="G4869" t="s">
        <v>113</v>
      </c>
      <c r="H4869" t="s">
        <v>113</v>
      </c>
      <c r="J4869">
        <v>0</v>
      </c>
      <c r="K4869">
        <v>7</v>
      </c>
      <c r="L4869">
        <v>98.291666669999998</v>
      </c>
      <c r="M4869">
        <v>30.315130790000001</v>
      </c>
      <c r="N4869">
        <v>5.0803484000000003E-2</v>
      </c>
      <c r="O4869">
        <v>0.42866070000000001</v>
      </c>
      <c r="P4869">
        <v>83.757575759999995</v>
      </c>
      <c r="Q4869">
        <v>22.60997987</v>
      </c>
      <c r="R4869">
        <v>0.72884000000000004</v>
      </c>
      <c r="S4869">
        <v>0.21301339999999999</v>
      </c>
      <c r="T4869" t="s">
        <v>1040</v>
      </c>
      <c r="U4869">
        <v>0.21564730000000001</v>
      </c>
    </row>
    <row r="4870" spans="1:21" x14ac:dyDescent="0.25">
      <c r="A4870" t="s">
        <v>79</v>
      </c>
      <c r="B4870" t="s">
        <v>981</v>
      </c>
      <c r="C4870">
        <v>6</v>
      </c>
      <c r="D4870" t="s">
        <v>11</v>
      </c>
      <c r="E4870" t="s">
        <v>95</v>
      </c>
      <c r="F4870" t="s">
        <v>103</v>
      </c>
      <c r="G4870" t="s">
        <v>113</v>
      </c>
      <c r="H4870" t="s">
        <v>113</v>
      </c>
      <c r="J4870">
        <v>0</v>
      </c>
      <c r="K4870">
        <v>7</v>
      </c>
      <c r="L4870">
        <v>98.291666669999998</v>
      </c>
      <c r="M4870">
        <v>30.315130790000001</v>
      </c>
      <c r="N4870">
        <v>5.0803484000000003E-2</v>
      </c>
      <c r="O4870">
        <v>0.42866070000000001</v>
      </c>
      <c r="P4870">
        <v>83.757575759999995</v>
      </c>
      <c r="Q4870">
        <v>22.60997987</v>
      </c>
      <c r="R4870">
        <v>0.72884000000000004</v>
      </c>
      <c r="S4870">
        <v>0.21301339999999999</v>
      </c>
      <c r="T4870" t="s">
        <v>1040</v>
      </c>
      <c r="U4870">
        <v>0.21564730000000001</v>
      </c>
    </row>
    <row r="4871" spans="1:21" x14ac:dyDescent="0.25">
      <c r="A4871" t="s">
        <v>79</v>
      </c>
      <c r="B4871" t="s">
        <v>981</v>
      </c>
      <c r="C4871">
        <v>6</v>
      </c>
      <c r="D4871" t="s">
        <v>11</v>
      </c>
      <c r="E4871" t="s">
        <v>95</v>
      </c>
      <c r="F4871" t="s">
        <v>103</v>
      </c>
      <c r="G4871" t="s">
        <v>113</v>
      </c>
      <c r="H4871" t="s">
        <v>113</v>
      </c>
      <c r="J4871">
        <v>0</v>
      </c>
      <c r="K4871">
        <v>7</v>
      </c>
      <c r="L4871">
        <v>98.291666669999998</v>
      </c>
      <c r="M4871">
        <v>30.315130790000001</v>
      </c>
      <c r="N4871">
        <v>5.0803484000000003E-2</v>
      </c>
      <c r="O4871">
        <v>0.42866070000000001</v>
      </c>
      <c r="P4871">
        <v>83.757575759999995</v>
      </c>
      <c r="Q4871">
        <v>22.60997987</v>
      </c>
      <c r="R4871">
        <v>0.72884000000000004</v>
      </c>
      <c r="S4871">
        <v>0.21301339999999999</v>
      </c>
      <c r="T4871" t="s">
        <v>1040</v>
      </c>
      <c r="U4871">
        <v>0.21564730000000001</v>
      </c>
    </row>
    <row r="4872" spans="1:21" x14ac:dyDescent="0.25">
      <c r="A4872" t="s">
        <v>79</v>
      </c>
      <c r="B4872" t="s">
        <v>981</v>
      </c>
      <c r="C4872">
        <v>6</v>
      </c>
      <c r="D4872" t="s">
        <v>11</v>
      </c>
      <c r="E4872" t="s">
        <v>95</v>
      </c>
      <c r="F4872" t="s">
        <v>103</v>
      </c>
      <c r="G4872" t="s">
        <v>113</v>
      </c>
      <c r="H4872" t="s">
        <v>103</v>
      </c>
      <c r="J4872">
        <v>0</v>
      </c>
      <c r="K4872">
        <v>4</v>
      </c>
      <c r="L4872">
        <v>98.291666669999998</v>
      </c>
      <c r="M4872">
        <v>30.315130790000001</v>
      </c>
      <c r="N4872">
        <v>5.0803484000000003E-2</v>
      </c>
      <c r="O4872">
        <v>0.42866070000000001</v>
      </c>
      <c r="P4872">
        <v>98.291666669999998</v>
      </c>
      <c r="Q4872">
        <v>30.315130790000001</v>
      </c>
      <c r="R4872">
        <v>5.0803484000000003E-2</v>
      </c>
      <c r="S4872">
        <v>0.42866070000000001</v>
      </c>
      <c r="T4872" t="s">
        <v>1040</v>
      </c>
      <c r="U4872">
        <v>0</v>
      </c>
    </row>
    <row r="4873" spans="1:21" x14ac:dyDescent="0.25">
      <c r="A4873" t="s">
        <v>79</v>
      </c>
      <c r="B4873" t="s">
        <v>981</v>
      </c>
      <c r="C4873">
        <v>6</v>
      </c>
      <c r="D4873" t="s">
        <v>11</v>
      </c>
      <c r="E4873" t="s">
        <v>95</v>
      </c>
      <c r="F4873" t="s">
        <v>103</v>
      </c>
      <c r="G4873" t="s">
        <v>113</v>
      </c>
      <c r="H4873" t="s">
        <v>103</v>
      </c>
      <c r="J4873">
        <v>0</v>
      </c>
      <c r="K4873">
        <v>4</v>
      </c>
      <c r="L4873">
        <v>98.291666669999998</v>
      </c>
      <c r="M4873">
        <v>30.315130790000001</v>
      </c>
      <c r="N4873">
        <v>5.0803484000000003E-2</v>
      </c>
      <c r="O4873">
        <v>0.42866070000000001</v>
      </c>
      <c r="P4873">
        <v>98.291666669999998</v>
      </c>
      <c r="Q4873">
        <v>30.315130790000001</v>
      </c>
      <c r="R4873">
        <v>5.0803484000000003E-2</v>
      </c>
      <c r="S4873">
        <v>0.42866070000000001</v>
      </c>
      <c r="T4873" t="s">
        <v>1040</v>
      </c>
      <c r="U4873">
        <v>0</v>
      </c>
    </row>
    <row r="4874" spans="1:21" x14ac:dyDescent="0.25">
      <c r="A4874" t="s">
        <v>79</v>
      </c>
      <c r="B4874" t="s">
        <v>981</v>
      </c>
      <c r="C4874">
        <v>6</v>
      </c>
      <c r="D4874" t="s">
        <v>11</v>
      </c>
      <c r="E4874" t="s">
        <v>95</v>
      </c>
      <c r="F4874" t="s">
        <v>103</v>
      </c>
      <c r="G4874" t="s">
        <v>113</v>
      </c>
      <c r="H4874" t="s">
        <v>103</v>
      </c>
      <c r="J4874">
        <v>0</v>
      </c>
      <c r="K4874">
        <v>4</v>
      </c>
      <c r="L4874">
        <v>98.291666669999998</v>
      </c>
      <c r="M4874">
        <v>30.315130790000001</v>
      </c>
      <c r="N4874">
        <v>5.0803484000000003E-2</v>
      </c>
      <c r="O4874">
        <v>0.42866070000000001</v>
      </c>
      <c r="P4874">
        <v>98.291666669999998</v>
      </c>
      <c r="Q4874">
        <v>30.315130790000001</v>
      </c>
      <c r="R4874">
        <v>5.0803484000000003E-2</v>
      </c>
      <c r="S4874">
        <v>0.42866070000000001</v>
      </c>
      <c r="T4874" t="s">
        <v>1040</v>
      </c>
      <c r="U4874">
        <v>0</v>
      </c>
    </row>
    <row r="4875" spans="1:21" x14ac:dyDescent="0.25">
      <c r="A4875" t="s">
        <v>79</v>
      </c>
      <c r="B4875" t="s">
        <v>981</v>
      </c>
      <c r="C4875">
        <v>6</v>
      </c>
      <c r="D4875" t="s">
        <v>11</v>
      </c>
      <c r="E4875" t="s">
        <v>95</v>
      </c>
      <c r="F4875" t="s">
        <v>103</v>
      </c>
      <c r="G4875" t="s">
        <v>113</v>
      </c>
      <c r="H4875" t="s">
        <v>103</v>
      </c>
      <c r="J4875">
        <v>0</v>
      </c>
      <c r="K4875">
        <v>4</v>
      </c>
      <c r="L4875">
        <v>98.291666669999998</v>
      </c>
      <c r="M4875">
        <v>30.315130790000001</v>
      </c>
      <c r="N4875">
        <v>5.0803484000000003E-2</v>
      </c>
      <c r="O4875">
        <v>0.42866070000000001</v>
      </c>
      <c r="P4875">
        <v>98.291666669999998</v>
      </c>
      <c r="Q4875">
        <v>30.315130790000001</v>
      </c>
      <c r="R4875">
        <v>5.0803484000000003E-2</v>
      </c>
      <c r="S4875">
        <v>0.42866070000000001</v>
      </c>
      <c r="T4875" t="s">
        <v>1040</v>
      </c>
      <c r="U4875">
        <v>0</v>
      </c>
    </row>
    <row r="4876" spans="1:21" x14ac:dyDescent="0.25">
      <c r="A4876" t="s">
        <v>79</v>
      </c>
      <c r="B4876" t="s">
        <v>982</v>
      </c>
      <c r="C4876">
        <v>6</v>
      </c>
      <c r="D4876" t="s">
        <v>11</v>
      </c>
      <c r="E4876" t="s">
        <v>95</v>
      </c>
      <c r="F4876" t="s">
        <v>111</v>
      </c>
      <c r="G4876" t="s">
        <v>113</v>
      </c>
      <c r="H4876" t="s">
        <v>234</v>
      </c>
      <c r="J4876">
        <v>0</v>
      </c>
      <c r="K4876">
        <v>1</v>
      </c>
      <c r="L4876">
        <v>94.97142857</v>
      </c>
      <c r="M4876">
        <v>24.31591813</v>
      </c>
      <c r="N4876">
        <v>0.122951111</v>
      </c>
      <c r="O4876">
        <v>0.39050790000000002</v>
      </c>
      <c r="P4876">
        <v>89.8125</v>
      </c>
      <c r="Q4876">
        <v>34.754706650000003</v>
      </c>
      <c r="R4876">
        <v>2.3065078999999999E-2</v>
      </c>
      <c r="S4876">
        <v>2.4791666700000001</v>
      </c>
      <c r="T4876" t="s">
        <v>1040</v>
      </c>
      <c r="U4876">
        <v>-2.0886587700000003</v>
      </c>
    </row>
    <row r="4877" spans="1:21" x14ac:dyDescent="0.25">
      <c r="A4877" t="s">
        <v>79</v>
      </c>
      <c r="B4877" t="s">
        <v>982</v>
      </c>
      <c r="C4877">
        <v>6</v>
      </c>
      <c r="D4877" t="s">
        <v>11</v>
      </c>
      <c r="E4877" t="s">
        <v>95</v>
      </c>
      <c r="F4877" t="s">
        <v>111</v>
      </c>
      <c r="G4877" t="s">
        <v>113</v>
      </c>
      <c r="H4877" t="s">
        <v>113</v>
      </c>
      <c r="J4877">
        <v>0</v>
      </c>
      <c r="K4877">
        <v>5</v>
      </c>
      <c r="L4877">
        <v>94.97142857</v>
      </c>
      <c r="M4877">
        <v>24.31591813</v>
      </c>
      <c r="N4877">
        <v>0.122951111</v>
      </c>
      <c r="O4877">
        <v>0.39050790000000002</v>
      </c>
      <c r="P4877">
        <v>83.757575759999995</v>
      </c>
      <c r="Q4877">
        <v>22.60997987</v>
      </c>
      <c r="R4877">
        <v>0.72884000000000004</v>
      </c>
      <c r="S4877">
        <v>0.21301339999999999</v>
      </c>
      <c r="T4877" t="s">
        <v>1040</v>
      </c>
      <c r="U4877">
        <v>0.17749450000000003</v>
      </c>
    </row>
    <row r="4878" spans="1:21" x14ac:dyDescent="0.25">
      <c r="A4878" t="s">
        <v>79</v>
      </c>
      <c r="B4878" t="s">
        <v>982</v>
      </c>
      <c r="C4878">
        <v>6</v>
      </c>
      <c r="D4878" t="s">
        <v>11</v>
      </c>
      <c r="E4878" t="s">
        <v>95</v>
      </c>
      <c r="F4878" t="s">
        <v>111</v>
      </c>
      <c r="G4878" t="s">
        <v>113</v>
      </c>
      <c r="H4878" t="s">
        <v>113</v>
      </c>
      <c r="J4878">
        <v>0</v>
      </c>
      <c r="K4878">
        <v>5</v>
      </c>
      <c r="L4878">
        <v>94.97142857</v>
      </c>
      <c r="M4878">
        <v>24.31591813</v>
      </c>
      <c r="N4878">
        <v>0.122951111</v>
      </c>
      <c r="O4878">
        <v>0.39050790000000002</v>
      </c>
      <c r="P4878">
        <v>83.757575759999995</v>
      </c>
      <c r="Q4878">
        <v>22.60997987</v>
      </c>
      <c r="R4878">
        <v>0.72884000000000004</v>
      </c>
      <c r="S4878">
        <v>0.21301339999999999</v>
      </c>
      <c r="T4878" t="s">
        <v>1040</v>
      </c>
      <c r="U4878">
        <v>0.17749450000000003</v>
      </c>
    </row>
    <row r="4879" spans="1:21" x14ac:dyDescent="0.25">
      <c r="A4879" t="s">
        <v>79</v>
      </c>
      <c r="B4879" t="s">
        <v>982</v>
      </c>
      <c r="C4879">
        <v>6</v>
      </c>
      <c r="D4879" t="s">
        <v>11</v>
      </c>
      <c r="E4879" t="s">
        <v>95</v>
      </c>
      <c r="F4879" t="s">
        <v>111</v>
      </c>
      <c r="G4879" t="s">
        <v>113</v>
      </c>
      <c r="H4879" t="s">
        <v>113</v>
      </c>
      <c r="J4879">
        <v>0</v>
      </c>
      <c r="K4879">
        <v>5</v>
      </c>
      <c r="L4879">
        <v>94.97142857</v>
      </c>
      <c r="M4879">
        <v>24.31591813</v>
      </c>
      <c r="N4879">
        <v>0.122951111</v>
      </c>
      <c r="O4879">
        <v>0.39050790000000002</v>
      </c>
      <c r="P4879">
        <v>83.757575759999995</v>
      </c>
      <c r="Q4879">
        <v>22.60997987</v>
      </c>
      <c r="R4879">
        <v>0.72884000000000004</v>
      </c>
      <c r="S4879">
        <v>0.21301339999999999</v>
      </c>
      <c r="T4879" t="s">
        <v>1040</v>
      </c>
      <c r="U4879">
        <v>0.17749450000000003</v>
      </c>
    </row>
    <row r="4880" spans="1:21" x14ac:dyDescent="0.25">
      <c r="A4880" t="s">
        <v>79</v>
      </c>
      <c r="B4880" t="s">
        <v>982</v>
      </c>
      <c r="C4880">
        <v>6</v>
      </c>
      <c r="D4880" t="s">
        <v>11</v>
      </c>
      <c r="E4880" t="s">
        <v>95</v>
      </c>
      <c r="F4880" t="s">
        <v>111</v>
      </c>
      <c r="G4880" t="s">
        <v>113</v>
      </c>
      <c r="H4880" t="s">
        <v>113</v>
      </c>
      <c r="J4880">
        <v>0</v>
      </c>
      <c r="K4880">
        <v>5</v>
      </c>
      <c r="L4880">
        <v>94.97142857</v>
      </c>
      <c r="M4880">
        <v>24.31591813</v>
      </c>
      <c r="N4880">
        <v>0.122951111</v>
      </c>
      <c r="O4880">
        <v>0.39050790000000002</v>
      </c>
      <c r="P4880">
        <v>83.757575759999995</v>
      </c>
      <c r="Q4880">
        <v>22.60997987</v>
      </c>
      <c r="R4880">
        <v>0.72884000000000004</v>
      </c>
      <c r="S4880">
        <v>0.21301339999999999</v>
      </c>
      <c r="T4880" t="s">
        <v>1040</v>
      </c>
      <c r="U4880">
        <v>0.17749450000000003</v>
      </c>
    </row>
    <row r="4881" spans="1:21" x14ac:dyDescent="0.25">
      <c r="A4881" t="s">
        <v>79</v>
      </c>
      <c r="B4881" t="s">
        <v>982</v>
      </c>
      <c r="C4881">
        <v>6</v>
      </c>
      <c r="D4881" t="s">
        <v>11</v>
      </c>
      <c r="E4881" t="s">
        <v>95</v>
      </c>
      <c r="F4881" t="s">
        <v>111</v>
      </c>
      <c r="G4881" t="s">
        <v>113</v>
      </c>
      <c r="H4881" t="s">
        <v>113</v>
      </c>
      <c r="J4881">
        <v>0</v>
      </c>
      <c r="K4881">
        <v>5</v>
      </c>
      <c r="L4881">
        <v>94.97142857</v>
      </c>
      <c r="M4881">
        <v>24.31591813</v>
      </c>
      <c r="N4881">
        <v>0.122951111</v>
      </c>
      <c r="O4881">
        <v>0.39050790000000002</v>
      </c>
      <c r="P4881">
        <v>83.757575759999995</v>
      </c>
      <c r="Q4881">
        <v>22.60997987</v>
      </c>
      <c r="R4881">
        <v>0.72884000000000004</v>
      </c>
      <c r="S4881">
        <v>0.21301339999999999</v>
      </c>
      <c r="T4881" t="s">
        <v>1040</v>
      </c>
      <c r="U4881">
        <v>0.17749450000000003</v>
      </c>
    </row>
    <row r="4882" spans="1:21" x14ac:dyDescent="0.25">
      <c r="A4882" t="s">
        <v>79</v>
      </c>
      <c r="B4882" t="s">
        <v>982</v>
      </c>
      <c r="C4882">
        <v>6</v>
      </c>
      <c r="D4882" t="s">
        <v>11</v>
      </c>
      <c r="E4882" t="s">
        <v>95</v>
      </c>
      <c r="F4882" t="s">
        <v>111</v>
      </c>
      <c r="G4882" t="s">
        <v>113</v>
      </c>
      <c r="H4882" t="s">
        <v>103</v>
      </c>
      <c r="J4882">
        <v>0</v>
      </c>
      <c r="K4882">
        <v>1</v>
      </c>
      <c r="L4882">
        <v>94.97142857</v>
      </c>
      <c r="M4882">
        <v>24.31591813</v>
      </c>
      <c r="N4882">
        <v>0.122951111</v>
      </c>
      <c r="O4882">
        <v>0.39050790000000002</v>
      </c>
      <c r="P4882">
        <v>98.291666669999998</v>
      </c>
      <c r="Q4882">
        <v>30.315130790000001</v>
      </c>
      <c r="R4882">
        <v>5.0803484000000003E-2</v>
      </c>
      <c r="S4882">
        <v>0.42866070000000001</v>
      </c>
      <c r="T4882" t="s">
        <v>1040</v>
      </c>
      <c r="U4882">
        <v>-3.8152799999999987E-2</v>
      </c>
    </row>
    <row r="4883" spans="1:21" x14ac:dyDescent="0.25">
      <c r="A4883" t="s">
        <v>80</v>
      </c>
      <c r="B4883" t="s">
        <v>983</v>
      </c>
      <c r="C4883">
        <v>6</v>
      </c>
      <c r="D4883" t="s">
        <v>15</v>
      </c>
      <c r="E4883" t="s">
        <v>95</v>
      </c>
      <c r="F4883" t="s">
        <v>105</v>
      </c>
      <c r="G4883" t="s">
        <v>121</v>
      </c>
      <c r="H4883" t="s">
        <v>113</v>
      </c>
      <c r="J4883">
        <v>0</v>
      </c>
      <c r="K4883">
        <v>1</v>
      </c>
      <c r="L4883">
        <v>67.5</v>
      </c>
      <c r="M4883">
        <v>47.937235809999997</v>
      </c>
      <c r="N4883">
        <v>0.41599678000000001</v>
      </c>
      <c r="O4883">
        <v>2.0950346999999998</v>
      </c>
      <c r="P4883">
        <v>83.757575759999995</v>
      </c>
      <c r="Q4883">
        <v>22.60997987</v>
      </c>
      <c r="R4883">
        <v>0.72884000000000004</v>
      </c>
      <c r="S4883">
        <v>0.21301339999999999</v>
      </c>
      <c r="T4883" t="s">
        <v>1040</v>
      </c>
      <c r="U4883">
        <v>1.8820212999999999</v>
      </c>
    </row>
    <row r="4884" spans="1:21" x14ac:dyDescent="0.25">
      <c r="A4884" t="s">
        <v>80</v>
      </c>
      <c r="B4884" t="s">
        <v>983</v>
      </c>
      <c r="C4884">
        <v>6</v>
      </c>
      <c r="D4884" t="s">
        <v>15</v>
      </c>
      <c r="E4884" t="s">
        <v>95</v>
      </c>
      <c r="F4884" t="s">
        <v>105</v>
      </c>
      <c r="G4884" t="s">
        <v>121</v>
      </c>
      <c r="H4884" t="s">
        <v>103</v>
      </c>
      <c r="J4884">
        <v>0</v>
      </c>
      <c r="K4884">
        <v>9</v>
      </c>
      <c r="L4884">
        <v>67.5</v>
      </c>
      <c r="M4884">
        <v>47.937235809999997</v>
      </c>
      <c r="N4884">
        <v>0.41599678000000001</v>
      </c>
      <c r="O4884">
        <v>2.0950346999999998</v>
      </c>
      <c r="P4884">
        <v>98.291666669999998</v>
      </c>
      <c r="Q4884">
        <v>30.315130790000001</v>
      </c>
      <c r="R4884">
        <v>5.0803484000000003E-2</v>
      </c>
      <c r="S4884">
        <v>0.42866070000000001</v>
      </c>
      <c r="T4884" t="s">
        <v>1040</v>
      </c>
      <c r="U4884">
        <v>1.6663739999999998</v>
      </c>
    </row>
    <row r="4885" spans="1:21" x14ac:dyDescent="0.25">
      <c r="A4885" t="s">
        <v>80</v>
      </c>
      <c r="B4885" t="s">
        <v>983</v>
      </c>
      <c r="C4885">
        <v>6</v>
      </c>
      <c r="D4885" t="s">
        <v>15</v>
      </c>
      <c r="E4885" t="s">
        <v>95</v>
      </c>
      <c r="F4885" t="s">
        <v>105</v>
      </c>
      <c r="G4885" t="s">
        <v>121</v>
      </c>
      <c r="H4885" t="s">
        <v>103</v>
      </c>
      <c r="J4885">
        <v>0</v>
      </c>
      <c r="K4885">
        <v>9</v>
      </c>
      <c r="L4885">
        <v>67.5</v>
      </c>
      <c r="M4885">
        <v>47.937235809999997</v>
      </c>
      <c r="N4885">
        <v>0.41599678000000001</v>
      </c>
      <c r="O4885">
        <v>2.0950346999999998</v>
      </c>
      <c r="P4885">
        <v>98.291666669999998</v>
      </c>
      <c r="Q4885">
        <v>30.315130790000001</v>
      </c>
      <c r="R4885">
        <v>5.0803484000000003E-2</v>
      </c>
      <c r="S4885">
        <v>0.42866070000000001</v>
      </c>
      <c r="T4885" t="s">
        <v>1040</v>
      </c>
      <c r="U4885">
        <v>1.6663739999999998</v>
      </c>
    </row>
    <row r="4886" spans="1:21" x14ac:dyDescent="0.25">
      <c r="A4886" t="s">
        <v>80</v>
      </c>
      <c r="B4886" t="s">
        <v>983</v>
      </c>
      <c r="C4886">
        <v>6</v>
      </c>
      <c r="D4886" t="s">
        <v>15</v>
      </c>
      <c r="E4886" t="s">
        <v>95</v>
      </c>
      <c r="F4886" t="s">
        <v>105</v>
      </c>
      <c r="G4886" t="s">
        <v>121</v>
      </c>
      <c r="H4886" t="s">
        <v>103</v>
      </c>
      <c r="J4886">
        <v>0</v>
      </c>
      <c r="K4886">
        <v>9</v>
      </c>
      <c r="L4886">
        <v>67.5</v>
      </c>
      <c r="M4886">
        <v>47.937235809999997</v>
      </c>
      <c r="N4886">
        <v>0.41599678000000001</v>
      </c>
      <c r="O4886">
        <v>2.0950346999999998</v>
      </c>
      <c r="P4886">
        <v>98.291666669999998</v>
      </c>
      <c r="Q4886">
        <v>30.315130790000001</v>
      </c>
      <c r="R4886">
        <v>5.0803484000000003E-2</v>
      </c>
      <c r="S4886">
        <v>0.42866070000000001</v>
      </c>
      <c r="T4886" t="s">
        <v>1040</v>
      </c>
      <c r="U4886">
        <v>1.6663739999999998</v>
      </c>
    </row>
    <row r="4887" spans="1:21" x14ac:dyDescent="0.25">
      <c r="A4887" t="s">
        <v>80</v>
      </c>
      <c r="B4887" t="s">
        <v>983</v>
      </c>
      <c r="C4887">
        <v>6</v>
      </c>
      <c r="D4887" t="s">
        <v>15</v>
      </c>
      <c r="E4887" t="s">
        <v>95</v>
      </c>
      <c r="F4887" t="s">
        <v>105</v>
      </c>
      <c r="G4887" t="s">
        <v>121</v>
      </c>
      <c r="H4887" t="s">
        <v>103</v>
      </c>
      <c r="J4887">
        <v>0</v>
      </c>
      <c r="K4887">
        <v>9</v>
      </c>
      <c r="L4887">
        <v>67.5</v>
      </c>
      <c r="M4887">
        <v>47.937235809999997</v>
      </c>
      <c r="N4887">
        <v>0.41599678000000001</v>
      </c>
      <c r="O4887">
        <v>2.0950346999999998</v>
      </c>
      <c r="P4887">
        <v>98.291666669999998</v>
      </c>
      <c r="Q4887">
        <v>30.315130790000001</v>
      </c>
      <c r="R4887">
        <v>5.0803484000000003E-2</v>
      </c>
      <c r="S4887">
        <v>0.42866070000000001</v>
      </c>
      <c r="T4887" t="s">
        <v>1040</v>
      </c>
      <c r="U4887">
        <v>1.6663739999999998</v>
      </c>
    </row>
    <row r="4888" spans="1:21" x14ac:dyDescent="0.25">
      <c r="A4888" t="s">
        <v>80</v>
      </c>
      <c r="B4888" t="s">
        <v>983</v>
      </c>
      <c r="C4888">
        <v>6</v>
      </c>
      <c r="D4888" t="s">
        <v>15</v>
      </c>
      <c r="E4888" t="s">
        <v>95</v>
      </c>
      <c r="F4888" t="s">
        <v>105</v>
      </c>
      <c r="G4888" t="s">
        <v>121</v>
      </c>
      <c r="H4888" t="s">
        <v>103</v>
      </c>
      <c r="J4888">
        <v>0</v>
      </c>
      <c r="K4888">
        <v>9</v>
      </c>
      <c r="L4888">
        <v>67.5</v>
      </c>
      <c r="M4888">
        <v>47.937235809999997</v>
      </c>
      <c r="N4888">
        <v>0.41599678000000001</v>
      </c>
      <c r="O4888">
        <v>2.0950346999999998</v>
      </c>
      <c r="P4888">
        <v>98.291666669999998</v>
      </c>
      <c r="Q4888">
        <v>30.315130790000001</v>
      </c>
      <c r="R4888">
        <v>5.0803484000000003E-2</v>
      </c>
      <c r="S4888">
        <v>0.42866070000000001</v>
      </c>
      <c r="T4888" t="s">
        <v>1040</v>
      </c>
      <c r="U4888">
        <v>1.6663739999999998</v>
      </c>
    </row>
    <row r="4889" spans="1:21" x14ac:dyDescent="0.25">
      <c r="A4889" t="s">
        <v>80</v>
      </c>
      <c r="B4889" t="s">
        <v>983</v>
      </c>
      <c r="C4889">
        <v>6</v>
      </c>
      <c r="D4889" t="s">
        <v>15</v>
      </c>
      <c r="E4889" t="s">
        <v>95</v>
      </c>
      <c r="F4889" t="s">
        <v>105</v>
      </c>
      <c r="G4889" t="s">
        <v>121</v>
      </c>
      <c r="H4889" t="s">
        <v>103</v>
      </c>
      <c r="J4889">
        <v>0</v>
      </c>
      <c r="K4889">
        <v>9</v>
      </c>
      <c r="L4889">
        <v>67.5</v>
      </c>
      <c r="M4889">
        <v>47.937235809999997</v>
      </c>
      <c r="N4889">
        <v>0.41599678000000001</v>
      </c>
      <c r="O4889">
        <v>2.0950346999999998</v>
      </c>
      <c r="P4889">
        <v>98.291666669999998</v>
      </c>
      <c r="Q4889">
        <v>30.315130790000001</v>
      </c>
      <c r="R4889">
        <v>5.0803484000000003E-2</v>
      </c>
      <c r="S4889">
        <v>0.42866070000000001</v>
      </c>
      <c r="T4889" t="s">
        <v>1040</v>
      </c>
      <c r="U4889">
        <v>1.6663739999999998</v>
      </c>
    </row>
    <row r="4890" spans="1:21" x14ac:dyDescent="0.25">
      <c r="A4890" t="s">
        <v>80</v>
      </c>
      <c r="B4890" t="s">
        <v>983</v>
      </c>
      <c r="C4890">
        <v>6</v>
      </c>
      <c r="D4890" t="s">
        <v>15</v>
      </c>
      <c r="E4890" t="s">
        <v>95</v>
      </c>
      <c r="F4890" t="s">
        <v>105</v>
      </c>
      <c r="G4890" t="s">
        <v>121</v>
      </c>
      <c r="H4890" t="s">
        <v>103</v>
      </c>
      <c r="J4890">
        <v>0</v>
      </c>
      <c r="K4890">
        <v>9</v>
      </c>
      <c r="L4890">
        <v>67.5</v>
      </c>
      <c r="M4890">
        <v>47.937235809999997</v>
      </c>
      <c r="N4890">
        <v>0.41599678000000001</v>
      </c>
      <c r="O4890">
        <v>2.0950346999999998</v>
      </c>
      <c r="P4890">
        <v>98.291666669999998</v>
      </c>
      <c r="Q4890">
        <v>30.315130790000001</v>
      </c>
      <c r="R4890">
        <v>5.0803484000000003E-2</v>
      </c>
      <c r="S4890">
        <v>0.42866070000000001</v>
      </c>
      <c r="T4890" t="s">
        <v>1040</v>
      </c>
      <c r="U4890">
        <v>1.6663739999999998</v>
      </c>
    </row>
    <row r="4891" spans="1:21" x14ac:dyDescent="0.25">
      <c r="A4891" t="s">
        <v>80</v>
      </c>
      <c r="B4891" t="s">
        <v>983</v>
      </c>
      <c r="C4891">
        <v>6</v>
      </c>
      <c r="D4891" t="s">
        <v>15</v>
      </c>
      <c r="E4891" t="s">
        <v>95</v>
      </c>
      <c r="F4891" t="s">
        <v>105</v>
      </c>
      <c r="G4891" t="s">
        <v>121</v>
      </c>
      <c r="H4891" t="s">
        <v>103</v>
      </c>
      <c r="J4891">
        <v>0</v>
      </c>
      <c r="K4891">
        <v>9</v>
      </c>
      <c r="L4891">
        <v>67.5</v>
      </c>
      <c r="M4891">
        <v>47.937235809999997</v>
      </c>
      <c r="N4891">
        <v>0.41599678000000001</v>
      </c>
      <c r="O4891">
        <v>2.0950346999999998</v>
      </c>
      <c r="P4891">
        <v>98.291666669999998</v>
      </c>
      <c r="Q4891">
        <v>30.315130790000001</v>
      </c>
      <c r="R4891">
        <v>5.0803484000000003E-2</v>
      </c>
      <c r="S4891">
        <v>0.42866070000000001</v>
      </c>
      <c r="T4891" t="s">
        <v>1040</v>
      </c>
      <c r="U4891">
        <v>1.6663739999999998</v>
      </c>
    </row>
    <row r="4892" spans="1:21" x14ac:dyDescent="0.25">
      <c r="A4892" t="s">
        <v>80</v>
      </c>
      <c r="B4892" t="s">
        <v>983</v>
      </c>
      <c r="C4892">
        <v>6</v>
      </c>
      <c r="D4892" t="s">
        <v>15</v>
      </c>
      <c r="E4892" t="s">
        <v>95</v>
      </c>
      <c r="F4892" t="s">
        <v>105</v>
      </c>
      <c r="G4892" t="s">
        <v>121</v>
      </c>
      <c r="H4892" t="s">
        <v>103</v>
      </c>
      <c r="J4892">
        <v>0</v>
      </c>
      <c r="K4892">
        <v>9</v>
      </c>
      <c r="L4892">
        <v>67.5</v>
      </c>
      <c r="M4892">
        <v>47.937235809999997</v>
      </c>
      <c r="N4892">
        <v>0.41599678000000001</v>
      </c>
      <c r="O4892">
        <v>2.0950346999999998</v>
      </c>
      <c r="P4892">
        <v>98.291666669999998</v>
      </c>
      <c r="Q4892">
        <v>30.315130790000001</v>
      </c>
      <c r="R4892">
        <v>5.0803484000000003E-2</v>
      </c>
      <c r="S4892">
        <v>0.42866070000000001</v>
      </c>
      <c r="T4892" t="s">
        <v>1040</v>
      </c>
      <c r="U4892">
        <v>1.6663739999999998</v>
      </c>
    </row>
    <row r="4893" spans="1:21" x14ac:dyDescent="0.25">
      <c r="A4893" t="s">
        <v>80</v>
      </c>
      <c r="B4893" t="s">
        <v>984</v>
      </c>
      <c r="C4893">
        <v>6</v>
      </c>
      <c r="D4893" t="s">
        <v>15</v>
      </c>
      <c r="E4893" t="s">
        <v>95</v>
      </c>
      <c r="F4893" t="s">
        <v>113</v>
      </c>
      <c r="G4893" t="s">
        <v>113</v>
      </c>
      <c r="H4893" t="s">
        <v>113</v>
      </c>
      <c r="J4893">
        <v>0</v>
      </c>
      <c r="K4893">
        <v>6</v>
      </c>
      <c r="L4893">
        <v>83.757575759999995</v>
      </c>
      <c r="M4893">
        <v>22.60997987</v>
      </c>
      <c r="N4893">
        <v>0.72884000000000004</v>
      </c>
      <c r="O4893">
        <v>0.21301339999999999</v>
      </c>
      <c r="P4893">
        <v>83.757575759999995</v>
      </c>
      <c r="Q4893">
        <v>22.60997987</v>
      </c>
      <c r="R4893">
        <v>0.72884000000000004</v>
      </c>
      <c r="S4893">
        <v>0.21301339999999999</v>
      </c>
      <c r="T4893" t="s">
        <v>1040</v>
      </c>
      <c r="U4893">
        <v>0</v>
      </c>
    </row>
    <row r="4894" spans="1:21" x14ac:dyDescent="0.25">
      <c r="A4894" t="s">
        <v>80</v>
      </c>
      <c r="B4894" t="s">
        <v>984</v>
      </c>
      <c r="C4894">
        <v>6</v>
      </c>
      <c r="D4894" t="s">
        <v>15</v>
      </c>
      <c r="E4894" t="s">
        <v>95</v>
      </c>
      <c r="F4894" t="s">
        <v>113</v>
      </c>
      <c r="G4894" t="s">
        <v>113</v>
      </c>
      <c r="H4894" t="s">
        <v>113</v>
      </c>
      <c r="J4894">
        <v>0</v>
      </c>
      <c r="K4894">
        <v>6</v>
      </c>
      <c r="L4894">
        <v>83.757575759999995</v>
      </c>
      <c r="M4894">
        <v>22.60997987</v>
      </c>
      <c r="N4894">
        <v>0.72884000000000004</v>
      </c>
      <c r="O4894">
        <v>0.21301339999999999</v>
      </c>
      <c r="P4894">
        <v>83.757575759999995</v>
      </c>
      <c r="Q4894">
        <v>22.60997987</v>
      </c>
      <c r="R4894">
        <v>0.72884000000000004</v>
      </c>
      <c r="S4894">
        <v>0.21301339999999999</v>
      </c>
      <c r="T4894" t="s">
        <v>1040</v>
      </c>
      <c r="U4894">
        <v>0</v>
      </c>
    </row>
    <row r="4895" spans="1:21" x14ac:dyDescent="0.25">
      <c r="A4895" t="s">
        <v>80</v>
      </c>
      <c r="B4895" t="s">
        <v>984</v>
      </c>
      <c r="C4895">
        <v>6</v>
      </c>
      <c r="D4895" t="s">
        <v>15</v>
      </c>
      <c r="E4895" t="s">
        <v>95</v>
      </c>
      <c r="F4895" t="s">
        <v>113</v>
      </c>
      <c r="G4895" t="s">
        <v>113</v>
      </c>
      <c r="H4895" t="s">
        <v>113</v>
      </c>
      <c r="J4895">
        <v>0</v>
      </c>
      <c r="K4895">
        <v>6</v>
      </c>
      <c r="L4895">
        <v>83.757575759999995</v>
      </c>
      <c r="M4895">
        <v>22.60997987</v>
      </c>
      <c r="N4895">
        <v>0.72884000000000004</v>
      </c>
      <c r="O4895">
        <v>0.21301339999999999</v>
      </c>
      <c r="P4895">
        <v>83.757575759999995</v>
      </c>
      <c r="Q4895">
        <v>22.60997987</v>
      </c>
      <c r="R4895">
        <v>0.72884000000000004</v>
      </c>
      <c r="S4895">
        <v>0.21301339999999999</v>
      </c>
      <c r="T4895" t="s">
        <v>1040</v>
      </c>
      <c r="U4895">
        <v>0</v>
      </c>
    </row>
    <row r="4896" spans="1:21" x14ac:dyDescent="0.25">
      <c r="A4896" t="s">
        <v>80</v>
      </c>
      <c r="B4896" t="s">
        <v>984</v>
      </c>
      <c r="C4896">
        <v>6</v>
      </c>
      <c r="D4896" t="s">
        <v>15</v>
      </c>
      <c r="E4896" t="s">
        <v>95</v>
      </c>
      <c r="F4896" t="s">
        <v>113</v>
      </c>
      <c r="G4896" t="s">
        <v>113</v>
      </c>
      <c r="H4896" t="s">
        <v>113</v>
      </c>
      <c r="J4896">
        <v>0</v>
      </c>
      <c r="K4896">
        <v>6</v>
      </c>
      <c r="L4896">
        <v>83.757575759999995</v>
      </c>
      <c r="M4896">
        <v>22.60997987</v>
      </c>
      <c r="N4896">
        <v>0.72884000000000004</v>
      </c>
      <c r="O4896">
        <v>0.21301339999999999</v>
      </c>
      <c r="P4896">
        <v>83.757575759999995</v>
      </c>
      <c r="Q4896">
        <v>22.60997987</v>
      </c>
      <c r="R4896">
        <v>0.72884000000000004</v>
      </c>
      <c r="S4896">
        <v>0.21301339999999999</v>
      </c>
      <c r="T4896" t="s">
        <v>1040</v>
      </c>
      <c r="U4896">
        <v>0</v>
      </c>
    </row>
    <row r="4897" spans="1:21" x14ac:dyDescent="0.25">
      <c r="A4897" t="s">
        <v>80</v>
      </c>
      <c r="B4897" t="s">
        <v>984</v>
      </c>
      <c r="C4897">
        <v>6</v>
      </c>
      <c r="D4897" t="s">
        <v>15</v>
      </c>
      <c r="E4897" t="s">
        <v>95</v>
      </c>
      <c r="F4897" t="s">
        <v>113</v>
      </c>
      <c r="G4897" t="s">
        <v>113</v>
      </c>
      <c r="H4897" t="s">
        <v>113</v>
      </c>
      <c r="J4897">
        <v>0</v>
      </c>
      <c r="K4897">
        <v>6</v>
      </c>
      <c r="L4897">
        <v>83.757575759999995</v>
      </c>
      <c r="M4897">
        <v>22.60997987</v>
      </c>
      <c r="N4897">
        <v>0.72884000000000004</v>
      </c>
      <c r="O4897">
        <v>0.21301339999999999</v>
      </c>
      <c r="P4897">
        <v>83.757575759999995</v>
      </c>
      <c r="Q4897">
        <v>22.60997987</v>
      </c>
      <c r="R4897">
        <v>0.72884000000000004</v>
      </c>
      <c r="S4897">
        <v>0.21301339999999999</v>
      </c>
      <c r="T4897" t="s">
        <v>1040</v>
      </c>
      <c r="U4897">
        <v>0</v>
      </c>
    </row>
    <row r="4898" spans="1:21" x14ac:dyDescent="0.25">
      <c r="A4898" t="s">
        <v>80</v>
      </c>
      <c r="B4898" t="s">
        <v>984</v>
      </c>
      <c r="C4898">
        <v>6</v>
      </c>
      <c r="D4898" t="s">
        <v>15</v>
      </c>
      <c r="E4898" t="s">
        <v>95</v>
      </c>
      <c r="F4898" t="s">
        <v>113</v>
      </c>
      <c r="G4898" t="s">
        <v>113</v>
      </c>
      <c r="H4898" t="s">
        <v>113</v>
      </c>
      <c r="J4898">
        <v>0</v>
      </c>
      <c r="K4898">
        <v>6</v>
      </c>
      <c r="L4898">
        <v>83.757575759999995</v>
      </c>
      <c r="M4898">
        <v>22.60997987</v>
      </c>
      <c r="N4898">
        <v>0.72884000000000004</v>
      </c>
      <c r="O4898">
        <v>0.21301339999999999</v>
      </c>
      <c r="P4898">
        <v>83.757575759999995</v>
      </c>
      <c r="Q4898">
        <v>22.60997987</v>
      </c>
      <c r="R4898">
        <v>0.72884000000000004</v>
      </c>
      <c r="S4898">
        <v>0.21301339999999999</v>
      </c>
      <c r="T4898" t="s">
        <v>1040</v>
      </c>
      <c r="U4898">
        <v>0</v>
      </c>
    </row>
    <row r="4899" spans="1:21" x14ac:dyDescent="0.25">
      <c r="A4899" t="s">
        <v>80</v>
      </c>
      <c r="B4899" t="s">
        <v>985</v>
      </c>
      <c r="C4899">
        <v>6</v>
      </c>
      <c r="D4899" t="s">
        <v>15</v>
      </c>
      <c r="E4899" t="s">
        <v>95</v>
      </c>
      <c r="F4899" t="s">
        <v>103</v>
      </c>
      <c r="G4899" t="s">
        <v>113</v>
      </c>
      <c r="H4899" t="s">
        <v>113</v>
      </c>
      <c r="J4899">
        <v>0</v>
      </c>
      <c r="K4899">
        <v>1</v>
      </c>
      <c r="L4899">
        <v>98.291666669999998</v>
      </c>
      <c r="M4899">
        <v>30.315130790000001</v>
      </c>
      <c r="N4899">
        <v>5.0803484000000003E-2</v>
      </c>
      <c r="O4899">
        <v>0.42866070000000001</v>
      </c>
      <c r="P4899">
        <v>83.757575759999995</v>
      </c>
      <c r="Q4899">
        <v>22.60997987</v>
      </c>
      <c r="R4899">
        <v>0.72884000000000004</v>
      </c>
      <c r="S4899">
        <v>0.21301339999999999</v>
      </c>
      <c r="T4899" t="s">
        <v>1040</v>
      </c>
      <c r="U4899">
        <v>0.21564730000000001</v>
      </c>
    </row>
    <row r="4900" spans="1:21" x14ac:dyDescent="0.25">
      <c r="A4900" t="s">
        <v>80</v>
      </c>
      <c r="B4900" t="s">
        <v>985</v>
      </c>
      <c r="C4900">
        <v>6</v>
      </c>
      <c r="D4900" t="s">
        <v>15</v>
      </c>
      <c r="E4900" t="s">
        <v>95</v>
      </c>
      <c r="F4900" t="s">
        <v>103</v>
      </c>
      <c r="G4900" t="s">
        <v>113</v>
      </c>
      <c r="H4900" t="s">
        <v>103</v>
      </c>
      <c r="J4900">
        <v>0</v>
      </c>
      <c r="K4900">
        <v>2</v>
      </c>
      <c r="L4900">
        <v>98.291666669999998</v>
      </c>
      <c r="M4900">
        <v>30.315130790000001</v>
      </c>
      <c r="N4900">
        <v>5.0803484000000003E-2</v>
      </c>
      <c r="O4900">
        <v>0.42866070000000001</v>
      </c>
      <c r="P4900">
        <v>98.291666669999998</v>
      </c>
      <c r="Q4900">
        <v>30.315130790000001</v>
      </c>
      <c r="R4900">
        <v>5.0803484000000003E-2</v>
      </c>
      <c r="S4900">
        <v>0.42866070000000001</v>
      </c>
      <c r="T4900" t="s">
        <v>1040</v>
      </c>
      <c r="U4900">
        <v>0</v>
      </c>
    </row>
    <row r="4901" spans="1:21" x14ac:dyDescent="0.25">
      <c r="A4901" t="s">
        <v>80</v>
      </c>
      <c r="B4901" t="s">
        <v>985</v>
      </c>
      <c r="C4901">
        <v>6</v>
      </c>
      <c r="D4901" t="s">
        <v>15</v>
      </c>
      <c r="E4901" t="s">
        <v>95</v>
      </c>
      <c r="F4901" t="s">
        <v>103</v>
      </c>
      <c r="G4901" t="s">
        <v>113</v>
      </c>
      <c r="H4901" t="s">
        <v>103</v>
      </c>
      <c r="J4901">
        <v>0</v>
      </c>
      <c r="K4901">
        <v>2</v>
      </c>
      <c r="L4901">
        <v>98.291666669999998</v>
      </c>
      <c r="M4901">
        <v>30.315130790000001</v>
      </c>
      <c r="N4901">
        <v>5.0803484000000003E-2</v>
      </c>
      <c r="O4901">
        <v>0.42866070000000001</v>
      </c>
      <c r="P4901">
        <v>98.291666669999998</v>
      </c>
      <c r="Q4901">
        <v>30.315130790000001</v>
      </c>
      <c r="R4901">
        <v>5.0803484000000003E-2</v>
      </c>
      <c r="S4901">
        <v>0.42866070000000001</v>
      </c>
      <c r="T4901" t="s">
        <v>1040</v>
      </c>
      <c r="U4901">
        <v>0</v>
      </c>
    </row>
    <row r="4902" spans="1:21" x14ac:dyDescent="0.25">
      <c r="A4902" t="s">
        <v>81</v>
      </c>
      <c r="B4902" t="s">
        <v>986</v>
      </c>
      <c r="C4902">
        <v>6</v>
      </c>
      <c r="D4902" t="s">
        <v>17</v>
      </c>
      <c r="E4902" t="s">
        <v>94</v>
      </c>
      <c r="F4902" t="s">
        <v>105</v>
      </c>
      <c r="G4902" t="s">
        <v>113</v>
      </c>
      <c r="H4902" t="s">
        <v>113</v>
      </c>
      <c r="J4902">
        <v>0</v>
      </c>
      <c r="K4902">
        <v>6</v>
      </c>
      <c r="L4902">
        <v>67.5</v>
      </c>
      <c r="M4902">
        <v>47.937235809999997</v>
      </c>
      <c r="N4902">
        <v>0.41599678000000001</v>
      </c>
      <c r="O4902">
        <v>2.0950346999999998</v>
      </c>
      <c r="P4902">
        <v>83.757575759999995</v>
      </c>
      <c r="Q4902">
        <v>22.60997987</v>
      </c>
      <c r="R4902">
        <v>0.72884000000000004</v>
      </c>
      <c r="S4902">
        <v>0.21301339999999999</v>
      </c>
      <c r="T4902" t="s">
        <v>1040</v>
      </c>
      <c r="U4902">
        <v>1.8820212999999999</v>
      </c>
    </row>
    <row r="4903" spans="1:21" x14ac:dyDescent="0.25">
      <c r="A4903" t="s">
        <v>81</v>
      </c>
      <c r="B4903" t="s">
        <v>986</v>
      </c>
      <c r="C4903">
        <v>6</v>
      </c>
      <c r="D4903" t="s">
        <v>17</v>
      </c>
      <c r="E4903" t="s">
        <v>94</v>
      </c>
      <c r="F4903" t="s">
        <v>105</v>
      </c>
      <c r="G4903" t="s">
        <v>113</v>
      </c>
      <c r="H4903" t="s">
        <v>113</v>
      </c>
      <c r="J4903">
        <v>0</v>
      </c>
      <c r="K4903">
        <v>6</v>
      </c>
      <c r="L4903">
        <v>67.5</v>
      </c>
      <c r="M4903">
        <v>47.937235809999997</v>
      </c>
      <c r="N4903">
        <v>0.41599678000000001</v>
      </c>
      <c r="O4903">
        <v>2.0950346999999998</v>
      </c>
      <c r="P4903">
        <v>83.757575759999995</v>
      </c>
      <c r="Q4903">
        <v>22.60997987</v>
      </c>
      <c r="R4903">
        <v>0.72884000000000004</v>
      </c>
      <c r="S4903">
        <v>0.21301339999999999</v>
      </c>
      <c r="T4903" t="s">
        <v>1040</v>
      </c>
      <c r="U4903">
        <v>1.8820212999999999</v>
      </c>
    </row>
    <row r="4904" spans="1:21" x14ac:dyDescent="0.25">
      <c r="A4904" t="s">
        <v>81</v>
      </c>
      <c r="B4904" t="s">
        <v>986</v>
      </c>
      <c r="C4904">
        <v>6</v>
      </c>
      <c r="D4904" t="s">
        <v>17</v>
      </c>
      <c r="E4904" t="s">
        <v>94</v>
      </c>
      <c r="F4904" t="s">
        <v>105</v>
      </c>
      <c r="G4904" t="s">
        <v>113</v>
      </c>
      <c r="H4904" t="s">
        <v>113</v>
      </c>
      <c r="J4904">
        <v>0</v>
      </c>
      <c r="K4904">
        <v>6</v>
      </c>
      <c r="L4904">
        <v>67.5</v>
      </c>
      <c r="M4904">
        <v>47.937235809999997</v>
      </c>
      <c r="N4904">
        <v>0.41599678000000001</v>
      </c>
      <c r="O4904">
        <v>2.0950346999999998</v>
      </c>
      <c r="P4904">
        <v>83.757575759999995</v>
      </c>
      <c r="Q4904">
        <v>22.60997987</v>
      </c>
      <c r="R4904">
        <v>0.72884000000000004</v>
      </c>
      <c r="S4904">
        <v>0.21301339999999999</v>
      </c>
      <c r="T4904" t="s">
        <v>1040</v>
      </c>
      <c r="U4904">
        <v>1.8820212999999999</v>
      </c>
    </row>
    <row r="4905" spans="1:21" x14ac:dyDescent="0.25">
      <c r="A4905" t="s">
        <v>81</v>
      </c>
      <c r="B4905" t="s">
        <v>986</v>
      </c>
      <c r="C4905">
        <v>6</v>
      </c>
      <c r="D4905" t="s">
        <v>17</v>
      </c>
      <c r="E4905" t="s">
        <v>94</v>
      </c>
      <c r="F4905" t="s">
        <v>105</v>
      </c>
      <c r="G4905" t="s">
        <v>113</v>
      </c>
      <c r="H4905" t="s">
        <v>113</v>
      </c>
      <c r="J4905">
        <v>0</v>
      </c>
      <c r="K4905">
        <v>6</v>
      </c>
      <c r="L4905">
        <v>67.5</v>
      </c>
      <c r="M4905">
        <v>47.937235809999997</v>
      </c>
      <c r="N4905">
        <v>0.41599678000000001</v>
      </c>
      <c r="O4905">
        <v>2.0950346999999998</v>
      </c>
      <c r="P4905">
        <v>83.757575759999995</v>
      </c>
      <c r="Q4905">
        <v>22.60997987</v>
      </c>
      <c r="R4905">
        <v>0.72884000000000004</v>
      </c>
      <c r="S4905">
        <v>0.21301339999999999</v>
      </c>
      <c r="T4905" t="s">
        <v>1040</v>
      </c>
      <c r="U4905">
        <v>1.8820212999999999</v>
      </c>
    </row>
    <row r="4906" spans="1:21" x14ac:dyDescent="0.25">
      <c r="A4906" t="s">
        <v>81</v>
      </c>
      <c r="B4906" t="s">
        <v>986</v>
      </c>
      <c r="C4906">
        <v>6</v>
      </c>
      <c r="D4906" t="s">
        <v>17</v>
      </c>
      <c r="E4906" t="s">
        <v>94</v>
      </c>
      <c r="F4906" t="s">
        <v>105</v>
      </c>
      <c r="G4906" t="s">
        <v>113</v>
      </c>
      <c r="H4906" t="s">
        <v>113</v>
      </c>
      <c r="J4906">
        <v>0</v>
      </c>
      <c r="K4906">
        <v>6</v>
      </c>
      <c r="L4906">
        <v>67.5</v>
      </c>
      <c r="M4906">
        <v>47.937235809999997</v>
      </c>
      <c r="N4906">
        <v>0.41599678000000001</v>
      </c>
      <c r="O4906">
        <v>2.0950346999999998</v>
      </c>
      <c r="P4906">
        <v>83.757575759999995</v>
      </c>
      <c r="Q4906">
        <v>22.60997987</v>
      </c>
      <c r="R4906">
        <v>0.72884000000000004</v>
      </c>
      <c r="S4906">
        <v>0.21301339999999999</v>
      </c>
      <c r="T4906" t="s">
        <v>1040</v>
      </c>
      <c r="U4906">
        <v>1.8820212999999999</v>
      </c>
    </row>
    <row r="4907" spans="1:21" x14ac:dyDescent="0.25">
      <c r="A4907" t="s">
        <v>81</v>
      </c>
      <c r="B4907" t="s">
        <v>986</v>
      </c>
      <c r="C4907">
        <v>6</v>
      </c>
      <c r="D4907" t="s">
        <v>17</v>
      </c>
      <c r="E4907" t="s">
        <v>94</v>
      </c>
      <c r="F4907" t="s">
        <v>105</v>
      </c>
      <c r="G4907" t="s">
        <v>113</v>
      </c>
      <c r="H4907" t="s">
        <v>113</v>
      </c>
      <c r="J4907">
        <v>0</v>
      </c>
      <c r="K4907">
        <v>6</v>
      </c>
      <c r="L4907">
        <v>67.5</v>
      </c>
      <c r="M4907">
        <v>47.937235809999997</v>
      </c>
      <c r="N4907">
        <v>0.41599678000000001</v>
      </c>
      <c r="O4907">
        <v>2.0950346999999998</v>
      </c>
      <c r="P4907">
        <v>83.757575759999995</v>
      </c>
      <c r="Q4907">
        <v>22.60997987</v>
      </c>
      <c r="R4907">
        <v>0.72884000000000004</v>
      </c>
      <c r="S4907">
        <v>0.21301339999999999</v>
      </c>
      <c r="T4907" t="s">
        <v>1040</v>
      </c>
      <c r="U4907">
        <v>1.8820212999999999</v>
      </c>
    </row>
    <row r="4908" spans="1:21" x14ac:dyDescent="0.25">
      <c r="A4908" t="s">
        <v>81</v>
      </c>
      <c r="B4908" t="s">
        <v>987</v>
      </c>
      <c r="C4908">
        <v>6</v>
      </c>
      <c r="D4908" t="s">
        <v>17</v>
      </c>
      <c r="E4908" t="s">
        <v>94</v>
      </c>
      <c r="F4908" t="s">
        <v>113</v>
      </c>
      <c r="G4908" t="s">
        <v>113</v>
      </c>
      <c r="H4908" t="s">
        <v>113</v>
      </c>
      <c r="J4908">
        <v>0</v>
      </c>
      <c r="K4908">
        <v>6</v>
      </c>
      <c r="L4908">
        <v>83.757575759999995</v>
      </c>
      <c r="M4908">
        <v>22.60997987</v>
      </c>
      <c r="N4908">
        <v>0.72884000000000004</v>
      </c>
      <c r="O4908">
        <v>0.21301339999999999</v>
      </c>
      <c r="P4908">
        <v>83.757575759999995</v>
      </c>
      <c r="Q4908">
        <v>22.60997987</v>
      </c>
      <c r="R4908">
        <v>0.72884000000000004</v>
      </c>
      <c r="S4908">
        <v>0.21301339999999999</v>
      </c>
      <c r="T4908" t="s">
        <v>1040</v>
      </c>
      <c r="U4908">
        <v>0</v>
      </c>
    </row>
    <row r="4909" spans="1:21" x14ac:dyDescent="0.25">
      <c r="A4909" t="s">
        <v>81</v>
      </c>
      <c r="B4909" t="s">
        <v>987</v>
      </c>
      <c r="C4909">
        <v>6</v>
      </c>
      <c r="D4909" t="s">
        <v>17</v>
      </c>
      <c r="E4909" t="s">
        <v>94</v>
      </c>
      <c r="F4909" t="s">
        <v>113</v>
      </c>
      <c r="G4909" t="s">
        <v>113</v>
      </c>
      <c r="H4909" t="s">
        <v>113</v>
      </c>
      <c r="J4909">
        <v>0</v>
      </c>
      <c r="K4909">
        <v>6</v>
      </c>
      <c r="L4909">
        <v>83.757575759999995</v>
      </c>
      <c r="M4909">
        <v>22.60997987</v>
      </c>
      <c r="N4909">
        <v>0.72884000000000004</v>
      </c>
      <c r="O4909">
        <v>0.21301339999999999</v>
      </c>
      <c r="P4909">
        <v>83.757575759999995</v>
      </c>
      <c r="Q4909">
        <v>22.60997987</v>
      </c>
      <c r="R4909">
        <v>0.72884000000000004</v>
      </c>
      <c r="S4909">
        <v>0.21301339999999999</v>
      </c>
      <c r="T4909" t="s">
        <v>1040</v>
      </c>
      <c r="U4909">
        <v>0</v>
      </c>
    </row>
    <row r="4910" spans="1:21" x14ac:dyDescent="0.25">
      <c r="A4910" t="s">
        <v>81</v>
      </c>
      <c r="B4910" t="s">
        <v>987</v>
      </c>
      <c r="C4910">
        <v>6</v>
      </c>
      <c r="D4910" t="s">
        <v>17</v>
      </c>
      <c r="E4910" t="s">
        <v>94</v>
      </c>
      <c r="F4910" t="s">
        <v>113</v>
      </c>
      <c r="G4910" t="s">
        <v>113</v>
      </c>
      <c r="H4910" t="s">
        <v>113</v>
      </c>
      <c r="J4910">
        <v>0</v>
      </c>
      <c r="K4910">
        <v>6</v>
      </c>
      <c r="L4910">
        <v>83.757575759999995</v>
      </c>
      <c r="M4910">
        <v>22.60997987</v>
      </c>
      <c r="N4910">
        <v>0.72884000000000004</v>
      </c>
      <c r="O4910">
        <v>0.21301339999999999</v>
      </c>
      <c r="P4910">
        <v>83.757575759999995</v>
      </c>
      <c r="Q4910">
        <v>22.60997987</v>
      </c>
      <c r="R4910">
        <v>0.72884000000000004</v>
      </c>
      <c r="S4910">
        <v>0.21301339999999999</v>
      </c>
      <c r="T4910" t="s">
        <v>1040</v>
      </c>
      <c r="U4910">
        <v>0</v>
      </c>
    </row>
    <row r="4911" spans="1:21" x14ac:dyDescent="0.25">
      <c r="A4911" t="s">
        <v>81</v>
      </c>
      <c r="B4911" t="s">
        <v>987</v>
      </c>
      <c r="C4911">
        <v>6</v>
      </c>
      <c r="D4911" t="s">
        <v>17</v>
      </c>
      <c r="E4911" t="s">
        <v>94</v>
      </c>
      <c r="F4911" t="s">
        <v>113</v>
      </c>
      <c r="G4911" t="s">
        <v>113</v>
      </c>
      <c r="H4911" t="s">
        <v>113</v>
      </c>
      <c r="J4911">
        <v>0</v>
      </c>
      <c r="K4911">
        <v>6</v>
      </c>
      <c r="L4911">
        <v>83.757575759999995</v>
      </c>
      <c r="M4911">
        <v>22.60997987</v>
      </c>
      <c r="N4911">
        <v>0.72884000000000004</v>
      </c>
      <c r="O4911">
        <v>0.21301339999999999</v>
      </c>
      <c r="P4911">
        <v>83.757575759999995</v>
      </c>
      <c r="Q4911">
        <v>22.60997987</v>
      </c>
      <c r="R4911">
        <v>0.72884000000000004</v>
      </c>
      <c r="S4911">
        <v>0.21301339999999999</v>
      </c>
      <c r="T4911" t="s">
        <v>1040</v>
      </c>
      <c r="U4911">
        <v>0</v>
      </c>
    </row>
    <row r="4912" spans="1:21" x14ac:dyDescent="0.25">
      <c r="A4912" t="s">
        <v>81</v>
      </c>
      <c r="B4912" t="s">
        <v>987</v>
      </c>
      <c r="C4912">
        <v>6</v>
      </c>
      <c r="D4912" t="s">
        <v>17</v>
      </c>
      <c r="E4912" t="s">
        <v>94</v>
      </c>
      <c r="F4912" t="s">
        <v>113</v>
      </c>
      <c r="G4912" t="s">
        <v>113</v>
      </c>
      <c r="H4912" t="s">
        <v>113</v>
      </c>
      <c r="J4912">
        <v>0</v>
      </c>
      <c r="K4912">
        <v>6</v>
      </c>
      <c r="L4912">
        <v>83.757575759999995</v>
      </c>
      <c r="M4912">
        <v>22.60997987</v>
      </c>
      <c r="N4912">
        <v>0.72884000000000004</v>
      </c>
      <c r="O4912">
        <v>0.21301339999999999</v>
      </c>
      <c r="P4912">
        <v>83.757575759999995</v>
      </c>
      <c r="Q4912">
        <v>22.60997987</v>
      </c>
      <c r="R4912">
        <v>0.72884000000000004</v>
      </c>
      <c r="S4912">
        <v>0.21301339999999999</v>
      </c>
      <c r="T4912" t="s">
        <v>1040</v>
      </c>
      <c r="U4912">
        <v>0</v>
      </c>
    </row>
    <row r="4913" spans="1:21" x14ac:dyDescent="0.25">
      <c r="A4913" t="s">
        <v>81</v>
      </c>
      <c r="B4913" t="s">
        <v>987</v>
      </c>
      <c r="C4913">
        <v>6</v>
      </c>
      <c r="D4913" t="s">
        <v>17</v>
      </c>
      <c r="E4913" t="s">
        <v>94</v>
      </c>
      <c r="F4913" t="s">
        <v>113</v>
      </c>
      <c r="G4913" t="s">
        <v>113</v>
      </c>
      <c r="H4913" t="s">
        <v>113</v>
      </c>
      <c r="J4913">
        <v>0</v>
      </c>
      <c r="K4913">
        <v>6</v>
      </c>
      <c r="L4913">
        <v>83.757575759999995</v>
      </c>
      <c r="M4913">
        <v>22.60997987</v>
      </c>
      <c r="N4913">
        <v>0.72884000000000004</v>
      </c>
      <c r="O4913">
        <v>0.21301339999999999</v>
      </c>
      <c r="P4913">
        <v>83.757575759999995</v>
      </c>
      <c r="Q4913">
        <v>22.60997987</v>
      </c>
      <c r="R4913">
        <v>0.72884000000000004</v>
      </c>
      <c r="S4913">
        <v>0.21301339999999999</v>
      </c>
      <c r="T4913" t="s">
        <v>1040</v>
      </c>
      <c r="U4913">
        <v>0</v>
      </c>
    </row>
    <row r="4914" spans="1:21" x14ac:dyDescent="0.25">
      <c r="A4914" t="s">
        <v>81</v>
      </c>
      <c r="B4914" t="s">
        <v>988</v>
      </c>
      <c r="C4914">
        <v>6</v>
      </c>
      <c r="D4914" t="s">
        <v>17</v>
      </c>
      <c r="E4914" t="s">
        <v>94</v>
      </c>
      <c r="F4914" t="s">
        <v>103</v>
      </c>
      <c r="G4914" t="s">
        <v>113</v>
      </c>
      <c r="H4914" t="s">
        <v>113</v>
      </c>
      <c r="J4914">
        <v>0</v>
      </c>
      <c r="K4914">
        <v>5</v>
      </c>
      <c r="L4914">
        <v>98.291666669999998</v>
      </c>
      <c r="M4914">
        <v>30.315130790000001</v>
      </c>
      <c r="N4914">
        <v>5.0803484000000003E-2</v>
      </c>
      <c r="O4914">
        <v>0.42866070000000001</v>
      </c>
      <c r="P4914">
        <v>83.757575759999995</v>
      </c>
      <c r="Q4914">
        <v>22.60997987</v>
      </c>
      <c r="R4914">
        <v>0.72884000000000004</v>
      </c>
      <c r="S4914">
        <v>0.21301339999999999</v>
      </c>
      <c r="T4914" t="s">
        <v>1040</v>
      </c>
      <c r="U4914">
        <v>0.21564730000000001</v>
      </c>
    </row>
    <row r="4915" spans="1:21" x14ac:dyDescent="0.25">
      <c r="A4915" t="s">
        <v>81</v>
      </c>
      <c r="B4915" t="s">
        <v>988</v>
      </c>
      <c r="C4915">
        <v>6</v>
      </c>
      <c r="D4915" t="s">
        <v>17</v>
      </c>
      <c r="E4915" t="s">
        <v>94</v>
      </c>
      <c r="F4915" t="s">
        <v>103</v>
      </c>
      <c r="G4915" t="s">
        <v>113</v>
      </c>
      <c r="H4915" t="s">
        <v>113</v>
      </c>
      <c r="J4915">
        <v>0</v>
      </c>
      <c r="K4915">
        <v>5</v>
      </c>
      <c r="L4915">
        <v>98.291666669999998</v>
      </c>
      <c r="M4915">
        <v>30.315130790000001</v>
      </c>
      <c r="N4915">
        <v>5.0803484000000003E-2</v>
      </c>
      <c r="O4915">
        <v>0.42866070000000001</v>
      </c>
      <c r="P4915">
        <v>83.757575759999995</v>
      </c>
      <c r="Q4915">
        <v>22.60997987</v>
      </c>
      <c r="R4915">
        <v>0.72884000000000004</v>
      </c>
      <c r="S4915">
        <v>0.21301339999999999</v>
      </c>
      <c r="T4915" t="s">
        <v>1040</v>
      </c>
      <c r="U4915">
        <v>0.21564730000000001</v>
      </c>
    </row>
    <row r="4916" spans="1:21" x14ac:dyDescent="0.25">
      <c r="A4916" t="s">
        <v>81</v>
      </c>
      <c r="B4916" t="s">
        <v>988</v>
      </c>
      <c r="C4916">
        <v>6</v>
      </c>
      <c r="D4916" t="s">
        <v>17</v>
      </c>
      <c r="E4916" t="s">
        <v>94</v>
      </c>
      <c r="F4916" t="s">
        <v>103</v>
      </c>
      <c r="G4916" t="s">
        <v>113</v>
      </c>
      <c r="H4916" t="s">
        <v>113</v>
      </c>
      <c r="J4916">
        <v>0</v>
      </c>
      <c r="K4916">
        <v>5</v>
      </c>
      <c r="L4916">
        <v>98.291666669999998</v>
      </c>
      <c r="M4916">
        <v>30.315130790000001</v>
      </c>
      <c r="N4916">
        <v>5.0803484000000003E-2</v>
      </c>
      <c r="O4916">
        <v>0.42866070000000001</v>
      </c>
      <c r="P4916">
        <v>83.757575759999995</v>
      </c>
      <c r="Q4916">
        <v>22.60997987</v>
      </c>
      <c r="R4916">
        <v>0.72884000000000004</v>
      </c>
      <c r="S4916">
        <v>0.21301339999999999</v>
      </c>
      <c r="T4916" t="s">
        <v>1040</v>
      </c>
      <c r="U4916">
        <v>0.21564730000000001</v>
      </c>
    </row>
    <row r="4917" spans="1:21" x14ac:dyDescent="0.25">
      <c r="A4917" t="s">
        <v>81</v>
      </c>
      <c r="B4917" t="s">
        <v>988</v>
      </c>
      <c r="C4917">
        <v>6</v>
      </c>
      <c r="D4917" t="s">
        <v>17</v>
      </c>
      <c r="E4917" t="s">
        <v>94</v>
      </c>
      <c r="F4917" t="s">
        <v>103</v>
      </c>
      <c r="G4917" t="s">
        <v>113</v>
      </c>
      <c r="H4917" t="s">
        <v>113</v>
      </c>
      <c r="J4917">
        <v>0</v>
      </c>
      <c r="K4917">
        <v>5</v>
      </c>
      <c r="L4917">
        <v>98.291666669999998</v>
      </c>
      <c r="M4917">
        <v>30.315130790000001</v>
      </c>
      <c r="N4917">
        <v>5.0803484000000003E-2</v>
      </c>
      <c r="O4917">
        <v>0.42866070000000001</v>
      </c>
      <c r="P4917">
        <v>83.757575759999995</v>
      </c>
      <c r="Q4917">
        <v>22.60997987</v>
      </c>
      <c r="R4917">
        <v>0.72884000000000004</v>
      </c>
      <c r="S4917">
        <v>0.21301339999999999</v>
      </c>
      <c r="T4917" t="s">
        <v>1040</v>
      </c>
      <c r="U4917">
        <v>0.21564730000000001</v>
      </c>
    </row>
    <row r="4918" spans="1:21" x14ac:dyDescent="0.25">
      <c r="A4918" t="s">
        <v>81</v>
      </c>
      <c r="B4918" t="s">
        <v>988</v>
      </c>
      <c r="C4918">
        <v>6</v>
      </c>
      <c r="D4918" t="s">
        <v>17</v>
      </c>
      <c r="E4918" t="s">
        <v>94</v>
      </c>
      <c r="F4918" t="s">
        <v>103</v>
      </c>
      <c r="G4918" t="s">
        <v>113</v>
      </c>
      <c r="H4918" t="s">
        <v>113</v>
      </c>
      <c r="J4918">
        <v>0</v>
      </c>
      <c r="K4918">
        <v>5</v>
      </c>
      <c r="L4918">
        <v>98.291666669999998</v>
      </c>
      <c r="M4918">
        <v>30.315130790000001</v>
      </c>
      <c r="N4918">
        <v>5.0803484000000003E-2</v>
      </c>
      <c r="O4918">
        <v>0.42866070000000001</v>
      </c>
      <c r="P4918">
        <v>83.757575759999995</v>
      </c>
      <c r="Q4918">
        <v>22.60997987</v>
      </c>
      <c r="R4918">
        <v>0.72884000000000004</v>
      </c>
      <c r="S4918">
        <v>0.21301339999999999</v>
      </c>
      <c r="T4918" t="s">
        <v>1040</v>
      </c>
      <c r="U4918">
        <v>0.21564730000000001</v>
      </c>
    </row>
    <row r="4919" spans="1:21" x14ac:dyDescent="0.25">
      <c r="A4919" t="s">
        <v>81</v>
      </c>
      <c r="B4919" t="s">
        <v>988</v>
      </c>
      <c r="C4919">
        <v>6</v>
      </c>
      <c r="D4919" t="s">
        <v>17</v>
      </c>
      <c r="E4919" t="s">
        <v>94</v>
      </c>
      <c r="F4919" t="s">
        <v>103</v>
      </c>
      <c r="G4919" t="s">
        <v>113</v>
      </c>
      <c r="H4919" t="s">
        <v>103</v>
      </c>
      <c r="J4919">
        <v>0</v>
      </c>
      <c r="K4919">
        <v>1</v>
      </c>
      <c r="L4919">
        <v>98.291666669999998</v>
      </c>
      <c r="M4919">
        <v>30.315130790000001</v>
      </c>
      <c r="N4919">
        <v>5.0803484000000003E-2</v>
      </c>
      <c r="O4919">
        <v>0.42866070000000001</v>
      </c>
      <c r="P4919">
        <v>98.291666669999998</v>
      </c>
      <c r="Q4919">
        <v>30.315130790000001</v>
      </c>
      <c r="R4919">
        <v>5.0803484000000003E-2</v>
      </c>
      <c r="S4919">
        <v>0.42866070000000001</v>
      </c>
      <c r="T4919" t="s">
        <v>1040</v>
      </c>
      <c r="U4919">
        <v>0</v>
      </c>
    </row>
    <row r="4920" spans="1:21" x14ac:dyDescent="0.25">
      <c r="A4920" t="s">
        <v>82</v>
      </c>
      <c r="B4920" t="s">
        <v>989</v>
      </c>
      <c r="C4920">
        <v>6</v>
      </c>
      <c r="D4920" t="s">
        <v>19</v>
      </c>
      <c r="E4920" t="s">
        <v>94</v>
      </c>
      <c r="F4920" t="s">
        <v>102</v>
      </c>
      <c r="G4920" t="s">
        <v>102</v>
      </c>
      <c r="H4920" t="s">
        <v>102</v>
      </c>
      <c r="J4920">
        <v>0</v>
      </c>
      <c r="K4920">
        <v>1</v>
      </c>
      <c r="L4920">
        <v>84.740740740000007</v>
      </c>
      <c r="M4920">
        <v>29.167014049999999</v>
      </c>
      <c r="N4920">
        <v>1.1169849999999999</v>
      </c>
      <c r="O4920">
        <v>1.1571499000000001</v>
      </c>
      <c r="P4920">
        <v>84.740740740000007</v>
      </c>
      <c r="Q4920">
        <v>29.167014049999999</v>
      </c>
      <c r="R4920">
        <v>1.1169849999999999</v>
      </c>
      <c r="S4920">
        <v>1.1571499000000001</v>
      </c>
      <c r="T4920" t="s">
        <v>1040</v>
      </c>
      <c r="U4920">
        <v>0</v>
      </c>
    </row>
    <row r="4921" spans="1:21" x14ac:dyDescent="0.25">
      <c r="A4921" t="s">
        <v>82</v>
      </c>
      <c r="B4921" t="s">
        <v>990</v>
      </c>
      <c r="C4921">
        <v>6</v>
      </c>
      <c r="D4921" t="s">
        <v>19</v>
      </c>
      <c r="E4921" t="s">
        <v>94</v>
      </c>
      <c r="F4921" t="s">
        <v>113</v>
      </c>
      <c r="G4921" t="s">
        <v>113</v>
      </c>
      <c r="H4921" t="s">
        <v>113</v>
      </c>
      <c r="J4921">
        <v>0</v>
      </c>
      <c r="K4921">
        <v>4</v>
      </c>
      <c r="L4921">
        <v>83.757575759999995</v>
      </c>
      <c r="M4921">
        <v>22.60997987</v>
      </c>
      <c r="N4921">
        <v>0.72884000000000004</v>
      </c>
      <c r="O4921">
        <v>0.21301339999999999</v>
      </c>
      <c r="P4921">
        <v>83.757575759999995</v>
      </c>
      <c r="Q4921">
        <v>22.60997987</v>
      </c>
      <c r="R4921">
        <v>0.72884000000000004</v>
      </c>
      <c r="S4921">
        <v>0.21301339999999999</v>
      </c>
      <c r="T4921" t="s">
        <v>1040</v>
      </c>
      <c r="U4921">
        <v>0</v>
      </c>
    </row>
    <row r="4922" spans="1:21" x14ac:dyDescent="0.25">
      <c r="A4922" t="s">
        <v>82</v>
      </c>
      <c r="B4922" t="s">
        <v>990</v>
      </c>
      <c r="C4922">
        <v>6</v>
      </c>
      <c r="D4922" t="s">
        <v>19</v>
      </c>
      <c r="E4922" t="s">
        <v>94</v>
      </c>
      <c r="F4922" t="s">
        <v>113</v>
      </c>
      <c r="G4922" t="s">
        <v>113</v>
      </c>
      <c r="H4922" t="s">
        <v>113</v>
      </c>
      <c r="J4922">
        <v>0</v>
      </c>
      <c r="K4922">
        <v>4</v>
      </c>
      <c r="L4922">
        <v>83.757575759999995</v>
      </c>
      <c r="M4922">
        <v>22.60997987</v>
      </c>
      <c r="N4922">
        <v>0.72884000000000004</v>
      </c>
      <c r="O4922">
        <v>0.21301339999999999</v>
      </c>
      <c r="P4922">
        <v>83.757575759999995</v>
      </c>
      <c r="Q4922">
        <v>22.60997987</v>
      </c>
      <c r="R4922">
        <v>0.72884000000000004</v>
      </c>
      <c r="S4922">
        <v>0.21301339999999999</v>
      </c>
      <c r="T4922" t="s">
        <v>1040</v>
      </c>
      <c r="U4922">
        <v>0</v>
      </c>
    </row>
    <row r="4923" spans="1:21" x14ac:dyDescent="0.25">
      <c r="A4923" t="s">
        <v>82</v>
      </c>
      <c r="B4923" t="s">
        <v>990</v>
      </c>
      <c r="C4923">
        <v>6</v>
      </c>
      <c r="D4923" t="s">
        <v>19</v>
      </c>
      <c r="E4923" t="s">
        <v>94</v>
      </c>
      <c r="F4923" t="s">
        <v>113</v>
      </c>
      <c r="G4923" t="s">
        <v>113</v>
      </c>
      <c r="H4923" t="s">
        <v>113</v>
      </c>
      <c r="J4923">
        <v>0</v>
      </c>
      <c r="K4923">
        <v>4</v>
      </c>
      <c r="L4923">
        <v>83.757575759999995</v>
      </c>
      <c r="M4923">
        <v>22.60997987</v>
      </c>
      <c r="N4923">
        <v>0.72884000000000004</v>
      </c>
      <c r="O4923">
        <v>0.21301339999999999</v>
      </c>
      <c r="P4923">
        <v>83.757575759999995</v>
      </c>
      <c r="Q4923">
        <v>22.60997987</v>
      </c>
      <c r="R4923">
        <v>0.72884000000000004</v>
      </c>
      <c r="S4923">
        <v>0.21301339999999999</v>
      </c>
      <c r="T4923" t="s">
        <v>1040</v>
      </c>
      <c r="U4923">
        <v>0</v>
      </c>
    </row>
    <row r="4924" spans="1:21" x14ac:dyDescent="0.25">
      <c r="A4924" t="s">
        <v>82</v>
      </c>
      <c r="B4924" t="s">
        <v>990</v>
      </c>
      <c r="C4924">
        <v>6</v>
      </c>
      <c r="D4924" t="s">
        <v>19</v>
      </c>
      <c r="E4924" t="s">
        <v>94</v>
      </c>
      <c r="F4924" t="s">
        <v>113</v>
      </c>
      <c r="G4924" t="s">
        <v>113</v>
      </c>
      <c r="H4924" t="s">
        <v>113</v>
      </c>
      <c r="J4924">
        <v>0</v>
      </c>
      <c r="K4924">
        <v>4</v>
      </c>
      <c r="L4924">
        <v>83.757575759999995</v>
      </c>
      <c r="M4924">
        <v>22.60997987</v>
      </c>
      <c r="N4924">
        <v>0.72884000000000004</v>
      </c>
      <c r="O4924">
        <v>0.21301339999999999</v>
      </c>
      <c r="P4924">
        <v>83.757575759999995</v>
      </c>
      <c r="Q4924">
        <v>22.60997987</v>
      </c>
      <c r="R4924">
        <v>0.72884000000000004</v>
      </c>
      <c r="S4924">
        <v>0.21301339999999999</v>
      </c>
      <c r="T4924" t="s">
        <v>1040</v>
      </c>
      <c r="U4924">
        <v>0</v>
      </c>
    </row>
    <row r="4925" spans="1:21" x14ac:dyDescent="0.25">
      <c r="A4925" t="s">
        <v>82</v>
      </c>
      <c r="B4925" t="s">
        <v>990</v>
      </c>
      <c r="C4925">
        <v>6</v>
      </c>
      <c r="D4925" t="s">
        <v>19</v>
      </c>
      <c r="E4925" t="s">
        <v>94</v>
      </c>
      <c r="F4925" t="s">
        <v>113</v>
      </c>
      <c r="G4925" t="s">
        <v>113</v>
      </c>
      <c r="H4925" t="s">
        <v>241</v>
      </c>
      <c r="J4925">
        <v>0</v>
      </c>
      <c r="K4925">
        <v>1</v>
      </c>
      <c r="L4925">
        <v>83.757575759999995</v>
      </c>
      <c r="M4925">
        <v>22.60997987</v>
      </c>
      <c r="N4925">
        <v>0.72884000000000004</v>
      </c>
      <c r="O4925">
        <v>0.21301339999999999</v>
      </c>
      <c r="P4925">
        <v>114</v>
      </c>
      <c r="Q4925">
        <v>30.43077242</v>
      </c>
      <c r="R4925">
        <v>0.53383111100000002</v>
      </c>
      <c r="S4925">
        <v>0.28333332999999999</v>
      </c>
      <c r="T4925" t="s">
        <v>1040</v>
      </c>
      <c r="U4925">
        <v>-7.0319930000000003E-2</v>
      </c>
    </row>
    <row r="4926" spans="1:21" x14ac:dyDescent="0.25">
      <c r="A4926" t="s">
        <v>82</v>
      </c>
      <c r="B4926" t="s">
        <v>990</v>
      </c>
      <c r="C4926">
        <v>6</v>
      </c>
      <c r="D4926" t="s">
        <v>19</v>
      </c>
      <c r="E4926" t="s">
        <v>94</v>
      </c>
      <c r="F4926" t="s">
        <v>113</v>
      </c>
      <c r="G4926" t="s">
        <v>113</v>
      </c>
      <c r="H4926" t="s">
        <v>808</v>
      </c>
      <c r="J4926">
        <v>0</v>
      </c>
      <c r="K4926">
        <v>1</v>
      </c>
      <c r="L4926">
        <v>83.757575759999995</v>
      </c>
      <c r="M4926">
        <v>22.60997987</v>
      </c>
      <c r="N4926">
        <v>0.72884000000000004</v>
      </c>
      <c r="O4926">
        <v>0.21301339999999999</v>
      </c>
      <c r="P4926">
        <v>102.79166669999999</v>
      </c>
      <c r="Q4926">
        <v>27.057373470000002</v>
      </c>
      <c r="R4926">
        <v>6.3567849939999999</v>
      </c>
      <c r="S4926" t="s">
        <v>114</v>
      </c>
      <c r="T4926" t="s">
        <v>1040</v>
      </c>
      <c r="U4926" t="s">
        <v>114</v>
      </c>
    </row>
    <row r="4927" spans="1:21" x14ac:dyDescent="0.25">
      <c r="A4927" t="s">
        <v>82</v>
      </c>
      <c r="B4927" t="s">
        <v>990</v>
      </c>
      <c r="C4927">
        <v>6</v>
      </c>
      <c r="D4927" t="s">
        <v>19</v>
      </c>
      <c r="E4927" t="s">
        <v>94</v>
      </c>
      <c r="F4927" t="s">
        <v>113</v>
      </c>
      <c r="G4927" t="s">
        <v>113</v>
      </c>
      <c r="H4927" t="s">
        <v>103</v>
      </c>
      <c r="J4927">
        <v>0</v>
      </c>
      <c r="K4927">
        <v>1</v>
      </c>
      <c r="L4927">
        <v>83.757575759999995</v>
      </c>
      <c r="M4927">
        <v>22.60997987</v>
      </c>
      <c r="N4927">
        <v>0.72884000000000004</v>
      </c>
      <c r="O4927">
        <v>0.21301339999999999</v>
      </c>
      <c r="P4927">
        <v>98.291666669999998</v>
      </c>
      <c r="Q4927">
        <v>30.315130790000001</v>
      </c>
      <c r="R4927">
        <v>5.0803484000000003E-2</v>
      </c>
      <c r="S4927">
        <v>0.42866070000000001</v>
      </c>
      <c r="T4927" t="s">
        <v>1040</v>
      </c>
      <c r="U4927">
        <v>-0.21564730000000001</v>
      </c>
    </row>
    <row r="4928" spans="1:21" x14ac:dyDescent="0.25">
      <c r="A4928" t="s">
        <v>82</v>
      </c>
      <c r="B4928" t="s">
        <v>991</v>
      </c>
      <c r="C4928">
        <v>6</v>
      </c>
      <c r="D4928" t="s">
        <v>19</v>
      </c>
      <c r="E4928" t="s">
        <v>94</v>
      </c>
      <c r="F4928" t="s">
        <v>104</v>
      </c>
      <c r="G4928" t="s">
        <v>113</v>
      </c>
      <c r="H4928" t="s">
        <v>113</v>
      </c>
      <c r="J4928">
        <v>0</v>
      </c>
      <c r="K4928">
        <v>3</v>
      </c>
      <c r="L4928">
        <v>113.9375</v>
      </c>
      <c r="M4928">
        <v>33.375507550000002</v>
      </c>
      <c r="N4928">
        <v>2.4262999999999999</v>
      </c>
      <c r="O4928">
        <v>0.40692159999999999</v>
      </c>
      <c r="P4928">
        <v>83.757575759999995</v>
      </c>
      <c r="Q4928">
        <v>22.60997987</v>
      </c>
      <c r="R4928">
        <v>0.72884000000000004</v>
      </c>
      <c r="S4928">
        <v>0.21301339999999999</v>
      </c>
      <c r="T4928" t="s">
        <v>1040</v>
      </c>
      <c r="U4928">
        <v>0.1939082</v>
      </c>
    </row>
    <row r="4929" spans="1:21" x14ac:dyDescent="0.25">
      <c r="A4929" t="s">
        <v>82</v>
      </c>
      <c r="B4929" t="s">
        <v>991</v>
      </c>
      <c r="C4929">
        <v>6</v>
      </c>
      <c r="D4929" t="s">
        <v>19</v>
      </c>
      <c r="E4929" t="s">
        <v>94</v>
      </c>
      <c r="F4929" t="s">
        <v>104</v>
      </c>
      <c r="G4929" t="s">
        <v>113</v>
      </c>
      <c r="H4929" t="s">
        <v>113</v>
      </c>
      <c r="J4929">
        <v>0</v>
      </c>
      <c r="K4929">
        <v>3</v>
      </c>
      <c r="L4929">
        <v>113.9375</v>
      </c>
      <c r="M4929">
        <v>33.375507550000002</v>
      </c>
      <c r="N4929">
        <v>2.4262999999999999</v>
      </c>
      <c r="O4929">
        <v>0.40692159999999999</v>
      </c>
      <c r="P4929">
        <v>83.757575759999995</v>
      </c>
      <c r="Q4929">
        <v>22.60997987</v>
      </c>
      <c r="R4929">
        <v>0.72884000000000004</v>
      </c>
      <c r="S4929">
        <v>0.21301339999999999</v>
      </c>
      <c r="T4929" t="s">
        <v>1040</v>
      </c>
      <c r="U4929">
        <v>0.1939082</v>
      </c>
    </row>
    <row r="4930" spans="1:21" x14ac:dyDescent="0.25">
      <c r="A4930" t="s">
        <v>82</v>
      </c>
      <c r="B4930" t="s">
        <v>991</v>
      </c>
      <c r="C4930">
        <v>6</v>
      </c>
      <c r="D4930" t="s">
        <v>19</v>
      </c>
      <c r="E4930" t="s">
        <v>94</v>
      </c>
      <c r="F4930" t="s">
        <v>104</v>
      </c>
      <c r="G4930" t="s">
        <v>113</v>
      </c>
      <c r="H4930" t="s">
        <v>113</v>
      </c>
      <c r="J4930">
        <v>0</v>
      </c>
      <c r="K4930">
        <v>3</v>
      </c>
      <c r="L4930">
        <v>113.9375</v>
      </c>
      <c r="M4930">
        <v>33.375507550000002</v>
      </c>
      <c r="N4930">
        <v>2.4262999999999999</v>
      </c>
      <c r="O4930">
        <v>0.40692159999999999</v>
      </c>
      <c r="P4930">
        <v>83.757575759999995</v>
      </c>
      <c r="Q4930">
        <v>22.60997987</v>
      </c>
      <c r="R4930">
        <v>0.72884000000000004</v>
      </c>
      <c r="S4930">
        <v>0.21301339999999999</v>
      </c>
      <c r="T4930" t="s">
        <v>1040</v>
      </c>
      <c r="U4930">
        <v>0.1939082</v>
      </c>
    </row>
    <row r="4931" spans="1:21" x14ac:dyDescent="0.25">
      <c r="A4931" t="s">
        <v>83</v>
      </c>
      <c r="B4931" t="s">
        <v>992</v>
      </c>
      <c r="C4931">
        <v>6</v>
      </c>
      <c r="D4931" t="s">
        <v>21</v>
      </c>
      <c r="E4931" t="s">
        <v>94</v>
      </c>
      <c r="F4931" t="s">
        <v>102</v>
      </c>
      <c r="G4931" t="s">
        <v>121</v>
      </c>
      <c r="H4931" t="s">
        <v>114</v>
      </c>
      <c r="J4931">
        <v>0</v>
      </c>
      <c r="K4931">
        <v>0</v>
      </c>
      <c r="L4931">
        <v>84.740740740000007</v>
      </c>
      <c r="M4931">
        <v>29.167014049999999</v>
      </c>
      <c r="N4931">
        <v>1.1169849999999999</v>
      </c>
      <c r="O4931">
        <v>1.1571499000000001</v>
      </c>
      <c r="P4931" t="s">
        <v>114</v>
      </c>
      <c r="Q4931" t="s">
        <v>114</v>
      </c>
      <c r="R4931" t="s">
        <v>114</v>
      </c>
      <c r="S4931" t="s">
        <v>114</v>
      </c>
      <c r="T4931" t="s">
        <v>1040</v>
      </c>
      <c r="U4931" t="s">
        <v>114</v>
      </c>
    </row>
    <row r="4932" spans="1:21" x14ac:dyDescent="0.25">
      <c r="A4932" t="s">
        <v>83</v>
      </c>
      <c r="B4932" t="s">
        <v>993</v>
      </c>
      <c r="C4932">
        <v>6</v>
      </c>
      <c r="D4932" t="s">
        <v>21</v>
      </c>
      <c r="E4932" t="s">
        <v>94</v>
      </c>
      <c r="F4932" t="s">
        <v>103</v>
      </c>
      <c r="G4932" t="s">
        <v>103</v>
      </c>
      <c r="H4932" t="s">
        <v>103</v>
      </c>
      <c r="J4932">
        <v>0</v>
      </c>
      <c r="K4932">
        <v>2</v>
      </c>
      <c r="L4932">
        <v>98.291666669999998</v>
      </c>
      <c r="M4932">
        <v>30.315130790000001</v>
      </c>
      <c r="N4932">
        <v>5.0803484000000003E-2</v>
      </c>
      <c r="O4932">
        <v>0.42866070000000001</v>
      </c>
      <c r="P4932">
        <v>98.291666669999998</v>
      </c>
      <c r="Q4932">
        <v>30.315130790000001</v>
      </c>
      <c r="R4932">
        <v>5.0803484000000003E-2</v>
      </c>
      <c r="S4932">
        <v>0.42866070000000001</v>
      </c>
      <c r="T4932" t="s">
        <v>1040</v>
      </c>
      <c r="U4932">
        <v>0</v>
      </c>
    </row>
    <row r="4933" spans="1:21" x14ac:dyDescent="0.25">
      <c r="A4933" t="s">
        <v>83</v>
      </c>
      <c r="B4933" t="s">
        <v>993</v>
      </c>
      <c r="C4933">
        <v>6</v>
      </c>
      <c r="D4933" t="s">
        <v>21</v>
      </c>
      <c r="E4933" t="s">
        <v>94</v>
      </c>
      <c r="F4933" t="s">
        <v>103</v>
      </c>
      <c r="G4933" t="s">
        <v>103</v>
      </c>
      <c r="H4933" t="s">
        <v>103</v>
      </c>
      <c r="J4933">
        <v>0</v>
      </c>
      <c r="K4933">
        <v>2</v>
      </c>
      <c r="L4933">
        <v>98.291666669999998</v>
      </c>
      <c r="M4933">
        <v>30.315130790000001</v>
      </c>
      <c r="N4933">
        <v>5.0803484000000003E-2</v>
      </c>
      <c r="O4933">
        <v>0.42866070000000001</v>
      </c>
      <c r="P4933">
        <v>98.291666669999998</v>
      </c>
      <c r="Q4933">
        <v>30.315130790000001</v>
      </c>
      <c r="R4933">
        <v>5.0803484000000003E-2</v>
      </c>
      <c r="S4933">
        <v>0.42866070000000001</v>
      </c>
      <c r="T4933" t="s">
        <v>1040</v>
      </c>
      <c r="U4933">
        <v>0</v>
      </c>
    </row>
    <row r="4934" spans="1:21" x14ac:dyDescent="0.25">
      <c r="A4934" t="s">
        <v>83</v>
      </c>
      <c r="B4934" t="s">
        <v>993</v>
      </c>
      <c r="C4934">
        <v>6</v>
      </c>
      <c r="D4934" t="s">
        <v>21</v>
      </c>
      <c r="E4934" t="s">
        <v>94</v>
      </c>
      <c r="F4934" t="s">
        <v>103</v>
      </c>
      <c r="G4934" t="s">
        <v>103</v>
      </c>
      <c r="H4934" t="s">
        <v>246</v>
      </c>
      <c r="J4934">
        <v>0</v>
      </c>
      <c r="K4934">
        <v>1</v>
      </c>
      <c r="L4934">
        <v>98.291666669999998</v>
      </c>
      <c r="M4934">
        <v>30.315130790000001</v>
      </c>
      <c r="N4934">
        <v>5.0803484000000003E-2</v>
      </c>
      <c r="O4934">
        <v>0.42866070000000001</v>
      </c>
      <c r="P4934">
        <v>120.25</v>
      </c>
      <c r="Q4934">
        <v>30.670450110000001</v>
      </c>
      <c r="R4934">
        <v>0.91037498500000003</v>
      </c>
      <c r="S4934" t="s">
        <v>114</v>
      </c>
      <c r="T4934" t="s">
        <v>1040</v>
      </c>
      <c r="U4934" t="s">
        <v>114</v>
      </c>
    </row>
    <row r="4935" spans="1:21" x14ac:dyDescent="0.25">
      <c r="A4935" t="s">
        <v>83</v>
      </c>
      <c r="B4935" t="s">
        <v>993</v>
      </c>
      <c r="C4935">
        <v>6</v>
      </c>
      <c r="D4935" t="s">
        <v>21</v>
      </c>
      <c r="E4935" t="s">
        <v>94</v>
      </c>
      <c r="F4935" t="s">
        <v>103</v>
      </c>
      <c r="G4935" t="s">
        <v>103</v>
      </c>
      <c r="H4935" t="s">
        <v>239</v>
      </c>
      <c r="J4935">
        <v>0</v>
      </c>
      <c r="K4935">
        <v>1</v>
      </c>
      <c r="L4935">
        <v>98.291666669999998</v>
      </c>
      <c r="M4935">
        <v>30.315130790000001</v>
      </c>
      <c r="N4935">
        <v>5.0803484000000003E-2</v>
      </c>
      <c r="O4935">
        <v>0.42866070000000001</v>
      </c>
      <c r="P4935">
        <v>100.45454549999999</v>
      </c>
      <c r="Q4935">
        <v>26.754810689999999</v>
      </c>
      <c r="R4935">
        <v>0.75829999999999997</v>
      </c>
      <c r="S4935">
        <v>0.40907861000000001</v>
      </c>
      <c r="T4935" t="s">
        <v>1040</v>
      </c>
      <c r="U4935">
        <v>1.9582089999999996E-2</v>
      </c>
    </row>
    <row r="4936" spans="1:21" x14ac:dyDescent="0.25">
      <c r="A4936" t="s">
        <v>83</v>
      </c>
      <c r="B4936" t="s">
        <v>994</v>
      </c>
      <c r="C4936">
        <v>6</v>
      </c>
      <c r="D4936" t="s">
        <v>21</v>
      </c>
      <c r="E4936" t="s">
        <v>94</v>
      </c>
      <c r="F4936" t="s">
        <v>111</v>
      </c>
      <c r="G4936" t="s">
        <v>121</v>
      </c>
      <c r="H4936" t="s">
        <v>114</v>
      </c>
      <c r="J4936">
        <v>0</v>
      </c>
      <c r="K4936">
        <v>0</v>
      </c>
      <c r="L4936">
        <v>94.97142857</v>
      </c>
      <c r="M4936">
        <v>24.31591813</v>
      </c>
      <c r="N4936">
        <v>0.122951111</v>
      </c>
      <c r="O4936">
        <v>0.39050790000000002</v>
      </c>
      <c r="P4936" t="s">
        <v>114</v>
      </c>
      <c r="Q4936" t="s">
        <v>114</v>
      </c>
      <c r="R4936" t="s">
        <v>114</v>
      </c>
      <c r="S4936" t="s">
        <v>114</v>
      </c>
      <c r="T4936" t="s">
        <v>1040</v>
      </c>
      <c r="U4936" t="s">
        <v>114</v>
      </c>
    </row>
    <row r="4937" spans="1:21" x14ac:dyDescent="0.25">
      <c r="A4937" t="s">
        <v>84</v>
      </c>
      <c r="B4937" t="s">
        <v>995</v>
      </c>
      <c r="C4937">
        <v>6</v>
      </c>
      <c r="D4937" t="s">
        <v>23</v>
      </c>
      <c r="E4937" t="s">
        <v>95</v>
      </c>
      <c r="F4937" t="s">
        <v>102</v>
      </c>
      <c r="G4937" t="s">
        <v>121</v>
      </c>
      <c r="H4937" t="s">
        <v>254</v>
      </c>
      <c r="J4937">
        <v>0</v>
      </c>
      <c r="K4937">
        <v>3</v>
      </c>
      <c r="L4937">
        <v>84.740740740000007</v>
      </c>
      <c r="M4937">
        <v>29.167014049999999</v>
      </c>
      <c r="N4937">
        <v>1.1169849999999999</v>
      </c>
      <c r="O4937">
        <v>1.1571499000000001</v>
      </c>
      <c r="P4937" t="s">
        <v>114</v>
      </c>
      <c r="Q4937" t="s">
        <v>114</v>
      </c>
      <c r="R4937" t="s">
        <v>114</v>
      </c>
      <c r="S4937" t="s">
        <v>114</v>
      </c>
      <c r="T4937" t="s">
        <v>1040</v>
      </c>
      <c r="U4937" t="s">
        <v>114</v>
      </c>
    </row>
    <row r="4938" spans="1:21" x14ac:dyDescent="0.25">
      <c r="A4938" t="s">
        <v>84</v>
      </c>
      <c r="B4938" t="s">
        <v>995</v>
      </c>
      <c r="C4938">
        <v>6</v>
      </c>
      <c r="D4938" t="s">
        <v>23</v>
      </c>
      <c r="E4938" t="s">
        <v>95</v>
      </c>
      <c r="F4938" t="s">
        <v>102</v>
      </c>
      <c r="G4938" t="s">
        <v>121</v>
      </c>
      <c r="H4938" t="s">
        <v>254</v>
      </c>
      <c r="J4938">
        <v>0</v>
      </c>
      <c r="K4938">
        <v>3</v>
      </c>
      <c r="L4938">
        <v>84.740740740000007</v>
      </c>
      <c r="M4938">
        <v>29.167014049999999</v>
      </c>
      <c r="N4938">
        <v>1.1169849999999999</v>
      </c>
      <c r="O4938">
        <v>1.1571499000000001</v>
      </c>
      <c r="P4938" t="s">
        <v>114</v>
      </c>
      <c r="Q4938" t="s">
        <v>114</v>
      </c>
      <c r="R4938" t="s">
        <v>114</v>
      </c>
      <c r="S4938" t="s">
        <v>114</v>
      </c>
      <c r="T4938" t="s">
        <v>1040</v>
      </c>
      <c r="U4938" t="s">
        <v>114</v>
      </c>
    </row>
    <row r="4939" spans="1:21" x14ac:dyDescent="0.25">
      <c r="A4939" t="s">
        <v>84</v>
      </c>
      <c r="B4939" t="s">
        <v>995</v>
      </c>
      <c r="C4939">
        <v>6</v>
      </c>
      <c r="D4939" t="s">
        <v>23</v>
      </c>
      <c r="E4939" t="s">
        <v>95</v>
      </c>
      <c r="F4939" t="s">
        <v>102</v>
      </c>
      <c r="G4939" t="s">
        <v>121</v>
      </c>
      <c r="H4939" t="s">
        <v>254</v>
      </c>
      <c r="J4939">
        <v>0</v>
      </c>
      <c r="K4939">
        <v>3</v>
      </c>
      <c r="L4939">
        <v>84.740740740000007</v>
      </c>
      <c r="M4939">
        <v>29.167014049999999</v>
      </c>
      <c r="N4939">
        <v>1.1169849999999999</v>
      </c>
      <c r="O4939">
        <v>1.1571499000000001</v>
      </c>
      <c r="P4939" t="s">
        <v>114</v>
      </c>
      <c r="Q4939" t="s">
        <v>114</v>
      </c>
      <c r="R4939" t="s">
        <v>114</v>
      </c>
      <c r="S4939" t="s">
        <v>114</v>
      </c>
      <c r="T4939" t="s">
        <v>1040</v>
      </c>
      <c r="U4939" t="s">
        <v>114</v>
      </c>
    </row>
    <row r="4940" spans="1:21" x14ac:dyDescent="0.25">
      <c r="A4940" t="s">
        <v>84</v>
      </c>
      <c r="B4940" t="s">
        <v>995</v>
      </c>
      <c r="C4940">
        <v>6</v>
      </c>
      <c r="D4940" t="s">
        <v>23</v>
      </c>
      <c r="E4940" t="s">
        <v>95</v>
      </c>
      <c r="F4940" t="s">
        <v>102</v>
      </c>
      <c r="G4940" t="s">
        <v>121</v>
      </c>
      <c r="H4940" t="s">
        <v>248</v>
      </c>
      <c r="J4940">
        <v>0</v>
      </c>
      <c r="K4940">
        <v>1</v>
      </c>
      <c r="L4940">
        <v>84.740740740000007</v>
      </c>
      <c r="M4940">
        <v>29.167014049999999</v>
      </c>
      <c r="N4940">
        <v>1.1169849999999999</v>
      </c>
      <c r="O4940">
        <v>1.1571499000000001</v>
      </c>
      <c r="P4940">
        <v>83.92307692</v>
      </c>
      <c r="Q4940">
        <v>44.319135699999997</v>
      </c>
      <c r="R4940">
        <v>5.9548609999999997E-3</v>
      </c>
      <c r="S4940">
        <v>0.18017928</v>
      </c>
      <c r="T4940" t="s">
        <v>1040</v>
      </c>
      <c r="U4940">
        <v>0.97697062000000012</v>
      </c>
    </row>
    <row r="4941" spans="1:21" x14ac:dyDescent="0.25">
      <c r="A4941" t="s">
        <v>84</v>
      </c>
      <c r="B4941" t="s">
        <v>995</v>
      </c>
      <c r="C4941">
        <v>6</v>
      </c>
      <c r="D4941" t="s">
        <v>23</v>
      </c>
      <c r="E4941" t="s">
        <v>95</v>
      </c>
      <c r="F4941" t="s">
        <v>102</v>
      </c>
      <c r="G4941" t="s">
        <v>121</v>
      </c>
      <c r="H4941" t="s">
        <v>233</v>
      </c>
      <c r="J4941">
        <v>0</v>
      </c>
      <c r="K4941">
        <v>1</v>
      </c>
      <c r="L4941">
        <v>84.740740740000007</v>
      </c>
      <c r="M4941">
        <v>29.167014049999999</v>
      </c>
      <c r="N4941">
        <v>1.1169849999999999</v>
      </c>
      <c r="O4941">
        <v>1.1571499000000001</v>
      </c>
      <c r="P4941">
        <v>106.0540541</v>
      </c>
      <c r="Q4941">
        <v>52.690533369999997</v>
      </c>
      <c r="R4941">
        <v>7.6058968000000005E-2</v>
      </c>
      <c r="S4941">
        <v>0.44888888999999998</v>
      </c>
      <c r="T4941" t="s">
        <v>1040</v>
      </c>
      <c r="U4941">
        <v>0.70826101000000008</v>
      </c>
    </row>
    <row r="4942" spans="1:21" x14ac:dyDescent="0.25">
      <c r="A4942" t="s">
        <v>84</v>
      </c>
      <c r="B4942" t="s">
        <v>995</v>
      </c>
      <c r="C4942">
        <v>6</v>
      </c>
      <c r="D4942" t="s">
        <v>23</v>
      </c>
      <c r="E4942" t="s">
        <v>95</v>
      </c>
      <c r="F4942" t="s">
        <v>102</v>
      </c>
      <c r="G4942" t="s">
        <v>121</v>
      </c>
      <c r="H4942" t="s">
        <v>103</v>
      </c>
      <c r="J4942">
        <v>0</v>
      </c>
      <c r="K4942">
        <v>5</v>
      </c>
      <c r="L4942">
        <v>84.740740740000007</v>
      </c>
      <c r="M4942">
        <v>29.167014049999999</v>
      </c>
      <c r="N4942">
        <v>1.1169849999999999</v>
      </c>
      <c r="O4942">
        <v>1.1571499000000001</v>
      </c>
      <c r="P4942">
        <v>98.291666669999998</v>
      </c>
      <c r="Q4942">
        <v>30.315130790000001</v>
      </c>
      <c r="R4942">
        <v>5.0803484000000003E-2</v>
      </c>
      <c r="S4942">
        <v>0.42866070000000001</v>
      </c>
      <c r="T4942" t="s">
        <v>1040</v>
      </c>
      <c r="U4942">
        <v>0.72848920000000006</v>
      </c>
    </row>
    <row r="4943" spans="1:21" x14ac:dyDescent="0.25">
      <c r="A4943" t="s">
        <v>84</v>
      </c>
      <c r="B4943" t="s">
        <v>995</v>
      </c>
      <c r="C4943">
        <v>6</v>
      </c>
      <c r="D4943" t="s">
        <v>23</v>
      </c>
      <c r="E4943" t="s">
        <v>95</v>
      </c>
      <c r="F4943" t="s">
        <v>102</v>
      </c>
      <c r="G4943" t="s">
        <v>121</v>
      </c>
      <c r="H4943" t="s">
        <v>103</v>
      </c>
      <c r="J4943">
        <v>0</v>
      </c>
      <c r="K4943">
        <v>5</v>
      </c>
      <c r="L4943">
        <v>84.740740740000007</v>
      </c>
      <c r="M4943">
        <v>29.167014049999999</v>
      </c>
      <c r="N4943">
        <v>1.1169849999999999</v>
      </c>
      <c r="O4943">
        <v>1.1571499000000001</v>
      </c>
      <c r="P4943">
        <v>98.291666669999998</v>
      </c>
      <c r="Q4943">
        <v>30.315130790000001</v>
      </c>
      <c r="R4943">
        <v>5.0803484000000003E-2</v>
      </c>
      <c r="S4943">
        <v>0.42866070000000001</v>
      </c>
      <c r="T4943" t="s">
        <v>1040</v>
      </c>
      <c r="U4943">
        <v>0.72848920000000006</v>
      </c>
    </row>
    <row r="4944" spans="1:21" x14ac:dyDescent="0.25">
      <c r="A4944" t="s">
        <v>84</v>
      </c>
      <c r="B4944" t="s">
        <v>995</v>
      </c>
      <c r="C4944">
        <v>6</v>
      </c>
      <c r="D4944" t="s">
        <v>23</v>
      </c>
      <c r="E4944" t="s">
        <v>95</v>
      </c>
      <c r="F4944" t="s">
        <v>102</v>
      </c>
      <c r="G4944" t="s">
        <v>121</v>
      </c>
      <c r="H4944" t="s">
        <v>103</v>
      </c>
      <c r="J4944">
        <v>0</v>
      </c>
      <c r="K4944">
        <v>5</v>
      </c>
      <c r="L4944">
        <v>84.740740740000007</v>
      </c>
      <c r="M4944">
        <v>29.167014049999999</v>
      </c>
      <c r="N4944">
        <v>1.1169849999999999</v>
      </c>
      <c r="O4944">
        <v>1.1571499000000001</v>
      </c>
      <c r="P4944">
        <v>98.291666669999998</v>
      </c>
      <c r="Q4944">
        <v>30.315130790000001</v>
      </c>
      <c r="R4944">
        <v>5.0803484000000003E-2</v>
      </c>
      <c r="S4944">
        <v>0.42866070000000001</v>
      </c>
      <c r="T4944" t="s">
        <v>1040</v>
      </c>
      <c r="U4944">
        <v>0.72848920000000006</v>
      </c>
    </row>
    <row r="4945" spans="1:21" x14ac:dyDescent="0.25">
      <c r="A4945" t="s">
        <v>84</v>
      </c>
      <c r="B4945" t="s">
        <v>995</v>
      </c>
      <c r="C4945">
        <v>6</v>
      </c>
      <c r="D4945" t="s">
        <v>23</v>
      </c>
      <c r="E4945" t="s">
        <v>95</v>
      </c>
      <c r="F4945" t="s">
        <v>102</v>
      </c>
      <c r="G4945" t="s">
        <v>121</v>
      </c>
      <c r="H4945" t="s">
        <v>103</v>
      </c>
      <c r="J4945">
        <v>0</v>
      </c>
      <c r="K4945">
        <v>5</v>
      </c>
      <c r="L4945">
        <v>84.740740740000007</v>
      </c>
      <c r="M4945">
        <v>29.167014049999999</v>
      </c>
      <c r="N4945">
        <v>1.1169849999999999</v>
      </c>
      <c r="O4945">
        <v>1.1571499000000001</v>
      </c>
      <c r="P4945">
        <v>98.291666669999998</v>
      </c>
      <c r="Q4945">
        <v>30.315130790000001</v>
      </c>
      <c r="R4945">
        <v>5.0803484000000003E-2</v>
      </c>
      <c r="S4945">
        <v>0.42866070000000001</v>
      </c>
      <c r="T4945" t="s">
        <v>1040</v>
      </c>
      <c r="U4945">
        <v>0.72848920000000006</v>
      </c>
    </row>
    <row r="4946" spans="1:21" x14ac:dyDescent="0.25">
      <c r="A4946" t="s">
        <v>84</v>
      </c>
      <c r="B4946" t="s">
        <v>995</v>
      </c>
      <c r="C4946">
        <v>6</v>
      </c>
      <c r="D4946" t="s">
        <v>23</v>
      </c>
      <c r="E4946" t="s">
        <v>95</v>
      </c>
      <c r="F4946" t="s">
        <v>102</v>
      </c>
      <c r="G4946" t="s">
        <v>121</v>
      </c>
      <c r="H4946" t="s">
        <v>103</v>
      </c>
      <c r="J4946">
        <v>0</v>
      </c>
      <c r="K4946">
        <v>5</v>
      </c>
      <c r="L4946">
        <v>84.740740740000007</v>
      </c>
      <c r="M4946">
        <v>29.167014049999999</v>
      </c>
      <c r="N4946">
        <v>1.1169849999999999</v>
      </c>
      <c r="O4946">
        <v>1.1571499000000001</v>
      </c>
      <c r="P4946">
        <v>98.291666669999998</v>
      </c>
      <c r="Q4946">
        <v>30.315130790000001</v>
      </c>
      <c r="R4946">
        <v>5.0803484000000003E-2</v>
      </c>
      <c r="S4946">
        <v>0.42866070000000001</v>
      </c>
      <c r="T4946" t="s">
        <v>1040</v>
      </c>
      <c r="U4946">
        <v>0.72848920000000006</v>
      </c>
    </row>
    <row r="4947" spans="1:21" x14ac:dyDescent="0.25">
      <c r="A4947" t="s">
        <v>84</v>
      </c>
      <c r="B4947" t="s">
        <v>996</v>
      </c>
      <c r="C4947">
        <v>6</v>
      </c>
      <c r="D4947" t="s">
        <v>23</v>
      </c>
      <c r="E4947" t="s">
        <v>95</v>
      </c>
      <c r="F4947" t="s">
        <v>105</v>
      </c>
      <c r="G4947" t="s">
        <v>103</v>
      </c>
      <c r="H4947" t="s">
        <v>114</v>
      </c>
      <c r="J4947">
        <v>0</v>
      </c>
      <c r="K4947" t="s">
        <v>114</v>
      </c>
      <c r="L4947">
        <v>67.5</v>
      </c>
      <c r="M4947">
        <v>47.937235809999997</v>
      </c>
      <c r="N4947">
        <v>0.41599678000000001</v>
      </c>
      <c r="O4947">
        <v>2.0950346999999998</v>
      </c>
      <c r="P4947" t="s">
        <v>114</v>
      </c>
      <c r="Q4947" t="s">
        <v>114</v>
      </c>
      <c r="R4947" t="s">
        <v>114</v>
      </c>
      <c r="S4947" t="s">
        <v>114</v>
      </c>
      <c r="T4947" t="s">
        <v>1040</v>
      </c>
      <c r="U4947" t="s">
        <v>114</v>
      </c>
    </row>
    <row r="4948" spans="1:21" x14ac:dyDescent="0.25">
      <c r="A4948" t="s">
        <v>84</v>
      </c>
      <c r="B4948" t="s">
        <v>997</v>
      </c>
      <c r="C4948">
        <v>6</v>
      </c>
      <c r="D4948" t="s">
        <v>23</v>
      </c>
      <c r="E4948" t="s">
        <v>95</v>
      </c>
      <c r="F4948" t="s">
        <v>111</v>
      </c>
      <c r="G4948" t="s">
        <v>103</v>
      </c>
      <c r="H4948" t="s">
        <v>103</v>
      </c>
      <c r="J4948">
        <v>0</v>
      </c>
      <c r="K4948">
        <v>2</v>
      </c>
      <c r="L4948">
        <v>94.97142857</v>
      </c>
      <c r="M4948">
        <v>24.31591813</v>
      </c>
      <c r="N4948">
        <v>0.122951111</v>
      </c>
      <c r="O4948">
        <v>0.39050790000000002</v>
      </c>
      <c r="P4948">
        <v>98.291666669999998</v>
      </c>
      <c r="Q4948">
        <v>30.315130790000001</v>
      </c>
      <c r="R4948">
        <v>5.0803484000000003E-2</v>
      </c>
      <c r="S4948">
        <v>0.42866070000000001</v>
      </c>
      <c r="T4948" t="s">
        <v>1040</v>
      </c>
      <c r="U4948">
        <v>-3.8152799999999987E-2</v>
      </c>
    </row>
    <row r="4949" spans="1:21" x14ac:dyDescent="0.25">
      <c r="A4949" t="s">
        <v>84</v>
      </c>
      <c r="B4949" t="s">
        <v>997</v>
      </c>
      <c r="C4949">
        <v>6</v>
      </c>
      <c r="D4949" t="s">
        <v>23</v>
      </c>
      <c r="E4949" t="s">
        <v>95</v>
      </c>
      <c r="F4949" t="s">
        <v>111</v>
      </c>
      <c r="G4949" t="s">
        <v>103</v>
      </c>
      <c r="H4949" t="s">
        <v>103</v>
      </c>
      <c r="J4949">
        <v>0</v>
      </c>
      <c r="K4949">
        <v>2</v>
      </c>
      <c r="L4949">
        <v>94.97142857</v>
      </c>
      <c r="M4949">
        <v>24.31591813</v>
      </c>
      <c r="N4949">
        <v>0.122951111</v>
      </c>
      <c r="O4949">
        <v>0.39050790000000002</v>
      </c>
      <c r="P4949">
        <v>98.291666669999998</v>
      </c>
      <c r="Q4949">
        <v>30.315130790000001</v>
      </c>
      <c r="R4949">
        <v>5.0803484000000003E-2</v>
      </c>
      <c r="S4949">
        <v>0.42866070000000001</v>
      </c>
      <c r="T4949" t="s">
        <v>1040</v>
      </c>
      <c r="U4949">
        <v>-3.8152799999999987E-2</v>
      </c>
    </row>
    <row r="4950" spans="1:21" x14ac:dyDescent="0.25">
      <c r="A4950" t="s">
        <v>84</v>
      </c>
      <c r="B4950" t="s">
        <v>997</v>
      </c>
      <c r="C4950">
        <v>6</v>
      </c>
      <c r="D4950" t="s">
        <v>23</v>
      </c>
      <c r="E4950" t="s">
        <v>95</v>
      </c>
      <c r="F4950" t="s">
        <v>111</v>
      </c>
      <c r="G4950" t="s">
        <v>103</v>
      </c>
      <c r="H4950" t="s">
        <v>247</v>
      </c>
      <c r="J4950">
        <v>0</v>
      </c>
      <c r="K4950">
        <v>1</v>
      </c>
      <c r="L4950">
        <v>94.97142857</v>
      </c>
      <c r="M4950">
        <v>24.31591813</v>
      </c>
      <c r="N4950">
        <v>0.122951111</v>
      </c>
      <c r="O4950">
        <v>0.39050790000000002</v>
      </c>
      <c r="P4950">
        <v>65.791044779999993</v>
      </c>
      <c r="Q4950">
        <v>22.94519201</v>
      </c>
      <c r="R4950">
        <v>8.1320334999999994E-2</v>
      </c>
      <c r="S4950">
        <v>0.17285655</v>
      </c>
      <c r="T4950" t="s">
        <v>1040</v>
      </c>
      <c r="U4950">
        <v>0.21765135000000002</v>
      </c>
    </row>
    <row r="4951" spans="1:21" x14ac:dyDescent="0.25">
      <c r="A4951" t="s">
        <v>84</v>
      </c>
      <c r="B4951" t="s">
        <v>997</v>
      </c>
      <c r="C4951">
        <v>6</v>
      </c>
      <c r="D4951" t="s">
        <v>23</v>
      </c>
      <c r="E4951" t="s">
        <v>95</v>
      </c>
      <c r="F4951" t="s">
        <v>111</v>
      </c>
      <c r="G4951" t="s">
        <v>103</v>
      </c>
      <c r="H4951" t="s">
        <v>233</v>
      </c>
      <c r="J4951">
        <v>0</v>
      </c>
      <c r="K4951">
        <v>1</v>
      </c>
      <c r="L4951">
        <v>94.97142857</v>
      </c>
      <c r="M4951">
        <v>24.31591813</v>
      </c>
      <c r="N4951">
        <v>0.122951111</v>
      </c>
      <c r="O4951">
        <v>0.39050790000000002</v>
      </c>
      <c r="P4951">
        <v>106.0540541</v>
      </c>
      <c r="Q4951">
        <v>52.690533369999997</v>
      </c>
      <c r="R4951">
        <v>7.6058968000000005E-2</v>
      </c>
      <c r="S4951">
        <v>0.44888888999999998</v>
      </c>
      <c r="T4951" t="s">
        <v>1040</v>
      </c>
      <c r="U4951">
        <v>-5.8380989999999966E-2</v>
      </c>
    </row>
    <row r="4952" spans="1:21" x14ac:dyDescent="0.25">
      <c r="A4952" t="s">
        <v>84</v>
      </c>
      <c r="B4952" t="s">
        <v>997</v>
      </c>
      <c r="C4952">
        <v>6</v>
      </c>
      <c r="D4952" t="s">
        <v>23</v>
      </c>
      <c r="E4952" t="s">
        <v>95</v>
      </c>
      <c r="F4952" t="s">
        <v>111</v>
      </c>
      <c r="G4952" t="s">
        <v>103</v>
      </c>
      <c r="H4952" t="s">
        <v>808</v>
      </c>
      <c r="J4952">
        <v>0</v>
      </c>
      <c r="K4952">
        <v>1</v>
      </c>
      <c r="L4952">
        <v>94.97142857</v>
      </c>
      <c r="M4952">
        <v>24.31591813</v>
      </c>
      <c r="N4952">
        <v>0.122951111</v>
      </c>
      <c r="O4952">
        <v>0.39050790000000002</v>
      </c>
      <c r="P4952">
        <v>102.79166669999999</v>
      </c>
      <c r="Q4952">
        <v>27.057373470000002</v>
      </c>
      <c r="R4952">
        <v>6.3567849939999999</v>
      </c>
      <c r="S4952" t="s">
        <v>114</v>
      </c>
      <c r="T4952" t="s">
        <v>1040</v>
      </c>
      <c r="U4952" t="s">
        <v>114</v>
      </c>
    </row>
    <row r="4953" spans="1:21" x14ac:dyDescent="0.25">
      <c r="A4953" t="s">
        <v>84</v>
      </c>
      <c r="B4953" t="s">
        <v>998</v>
      </c>
      <c r="C4953">
        <v>6</v>
      </c>
      <c r="D4953" t="s">
        <v>23</v>
      </c>
      <c r="E4953" t="s">
        <v>95</v>
      </c>
      <c r="F4953" t="s">
        <v>112</v>
      </c>
      <c r="G4953" t="s">
        <v>103</v>
      </c>
      <c r="H4953" t="s">
        <v>236</v>
      </c>
      <c r="J4953">
        <v>0</v>
      </c>
      <c r="K4953">
        <v>1</v>
      </c>
      <c r="L4953">
        <v>65.09375</v>
      </c>
      <c r="M4953">
        <v>37.895352600000002</v>
      </c>
      <c r="N4953">
        <v>2.2882677779999998</v>
      </c>
      <c r="O4953">
        <v>2.2111774</v>
      </c>
      <c r="P4953">
        <v>113.33333330000001</v>
      </c>
      <c r="Q4953">
        <v>26.41632581</v>
      </c>
      <c r="R4953">
        <v>1.6844570160000001</v>
      </c>
      <c r="S4953">
        <v>8.9285710000000004E-2</v>
      </c>
      <c r="T4953" t="s">
        <v>1040</v>
      </c>
      <c r="U4953">
        <v>2.12189169</v>
      </c>
    </row>
    <row r="4954" spans="1:21" x14ac:dyDescent="0.25">
      <c r="A4954" t="s">
        <v>84</v>
      </c>
      <c r="B4954" t="s">
        <v>998</v>
      </c>
      <c r="C4954">
        <v>6</v>
      </c>
      <c r="D4954" t="s">
        <v>23</v>
      </c>
      <c r="E4954" t="s">
        <v>95</v>
      </c>
      <c r="F4954" t="s">
        <v>112</v>
      </c>
      <c r="G4954" t="s">
        <v>103</v>
      </c>
      <c r="H4954" t="s">
        <v>103</v>
      </c>
      <c r="J4954">
        <v>0</v>
      </c>
      <c r="K4954">
        <v>2</v>
      </c>
      <c r="L4954">
        <v>65.09375</v>
      </c>
      <c r="M4954">
        <v>37.895352600000002</v>
      </c>
      <c r="N4954">
        <v>2.2882677779999998</v>
      </c>
      <c r="O4954">
        <v>2.2111774</v>
      </c>
      <c r="P4954">
        <v>98.291666669999998</v>
      </c>
      <c r="Q4954">
        <v>30.315130790000001</v>
      </c>
      <c r="R4954">
        <v>5.0803484000000003E-2</v>
      </c>
      <c r="S4954">
        <v>0.42866070000000001</v>
      </c>
      <c r="T4954" t="s">
        <v>1040</v>
      </c>
      <c r="U4954">
        <v>1.7825167</v>
      </c>
    </row>
    <row r="4955" spans="1:21" x14ac:dyDescent="0.25">
      <c r="A4955" t="s">
        <v>84</v>
      </c>
      <c r="B4955" t="s">
        <v>998</v>
      </c>
      <c r="C4955">
        <v>6</v>
      </c>
      <c r="D4955" t="s">
        <v>23</v>
      </c>
      <c r="E4955" t="s">
        <v>95</v>
      </c>
      <c r="F4955" t="s">
        <v>112</v>
      </c>
      <c r="G4955" t="s">
        <v>103</v>
      </c>
      <c r="H4955" t="s">
        <v>103</v>
      </c>
      <c r="J4955">
        <v>0</v>
      </c>
      <c r="K4955">
        <v>2</v>
      </c>
      <c r="L4955">
        <v>65.09375</v>
      </c>
      <c r="M4955">
        <v>37.895352600000002</v>
      </c>
      <c r="N4955">
        <v>2.2882677779999998</v>
      </c>
      <c r="O4955">
        <v>2.2111774</v>
      </c>
      <c r="P4955">
        <v>98.291666669999998</v>
      </c>
      <c r="Q4955">
        <v>30.315130790000001</v>
      </c>
      <c r="R4955">
        <v>5.0803484000000003E-2</v>
      </c>
      <c r="S4955">
        <v>0.42866070000000001</v>
      </c>
      <c r="T4955" t="s">
        <v>1040</v>
      </c>
      <c r="U4955">
        <v>1.7825167</v>
      </c>
    </row>
    <row r="4956" spans="1:21" x14ac:dyDescent="0.25">
      <c r="A4956" t="s">
        <v>84</v>
      </c>
      <c r="B4956" t="s">
        <v>998</v>
      </c>
      <c r="C4956">
        <v>6</v>
      </c>
      <c r="D4956" t="s">
        <v>23</v>
      </c>
      <c r="E4956" t="s">
        <v>95</v>
      </c>
      <c r="F4956" t="s">
        <v>112</v>
      </c>
      <c r="G4956" t="s">
        <v>103</v>
      </c>
      <c r="H4956" t="s">
        <v>808</v>
      </c>
      <c r="J4956">
        <v>0</v>
      </c>
      <c r="K4956">
        <v>1</v>
      </c>
      <c r="L4956">
        <v>65.09375</v>
      </c>
      <c r="M4956">
        <v>37.895352600000002</v>
      </c>
      <c r="N4956">
        <v>2.2882677779999998</v>
      </c>
      <c r="O4956">
        <v>2.2111774</v>
      </c>
      <c r="P4956">
        <v>102.79166669999999</v>
      </c>
      <c r="Q4956">
        <v>27.057373470000002</v>
      </c>
      <c r="R4956">
        <v>6.3567849939999999</v>
      </c>
      <c r="S4956" t="s">
        <v>114</v>
      </c>
      <c r="T4956" t="s">
        <v>1040</v>
      </c>
      <c r="U4956" t="s">
        <v>114</v>
      </c>
    </row>
    <row r="4957" spans="1:21" x14ac:dyDescent="0.25">
      <c r="A4957" t="s">
        <v>84</v>
      </c>
      <c r="B4957" t="s">
        <v>998</v>
      </c>
      <c r="C4957">
        <v>6</v>
      </c>
      <c r="D4957" t="s">
        <v>23</v>
      </c>
      <c r="E4957" t="s">
        <v>95</v>
      </c>
      <c r="F4957" t="s">
        <v>112</v>
      </c>
      <c r="G4957" t="s">
        <v>103</v>
      </c>
      <c r="H4957" t="s">
        <v>239</v>
      </c>
      <c r="J4957">
        <v>0</v>
      </c>
      <c r="K4957">
        <v>2</v>
      </c>
      <c r="L4957">
        <v>65.09375</v>
      </c>
      <c r="M4957">
        <v>37.895352600000002</v>
      </c>
      <c r="N4957">
        <v>2.2882677779999998</v>
      </c>
      <c r="O4957">
        <v>2.2111774</v>
      </c>
      <c r="P4957">
        <v>100.45454549999999</v>
      </c>
      <c r="Q4957">
        <v>26.754810689999999</v>
      </c>
      <c r="R4957">
        <v>0.75829999999999997</v>
      </c>
      <c r="S4957">
        <v>0.40907861000000001</v>
      </c>
      <c r="T4957" t="s">
        <v>1040</v>
      </c>
      <c r="U4957">
        <v>1.8020987900000001</v>
      </c>
    </row>
    <row r="4958" spans="1:21" x14ac:dyDescent="0.25">
      <c r="A4958" t="s">
        <v>84</v>
      </c>
      <c r="B4958" t="s">
        <v>998</v>
      </c>
      <c r="C4958">
        <v>6</v>
      </c>
      <c r="D4958" t="s">
        <v>23</v>
      </c>
      <c r="E4958" t="s">
        <v>95</v>
      </c>
      <c r="F4958" t="s">
        <v>112</v>
      </c>
      <c r="G4958" t="s">
        <v>103</v>
      </c>
      <c r="H4958" t="s">
        <v>239</v>
      </c>
      <c r="J4958">
        <v>0</v>
      </c>
      <c r="K4958">
        <v>2</v>
      </c>
      <c r="L4958">
        <v>65.09375</v>
      </c>
      <c r="M4958">
        <v>37.895352600000002</v>
      </c>
      <c r="N4958">
        <v>2.2882677779999998</v>
      </c>
      <c r="O4958">
        <v>2.2111774</v>
      </c>
      <c r="P4958">
        <v>100.45454549999999</v>
      </c>
      <c r="Q4958">
        <v>26.754810689999999</v>
      </c>
      <c r="R4958">
        <v>0.75829999999999997</v>
      </c>
      <c r="S4958">
        <v>0.40907861000000001</v>
      </c>
      <c r="T4958" t="s">
        <v>1040</v>
      </c>
      <c r="U4958">
        <v>1.8020987900000001</v>
      </c>
    </row>
    <row r="4959" spans="1:21" x14ac:dyDescent="0.25">
      <c r="A4959" t="s">
        <v>85</v>
      </c>
      <c r="B4959" t="s">
        <v>999</v>
      </c>
      <c r="C4959">
        <v>6</v>
      </c>
      <c r="D4959" t="s">
        <v>25</v>
      </c>
      <c r="E4959" t="s">
        <v>94</v>
      </c>
      <c r="F4959" t="s">
        <v>105</v>
      </c>
      <c r="G4959" t="s">
        <v>103</v>
      </c>
      <c r="H4959" t="s">
        <v>810</v>
      </c>
      <c r="J4959">
        <v>0</v>
      </c>
      <c r="K4959">
        <v>1</v>
      </c>
      <c r="L4959">
        <v>67.5</v>
      </c>
      <c r="M4959">
        <v>47.937235809999997</v>
      </c>
      <c r="N4959">
        <v>0.41599678000000001</v>
      </c>
      <c r="O4959">
        <v>2.0950346999999998</v>
      </c>
      <c r="P4959">
        <v>77.055555560000002</v>
      </c>
      <c r="Q4959">
        <v>18.389110710000001</v>
      </c>
      <c r="R4959">
        <v>1.5559800079999999</v>
      </c>
      <c r="S4959" t="s">
        <v>114</v>
      </c>
      <c r="T4959" t="s">
        <v>1040</v>
      </c>
      <c r="U4959" t="s">
        <v>114</v>
      </c>
    </row>
    <row r="4960" spans="1:21" x14ac:dyDescent="0.25">
      <c r="A4960" t="s">
        <v>85</v>
      </c>
      <c r="B4960" t="s">
        <v>999</v>
      </c>
      <c r="C4960">
        <v>6</v>
      </c>
      <c r="D4960" t="s">
        <v>25</v>
      </c>
      <c r="E4960" t="s">
        <v>94</v>
      </c>
      <c r="F4960" t="s">
        <v>105</v>
      </c>
      <c r="G4960" t="s">
        <v>103</v>
      </c>
      <c r="H4960" t="s">
        <v>104</v>
      </c>
      <c r="J4960">
        <v>0</v>
      </c>
      <c r="K4960">
        <v>1</v>
      </c>
      <c r="L4960">
        <v>67.5</v>
      </c>
      <c r="M4960">
        <v>47.937235809999997</v>
      </c>
      <c r="N4960">
        <v>0.41599678000000001</v>
      </c>
      <c r="O4960">
        <v>2.0950346999999998</v>
      </c>
      <c r="P4960">
        <v>113.9375</v>
      </c>
      <c r="Q4960">
        <v>33.375507550000002</v>
      </c>
      <c r="R4960">
        <v>2.4262999999999999</v>
      </c>
      <c r="S4960">
        <v>0.40692159999999999</v>
      </c>
      <c r="T4960" t="s">
        <v>1040</v>
      </c>
      <c r="U4960">
        <v>1.6881130999999998</v>
      </c>
    </row>
    <row r="4961" spans="1:21" x14ac:dyDescent="0.25">
      <c r="A4961" t="s">
        <v>85</v>
      </c>
      <c r="B4961" t="s">
        <v>999</v>
      </c>
      <c r="C4961">
        <v>6</v>
      </c>
      <c r="D4961" t="s">
        <v>25</v>
      </c>
      <c r="E4961" t="s">
        <v>94</v>
      </c>
      <c r="F4961" t="s">
        <v>105</v>
      </c>
      <c r="G4961" t="s">
        <v>103</v>
      </c>
      <c r="H4961" t="s">
        <v>110</v>
      </c>
      <c r="J4961">
        <v>0</v>
      </c>
      <c r="K4961">
        <v>1</v>
      </c>
      <c r="L4961">
        <v>67.5</v>
      </c>
      <c r="M4961">
        <v>47.937235809999997</v>
      </c>
      <c r="N4961">
        <v>0.41599678000000001</v>
      </c>
      <c r="O4961">
        <v>2.0950346999999998</v>
      </c>
      <c r="P4961">
        <v>73.260869569999997</v>
      </c>
      <c r="Q4961">
        <v>34.453830549999999</v>
      </c>
      <c r="R4961">
        <v>1.058333333</v>
      </c>
      <c r="S4961">
        <v>0.90897070000000002</v>
      </c>
      <c r="T4961" t="s">
        <v>1040</v>
      </c>
      <c r="U4961">
        <v>1.1860639999999998</v>
      </c>
    </row>
    <row r="4962" spans="1:21" x14ac:dyDescent="0.25">
      <c r="A4962" t="s">
        <v>85</v>
      </c>
      <c r="B4962" t="s">
        <v>999</v>
      </c>
      <c r="C4962">
        <v>6</v>
      </c>
      <c r="D4962" t="s">
        <v>25</v>
      </c>
      <c r="E4962" t="s">
        <v>94</v>
      </c>
      <c r="F4962" t="s">
        <v>105</v>
      </c>
      <c r="G4962" t="s">
        <v>103</v>
      </c>
      <c r="H4962" t="s">
        <v>103</v>
      </c>
      <c r="J4962">
        <v>0</v>
      </c>
      <c r="K4962">
        <v>4</v>
      </c>
      <c r="L4962">
        <v>67.5</v>
      </c>
      <c r="M4962">
        <v>47.937235809999997</v>
      </c>
      <c r="N4962">
        <v>0.41599678000000001</v>
      </c>
      <c r="O4962">
        <v>2.0950346999999998</v>
      </c>
      <c r="P4962">
        <v>98.291666669999998</v>
      </c>
      <c r="Q4962">
        <v>30.315130790000001</v>
      </c>
      <c r="R4962">
        <v>5.0803484000000003E-2</v>
      </c>
      <c r="S4962">
        <v>0.42866070000000001</v>
      </c>
      <c r="T4962" t="s">
        <v>1040</v>
      </c>
      <c r="U4962">
        <v>1.6663739999999998</v>
      </c>
    </row>
    <row r="4963" spans="1:21" x14ac:dyDescent="0.25">
      <c r="A4963" t="s">
        <v>85</v>
      </c>
      <c r="B4963" t="s">
        <v>999</v>
      </c>
      <c r="C4963">
        <v>6</v>
      </c>
      <c r="D4963" t="s">
        <v>25</v>
      </c>
      <c r="E4963" t="s">
        <v>94</v>
      </c>
      <c r="F4963" t="s">
        <v>105</v>
      </c>
      <c r="G4963" t="s">
        <v>103</v>
      </c>
      <c r="H4963" t="s">
        <v>103</v>
      </c>
      <c r="J4963">
        <v>0</v>
      </c>
      <c r="K4963">
        <v>4</v>
      </c>
      <c r="L4963">
        <v>67.5</v>
      </c>
      <c r="M4963">
        <v>47.937235809999997</v>
      </c>
      <c r="N4963">
        <v>0.41599678000000001</v>
      </c>
      <c r="O4963">
        <v>2.0950346999999998</v>
      </c>
      <c r="P4963">
        <v>98.291666669999998</v>
      </c>
      <c r="Q4963">
        <v>30.315130790000001</v>
      </c>
      <c r="R4963">
        <v>5.0803484000000003E-2</v>
      </c>
      <c r="S4963">
        <v>0.42866070000000001</v>
      </c>
      <c r="T4963" t="s">
        <v>1040</v>
      </c>
      <c r="U4963">
        <v>1.6663739999999998</v>
      </c>
    </row>
    <row r="4964" spans="1:21" x14ac:dyDescent="0.25">
      <c r="A4964" t="s">
        <v>85</v>
      </c>
      <c r="B4964" t="s">
        <v>999</v>
      </c>
      <c r="C4964">
        <v>6</v>
      </c>
      <c r="D4964" t="s">
        <v>25</v>
      </c>
      <c r="E4964" t="s">
        <v>94</v>
      </c>
      <c r="F4964" t="s">
        <v>105</v>
      </c>
      <c r="G4964" t="s">
        <v>103</v>
      </c>
      <c r="H4964" t="s">
        <v>103</v>
      </c>
      <c r="J4964">
        <v>0</v>
      </c>
      <c r="K4964">
        <v>4</v>
      </c>
      <c r="L4964">
        <v>67.5</v>
      </c>
      <c r="M4964">
        <v>47.937235809999997</v>
      </c>
      <c r="N4964">
        <v>0.41599678000000001</v>
      </c>
      <c r="O4964">
        <v>2.0950346999999998</v>
      </c>
      <c r="P4964">
        <v>98.291666669999998</v>
      </c>
      <c r="Q4964">
        <v>30.315130790000001</v>
      </c>
      <c r="R4964">
        <v>5.0803484000000003E-2</v>
      </c>
      <c r="S4964">
        <v>0.42866070000000001</v>
      </c>
      <c r="T4964" t="s">
        <v>1040</v>
      </c>
      <c r="U4964">
        <v>1.6663739999999998</v>
      </c>
    </row>
    <row r="4965" spans="1:21" x14ac:dyDescent="0.25">
      <c r="A4965" t="s">
        <v>85</v>
      </c>
      <c r="B4965" t="s">
        <v>999</v>
      </c>
      <c r="C4965">
        <v>6</v>
      </c>
      <c r="D4965" t="s">
        <v>25</v>
      </c>
      <c r="E4965" t="s">
        <v>94</v>
      </c>
      <c r="F4965" t="s">
        <v>105</v>
      </c>
      <c r="G4965" t="s">
        <v>103</v>
      </c>
      <c r="H4965" t="s">
        <v>103</v>
      </c>
      <c r="J4965">
        <v>0</v>
      </c>
      <c r="K4965">
        <v>4</v>
      </c>
      <c r="L4965">
        <v>67.5</v>
      </c>
      <c r="M4965">
        <v>47.937235809999997</v>
      </c>
      <c r="N4965">
        <v>0.41599678000000001</v>
      </c>
      <c r="O4965">
        <v>2.0950346999999998</v>
      </c>
      <c r="P4965">
        <v>98.291666669999998</v>
      </c>
      <c r="Q4965">
        <v>30.315130790000001</v>
      </c>
      <c r="R4965">
        <v>5.0803484000000003E-2</v>
      </c>
      <c r="S4965">
        <v>0.42866070000000001</v>
      </c>
      <c r="T4965" t="s">
        <v>1040</v>
      </c>
      <c r="U4965">
        <v>1.6663739999999998</v>
      </c>
    </row>
    <row r="4966" spans="1:21" x14ac:dyDescent="0.25">
      <c r="A4966" t="s">
        <v>85</v>
      </c>
      <c r="B4966" t="s">
        <v>1000</v>
      </c>
      <c r="C4966">
        <v>6</v>
      </c>
      <c r="D4966" t="s">
        <v>25</v>
      </c>
      <c r="E4966" t="s">
        <v>94</v>
      </c>
      <c r="F4966" t="s">
        <v>110</v>
      </c>
      <c r="G4966" t="s">
        <v>103</v>
      </c>
      <c r="H4966" t="s">
        <v>103</v>
      </c>
      <c r="J4966">
        <v>0</v>
      </c>
      <c r="K4966">
        <v>9</v>
      </c>
      <c r="L4966">
        <v>73.260869569999997</v>
      </c>
      <c r="M4966">
        <v>34.453830549999999</v>
      </c>
      <c r="N4966">
        <v>1.058333333</v>
      </c>
      <c r="O4966">
        <v>0.90897070000000002</v>
      </c>
      <c r="P4966">
        <v>98.291666669999998</v>
      </c>
      <c r="Q4966">
        <v>30.315130790000001</v>
      </c>
      <c r="R4966">
        <v>5.0803484000000003E-2</v>
      </c>
      <c r="S4966">
        <v>0.42866070000000001</v>
      </c>
      <c r="T4966" t="s">
        <v>1040</v>
      </c>
      <c r="U4966">
        <v>0.48031000000000001</v>
      </c>
    </row>
    <row r="4967" spans="1:21" x14ac:dyDescent="0.25">
      <c r="A4967" t="s">
        <v>85</v>
      </c>
      <c r="B4967" t="s">
        <v>1000</v>
      </c>
      <c r="C4967">
        <v>6</v>
      </c>
      <c r="D4967" t="s">
        <v>25</v>
      </c>
      <c r="E4967" t="s">
        <v>94</v>
      </c>
      <c r="F4967" t="s">
        <v>110</v>
      </c>
      <c r="G4967" t="s">
        <v>103</v>
      </c>
      <c r="H4967" t="s">
        <v>103</v>
      </c>
      <c r="J4967">
        <v>0</v>
      </c>
      <c r="K4967">
        <v>9</v>
      </c>
      <c r="L4967">
        <v>73.260869569999997</v>
      </c>
      <c r="M4967">
        <v>34.453830549999999</v>
      </c>
      <c r="N4967">
        <v>1.058333333</v>
      </c>
      <c r="O4967">
        <v>0.90897070000000002</v>
      </c>
      <c r="P4967">
        <v>98.291666669999998</v>
      </c>
      <c r="Q4967">
        <v>30.315130790000001</v>
      </c>
      <c r="R4967">
        <v>5.0803484000000003E-2</v>
      </c>
      <c r="S4967">
        <v>0.42866070000000001</v>
      </c>
      <c r="T4967" t="s">
        <v>1040</v>
      </c>
      <c r="U4967">
        <v>0.48031000000000001</v>
      </c>
    </row>
    <row r="4968" spans="1:21" x14ac:dyDescent="0.25">
      <c r="A4968" t="s">
        <v>85</v>
      </c>
      <c r="B4968" t="s">
        <v>1000</v>
      </c>
      <c r="C4968">
        <v>6</v>
      </c>
      <c r="D4968" t="s">
        <v>25</v>
      </c>
      <c r="E4968" t="s">
        <v>94</v>
      </c>
      <c r="F4968" t="s">
        <v>110</v>
      </c>
      <c r="G4968" t="s">
        <v>103</v>
      </c>
      <c r="H4968" t="s">
        <v>103</v>
      </c>
      <c r="J4968">
        <v>0</v>
      </c>
      <c r="K4968">
        <v>9</v>
      </c>
      <c r="L4968">
        <v>73.260869569999997</v>
      </c>
      <c r="M4968">
        <v>34.453830549999999</v>
      </c>
      <c r="N4968">
        <v>1.058333333</v>
      </c>
      <c r="O4968">
        <v>0.90897070000000002</v>
      </c>
      <c r="P4968">
        <v>98.291666669999998</v>
      </c>
      <c r="Q4968">
        <v>30.315130790000001</v>
      </c>
      <c r="R4968">
        <v>5.0803484000000003E-2</v>
      </c>
      <c r="S4968">
        <v>0.42866070000000001</v>
      </c>
      <c r="T4968" t="s">
        <v>1040</v>
      </c>
      <c r="U4968">
        <v>0.48031000000000001</v>
      </c>
    </row>
    <row r="4969" spans="1:21" x14ac:dyDescent="0.25">
      <c r="A4969" t="s">
        <v>85</v>
      </c>
      <c r="B4969" t="s">
        <v>1000</v>
      </c>
      <c r="C4969">
        <v>6</v>
      </c>
      <c r="D4969" t="s">
        <v>25</v>
      </c>
      <c r="E4969" t="s">
        <v>94</v>
      </c>
      <c r="F4969" t="s">
        <v>110</v>
      </c>
      <c r="G4969" t="s">
        <v>103</v>
      </c>
      <c r="H4969" t="s">
        <v>103</v>
      </c>
      <c r="J4969">
        <v>0</v>
      </c>
      <c r="K4969">
        <v>9</v>
      </c>
      <c r="L4969">
        <v>73.260869569999997</v>
      </c>
      <c r="M4969">
        <v>34.453830549999999</v>
      </c>
      <c r="N4969">
        <v>1.058333333</v>
      </c>
      <c r="O4969">
        <v>0.90897070000000002</v>
      </c>
      <c r="P4969">
        <v>98.291666669999998</v>
      </c>
      <c r="Q4969">
        <v>30.315130790000001</v>
      </c>
      <c r="R4969">
        <v>5.0803484000000003E-2</v>
      </c>
      <c r="S4969">
        <v>0.42866070000000001</v>
      </c>
      <c r="T4969" t="s">
        <v>1040</v>
      </c>
      <c r="U4969">
        <v>0.48031000000000001</v>
      </c>
    </row>
    <row r="4970" spans="1:21" x14ac:dyDescent="0.25">
      <c r="A4970" t="s">
        <v>85</v>
      </c>
      <c r="B4970" t="s">
        <v>1000</v>
      </c>
      <c r="C4970">
        <v>6</v>
      </c>
      <c r="D4970" t="s">
        <v>25</v>
      </c>
      <c r="E4970" t="s">
        <v>94</v>
      </c>
      <c r="F4970" t="s">
        <v>110</v>
      </c>
      <c r="G4970" t="s">
        <v>103</v>
      </c>
      <c r="H4970" t="s">
        <v>103</v>
      </c>
      <c r="J4970">
        <v>0</v>
      </c>
      <c r="K4970">
        <v>9</v>
      </c>
      <c r="L4970">
        <v>73.260869569999997</v>
      </c>
      <c r="M4970">
        <v>34.453830549999999</v>
      </c>
      <c r="N4970">
        <v>1.058333333</v>
      </c>
      <c r="O4970">
        <v>0.90897070000000002</v>
      </c>
      <c r="P4970">
        <v>98.291666669999998</v>
      </c>
      <c r="Q4970">
        <v>30.315130790000001</v>
      </c>
      <c r="R4970">
        <v>5.0803484000000003E-2</v>
      </c>
      <c r="S4970">
        <v>0.42866070000000001</v>
      </c>
      <c r="T4970" t="s">
        <v>1040</v>
      </c>
      <c r="U4970">
        <v>0.48031000000000001</v>
      </c>
    </row>
    <row r="4971" spans="1:21" x14ac:dyDescent="0.25">
      <c r="A4971" t="s">
        <v>85</v>
      </c>
      <c r="B4971" t="s">
        <v>1000</v>
      </c>
      <c r="C4971">
        <v>6</v>
      </c>
      <c r="D4971" t="s">
        <v>25</v>
      </c>
      <c r="E4971" t="s">
        <v>94</v>
      </c>
      <c r="F4971" t="s">
        <v>110</v>
      </c>
      <c r="G4971" t="s">
        <v>103</v>
      </c>
      <c r="H4971" t="s">
        <v>103</v>
      </c>
      <c r="J4971">
        <v>0</v>
      </c>
      <c r="K4971">
        <v>9</v>
      </c>
      <c r="L4971">
        <v>73.260869569999997</v>
      </c>
      <c r="M4971">
        <v>34.453830549999999</v>
      </c>
      <c r="N4971">
        <v>1.058333333</v>
      </c>
      <c r="O4971">
        <v>0.90897070000000002</v>
      </c>
      <c r="P4971">
        <v>98.291666669999998</v>
      </c>
      <c r="Q4971">
        <v>30.315130790000001</v>
      </c>
      <c r="R4971">
        <v>5.0803484000000003E-2</v>
      </c>
      <c r="S4971">
        <v>0.42866070000000001</v>
      </c>
      <c r="T4971" t="s">
        <v>1040</v>
      </c>
      <c r="U4971">
        <v>0.48031000000000001</v>
      </c>
    </row>
    <row r="4972" spans="1:21" x14ac:dyDescent="0.25">
      <c r="A4972" t="s">
        <v>85</v>
      </c>
      <c r="B4972" t="s">
        <v>1000</v>
      </c>
      <c r="C4972">
        <v>6</v>
      </c>
      <c r="D4972" t="s">
        <v>25</v>
      </c>
      <c r="E4972" t="s">
        <v>94</v>
      </c>
      <c r="F4972" t="s">
        <v>110</v>
      </c>
      <c r="G4972" t="s">
        <v>103</v>
      </c>
      <c r="H4972" t="s">
        <v>103</v>
      </c>
      <c r="J4972">
        <v>0</v>
      </c>
      <c r="K4972">
        <v>9</v>
      </c>
      <c r="L4972">
        <v>73.260869569999997</v>
      </c>
      <c r="M4972">
        <v>34.453830549999999</v>
      </c>
      <c r="N4972">
        <v>1.058333333</v>
      </c>
      <c r="O4972">
        <v>0.90897070000000002</v>
      </c>
      <c r="P4972">
        <v>98.291666669999998</v>
      </c>
      <c r="Q4972">
        <v>30.315130790000001</v>
      </c>
      <c r="R4972">
        <v>5.0803484000000003E-2</v>
      </c>
      <c r="S4972">
        <v>0.42866070000000001</v>
      </c>
      <c r="T4972" t="s">
        <v>1040</v>
      </c>
      <c r="U4972">
        <v>0.48031000000000001</v>
      </c>
    </row>
    <row r="4973" spans="1:21" x14ac:dyDescent="0.25">
      <c r="A4973" t="s">
        <v>85</v>
      </c>
      <c r="B4973" t="s">
        <v>1000</v>
      </c>
      <c r="C4973">
        <v>6</v>
      </c>
      <c r="D4973" t="s">
        <v>25</v>
      </c>
      <c r="E4973" t="s">
        <v>94</v>
      </c>
      <c r="F4973" t="s">
        <v>110</v>
      </c>
      <c r="G4973" t="s">
        <v>103</v>
      </c>
      <c r="H4973" t="s">
        <v>103</v>
      </c>
      <c r="J4973">
        <v>0</v>
      </c>
      <c r="K4973">
        <v>9</v>
      </c>
      <c r="L4973">
        <v>73.260869569999997</v>
      </c>
      <c r="M4973">
        <v>34.453830549999999</v>
      </c>
      <c r="N4973">
        <v>1.058333333</v>
      </c>
      <c r="O4973">
        <v>0.90897070000000002</v>
      </c>
      <c r="P4973">
        <v>98.291666669999998</v>
      </c>
      <c r="Q4973">
        <v>30.315130790000001</v>
      </c>
      <c r="R4973">
        <v>5.0803484000000003E-2</v>
      </c>
      <c r="S4973">
        <v>0.42866070000000001</v>
      </c>
      <c r="T4973" t="s">
        <v>1040</v>
      </c>
      <c r="U4973">
        <v>0.48031000000000001</v>
      </c>
    </row>
    <row r="4974" spans="1:21" x14ac:dyDescent="0.25">
      <c r="A4974" t="s">
        <v>85</v>
      </c>
      <c r="B4974" t="s">
        <v>1000</v>
      </c>
      <c r="C4974">
        <v>6</v>
      </c>
      <c r="D4974" t="s">
        <v>25</v>
      </c>
      <c r="E4974" t="s">
        <v>94</v>
      </c>
      <c r="F4974" t="s">
        <v>110</v>
      </c>
      <c r="G4974" t="s">
        <v>103</v>
      </c>
      <c r="H4974" t="s">
        <v>103</v>
      </c>
      <c r="J4974">
        <v>0</v>
      </c>
      <c r="K4974">
        <v>9</v>
      </c>
      <c r="L4974">
        <v>73.260869569999997</v>
      </c>
      <c r="M4974">
        <v>34.453830549999999</v>
      </c>
      <c r="N4974">
        <v>1.058333333</v>
      </c>
      <c r="O4974">
        <v>0.90897070000000002</v>
      </c>
      <c r="P4974">
        <v>98.291666669999998</v>
      </c>
      <c r="Q4974">
        <v>30.315130790000001</v>
      </c>
      <c r="R4974">
        <v>5.0803484000000003E-2</v>
      </c>
      <c r="S4974">
        <v>0.42866070000000001</v>
      </c>
      <c r="T4974" t="s">
        <v>1040</v>
      </c>
      <c r="U4974">
        <v>0.48031000000000001</v>
      </c>
    </row>
    <row r="4975" spans="1:21" x14ac:dyDescent="0.25">
      <c r="A4975" t="s">
        <v>85</v>
      </c>
      <c r="B4975" t="s">
        <v>1000</v>
      </c>
      <c r="C4975">
        <v>6</v>
      </c>
      <c r="D4975" t="s">
        <v>25</v>
      </c>
      <c r="E4975" t="s">
        <v>94</v>
      </c>
      <c r="F4975" t="s">
        <v>110</v>
      </c>
      <c r="G4975" t="s">
        <v>103</v>
      </c>
      <c r="H4975" t="s">
        <v>248</v>
      </c>
      <c r="J4975">
        <v>0</v>
      </c>
      <c r="K4975">
        <v>4</v>
      </c>
      <c r="L4975">
        <v>73.260869569999997</v>
      </c>
      <c r="M4975">
        <v>34.453830549999999</v>
      </c>
      <c r="N4975">
        <v>1.058333333</v>
      </c>
      <c r="O4975">
        <v>0.90897070000000002</v>
      </c>
      <c r="P4975">
        <v>83.92307692</v>
      </c>
      <c r="Q4975">
        <v>44.319135699999997</v>
      </c>
      <c r="R4975">
        <v>5.9548609999999997E-3</v>
      </c>
      <c r="S4975">
        <v>0.18017928</v>
      </c>
      <c r="T4975" t="s">
        <v>1040</v>
      </c>
      <c r="U4975">
        <v>0.72879142000000008</v>
      </c>
    </row>
    <row r="4976" spans="1:21" x14ac:dyDescent="0.25">
      <c r="A4976" t="s">
        <v>85</v>
      </c>
      <c r="B4976" t="s">
        <v>1000</v>
      </c>
      <c r="C4976">
        <v>6</v>
      </c>
      <c r="D4976" t="s">
        <v>25</v>
      </c>
      <c r="E4976" t="s">
        <v>94</v>
      </c>
      <c r="F4976" t="s">
        <v>110</v>
      </c>
      <c r="G4976" t="s">
        <v>103</v>
      </c>
      <c r="H4976" t="s">
        <v>248</v>
      </c>
      <c r="J4976">
        <v>0</v>
      </c>
      <c r="K4976">
        <v>4</v>
      </c>
      <c r="L4976">
        <v>73.260869569999997</v>
      </c>
      <c r="M4976">
        <v>34.453830549999999</v>
      </c>
      <c r="N4976">
        <v>1.058333333</v>
      </c>
      <c r="O4976">
        <v>0.90897070000000002</v>
      </c>
      <c r="P4976">
        <v>83.92307692</v>
      </c>
      <c r="Q4976">
        <v>44.319135699999997</v>
      </c>
      <c r="R4976">
        <v>5.9548609999999997E-3</v>
      </c>
      <c r="S4976">
        <v>0.18017928</v>
      </c>
      <c r="T4976" t="s">
        <v>1040</v>
      </c>
      <c r="U4976">
        <v>0.72879142000000008</v>
      </c>
    </row>
    <row r="4977" spans="1:21" x14ac:dyDescent="0.25">
      <c r="A4977" t="s">
        <v>85</v>
      </c>
      <c r="B4977" t="s">
        <v>1000</v>
      </c>
      <c r="C4977">
        <v>6</v>
      </c>
      <c r="D4977" t="s">
        <v>25</v>
      </c>
      <c r="E4977" t="s">
        <v>94</v>
      </c>
      <c r="F4977" t="s">
        <v>110</v>
      </c>
      <c r="G4977" t="s">
        <v>103</v>
      </c>
      <c r="H4977" t="s">
        <v>248</v>
      </c>
      <c r="J4977">
        <v>0</v>
      </c>
      <c r="K4977">
        <v>4</v>
      </c>
      <c r="L4977">
        <v>73.260869569999997</v>
      </c>
      <c r="M4977">
        <v>34.453830549999999</v>
      </c>
      <c r="N4977">
        <v>1.058333333</v>
      </c>
      <c r="O4977">
        <v>0.90897070000000002</v>
      </c>
      <c r="P4977">
        <v>83.92307692</v>
      </c>
      <c r="Q4977">
        <v>44.319135699999997</v>
      </c>
      <c r="R4977">
        <v>5.9548609999999997E-3</v>
      </c>
      <c r="S4977">
        <v>0.18017928</v>
      </c>
      <c r="T4977" t="s">
        <v>1040</v>
      </c>
      <c r="U4977">
        <v>0.72879142000000008</v>
      </c>
    </row>
    <row r="4978" spans="1:21" x14ac:dyDescent="0.25">
      <c r="A4978" t="s">
        <v>85</v>
      </c>
      <c r="B4978" t="s">
        <v>1000</v>
      </c>
      <c r="C4978">
        <v>6</v>
      </c>
      <c r="D4978" t="s">
        <v>25</v>
      </c>
      <c r="E4978" t="s">
        <v>94</v>
      </c>
      <c r="F4978" t="s">
        <v>110</v>
      </c>
      <c r="G4978" t="s">
        <v>103</v>
      </c>
      <c r="H4978" t="s">
        <v>248</v>
      </c>
      <c r="J4978">
        <v>0</v>
      </c>
      <c r="K4978">
        <v>4</v>
      </c>
      <c r="L4978">
        <v>73.260869569999997</v>
      </c>
      <c r="M4978">
        <v>34.453830549999999</v>
      </c>
      <c r="N4978">
        <v>1.058333333</v>
      </c>
      <c r="O4978">
        <v>0.90897070000000002</v>
      </c>
      <c r="P4978">
        <v>83.92307692</v>
      </c>
      <c r="Q4978">
        <v>44.319135699999997</v>
      </c>
      <c r="R4978">
        <v>5.9548609999999997E-3</v>
      </c>
      <c r="S4978">
        <v>0.18017928</v>
      </c>
      <c r="T4978" t="s">
        <v>1040</v>
      </c>
      <c r="U4978">
        <v>0.72879142000000008</v>
      </c>
    </row>
    <row r="4979" spans="1:21" x14ac:dyDescent="0.25">
      <c r="A4979" t="s">
        <v>85</v>
      </c>
      <c r="B4979" t="s">
        <v>1000</v>
      </c>
      <c r="C4979">
        <v>6</v>
      </c>
      <c r="D4979" t="s">
        <v>25</v>
      </c>
      <c r="E4979" t="s">
        <v>94</v>
      </c>
      <c r="F4979" t="s">
        <v>110</v>
      </c>
      <c r="G4979" t="s">
        <v>103</v>
      </c>
      <c r="H4979" t="s">
        <v>233</v>
      </c>
      <c r="J4979">
        <v>0</v>
      </c>
      <c r="K4979">
        <v>3</v>
      </c>
      <c r="L4979">
        <v>73.260869569999997</v>
      </c>
      <c r="M4979">
        <v>34.453830549999999</v>
      </c>
      <c r="N4979">
        <v>1.058333333</v>
      </c>
      <c r="O4979">
        <v>0.90897070000000002</v>
      </c>
      <c r="P4979">
        <v>106.0540541</v>
      </c>
      <c r="Q4979">
        <v>52.690533369999997</v>
      </c>
      <c r="R4979">
        <v>7.6058968000000005E-2</v>
      </c>
      <c r="S4979">
        <v>0.44888888999999998</v>
      </c>
      <c r="T4979" t="s">
        <v>1040</v>
      </c>
      <c r="U4979">
        <v>0.46008181000000004</v>
      </c>
    </row>
    <row r="4980" spans="1:21" x14ac:dyDescent="0.25">
      <c r="A4980" t="s">
        <v>85</v>
      </c>
      <c r="B4980" t="s">
        <v>1000</v>
      </c>
      <c r="C4980">
        <v>6</v>
      </c>
      <c r="D4980" t="s">
        <v>25</v>
      </c>
      <c r="E4980" t="s">
        <v>94</v>
      </c>
      <c r="F4980" t="s">
        <v>110</v>
      </c>
      <c r="G4980" t="s">
        <v>103</v>
      </c>
      <c r="H4980" t="s">
        <v>233</v>
      </c>
      <c r="J4980">
        <v>0</v>
      </c>
      <c r="K4980">
        <v>3</v>
      </c>
      <c r="L4980">
        <v>73.260869569999997</v>
      </c>
      <c r="M4980">
        <v>34.453830549999999</v>
      </c>
      <c r="N4980">
        <v>1.058333333</v>
      </c>
      <c r="O4980">
        <v>0.90897070000000002</v>
      </c>
      <c r="P4980">
        <v>106.0540541</v>
      </c>
      <c r="Q4980">
        <v>52.690533369999997</v>
      </c>
      <c r="R4980">
        <v>7.6058968000000005E-2</v>
      </c>
      <c r="S4980">
        <v>0.44888888999999998</v>
      </c>
      <c r="T4980" t="s">
        <v>1040</v>
      </c>
      <c r="U4980">
        <v>0.46008181000000004</v>
      </c>
    </row>
    <row r="4981" spans="1:21" x14ac:dyDescent="0.25">
      <c r="A4981" t="s">
        <v>85</v>
      </c>
      <c r="B4981" t="s">
        <v>1000</v>
      </c>
      <c r="C4981">
        <v>6</v>
      </c>
      <c r="D4981" t="s">
        <v>25</v>
      </c>
      <c r="E4981" t="s">
        <v>94</v>
      </c>
      <c r="F4981" t="s">
        <v>110</v>
      </c>
      <c r="G4981" t="s">
        <v>103</v>
      </c>
      <c r="H4981" t="s">
        <v>233</v>
      </c>
      <c r="J4981">
        <v>0</v>
      </c>
      <c r="K4981">
        <v>3</v>
      </c>
      <c r="L4981">
        <v>73.260869569999997</v>
      </c>
      <c r="M4981">
        <v>34.453830549999999</v>
      </c>
      <c r="N4981">
        <v>1.058333333</v>
      </c>
      <c r="O4981">
        <v>0.90897070000000002</v>
      </c>
      <c r="P4981">
        <v>106.0540541</v>
      </c>
      <c r="Q4981">
        <v>52.690533369999997</v>
      </c>
      <c r="R4981">
        <v>7.6058968000000005E-2</v>
      </c>
      <c r="S4981">
        <v>0.44888888999999998</v>
      </c>
      <c r="T4981" t="s">
        <v>1040</v>
      </c>
      <c r="U4981">
        <v>0.46008181000000004</v>
      </c>
    </row>
    <row r="4982" spans="1:21" x14ac:dyDescent="0.25">
      <c r="A4982" t="s">
        <v>85</v>
      </c>
      <c r="B4982" t="s">
        <v>1000</v>
      </c>
      <c r="C4982">
        <v>6</v>
      </c>
      <c r="D4982" t="s">
        <v>25</v>
      </c>
      <c r="E4982" t="s">
        <v>94</v>
      </c>
      <c r="F4982" t="s">
        <v>110</v>
      </c>
      <c r="G4982" t="s">
        <v>103</v>
      </c>
      <c r="H4982" t="s">
        <v>110</v>
      </c>
      <c r="J4982">
        <v>0</v>
      </c>
      <c r="K4982">
        <v>1</v>
      </c>
      <c r="L4982">
        <v>73.260869569999997</v>
      </c>
      <c r="M4982">
        <v>34.453830549999999</v>
      </c>
      <c r="N4982">
        <v>1.058333333</v>
      </c>
      <c r="O4982">
        <v>0.90897070000000002</v>
      </c>
      <c r="P4982">
        <v>73.260869569999997</v>
      </c>
      <c r="Q4982">
        <v>34.453830549999999</v>
      </c>
      <c r="R4982">
        <v>1.058333333</v>
      </c>
      <c r="S4982">
        <v>0.90897070000000002</v>
      </c>
      <c r="T4982" t="s">
        <v>1040</v>
      </c>
      <c r="U4982">
        <v>0</v>
      </c>
    </row>
    <row r="4983" spans="1:21" x14ac:dyDescent="0.25">
      <c r="A4983" t="s">
        <v>86</v>
      </c>
      <c r="B4983" t="s">
        <v>1001</v>
      </c>
      <c r="C4983">
        <v>6</v>
      </c>
      <c r="D4983" t="s">
        <v>27</v>
      </c>
      <c r="E4983" t="s">
        <v>94</v>
      </c>
      <c r="F4983" t="s">
        <v>110</v>
      </c>
      <c r="G4983" t="s">
        <v>121</v>
      </c>
      <c r="H4983" t="s">
        <v>246</v>
      </c>
      <c r="J4983">
        <v>0</v>
      </c>
      <c r="K4983">
        <v>1</v>
      </c>
      <c r="L4983">
        <v>73.260869569999997</v>
      </c>
      <c r="M4983">
        <v>34.453830549999999</v>
      </c>
      <c r="N4983">
        <v>1.058333333</v>
      </c>
      <c r="O4983">
        <v>0.90897070000000002</v>
      </c>
      <c r="P4983">
        <v>120.25</v>
      </c>
      <c r="Q4983">
        <v>30.670450110000001</v>
      </c>
      <c r="R4983">
        <v>0.91037498500000003</v>
      </c>
      <c r="S4983" t="s">
        <v>114</v>
      </c>
      <c r="T4983" t="s">
        <v>1040</v>
      </c>
      <c r="U4983" t="s">
        <v>114</v>
      </c>
    </row>
    <row r="4984" spans="1:21" x14ac:dyDescent="0.25">
      <c r="A4984" t="s">
        <v>86</v>
      </c>
      <c r="B4984" t="s">
        <v>1001</v>
      </c>
      <c r="C4984">
        <v>6</v>
      </c>
      <c r="D4984" t="s">
        <v>27</v>
      </c>
      <c r="E4984" t="s">
        <v>94</v>
      </c>
      <c r="F4984" t="s">
        <v>110</v>
      </c>
      <c r="G4984" t="s">
        <v>121</v>
      </c>
      <c r="H4984" t="s">
        <v>242</v>
      </c>
      <c r="J4984">
        <v>0</v>
      </c>
      <c r="K4984">
        <v>2</v>
      </c>
      <c r="L4984">
        <v>73.260869569999997</v>
      </c>
      <c r="M4984">
        <v>34.453830549999999</v>
      </c>
      <c r="N4984">
        <v>1.058333333</v>
      </c>
      <c r="O4984">
        <v>0.90897070000000002</v>
      </c>
      <c r="P4984">
        <v>139.375</v>
      </c>
      <c r="Q4984">
        <v>23.713465920000001</v>
      </c>
      <c r="R4984" t="s">
        <v>114</v>
      </c>
      <c r="S4984" t="s">
        <v>114</v>
      </c>
      <c r="T4984" t="s">
        <v>1040</v>
      </c>
      <c r="U4984" t="s">
        <v>114</v>
      </c>
    </row>
    <row r="4985" spans="1:21" x14ac:dyDescent="0.25">
      <c r="A4985" t="s">
        <v>86</v>
      </c>
      <c r="B4985" t="s">
        <v>1001</v>
      </c>
      <c r="C4985">
        <v>6</v>
      </c>
      <c r="D4985" t="s">
        <v>27</v>
      </c>
      <c r="E4985" t="s">
        <v>94</v>
      </c>
      <c r="F4985" t="s">
        <v>110</v>
      </c>
      <c r="G4985" t="s">
        <v>121</v>
      </c>
      <c r="H4985" t="s">
        <v>242</v>
      </c>
      <c r="J4985">
        <v>0</v>
      </c>
      <c r="K4985">
        <v>2</v>
      </c>
      <c r="L4985">
        <v>73.260869569999997</v>
      </c>
      <c r="M4985">
        <v>34.453830549999999</v>
      </c>
      <c r="N4985">
        <v>1.058333333</v>
      </c>
      <c r="O4985">
        <v>0.90897070000000002</v>
      </c>
      <c r="P4985">
        <v>139.375</v>
      </c>
      <c r="Q4985">
        <v>23.713465920000001</v>
      </c>
      <c r="R4985" t="s">
        <v>114</v>
      </c>
      <c r="S4985" t="s">
        <v>114</v>
      </c>
      <c r="T4985" t="s">
        <v>1040</v>
      </c>
      <c r="U4985" t="s">
        <v>114</v>
      </c>
    </row>
    <row r="4986" spans="1:21" x14ac:dyDescent="0.25">
      <c r="A4986" t="s">
        <v>86</v>
      </c>
      <c r="B4986" t="s">
        <v>1002</v>
      </c>
      <c r="C4986">
        <v>6</v>
      </c>
      <c r="D4986" t="s">
        <v>27</v>
      </c>
      <c r="E4986" t="s">
        <v>94</v>
      </c>
      <c r="F4986" t="s">
        <v>112</v>
      </c>
      <c r="G4986" t="s">
        <v>110</v>
      </c>
      <c r="H4986" t="s">
        <v>110</v>
      </c>
      <c r="J4986">
        <v>0</v>
      </c>
      <c r="K4986">
        <v>1</v>
      </c>
      <c r="L4986">
        <v>65.09375</v>
      </c>
      <c r="M4986">
        <v>37.895352600000002</v>
      </c>
      <c r="N4986">
        <v>2.2882677779999998</v>
      </c>
      <c r="O4986">
        <v>2.2111774</v>
      </c>
      <c r="P4986">
        <v>73.260869569999997</v>
      </c>
      <c r="Q4986">
        <v>34.453830549999999</v>
      </c>
      <c r="R4986">
        <v>1.058333333</v>
      </c>
      <c r="S4986">
        <v>0.90897070000000002</v>
      </c>
      <c r="T4986" t="s">
        <v>1040</v>
      </c>
      <c r="U4986">
        <v>1.3022066999999999</v>
      </c>
    </row>
    <row r="4987" spans="1:21" x14ac:dyDescent="0.25">
      <c r="A4987" t="s">
        <v>86</v>
      </c>
      <c r="B4987" t="s">
        <v>1002</v>
      </c>
      <c r="C4987">
        <v>6</v>
      </c>
      <c r="D4987" t="s">
        <v>27</v>
      </c>
      <c r="E4987" t="s">
        <v>94</v>
      </c>
      <c r="F4987" t="s">
        <v>112</v>
      </c>
      <c r="G4987" t="s">
        <v>110</v>
      </c>
      <c r="H4987" t="s">
        <v>246</v>
      </c>
      <c r="J4987">
        <v>0</v>
      </c>
      <c r="K4987">
        <v>1</v>
      </c>
      <c r="L4987">
        <v>65.09375</v>
      </c>
      <c r="M4987">
        <v>37.895352600000002</v>
      </c>
      <c r="N4987">
        <v>2.2882677779999998</v>
      </c>
      <c r="O4987">
        <v>2.2111774</v>
      </c>
      <c r="P4987">
        <v>120.25</v>
      </c>
      <c r="Q4987">
        <v>30.670450110000001</v>
      </c>
      <c r="R4987">
        <v>0.91037498500000003</v>
      </c>
      <c r="S4987" t="s">
        <v>114</v>
      </c>
      <c r="T4987" t="s">
        <v>1040</v>
      </c>
      <c r="U4987" t="s">
        <v>114</v>
      </c>
    </row>
    <row r="4988" spans="1:21" x14ac:dyDescent="0.25">
      <c r="A4988" t="s">
        <v>87</v>
      </c>
      <c r="B4988" t="s">
        <v>1003</v>
      </c>
      <c r="C4988">
        <v>6</v>
      </c>
      <c r="D4988" t="s">
        <v>29</v>
      </c>
      <c r="E4988" t="s">
        <v>95</v>
      </c>
      <c r="F4988" t="s">
        <v>102</v>
      </c>
      <c r="G4988" t="s">
        <v>110</v>
      </c>
      <c r="H4988" t="s">
        <v>110</v>
      </c>
      <c r="J4988">
        <v>0</v>
      </c>
      <c r="K4988">
        <v>3</v>
      </c>
      <c r="L4988">
        <v>84.740740740000007</v>
      </c>
      <c r="M4988">
        <v>29.167014049999999</v>
      </c>
      <c r="N4988">
        <v>1.1169849999999999</v>
      </c>
      <c r="O4988">
        <v>1.1571499000000001</v>
      </c>
      <c r="P4988">
        <v>73.260869569999997</v>
      </c>
      <c r="Q4988">
        <v>34.453830549999999</v>
      </c>
      <c r="R4988">
        <v>1.058333333</v>
      </c>
      <c r="S4988">
        <v>0.90897070000000002</v>
      </c>
      <c r="T4988" t="s">
        <v>1040</v>
      </c>
      <c r="U4988">
        <v>0.24817920000000004</v>
      </c>
    </row>
    <row r="4989" spans="1:21" x14ac:dyDescent="0.25">
      <c r="A4989" t="s">
        <v>87</v>
      </c>
      <c r="B4989" t="s">
        <v>1003</v>
      </c>
      <c r="C4989">
        <v>6</v>
      </c>
      <c r="D4989" t="s">
        <v>29</v>
      </c>
      <c r="E4989" t="s">
        <v>95</v>
      </c>
      <c r="F4989" t="s">
        <v>102</v>
      </c>
      <c r="G4989" t="s">
        <v>110</v>
      </c>
      <c r="H4989" t="s">
        <v>110</v>
      </c>
      <c r="J4989">
        <v>0</v>
      </c>
      <c r="K4989">
        <v>3</v>
      </c>
      <c r="L4989">
        <v>84.740740740000007</v>
      </c>
      <c r="M4989">
        <v>29.167014049999999</v>
      </c>
      <c r="N4989">
        <v>1.1169849999999999</v>
      </c>
      <c r="O4989">
        <v>1.1571499000000001</v>
      </c>
      <c r="P4989">
        <v>73.260869569999997</v>
      </c>
      <c r="Q4989">
        <v>34.453830549999999</v>
      </c>
      <c r="R4989">
        <v>1.058333333</v>
      </c>
      <c r="S4989">
        <v>0.90897070000000002</v>
      </c>
      <c r="T4989" t="s">
        <v>1040</v>
      </c>
      <c r="U4989">
        <v>0.24817920000000004</v>
      </c>
    </row>
    <row r="4990" spans="1:21" x14ac:dyDescent="0.25">
      <c r="A4990" t="s">
        <v>87</v>
      </c>
      <c r="B4990" t="s">
        <v>1003</v>
      </c>
      <c r="C4990">
        <v>6</v>
      </c>
      <c r="D4990" t="s">
        <v>29</v>
      </c>
      <c r="E4990" t="s">
        <v>95</v>
      </c>
      <c r="F4990" t="s">
        <v>102</v>
      </c>
      <c r="G4990" t="s">
        <v>110</v>
      </c>
      <c r="H4990" t="s">
        <v>110</v>
      </c>
      <c r="J4990">
        <v>0</v>
      </c>
      <c r="K4990">
        <v>3</v>
      </c>
      <c r="L4990">
        <v>84.740740740000007</v>
      </c>
      <c r="M4990">
        <v>29.167014049999999</v>
      </c>
      <c r="N4990">
        <v>1.1169849999999999</v>
      </c>
      <c r="O4990">
        <v>1.1571499000000001</v>
      </c>
      <c r="P4990">
        <v>73.260869569999997</v>
      </c>
      <c r="Q4990">
        <v>34.453830549999999</v>
      </c>
      <c r="R4990">
        <v>1.058333333</v>
      </c>
      <c r="S4990">
        <v>0.90897070000000002</v>
      </c>
      <c r="T4990" t="s">
        <v>1040</v>
      </c>
      <c r="U4990">
        <v>0.24817920000000004</v>
      </c>
    </row>
    <row r="4991" spans="1:21" x14ac:dyDescent="0.25">
      <c r="A4991" t="s">
        <v>87</v>
      </c>
      <c r="B4991" t="s">
        <v>1003</v>
      </c>
      <c r="C4991">
        <v>6</v>
      </c>
      <c r="D4991" t="s">
        <v>29</v>
      </c>
      <c r="E4991" t="s">
        <v>95</v>
      </c>
      <c r="F4991" t="s">
        <v>102</v>
      </c>
      <c r="G4991" t="s">
        <v>110</v>
      </c>
      <c r="H4991" t="s">
        <v>246</v>
      </c>
      <c r="J4991">
        <v>0</v>
      </c>
      <c r="K4991">
        <v>1</v>
      </c>
      <c r="L4991">
        <v>84.740740740000007</v>
      </c>
      <c r="M4991">
        <v>29.167014049999999</v>
      </c>
      <c r="N4991">
        <v>1.1169849999999999</v>
      </c>
      <c r="O4991">
        <v>1.1571499000000001</v>
      </c>
      <c r="P4991">
        <v>120.25</v>
      </c>
      <c r="Q4991">
        <v>30.670450110000001</v>
      </c>
      <c r="R4991">
        <v>0.91037498500000003</v>
      </c>
      <c r="S4991" t="s">
        <v>114</v>
      </c>
      <c r="T4991" t="s">
        <v>1040</v>
      </c>
      <c r="U4991" t="s">
        <v>114</v>
      </c>
    </row>
    <row r="4992" spans="1:21" x14ac:dyDescent="0.25">
      <c r="A4992" t="s">
        <v>87</v>
      </c>
      <c r="B4992" t="s">
        <v>1003</v>
      </c>
      <c r="C4992">
        <v>6</v>
      </c>
      <c r="D4992" t="s">
        <v>29</v>
      </c>
      <c r="E4992" t="s">
        <v>95</v>
      </c>
      <c r="F4992" t="s">
        <v>102</v>
      </c>
      <c r="G4992" t="s">
        <v>110</v>
      </c>
      <c r="H4992" t="s">
        <v>242</v>
      </c>
      <c r="J4992">
        <v>0</v>
      </c>
      <c r="K4992">
        <v>2</v>
      </c>
      <c r="L4992">
        <v>84.740740740000007</v>
      </c>
      <c r="M4992">
        <v>29.167014049999999</v>
      </c>
      <c r="N4992">
        <v>1.1169849999999999</v>
      </c>
      <c r="O4992">
        <v>1.1571499000000001</v>
      </c>
      <c r="P4992">
        <v>139.375</v>
      </c>
      <c r="Q4992">
        <v>23.713465920000001</v>
      </c>
      <c r="R4992" t="s">
        <v>114</v>
      </c>
      <c r="S4992" t="s">
        <v>114</v>
      </c>
      <c r="T4992" t="s">
        <v>1040</v>
      </c>
      <c r="U4992" t="s">
        <v>114</v>
      </c>
    </row>
    <row r="4993" spans="1:21" x14ac:dyDescent="0.25">
      <c r="A4993" t="s">
        <v>87</v>
      </c>
      <c r="B4993" t="s">
        <v>1003</v>
      </c>
      <c r="C4993">
        <v>6</v>
      </c>
      <c r="D4993" t="s">
        <v>29</v>
      </c>
      <c r="E4993" t="s">
        <v>95</v>
      </c>
      <c r="F4993" t="s">
        <v>102</v>
      </c>
      <c r="G4993" t="s">
        <v>110</v>
      </c>
      <c r="H4993" t="s">
        <v>242</v>
      </c>
      <c r="J4993">
        <v>0</v>
      </c>
      <c r="K4993">
        <v>2</v>
      </c>
      <c r="L4993">
        <v>84.740740740000007</v>
      </c>
      <c r="M4993">
        <v>29.167014049999999</v>
      </c>
      <c r="N4993">
        <v>1.1169849999999999</v>
      </c>
      <c r="O4993">
        <v>1.1571499000000001</v>
      </c>
      <c r="P4993">
        <v>139.375</v>
      </c>
      <c r="Q4993">
        <v>23.713465920000001</v>
      </c>
      <c r="R4993" t="s">
        <v>114</v>
      </c>
      <c r="S4993" t="s">
        <v>114</v>
      </c>
      <c r="T4993" t="s">
        <v>1040</v>
      </c>
      <c r="U4993" t="s">
        <v>114</v>
      </c>
    </row>
    <row r="4994" spans="1:21" x14ac:dyDescent="0.25">
      <c r="A4994" t="s">
        <v>87</v>
      </c>
      <c r="B4994" t="s">
        <v>1004</v>
      </c>
      <c r="C4994">
        <v>6</v>
      </c>
      <c r="D4994" t="s">
        <v>29</v>
      </c>
      <c r="E4994" t="s">
        <v>95</v>
      </c>
      <c r="F4994" t="s">
        <v>110</v>
      </c>
      <c r="G4994" t="s">
        <v>110</v>
      </c>
      <c r="H4994" t="s">
        <v>110</v>
      </c>
      <c r="J4994">
        <v>0</v>
      </c>
      <c r="K4994">
        <v>1</v>
      </c>
      <c r="L4994">
        <v>73.260869569999997</v>
      </c>
      <c r="M4994">
        <v>34.453830549999999</v>
      </c>
      <c r="N4994">
        <v>1.058333333</v>
      </c>
      <c r="O4994">
        <v>0.90897070000000002</v>
      </c>
      <c r="P4994">
        <v>73.260869569999997</v>
      </c>
      <c r="Q4994">
        <v>34.453830549999999</v>
      </c>
      <c r="R4994">
        <v>1.058333333</v>
      </c>
      <c r="S4994">
        <v>0.90897070000000002</v>
      </c>
      <c r="T4994" t="s">
        <v>1040</v>
      </c>
      <c r="U4994">
        <v>0</v>
      </c>
    </row>
    <row r="4995" spans="1:21" x14ac:dyDescent="0.25">
      <c r="A4995" t="s">
        <v>88</v>
      </c>
      <c r="B4995" t="s">
        <v>1005</v>
      </c>
      <c r="C4995">
        <v>6</v>
      </c>
      <c r="D4995" t="s">
        <v>31</v>
      </c>
      <c r="E4995" t="s">
        <v>95</v>
      </c>
      <c r="F4995" t="s">
        <v>110</v>
      </c>
      <c r="G4995" t="s">
        <v>113</v>
      </c>
      <c r="H4995" t="s">
        <v>113</v>
      </c>
      <c r="J4995">
        <v>0</v>
      </c>
      <c r="K4995">
        <v>3</v>
      </c>
      <c r="L4995">
        <v>73.260869569999997</v>
      </c>
      <c r="M4995">
        <v>34.453830549999999</v>
      </c>
      <c r="N4995">
        <v>1.058333333</v>
      </c>
      <c r="O4995">
        <v>0.90897070000000002</v>
      </c>
      <c r="P4995">
        <v>83.757575759999995</v>
      </c>
      <c r="Q4995">
        <v>22.60997987</v>
      </c>
      <c r="R4995">
        <v>0.72884000000000004</v>
      </c>
      <c r="S4995">
        <v>0.21301339999999999</v>
      </c>
      <c r="T4995" t="s">
        <v>1040</v>
      </c>
      <c r="U4995">
        <v>0.6959573</v>
      </c>
    </row>
    <row r="4996" spans="1:21" x14ac:dyDescent="0.25">
      <c r="A4996" t="s">
        <v>88</v>
      </c>
      <c r="B4996" t="s">
        <v>1005</v>
      </c>
      <c r="C4996">
        <v>6</v>
      </c>
      <c r="D4996" t="s">
        <v>31</v>
      </c>
      <c r="E4996" t="s">
        <v>95</v>
      </c>
      <c r="F4996" t="s">
        <v>110</v>
      </c>
      <c r="G4996" t="s">
        <v>113</v>
      </c>
      <c r="H4996" t="s">
        <v>113</v>
      </c>
      <c r="J4996">
        <v>0</v>
      </c>
      <c r="K4996">
        <v>3</v>
      </c>
      <c r="L4996">
        <v>73.260869569999997</v>
      </c>
      <c r="M4996">
        <v>34.453830549999999</v>
      </c>
      <c r="N4996">
        <v>1.058333333</v>
      </c>
      <c r="O4996">
        <v>0.90897070000000002</v>
      </c>
      <c r="P4996">
        <v>83.757575759999995</v>
      </c>
      <c r="Q4996">
        <v>22.60997987</v>
      </c>
      <c r="R4996">
        <v>0.72884000000000004</v>
      </c>
      <c r="S4996">
        <v>0.21301339999999999</v>
      </c>
      <c r="T4996" t="s">
        <v>1040</v>
      </c>
      <c r="U4996">
        <v>0.6959573</v>
      </c>
    </row>
    <row r="4997" spans="1:21" x14ac:dyDescent="0.25">
      <c r="A4997" t="s">
        <v>88</v>
      </c>
      <c r="B4997" t="s">
        <v>1005</v>
      </c>
      <c r="C4997">
        <v>6</v>
      </c>
      <c r="D4997" t="s">
        <v>31</v>
      </c>
      <c r="E4997" t="s">
        <v>95</v>
      </c>
      <c r="F4997" t="s">
        <v>110</v>
      </c>
      <c r="G4997" t="s">
        <v>113</v>
      </c>
      <c r="H4997" t="s">
        <v>113</v>
      </c>
      <c r="J4997">
        <v>0</v>
      </c>
      <c r="K4997">
        <v>3</v>
      </c>
      <c r="L4997">
        <v>73.260869569999997</v>
      </c>
      <c r="M4997">
        <v>34.453830549999999</v>
      </c>
      <c r="N4997">
        <v>1.058333333</v>
      </c>
      <c r="O4997">
        <v>0.90897070000000002</v>
      </c>
      <c r="P4997">
        <v>83.757575759999995</v>
      </c>
      <c r="Q4997">
        <v>22.60997987</v>
      </c>
      <c r="R4997">
        <v>0.72884000000000004</v>
      </c>
      <c r="S4997">
        <v>0.21301339999999999</v>
      </c>
      <c r="T4997" t="s">
        <v>1040</v>
      </c>
      <c r="U4997">
        <v>0.6959573</v>
      </c>
    </row>
    <row r="4998" spans="1:21" x14ac:dyDescent="0.25">
      <c r="A4998" t="s">
        <v>88</v>
      </c>
      <c r="B4998" t="s">
        <v>1005</v>
      </c>
      <c r="C4998">
        <v>6</v>
      </c>
      <c r="D4998" t="s">
        <v>31</v>
      </c>
      <c r="E4998" t="s">
        <v>95</v>
      </c>
      <c r="F4998" t="s">
        <v>110</v>
      </c>
      <c r="G4998" t="s">
        <v>113</v>
      </c>
      <c r="H4998" t="s">
        <v>103</v>
      </c>
      <c r="J4998">
        <v>0</v>
      </c>
      <c r="K4998">
        <v>1</v>
      </c>
      <c r="L4998">
        <v>73.260869569999997</v>
      </c>
      <c r="M4998">
        <v>34.453830549999999</v>
      </c>
      <c r="N4998">
        <v>1.058333333</v>
      </c>
      <c r="O4998">
        <v>0.90897070000000002</v>
      </c>
      <c r="P4998">
        <v>98.291666669999998</v>
      </c>
      <c r="Q4998">
        <v>30.315130790000001</v>
      </c>
      <c r="R4998">
        <v>5.0803484000000003E-2</v>
      </c>
      <c r="S4998">
        <v>0.42866070000000001</v>
      </c>
      <c r="T4998" t="s">
        <v>1040</v>
      </c>
      <c r="U4998">
        <v>0.48031000000000001</v>
      </c>
    </row>
    <row r="4999" spans="1:21" x14ac:dyDescent="0.25">
      <c r="A4999" t="s">
        <v>88</v>
      </c>
      <c r="B4999" t="s">
        <v>1006</v>
      </c>
      <c r="C4999">
        <v>6</v>
      </c>
      <c r="D4999" t="s">
        <v>31</v>
      </c>
      <c r="E4999" t="s">
        <v>95</v>
      </c>
      <c r="F4999" t="s">
        <v>112</v>
      </c>
      <c r="G4999" t="s">
        <v>113</v>
      </c>
      <c r="H4999" t="s">
        <v>113</v>
      </c>
      <c r="J4999">
        <v>0</v>
      </c>
      <c r="K4999">
        <v>2</v>
      </c>
      <c r="L4999">
        <v>65.09375</v>
      </c>
      <c r="M4999">
        <v>37.895352600000002</v>
      </c>
      <c r="N4999">
        <v>2.2882677779999998</v>
      </c>
      <c r="O4999">
        <v>2.2111774</v>
      </c>
      <c r="P4999">
        <v>83.757575759999995</v>
      </c>
      <c r="Q4999">
        <v>22.60997987</v>
      </c>
      <c r="R4999">
        <v>0.72884000000000004</v>
      </c>
      <c r="S4999">
        <v>0.21301339999999999</v>
      </c>
      <c r="T4999" t="s">
        <v>1040</v>
      </c>
      <c r="U4999">
        <v>1.9981640000000001</v>
      </c>
    </row>
    <row r="5000" spans="1:21" x14ac:dyDescent="0.25">
      <c r="A5000" t="s">
        <v>88</v>
      </c>
      <c r="B5000" t="s">
        <v>1006</v>
      </c>
      <c r="C5000">
        <v>6</v>
      </c>
      <c r="D5000" t="s">
        <v>31</v>
      </c>
      <c r="E5000" t="s">
        <v>95</v>
      </c>
      <c r="F5000" t="s">
        <v>112</v>
      </c>
      <c r="G5000" t="s">
        <v>113</v>
      </c>
      <c r="H5000" t="s">
        <v>113</v>
      </c>
      <c r="J5000">
        <v>0</v>
      </c>
      <c r="K5000">
        <v>2</v>
      </c>
      <c r="L5000">
        <v>65.09375</v>
      </c>
      <c r="M5000">
        <v>37.895352600000002</v>
      </c>
      <c r="N5000">
        <v>2.2882677779999998</v>
      </c>
      <c r="O5000">
        <v>2.2111774</v>
      </c>
      <c r="P5000">
        <v>83.757575759999995</v>
      </c>
      <c r="Q5000">
        <v>22.60997987</v>
      </c>
      <c r="R5000">
        <v>0.72884000000000004</v>
      </c>
      <c r="S5000">
        <v>0.21301339999999999</v>
      </c>
      <c r="T5000" t="s">
        <v>1040</v>
      </c>
      <c r="U5000">
        <v>1.9981640000000001</v>
      </c>
    </row>
    <row r="5001" spans="1:21" x14ac:dyDescent="0.25">
      <c r="A5001" t="s">
        <v>89</v>
      </c>
      <c r="B5001" t="s">
        <v>1007</v>
      </c>
      <c r="C5001">
        <v>6</v>
      </c>
      <c r="D5001" t="s">
        <v>33</v>
      </c>
      <c r="E5001" t="s">
        <v>95</v>
      </c>
      <c r="F5001" t="s">
        <v>104</v>
      </c>
      <c r="G5001" t="s">
        <v>104</v>
      </c>
      <c r="H5001" t="s">
        <v>104</v>
      </c>
      <c r="J5001">
        <v>1</v>
      </c>
      <c r="K5001">
        <v>1</v>
      </c>
      <c r="L5001">
        <v>113.9375</v>
      </c>
      <c r="M5001">
        <v>33.375507550000002</v>
      </c>
      <c r="N5001">
        <v>2.4262999999999999</v>
      </c>
      <c r="O5001">
        <v>0.40692159999999999</v>
      </c>
      <c r="P5001">
        <v>113.9375</v>
      </c>
      <c r="Q5001">
        <v>33.375507550000002</v>
      </c>
      <c r="R5001">
        <v>2.4262999999999999</v>
      </c>
      <c r="S5001">
        <v>0.40692159999999999</v>
      </c>
      <c r="T5001" t="s">
        <v>1040</v>
      </c>
      <c r="U5001">
        <v>0</v>
      </c>
    </row>
    <row r="5002" spans="1:21" x14ac:dyDescent="0.25">
      <c r="A5002" t="s">
        <v>89</v>
      </c>
      <c r="B5002" t="s">
        <v>1007</v>
      </c>
      <c r="C5002">
        <v>6</v>
      </c>
      <c r="D5002" t="s">
        <v>33</v>
      </c>
      <c r="E5002" t="s">
        <v>95</v>
      </c>
      <c r="F5002" t="s">
        <v>104</v>
      </c>
      <c r="G5002" t="s">
        <v>104</v>
      </c>
      <c r="H5002" t="s">
        <v>103</v>
      </c>
      <c r="J5002">
        <v>1</v>
      </c>
      <c r="K5002">
        <v>1</v>
      </c>
      <c r="L5002">
        <v>113.9375</v>
      </c>
      <c r="M5002">
        <v>33.375507550000002</v>
      </c>
      <c r="N5002">
        <v>2.4262999999999999</v>
      </c>
      <c r="O5002">
        <v>0.40692159999999999</v>
      </c>
      <c r="P5002">
        <v>98.291666669999998</v>
      </c>
      <c r="Q5002">
        <v>30.315130790000001</v>
      </c>
      <c r="R5002">
        <v>5.0803484000000003E-2</v>
      </c>
      <c r="S5002">
        <v>0.42866070000000001</v>
      </c>
      <c r="T5002" t="s">
        <v>1040</v>
      </c>
      <c r="U5002">
        <v>-2.1739100000000011E-2</v>
      </c>
    </row>
    <row r="5003" spans="1:21" x14ac:dyDescent="0.25">
      <c r="A5003" t="s">
        <v>89</v>
      </c>
      <c r="B5003" t="s">
        <v>1007</v>
      </c>
      <c r="C5003">
        <v>6</v>
      </c>
      <c r="D5003" t="s">
        <v>33</v>
      </c>
      <c r="E5003" t="s">
        <v>95</v>
      </c>
      <c r="F5003" t="s">
        <v>104</v>
      </c>
      <c r="G5003" t="s">
        <v>104</v>
      </c>
      <c r="H5003" t="s">
        <v>246</v>
      </c>
      <c r="J5003">
        <v>1</v>
      </c>
      <c r="K5003">
        <v>1</v>
      </c>
      <c r="L5003">
        <v>113.9375</v>
      </c>
      <c r="M5003">
        <v>33.375507550000002</v>
      </c>
      <c r="N5003">
        <v>2.4262999999999999</v>
      </c>
      <c r="O5003">
        <v>0.40692159999999999</v>
      </c>
      <c r="P5003">
        <v>120.25</v>
      </c>
      <c r="Q5003">
        <v>30.670450110000001</v>
      </c>
      <c r="R5003">
        <v>0.91037498500000003</v>
      </c>
      <c r="S5003" t="s">
        <v>114</v>
      </c>
      <c r="T5003" t="s">
        <v>1040</v>
      </c>
      <c r="U5003" t="s">
        <v>114</v>
      </c>
    </row>
    <row r="5004" spans="1:21" x14ac:dyDescent="0.25">
      <c r="A5004" t="s">
        <v>89</v>
      </c>
      <c r="B5004" t="s">
        <v>1008</v>
      </c>
      <c r="C5004">
        <v>6</v>
      </c>
      <c r="D5004" t="s">
        <v>33</v>
      </c>
      <c r="E5004" t="s">
        <v>95</v>
      </c>
      <c r="F5004" t="s">
        <v>112</v>
      </c>
      <c r="G5004" t="s">
        <v>113</v>
      </c>
      <c r="H5004" t="s">
        <v>113</v>
      </c>
      <c r="I5004" t="s">
        <v>255</v>
      </c>
      <c r="J5004">
        <v>0</v>
      </c>
      <c r="K5004">
        <v>4</v>
      </c>
      <c r="L5004">
        <v>65.09375</v>
      </c>
      <c r="M5004">
        <v>37.895352600000002</v>
      </c>
      <c r="N5004">
        <v>2.2882677779999998</v>
      </c>
      <c r="O5004">
        <v>2.2111774</v>
      </c>
      <c r="P5004">
        <v>83.757575759999995</v>
      </c>
      <c r="Q5004">
        <v>22.60997987</v>
      </c>
      <c r="R5004">
        <v>0.72884000000000004</v>
      </c>
      <c r="S5004">
        <v>0.21301339999999999</v>
      </c>
      <c r="T5004" t="s">
        <v>1040</v>
      </c>
      <c r="U5004">
        <v>1.9981640000000001</v>
      </c>
    </row>
    <row r="5005" spans="1:21" x14ac:dyDescent="0.25">
      <c r="A5005" t="s">
        <v>89</v>
      </c>
      <c r="B5005" t="s">
        <v>1008</v>
      </c>
      <c r="C5005">
        <v>6</v>
      </c>
      <c r="D5005" t="s">
        <v>33</v>
      </c>
      <c r="E5005" t="s">
        <v>95</v>
      </c>
      <c r="F5005" t="s">
        <v>112</v>
      </c>
      <c r="G5005" t="s">
        <v>113</v>
      </c>
      <c r="H5005" t="s">
        <v>113</v>
      </c>
      <c r="I5005" t="s">
        <v>255</v>
      </c>
      <c r="J5005">
        <v>0</v>
      </c>
      <c r="K5005">
        <v>4</v>
      </c>
      <c r="L5005">
        <v>65.09375</v>
      </c>
      <c r="M5005">
        <v>37.895352600000002</v>
      </c>
      <c r="N5005">
        <v>2.2882677779999998</v>
      </c>
      <c r="O5005">
        <v>2.2111774</v>
      </c>
      <c r="P5005">
        <v>83.757575759999995</v>
      </c>
      <c r="Q5005">
        <v>22.60997987</v>
      </c>
      <c r="R5005">
        <v>0.72884000000000004</v>
      </c>
      <c r="S5005">
        <v>0.21301339999999999</v>
      </c>
      <c r="T5005" t="s">
        <v>1040</v>
      </c>
      <c r="U5005">
        <v>1.9981640000000001</v>
      </c>
    </row>
    <row r="5006" spans="1:21" x14ac:dyDescent="0.25">
      <c r="A5006" t="s">
        <v>89</v>
      </c>
      <c r="B5006" t="s">
        <v>1008</v>
      </c>
      <c r="C5006">
        <v>6</v>
      </c>
      <c r="D5006" t="s">
        <v>33</v>
      </c>
      <c r="E5006" t="s">
        <v>95</v>
      </c>
      <c r="F5006" t="s">
        <v>112</v>
      </c>
      <c r="G5006" t="s">
        <v>113</v>
      </c>
      <c r="H5006" t="s">
        <v>113</v>
      </c>
      <c r="I5006" t="s">
        <v>255</v>
      </c>
      <c r="J5006">
        <v>0</v>
      </c>
      <c r="K5006">
        <v>4</v>
      </c>
      <c r="L5006">
        <v>65.09375</v>
      </c>
      <c r="M5006">
        <v>37.895352600000002</v>
      </c>
      <c r="N5006">
        <v>2.2882677779999998</v>
      </c>
      <c r="O5006">
        <v>2.2111774</v>
      </c>
      <c r="P5006">
        <v>83.757575759999995</v>
      </c>
      <c r="Q5006">
        <v>22.60997987</v>
      </c>
      <c r="R5006">
        <v>0.72884000000000004</v>
      </c>
      <c r="S5006">
        <v>0.21301339999999999</v>
      </c>
      <c r="T5006" t="s">
        <v>1040</v>
      </c>
      <c r="U5006">
        <v>1.9981640000000001</v>
      </c>
    </row>
    <row r="5007" spans="1:21" x14ac:dyDescent="0.25">
      <c r="A5007" t="s">
        <v>89</v>
      </c>
      <c r="B5007" t="s">
        <v>1008</v>
      </c>
      <c r="C5007">
        <v>6</v>
      </c>
      <c r="D5007" t="s">
        <v>33</v>
      </c>
      <c r="E5007" t="s">
        <v>95</v>
      </c>
      <c r="F5007" t="s">
        <v>112</v>
      </c>
      <c r="G5007" t="s">
        <v>113</v>
      </c>
      <c r="H5007" t="s">
        <v>113</v>
      </c>
      <c r="I5007" t="s">
        <v>255</v>
      </c>
      <c r="J5007">
        <v>0</v>
      </c>
      <c r="K5007">
        <v>4</v>
      </c>
      <c r="L5007">
        <v>65.09375</v>
      </c>
      <c r="M5007">
        <v>37.895352600000002</v>
      </c>
      <c r="N5007">
        <v>2.2882677779999998</v>
      </c>
      <c r="O5007">
        <v>2.2111774</v>
      </c>
      <c r="P5007">
        <v>83.757575759999995</v>
      </c>
      <c r="Q5007">
        <v>22.60997987</v>
      </c>
      <c r="R5007">
        <v>0.72884000000000004</v>
      </c>
      <c r="S5007">
        <v>0.21301339999999999</v>
      </c>
      <c r="T5007" t="s">
        <v>1040</v>
      </c>
      <c r="U5007">
        <v>1.9981640000000001</v>
      </c>
    </row>
    <row r="5008" spans="1:21" x14ac:dyDescent="0.25">
      <c r="A5008" t="s">
        <v>90</v>
      </c>
      <c r="B5008" t="s">
        <v>1009</v>
      </c>
      <c r="C5008">
        <v>6</v>
      </c>
      <c r="D5008" t="s">
        <v>35</v>
      </c>
      <c r="E5008" t="s">
        <v>94</v>
      </c>
      <c r="F5008" t="s">
        <v>111</v>
      </c>
      <c r="G5008" t="s">
        <v>121</v>
      </c>
      <c r="H5008" t="s">
        <v>253</v>
      </c>
      <c r="J5008">
        <v>0</v>
      </c>
      <c r="K5008">
        <v>3</v>
      </c>
      <c r="L5008">
        <v>94.97142857</v>
      </c>
      <c r="M5008">
        <v>24.31591813</v>
      </c>
      <c r="N5008">
        <v>0.122951111</v>
      </c>
      <c r="O5008">
        <v>0.39050790000000002</v>
      </c>
      <c r="P5008">
        <v>172.08823530000001</v>
      </c>
      <c r="Q5008">
        <v>29.581605960000001</v>
      </c>
      <c r="R5008">
        <v>0.24280444400000001</v>
      </c>
      <c r="S5008" t="s">
        <v>114</v>
      </c>
      <c r="T5008" t="s">
        <v>1040</v>
      </c>
      <c r="U5008" t="s">
        <v>114</v>
      </c>
    </row>
    <row r="5009" spans="1:21" x14ac:dyDescent="0.25">
      <c r="A5009" t="s">
        <v>90</v>
      </c>
      <c r="B5009" t="s">
        <v>1009</v>
      </c>
      <c r="C5009">
        <v>6</v>
      </c>
      <c r="D5009" t="s">
        <v>35</v>
      </c>
      <c r="E5009" t="s">
        <v>94</v>
      </c>
      <c r="F5009" t="s">
        <v>111</v>
      </c>
      <c r="G5009" t="s">
        <v>121</v>
      </c>
      <c r="H5009" t="s">
        <v>253</v>
      </c>
      <c r="J5009">
        <v>0</v>
      </c>
      <c r="K5009">
        <v>3</v>
      </c>
      <c r="L5009">
        <v>94.97142857</v>
      </c>
      <c r="M5009">
        <v>24.31591813</v>
      </c>
      <c r="N5009">
        <v>0.122951111</v>
      </c>
      <c r="O5009">
        <v>0.39050790000000002</v>
      </c>
      <c r="P5009">
        <v>172.08823530000001</v>
      </c>
      <c r="Q5009">
        <v>29.581605960000001</v>
      </c>
      <c r="R5009">
        <v>0.24280444400000001</v>
      </c>
      <c r="S5009" t="s">
        <v>114</v>
      </c>
      <c r="T5009" t="s">
        <v>1040</v>
      </c>
      <c r="U5009" t="s">
        <v>114</v>
      </c>
    </row>
    <row r="5010" spans="1:21" x14ac:dyDescent="0.25">
      <c r="A5010" t="s">
        <v>90</v>
      </c>
      <c r="B5010" t="s">
        <v>1009</v>
      </c>
      <c r="C5010">
        <v>6</v>
      </c>
      <c r="D5010" t="s">
        <v>35</v>
      </c>
      <c r="E5010" t="s">
        <v>94</v>
      </c>
      <c r="F5010" t="s">
        <v>111</v>
      </c>
      <c r="G5010" t="s">
        <v>121</v>
      </c>
      <c r="H5010" t="s">
        <v>253</v>
      </c>
      <c r="J5010">
        <v>0</v>
      </c>
      <c r="K5010">
        <v>3</v>
      </c>
      <c r="L5010">
        <v>94.97142857</v>
      </c>
      <c r="M5010">
        <v>24.31591813</v>
      </c>
      <c r="N5010">
        <v>0.122951111</v>
      </c>
      <c r="O5010">
        <v>0.39050790000000002</v>
      </c>
      <c r="P5010">
        <v>172.08823530000001</v>
      </c>
      <c r="Q5010">
        <v>29.581605960000001</v>
      </c>
      <c r="R5010">
        <v>0.24280444400000001</v>
      </c>
      <c r="S5010" t="s">
        <v>114</v>
      </c>
      <c r="T5010" t="s">
        <v>1040</v>
      </c>
      <c r="U5010" t="s">
        <v>114</v>
      </c>
    </row>
    <row r="5011" spans="1:21" x14ac:dyDescent="0.25">
      <c r="A5011" t="s">
        <v>90</v>
      </c>
      <c r="B5011" t="s">
        <v>1009</v>
      </c>
      <c r="C5011">
        <v>6</v>
      </c>
      <c r="D5011" t="s">
        <v>35</v>
      </c>
      <c r="E5011" t="s">
        <v>94</v>
      </c>
      <c r="F5011" t="s">
        <v>111</v>
      </c>
      <c r="G5011" t="s">
        <v>121</v>
      </c>
      <c r="H5011" t="s">
        <v>162</v>
      </c>
      <c r="J5011">
        <v>0</v>
      </c>
      <c r="K5011">
        <v>1</v>
      </c>
      <c r="L5011">
        <v>94.97142857</v>
      </c>
      <c r="M5011">
        <v>24.31591813</v>
      </c>
      <c r="N5011">
        <v>0.122951111</v>
      </c>
      <c r="O5011">
        <v>0.39050790000000002</v>
      </c>
      <c r="P5011">
        <v>82.53846154</v>
      </c>
      <c r="Q5011">
        <v>35.660530039999998</v>
      </c>
      <c r="R5011">
        <v>3.3754499999999998</v>
      </c>
      <c r="S5011" t="s">
        <v>114</v>
      </c>
      <c r="T5011" t="s">
        <v>1040</v>
      </c>
      <c r="U5011" t="s">
        <v>114</v>
      </c>
    </row>
    <row r="5012" spans="1:21" x14ac:dyDescent="0.25">
      <c r="A5012" t="s">
        <v>90</v>
      </c>
      <c r="B5012" t="s">
        <v>1010</v>
      </c>
      <c r="C5012">
        <v>6</v>
      </c>
      <c r="D5012" t="s">
        <v>35</v>
      </c>
      <c r="E5012" t="s">
        <v>94</v>
      </c>
      <c r="F5012" t="s">
        <v>104</v>
      </c>
      <c r="G5012" t="s">
        <v>111</v>
      </c>
      <c r="H5012" t="s">
        <v>111</v>
      </c>
      <c r="J5012">
        <v>1</v>
      </c>
      <c r="K5012">
        <v>1</v>
      </c>
      <c r="L5012">
        <v>113.9375</v>
      </c>
      <c r="M5012">
        <v>33.375507550000002</v>
      </c>
      <c r="N5012">
        <v>2.4262999999999999</v>
      </c>
      <c r="O5012">
        <v>0.40692159999999999</v>
      </c>
      <c r="P5012">
        <v>94.97142857</v>
      </c>
      <c r="Q5012">
        <v>24.31591813</v>
      </c>
      <c r="R5012">
        <v>0.122951111</v>
      </c>
      <c r="S5012">
        <v>0.39050790000000002</v>
      </c>
      <c r="T5012" t="s">
        <v>1040</v>
      </c>
      <c r="U5012">
        <v>1.6413699999999976E-2</v>
      </c>
    </row>
    <row r="5013" spans="1:21" x14ac:dyDescent="0.25">
      <c r="A5013" t="s">
        <v>90</v>
      </c>
      <c r="B5013" t="s">
        <v>1010</v>
      </c>
      <c r="C5013">
        <v>6</v>
      </c>
      <c r="D5013" t="s">
        <v>35</v>
      </c>
      <c r="E5013" t="s">
        <v>94</v>
      </c>
      <c r="F5013" t="s">
        <v>104</v>
      </c>
      <c r="G5013" t="s">
        <v>111</v>
      </c>
      <c r="H5013" t="s">
        <v>253</v>
      </c>
      <c r="J5013">
        <v>1</v>
      </c>
      <c r="K5013">
        <v>2</v>
      </c>
      <c r="L5013">
        <v>113.9375</v>
      </c>
      <c r="M5013">
        <v>33.375507550000002</v>
      </c>
      <c r="N5013">
        <v>2.4262999999999999</v>
      </c>
      <c r="O5013">
        <v>0.40692159999999999</v>
      </c>
      <c r="P5013">
        <v>172.08823530000001</v>
      </c>
      <c r="Q5013">
        <v>29.581605960000001</v>
      </c>
      <c r="R5013">
        <v>0.24280444400000001</v>
      </c>
      <c r="S5013" t="s">
        <v>114</v>
      </c>
      <c r="T5013" t="s">
        <v>1040</v>
      </c>
      <c r="U5013" t="s">
        <v>114</v>
      </c>
    </row>
    <row r="5014" spans="1:21" x14ac:dyDescent="0.25">
      <c r="A5014" t="s">
        <v>90</v>
      </c>
      <c r="B5014" t="s">
        <v>1010</v>
      </c>
      <c r="C5014">
        <v>6</v>
      </c>
      <c r="D5014" t="s">
        <v>35</v>
      </c>
      <c r="E5014" t="s">
        <v>94</v>
      </c>
      <c r="F5014" t="s">
        <v>104</v>
      </c>
      <c r="G5014" t="s">
        <v>111</v>
      </c>
      <c r="H5014" t="s">
        <v>253</v>
      </c>
      <c r="J5014">
        <v>1</v>
      </c>
      <c r="K5014">
        <v>2</v>
      </c>
      <c r="L5014">
        <v>113.9375</v>
      </c>
      <c r="M5014">
        <v>33.375507550000002</v>
      </c>
      <c r="N5014">
        <v>2.4262999999999999</v>
      </c>
      <c r="O5014">
        <v>0.40692159999999999</v>
      </c>
      <c r="P5014">
        <v>172.08823530000001</v>
      </c>
      <c r="Q5014">
        <v>29.581605960000001</v>
      </c>
      <c r="R5014">
        <v>0.24280444400000001</v>
      </c>
      <c r="S5014" t="s">
        <v>114</v>
      </c>
      <c r="T5014" t="s">
        <v>1040</v>
      </c>
      <c r="U5014" t="s">
        <v>114</v>
      </c>
    </row>
    <row r="5015" spans="1:21" x14ac:dyDescent="0.25">
      <c r="A5015" t="s">
        <v>91</v>
      </c>
      <c r="B5015" t="s">
        <v>1011</v>
      </c>
      <c r="C5015">
        <v>6</v>
      </c>
      <c r="D5015" t="s">
        <v>37</v>
      </c>
      <c r="E5015" t="s">
        <v>94</v>
      </c>
      <c r="F5015" t="s">
        <v>112</v>
      </c>
      <c r="G5015" t="s">
        <v>112</v>
      </c>
      <c r="H5015" t="s">
        <v>112</v>
      </c>
      <c r="J5015">
        <v>0</v>
      </c>
      <c r="K5015">
        <v>1</v>
      </c>
      <c r="L5015">
        <v>65.09375</v>
      </c>
      <c r="M5015">
        <v>37.895352600000002</v>
      </c>
      <c r="N5015">
        <v>2.2882677779999998</v>
      </c>
      <c r="O5015">
        <v>2.2111774</v>
      </c>
      <c r="P5015">
        <v>65.09375</v>
      </c>
      <c r="Q5015">
        <v>37.895352600000002</v>
      </c>
      <c r="R5015">
        <v>2.2882677779999998</v>
      </c>
      <c r="S5015">
        <v>2.2111774</v>
      </c>
      <c r="T5015" t="s">
        <v>1040</v>
      </c>
      <c r="U5015">
        <v>0</v>
      </c>
    </row>
    <row r="5016" spans="1:21" x14ac:dyDescent="0.25">
      <c r="A5016" t="s">
        <v>92</v>
      </c>
      <c r="B5016" t="s">
        <v>1012</v>
      </c>
      <c r="C5016">
        <v>6</v>
      </c>
      <c r="D5016" t="s">
        <v>64</v>
      </c>
      <c r="E5016" t="s">
        <v>94</v>
      </c>
      <c r="F5016" t="s">
        <v>112</v>
      </c>
      <c r="G5016" t="s">
        <v>102</v>
      </c>
      <c r="H5016" t="s">
        <v>102</v>
      </c>
      <c r="J5016">
        <v>0</v>
      </c>
      <c r="K5016">
        <v>2</v>
      </c>
      <c r="L5016">
        <v>65.09375</v>
      </c>
      <c r="M5016">
        <v>37.895352600000002</v>
      </c>
      <c r="N5016">
        <v>2.2882677779999998</v>
      </c>
      <c r="O5016">
        <v>2.2111774</v>
      </c>
      <c r="P5016">
        <v>84.740740740000007</v>
      </c>
      <c r="Q5016">
        <v>29.167014049999999</v>
      </c>
      <c r="R5016">
        <v>1.1169849999999999</v>
      </c>
      <c r="S5016">
        <v>1.1571499000000001</v>
      </c>
      <c r="T5016" t="s">
        <v>1040</v>
      </c>
      <c r="U5016">
        <v>1.0540274999999999</v>
      </c>
    </row>
    <row r="5017" spans="1:21" x14ac:dyDescent="0.25">
      <c r="A5017" t="s">
        <v>92</v>
      </c>
      <c r="B5017" t="s">
        <v>1012</v>
      </c>
      <c r="C5017">
        <v>6</v>
      </c>
      <c r="D5017" t="s">
        <v>64</v>
      </c>
      <c r="E5017" t="s">
        <v>94</v>
      </c>
      <c r="F5017" t="s">
        <v>112</v>
      </c>
      <c r="G5017" t="s">
        <v>102</v>
      </c>
      <c r="H5017" t="s">
        <v>102</v>
      </c>
      <c r="J5017">
        <v>0</v>
      </c>
      <c r="K5017">
        <v>2</v>
      </c>
      <c r="L5017">
        <v>65.09375</v>
      </c>
      <c r="M5017">
        <v>37.895352600000002</v>
      </c>
      <c r="N5017">
        <v>2.2882677779999998</v>
      </c>
      <c r="O5017">
        <v>2.2111774</v>
      </c>
      <c r="P5017">
        <v>84.740740740000007</v>
      </c>
      <c r="Q5017">
        <v>29.167014049999999</v>
      </c>
      <c r="R5017">
        <v>1.1169849999999999</v>
      </c>
      <c r="S5017">
        <v>1.1571499000000001</v>
      </c>
      <c r="T5017" t="s">
        <v>1040</v>
      </c>
      <c r="U5017">
        <v>1.0540274999999999</v>
      </c>
    </row>
    <row r="5018" spans="1:21" x14ac:dyDescent="0.25">
      <c r="A5018" t="s">
        <v>92</v>
      </c>
      <c r="B5018" t="s">
        <v>1012</v>
      </c>
      <c r="C5018">
        <v>6</v>
      </c>
      <c r="D5018" t="s">
        <v>64</v>
      </c>
      <c r="E5018" t="s">
        <v>94</v>
      </c>
      <c r="F5018" t="s">
        <v>112</v>
      </c>
      <c r="G5018" t="s">
        <v>102</v>
      </c>
      <c r="H5018" t="s">
        <v>241</v>
      </c>
      <c r="J5018">
        <v>0</v>
      </c>
      <c r="K5018">
        <v>1</v>
      </c>
      <c r="L5018">
        <v>65.09375</v>
      </c>
      <c r="M5018">
        <v>37.895352600000002</v>
      </c>
      <c r="N5018">
        <v>2.2882677779999998</v>
      </c>
      <c r="O5018">
        <v>2.2111774</v>
      </c>
      <c r="P5018">
        <v>114</v>
      </c>
      <c r="Q5018">
        <v>30.43077242</v>
      </c>
      <c r="R5018">
        <v>0.53383111100000002</v>
      </c>
      <c r="S5018">
        <v>0.28333332999999999</v>
      </c>
      <c r="T5018" t="s">
        <v>1040</v>
      </c>
      <c r="U5018">
        <v>1.9278440699999999</v>
      </c>
    </row>
    <row r="5019" spans="1:21" x14ac:dyDescent="0.25">
      <c r="A5019" t="s">
        <v>93</v>
      </c>
      <c r="B5019" t="s">
        <v>1013</v>
      </c>
      <c r="C5019">
        <v>6</v>
      </c>
      <c r="D5019" t="s">
        <v>66</v>
      </c>
      <c r="E5019" t="s">
        <v>95</v>
      </c>
      <c r="F5019" t="s">
        <v>104</v>
      </c>
      <c r="G5019" t="s">
        <v>103</v>
      </c>
      <c r="H5019" t="s">
        <v>104</v>
      </c>
      <c r="J5019">
        <v>0</v>
      </c>
      <c r="K5019">
        <v>1</v>
      </c>
      <c r="L5019">
        <v>113.9375</v>
      </c>
      <c r="M5019">
        <v>33.375507550000002</v>
      </c>
      <c r="N5019">
        <v>2.4262999999999999</v>
      </c>
      <c r="O5019">
        <v>0.40692159999999999</v>
      </c>
      <c r="P5019">
        <v>113.9375</v>
      </c>
      <c r="Q5019">
        <v>33.375507550000002</v>
      </c>
      <c r="R5019">
        <v>2.4262999999999999</v>
      </c>
      <c r="S5019">
        <v>0.40692159999999999</v>
      </c>
      <c r="T5019" t="s">
        <v>1040</v>
      </c>
      <c r="U5019">
        <v>0</v>
      </c>
    </row>
    <row r="5020" spans="1:21" x14ac:dyDescent="0.25">
      <c r="A5020" t="s">
        <v>93</v>
      </c>
      <c r="B5020" t="s">
        <v>1013</v>
      </c>
      <c r="C5020">
        <v>6</v>
      </c>
      <c r="D5020" t="s">
        <v>66</v>
      </c>
      <c r="E5020" t="s">
        <v>95</v>
      </c>
      <c r="F5020" t="s">
        <v>104</v>
      </c>
      <c r="G5020" t="s">
        <v>103</v>
      </c>
      <c r="H5020" t="s">
        <v>111</v>
      </c>
      <c r="J5020">
        <v>0</v>
      </c>
      <c r="K5020">
        <v>1</v>
      </c>
      <c r="L5020">
        <v>113.9375</v>
      </c>
      <c r="M5020">
        <v>33.375507550000002</v>
      </c>
      <c r="N5020">
        <v>2.4262999999999999</v>
      </c>
      <c r="O5020">
        <v>0.40692159999999999</v>
      </c>
      <c r="P5020">
        <v>94.97142857</v>
      </c>
      <c r="Q5020">
        <v>24.31591813</v>
      </c>
      <c r="R5020">
        <v>0.122951111</v>
      </c>
      <c r="S5020">
        <v>0.39050790000000002</v>
      </c>
      <c r="T5020" t="s">
        <v>1040</v>
      </c>
      <c r="U5020">
        <v>1.6413699999999976E-2</v>
      </c>
    </row>
    <row r="5021" spans="1:21" x14ac:dyDescent="0.25">
      <c r="A5021" t="s">
        <v>93</v>
      </c>
      <c r="B5021" t="s">
        <v>1013</v>
      </c>
      <c r="C5021">
        <v>6</v>
      </c>
      <c r="D5021" t="s">
        <v>66</v>
      </c>
      <c r="E5021" t="s">
        <v>95</v>
      </c>
      <c r="F5021" t="s">
        <v>104</v>
      </c>
      <c r="G5021" t="s">
        <v>103</v>
      </c>
      <c r="H5021" t="s">
        <v>103</v>
      </c>
      <c r="J5021">
        <v>0</v>
      </c>
      <c r="K5021">
        <v>4</v>
      </c>
      <c r="L5021">
        <v>113.9375</v>
      </c>
      <c r="M5021">
        <v>33.375507550000002</v>
      </c>
      <c r="N5021">
        <v>2.4262999999999999</v>
      </c>
      <c r="O5021">
        <v>0.40692159999999999</v>
      </c>
      <c r="P5021">
        <v>98.291666669999998</v>
      </c>
      <c r="Q5021">
        <v>30.315130790000001</v>
      </c>
      <c r="R5021">
        <v>5.0803484000000003E-2</v>
      </c>
      <c r="S5021">
        <v>0.42866070000000001</v>
      </c>
      <c r="T5021" t="s">
        <v>1040</v>
      </c>
      <c r="U5021">
        <v>-2.1739100000000011E-2</v>
      </c>
    </row>
    <row r="5022" spans="1:21" x14ac:dyDescent="0.25">
      <c r="A5022" t="s">
        <v>93</v>
      </c>
      <c r="B5022" t="s">
        <v>1013</v>
      </c>
      <c r="C5022">
        <v>6</v>
      </c>
      <c r="D5022" t="s">
        <v>66</v>
      </c>
      <c r="E5022" t="s">
        <v>95</v>
      </c>
      <c r="F5022" t="s">
        <v>104</v>
      </c>
      <c r="G5022" t="s">
        <v>103</v>
      </c>
      <c r="H5022" t="s">
        <v>103</v>
      </c>
      <c r="J5022">
        <v>0</v>
      </c>
      <c r="K5022">
        <v>4</v>
      </c>
      <c r="L5022">
        <v>113.9375</v>
      </c>
      <c r="M5022">
        <v>33.375507550000002</v>
      </c>
      <c r="N5022">
        <v>2.4262999999999999</v>
      </c>
      <c r="O5022">
        <v>0.40692159999999999</v>
      </c>
      <c r="P5022">
        <v>98.291666669999998</v>
      </c>
      <c r="Q5022">
        <v>30.315130790000001</v>
      </c>
      <c r="R5022">
        <v>5.0803484000000003E-2</v>
      </c>
      <c r="S5022">
        <v>0.42866070000000001</v>
      </c>
      <c r="T5022" t="s">
        <v>1040</v>
      </c>
      <c r="U5022">
        <v>-2.1739100000000011E-2</v>
      </c>
    </row>
    <row r="5023" spans="1:21" x14ac:dyDescent="0.25">
      <c r="A5023" t="s">
        <v>93</v>
      </c>
      <c r="B5023" t="s">
        <v>1013</v>
      </c>
      <c r="C5023">
        <v>6</v>
      </c>
      <c r="D5023" t="s">
        <v>66</v>
      </c>
      <c r="E5023" t="s">
        <v>95</v>
      </c>
      <c r="F5023" t="s">
        <v>104</v>
      </c>
      <c r="G5023" t="s">
        <v>103</v>
      </c>
      <c r="H5023" t="s">
        <v>103</v>
      </c>
      <c r="J5023">
        <v>0</v>
      </c>
      <c r="K5023">
        <v>4</v>
      </c>
      <c r="L5023">
        <v>113.9375</v>
      </c>
      <c r="M5023">
        <v>33.375507550000002</v>
      </c>
      <c r="N5023">
        <v>2.4262999999999999</v>
      </c>
      <c r="O5023">
        <v>0.40692159999999999</v>
      </c>
      <c r="P5023">
        <v>98.291666669999998</v>
      </c>
      <c r="Q5023">
        <v>30.315130790000001</v>
      </c>
      <c r="R5023">
        <v>5.0803484000000003E-2</v>
      </c>
      <c r="S5023">
        <v>0.42866070000000001</v>
      </c>
      <c r="T5023" t="s">
        <v>1040</v>
      </c>
      <c r="U5023">
        <v>-2.1739100000000011E-2</v>
      </c>
    </row>
    <row r="5024" spans="1:21" x14ac:dyDescent="0.25">
      <c r="A5024" t="s">
        <v>93</v>
      </c>
      <c r="B5024" t="s">
        <v>1013</v>
      </c>
      <c r="C5024">
        <v>6</v>
      </c>
      <c r="D5024" t="s">
        <v>66</v>
      </c>
      <c r="E5024" t="s">
        <v>95</v>
      </c>
      <c r="F5024" t="s">
        <v>104</v>
      </c>
      <c r="G5024" t="s">
        <v>103</v>
      </c>
      <c r="H5024" t="s">
        <v>103</v>
      </c>
      <c r="J5024">
        <v>0</v>
      </c>
      <c r="K5024">
        <v>4</v>
      </c>
      <c r="L5024">
        <v>113.9375</v>
      </c>
      <c r="M5024">
        <v>33.375507550000002</v>
      </c>
      <c r="N5024">
        <v>2.4262999999999999</v>
      </c>
      <c r="O5024">
        <v>0.40692159999999999</v>
      </c>
      <c r="P5024">
        <v>98.291666669999998</v>
      </c>
      <c r="Q5024">
        <v>30.315130790000001</v>
      </c>
      <c r="R5024">
        <v>5.0803484000000003E-2</v>
      </c>
      <c r="S5024">
        <v>0.42866070000000001</v>
      </c>
      <c r="T5024" t="s">
        <v>1040</v>
      </c>
      <c r="U5024">
        <v>-2.1739100000000011E-2</v>
      </c>
    </row>
    <row r="5025" spans="1:21" x14ac:dyDescent="0.25">
      <c r="A5025" t="s">
        <v>93</v>
      </c>
      <c r="B5025" t="s">
        <v>1013</v>
      </c>
      <c r="C5025">
        <v>6</v>
      </c>
      <c r="D5025" t="s">
        <v>66</v>
      </c>
      <c r="E5025" t="s">
        <v>95</v>
      </c>
      <c r="F5025" t="s">
        <v>104</v>
      </c>
      <c r="G5025" t="s">
        <v>103</v>
      </c>
      <c r="H5025" t="s">
        <v>238</v>
      </c>
      <c r="J5025">
        <v>0</v>
      </c>
      <c r="K5025">
        <v>2</v>
      </c>
      <c r="L5025">
        <v>113.9375</v>
      </c>
      <c r="M5025">
        <v>33.375507550000002</v>
      </c>
      <c r="N5025">
        <v>2.4262999999999999</v>
      </c>
      <c r="O5025">
        <v>0.40692159999999999</v>
      </c>
      <c r="P5025">
        <v>87.5</v>
      </c>
      <c r="Q5025">
        <v>29.478311600000001</v>
      </c>
      <c r="R5025">
        <v>3.0797751000000002E-2</v>
      </c>
      <c r="S5025">
        <v>0.12931835</v>
      </c>
      <c r="T5025" t="s">
        <v>1040</v>
      </c>
      <c r="U5025">
        <v>0.27760324999999997</v>
      </c>
    </row>
    <row r="5026" spans="1:21" x14ac:dyDescent="0.25">
      <c r="A5026" t="s">
        <v>93</v>
      </c>
      <c r="B5026" t="s">
        <v>1013</v>
      </c>
      <c r="C5026">
        <v>6</v>
      </c>
      <c r="D5026" t="s">
        <v>66</v>
      </c>
      <c r="E5026" t="s">
        <v>95</v>
      </c>
      <c r="F5026" t="s">
        <v>104</v>
      </c>
      <c r="G5026" t="s">
        <v>103</v>
      </c>
      <c r="H5026" t="s">
        <v>238</v>
      </c>
      <c r="J5026">
        <v>0</v>
      </c>
      <c r="K5026">
        <v>2</v>
      </c>
      <c r="L5026">
        <v>113.9375</v>
      </c>
      <c r="M5026">
        <v>33.375507550000002</v>
      </c>
      <c r="N5026">
        <v>2.4262999999999999</v>
      </c>
      <c r="O5026">
        <v>0.40692159999999999</v>
      </c>
      <c r="P5026">
        <v>87.5</v>
      </c>
      <c r="Q5026">
        <v>29.478311600000001</v>
      </c>
      <c r="R5026">
        <v>3.0797751000000002E-2</v>
      </c>
      <c r="S5026">
        <v>0.12931835</v>
      </c>
      <c r="T5026" t="s">
        <v>1040</v>
      </c>
      <c r="U5026">
        <v>0.27760324999999997</v>
      </c>
    </row>
    <row r="5027" spans="1:21" x14ac:dyDescent="0.25">
      <c r="A5027" t="s">
        <v>93</v>
      </c>
      <c r="B5027" t="s">
        <v>1013</v>
      </c>
      <c r="C5027">
        <v>6</v>
      </c>
      <c r="D5027" t="s">
        <v>66</v>
      </c>
      <c r="E5027" t="s">
        <v>95</v>
      </c>
      <c r="F5027" t="s">
        <v>104</v>
      </c>
      <c r="G5027" t="s">
        <v>103</v>
      </c>
      <c r="H5027" t="s">
        <v>246</v>
      </c>
      <c r="J5027">
        <v>0</v>
      </c>
      <c r="K5027">
        <v>1</v>
      </c>
      <c r="L5027">
        <v>113.9375</v>
      </c>
      <c r="M5027">
        <v>33.375507550000002</v>
      </c>
      <c r="N5027">
        <v>2.4262999999999999</v>
      </c>
      <c r="O5027">
        <v>0.40692159999999999</v>
      </c>
      <c r="P5027">
        <v>120.25</v>
      </c>
      <c r="Q5027">
        <v>30.670450110000001</v>
      </c>
      <c r="R5027">
        <v>0.91037498500000003</v>
      </c>
      <c r="S5027" t="s">
        <v>114</v>
      </c>
      <c r="T5027" t="s">
        <v>1040</v>
      </c>
      <c r="U5027" t="s">
        <v>114</v>
      </c>
    </row>
    <row r="5028" spans="1:21" x14ac:dyDescent="0.25">
      <c r="A5028" t="s">
        <v>67</v>
      </c>
      <c r="B5028" t="s">
        <v>820</v>
      </c>
      <c r="C5028">
        <v>10</v>
      </c>
      <c r="D5028" t="s">
        <v>11</v>
      </c>
      <c r="E5028" t="s">
        <v>94</v>
      </c>
      <c r="F5028" t="s">
        <v>113</v>
      </c>
      <c r="G5028" t="s">
        <v>121</v>
      </c>
      <c r="H5028" t="s">
        <v>113</v>
      </c>
      <c r="J5028">
        <v>0</v>
      </c>
      <c r="K5028">
        <v>2</v>
      </c>
      <c r="L5028">
        <v>83.757575759999995</v>
      </c>
      <c r="M5028">
        <v>22.60997987</v>
      </c>
      <c r="N5028">
        <v>0.72884000000000004</v>
      </c>
      <c r="O5028">
        <v>0.21301339999999999</v>
      </c>
      <c r="P5028">
        <v>83.757575759999995</v>
      </c>
      <c r="Q5028">
        <v>22.60997987</v>
      </c>
      <c r="R5028">
        <v>0.72884000000000004</v>
      </c>
      <c r="S5028">
        <v>0.21301339999999999</v>
      </c>
      <c r="T5028" t="s">
        <v>1041</v>
      </c>
      <c r="U5028">
        <v>0</v>
      </c>
    </row>
    <row r="5029" spans="1:21" x14ac:dyDescent="0.25">
      <c r="A5029" t="s">
        <v>67</v>
      </c>
      <c r="B5029" t="s">
        <v>820</v>
      </c>
      <c r="C5029">
        <v>10</v>
      </c>
      <c r="D5029" t="s">
        <v>11</v>
      </c>
      <c r="E5029" t="s">
        <v>94</v>
      </c>
      <c r="F5029" t="s">
        <v>113</v>
      </c>
      <c r="G5029" t="s">
        <v>121</v>
      </c>
      <c r="H5029" t="s">
        <v>113</v>
      </c>
      <c r="J5029">
        <v>0</v>
      </c>
      <c r="K5029">
        <v>2</v>
      </c>
      <c r="L5029">
        <v>83.757575759999995</v>
      </c>
      <c r="M5029">
        <v>22.60997987</v>
      </c>
      <c r="N5029">
        <v>0.72884000000000004</v>
      </c>
      <c r="O5029">
        <v>0.21301339999999999</v>
      </c>
      <c r="P5029">
        <v>83.757575759999995</v>
      </c>
      <c r="Q5029">
        <v>22.60997987</v>
      </c>
      <c r="R5029">
        <v>0.72884000000000004</v>
      </c>
      <c r="S5029">
        <v>0.21301339999999999</v>
      </c>
      <c r="T5029" t="s">
        <v>1041</v>
      </c>
      <c r="U5029">
        <v>0</v>
      </c>
    </row>
    <row r="5030" spans="1:21" x14ac:dyDescent="0.25">
      <c r="A5030" t="s">
        <v>67</v>
      </c>
      <c r="B5030" t="s">
        <v>820</v>
      </c>
      <c r="C5030">
        <v>10</v>
      </c>
      <c r="D5030" t="s">
        <v>11</v>
      </c>
      <c r="E5030" t="s">
        <v>94</v>
      </c>
      <c r="F5030" t="s">
        <v>113</v>
      </c>
      <c r="G5030" t="s">
        <v>121</v>
      </c>
      <c r="H5030" t="s">
        <v>248</v>
      </c>
      <c r="J5030">
        <v>0</v>
      </c>
      <c r="K5030">
        <v>1</v>
      </c>
      <c r="L5030">
        <v>83.757575759999995</v>
      </c>
      <c r="M5030">
        <v>22.60997987</v>
      </c>
      <c r="N5030">
        <v>0.72884000000000004</v>
      </c>
      <c r="O5030">
        <v>0.21301339999999999</v>
      </c>
      <c r="P5030">
        <v>83.92307692</v>
      </c>
      <c r="Q5030">
        <v>44.319135699999997</v>
      </c>
      <c r="R5030">
        <v>5.9548609999999997E-3</v>
      </c>
      <c r="S5030">
        <v>0.18017928</v>
      </c>
      <c r="T5030" t="s">
        <v>1041</v>
      </c>
      <c r="U5030">
        <v>3.2834119999999994E-2</v>
      </c>
    </row>
    <row r="5031" spans="1:21" x14ac:dyDescent="0.25">
      <c r="A5031" t="s">
        <v>67</v>
      </c>
      <c r="B5031" t="s">
        <v>821</v>
      </c>
      <c r="C5031">
        <v>10</v>
      </c>
      <c r="D5031" t="s">
        <v>11</v>
      </c>
      <c r="E5031" t="s">
        <v>94</v>
      </c>
      <c r="F5031" t="s">
        <v>103</v>
      </c>
      <c r="G5031" t="s">
        <v>121</v>
      </c>
      <c r="H5031" t="s">
        <v>103</v>
      </c>
      <c r="J5031">
        <v>0</v>
      </c>
      <c r="K5031">
        <v>1</v>
      </c>
      <c r="L5031">
        <v>98.291666669999998</v>
      </c>
      <c r="M5031">
        <v>30.315130790000001</v>
      </c>
      <c r="N5031">
        <v>5.0803484000000003E-2</v>
      </c>
      <c r="O5031">
        <v>0.42866070000000001</v>
      </c>
      <c r="P5031">
        <v>98.291666669999998</v>
      </c>
      <c r="Q5031">
        <v>30.315130790000001</v>
      </c>
      <c r="R5031">
        <v>5.0803484000000003E-2</v>
      </c>
      <c r="S5031">
        <v>0.42866070000000001</v>
      </c>
      <c r="T5031" t="s">
        <v>1041</v>
      </c>
      <c r="U5031">
        <v>0</v>
      </c>
    </row>
    <row r="5032" spans="1:21" x14ac:dyDescent="0.25">
      <c r="A5032" t="s">
        <v>67</v>
      </c>
      <c r="B5032" t="s">
        <v>822</v>
      </c>
      <c r="C5032">
        <v>10</v>
      </c>
      <c r="D5032" t="s">
        <v>11</v>
      </c>
      <c r="E5032" t="s">
        <v>94</v>
      </c>
      <c r="F5032" t="s">
        <v>112</v>
      </c>
      <c r="G5032" t="s">
        <v>121</v>
      </c>
      <c r="H5032" t="s">
        <v>235</v>
      </c>
      <c r="J5032">
        <v>0</v>
      </c>
      <c r="K5032">
        <v>1</v>
      </c>
      <c r="L5032">
        <v>65.09375</v>
      </c>
      <c r="M5032">
        <v>37.895352600000002</v>
      </c>
      <c r="N5032">
        <v>2.2882677779999998</v>
      </c>
      <c r="O5032">
        <v>2.2111774</v>
      </c>
      <c r="P5032">
        <v>132.27272730000001</v>
      </c>
      <c r="Q5032">
        <v>20.180448590000001</v>
      </c>
      <c r="R5032">
        <v>3.7813451999999997E-2</v>
      </c>
      <c r="S5032">
        <v>0.41404401000000002</v>
      </c>
      <c r="T5032" t="s">
        <v>1041</v>
      </c>
      <c r="U5032">
        <v>1.7971333899999999</v>
      </c>
    </row>
    <row r="5033" spans="1:21" x14ac:dyDescent="0.25">
      <c r="A5033" t="s">
        <v>67</v>
      </c>
      <c r="B5033" t="s">
        <v>822</v>
      </c>
      <c r="C5033">
        <v>10</v>
      </c>
      <c r="D5033" t="s">
        <v>11</v>
      </c>
      <c r="E5033" t="s">
        <v>94</v>
      </c>
      <c r="F5033" t="s">
        <v>112</v>
      </c>
      <c r="G5033" t="s">
        <v>121</v>
      </c>
      <c r="H5033" t="s">
        <v>248</v>
      </c>
      <c r="J5033">
        <v>0</v>
      </c>
      <c r="K5033">
        <v>2</v>
      </c>
      <c r="L5033">
        <v>65.09375</v>
      </c>
      <c r="M5033">
        <v>37.895352600000002</v>
      </c>
      <c r="N5033">
        <v>2.2882677779999998</v>
      </c>
      <c r="O5033">
        <v>2.2111774</v>
      </c>
      <c r="P5033">
        <v>83.92307692</v>
      </c>
      <c r="Q5033">
        <v>44.319135699999997</v>
      </c>
      <c r="R5033">
        <v>5.9548609999999997E-3</v>
      </c>
      <c r="S5033">
        <v>0.18017928</v>
      </c>
      <c r="T5033" t="s">
        <v>1041</v>
      </c>
      <c r="U5033">
        <v>2.03099812</v>
      </c>
    </row>
    <row r="5034" spans="1:21" x14ac:dyDescent="0.25">
      <c r="A5034" t="s">
        <v>67</v>
      </c>
      <c r="B5034" t="s">
        <v>822</v>
      </c>
      <c r="C5034">
        <v>10</v>
      </c>
      <c r="D5034" t="s">
        <v>11</v>
      </c>
      <c r="E5034" t="s">
        <v>94</v>
      </c>
      <c r="F5034" t="s">
        <v>112</v>
      </c>
      <c r="G5034" t="s">
        <v>121</v>
      </c>
      <c r="H5034" t="s">
        <v>248</v>
      </c>
      <c r="J5034">
        <v>0</v>
      </c>
      <c r="K5034">
        <v>2</v>
      </c>
      <c r="L5034">
        <v>65.09375</v>
      </c>
      <c r="M5034">
        <v>37.895352600000002</v>
      </c>
      <c r="N5034">
        <v>2.2882677779999998</v>
      </c>
      <c r="O5034">
        <v>2.2111774</v>
      </c>
      <c r="P5034">
        <v>83.92307692</v>
      </c>
      <c r="Q5034">
        <v>44.319135699999997</v>
      </c>
      <c r="R5034">
        <v>5.9548609999999997E-3</v>
      </c>
      <c r="S5034">
        <v>0.18017928</v>
      </c>
      <c r="T5034" t="s">
        <v>1041</v>
      </c>
      <c r="U5034">
        <v>2.03099812</v>
      </c>
    </row>
    <row r="5035" spans="1:21" x14ac:dyDescent="0.25">
      <c r="A5035" t="s">
        <v>68</v>
      </c>
      <c r="B5035" t="s">
        <v>823</v>
      </c>
      <c r="C5035">
        <v>10</v>
      </c>
      <c r="D5035" t="s">
        <v>15</v>
      </c>
      <c r="E5035" t="s">
        <v>95</v>
      </c>
      <c r="F5035" t="s">
        <v>113</v>
      </c>
      <c r="G5035" t="s">
        <v>121</v>
      </c>
      <c r="H5035" t="s">
        <v>113</v>
      </c>
      <c r="J5035">
        <v>0</v>
      </c>
      <c r="K5035">
        <v>1</v>
      </c>
      <c r="L5035">
        <v>83.757575759999995</v>
      </c>
      <c r="M5035">
        <v>22.60997987</v>
      </c>
      <c r="N5035">
        <v>0.72884000000000004</v>
      </c>
      <c r="O5035">
        <v>0.21301339999999999</v>
      </c>
      <c r="P5035">
        <v>83.757575759999995</v>
      </c>
      <c r="Q5035">
        <v>22.60997987</v>
      </c>
      <c r="R5035">
        <v>0.72884000000000004</v>
      </c>
      <c r="S5035">
        <v>0.21301339999999999</v>
      </c>
      <c r="T5035" t="s">
        <v>1041</v>
      </c>
      <c r="U5035">
        <v>0</v>
      </c>
    </row>
    <row r="5036" spans="1:21" x14ac:dyDescent="0.25">
      <c r="A5036" t="s">
        <v>68</v>
      </c>
      <c r="B5036" t="s">
        <v>824</v>
      </c>
      <c r="C5036">
        <v>10</v>
      </c>
      <c r="D5036" t="s">
        <v>15</v>
      </c>
      <c r="E5036" t="s">
        <v>95</v>
      </c>
      <c r="F5036" t="s">
        <v>110</v>
      </c>
      <c r="G5036" t="s">
        <v>113</v>
      </c>
      <c r="H5036" t="s">
        <v>113</v>
      </c>
      <c r="J5036">
        <v>0</v>
      </c>
      <c r="K5036">
        <v>2</v>
      </c>
      <c r="L5036">
        <v>73.260869569999997</v>
      </c>
      <c r="M5036">
        <v>34.453830549999999</v>
      </c>
      <c r="N5036">
        <v>1.058333333</v>
      </c>
      <c r="O5036">
        <v>0.90897070000000002</v>
      </c>
      <c r="P5036">
        <v>83.757575759999995</v>
      </c>
      <c r="Q5036">
        <v>22.60997987</v>
      </c>
      <c r="R5036">
        <v>0.72884000000000004</v>
      </c>
      <c r="S5036">
        <v>0.21301339999999999</v>
      </c>
      <c r="T5036" t="s">
        <v>1041</v>
      </c>
      <c r="U5036">
        <v>0.6959573</v>
      </c>
    </row>
    <row r="5037" spans="1:21" x14ac:dyDescent="0.25">
      <c r="A5037" t="s">
        <v>68</v>
      </c>
      <c r="B5037" t="s">
        <v>824</v>
      </c>
      <c r="C5037">
        <v>10</v>
      </c>
      <c r="D5037" t="s">
        <v>15</v>
      </c>
      <c r="E5037" t="s">
        <v>95</v>
      </c>
      <c r="F5037" t="s">
        <v>110</v>
      </c>
      <c r="G5037" t="s">
        <v>113</v>
      </c>
      <c r="H5037" t="s">
        <v>113</v>
      </c>
      <c r="J5037">
        <v>0</v>
      </c>
      <c r="K5037">
        <v>2</v>
      </c>
      <c r="L5037">
        <v>73.260869569999997</v>
      </c>
      <c r="M5037">
        <v>34.453830549999999</v>
      </c>
      <c r="N5037">
        <v>1.058333333</v>
      </c>
      <c r="O5037">
        <v>0.90897070000000002</v>
      </c>
      <c r="P5037">
        <v>83.757575759999995</v>
      </c>
      <c r="Q5037">
        <v>22.60997987</v>
      </c>
      <c r="R5037">
        <v>0.72884000000000004</v>
      </c>
      <c r="S5037">
        <v>0.21301339999999999</v>
      </c>
      <c r="T5037" t="s">
        <v>1041</v>
      </c>
      <c r="U5037">
        <v>0.6959573</v>
      </c>
    </row>
    <row r="5038" spans="1:21" x14ac:dyDescent="0.25">
      <c r="A5038" t="s">
        <v>68</v>
      </c>
      <c r="B5038" t="s">
        <v>825</v>
      </c>
      <c r="C5038">
        <v>10</v>
      </c>
      <c r="D5038" t="s">
        <v>15</v>
      </c>
      <c r="E5038" t="s">
        <v>95</v>
      </c>
      <c r="F5038" t="s">
        <v>111</v>
      </c>
      <c r="G5038" t="s">
        <v>121</v>
      </c>
      <c r="H5038" t="s">
        <v>239</v>
      </c>
      <c r="J5038">
        <v>0</v>
      </c>
      <c r="K5038">
        <v>1</v>
      </c>
      <c r="L5038">
        <v>94.97142857</v>
      </c>
      <c r="M5038">
        <v>24.31591813</v>
      </c>
      <c r="N5038">
        <v>0.122951111</v>
      </c>
      <c r="O5038">
        <v>0.39050790000000002</v>
      </c>
      <c r="P5038">
        <v>100.45454549999999</v>
      </c>
      <c r="Q5038">
        <v>26.754810689999999</v>
      </c>
      <c r="R5038">
        <v>0.75829999999999997</v>
      </c>
      <c r="S5038">
        <v>0.40907861000000001</v>
      </c>
      <c r="T5038" t="s">
        <v>1041</v>
      </c>
      <c r="U5038">
        <v>1.857070999999999E-2</v>
      </c>
    </row>
    <row r="5039" spans="1:21" x14ac:dyDescent="0.25">
      <c r="A5039" t="s">
        <v>68</v>
      </c>
      <c r="B5039" t="s">
        <v>826</v>
      </c>
      <c r="C5039">
        <v>10</v>
      </c>
      <c r="D5039" t="s">
        <v>15</v>
      </c>
      <c r="E5039" t="s">
        <v>95</v>
      </c>
      <c r="F5039" t="s">
        <v>104</v>
      </c>
      <c r="G5039" t="s">
        <v>121</v>
      </c>
      <c r="H5039" t="s">
        <v>114</v>
      </c>
      <c r="I5039" t="s">
        <v>161</v>
      </c>
      <c r="J5039">
        <v>1</v>
      </c>
      <c r="K5039">
        <v>0</v>
      </c>
      <c r="L5039">
        <v>113.9375</v>
      </c>
      <c r="M5039">
        <v>33.375507550000002</v>
      </c>
      <c r="N5039">
        <v>2.4262999999999999</v>
      </c>
      <c r="O5039">
        <v>0.40692159999999999</v>
      </c>
      <c r="P5039" t="s">
        <v>114</v>
      </c>
      <c r="Q5039" t="s">
        <v>114</v>
      </c>
      <c r="R5039" t="s">
        <v>114</v>
      </c>
      <c r="S5039" t="s">
        <v>114</v>
      </c>
      <c r="T5039" t="s">
        <v>1041</v>
      </c>
      <c r="U5039" t="s">
        <v>114</v>
      </c>
    </row>
    <row r="5040" spans="1:21" x14ac:dyDescent="0.25">
      <c r="A5040" t="s">
        <v>69</v>
      </c>
      <c r="B5040" t="s">
        <v>827</v>
      </c>
      <c r="C5040">
        <v>10</v>
      </c>
      <c r="D5040" t="s">
        <v>17</v>
      </c>
      <c r="E5040" t="s">
        <v>95</v>
      </c>
      <c r="F5040" t="s">
        <v>102</v>
      </c>
      <c r="G5040" t="s">
        <v>102</v>
      </c>
      <c r="H5040" t="s">
        <v>102</v>
      </c>
      <c r="J5040">
        <v>0</v>
      </c>
      <c r="K5040">
        <v>1</v>
      </c>
      <c r="L5040">
        <v>84.740740740000007</v>
      </c>
      <c r="M5040">
        <v>29.167014049999999</v>
      </c>
      <c r="N5040">
        <v>1.1169849999999999</v>
      </c>
      <c r="O5040">
        <v>1.1571499000000001</v>
      </c>
      <c r="P5040">
        <v>84.740740740000007</v>
      </c>
      <c r="Q5040">
        <v>29.167014049999999</v>
      </c>
      <c r="R5040">
        <v>1.1169849999999999</v>
      </c>
      <c r="S5040">
        <v>1.1571499000000001</v>
      </c>
      <c r="T5040" t="s">
        <v>1041</v>
      </c>
      <c r="U5040">
        <v>0</v>
      </c>
    </row>
    <row r="5041" spans="1:21" x14ac:dyDescent="0.25">
      <c r="A5041" t="s">
        <v>69</v>
      </c>
      <c r="B5041" t="s">
        <v>827</v>
      </c>
      <c r="C5041">
        <v>10</v>
      </c>
      <c r="D5041" t="s">
        <v>17</v>
      </c>
      <c r="E5041" t="s">
        <v>95</v>
      </c>
      <c r="F5041" t="s">
        <v>102</v>
      </c>
      <c r="G5041" t="s">
        <v>102</v>
      </c>
      <c r="H5041" t="s">
        <v>235</v>
      </c>
      <c r="J5041">
        <v>0</v>
      </c>
      <c r="K5041">
        <v>2</v>
      </c>
      <c r="L5041">
        <v>84.740740740000007</v>
      </c>
      <c r="M5041">
        <v>29.167014049999999</v>
      </c>
      <c r="N5041">
        <v>1.1169849999999999</v>
      </c>
      <c r="O5041">
        <v>1.1571499000000001</v>
      </c>
      <c r="P5041">
        <v>132.27272730000001</v>
      </c>
      <c r="Q5041">
        <v>20.180448590000001</v>
      </c>
      <c r="R5041">
        <v>3.7813451999999997E-2</v>
      </c>
      <c r="S5041">
        <v>0.41404401000000002</v>
      </c>
      <c r="T5041" t="s">
        <v>1041</v>
      </c>
      <c r="U5041">
        <v>0.74310589000000005</v>
      </c>
    </row>
    <row r="5042" spans="1:21" x14ac:dyDescent="0.25">
      <c r="A5042" t="s">
        <v>69</v>
      </c>
      <c r="B5042" t="s">
        <v>827</v>
      </c>
      <c r="C5042">
        <v>10</v>
      </c>
      <c r="D5042" t="s">
        <v>17</v>
      </c>
      <c r="E5042" t="s">
        <v>95</v>
      </c>
      <c r="F5042" t="s">
        <v>102</v>
      </c>
      <c r="G5042" t="s">
        <v>102</v>
      </c>
      <c r="H5042" t="s">
        <v>235</v>
      </c>
      <c r="J5042">
        <v>0</v>
      </c>
      <c r="K5042">
        <v>2</v>
      </c>
      <c r="L5042">
        <v>84.740740740000007</v>
      </c>
      <c r="M5042">
        <v>29.167014049999999</v>
      </c>
      <c r="N5042">
        <v>1.1169849999999999</v>
      </c>
      <c r="O5042">
        <v>1.1571499000000001</v>
      </c>
      <c r="P5042">
        <v>132.27272730000001</v>
      </c>
      <c r="Q5042">
        <v>20.180448590000001</v>
      </c>
      <c r="R5042">
        <v>3.7813451999999997E-2</v>
      </c>
      <c r="S5042">
        <v>0.41404401000000002</v>
      </c>
      <c r="T5042" t="s">
        <v>1041</v>
      </c>
      <c r="U5042">
        <v>0.74310589000000005</v>
      </c>
    </row>
    <row r="5043" spans="1:21" x14ac:dyDescent="0.25">
      <c r="A5043" t="s">
        <v>69</v>
      </c>
      <c r="B5043" t="s">
        <v>828</v>
      </c>
      <c r="C5043">
        <v>10</v>
      </c>
      <c r="D5043" t="s">
        <v>17</v>
      </c>
      <c r="E5043" t="s">
        <v>95</v>
      </c>
      <c r="F5043" t="s">
        <v>113</v>
      </c>
      <c r="G5043" t="s">
        <v>113</v>
      </c>
      <c r="H5043" t="s">
        <v>113</v>
      </c>
      <c r="J5043">
        <v>0</v>
      </c>
      <c r="K5043">
        <v>1</v>
      </c>
      <c r="L5043">
        <v>83.757575759999995</v>
      </c>
      <c r="M5043">
        <v>22.60997987</v>
      </c>
      <c r="N5043">
        <v>0.72884000000000004</v>
      </c>
      <c r="O5043">
        <v>0.21301339999999999</v>
      </c>
      <c r="P5043">
        <v>83.757575759999995</v>
      </c>
      <c r="Q5043">
        <v>22.60997987</v>
      </c>
      <c r="R5043">
        <v>0.72884000000000004</v>
      </c>
      <c r="S5043">
        <v>0.21301339999999999</v>
      </c>
      <c r="T5043" t="s">
        <v>1041</v>
      </c>
      <c r="U5043">
        <v>0</v>
      </c>
    </row>
    <row r="5044" spans="1:21" x14ac:dyDescent="0.25">
      <c r="A5044" t="s">
        <v>69</v>
      </c>
      <c r="B5044" t="s">
        <v>828</v>
      </c>
      <c r="C5044">
        <v>10</v>
      </c>
      <c r="D5044" t="s">
        <v>17</v>
      </c>
      <c r="E5044" t="s">
        <v>95</v>
      </c>
      <c r="F5044" t="s">
        <v>113</v>
      </c>
      <c r="G5044" t="s">
        <v>113</v>
      </c>
      <c r="H5044" t="s">
        <v>235</v>
      </c>
      <c r="J5044">
        <v>0</v>
      </c>
      <c r="K5044">
        <v>2</v>
      </c>
      <c r="L5044">
        <v>83.757575759999995</v>
      </c>
      <c r="M5044">
        <v>22.60997987</v>
      </c>
      <c r="N5044">
        <v>0.72884000000000004</v>
      </c>
      <c r="O5044">
        <v>0.21301339999999999</v>
      </c>
      <c r="P5044">
        <v>132.27272730000001</v>
      </c>
      <c r="Q5044">
        <v>20.180448590000001</v>
      </c>
      <c r="R5044">
        <v>3.7813451999999997E-2</v>
      </c>
      <c r="S5044">
        <v>0.41404401000000002</v>
      </c>
      <c r="T5044" t="s">
        <v>1041</v>
      </c>
      <c r="U5044">
        <v>0.20103061000000003</v>
      </c>
    </row>
    <row r="5045" spans="1:21" x14ac:dyDescent="0.25">
      <c r="A5045" t="s">
        <v>69</v>
      </c>
      <c r="B5045" t="s">
        <v>828</v>
      </c>
      <c r="C5045">
        <v>10</v>
      </c>
      <c r="D5045" t="s">
        <v>17</v>
      </c>
      <c r="E5045" t="s">
        <v>95</v>
      </c>
      <c r="F5045" t="s">
        <v>113</v>
      </c>
      <c r="G5045" t="s">
        <v>113</v>
      </c>
      <c r="H5045" t="s">
        <v>235</v>
      </c>
      <c r="J5045">
        <v>0</v>
      </c>
      <c r="K5045">
        <v>2</v>
      </c>
      <c r="L5045">
        <v>83.757575759999995</v>
      </c>
      <c r="M5045">
        <v>22.60997987</v>
      </c>
      <c r="N5045">
        <v>0.72884000000000004</v>
      </c>
      <c r="O5045">
        <v>0.21301339999999999</v>
      </c>
      <c r="P5045">
        <v>132.27272730000001</v>
      </c>
      <c r="Q5045">
        <v>20.180448590000001</v>
      </c>
      <c r="R5045">
        <v>3.7813451999999997E-2</v>
      </c>
      <c r="S5045">
        <v>0.41404401000000002</v>
      </c>
      <c r="T5045" t="s">
        <v>1041</v>
      </c>
      <c r="U5045">
        <v>0.20103061000000003</v>
      </c>
    </row>
    <row r="5046" spans="1:21" x14ac:dyDescent="0.25">
      <c r="A5046" t="s">
        <v>69</v>
      </c>
      <c r="B5046" t="s">
        <v>829</v>
      </c>
      <c r="C5046">
        <v>10</v>
      </c>
      <c r="D5046" t="s">
        <v>17</v>
      </c>
      <c r="E5046" t="s">
        <v>95</v>
      </c>
      <c r="F5046" t="s">
        <v>103</v>
      </c>
      <c r="G5046" t="s">
        <v>103</v>
      </c>
      <c r="H5046" t="s">
        <v>103</v>
      </c>
      <c r="J5046">
        <v>0</v>
      </c>
      <c r="K5046">
        <v>1</v>
      </c>
      <c r="L5046">
        <v>98.291666669999998</v>
      </c>
      <c r="M5046">
        <v>30.315130790000001</v>
      </c>
      <c r="N5046">
        <v>5.0803484000000003E-2</v>
      </c>
      <c r="O5046">
        <v>0.42866070000000001</v>
      </c>
      <c r="P5046">
        <v>98.291666669999998</v>
      </c>
      <c r="Q5046">
        <v>30.315130790000001</v>
      </c>
      <c r="R5046">
        <v>5.0803484000000003E-2</v>
      </c>
      <c r="S5046">
        <v>0.42866070000000001</v>
      </c>
      <c r="T5046" t="s">
        <v>1041</v>
      </c>
      <c r="U5046">
        <v>0</v>
      </c>
    </row>
    <row r="5047" spans="1:21" x14ac:dyDescent="0.25">
      <c r="A5047" t="s">
        <v>69</v>
      </c>
      <c r="B5047" t="s">
        <v>829</v>
      </c>
      <c r="C5047">
        <v>10</v>
      </c>
      <c r="D5047" t="s">
        <v>17</v>
      </c>
      <c r="E5047" t="s">
        <v>95</v>
      </c>
      <c r="F5047" t="s">
        <v>103</v>
      </c>
      <c r="G5047" t="s">
        <v>103</v>
      </c>
      <c r="H5047" t="s">
        <v>241</v>
      </c>
      <c r="J5047">
        <v>0</v>
      </c>
      <c r="K5047">
        <v>1</v>
      </c>
      <c r="L5047">
        <v>98.291666669999998</v>
      </c>
      <c r="M5047">
        <v>30.315130790000001</v>
      </c>
      <c r="N5047">
        <v>5.0803484000000003E-2</v>
      </c>
      <c r="O5047">
        <v>0.42866070000000001</v>
      </c>
      <c r="P5047">
        <v>114</v>
      </c>
      <c r="Q5047">
        <v>30.43077242</v>
      </c>
      <c r="R5047">
        <v>0.53383111100000002</v>
      </c>
      <c r="S5047">
        <v>0.28333332999999999</v>
      </c>
      <c r="T5047" t="s">
        <v>1041</v>
      </c>
      <c r="U5047">
        <v>0.14532737000000001</v>
      </c>
    </row>
    <row r="5048" spans="1:21" x14ac:dyDescent="0.25">
      <c r="A5048" t="s">
        <v>69</v>
      </c>
      <c r="B5048" t="s">
        <v>829</v>
      </c>
      <c r="C5048">
        <v>10</v>
      </c>
      <c r="D5048" t="s">
        <v>17</v>
      </c>
      <c r="E5048" t="s">
        <v>95</v>
      </c>
      <c r="F5048" t="s">
        <v>103</v>
      </c>
      <c r="G5048" t="s">
        <v>103</v>
      </c>
      <c r="H5048" t="s">
        <v>235</v>
      </c>
      <c r="J5048">
        <v>0</v>
      </c>
      <c r="K5048">
        <v>1</v>
      </c>
      <c r="L5048">
        <v>98.291666669999998</v>
      </c>
      <c r="M5048">
        <v>30.315130790000001</v>
      </c>
      <c r="N5048">
        <v>5.0803484000000003E-2</v>
      </c>
      <c r="O5048">
        <v>0.42866070000000001</v>
      </c>
      <c r="P5048">
        <v>132.27272730000001</v>
      </c>
      <c r="Q5048">
        <v>20.180448590000001</v>
      </c>
      <c r="R5048">
        <v>3.7813451999999997E-2</v>
      </c>
      <c r="S5048">
        <v>0.41404401000000002</v>
      </c>
      <c r="T5048" t="s">
        <v>1041</v>
      </c>
      <c r="U5048">
        <v>1.4616689999999988E-2</v>
      </c>
    </row>
    <row r="5049" spans="1:21" x14ac:dyDescent="0.25">
      <c r="A5049" t="s">
        <v>69</v>
      </c>
      <c r="B5049" t="s">
        <v>830</v>
      </c>
      <c r="C5049">
        <v>10</v>
      </c>
      <c r="D5049" t="s">
        <v>17</v>
      </c>
      <c r="E5049" t="s">
        <v>95</v>
      </c>
      <c r="F5049" t="s">
        <v>111</v>
      </c>
      <c r="G5049" t="s">
        <v>121</v>
      </c>
      <c r="H5049" t="s">
        <v>235</v>
      </c>
      <c r="J5049">
        <v>0</v>
      </c>
      <c r="K5049">
        <v>3</v>
      </c>
      <c r="L5049">
        <v>94.97142857</v>
      </c>
      <c r="M5049">
        <v>24.31591813</v>
      </c>
      <c r="N5049">
        <v>0.122951111</v>
      </c>
      <c r="O5049">
        <v>0.39050790000000002</v>
      </c>
      <c r="P5049">
        <v>132.27272730000001</v>
      </c>
      <c r="Q5049">
        <v>20.180448590000001</v>
      </c>
      <c r="R5049">
        <v>3.7813451999999997E-2</v>
      </c>
      <c r="S5049">
        <v>0.41404401000000002</v>
      </c>
      <c r="T5049" t="s">
        <v>1041</v>
      </c>
      <c r="U5049">
        <v>2.3536109999999999E-2</v>
      </c>
    </row>
    <row r="5050" spans="1:21" x14ac:dyDescent="0.25">
      <c r="A5050" t="s">
        <v>69</v>
      </c>
      <c r="B5050" t="s">
        <v>830</v>
      </c>
      <c r="C5050">
        <v>10</v>
      </c>
      <c r="D5050" t="s">
        <v>17</v>
      </c>
      <c r="E5050" t="s">
        <v>95</v>
      </c>
      <c r="F5050" t="s">
        <v>111</v>
      </c>
      <c r="G5050" t="s">
        <v>121</v>
      </c>
      <c r="H5050" t="s">
        <v>235</v>
      </c>
      <c r="J5050">
        <v>0</v>
      </c>
      <c r="K5050">
        <v>3</v>
      </c>
      <c r="L5050">
        <v>94.97142857</v>
      </c>
      <c r="M5050">
        <v>24.31591813</v>
      </c>
      <c r="N5050">
        <v>0.122951111</v>
      </c>
      <c r="O5050">
        <v>0.39050790000000002</v>
      </c>
      <c r="P5050">
        <v>132.27272730000001</v>
      </c>
      <c r="Q5050">
        <v>20.180448590000001</v>
      </c>
      <c r="R5050">
        <v>3.7813451999999997E-2</v>
      </c>
      <c r="S5050">
        <v>0.41404401000000002</v>
      </c>
      <c r="T5050" t="s">
        <v>1041</v>
      </c>
      <c r="U5050">
        <v>2.3536109999999999E-2</v>
      </c>
    </row>
    <row r="5051" spans="1:21" x14ac:dyDescent="0.25">
      <c r="A5051" t="s">
        <v>69</v>
      </c>
      <c r="B5051" t="s">
        <v>830</v>
      </c>
      <c r="C5051">
        <v>10</v>
      </c>
      <c r="D5051" t="s">
        <v>17</v>
      </c>
      <c r="E5051" t="s">
        <v>95</v>
      </c>
      <c r="F5051" t="s">
        <v>111</v>
      </c>
      <c r="G5051" t="s">
        <v>121</v>
      </c>
      <c r="H5051" t="s">
        <v>235</v>
      </c>
      <c r="J5051">
        <v>0</v>
      </c>
      <c r="K5051">
        <v>3</v>
      </c>
      <c r="L5051">
        <v>94.97142857</v>
      </c>
      <c r="M5051">
        <v>24.31591813</v>
      </c>
      <c r="N5051">
        <v>0.122951111</v>
      </c>
      <c r="O5051">
        <v>0.39050790000000002</v>
      </c>
      <c r="P5051">
        <v>132.27272730000001</v>
      </c>
      <c r="Q5051">
        <v>20.180448590000001</v>
      </c>
      <c r="R5051">
        <v>3.7813451999999997E-2</v>
      </c>
      <c r="S5051">
        <v>0.41404401000000002</v>
      </c>
      <c r="T5051" t="s">
        <v>1041</v>
      </c>
      <c r="U5051">
        <v>2.3536109999999999E-2</v>
      </c>
    </row>
    <row r="5052" spans="1:21" x14ac:dyDescent="0.25">
      <c r="A5052" t="s">
        <v>69</v>
      </c>
      <c r="B5052" t="s">
        <v>831</v>
      </c>
      <c r="C5052">
        <v>10</v>
      </c>
      <c r="D5052" t="s">
        <v>17</v>
      </c>
      <c r="E5052" t="s">
        <v>95</v>
      </c>
      <c r="F5052" t="s">
        <v>112</v>
      </c>
      <c r="G5052" t="s">
        <v>121</v>
      </c>
      <c r="H5052" t="s">
        <v>235</v>
      </c>
      <c r="I5052" t="s">
        <v>252</v>
      </c>
      <c r="J5052">
        <v>1</v>
      </c>
      <c r="K5052">
        <v>2</v>
      </c>
      <c r="L5052">
        <v>65.09375</v>
      </c>
      <c r="M5052">
        <v>37.895352600000002</v>
      </c>
      <c r="N5052">
        <v>2.2882677779999998</v>
      </c>
      <c r="O5052">
        <v>2.2111774</v>
      </c>
      <c r="P5052">
        <v>132.27272730000001</v>
      </c>
      <c r="Q5052">
        <v>20.180448590000001</v>
      </c>
      <c r="R5052">
        <v>3.7813451999999997E-2</v>
      </c>
      <c r="S5052">
        <v>0.41404401000000002</v>
      </c>
      <c r="T5052" t="s">
        <v>1041</v>
      </c>
      <c r="U5052">
        <v>1.7971333899999999</v>
      </c>
    </row>
    <row r="5053" spans="1:21" x14ac:dyDescent="0.25">
      <c r="A5053" t="s">
        <v>69</v>
      </c>
      <c r="B5053" t="s">
        <v>831</v>
      </c>
      <c r="C5053">
        <v>10</v>
      </c>
      <c r="D5053" t="s">
        <v>17</v>
      </c>
      <c r="E5053" t="s">
        <v>95</v>
      </c>
      <c r="F5053" t="s">
        <v>112</v>
      </c>
      <c r="G5053" t="s">
        <v>121</v>
      </c>
      <c r="H5053" t="s">
        <v>235</v>
      </c>
      <c r="I5053" t="s">
        <v>252</v>
      </c>
      <c r="J5053">
        <v>1</v>
      </c>
      <c r="K5053">
        <v>2</v>
      </c>
      <c r="L5053">
        <v>65.09375</v>
      </c>
      <c r="M5053">
        <v>37.895352600000002</v>
      </c>
      <c r="N5053">
        <v>2.2882677779999998</v>
      </c>
      <c r="O5053">
        <v>2.2111774</v>
      </c>
      <c r="P5053">
        <v>132.27272730000001</v>
      </c>
      <c r="Q5053">
        <v>20.180448590000001</v>
      </c>
      <c r="R5053">
        <v>3.7813451999999997E-2</v>
      </c>
      <c r="S5053">
        <v>0.41404401000000002</v>
      </c>
      <c r="T5053" t="s">
        <v>1041</v>
      </c>
      <c r="U5053">
        <v>1.7971333899999999</v>
      </c>
    </row>
    <row r="5054" spans="1:21" x14ac:dyDescent="0.25">
      <c r="A5054" t="s">
        <v>70</v>
      </c>
      <c r="B5054" t="s">
        <v>832</v>
      </c>
      <c r="C5054">
        <v>10</v>
      </c>
      <c r="D5054" t="s">
        <v>19</v>
      </c>
      <c r="E5054" t="s">
        <v>95</v>
      </c>
      <c r="F5054" t="s">
        <v>102</v>
      </c>
      <c r="G5054" t="s">
        <v>121</v>
      </c>
      <c r="H5054" t="s">
        <v>102</v>
      </c>
      <c r="J5054">
        <v>0</v>
      </c>
      <c r="K5054">
        <v>1</v>
      </c>
      <c r="L5054">
        <v>84.740740740000007</v>
      </c>
      <c r="M5054">
        <v>29.167014049999999</v>
      </c>
      <c r="N5054">
        <v>1.1169849999999999</v>
      </c>
      <c r="O5054">
        <v>1.1571499000000001</v>
      </c>
      <c r="P5054">
        <v>84.740740740000007</v>
      </c>
      <c r="Q5054">
        <v>29.167014049999999</v>
      </c>
      <c r="R5054">
        <v>1.1169849999999999</v>
      </c>
      <c r="S5054">
        <v>1.1571499000000001</v>
      </c>
      <c r="T5054" t="s">
        <v>1041</v>
      </c>
      <c r="U5054">
        <v>0</v>
      </c>
    </row>
    <row r="5055" spans="1:21" x14ac:dyDescent="0.25">
      <c r="A5055" t="s">
        <v>70</v>
      </c>
      <c r="B5055" t="s">
        <v>832</v>
      </c>
      <c r="C5055">
        <v>10</v>
      </c>
      <c r="D5055" t="s">
        <v>19</v>
      </c>
      <c r="E5055" t="s">
        <v>95</v>
      </c>
      <c r="F5055" t="s">
        <v>102</v>
      </c>
      <c r="G5055" t="s">
        <v>121</v>
      </c>
      <c r="H5055" t="s">
        <v>236</v>
      </c>
      <c r="J5055">
        <v>0</v>
      </c>
      <c r="K5055">
        <v>1</v>
      </c>
      <c r="L5055">
        <v>84.740740740000007</v>
      </c>
      <c r="M5055">
        <v>29.167014049999999</v>
      </c>
      <c r="N5055">
        <v>1.1169849999999999</v>
      </c>
      <c r="O5055">
        <v>1.1571499000000001</v>
      </c>
      <c r="P5055">
        <v>113.33333330000001</v>
      </c>
      <c r="Q5055">
        <v>26.41632581</v>
      </c>
      <c r="R5055">
        <v>1.6844570160000001</v>
      </c>
      <c r="S5055">
        <v>8.9285710000000004E-2</v>
      </c>
      <c r="T5055" t="s">
        <v>1041</v>
      </c>
      <c r="U5055">
        <v>1.0678641900000001</v>
      </c>
    </row>
    <row r="5056" spans="1:21" x14ac:dyDescent="0.25">
      <c r="A5056" t="s">
        <v>70</v>
      </c>
      <c r="B5056" t="s">
        <v>833</v>
      </c>
      <c r="C5056">
        <v>10</v>
      </c>
      <c r="D5056" t="s">
        <v>19</v>
      </c>
      <c r="E5056" t="s">
        <v>95</v>
      </c>
      <c r="F5056" t="s">
        <v>105</v>
      </c>
      <c r="G5056" t="s">
        <v>121</v>
      </c>
      <c r="H5056" t="s">
        <v>235</v>
      </c>
      <c r="J5056">
        <v>0</v>
      </c>
      <c r="K5056">
        <v>1</v>
      </c>
      <c r="L5056">
        <v>67.5</v>
      </c>
      <c r="M5056">
        <v>47.937235809999997</v>
      </c>
      <c r="N5056">
        <v>0.41599678000000001</v>
      </c>
      <c r="O5056">
        <v>2.0950346999999998</v>
      </c>
      <c r="P5056">
        <v>132.27272730000001</v>
      </c>
      <c r="Q5056">
        <v>20.180448590000001</v>
      </c>
      <c r="R5056">
        <v>3.7813451999999997E-2</v>
      </c>
      <c r="S5056">
        <v>0.41404401000000002</v>
      </c>
      <c r="T5056" t="s">
        <v>1041</v>
      </c>
      <c r="U5056">
        <v>1.6809906899999998</v>
      </c>
    </row>
    <row r="5057" spans="1:21" x14ac:dyDescent="0.25">
      <c r="A5057" t="s">
        <v>70</v>
      </c>
      <c r="B5057" t="s">
        <v>833</v>
      </c>
      <c r="C5057">
        <v>10</v>
      </c>
      <c r="D5057" t="s">
        <v>19</v>
      </c>
      <c r="E5057" t="s">
        <v>95</v>
      </c>
      <c r="F5057" t="s">
        <v>105</v>
      </c>
      <c r="G5057" t="s">
        <v>121</v>
      </c>
      <c r="H5057" t="s">
        <v>236</v>
      </c>
      <c r="J5057">
        <v>0</v>
      </c>
      <c r="K5057">
        <v>2</v>
      </c>
      <c r="L5057">
        <v>67.5</v>
      </c>
      <c r="M5057">
        <v>47.937235809999997</v>
      </c>
      <c r="N5057">
        <v>0.41599678000000001</v>
      </c>
      <c r="O5057">
        <v>2.0950346999999998</v>
      </c>
      <c r="P5057">
        <v>113.33333330000001</v>
      </c>
      <c r="Q5057">
        <v>26.41632581</v>
      </c>
      <c r="R5057">
        <v>1.6844570160000001</v>
      </c>
      <c r="S5057">
        <v>8.9285710000000004E-2</v>
      </c>
      <c r="T5057" t="s">
        <v>1041</v>
      </c>
      <c r="U5057">
        <v>2.0057489899999998</v>
      </c>
    </row>
    <row r="5058" spans="1:21" x14ac:dyDescent="0.25">
      <c r="A5058" t="s">
        <v>70</v>
      </c>
      <c r="B5058" t="s">
        <v>833</v>
      </c>
      <c r="C5058">
        <v>10</v>
      </c>
      <c r="D5058" t="s">
        <v>19</v>
      </c>
      <c r="E5058" t="s">
        <v>95</v>
      </c>
      <c r="F5058" t="s">
        <v>105</v>
      </c>
      <c r="G5058" t="s">
        <v>121</v>
      </c>
      <c r="H5058" t="s">
        <v>236</v>
      </c>
      <c r="J5058">
        <v>0</v>
      </c>
      <c r="K5058">
        <v>2</v>
      </c>
      <c r="L5058">
        <v>67.5</v>
      </c>
      <c r="M5058">
        <v>47.937235809999997</v>
      </c>
      <c r="N5058">
        <v>0.41599678000000001</v>
      </c>
      <c r="O5058">
        <v>2.0950346999999998</v>
      </c>
      <c r="P5058">
        <v>113.33333330000001</v>
      </c>
      <c r="Q5058">
        <v>26.41632581</v>
      </c>
      <c r="R5058">
        <v>1.6844570160000001</v>
      </c>
      <c r="S5058">
        <v>8.9285710000000004E-2</v>
      </c>
      <c r="T5058" t="s">
        <v>1041</v>
      </c>
      <c r="U5058">
        <v>2.0057489899999998</v>
      </c>
    </row>
    <row r="5059" spans="1:21" x14ac:dyDescent="0.25">
      <c r="A5059" t="s">
        <v>70</v>
      </c>
      <c r="B5059" t="s">
        <v>833</v>
      </c>
      <c r="C5059">
        <v>10</v>
      </c>
      <c r="D5059" t="s">
        <v>19</v>
      </c>
      <c r="E5059" t="s">
        <v>95</v>
      </c>
      <c r="F5059" t="s">
        <v>105</v>
      </c>
      <c r="G5059" t="s">
        <v>121</v>
      </c>
      <c r="H5059" t="s">
        <v>162</v>
      </c>
      <c r="J5059">
        <v>0</v>
      </c>
      <c r="K5059">
        <v>1</v>
      </c>
      <c r="L5059">
        <v>67.5</v>
      </c>
      <c r="M5059">
        <v>47.937235809999997</v>
      </c>
      <c r="N5059">
        <v>0.41599678000000001</v>
      </c>
      <c r="O5059">
        <v>2.0950346999999998</v>
      </c>
      <c r="P5059">
        <v>82.53846154</v>
      </c>
      <c r="Q5059">
        <v>35.660530039999998</v>
      </c>
      <c r="R5059">
        <v>3.3754499999999998</v>
      </c>
      <c r="S5059" t="s">
        <v>114</v>
      </c>
      <c r="T5059" t="s">
        <v>1041</v>
      </c>
      <c r="U5059" t="s">
        <v>114</v>
      </c>
    </row>
    <row r="5060" spans="1:21" x14ac:dyDescent="0.25">
      <c r="A5060" t="s">
        <v>70</v>
      </c>
      <c r="B5060" t="s">
        <v>834</v>
      </c>
      <c r="C5060">
        <v>10</v>
      </c>
      <c r="D5060" t="s">
        <v>19</v>
      </c>
      <c r="E5060" t="s">
        <v>95</v>
      </c>
      <c r="F5060" t="s">
        <v>111</v>
      </c>
      <c r="G5060" t="s">
        <v>121</v>
      </c>
      <c r="H5060" t="s">
        <v>235</v>
      </c>
      <c r="J5060">
        <v>0</v>
      </c>
      <c r="K5060">
        <v>1</v>
      </c>
      <c r="L5060">
        <v>94.97142857</v>
      </c>
      <c r="M5060">
        <v>24.31591813</v>
      </c>
      <c r="N5060">
        <v>0.122951111</v>
      </c>
      <c r="O5060">
        <v>0.39050790000000002</v>
      </c>
      <c r="P5060">
        <v>132.27272730000001</v>
      </c>
      <c r="Q5060">
        <v>20.180448590000001</v>
      </c>
      <c r="R5060">
        <v>3.7813451999999997E-2</v>
      </c>
      <c r="S5060">
        <v>0.41404401000000002</v>
      </c>
      <c r="T5060" t="s">
        <v>1041</v>
      </c>
      <c r="U5060">
        <v>2.3536109999999999E-2</v>
      </c>
    </row>
    <row r="5061" spans="1:21" x14ac:dyDescent="0.25">
      <c r="A5061" t="s">
        <v>71</v>
      </c>
      <c r="B5061" t="s">
        <v>835</v>
      </c>
      <c r="C5061">
        <v>10</v>
      </c>
      <c r="D5061" t="s">
        <v>21</v>
      </c>
      <c r="E5061" t="s">
        <v>94</v>
      </c>
      <c r="F5061" t="s">
        <v>102</v>
      </c>
      <c r="G5061" t="s">
        <v>121</v>
      </c>
      <c r="H5061" t="s">
        <v>114</v>
      </c>
      <c r="J5061">
        <v>0</v>
      </c>
      <c r="K5061" t="s">
        <v>114</v>
      </c>
      <c r="L5061">
        <v>84.740740740000007</v>
      </c>
      <c r="M5061">
        <v>29.167014049999999</v>
      </c>
      <c r="N5061">
        <v>1.1169849999999999</v>
      </c>
      <c r="O5061">
        <v>1.1571499000000001</v>
      </c>
      <c r="P5061" t="s">
        <v>114</v>
      </c>
      <c r="Q5061" t="s">
        <v>114</v>
      </c>
      <c r="R5061" t="s">
        <v>114</v>
      </c>
      <c r="S5061" t="s">
        <v>114</v>
      </c>
      <c r="T5061" t="s">
        <v>1041</v>
      </c>
      <c r="U5061" t="s">
        <v>114</v>
      </c>
    </row>
    <row r="5062" spans="1:21" x14ac:dyDescent="0.25">
      <c r="A5062" t="s">
        <v>71</v>
      </c>
      <c r="B5062" t="s">
        <v>836</v>
      </c>
      <c r="C5062">
        <v>10</v>
      </c>
      <c r="D5062" t="s">
        <v>21</v>
      </c>
      <c r="E5062" t="s">
        <v>94</v>
      </c>
      <c r="F5062" t="s">
        <v>111</v>
      </c>
      <c r="G5062" t="s">
        <v>111</v>
      </c>
      <c r="H5062" t="s">
        <v>111</v>
      </c>
      <c r="J5062">
        <v>0</v>
      </c>
      <c r="K5062">
        <v>1</v>
      </c>
      <c r="L5062">
        <v>94.97142857</v>
      </c>
      <c r="M5062">
        <v>24.31591813</v>
      </c>
      <c r="N5062">
        <v>0.122951111</v>
      </c>
      <c r="O5062">
        <v>0.39050790000000002</v>
      </c>
      <c r="P5062">
        <v>94.97142857</v>
      </c>
      <c r="Q5062">
        <v>24.31591813</v>
      </c>
      <c r="R5062">
        <v>0.122951111</v>
      </c>
      <c r="S5062">
        <v>0.39050790000000002</v>
      </c>
      <c r="T5062" t="s">
        <v>1041</v>
      </c>
      <c r="U5062">
        <v>0</v>
      </c>
    </row>
    <row r="5063" spans="1:21" x14ac:dyDescent="0.25">
      <c r="A5063" t="s">
        <v>71</v>
      </c>
      <c r="B5063" t="s">
        <v>836</v>
      </c>
      <c r="C5063">
        <v>10</v>
      </c>
      <c r="D5063" t="s">
        <v>21</v>
      </c>
      <c r="E5063" t="s">
        <v>94</v>
      </c>
      <c r="F5063" t="s">
        <v>111</v>
      </c>
      <c r="G5063" t="s">
        <v>111</v>
      </c>
      <c r="H5063" t="s">
        <v>250</v>
      </c>
      <c r="J5063">
        <v>0</v>
      </c>
      <c r="K5063">
        <v>1</v>
      </c>
      <c r="L5063">
        <v>94.97142857</v>
      </c>
      <c r="M5063">
        <v>24.31591813</v>
      </c>
      <c r="N5063">
        <v>0.122951111</v>
      </c>
      <c r="O5063">
        <v>0.39050790000000002</v>
      </c>
      <c r="P5063">
        <v>157.14285709999999</v>
      </c>
      <c r="Q5063">
        <v>28.969081320000001</v>
      </c>
      <c r="R5063">
        <v>0.55164111100000002</v>
      </c>
      <c r="S5063" t="s">
        <v>114</v>
      </c>
      <c r="T5063" t="s">
        <v>1041</v>
      </c>
      <c r="U5063" t="s">
        <v>114</v>
      </c>
    </row>
    <row r="5064" spans="1:21" x14ac:dyDescent="0.25">
      <c r="A5064" t="s">
        <v>71</v>
      </c>
      <c r="B5064" t="s">
        <v>837</v>
      </c>
      <c r="C5064">
        <v>10</v>
      </c>
      <c r="D5064" t="s">
        <v>21</v>
      </c>
      <c r="E5064" t="s">
        <v>94</v>
      </c>
      <c r="F5064" t="s">
        <v>104</v>
      </c>
      <c r="G5064" t="s">
        <v>104</v>
      </c>
      <c r="H5064" t="s">
        <v>104</v>
      </c>
      <c r="J5064">
        <v>0</v>
      </c>
      <c r="K5064">
        <v>1</v>
      </c>
      <c r="L5064">
        <v>113.9375</v>
      </c>
      <c r="M5064">
        <v>33.375507550000002</v>
      </c>
      <c r="N5064">
        <v>2.4262999999999999</v>
      </c>
      <c r="O5064">
        <v>0.40692159999999999</v>
      </c>
      <c r="P5064">
        <v>113.9375</v>
      </c>
      <c r="Q5064">
        <v>33.375507550000002</v>
      </c>
      <c r="R5064">
        <v>2.4262999999999999</v>
      </c>
      <c r="S5064">
        <v>0.40692159999999999</v>
      </c>
      <c r="T5064" t="s">
        <v>1041</v>
      </c>
      <c r="U5064">
        <v>0</v>
      </c>
    </row>
    <row r="5065" spans="1:21" x14ac:dyDescent="0.25">
      <c r="A5065" t="s">
        <v>72</v>
      </c>
      <c r="B5065" t="s">
        <v>838</v>
      </c>
      <c r="C5065">
        <v>10</v>
      </c>
      <c r="D5065" t="s">
        <v>23</v>
      </c>
      <c r="E5065" t="s">
        <v>95</v>
      </c>
      <c r="F5065" t="s">
        <v>105</v>
      </c>
      <c r="G5065" t="s">
        <v>121</v>
      </c>
      <c r="H5065" t="s">
        <v>238</v>
      </c>
      <c r="J5065">
        <v>0</v>
      </c>
      <c r="K5065">
        <v>1</v>
      </c>
      <c r="L5065">
        <v>67.5</v>
      </c>
      <c r="M5065">
        <v>47.937235809999997</v>
      </c>
      <c r="N5065">
        <v>0.41599678000000001</v>
      </c>
      <c r="O5065">
        <v>2.0950346999999998</v>
      </c>
      <c r="P5065">
        <v>87.5</v>
      </c>
      <c r="Q5065">
        <v>29.478311600000001</v>
      </c>
      <c r="R5065">
        <v>3.0797751000000002E-2</v>
      </c>
      <c r="S5065">
        <v>0.12931835</v>
      </c>
      <c r="T5065" t="s">
        <v>1041</v>
      </c>
      <c r="U5065">
        <v>1.9657163499999999</v>
      </c>
    </row>
    <row r="5066" spans="1:21" x14ac:dyDescent="0.25">
      <c r="A5066" t="s">
        <v>72</v>
      </c>
      <c r="B5066" t="s">
        <v>839</v>
      </c>
      <c r="C5066">
        <v>10</v>
      </c>
      <c r="D5066" t="s">
        <v>23</v>
      </c>
      <c r="E5066" t="s">
        <v>95</v>
      </c>
      <c r="F5066" t="s">
        <v>111</v>
      </c>
      <c r="G5066" t="s">
        <v>121</v>
      </c>
      <c r="H5066" t="s">
        <v>114</v>
      </c>
      <c r="J5066">
        <v>0</v>
      </c>
      <c r="K5066">
        <v>0</v>
      </c>
      <c r="L5066">
        <v>94.97142857</v>
      </c>
      <c r="M5066">
        <v>24.31591813</v>
      </c>
      <c r="N5066">
        <v>0.122951111</v>
      </c>
      <c r="O5066">
        <v>0.39050790000000002</v>
      </c>
      <c r="P5066" t="s">
        <v>114</v>
      </c>
      <c r="Q5066" t="s">
        <v>114</v>
      </c>
      <c r="R5066" t="s">
        <v>114</v>
      </c>
      <c r="S5066" t="s">
        <v>114</v>
      </c>
      <c r="T5066" t="s">
        <v>1041</v>
      </c>
      <c r="U5066" t="s">
        <v>114</v>
      </c>
    </row>
    <row r="5067" spans="1:21" x14ac:dyDescent="0.25">
      <c r="A5067" t="s">
        <v>72</v>
      </c>
      <c r="B5067" t="s">
        <v>840</v>
      </c>
      <c r="C5067">
        <v>10</v>
      </c>
      <c r="D5067" t="s">
        <v>23</v>
      </c>
      <c r="E5067" t="s">
        <v>95</v>
      </c>
      <c r="F5067" t="s">
        <v>104</v>
      </c>
      <c r="G5067" t="s">
        <v>104</v>
      </c>
      <c r="H5067" t="s">
        <v>104</v>
      </c>
      <c r="J5067">
        <v>0</v>
      </c>
      <c r="K5067">
        <v>1</v>
      </c>
      <c r="L5067">
        <v>113.9375</v>
      </c>
      <c r="M5067">
        <v>33.375507550000002</v>
      </c>
      <c r="N5067">
        <v>2.4262999999999999</v>
      </c>
      <c r="O5067">
        <v>0.40692159999999999</v>
      </c>
      <c r="P5067">
        <v>113.9375</v>
      </c>
      <c r="Q5067">
        <v>33.375507550000002</v>
      </c>
      <c r="R5067">
        <v>2.4262999999999999</v>
      </c>
      <c r="S5067">
        <v>0.40692159999999999</v>
      </c>
      <c r="T5067" t="s">
        <v>1041</v>
      </c>
      <c r="U5067">
        <v>0</v>
      </c>
    </row>
    <row r="5068" spans="1:21" x14ac:dyDescent="0.25">
      <c r="A5068" t="s">
        <v>72</v>
      </c>
      <c r="B5068" t="s">
        <v>840</v>
      </c>
      <c r="C5068">
        <v>10</v>
      </c>
      <c r="D5068" t="s">
        <v>23</v>
      </c>
      <c r="E5068" t="s">
        <v>95</v>
      </c>
      <c r="F5068" t="s">
        <v>104</v>
      </c>
      <c r="G5068" t="s">
        <v>104</v>
      </c>
      <c r="H5068" t="s">
        <v>244</v>
      </c>
      <c r="J5068">
        <v>0</v>
      </c>
      <c r="K5068">
        <v>1</v>
      </c>
      <c r="L5068">
        <v>113.9375</v>
      </c>
      <c r="M5068">
        <v>33.375507550000002</v>
      </c>
      <c r="N5068">
        <v>2.4262999999999999</v>
      </c>
      <c r="O5068">
        <v>0.40692159999999999</v>
      </c>
      <c r="P5068">
        <v>75</v>
      </c>
      <c r="Q5068">
        <v>28.80614499</v>
      </c>
      <c r="R5068">
        <v>2.3860428570000001</v>
      </c>
      <c r="S5068">
        <v>0.26400832000000002</v>
      </c>
      <c r="T5068" t="s">
        <v>1041</v>
      </c>
      <c r="U5068">
        <v>0.14291327999999998</v>
      </c>
    </row>
    <row r="5069" spans="1:21" x14ac:dyDescent="0.25">
      <c r="A5069" t="s">
        <v>72</v>
      </c>
      <c r="B5069" t="s">
        <v>841</v>
      </c>
      <c r="C5069">
        <v>10</v>
      </c>
      <c r="D5069" t="s">
        <v>23</v>
      </c>
      <c r="E5069" t="s">
        <v>95</v>
      </c>
      <c r="F5069" t="s">
        <v>112</v>
      </c>
      <c r="G5069" t="s">
        <v>121</v>
      </c>
      <c r="H5069" t="s">
        <v>238</v>
      </c>
      <c r="J5069">
        <v>0</v>
      </c>
      <c r="K5069">
        <v>1</v>
      </c>
      <c r="L5069">
        <v>65.09375</v>
      </c>
      <c r="M5069">
        <v>37.895352600000002</v>
      </c>
      <c r="N5069">
        <v>2.2882677779999998</v>
      </c>
      <c r="O5069">
        <v>2.2111774</v>
      </c>
      <c r="P5069">
        <v>87.5</v>
      </c>
      <c r="Q5069">
        <v>29.478311600000001</v>
      </c>
      <c r="R5069">
        <v>3.0797751000000002E-2</v>
      </c>
      <c r="S5069">
        <v>0.12931835</v>
      </c>
      <c r="T5069" t="s">
        <v>1041</v>
      </c>
      <c r="U5069">
        <v>2.0818590499999998</v>
      </c>
    </row>
    <row r="5070" spans="1:21" x14ac:dyDescent="0.25">
      <c r="A5070" t="s">
        <v>73</v>
      </c>
      <c r="B5070" t="s">
        <v>842</v>
      </c>
      <c r="C5070">
        <v>10</v>
      </c>
      <c r="D5070" t="s">
        <v>25</v>
      </c>
      <c r="E5070" t="s">
        <v>94</v>
      </c>
      <c r="F5070" t="s">
        <v>105</v>
      </c>
      <c r="G5070" t="s">
        <v>112</v>
      </c>
      <c r="H5070" t="s">
        <v>112</v>
      </c>
      <c r="J5070">
        <v>0</v>
      </c>
      <c r="K5070">
        <v>1</v>
      </c>
      <c r="L5070">
        <v>67.5</v>
      </c>
      <c r="M5070">
        <v>47.937235809999997</v>
      </c>
      <c r="N5070">
        <v>0.41599678000000001</v>
      </c>
      <c r="O5070">
        <v>2.0950346999999998</v>
      </c>
      <c r="P5070">
        <v>65.09375</v>
      </c>
      <c r="Q5070">
        <v>37.895352600000002</v>
      </c>
      <c r="R5070">
        <v>2.2882677779999998</v>
      </c>
      <c r="S5070">
        <v>2.2111774</v>
      </c>
      <c r="T5070" t="s">
        <v>1041</v>
      </c>
      <c r="U5070">
        <v>0.11614270000000015</v>
      </c>
    </row>
    <row r="5071" spans="1:21" x14ac:dyDescent="0.25">
      <c r="A5071" t="s">
        <v>73</v>
      </c>
      <c r="B5071" t="s">
        <v>843</v>
      </c>
      <c r="C5071">
        <v>10</v>
      </c>
      <c r="D5071" t="s">
        <v>25</v>
      </c>
      <c r="E5071" t="s">
        <v>94</v>
      </c>
      <c r="F5071" t="s">
        <v>110</v>
      </c>
      <c r="G5071" t="s">
        <v>110</v>
      </c>
      <c r="H5071" t="s">
        <v>110</v>
      </c>
      <c r="J5071">
        <v>0</v>
      </c>
      <c r="K5071">
        <v>3</v>
      </c>
      <c r="L5071">
        <v>73.260869569999997</v>
      </c>
      <c r="M5071">
        <v>34.453830549999999</v>
      </c>
      <c r="N5071">
        <v>1.058333333</v>
      </c>
      <c r="O5071">
        <v>0.90897070000000002</v>
      </c>
      <c r="P5071">
        <v>73.260869569999997</v>
      </c>
      <c r="Q5071">
        <v>34.453830549999999</v>
      </c>
      <c r="R5071">
        <v>1.058333333</v>
      </c>
      <c r="S5071">
        <v>0.90897070000000002</v>
      </c>
      <c r="T5071" t="s">
        <v>1041</v>
      </c>
      <c r="U5071">
        <v>0</v>
      </c>
    </row>
    <row r="5072" spans="1:21" x14ac:dyDescent="0.25">
      <c r="A5072" t="s">
        <v>73</v>
      </c>
      <c r="B5072" t="s">
        <v>843</v>
      </c>
      <c r="C5072">
        <v>10</v>
      </c>
      <c r="D5072" t="s">
        <v>25</v>
      </c>
      <c r="E5072" t="s">
        <v>94</v>
      </c>
      <c r="F5072" t="s">
        <v>110</v>
      </c>
      <c r="G5072" t="s">
        <v>110</v>
      </c>
      <c r="H5072" t="s">
        <v>110</v>
      </c>
      <c r="J5072">
        <v>0</v>
      </c>
      <c r="K5072">
        <v>3</v>
      </c>
      <c r="L5072">
        <v>73.260869569999997</v>
      </c>
      <c r="M5072">
        <v>34.453830549999999</v>
      </c>
      <c r="N5072">
        <v>1.058333333</v>
      </c>
      <c r="O5072">
        <v>0.90897070000000002</v>
      </c>
      <c r="P5072">
        <v>73.260869569999997</v>
      </c>
      <c r="Q5072">
        <v>34.453830549999999</v>
      </c>
      <c r="R5072">
        <v>1.058333333</v>
      </c>
      <c r="S5072">
        <v>0.90897070000000002</v>
      </c>
      <c r="T5072" t="s">
        <v>1041</v>
      </c>
      <c r="U5072">
        <v>0</v>
      </c>
    </row>
    <row r="5073" spans="1:21" x14ac:dyDescent="0.25">
      <c r="A5073" t="s">
        <v>73</v>
      </c>
      <c r="B5073" t="s">
        <v>843</v>
      </c>
      <c r="C5073">
        <v>10</v>
      </c>
      <c r="D5073" t="s">
        <v>25</v>
      </c>
      <c r="E5073" t="s">
        <v>94</v>
      </c>
      <c r="F5073" t="s">
        <v>110</v>
      </c>
      <c r="G5073" t="s">
        <v>110</v>
      </c>
      <c r="H5073" t="s">
        <v>110</v>
      </c>
      <c r="J5073">
        <v>0</v>
      </c>
      <c r="K5073">
        <v>3</v>
      </c>
      <c r="L5073">
        <v>73.260869569999997</v>
      </c>
      <c r="M5073">
        <v>34.453830549999999</v>
      </c>
      <c r="N5073">
        <v>1.058333333</v>
      </c>
      <c r="O5073">
        <v>0.90897070000000002</v>
      </c>
      <c r="P5073">
        <v>73.260869569999997</v>
      </c>
      <c r="Q5073">
        <v>34.453830549999999</v>
      </c>
      <c r="R5073">
        <v>1.058333333</v>
      </c>
      <c r="S5073">
        <v>0.90897070000000002</v>
      </c>
      <c r="T5073" t="s">
        <v>1041</v>
      </c>
      <c r="U5073">
        <v>0</v>
      </c>
    </row>
    <row r="5074" spans="1:21" x14ac:dyDescent="0.25">
      <c r="A5074" t="s">
        <v>73</v>
      </c>
      <c r="B5074" t="s">
        <v>843</v>
      </c>
      <c r="C5074">
        <v>10</v>
      </c>
      <c r="D5074" t="s">
        <v>25</v>
      </c>
      <c r="E5074" t="s">
        <v>94</v>
      </c>
      <c r="F5074" t="s">
        <v>110</v>
      </c>
      <c r="G5074" t="s">
        <v>110</v>
      </c>
      <c r="H5074" t="s">
        <v>251</v>
      </c>
      <c r="J5074">
        <v>0</v>
      </c>
      <c r="K5074">
        <v>1</v>
      </c>
      <c r="L5074">
        <v>73.260869569999997</v>
      </c>
      <c r="M5074">
        <v>34.453830549999999</v>
      </c>
      <c r="N5074">
        <v>1.058333333</v>
      </c>
      <c r="O5074">
        <v>0.90897070000000002</v>
      </c>
      <c r="P5074">
        <v>85</v>
      </c>
      <c r="Q5074">
        <v>37.099157669999997</v>
      </c>
      <c r="R5074">
        <v>0.65291888899999995</v>
      </c>
      <c r="S5074" t="s">
        <v>114</v>
      </c>
      <c r="T5074" t="s">
        <v>1041</v>
      </c>
      <c r="U5074" t="s">
        <v>114</v>
      </c>
    </row>
    <row r="5075" spans="1:21" x14ac:dyDescent="0.25">
      <c r="A5075" t="s">
        <v>73</v>
      </c>
      <c r="B5075" t="s">
        <v>843</v>
      </c>
      <c r="C5075">
        <v>10</v>
      </c>
      <c r="D5075" t="s">
        <v>25</v>
      </c>
      <c r="E5075" t="s">
        <v>94</v>
      </c>
      <c r="F5075" t="s">
        <v>110</v>
      </c>
      <c r="G5075" t="s">
        <v>110</v>
      </c>
      <c r="H5075" t="s">
        <v>246</v>
      </c>
      <c r="J5075">
        <v>0</v>
      </c>
      <c r="K5075">
        <v>1</v>
      </c>
      <c r="L5075">
        <v>73.260869569999997</v>
      </c>
      <c r="M5075">
        <v>34.453830549999999</v>
      </c>
      <c r="N5075">
        <v>1.058333333</v>
      </c>
      <c r="O5075">
        <v>0.90897070000000002</v>
      </c>
      <c r="P5075">
        <v>120.25</v>
      </c>
      <c r="Q5075">
        <v>30.670450110000001</v>
      </c>
      <c r="R5075">
        <v>0.91037498500000003</v>
      </c>
      <c r="S5075" t="s">
        <v>114</v>
      </c>
      <c r="T5075" t="s">
        <v>1041</v>
      </c>
      <c r="U5075" t="s">
        <v>114</v>
      </c>
    </row>
    <row r="5076" spans="1:21" x14ac:dyDescent="0.25">
      <c r="A5076" t="s">
        <v>73</v>
      </c>
      <c r="B5076" t="s">
        <v>844</v>
      </c>
      <c r="C5076">
        <v>10</v>
      </c>
      <c r="D5076" t="s">
        <v>25</v>
      </c>
      <c r="E5076" t="s">
        <v>94</v>
      </c>
      <c r="F5076" t="s">
        <v>104</v>
      </c>
      <c r="G5076" t="s">
        <v>104</v>
      </c>
      <c r="H5076" t="s">
        <v>104</v>
      </c>
      <c r="J5076">
        <v>0</v>
      </c>
      <c r="K5076">
        <v>1</v>
      </c>
      <c r="L5076">
        <v>113.9375</v>
      </c>
      <c r="M5076">
        <v>33.375507550000002</v>
      </c>
      <c r="N5076">
        <v>2.4262999999999999</v>
      </c>
      <c r="O5076">
        <v>0.40692159999999999</v>
      </c>
      <c r="P5076">
        <v>113.9375</v>
      </c>
      <c r="Q5076">
        <v>33.375507550000002</v>
      </c>
      <c r="R5076">
        <v>2.4262999999999999</v>
      </c>
      <c r="S5076">
        <v>0.40692159999999999</v>
      </c>
      <c r="T5076" t="s">
        <v>1041</v>
      </c>
      <c r="U5076">
        <v>0</v>
      </c>
    </row>
    <row r="5077" spans="1:21" x14ac:dyDescent="0.25">
      <c r="A5077" t="s">
        <v>73</v>
      </c>
      <c r="B5077" t="s">
        <v>845</v>
      </c>
      <c r="C5077">
        <v>10</v>
      </c>
      <c r="D5077" t="s">
        <v>25</v>
      </c>
      <c r="E5077" t="s">
        <v>94</v>
      </c>
      <c r="F5077" t="s">
        <v>112</v>
      </c>
      <c r="G5077" t="s">
        <v>121</v>
      </c>
      <c r="H5077" t="s">
        <v>114</v>
      </c>
      <c r="J5077">
        <v>0</v>
      </c>
      <c r="K5077" t="s">
        <v>114</v>
      </c>
      <c r="L5077">
        <v>65.09375</v>
      </c>
      <c r="M5077">
        <v>37.895352600000002</v>
      </c>
      <c r="N5077">
        <v>2.2882677779999998</v>
      </c>
      <c r="O5077">
        <v>2.2111774</v>
      </c>
      <c r="P5077" t="s">
        <v>114</v>
      </c>
      <c r="Q5077" t="s">
        <v>114</v>
      </c>
      <c r="R5077" t="s">
        <v>114</v>
      </c>
      <c r="S5077" t="s">
        <v>114</v>
      </c>
      <c r="T5077" t="s">
        <v>1041</v>
      </c>
      <c r="U5077" t="s">
        <v>114</v>
      </c>
    </row>
    <row r="5078" spans="1:21" x14ac:dyDescent="0.25">
      <c r="A5078" t="s">
        <v>74</v>
      </c>
      <c r="B5078" t="s">
        <v>846</v>
      </c>
      <c r="C5078">
        <v>10</v>
      </c>
      <c r="D5078" t="s">
        <v>27</v>
      </c>
      <c r="E5078" t="s">
        <v>95</v>
      </c>
      <c r="F5078" t="s">
        <v>102</v>
      </c>
      <c r="G5078" t="s">
        <v>113</v>
      </c>
      <c r="H5078" t="s">
        <v>113</v>
      </c>
      <c r="J5078">
        <v>0</v>
      </c>
      <c r="K5078">
        <v>3</v>
      </c>
      <c r="L5078">
        <v>84.740740740000007</v>
      </c>
      <c r="M5078">
        <v>29.167014049999999</v>
      </c>
      <c r="N5078">
        <v>1.1169849999999999</v>
      </c>
      <c r="O5078">
        <v>1.1571499000000001</v>
      </c>
      <c r="P5078">
        <v>83.757575759999995</v>
      </c>
      <c r="Q5078">
        <v>22.60997987</v>
      </c>
      <c r="R5078">
        <v>0.72884000000000004</v>
      </c>
      <c r="S5078">
        <v>0.21301339999999999</v>
      </c>
      <c r="T5078" t="s">
        <v>1041</v>
      </c>
      <c r="U5078">
        <v>0.94413650000000005</v>
      </c>
    </row>
    <row r="5079" spans="1:21" x14ac:dyDescent="0.25">
      <c r="A5079" t="s">
        <v>74</v>
      </c>
      <c r="B5079" t="s">
        <v>846</v>
      </c>
      <c r="C5079">
        <v>10</v>
      </c>
      <c r="D5079" t="s">
        <v>27</v>
      </c>
      <c r="E5079" t="s">
        <v>95</v>
      </c>
      <c r="F5079" t="s">
        <v>102</v>
      </c>
      <c r="G5079" t="s">
        <v>113</v>
      </c>
      <c r="H5079" t="s">
        <v>113</v>
      </c>
      <c r="J5079">
        <v>0</v>
      </c>
      <c r="K5079">
        <v>3</v>
      </c>
      <c r="L5079">
        <v>84.740740740000007</v>
      </c>
      <c r="M5079">
        <v>29.167014049999999</v>
      </c>
      <c r="N5079">
        <v>1.1169849999999999</v>
      </c>
      <c r="O5079">
        <v>1.1571499000000001</v>
      </c>
      <c r="P5079">
        <v>83.757575759999995</v>
      </c>
      <c r="Q5079">
        <v>22.60997987</v>
      </c>
      <c r="R5079">
        <v>0.72884000000000004</v>
      </c>
      <c r="S5079">
        <v>0.21301339999999999</v>
      </c>
      <c r="T5079" t="s">
        <v>1041</v>
      </c>
      <c r="U5079">
        <v>0.94413650000000005</v>
      </c>
    </row>
    <row r="5080" spans="1:21" x14ac:dyDescent="0.25">
      <c r="A5080" t="s">
        <v>74</v>
      </c>
      <c r="B5080" t="s">
        <v>846</v>
      </c>
      <c r="C5080">
        <v>10</v>
      </c>
      <c r="D5080" t="s">
        <v>27</v>
      </c>
      <c r="E5080" t="s">
        <v>95</v>
      </c>
      <c r="F5080" t="s">
        <v>102</v>
      </c>
      <c r="G5080" t="s">
        <v>113</v>
      </c>
      <c r="H5080" t="s">
        <v>113</v>
      </c>
      <c r="J5080">
        <v>0</v>
      </c>
      <c r="K5080">
        <v>3</v>
      </c>
      <c r="L5080">
        <v>84.740740740000007</v>
      </c>
      <c r="M5080">
        <v>29.167014049999999</v>
      </c>
      <c r="N5080">
        <v>1.1169849999999999</v>
      </c>
      <c r="O5080">
        <v>1.1571499000000001</v>
      </c>
      <c r="P5080">
        <v>83.757575759999995</v>
      </c>
      <c r="Q5080">
        <v>22.60997987</v>
      </c>
      <c r="R5080">
        <v>0.72884000000000004</v>
      </c>
      <c r="S5080">
        <v>0.21301339999999999</v>
      </c>
      <c r="T5080" t="s">
        <v>1041</v>
      </c>
      <c r="U5080">
        <v>0.94413650000000005</v>
      </c>
    </row>
    <row r="5081" spans="1:21" x14ac:dyDescent="0.25">
      <c r="A5081" t="s">
        <v>74</v>
      </c>
      <c r="B5081" t="s">
        <v>846</v>
      </c>
      <c r="C5081">
        <v>10</v>
      </c>
      <c r="D5081" t="s">
        <v>27</v>
      </c>
      <c r="E5081" t="s">
        <v>95</v>
      </c>
      <c r="F5081" t="s">
        <v>102</v>
      </c>
      <c r="G5081" t="s">
        <v>113</v>
      </c>
      <c r="H5081" t="s">
        <v>103</v>
      </c>
      <c r="J5081">
        <v>0</v>
      </c>
      <c r="K5081">
        <v>1</v>
      </c>
      <c r="L5081">
        <v>84.740740740000007</v>
      </c>
      <c r="M5081">
        <v>29.167014049999999</v>
      </c>
      <c r="N5081">
        <v>1.1169849999999999</v>
      </c>
      <c r="O5081">
        <v>1.1571499000000001</v>
      </c>
      <c r="P5081">
        <v>98.291666669999998</v>
      </c>
      <c r="Q5081">
        <v>30.315130790000001</v>
      </c>
      <c r="R5081">
        <v>5.0803484000000003E-2</v>
      </c>
      <c r="S5081">
        <v>0.42866070000000001</v>
      </c>
      <c r="T5081" t="s">
        <v>1041</v>
      </c>
      <c r="U5081">
        <v>0.72848920000000006</v>
      </c>
    </row>
    <row r="5082" spans="1:21" x14ac:dyDescent="0.25">
      <c r="A5082" t="s">
        <v>74</v>
      </c>
      <c r="B5082" t="s">
        <v>847</v>
      </c>
      <c r="C5082">
        <v>10</v>
      </c>
      <c r="D5082" t="s">
        <v>27</v>
      </c>
      <c r="E5082" t="s">
        <v>95</v>
      </c>
      <c r="F5082" t="s">
        <v>113</v>
      </c>
      <c r="G5082" t="s">
        <v>113</v>
      </c>
      <c r="H5082" t="s">
        <v>113</v>
      </c>
      <c r="J5082">
        <v>0</v>
      </c>
      <c r="K5082">
        <v>1</v>
      </c>
      <c r="L5082">
        <v>83.757575759999995</v>
      </c>
      <c r="M5082">
        <v>22.60997987</v>
      </c>
      <c r="N5082">
        <v>0.72884000000000004</v>
      </c>
      <c r="O5082">
        <v>0.21301339999999999</v>
      </c>
      <c r="P5082">
        <v>83.757575759999995</v>
      </c>
      <c r="Q5082">
        <v>22.60997987</v>
      </c>
      <c r="R5082">
        <v>0.72884000000000004</v>
      </c>
      <c r="S5082">
        <v>0.21301339999999999</v>
      </c>
      <c r="T5082" t="s">
        <v>1041</v>
      </c>
      <c r="U5082">
        <v>0</v>
      </c>
    </row>
    <row r="5083" spans="1:21" x14ac:dyDescent="0.25">
      <c r="A5083" t="s">
        <v>74</v>
      </c>
      <c r="B5083" t="s">
        <v>847</v>
      </c>
      <c r="C5083">
        <v>10</v>
      </c>
      <c r="D5083" t="s">
        <v>27</v>
      </c>
      <c r="E5083" t="s">
        <v>95</v>
      </c>
      <c r="F5083" t="s">
        <v>113</v>
      </c>
      <c r="G5083" t="s">
        <v>113</v>
      </c>
      <c r="H5083" t="s">
        <v>248</v>
      </c>
      <c r="J5083">
        <v>0</v>
      </c>
      <c r="K5083">
        <v>2</v>
      </c>
      <c r="L5083">
        <v>83.757575759999995</v>
      </c>
      <c r="M5083">
        <v>22.60997987</v>
      </c>
      <c r="N5083">
        <v>0.72884000000000004</v>
      </c>
      <c r="O5083">
        <v>0.21301339999999999</v>
      </c>
      <c r="P5083">
        <v>83.92307692</v>
      </c>
      <c r="Q5083">
        <v>44.319135699999997</v>
      </c>
      <c r="R5083">
        <v>5.9548609999999997E-3</v>
      </c>
      <c r="S5083">
        <v>0.18017928</v>
      </c>
      <c r="T5083" t="s">
        <v>1041</v>
      </c>
      <c r="U5083">
        <v>3.2834119999999994E-2</v>
      </c>
    </row>
    <row r="5084" spans="1:21" x14ac:dyDescent="0.25">
      <c r="A5084" t="s">
        <v>74</v>
      </c>
      <c r="B5084" t="s">
        <v>847</v>
      </c>
      <c r="C5084">
        <v>10</v>
      </c>
      <c r="D5084" t="s">
        <v>27</v>
      </c>
      <c r="E5084" t="s">
        <v>95</v>
      </c>
      <c r="F5084" t="s">
        <v>113</v>
      </c>
      <c r="G5084" t="s">
        <v>113</v>
      </c>
      <c r="H5084" t="s">
        <v>248</v>
      </c>
      <c r="J5084">
        <v>0</v>
      </c>
      <c r="K5084">
        <v>2</v>
      </c>
      <c r="L5084">
        <v>83.757575759999995</v>
      </c>
      <c r="M5084">
        <v>22.60997987</v>
      </c>
      <c r="N5084">
        <v>0.72884000000000004</v>
      </c>
      <c r="O5084">
        <v>0.21301339999999999</v>
      </c>
      <c r="P5084">
        <v>83.92307692</v>
      </c>
      <c r="Q5084">
        <v>44.319135699999997</v>
      </c>
      <c r="R5084">
        <v>5.9548609999999997E-3</v>
      </c>
      <c r="S5084">
        <v>0.18017928</v>
      </c>
      <c r="T5084" t="s">
        <v>1041</v>
      </c>
      <c r="U5084">
        <v>3.2834119999999994E-2</v>
      </c>
    </row>
    <row r="5085" spans="1:21" x14ac:dyDescent="0.25">
      <c r="A5085" t="s">
        <v>74</v>
      </c>
      <c r="B5085" t="s">
        <v>848</v>
      </c>
      <c r="C5085">
        <v>10</v>
      </c>
      <c r="D5085" t="s">
        <v>27</v>
      </c>
      <c r="E5085" t="s">
        <v>95</v>
      </c>
      <c r="F5085" t="s">
        <v>103</v>
      </c>
      <c r="G5085" t="s">
        <v>113</v>
      </c>
      <c r="H5085" t="s">
        <v>113</v>
      </c>
      <c r="J5085">
        <v>0</v>
      </c>
      <c r="K5085">
        <v>1</v>
      </c>
      <c r="L5085">
        <v>98.291666669999998</v>
      </c>
      <c r="M5085">
        <v>30.315130790000001</v>
      </c>
      <c r="N5085">
        <v>5.0803484000000003E-2</v>
      </c>
      <c r="O5085">
        <v>0.42866070000000001</v>
      </c>
      <c r="P5085">
        <v>83.757575759999995</v>
      </c>
      <c r="Q5085">
        <v>22.60997987</v>
      </c>
      <c r="R5085">
        <v>0.72884000000000004</v>
      </c>
      <c r="S5085">
        <v>0.21301339999999999</v>
      </c>
      <c r="T5085" t="s">
        <v>1041</v>
      </c>
      <c r="U5085">
        <v>0.21564730000000001</v>
      </c>
    </row>
    <row r="5086" spans="1:21" x14ac:dyDescent="0.25">
      <c r="A5086" t="s">
        <v>75</v>
      </c>
      <c r="B5086" t="s">
        <v>849</v>
      </c>
      <c r="C5086">
        <v>10</v>
      </c>
      <c r="D5086" t="s">
        <v>29</v>
      </c>
      <c r="E5086" t="s">
        <v>94</v>
      </c>
      <c r="F5086" t="s">
        <v>105</v>
      </c>
      <c r="G5086" t="s">
        <v>121</v>
      </c>
      <c r="H5086" t="s">
        <v>251</v>
      </c>
      <c r="J5086">
        <v>0</v>
      </c>
      <c r="K5086">
        <v>1</v>
      </c>
      <c r="L5086">
        <v>67.5</v>
      </c>
      <c r="M5086">
        <v>47.937235809999997</v>
      </c>
      <c r="N5086">
        <v>0.41599678000000001</v>
      </c>
      <c r="O5086">
        <v>2.0950346999999998</v>
      </c>
      <c r="P5086">
        <v>85</v>
      </c>
      <c r="Q5086">
        <v>37.099157669999997</v>
      </c>
      <c r="R5086">
        <v>0.65291888899999995</v>
      </c>
      <c r="S5086" t="s">
        <v>114</v>
      </c>
      <c r="T5086" t="s">
        <v>1041</v>
      </c>
      <c r="U5086" t="s">
        <v>114</v>
      </c>
    </row>
    <row r="5087" spans="1:21" x14ac:dyDescent="0.25">
      <c r="A5087" t="s">
        <v>75</v>
      </c>
      <c r="B5087" t="s">
        <v>849</v>
      </c>
      <c r="C5087">
        <v>10</v>
      </c>
      <c r="D5087" t="s">
        <v>29</v>
      </c>
      <c r="E5087" t="s">
        <v>94</v>
      </c>
      <c r="F5087" t="s">
        <v>105</v>
      </c>
      <c r="G5087" t="s">
        <v>121</v>
      </c>
      <c r="H5087" t="s">
        <v>244</v>
      </c>
      <c r="J5087">
        <v>0</v>
      </c>
      <c r="K5087">
        <v>1</v>
      </c>
      <c r="L5087">
        <v>67.5</v>
      </c>
      <c r="M5087">
        <v>47.937235809999997</v>
      </c>
      <c r="N5087">
        <v>0.41599678000000001</v>
      </c>
      <c r="O5087">
        <v>2.0950346999999998</v>
      </c>
      <c r="P5087">
        <v>75</v>
      </c>
      <c r="Q5087">
        <v>28.80614499</v>
      </c>
      <c r="R5087">
        <v>2.3860428570000001</v>
      </c>
      <c r="S5087">
        <v>0.26400832000000002</v>
      </c>
      <c r="T5087" t="s">
        <v>1041</v>
      </c>
      <c r="U5087">
        <v>1.8310263799999997</v>
      </c>
    </row>
    <row r="5088" spans="1:21" x14ac:dyDescent="0.25">
      <c r="A5088" t="s">
        <v>75</v>
      </c>
      <c r="B5088" t="s">
        <v>850</v>
      </c>
      <c r="C5088">
        <v>10</v>
      </c>
      <c r="D5088" t="s">
        <v>29</v>
      </c>
      <c r="E5088" t="s">
        <v>94</v>
      </c>
      <c r="F5088" t="s">
        <v>110</v>
      </c>
      <c r="G5088" t="s">
        <v>104</v>
      </c>
      <c r="H5088" t="s">
        <v>104</v>
      </c>
      <c r="J5088">
        <v>0</v>
      </c>
      <c r="K5088">
        <v>2</v>
      </c>
      <c r="L5088">
        <v>73.260869569999997</v>
      </c>
      <c r="M5088">
        <v>34.453830549999999</v>
      </c>
      <c r="N5088">
        <v>1.058333333</v>
      </c>
      <c r="O5088">
        <v>0.90897070000000002</v>
      </c>
      <c r="P5088">
        <v>113.9375</v>
      </c>
      <c r="Q5088">
        <v>33.375507550000002</v>
      </c>
      <c r="R5088">
        <v>2.4262999999999999</v>
      </c>
      <c r="S5088">
        <v>0.40692159999999999</v>
      </c>
      <c r="T5088" t="s">
        <v>1041</v>
      </c>
      <c r="U5088">
        <v>0.50204910000000003</v>
      </c>
    </row>
    <row r="5089" spans="1:21" x14ac:dyDescent="0.25">
      <c r="A5089" t="s">
        <v>75</v>
      </c>
      <c r="B5089" t="s">
        <v>850</v>
      </c>
      <c r="C5089">
        <v>10</v>
      </c>
      <c r="D5089" t="s">
        <v>29</v>
      </c>
      <c r="E5089" t="s">
        <v>94</v>
      </c>
      <c r="F5089" t="s">
        <v>110</v>
      </c>
      <c r="G5089" t="s">
        <v>104</v>
      </c>
      <c r="H5089" t="s">
        <v>104</v>
      </c>
      <c r="J5089">
        <v>0</v>
      </c>
      <c r="K5089">
        <v>2</v>
      </c>
      <c r="L5089">
        <v>73.260869569999997</v>
      </c>
      <c r="M5089">
        <v>34.453830549999999</v>
      </c>
      <c r="N5089">
        <v>1.058333333</v>
      </c>
      <c r="O5089">
        <v>0.90897070000000002</v>
      </c>
      <c r="P5089">
        <v>113.9375</v>
      </c>
      <c r="Q5089">
        <v>33.375507550000002</v>
      </c>
      <c r="R5089">
        <v>2.4262999999999999</v>
      </c>
      <c r="S5089">
        <v>0.40692159999999999</v>
      </c>
      <c r="T5089" t="s">
        <v>1041</v>
      </c>
      <c r="U5089">
        <v>0.50204910000000003</v>
      </c>
    </row>
    <row r="5090" spans="1:21" x14ac:dyDescent="0.25">
      <c r="A5090" t="s">
        <v>75</v>
      </c>
      <c r="B5090" t="s">
        <v>851</v>
      </c>
      <c r="C5090">
        <v>10</v>
      </c>
      <c r="D5090" t="s">
        <v>29</v>
      </c>
      <c r="E5090" t="s">
        <v>94</v>
      </c>
      <c r="F5090" t="s">
        <v>103</v>
      </c>
      <c r="G5090" t="s">
        <v>121</v>
      </c>
      <c r="H5090" t="s">
        <v>251</v>
      </c>
      <c r="J5090">
        <v>0</v>
      </c>
      <c r="K5090">
        <v>1</v>
      </c>
      <c r="L5090">
        <v>98.291666669999998</v>
      </c>
      <c r="M5090">
        <v>30.315130790000001</v>
      </c>
      <c r="N5090">
        <v>5.0803484000000003E-2</v>
      </c>
      <c r="O5090">
        <v>0.42866070000000001</v>
      </c>
      <c r="P5090">
        <v>85</v>
      </c>
      <c r="Q5090">
        <v>37.099157669999997</v>
      </c>
      <c r="R5090">
        <v>0.65291888899999995</v>
      </c>
      <c r="S5090" t="s">
        <v>114</v>
      </c>
      <c r="T5090" t="s">
        <v>1041</v>
      </c>
      <c r="U5090" t="s">
        <v>114</v>
      </c>
    </row>
    <row r="5091" spans="1:21" x14ac:dyDescent="0.25">
      <c r="A5091" t="s">
        <v>75</v>
      </c>
      <c r="B5091" t="s">
        <v>851</v>
      </c>
      <c r="C5091">
        <v>10</v>
      </c>
      <c r="D5091" t="s">
        <v>29</v>
      </c>
      <c r="E5091" t="s">
        <v>94</v>
      </c>
      <c r="F5091" t="s">
        <v>103</v>
      </c>
      <c r="G5091" t="s">
        <v>121</v>
      </c>
      <c r="H5091" t="s">
        <v>233</v>
      </c>
      <c r="J5091">
        <v>0</v>
      </c>
      <c r="K5091">
        <v>1</v>
      </c>
      <c r="L5091">
        <v>98.291666669999998</v>
      </c>
      <c r="M5091">
        <v>30.315130790000001</v>
      </c>
      <c r="N5091">
        <v>5.0803484000000003E-2</v>
      </c>
      <c r="O5091">
        <v>0.42866070000000001</v>
      </c>
      <c r="P5091">
        <v>106.0540541</v>
      </c>
      <c r="Q5091">
        <v>52.690533369999997</v>
      </c>
      <c r="R5091">
        <v>7.6058968000000005E-2</v>
      </c>
      <c r="S5091">
        <v>0.44888888999999998</v>
      </c>
      <c r="T5091" t="s">
        <v>1041</v>
      </c>
      <c r="U5091">
        <v>2.0228189999999979E-2</v>
      </c>
    </row>
    <row r="5092" spans="1:21" x14ac:dyDescent="0.25">
      <c r="A5092" t="s">
        <v>75</v>
      </c>
      <c r="B5092" t="s">
        <v>851</v>
      </c>
      <c r="C5092">
        <v>10</v>
      </c>
      <c r="D5092" t="s">
        <v>29</v>
      </c>
      <c r="E5092" t="s">
        <v>94</v>
      </c>
      <c r="F5092" t="s">
        <v>103</v>
      </c>
      <c r="G5092" t="s">
        <v>121</v>
      </c>
      <c r="H5092" t="s">
        <v>105</v>
      </c>
      <c r="J5092">
        <v>0</v>
      </c>
      <c r="K5092">
        <v>1</v>
      </c>
      <c r="L5092">
        <v>98.291666669999998</v>
      </c>
      <c r="M5092">
        <v>30.315130790000001</v>
      </c>
      <c r="N5092">
        <v>5.0803484000000003E-2</v>
      </c>
      <c r="O5092">
        <v>0.42866070000000001</v>
      </c>
      <c r="P5092">
        <v>67.5</v>
      </c>
      <c r="Q5092">
        <v>47.937235809999997</v>
      </c>
      <c r="R5092">
        <v>0.41599678000000001</v>
      </c>
      <c r="S5092">
        <v>2.0950346999999998</v>
      </c>
      <c r="T5092" t="s">
        <v>1041</v>
      </c>
      <c r="U5092">
        <v>1.6663739999999998</v>
      </c>
    </row>
    <row r="5093" spans="1:21" x14ac:dyDescent="0.25">
      <c r="A5093" t="s">
        <v>76</v>
      </c>
      <c r="B5093" t="s">
        <v>852</v>
      </c>
      <c r="C5093">
        <v>10</v>
      </c>
      <c r="D5093" t="s">
        <v>31</v>
      </c>
      <c r="E5093" t="s">
        <v>94</v>
      </c>
      <c r="F5093" t="s">
        <v>113</v>
      </c>
      <c r="G5093" t="s">
        <v>113</v>
      </c>
      <c r="H5093" t="s">
        <v>113</v>
      </c>
      <c r="J5093">
        <v>0</v>
      </c>
      <c r="K5093">
        <v>2</v>
      </c>
      <c r="L5093">
        <v>83.757575759999995</v>
      </c>
      <c r="M5093">
        <v>22.60997987</v>
      </c>
      <c r="N5093">
        <v>0.72884000000000004</v>
      </c>
      <c r="O5093">
        <v>0.21301339999999999</v>
      </c>
      <c r="P5093">
        <v>83.757575759999995</v>
      </c>
      <c r="Q5093">
        <v>22.60997987</v>
      </c>
      <c r="R5093">
        <v>0.72884000000000004</v>
      </c>
      <c r="S5093">
        <v>0.21301339999999999</v>
      </c>
      <c r="T5093" t="s">
        <v>1041</v>
      </c>
      <c r="U5093">
        <v>0</v>
      </c>
    </row>
    <row r="5094" spans="1:21" x14ac:dyDescent="0.25">
      <c r="A5094" t="s">
        <v>76</v>
      </c>
      <c r="B5094" t="s">
        <v>852</v>
      </c>
      <c r="C5094">
        <v>10</v>
      </c>
      <c r="D5094" t="s">
        <v>31</v>
      </c>
      <c r="E5094" t="s">
        <v>94</v>
      </c>
      <c r="F5094" t="s">
        <v>113</v>
      </c>
      <c r="G5094" t="s">
        <v>113</v>
      </c>
      <c r="H5094" t="s">
        <v>113</v>
      </c>
      <c r="J5094">
        <v>0</v>
      </c>
      <c r="K5094">
        <v>2</v>
      </c>
      <c r="L5094">
        <v>83.757575759999995</v>
      </c>
      <c r="M5094">
        <v>22.60997987</v>
      </c>
      <c r="N5094">
        <v>0.72884000000000004</v>
      </c>
      <c r="O5094">
        <v>0.21301339999999999</v>
      </c>
      <c r="P5094">
        <v>83.757575759999995</v>
      </c>
      <c r="Q5094">
        <v>22.60997987</v>
      </c>
      <c r="R5094">
        <v>0.72884000000000004</v>
      </c>
      <c r="S5094">
        <v>0.21301339999999999</v>
      </c>
      <c r="T5094" t="s">
        <v>1041</v>
      </c>
      <c r="U5094">
        <v>0</v>
      </c>
    </row>
    <row r="5095" spans="1:21" x14ac:dyDescent="0.25">
      <c r="A5095" t="s">
        <v>76</v>
      </c>
      <c r="B5095" t="s">
        <v>852</v>
      </c>
      <c r="C5095">
        <v>10</v>
      </c>
      <c r="D5095" t="s">
        <v>31</v>
      </c>
      <c r="E5095" t="s">
        <v>94</v>
      </c>
      <c r="F5095" t="s">
        <v>113</v>
      </c>
      <c r="G5095" t="s">
        <v>113</v>
      </c>
      <c r="H5095" t="s">
        <v>238</v>
      </c>
      <c r="J5095">
        <v>0</v>
      </c>
      <c r="K5095">
        <v>1</v>
      </c>
      <c r="L5095">
        <v>83.757575759999995</v>
      </c>
      <c r="M5095">
        <v>22.60997987</v>
      </c>
      <c r="N5095">
        <v>0.72884000000000004</v>
      </c>
      <c r="O5095">
        <v>0.21301339999999999</v>
      </c>
      <c r="P5095">
        <v>87.5</v>
      </c>
      <c r="Q5095">
        <v>29.478311600000001</v>
      </c>
      <c r="R5095">
        <v>3.0797751000000002E-2</v>
      </c>
      <c r="S5095">
        <v>0.12931835</v>
      </c>
      <c r="T5095" t="s">
        <v>1041</v>
      </c>
      <c r="U5095">
        <v>8.3695049999999993E-2</v>
      </c>
    </row>
    <row r="5096" spans="1:21" x14ac:dyDescent="0.25">
      <c r="A5096" t="s">
        <v>76</v>
      </c>
      <c r="B5096" t="s">
        <v>852</v>
      </c>
      <c r="C5096">
        <v>10</v>
      </c>
      <c r="D5096" t="s">
        <v>31</v>
      </c>
      <c r="E5096" t="s">
        <v>94</v>
      </c>
      <c r="F5096" t="s">
        <v>113</v>
      </c>
      <c r="G5096" t="s">
        <v>113</v>
      </c>
      <c r="H5096" t="s">
        <v>235</v>
      </c>
      <c r="J5096">
        <v>0</v>
      </c>
      <c r="K5096">
        <v>5</v>
      </c>
      <c r="L5096">
        <v>83.757575759999995</v>
      </c>
      <c r="M5096">
        <v>22.60997987</v>
      </c>
      <c r="N5096">
        <v>0.72884000000000004</v>
      </c>
      <c r="O5096">
        <v>0.21301339999999999</v>
      </c>
      <c r="P5096">
        <v>132.27272730000001</v>
      </c>
      <c r="Q5096">
        <v>20.180448590000001</v>
      </c>
      <c r="R5096">
        <v>3.7813451999999997E-2</v>
      </c>
      <c r="S5096">
        <v>0.41404401000000002</v>
      </c>
      <c r="T5096" t="s">
        <v>1041</v>
      </c>
      <c r="U5096">
        <v>0.20103061000000003</v>
      </c>
    </row>
    <row r="5097" spans="1:21" x14ac:dyDescent="0.25">
      <c r="A5097" t="s">
        <v>76</v>
      </c>
      <c r="B5097" t="s">
        <v>852</v>
      </c>
      <c r="C5097">
        <v>10</v>
      </c>
      <c r="D5097" t="s">
        <v>31</v>
      </c>
      <c r="E5097" t="s">
        <v>94</v>
      </c>
      <c r="F5097" t="s">
        <v>113</v>
      </c>
      <c r="G5097" t="s">
        <v>113</v>
      </c>
      <c r="H5097" t="s">
        <v>235</v>
      </c>
      <c r="J5097">
        <v>0</v>
      </c>
      <c r="K5097">
        <v>5</v>
      </c>
      <c r="L5097">
        <v>83.757575759999995</v>
      </c>
      <c r="M5097">
        <v>22.60997987</v>
      </c>
      <c r="N5097">
        <v>0.72884000000000004</v>
      </c>
      <c r="O5097">
        <v>0.21301339999999999</v>
      </c>
      <c r="P5097">
        <v>132.27272730000001</v>
      </c>
      <c r="Q5097">
        <v>20.180448590000001</v>
      </c>
      <c r="R5097">
        <v>3.7813451999999997E-2</v>
      </c>
      <c r="S5097">
        <v>0.41404401000000002</v>
      </c>
      <c r="T5097" t="s">
        <v>1041</v>
      </c>
      <c r="U5097">
        <v>0.20103061000000003</v>
      </c>
    </row>
    <row r="5098" spans="1:21" x14ac:dyDescent="0.25">
      <c r="A5098" t="s">
        <v>76</v>
      </c>
      <c r="B5098" t="s">
        <v>852</v>
      </c>
      <c r="C5098">
        <v>10</v>
      </c>
      <c r="D5098" t="s">
        <v>31</v>
      </c>
      <c r="E5098" t="s">
        <v>94</v>
      </c>
      <c r="F5098" t="s">
        <v>113</v>
      </c>
      <c r="G5098" t="s">
        <v>113</v>
      </c>
      <c r="H5098" t="s">
        <v>235</v>
      </c>
      <c r="J5098">
        <v>0</v>
      </c>
      <c r="K5098">
        <v>5</v>
      </c>
      <c r="L5098">
        <v>83.757575759999995</v>
      </c>
      <c r="M5098">
        <v>22.60997987</v>
      </c>
      <c r="N5098">
        <v>0.72884000000000004</v>
      </c>
      <c r="O5098">
        <v>0.21301339999999999</v>
      </c>
      <c r="P5098">
        <v>132.27272730000001</v>
      </c>
      <c r="Q5098">
        <v>20.180448590000001</v>
      </c>
      <c r="R5098">
        <v>3.7813451999999997E-2</v>
      </c>
      <c r="S5098">
        <v>0.41404401000000002</v>
      </c>
      <c r="T5098" t="s">
        <v>1041</v>
      </c>
      <c r="U5098">
        <v>0.20103061000000003</v>
      </c>
    </row>
    <row r="5099" spans="1:21" x14ac:dyDescent="0.25">
      <c r="A5099" t="s">
        <v>76</v>
      </c>
      <c r="B5099" t="s">
        <v>852</v>
      </c>
      <c r="C5099">
        <v>10</v>
      </c>
      <c r="D5099" t="s">
        <v>31</v>
      </c>
      <c r="E5099" t="s">
        <v>94</v>
      </c>
      <c r="F5099" t="s">
        <v>113</v>
      </c>
      <c r="G5099" t="s">
        <v>113</v>
      </c>
      <c r="H5099" t="s">
        <v>235</v>
      </c>
      <c r="J5099">
        <v>0</v>
      </c>
      <c r="K5099">
        <v>5</v>
      </c>
      <c r="L5099">
        <v>83.757575759999995</v>
      </c>
      <c r="M5099">
        <v>22.60997987</v>
      </c>
      <c r="N5099">
        <v>0.72884000000000004</v>
      </c>
      <c r="O5099">
        <v>0.21301339999999999</v>
      </c>
      <c r="P5099">
        <v>132.27272730000001</v>
      </c>
      <c r="Q5099">
        <v>20.180448590000001</v>
      </c>
      <c r="R5099">
        <v>3.7813451999999997E-2</v>
      </c>
      <c r="S5099">
        <v>0.41404401000000002</v>
      </c>
      <c r="T5099" t="s">
        <v>1041</v>
      </c>
      <c r="U5099">
        <v>0.20103061000000003</v>
      </c>
    </row>
    <row r="5100" spans="1:21" x14ac:dyDescent="0.25">
      <c r="A5100" t="s">
        <v>76</v>
      </c>
      <c r="B5100" t="s">
        <v>852</v>
      </c>
      <c r="C5100">
        <v>10</v>
      </c>
      <c r="D5100" t="s">
        <v>31</v>
      </c>
      <c r="E5100" t="s">
        <v>94</v>
      </c>
      <c r="F5100" t="s">
        <v>113</v>
      </c>
      <c r="G5100" t="s">
        <v>113</v>
      </c>
      <c r="H5100" t="s">
        <v>235</v>
      </c>
      <c r="J5100">
        <v>0</v>
      </c>
      <c r="K5100">
        <v>5</v>
      </c>
      <c r="L5100">
        <v>83.757575759999995</v>
      </c>
      <c r="M5100">
        <v>22.60997987</v>
      </c>
      <c r="N5100">
        <v>0.72884000000000004</v>
      </c>
      <c r="O5100">
        <v>0.21301339999999999</v>
      </c>
      <c r="P5100">
        <v>132.27272730000001</v>
      </c>
      <c r="Q5100">
        <v>20.180448590000001</v>
      </c>
      <c r="R5100">
        <v>3.7813451999999997E-2</v>
      </c>
      <c r="S5100">
        <v>0.41404401000000002</v>
      </c>
      <c r="T5100" t="s">
        <v>1041</v>
      </c>
      <c r="U5100">
        <v>0.20103061000000003</v>
      </c>
    </row>
    <row r="5101" spans="1:21" x14ac:dyDescent="0.25">
      <c r="A5101" t="s">
        <v>77</v>
      </c>
      <c r="B5101" t="s">
        <v>853</v>
      </c>
      <c r="C5101">
        <v>10</v>
      </c>
      <c r="D5101" t="s">
        <v>33</v>
      </c>
      <c r="E5101" t="s">
        <v>94</v>
      </c>
      <c r="F5101" t="s">
        <v>102</v>
      </c>
      <c r="G5101" t="s">
        <v>110</v>
      </c>
      <c r="H5101" t="s">
        <v>110</v>
      </c>
      <c r="J5101">
        <v>0</v>
      </c>
      <c r="K5101">
        <v>1</v>
      </c>
      <c r="L5101">
        <v>84.740740740000007</v>
      </c>
      <c r="M5101">
        <v>29.167014049999999</v>
      </c>
      <c r="N5101">
        <v>1.1169849999999999</v>
      </c>
      <c r="O5101">
        <v>1.1571499000000001</v>
      </c>
      <c r="P5101">
        <v>73.260869569999997</v>
      </c>
      <c r="Q5101">
        <v>34.453830549999999</v>
      </c>
      <c r="R5101">
        <v>1.058333333</v>
      </c>
      <c r="S5101">
        <v>0.90897070000000002</v>
      </c>
      <c r="T5101" t="s">
        <v>1041</v>
      </c>
      <c r="U5101">
        <v>0.24817920000000004</v>
      </c>
    </row>
    <row r="5102" spans="1:21" x14ac:dyDescent="0.25">
      <c r="A5102" t="s">
        <v>77</v>
      </c>
      <c r="B5102" t="s">
        <v>853</v>
      </c>
      <c r="C5102">
        <v>10</v>
      </c>
      <c r="D5102" t="s">
        <v>33</v>
      </c>
      <c r="E5102" t="s">
        <v>94</v>
      </c>
      <c r="F5102" t="s">
        <v>102</v>
      </c>
      <c r="G5102" t="s">
        <v>110</v>
      </c>
      <c r="H5102" t="s">
        <v>162</v>
      </c>
      <c r="J5102">
        <v>0</v>
      </c>
      <c r="K5102">
        <v>1</v>
      </c>
      <c r="L5102">
        <v>84.740740740000007</v>
      </c>
      <c r="M5102">
        <v>29.167014049999999</v>
      </c>
      <c r="N5102">
        <v>1.1169849999999999</v>
      </c>
      <c r="O5102">
        <v>1.1571499000000001</v>
      </c>
      <c r="P5102">
        <v>82.53846154</v>
      </c>
      <c r="Q5102">
        <v>35.660530039999998</v>
      </c>
      <c r="R5102">
        <v>3.3754499999999998</v>
      </c>
      <c r="S5102" t="s">
        <v>114</v>
      </c>
      <c r="T5102" t="s">
        <v>1041</v>
      </c>
      <c r="U5102" t="s">
        <v>114</v>
      </c>
    </row>
    <row r="5103" spans="1:21" x14ac:dyDescent="0.25">
      <c r="A5103" t="s">
        <v>77</v>
      </c>
      <c r="B5103" t="s">
        <v>854</v>
      </c>
      <c r="C5103">
        <v>10</v>
      </c>
      <c r="D5103" t="s">
        <v>33</v>
      </c>
      <c r="E5103" t="s">
        <v>94</v>
      </c>
      <c r="F5103" t="s">
        <v>110</v>
      </c>
      <c r="G5103" t="s">
        <v>110</v>
      </c>
      <c r="H5103" t="s">
        <v>110</v>
      </c>
      <c r="J5103">
        <v>0</v>
      </c>
      <c r="K5103">
        <v>3</v>
      </c>
      <c r="L5103">
        <v>73.260869569999997</v>
      </c>
      <c r="M5103">
        <v>34.453830549999999</v>
      </c>
      <c r="N5103">
        <v>1.058333333</v>
      </c>
      <c r="O5103">
        <v>0.90897070000000002</v>
      </c>
      <c r="P5103">
        <v>73.260869569999997</v>
      </c>
      <c r="Q5103">
        <v>34.453830549999999</v>
      </c>
      <c r="R5103">
        <v>1.058333333</v>
      </c>
      <c r="S5103">
        <v>0.90897070000000002</v>
      </c>
      <c r="T5103" t="s">
        <v>1041</v>
      </c>
      <c r="U5103">
        <v>0</v>
      </c>
    </row>
    <row r="5104" spans="1:21" x14ac:dyDescent="0.25">
      <c r="A5104" t="s">
        <v>77</v>
      </c>
      <c r="B5104" t="s">
        <v>854</v>
      </c>
      <c r="C5104">
        <v>10</v>
      </c>
      <c r="D5104" t="s">
        <v>33</v>
      </c>
      <c r="E5104" t="s">
        <v>94</v>
      </c>
      <c r="F5104" t="s">
        <v>110</v>
      </c>
      <c r="G5104" t="s">
        <v>110</v>
      </c>
      <c r="H5104" t="s">
        <v>110</v>
      </c>
      <c r="J5104">
        <v>0</v>
      </c>
      <c r="K5104">
        <v>3</v>
      </c>
      <c r="L5104">
        <v>73.260869569999997</v>
      </c>
      <c r="M5104">
        <v>34.453830549999999</v>
      </c>
      <c r="N5104">
        <v>1.058333333</v>
      </c>
      <c r="O5104">
        <v>0.90897070000000002</v>
      </c>
      <c r="P5104">
        <v>73.260869569999997</v>
      </c>
      <c r="Q5104">
        <v>34.453830549999999</v>
      </c>
      <c r="R5104">
        <v>1.058333333</v>
      </c>
      <c r="S5104">
        <v>0.90897070000000002</v>
      </c>
      <c r="T5104" t="s">
        <v>1041</v>
      </c>
      <c r="U5104">
        <v>0</v>
      </c>
    </row>
    <row r="5105" spans="1:21" x14ac:dyDescent="0.25">
      <c r="A5105" t="s">
        <v>77</v>
      </c>
      <c r="B5105" t="s">
        <v>854</v>
      </c>
      <c r="C5105">
        <v>10</v>
      </c>
      <c r="D5105" t="s">
        <v>33</v>
      </c>
      <c r="E5105" t="s">
        <v>94</v>
      </c>
      <c r="F5105" t="s">
        <v>110</v>
      </c>
      <c r="G5105" t="s">
        <v>110</v>
      </c>
      <c r="H5105" t="s">
        <v>110</v>
      </c>
      <c r="J5105">
        <v>0</v>
      </c>
      <c r="K5105">
        <v>3</v>
      </c>
      <c r="L5105">
        <v>73.260869569999997</v>
      </c>
      <c r="M5105">
        <v>34.453830549999999</v>
      </c>
      <c r="N5105">
        <v>1.058333333</v>
      </c>
      <c r="O5105">
        <v>0.90897070000000002</v>
      </c>
      <c r="P5105">
        <v>73.260869569999997</v>
      </c>
      <c r="Q5105">
        <v>34.453830549999999</v>
      </c>
      <c r="R5105">
        <v>1.058333333</v>
      </c>
      <c r="S5105">
        <v>0.90897070000000002</v>
      </c>
      <c r="T5105" t="s">
        <v>1041</v>
      </c>
      <c r="U5105">
        <v>0</v>
      </c>
    </row>
    <row r="5106" spans="1:21" x14ac:dyDescent="0.25">
      <c r="A5106" t="s">
        <v>78</v>
      </c>
      <c r="B5106" t="s">
        <v>855</v>
      </c>
      <c r="C5106">
        <v>10</v>
      </c>
      <c r="D5106" t="s">
        <v>35</v>
      </c>
      <c r="E5106" t="s">
        <v>94</v>
      </c>
      <c r="F5106" t="s">
        <v>111</v>
      </c>
      <c r="G5106" t="s">
        <v>121</v>
      </c>
      <c r="H5106" t="s">
        <v>114</v>
      </c>
      <c r="J5106">
        <v>0</v>
      </c>
      <c r="K5106">
        <v>0</v>
      </c>
      <c r="L5106">
        <v>94.97142857</v>
      </c>
      <c r="M5106">
        <v>24.31591813</v>
      </c>
      <c r="N5106">
        <v>0.122951111</v>
      </c>
      <c r="O5106">
        <v>0.39050790000000002</v>
      </c>
      <c r="P5106" t="s">
        <v>114</v>
      </c>
      <c r="Q5106" t="s">
        <v>114</v>
      </c>
      <c r="R5106" t="s">
        <v>114</v>
      </c>
      <c r="S5106" t="s">
        <v>114</v>
      </c>
      <c r="T5106" t="s">
        <v>1041</v>
      </c>
      <c r="U5106" t="s">
        <v>114</v>
      </c>
    </row>
    <row r="5107" spans="1:21" x14ac:dyDescent="0.25">
      <c r="A5107" t="s">
        <v>50</v>
      </c>
      <c r="B5107" t="s">
        <v>856</v>
      </c>
      <c r="C5107">
        <v>12</v>
      </c>
      <c r="D5107" t="s">
        <v>11</v>
      </c>
      <c r="E5107" t="s">
        <v>95</v>
      </c>
      <c r="F5107" t="s">
        <v>113</v>
      </c>
      <c r="G5107" t="s">
        <v>113</v>
      </c>
      <c r="H5107" t="s">
        <v>113</v>
      </c>
      <c r="J5107">
        <v>0</v>
      </c>
      <c r="K5107">
        <v>6</v>
      </c>
      <c r="L5107">
        <v>83.757575759999995</v>
      </c>
      <c r="M5107">
        <v>22.60997987</v>
      </c>
      <c r="N5107">
        <v>0.72884000000000004</v>
      </c>
      <c r="O5107">
        <v>0.21301339999999999</v>
      </c>
      <c r="P5107">
        <v>83.757575759999995</v>
      </c>
      <c r="Q5107">
        <v>22.60997987</v>
      </c>
      <c r="R5107">
        <v>0.72884000000000004</v>
      </c>
      <c r="S5107">
        <v>0.21301339999999999</v>
      </c>
      <c r="T5107" t="s">
        <v>1041</v>
      </c>
      <c r="U5107">
        <v>0</v>
      </c>
    </row>
    <row r="5108" spans="1:21" x14ac:dyDescent="0.25">
      <c r="A5108" t="s">
        <v>50</v>
      </c>
      <c r="B5108" t="s">
        <v>856</v>
      </c>
      <c r="C5108">
        <v>12</v>
      </c>
      <c r="D5108" t="s">
        <v>11</v>
      </c>
      <c r="E5108" t="s">
        <v>95</v>
      </c>
      <c r="F5108" t="s">
        <v>113</v>
      </c>
      <c r="G5108" t="s">
        <v>113</v>
      </c>
      <c r="H5108" t="s">
        <v>113</v>
      </c>
      <c r="J5108">
        <v>0</v>
      </c>
      <c r="K5108">
        <v>6</v>
      </c>
      <c r="L5108">
        <v>83.757575759999995</v>
      </c>
      <c r="M5108">
        <v>22.60997987</v>
      </c>
      <c r="N5108">
        <v>0.72884000000000004</v>
      </c>
      <c r="O5108">
        <v>0.21301339999999999</v>
      </c>
      <c r="P5108">
        <v>83.757575759999995</v>
      </c>
      <c r="Q5108">
        <v>22.60997987</v>
      </c>
      <c r="R5108">
        <v>0.72884000000000004</v>
      </c>
      <c r="S5108">
        <v>0.21301339999999999</v>
      </c>
      <c r="T5108" t="s">
        <v>1041</v>
      </c>
      <c r="U5108">
        <v>0</v>
      </c>
    </row>
    <row r="5109" spans="1:21" x14ac:dyDescent="0.25">
      <c r="A5109" t="s">
        <v>50</v>
      </c>
      <c r="B5109" t="s">
        <v>856</v>
      </c>
      <c r="C5109">
        <v>12</v>
      </c>
      <c r="D5109" t="s">
        <v>11</v>
      </c>
      <c r="E5109" t="s">
        <v>95</v>
      </c>
      <c r="F5109" t="s">
        <v>113</v>
      </c>
      <c r="G5109" t="s">
        <v>113</v>
      </c>
      <c r="H5109" t="s">
        <v>113</v>
      </c>
      <c r="J5109">
        <v>0</v>
      </c>
      <c r="K5109">
        <v>6</v>
      </c>
      <c r="L5109">
        <v>83.757575759999995</v>
      </c>
      <c r="M5109">
        <v>22.60997987</v>
      </c>
      <c r="N5109">
        <v>0.72884000000000004</v>
      </c>
      <c r="O5109">
        <v>0.21301339999999999</v>
      </c>
      <c r="P5109">
        <v>83.757575759999995</v>
      </c>
      <c r="Q5109">
        <v>22.60997987</v>
      </c>
      <c r="R5109">
        <v>0.72884000000000004</v>
      </c>
      <c r="S5109">
        <v>0.21301339999999999</v>
      </c>
      <c r="T5109" t="s">
        <v>1041</v>
      </c>
      <c r="U5109">
        <v>0</v>
      </c>
    </row>
    <row r="5110" spans="1:21" x14ac:dyDescent="0.25">
      <c r="A5110" t="s">
        <v>50</v>
      </c>
      <c r="B5110" t="s">
        <v>856</v>
      </c>
      <c r="C5110">
        <v>12</v>
      </c>
      <c r="D5110" t="s">
        <v>11</v>
      </c>
      <c r="E5110" t="s">
        <v>95</v>
      </c>
      <c r="F5110" t="s">
        <v>113</v>
      </c>
      <c r="G5110" t="s">
        <v>113</v>
      </c>
      <c r="H5110" t="s">
        <v>113</v>
      </c>
      <c r="J5110">
        <v>0</v>
      </c>
      <c r="K5110">
        <v>6</v>
      </c>
      <c r="L5110">
        <v>83.757575759999995</v>
      </c>
      <c r="M5110">
        <v>22.60997987</v>
      </c>
      <c r="N5110">
        <v>0.72884000000000004</v>
      </c>
      <c r="O5110">
        <v>0.21301339999999999</v>
      </c>
      <c r="P5110">
        <v>83.757575759999995</v>
      </c>
      <c r="Q5110">
        <v>22.60997987</v>
      </c>
      <c r="R5110">
        <v>0.72884000000000004</v>
      </c>
      <c r="S5110">
        <v>0.21301339999999999</v>
      </c>
      <c r="T5110" t="s">
        <v>1041</v>
      </c>
      <c r="U5110">
        <v>0</v>
      </c>
    </row>
    <row r="5111" spans="1:21" x14ac:dyDescent="0.25">
      <c r="A5111" t="s">
        <v>50</v>
      </c>
      <c r="B5111" t="s">
        <v>856</v>
      </c>
      <c r="C5111">
        <v>12</v>
      </c>
      <c r="D5111" t="s">
        <v>11</v>
      </c>
      <c r="E5111" t="s">
        <v>95</v>
      </c>
      <c r="F5111" t="s">
        <v>113</v>
      </c>
      <c r="G5111" t="s">
        <v>113</v>
      </c>
      <c r="H5111" t="s">
        <v>113</v>
      </c>
      <c r="J5111">
        <v>0</v>
      </c>
      <c r="K5111">
        <v>6</v>
      </c>
      <c r="L5111">
        <v>83.757575759999995</v>
      </c>
      <c r="M5111">
        <v>22.60997987</v>
      </c>
      <c r="N5111">
        <v>0.72884000000000004</v>
      </c>
      <c r="O5111">
        <v>0.21301339999999999</v>
      </c>
      <c r="P5111">
        <v>83.757575759999995</v>
      </c>
      <c r="Q5111">
        <v>22.60997987</v>
      </c>
      <c r="R5111">
        <v>0.72884000000000004</v>
      </c>
      <c r="S5111">
        <v>0.21301339999999999</v>
      </c>
      <c r="T5111" t="s">
        <v>1041</v>
      </c>
      <c r="U5111">
        <v>0</v>
      </c>
    </row>
    <row r="5112" spans="1:21" x14ac:dyDescent="0.25">
      <c r="A5112" t="s">
        <v>50</v>
      </c>
      <c r="B5112" t="s">
        <v>856</v>
      </c>
      <c r="C5112">
        <v>12</v>
      </c>
      <c r="D5112" t="s">
        <v>11</v>
      </c>
      <c r="E5112" t="s">
        <v>95</v>
      </c>
      <c r="F5112" t="s">
        <v>113</v>
      </c>
      <c r="G5112" t="s">
        <v>113</v>
      </c>
      <c r="H5112" t="s">
        <v>113</v>
      </c>
      <c r="J5112">
        <v>0</v>
      </c>
      <c r="K5112">
        <v>6</v>
      </c>
      <c r="L5112">
        <v>83.757575759999995</v>
      </c>
      <c r="M5112">
        <v>22.60997987</v>
      </c>
      <c r="N5112">
        <v>0.72884000000000004</v>
      </c>
      <c r="O5112">
        <v>0.21301339999999999</v>
      </c>
      <c r="P5112">
        <v>83.757575759999995</v>
      </c>
      <c r="Q5112">
        <v>22.60997987</v>
      </c>
      <c r="R5112">
        <v>0.72884000000000004</v>
      </c>
      <c r="S5112">
        <v>0.21301339999999999</v>
      </c>
      <c r="T5112" t="s">
        <v>1041</v>
      </c>
      <c r="U5112">
        <v>0</v>
      </c>
    </row>
    <row r="5113" spans="1:21" x14ac:dyDescent="0.25">
      <c r="A5113" t="s">
        <v>50</v>
      </c>
      <c r="B5113" t="s">
        <v>856</v>
      </c>
      <c r="C5113">
        <v>12</v>
      </c>
      <c r="D5113" t="s">
        <v>11</v>
      </c>
      <c r="E5113" t="s">
        <v>95</v>
      </c>
      <c r="F5113" t="s">
        <v>113</v>
      </c>
      <c r="G5113" t="s">
        <v>113</v>
      </c>
      <c r="H5113" t="s">
        <v>238</v>
      </c>
      <c r="J5113">
        <v>0</v>
      </c>
      <c r="K5113">
        <v>1</v>
      </c>
      <c r="L5113">
        <v>83.757575759999995</v>
      </c>
      <c r="M5113">
        <v>22.60997987</v>
      </c>
      <c r="N5113">
        <v>0.72884000000000004</v>
      </c>
      <c r="O5113">
        <v>0.21301339999999999</v>
      </c>
      <c r="P5113">
        <v>87.5</v>
      </c>
      <c r="Q5113">
        <v>29.478311600000001</v>
      </c>
      <c r="R5113">
        <v>3.0797751000000002E-2</v>
      </c>
      <c r="S5113">
        <v>0.12931835</v>
      </c>
      <c r="T5113" t="s">
        <v>1041</v>
      </c>
      <c r="U5113">
        <v>8.3695049999999993E-2</v>
      </c>
    </row>
    <row r="5114" spans="1:21" x14ac:dyDescent="0.25">
      <c r="A5114" t="s">
        <v>50</v>
      </c>
      <c r="B5114" t="s">
        <v>857</v>
      </c>
      <c r="C5114">
        <v>12</v>
      </c>
      <c r="D5114" t="s">
        <v>11</v>
      </c>
      <c r="E5114" t="s">
        <v>95</v>
      </c>
      <c r="F5114" t="s">
        <v>103</v>
      </c>
      <c r="G5114" t="s">
        <v>113</v>
      </c>
      <c r="H5114" t="s">
        <v>113</v>
      </c>
      <c r="J5114">
        <v>0</v>
      </c>
      <c r="K5114">
        <v>4</v>
      </c>
      <c r="L5114">
        <v>98.291666669999998</v>
      </c>
      <c r="M5114">
        <v>30.315130790000001</v>
      </c>
      <c r="N5114">
        <v>5.0803484000000003E-2</v>
      </c>
      <c r="O5114">
        <v>0.42866070000000001</v>
      </c>
      <c r="P5114">
        <v>83.757575759999995</v>
      </c>
      <c r="Q5114">
        <v>22.60997987</v>
      </c>
      <c r="R5114">
        <v>0.72884000000000004</v>
      </c>
      <c r="S5114">
        <v>0.21301339999999999</v>
      </c>
      <c r="T5114" t="s">
        <v>1041</v>
      </c>
      <c r="U5114">
        <v>0.21564730000000001</v>
      </c>
    </row>
    <row r="5115" spans="1:21" x14ac:dyDescent="0.25">
      <c r="A5115" t="s">
        <v>50</v>
      </c>
      <c r="B5115" t="s">
        <v>857</v>
      </c>
      <c r="C5115">
        <v>12</v>
      </c>
      <c r="D5115" t="s">
        <v>11</v>
      </c>
      <c r="E5115" t="s">
        <v>95</v>
      </c>
      <c r="F5115" t="s">
        <v>103</v>
      </c>
      <c r="G5115" t="s">
        <v>113</v>
      </c>
      <c r="H5115" t="s">
        <v>113</v>
      </c>
      <c r="J5115">
        <v>0</v>
      </c>
      <c r="K5115">
        <v>4</v>
      </c>
      <c r="L5115">
        <v>98.291666669999998</v>
      </c>
      <c r="M5115">
        <v>30.315130790000001</v>
      </c>
      <c r="N5115">
        <v>5.0803484000000003E-2</v>
      </c>
      <c r="O5115">
        <v>0.42866070000000001</v>
      </c>
      <c r="P5115">
        <v>83.757575759999995</v>
      </c>
      <c r="Q5115">
        <v>22.60997987</v>
      </c>
      <c r="R5115">
        <v>0.72884000000000004</v>
      </c>
      <c r="S5115">
        <v>0.21301339999999999</v>
      </c>
      <c r="T5115" t="s">
        <v>1041</v>
      </c>
      <c r="U5115">
        <v>0.21564730000000001</v>
      </c>
    </row>
    <row r="5116" spans="1:21" x14ac:dyDescent="0.25">
      <c r="A5116" t="s">
        <v>50</v>
      </c>
      <c r="B5116" t="s">
        <v>857</v>
      </c>
      <c r="C5116">
        <v>12</v>
      </c>
      <c r="D5116" t="s">
        <v>11</v>
      </c>
      <c r="E5116" t="s">
        <v>95</v>
      </c>
      <c r="F5116" t="s">
        <v>103</v>
      </c>
      <c r="G5116" t="s">
        <v>113</v>
      </c>
      <c r="H5116" t="s">
        <v>113</v>
      </c>
      <c r="J5116">
        <v>0</v>
      </c>
      <c r="K5116">
        <v>4</v>
      </c>
      <c r="L5116">
        <v>98.291666669999998</v>
      </c>
      <c r="M5116">
        <v>30.315130790000001</v>
      </c>
      <c r="N5116">
        <v>5.0803484000000003E-2</v>
      </c>
      <c r="O5116">
        <v>0.42866070000000001</v>
      </c>
      <c r="P5116">
        <v>83.757575759999995</v>
      </c>
      <c r="Q5116">
        <v>22.60997987</v>
      </c>
      <c r="R5116">
        <v>0.72884000000000004</v>
      </c>
      <c r="S5116">
        <v>0.21301339999999999</v>
      </c>
      <c r="T5116" t="s">
        <v>1041</v>
      </c>
      <c r="U5116">
        <v>0.21564730000000001</v>
      </c>
    </row>
    <row r="5117" spans="1:21" x14ac:dyDescent="0.25">
      <c r="A5117" t="s">
        <v>50</v>
      </c>
      <c r="B5117" t="s">
        <v>857</v>
      </c>
      <c r="C5117">
        <v>12</v>
      </c>
      <c r="D5117" t="s">
        <v>11</v>
      </c>
      <c r="E5117" t="s">
        <v>95</v>
      </c>
      <c r="F5117" t="s">
        <v>103</v>
      </c>
      <c r="G5117" t="s">
        <v>113</v>
      </c>
      <c r="H5117" t="s">
        <v>113</v>
      </c>
      <c r="J5117">
        <v>0</v>
      </c>
      <c r="K5117">
        <v>4</v>
      </c>
      <c r="L5117">
        <v>98.291666669999998</v>
      </c>
      <c r="M5117">
        <v>30.315130790000001</v>
      </c>
      <c r="N5117">
        <v>5.0803484000000003E-2</v>
      </c>
      <c r="O5117">
        <v>0.42866070000000001</v>
      </c>
      <c r="P5117">
        <v>83.757575759999995</v>
      </c>
      <c r="Q5117">
        <v>22.60997987</v>
      </c>
      <c r="R5117">
        <v>0.72884000000000004</v>
      </c>
      <c r="S5117">
        <v>0.21301339999999999</v>
      </c>
      <c r="T5117" t="s">
        <v>1041</v>
      </c>
      <c r="U5117">
        <v>0.21564730000000001</v>
      </c>
    </row>
    <row r="5118" spans="1:21" x14ac:dyDescent="0.25">
      <c r="A5118" t="s">
        <v>50</v>
      </c>
      <c r="B5118" t="s">
        <v>857</v>
      </c>
      <c r="C5118">
        <v>12</v>
      </c>
      <c r="D5118" t="s">
        <v>11</v>
      </c>
      <c r="E5118" t="s">
        <v>95</v>
      </c>
      <c r="F5118" t="s">
        <v>103</v>
      </c>
      <c r="G5118" t="s">
        <v>113</v>
      </c>
      <c r="H5118" t="s">
        <v>242</v>
      </c>
      <c r="J5118">
        <v>0</v>
      </c>
      <c r="K5118">
        <v>3</v>
      </c>
      <c r="L5118">
        <v>98.291666669999998</v>
      </c>
      <c r="M5118">
        <v>30.315130790000001</v>
      </c>
      <c r="N5118">
        <v>5.0803484000000003E-2</v>
      </c>
      <c r="O5118">
        <v>0.42866070000000001</v>
      </c>
      <c r="P5118">
        <v>139.375</v>
      </c>
      <c r="Q5118">
        <v>23.713465920000001</v>
      </c>
      <c r="R5118" t="s">
        <v>114</v>
      </c>
      <c r="S5118" t="s">
        <v>114</v>
      </c>
      <c r="T5118" t="s">
        <v>1041</v>
      </c>
      <c r="U5118" t="s">
        <v>114</v>
      </c>
    </row>
    <row r="5119" spans="1:21" x14ac:dyDescent="0.25">
      <c r="A5119" t="s">
        <v>50</v>
      </c>
      <c r="B5119" t="s">
        <v>857</v>
      </c>
      <c r="C5119">
        <v>12</v>
      </c>
      <c r="D5119" t="s">
        <v>11</v>
      </c>
      <c r="E5119" t="s">
        <v>95</v>
      </c>
      <c r="F5119" t="s">
        <v>103</v>
      </c>
      <c r="G5119" t="s">
        <v>113</v>
      </c>
      <c r="H5119" t="s">
        <v>242</v>
      </c>
      <c r="J5119">
        <v>0</v>
      </c>
      <c r="K5119">
        <v>3</v>
      </c>
      <c r="L5119">
        <v>98.291666669999998</v>
      </c>
      <c r="M5119">
        <v>30.315130790000001</v>
      </c>
      <c r="N5119">
        <v>5.0803484000000003E-2</v>
      </c>
      <c r="O5119">
        <v>0.42866070000000001</v>
      </c>
      <c r="P5119">
        <v>139.375</v>
      </c>
      <c r="Q5119">
        <v>23.713465920000001</v>
      </c>
      <c r="R5119" t="s">
        <v>114</v>
      </c>
      <c r="S5119" t="s">
        <v>114</v>
      </c>
      <c r="T5119" t="s">
        <v>1041</v>
      </c>
      <c r="U5119" t="s">
        <v>114</v>
      </c>
    </row>
    <row r="5120" spans="1:21" x14ac:dyDescent="0.25">
      <c r="A5120" t="s">
        <v>50</v>
      </c>
      <c r="B5120" t="s">
        <v>857</v>
      </c>
      <c r="C5120">
        <v>12</v>
      </c>
      <c r="D5120" t="s">
        <v>11</v>
      </c>
      <c r="E5120" t="s">
        <v>95</v>
      </c>
      <c r="F5120" t="s">
        <v>103</v>
      </c>
      <c r="G5120" t="s">
        <v>113</v>
      </c>
      <c r="H5120" t="s">
        <v>242</v>
      </c>
      <c r="J5120">
        <v>0</v>
      </c>
      <c r="K5120">
        <v>3</v>
      </c>
      <c r="L5120">
        <v>98.291666669999998</v>
      </c>
      <c r="M5120">
        <v>30.315130790000001</v>
      </c>
      <c r="N5120">
        <v>5.0803484000000003E-2</v>
      </c>
      <c r="O5120">
        <v>0.42866070000000001</v>
      </c>
      <c r="P5120">
        <v>139.375</v>
      </c>
      <c r="Q5120">
        <v>23.713465920000001</v>
      </c>
      <c r="R5120" t="s">
        <v>114</v>
      </c>
      <c r="S5120" t="s">
        <v>114</v>
      </c>
      <c r="T5120" t="s">
        <v>1041</v>
      </c>
      <c r="U5120" t="s">
        <v>114</v>
      </c>
    </row>
    <row r="5121" spans="1:21" x14ac:dyDescent="0.25">
      <c r="A5121" t="s">
        <v>50</v>
      </c>
      <c r="B5121" t="s">
        <v>858</v>
      </c>
      <c r="C5121">
        <v>12</v>
      </c>
      <c r="D5121" t="s">
        <v>11</v>
      </c>
      <c r="E5121" t="s">
        <v>95</v>
      </c>
      <c r="F5121" t="s">
        <v>111</v>
      </c>
      <c r="G5121" t="s">
        <v>113</v>
      </c>
      <c r="H5121" t="s">
        <v>113</v>
      </c>
      <c r="J5121">
        <v>0</v>
      </c>
      <c r="K5121">
        <v>3</v>
      </c>
      <c r="L5121">
        <v>94.97142857</v>
      </c>
      <c r="M5121">
        <v>24.31591813</v>
      </c>
      <c r="N5121">
        <v>0.122951111</v>
      </c>
      <c r="O5121">
        <v>0.39050790000000002</v>
      </c>
      <c r="P5121">
        <v>83.757575759999995</v>
      </c>
      <c r="Q5121">
        <v>22.60997987</v>
      </c>
      <c r="R5121">
        <v>0.72884000000000004</v>
      </c>
      <c r="S5121">
        <v>0.21301339999999999</v>
      </c>
      <c r="T5121" t="s">
        <v>1041</v>
      </c>
      <c r="U5121">
        <v>0.17749450000000003</v>
      </c>
    </row>
    <row r="5122" spans="1:21" x14ac:dyDescent="0.25">
      <c r="A5122" t="s">
        <v>50</v>
      </c>
      <c r="B5122" t="s">
        <v>858</v>
      </c>
      <c r="C5122">
        <v>12</v>
      </c>
      <c r="D5122" t="s">
        <v>11</v>
      </c>
      <c r="E5122" t="s">
        <v>95</v>
      </c>
      <c r="F5122" t="s">
        <v>111</v>
      </c>
      <c r="G5122" t="s">
        <v>113</v>
      </c>
      <c r="H5122" t="s">
        <v>113</v>
      </c>
      <c r="J5122">
        <v>0</v>
      </c>
      <c r="K5122">
        <v>3</v>
      </c>
      <c r="L5122">
        <v>94.97142857</v>
      </c>
      <c r="M5122">
        <v>24.31591813</v>
      </c>
      <c r="N5122">
        <v>0.122951111</v>
      </c>
      <c r="O5122">
        <v>0.39050790000000002</v>
      </c>
      <c r="P5122">
        <v>83.757575759999995</v>
      </c>
      <c r="Q5122">
        <v>22.60997987</v>
      </c>
      <c r="R5122">
        <v>0.72884000000000004</v>
      </c>
      <c r="S5122">
        <v>0.21301339999999999</v>
      </c>
      <c r="T5122" t="s">
        <v>1041</v>
      </c>
      <c r="U5122">
        <v>0.17749450000000003</v>
      </c>
    </row>
    <row r="5123" spans="1:21" x14ac:dyDescent="0.25">
      <c r="A5123" t="s">
        <v>50</v>
      </c>
      <c r="B5123" t="s">
        <v>858</v>
      </c>
      <c r="C5123">
        <v>12</v>
      </c>
      <c r="D5123" t="s">
        <v>11</v>
      </c>
      <c r="E5123" t="s">
        <v>95</v>
      </c>
      <c r="F5123" t="s">
        <v>111</v>
      </c>
      <c r="G5123" t="s">
        <v>113</v>
      </c>
      <c r="H5123" t="s">
        <v>113</v>
      </c>
      <c r="J5123">
        <v>0</v>
      </c>
      <c r="K5123">
        <v>3</v>
      </c>
      <c r="L5123">
        <v>94.97142857</v>
      </c>
      <c r="M5123">
        <v>24.31591813</v>
      </c>
      <c r="N5123">
        <v>0.122951111</v>
      </c>
      <c r="O5123">
        <v>0.39050790000000002</v>
      </c>
      <c r="P5123">
        <v>83.757575759999995</v>
      </c>
      <c r="Q5123">
        <v>22.60997987</v>
      </c>
      <c r="R5123">
        <v>0.72884000000000004</v>
      </c>
      <c r="S5123">
        <v>0.21301339999999999</v>
      </c>
      <c r="T5123" t="s">
        <v>1041</v>
      </c>
      <c r="U5123">
        <v>0.17749450000000003</v>
      </c>
    </row>
    <row r="5124" spans="1:21" x14ac:dyDescent="0.25">
      <c r="A5124" t="s">
        <v>50</v>
      </c>
      <c r="B5124" t="s">
        <v>858</v>
      </c>
      <c r="C5124">
        <v>12</v>
      </c>
      <c r="D5124" t="s">
        <v>11</v>
      </c>
      <c r="E5124" t="s">
        <v>95</v>
      </c>
      <c r="F5124" t="s">
        <v>111</v>
      </c>
      <c r="G5124" t="s">
        <v>113</v>
      </c>
      <c r="H5124" t="s">
        <v>242</v>
      </c>
      <c r="J5124">
        <v>0</v>
      </c>
      <c r="K5124">
        <v>2</v>
      </c>
      <c r="L5124">
        <v>94.97142857</v>
      </c>
      <c r="M5124">
        <v>24.31591813</v>
      </c>
      <c r="N5124">
        <v>0.122951111</v>
      </c>
      <c r="O5124">
        <v>0.39050790000000002</v>
      </c>
      <c r="P5124">
        <v>139.375</v>
      </c>
      <c r="Q5124">
        <v>23.713465920000001</v>
      </c>
      <c r="R5124" t="s">
        <v>114</v>
      </c>
      <c r="S5124" t="s">
        <v>114</v>
      </c>
      <c r="T5124" t="s">
        <v>1041</v>
      </c>
      <c r="U5124" t="s">
        <v>114</v>
      </c>
    </row>
    <row r="5125" spans="1:21" x14ac:dyDescent="0.25">
      <c r="A5125" t="s">
        <v>50</v>
      </c>
      <c r="B5125" t="s">
        <v>858</v>
      </c>
      <c r="C5125">
        <v>12</v>
      </c>
      <c r="D5125" t="s">
        <v>11</v>
      </c>
      <c r="E5125" t="s">
        <v>95</v>
      </c>
      <c r="F5125" t="s">
        <v>111</v>
      </c>
      <c r="G5125" t="s">
        <v>113</v>
      </c>
      <c r="H5125" t="s">
        <v>242</v>
      </c>
      <c r="J5125">
        <v>0</v>
      </c>
      <c r="K5125">
        <v>2</v>
      </c>
      <c r="L5125">
        <v>94.97142857</v>
      </c>
      <c r="M5125">
        <v>24.31591813</v>
      </c>
      <c r="N5125">
        <v>0.122951111</v>
      </c>
      <c r="O5125">
        <v>0.39050790000000002</v>
      </c>
      <c r="P5125">
        <v>139.375</v>
      </c>
      <c r="Q5125">
        <v>23.713465920000001</v>
      </c>
      <c r="R5125" t="s">
        <v>114</v>
      </c>
      <c r="S5125" t="s">
        <v>114</v>
      </c>
      <c r="T5125" t="s">
        <v>1041</v>
      </c>
      <c r="U5125" t="s">
        <v>114</v>
      </c>
    </row>
    <row r="5126" spans="1:21" x14ac:dyDescent="0.25">
      <c r="A5126" t="s">
        <v>50</v>
      </c>
      <c r="B5126" t="s">
        <v>859</v>
      </c>
      <c r="C5126">
        <v>12</v>
      </c>
      <c r="D5126" t="s">
        <v>11</v>
      </c>
      <c r="E5126" t="s">
        <v>95</v>
      </c>
      <c r="F5126" t="s">
        <v>104</v>
      </c>
      <c r="G5126" t="s">
        <v>121</v>
      </c>
      <c r="H5126" t="s">
        <v>103</v>
      </c>
      <c r="J5126">
        <v>0</v>
      </c>
      <c r="K5126">
        <v>1</v>
      </c>
      <c r="L5126">
        <v>113.9375</v>
      </c>
      <c r="M5126">
        <v>33.375507550000002</v>
      </c>
      <c r="N5126">
        <v>2.4262999999999999</v>
      </c>
      <c r="O5126">
        <v>0.40692159999999999</v>
      </c>
      <c r="P5126">
        <v>98.291666669999998</v>
      </c>
      <c r="Q5126">
        <v>30.315130790000001</v>
      </c>
      <c r="R5126">
        <v>5.0803484000000003E-2</v>
      </c>
      <c r="S5126">
        <v>0.42866070000000001</v>
      </c>
      <c r="T5126" t="s">
        <v>1041</v>
      </c>
      <c r="U5126">
        <v>2.1739100000000011E-2</v>
      </c>
    </row>
    <row r="5127" spans="1:21" x14ac:dyDescent="0.25">
      <c r="A5127" t="s">
        <v>50</v>
      </c>
      <c r="B5127" t="s">
        <v>859</v>
      </c>
      <c r="C5127">
        <v>12</v>
      </c>
      <c r="D5127" t="s">
        <v>11</v>
      </c>
      <c r="E5127" t="s">
        <v>95</v>
      </c>
      <c r="F5127" t="s">
        <v>104</v>
      </c>
      <c r="G5127" t="s">
        <v>121</v>
      </c>
      <c r="H5127" t="s">
        <v>238</v>
      </c>
      <c r="J5127">
        <v>0</v>
      </c>
      <c r="K5127">
        <v>1</v>
      </c>
      <c r="L5127">
        <v>113.9375</v>
      </c>
      <c r="M5127">
        <v>33.375507550000002</v>
      </c>
      <c r="N5127">
        <v>2.4262999999999999</v>
      </c>
      <c r="O5127">
        <v>0.40692159999999999</v>
      </c>
      <c r="P5127">
        <v>87.5</v>
      </c>
      <c r="Q5127">
        <v>29.478311600000001</v>
      </c>
      <c r="R5127">
        <v>3.0797751000000002E-2</v>
      </c>
      <c r="S5127">
        <v>0.12931835</v>
      </c>
      <c r="T5127" t="s">
        <v>1041</v>
      </c>
      <c r="U5127">
        <v>0.27760324999999997</v>
      </c>
    </row>
    <row r="5128" spans="1:21" x14ac:dyDescent="0.25">
      <c r="A5128" t="s">
        <v>51</v>
      </c>
      <c r="B5128" t="s">
        <v>860</v>
      </c>
      <c r="C5128">
        <v>12</v>
      </c>
      <c r="D5128" t="s">
        <v>15</v>
      </c>
      <c r="E5128" t="s">
        <v>94</v>
      </c>
      <c r="F5128" t="s">
        <v>105</v>
      </c>
      <c r="G5128" t="s">
        <v>104</v>
      </c>
      <c r="H5128" t="s">
        <v>104</v>
      </c>
      <c r="J5128">
        <v>0</v>
      </c>
      <c r="K5128">
        <v>2</v>
      </c>
      <c r="L5128">
        <v>67.5</v>
      </c>
      <c r="M5128">
        <v>47.937235809999997</v>
      </c>
      <c r="N5128">
        <v>0.41599678000000001</v>
      </c>
      <c r="O5128">
        <v>2.0950346999999998</v>
      </c>
      <c r="P5128">
        <v>113.9375</v>
      </c>
      <c r="Q5128">
        <v>33.375507550000002</v>
      </c>
      <c r="R5128">
        <v>2.4262999999999999</v>
      </c>
      <c r="S5128">
        <v>0.40692159999999999</v>
      </c>
      <c r="T5128" t="s">
        <v>1041</v>
      </c>
      <c r="U5128">
        <v>1.6881130999999998</v>
      </c>
    </row>
    <row r="5129" spans="1:21" x14ac:dyDescent="0.25">
      <c r="A5129" t="s">
        <v>51</v>
      </c>
      <c r="B5129" t="s">
        <v>860</v>
      </c>
      <c r="C5129">
        <v>12</v>
      </c>
      <c r="D5129" t="s">
        <v>15</v>
      </c>
      <c r="E5129" t="s">
        <v>94</v>
      </c>
      <c r="F5129" t="s">
        <v>105</v>
      </c>
      <c r="G5129" t="s">
        <v>104</v>
      </c>
      <c r="H5129" t="s">
        <v>104</v>
      </c>
      <c r="J5129">
        <v>0</v>
      </c>
      <c r="K5129">
        <v>2</v>
      </c>
      <c r="L5129">
        <v>67.5</v>
      </c>
      <c r="M5129">
        <v>47.937235809999997</v>
      </c>
      <c r="N5129">
        <v>0.41599678000000001</v>
      </c>
      <c r="O5129">
        <v>2.0950346999999998</v>
      </c>
      <c r="P5129">
        <v>113.9375</v>
      </c>
      <c r="Q5129">
        <v>33.375507550000002</v>
      </c>
      <c r="R5129">
        <v>2.4262999999999999</v>
      </c>
      <c r="S5129">
        <v>0.40692159999999999</v>
      </c>
      <c r="T5129" t="s">
        <v>1041</v>
      </c>
      <c r="U5129">
        <v>1.6881130999999998</v>
      </c>
    </row>
    <row r="5130" spans="1:21" x14ac:dyDescent="0.25">
      <c r="A5130" t="s">
        <v>51</v>
      </c>
      <c r="B5130" t="s">
        <v>861</v>
      </c>
      <c r="C5130">
        <v>12</v>
      </c>
      <c r="D5130" t="s">
        <v>15</v>
      </c>
      <c r="E5130" t="s">
        <v>94</v>
      </c>
      <c r="F5130" t="s">
        <v>111</v>
      </c>
      <c r="G5130" t="s">
        <v>121</v>
      </c>
      <c r="H5130" t="s">
        <v>241</v>
      </c>
      <c r="J5130">
        <v>0</v>
      </c>
      <c r="K5130">
        <v>1</v>
      </c>
      <c r="L5130">
        <v>94.97142857</v>
      </c>
      <c r="M5130">
        <v>24.31591813</v>
      </c>
      <c r="N5130">
        <v>0.122951111</v>
      </c>
      <c r="O5130">
        <v>0.39050790000000002</v>
      </c>
      <c r="P5130">
        <v>114</v>
      </c>
      <c r="Q5130">
        <v>30.43077242</v>
      </c>
      <c r="R5130">
        <v>0.53383111100000002</v>
      </c>
      <c r="S5130">
        <v>0.28333332999999999</v>
      </c>
      <c r="T5130" t="s">
        <v>1041</v>
      </c>
      <c r="U5130">
        <v>0.10717457000000002</v>
      </c>
    </row>
    <row r="5131" spans="1:21" x14ac:dyDescent="0.25">
      <c r="A5131" t="s">
        <v>51</v>
      </c>
      <c r="B5131" t="s">
        <v>862</v>
      </c>
      <c r="C5131">
        <v>12</v>
      </c>
      <c r="D5131" t="s">
        <v>15</v>
      </c>
      <c r="E5131" t="s">
        <v>94</v>
      </c>
      <c r="F5131" t="s">
        <v>112</v>
      </c>
      <c r="G5131" t="s">
        <v>112</v>
      </c>
      <c r="H5131" t="s">
        <v>112</v>
      </c>
      <c r="J5131">
        <v>0</v>
      </c>
      <c r="K5131">
        <v>2</v>
      </c>
      <c r="L5131">
        <v>65.09375</v>
      </c>
      <c r="M5131">
        <v>37.895352600000002</v>
      </c>
      <c r="N5131">
        <v>2.2882677779999998</v>
      </c>
      <c r="O5131">
        <v>2.2111774</v>
      </c>
      <c r="P5131">
        <v>65.09375</v>
      </c>
      <c r="Q5131">
        <v>37.895352600000002</v>
      </c>
      <c r="R5131">
        <v>2.2882677779999998</v>
      </c>
      <c r="S5131">
        <v>2.2111774</v>
      </c>
      <c r="T5131" t="s">
        <v>1041</v>
      </c>
      <c r="U5131">
        <v>0</v>
      </c>
    </row>
    <row r="5132" spans="1:21" x14ac:dyDescent="0.25">
      <c r="A5132" t="s">
        <v>51</v>
      </c>
      <c r="B5132" t="s">
        <v>862</v>
      </c>
      <c r="C5132">
        <v>12</v>
      </c>
      <c r="D5132" t="s">
        <v>15</v>
      </c>
      <c r="E5132" t="s">
        <v>94</v>
      </c>
      <c r="F5132" t="s">
        <v>112</v>
      </c>
      <c r="G5132" t="s">
        <v>112</v>
      </c>
      <c r="H5132" t="s">
        <v>112</v>
      </c>
      <c r="J5132">
        <v>0</v>
      </c>
      <c r="K5132">
        <v>2</v>
      </c>
      <c r="L5132">
        <v>65.09375</v>
      </c>
      <c r="M5132">
        <v>37.895352600000002</v>
      </c>
      <c r="N5132">
        <v>2.2882677779999998</v>
      </c>
      <c r="O5132">
        <v>2.2111774</v>
      </c>
      <c r="P5132">
        <v>65.09375</v>
      </c>
      <c r="Q5132">
        <v>37.895352600000002</v>
      </c>
      <c r="R5132">
        <v>2.2882677779999998</v>
      </c>
      <c r="S5132">
        <v>2.2111774</v>
      </c>
      <c r="T5132" t="s">
        <v>1041</v>
      </c>
      <c r="U5132">
        <v>0</v>
      </c>
    </row>
    <row r="5133" spans="1:21" x14ac:dyDescent="0.25">
      <c r="A5133" t="s">
        <v>52</v>
      </c>
      <c r="B5133" t="s">
        <v>863</v>
      </c>
      <c r="C5133">
        <v>12</v>
      </c>
      <c r="D5133" t="s">
        <v>17</v>
      </c>
      <c r="E5133" t="s">
        <v>95</v>
      </c>
      <c r="F5133" t="s">
        <v>102</v>
      </c>
      <c r="G5133" t="s">
        <v>121</v>
      </c>
      <c r="H5133" t="s">
        <v>238</v>
      </c>
      <c r="J5133">
        <v>0</v>
      </c>
      <c r="K5133">
        <v>1</v>
      </c>
      <c r="L5133">
        <v>84.740740740000007</v>
      </c>
      <c r="M5133">
        <v>29.167014049999999</v>
      </c>
      <c r="N5133">
        <v>1.1169849999999999</v>
      </c>
      <c r="O5133">
        <v>1.1571499000000001</v>
      </c>
      <c r="P5133">
        <v>87.5</v>
      </c>
      <c r="Q5133">
        <v>29.478311600000001</v>
      </c>
      <c r="R5133">
        <v>3.0797751000000002E-2</v>
      </c>
      <c r="S5133">
        <v>0.12931835</v>
      </c>
      <c r="T5133" t="s">
        <v>1041</v>
      </c>
      <c r="U5133">
        <v>1.0278315500000001</v>
      </c>
    </row>
    <row r="5134" spans="1:21" x14ac:dyDescent="0.25">
      <c r="A5134" t="s">
        <v>52</v>
      </c>
      <c r="B5134" t="s">
        <v>863</v>
      </c>
      <c r="C5134">
        <v>12</v>
      </c>
      <c r="D5134" t="s">
        <v>17</v>
      </c>
      <c r="E5134" t="s">
        <v>95</v>
      </c>
      <c r="F5134" t="s">
        <v>102</v>
      </c>
      <c r="G5134" t="s">
        <v>121</v>
      </c>
      <c r="H5134" t="s">
        <v>113</v>
      </c>
      <c r="J5134">
        <v>0</v>
      </c>
      <c r="K5134">
        <v>1</v>
      </c>
      <c r="L5134">
        <v>84.740740740000007</v>
      </c>
      <c r="M5134">
        <v>29.167014049999999</v>
      </c>
      <c r="N5134">
        <v>1.1169849999999999</v>
      </c>
      <c r="O5134">
        <v>1.1571499000000001</v>
      </c>
      <c r="P5134">
        <v>83.757575759999995</v>
      </c>
      <c r="Q5134">
        <v>22.60997987</v>
      </c>
      <c r="R5134">
        <v>0.72884000000000004</v>
      </c>
      <c r="S5134">
        <v>0.21301339999999999</v>
      </c>
      <c r="T5134" t="s">
        <v>1041</v>
      </c>
      <c r="U5134">
        <v>0.94413650000000005</v>
      </c>
    </row>
    <row r="5135" spans="1:21" x14ac:dyDescent="0.25">
      <c r="A5135" t="s">
        <v>52</v>
      </c>
      <c r="B5135" t="s">
        <v>864</v>
      </c>
      <c r="C5135">
        <v>12</v>
      </c>
      <c r="D5135" t="s">
        <v>17</v>
      </c>
      <c r="E5135" t="s">
        <v>95</v>
      </c>
      <c r="F5135" t="s">
        <v>103</v>
      </c>
      <c r="G5135" t="s">
        <v>121</v>
      </c>
      <c r="H5135" t="s">
        <v>234</v>
      </c>
      <c r="J5135">
        <v>0</v>
      </c>
      <c r="K5135">
        <v>5</v>
      </c>
      <c r="L5135">
        <v>98.291666669999998</v>
      </c>
      <c r="M5135">
        <v>30.315130790000001</v>
      </c>
      <c r="N5135">
        <v>5.0803484000000003E-2</v>
      </c>
      <c r="O5135">
        <v>0.42866070000000001</v>
      </c>
      <c r="P5135">
        <v>89.8125</v>
      </c>
      <c r="Q5135">
        <v>34.754706650000003</v>
      </c>
      <c r="R5135">
        <v>2.3065078999999999E-2</v>
      </c>
      <c r="S5135">
        <v>2.4791666700000001</v>
      </c>
      <c r="T5135" t="s">
        <v>1041</v>
      </c>
      <c r="U5135">
        <v>2.0505059700000001</v>
      </c>
    </row>
    <row r="5136" spans="1:21" x14ac:dyDescent="0.25">
      <c r="A5136" t="s">
        <v>52</v>
      </c>
      <c r="B5136" t="s">
        <v>864</v>
      </c>
      <c r="C5136">
        <v>12</v>
      </c>
      <c r="D5136" t="s">
        <v>17</v>
      </c>
      <c r="E5136" t="s">
        <v>95</v>
      </c>
      <c r="F5136" t="s">
        <v>103</v>
      </c>
      <c r="G5136" t="s">
        <v>121</v>
      </c>
      <c r="H5136" t="s">
        <v>234</v>
      </c>
      <c r="J5136">
        <v>0</v>
      </c>
      <c r="K5136">
        <v>5</v>
      </c>
      <c r="L5136">
        <v>98.291666669999998</v>
      </c>
      <c r="M5136">
        <v>30.315130790000001</v>
      </c>
      <c r="N5136">
        <v>5.0803484000000003E-2</v>
      </c>
      <c r="O5136">
        <v>0.42866070000000001</v>
      </c>
      <c r="P5136">
        <v>89.8125</v>
      </c>
      <c r="Q5136">
        <v>34.754706650000003</v>
      </c>
      <c r="R5136">
        <v>2.3065078999999999E-2</v>
      </c>
      <c r="S5136">
        <v>2.4791666700000001</v>
      </c>
      <c r="T5136" t="s">
        <v>1041</v>
      </c>
      <c r="U5136">
        <v>2.0505059700000001</v>
      </c>
    </row>
    <row r="5137" spans="1:21" x14ac:dyDescent="0.25">
      <c r="A5137" t="s">
        <v>52</v>
      </c>
      <c r="B5137" t="s">
        <v>864</v>
      </c>
      <c r="C5137">
        <v>12</v>
      </c>
      <c r="D5137" t="s">
        <v>17</v>
      </c>
      <c r="E5137" t="s">
        <v>95</v>
      </c>
      <c r="F5137" t="s">
        <v>103</v>
      </c>
      <c r="G5137" t="s">
        <v>121</v>
      </c>
      <c r="H5137" t="s">
        <v>234</v>
      </c>
      <c r="J5137">
        <v>0</v>
      </c>
      <c r="K5137">
        <v>5</v>
      </c>
      <c r="L5137">
        <v>98.291666669999998</v>
      </c>
      <c r="M5137">
        <v>30.315130790000001</v>
      </c>
      <c r="N5137">
        <v>5.0803484000000003E-2</v>
      </c>
      <c r="O5137">
        <v>0.42866070000000001</v>
      </c>
      <c r="P5137">
        <v>89.8125</v>
      </c>
      <c r="Q5137">
        <v>34.754706650000003</v>
      </c>
      <c r="R5137">
        <v>2.3065078999999999E-2</v>
      </c>
      <c r="S5137">
        <v>2.4791666700000001</v>
      </c>
      <c r="T5137" t="s">
        <v>1041</v>
      </c>
      <c r="U5137">
        <v>2.0505059700000001</v>
      </c>
    </row>
    <row r="5138" spans="1:21" x14ac:dyDescent="0.25">
      <c r="A5138" t="s">
        <v>52</v>
      </c>
      <c r="B5138" t="s">
        <v>864</v>
      </c>
      <c r="C5138">
        <v>12</v>
      </c>
      <c r="D5138" t="s">
        <v>17</v>
      </c>
      <c r="E5138" t="s">
        <v>95</v>
      </c>
      <c r="F5138" t="s">
        <v>103</v>
      </c>
      <c r="G5138" t="s">
        <v>121</v>
      </c>
      <c r="H5138" t="s">
        <v>234</v>
      </c>
      <c r="J5138">
        <v>0</v>
      </c>
      <c r="K5138">
        <v>5</v>
      </c>
      <c r="L5138">
        <v>98.291666669999998</v>
      </c>
      <c r="M5138">
        <v>30.315130790000001</v>
      </c>
      <c r="N5138">
        <v>5.0803484000000003E-2</v>
      </c>
      <c r="O5138">
        <v>0.42866070000000001</v>
      </c>
      <c r="P5138">
        <v>89.8125</v>
      </c>
      <c r="Q5138">
        <v>34.754706650000003</v>
      </c>
      <c r="R5138">
        <v>2.3065078999999999E-2</v>
      </c>
      <c r="S5138">
        <v>2.4791666700000001</v>
      </c>
      <c r="T5138" t="s">
        <v>1041</v>
      </c>
      <c r="U5138">
        <v>2.0505059700000001</v>
      </c>
    </row>
    <row r="5139" spans="1:21" x14ac:dyDescent="0.25">
      <c r="A5139" t="s">
        <v>52</v>
      </c>
      <c r="B5139" t="s">
        <v>864</v>
      </c>
      <c r="C5139">
        <v>12</v>
      </c>
      <c r="D5139" t="s">
        <v>17</v>
      </c>
      <c r="E5139" t="s">
        <v>95</v>
      </c>
      <c r="F5139" t="s">
        <v>103</v>
      </c>
      <c r="G5139" t="s">
        <v>121</v>
      </c>
      <c r="H5139" t="s">
        <v>234</v>
      </c>
      <c r="J5139">
        <v>0</v>
      </c>
      <c r="K5139">
        <v>5</v>
      </c>
      <c r="L5139">
        <v>98.291666669999998</v>
      </c>
      <c r="M5139">
        <v>30.315130790000001</v>
      </c>
      <c r="N5139">
        <v>5.0803484000000003E-2</v>
      </c>
      <c r="O5139">
        <v>0.42866070000000001</v>
      </c>
      <c r="P5139">
        <v>89.8125</v>
      </c>
      <c r="Q5139">
        <v>34.754706650000003</v>
      </c>
      <c r="R5139">
        <v>2.3065078999999999E-2</v>
      </c>
      <c r="S5139">
        <v>2.4791666700000001</v>
      </c>
      <c r="T5139" t="s">
        <v>1041</v>
      </c>
      <c r="U5139">
        <v>2.0505059700000001</v>
      </c>
    </row>
    <row r="5140" spans="1:21" x14ac:dyDescent="0.25">
      <c r="A5140" t="s">
        <v>52</v>
      </c>
      <c r="B5140" t="s">
        <v>865</v>
      </c>
      <c r="C5140">
        <v>12</v>
      </c>
      <c r="D5140" t="s">
        <v>17</v>
      </c>
      <c r="E5140" t="s">
        <v>95</v>
      </c>
      <c r="F5140" t="s">
        <v>111</v>
      </c>
      <c r="G5140" t="s">
        <v>103</v>
      </c>
      <c r="H5140" t="s">
        <v>103</v>
      </c>
      <c r="J5140">
        <v>0</v>
      </c>
      <c r="K5140">
        <v>1</v>
      </c>
      <c r="L5140">
        <v>94.97142857</v>
      </c>
      <c r="M5140">
        <v>24.31591813</v>
      </c>
      <c r="N5140">
        <v>0.122951111</v>
      </c>
      <c r="O5140">
        <v>0.39050790000000002</v>
      </c>
      <c r="P5140">
        <v>98.291666669999998</v>
      </c>
      <c r="Q5140">
        <v>30.315130790000001</v>
      </c>
      <c r="R5140">
        <v>5.0803484000000003E-2</v>
      </c>
      <c r="S5140">
        <v>0.42866070000000001</v>
      </c>
      <c r="T5140" t="s">
        <v>1041</v>
      </c>
      <c r="U5140">
        <v>3.8152799999999987E-2</v>
      </c>
    </row>
    <row r="5141" spans="1:21" x14ac:dyDescent="0.25">
      <c r="A5141" t="s">
        <v>52</v>
      </c>
      <c r="B5141" t="s">
        <v>866</v>
      </c>
      <c r="C5141">
        <v>12</v>
      </c>
      <c r="D5141" t="s">
        <v>17</v>
      </c>
      <c r="E5141" t="s">
        <v>95</v>
      </c>
      <c r="F5141" t="s">
        <v>112</v>
      </c>
      <c r="G5141" t="s">
        <v>121</v>
      </c>
      <c r="H5141" t="s">
        <v>235</v>
      </c>
      <c r="J5141">
        <v>0</v>
      </c>
      <c r="K5141">
        <v>1</v>
      </c>
      <c r="L5141">
        <v>65.09375</v>
      </c>
      <c r="M5141">
        <v>37.895352600000002</v>
      </c>
      <c r="N5141">
        <v>2.2882677779999998</v>
      </c>
      <c r="O5141">
        <v>2.2111774</v>
      </c>
      <c r="P5141">
        <v>132.27272730000001</v>
      </c>
      <c r="Q5141">
        <v>20.180448590000001</v>
      </c>
      <c r="R5141">
        <v>3.7813451999999997E-2</v>
      </c>
      <c r="S5141">
        <v>0.41404401000000002</v>
      </c>
      <c r="T5141" t="s">
        <v>1041</v>
      </c>
      <c r="U5141">
        <v>1.7971333899999999</v>
      </c>
    </row>
    <row r="5142" spans="1:21" x14ac:dyDescent="0.25">
      <c r="A5142" t="s">
        <v>53</v>
      </c>
      <c r="B5142" t="s">
        <v>867</v>
      </c>
      <c r="C5142">
        <v>12</v>
      </c>
      <c r="D5142" t="s">
        <v>19</v>
      </c>
      <c r="E5142" t="s">
        <v>94</v>
      </c>
      <c r="F5142" t="s">
        <v>102</v>
      </c>
      <c r="G5142" t="s">
        <v>121</v>
      </c>
      <c r="H5142" t="s">
        <v>808</v>
      </c>
      <c r="J5142">
        <v>0</v>
      </c>
      <c r="K5142">
        <v>1</v>
      </c>
      <c r="L5142">
        <v>84.740740740000007</v>
      </c>
      <c r="M5142">
        <v>29.167014049999999</v>
      </c>
      <c r="N5142">
        <v>1.1169849999999999</v>
      </c>
      <c r="O5142">
        <v>1.1571499000000001</v>
      </c>
      <c r="P5142">
        <v>102.79166669999999</v>
      </c>
      <c r="Q5142">
        <v>27.057373470000002</v>
      </c>
      <c r="R5142">
        <v>6.3567849939999999</v>
      </c>
      <c r="S5142" t="s">
        <v>114</v>
      </c>
      <c r="T5142" t="s">
        <v>1041</v>
      </c>
      <c r="U5142" t="s">
        <v>114</v>
      </c>
    </row>
    <row r="5143" spans="1:21" x14ac:dyDescent="0.25">
      <c r="A5143" t="s">
        <v>53</v>
      </c>
      <c r="B5143" t="s">
        <v>867</v>
      </c>
      <c r="C5143">
        <v>12</v>
      </c>
      <c r="D5143" t="s">
        <v>19</v>
      </c>
      <c r="E5143" t="s">
        <v>94</v>
      </c>
      <c r="F5143" t="s">
        <v>102</v>
      </c>
      <c r="G5143" t="s">
        <v>121</v>
      </c>
      <c r="H5143" t="s">
        <v>241</v>
      </c>
      <c r="J5143">
        <v>0</v>
      </c>
      <c r="K5143">
        <v>1</v>
      </c>
      <c r="L5143">
        <v>84.740740740000007</v>
      </c>
      <c r="M5143">
        <v>29.167014049999999</v>
      </c>
      <c r="N5143">
        <v>1.1169849999999999</v>
      </c>
      <c r="O5143">
        <v>1.1571499000000001</v>
      </c>
      <c r="P5143">
        <v>114</v>
      </c>
      <c r="Q5143">
        <v>30.43077242</v>
      </c>
      <c r="R5143">
        <v>0.53383111100000002</v>
      </c>
      <c r="S5143">
        <v>0.28333332999999999</v>
      </c>
      <c r="T5143" t="s">
        <v>1041</v>
      </c>
      <c r="U5143">
        <v>0.87381657000000001</v>
      </c>
    </row>
    <row r="5144" spans="1:21" x14ac:dyDescent="0.25">
      <c r="A5144" t="s">
        <v>53</v>
      </c>
      <c r="B5144" t="s">
        <v>868</v>
      </c>
      <c r="C5144">
        <v>12</v>
      </c>
      <c r="D5144" t="s">
        <v>19</v>
      </c>
      <c r="E5144" t="s">
        <v>94</v>
      </c>
      <c r="F5144" t="s">
        <v>113</v>
      </c>
      <c r="G5144" t="s">
        <v>121</v>
      </c>
      <c r="H5144" t="s">
        <v>103</v>
      </c>
      <c r="J5144">
        <v>0</v>
      </c>
      <c r="K5144">
        <v>1</v>
      </c>
      <c r="L5144">
        <v>83.757575759999995</v>
      </c>
      <c r="M5144">
        <v>22.60997987</v>
      </c>
      <c r="N5144">
        <v>0.72884000000000004</v>
      </c>
      <c r="O5144">
        <v>0.21301339999999999</v>
      </c>
      <c r="P5144">
        <v>98.291666669999998</v>
      </c>
      <c r="Q5144">
        <v>30.315130790000001</v>
      </c>
      <c r="R5144">
        <v>5.0803484000000003E-2</v>
      </c>
      <c r="S5144">
        <v>0.42866070000000001</v>
      </c>
      <c r="T5144" t="s">
        <v>1041</v>
      </c>
      <c r="U5144">
        <v>0.21564730000000001</v>
      </c>
    </row>
    <row r="5145" spans="1:21" x14ac:dyDescent="0.25">
      <c r="A5145" t="s">
        <v>53</v>
      </c>
      <c r="B5145" t="s">
        <v>868</v>
      </c>
      <c r="C5145">
        <v>12</v>
      </c>
      <c r="D5145" t="s">
        <v>19</v>
      </c>
      <c r="E5145" t="s">
        <v>94</v>
      </c>
      <c r="F5145" t="s">
        <v>113</v>
      </c>
      <c r="G5145" t="s">
        <v>121</v>
      </c>
      <c r="H5145" t="s">
        <v>238</v>
      </c>
      <c r="J5145">
        <v>0</v>
      </c>
      <c r="K5145">
        <v>1</v>
      </c>
      <c r="L5145">
        <v>83.757575759999995</v>
      </c>
      <c r="M5145">
        <v>22.60997987</v>
      </c>
      <c r="N5145">
        <v>0.72884000000000004</v>
      </c>
      <c r="O5145">
        <v>0.21301339999999999</v>
      </c>
      <c r="P5145">
        <v>87.5</v>
      </c>
      <c r="Q5145">
        <v>29.478311600000001</v>
      </c>
      <c r="R5145">
        <v>3.0797751000000002E-2</v>
      </c>
      <c r="S5145">
        <v>0.12931835</v>
      </c>
      <c r="T5145" t="s">
        <v>1041</v>
      </c>
      <c r="U5145">
        <v>8.3695049999999993E-2</v>
      </c>
    </row>
    <row r="5146" spans="1:21" x14ac:dyDescent="0.25">
      <c r="A5146" t="s">
        <v>53</v>
      </c>
      <c r="B5146" t="s">
        <v>868</v>
      </c>
      <c r="C5146">
        <v>12</v>
      </c>
      <c r="D5146" t="s">
        <v>19</v>
      </c>
      <c r="E5146" t="s">
        <v>94</v>
      </c>
      <c r="F5146" t="s">
        <v>113</v>
      </c>
      <c r="G5146" t="s">
        <v>121</v>
      </c>
      <c r="H5146" t="s">
        <v>235</v>
      </c>
      <c r="J5146">
        <v>0</v>
      </c>
      <c r="K5146">
        <v>1</v>
      </c>
      <c r="L5146">
        <v>83.757575759999995</v>
      </c>
      <c r="M5146">
        <v>22.60997987</v>
      </c>
      <c r="N5146">
        <v>0.72884000000000004</v>
      </c>
      <c r="O5146">
        <v>0.21301339999999999</v>
      </c>
      <c r="P5146">
        <v>132.27272730000001</v>
      </c>
      <c r="Q5146">
        <v>20.180448590000001</v>
      </c>
      <c r="R5146">
        <v>3.7813451999999997E-2</v>
      </c>
      <c r="S5146">
        <v>0.41404401000000002</v>
      </c>
      <c r="T5146" t="s">
        <v>1041</v>
      </c>
      <c r="U5146">
        <v>0.20103061000000003</v>
      </c>
    </row>
    <row r="5147" spans="1:21" x14ac:dyDescent="0.25">
      <c r="A5147" t="s">
        <v>53</v>
      </c>
      <c r="B5147" t="s">
        <v>868</v>
      </c>
      <c r="C5147">
        <v>12</v>
      </c>
      <c r="D5147" t="s">
        <v>19</v>
      </c>
      <c r="E5147" t="s">
        <v>94</v>
      </c>
      <c r="F5147" t="s">
        <v>113</v>
      </c>
      <c r="G5147" t="s">
        <v>121</v>
      </c>
      <c r="H5147" t="s">
        <v>241</v>
      </c>
      <c r="J5147">
        <v>0</v>
      </c>
      <c r="K5147">
        <v>2</v>
      </c>
      <c r="L5147">
        <v>83.757575759999995</v>
      </c>
      <c r="M5147">
        <v>22.60997987</v>
      </c>
      <c r="N5147">
        <v>0.72884000000000004</v>
      </c>
      <c r="O5147">
        <v>0.21301339999999999</v>
      </c>
      <c r="P5147">
        <v>114</v>
      </c>
      <c r="Q5147">
        <v>30.43077242</v>
      </c>
      <c r="R5147">
        <v>0.53383111100000002</v>
      </c>
      <c r="S5147">
        <v>0.28333332999999999</v>
      </c>
      <c r="T5147" t="s">
        <v>1041</v>
      </c>
      <c r="U5147">
        <v>7.0319930000000003E-2</v>
      </c>
    </row>
    <row r="5148" spans="1:21" x14ac:dyDescent="0.25">
      <c r="A5148" t="s">
        <v>53</v>
      </c>
      <c r="B5148" t="s">
        <v>868</v>
      </c>
      <c r="C5148">
        <v>12</v>
      </c>
      <c r="D5148" t="s">
        <v>19</v>
      </c>
      <c r="E5148" t="s">
        <v>94</v>
      </c>
      <c r="F5148" t="s">
        <v>113</v>
      </c>
      <c r="G5148" t="s">
        <v>121</v>
      </c>
      <c r="H5148" t="s">
        <v>241</v>
      </c>
      <c r="J5148">
        <v>0</v>
      </c>
      <c r="K5148">
        <v>2</v>
      </c>
      <c r="L5148">
        <v>83.757575759999995</v>
      </c>
      <c r="M5148">
        <v>22.60997987</v>
      </c>
      <c r="N5148">
        <v>0.72884000000000004</v>
      </c>
      <c r="O5148">
        <v>0.21301339999999999</v>
      </c>
      <c r="P5148">
        <v>114</v>
      </c>
      <c r="Q5148">
        <v>30.43077242</v>
      </c>
      <c r="R5148">
        <v>0.53383111100000002</v>
      </c>
      <c r="S5148">
        <v>0.28333332999999999</v>
      </c>
      <c r="T5148" t="s">
        <v>1041</v>
      </c>
      <c r="U5148">
        <v>7.0319930000000003E-2</v>
      </c>
    </row>
    <row r="5149" spans="1:21" x14ac:dyDescent="0.25">
      <c r="A5149" t="s">
        <v>53</v>
      </c>
      <c r="B5149" t="s">
        <v>868</v>
      </c>
      <c r="C5149">
        <v>12</v>
      </c>
      <c r="D5149" t="s">
        <v>19</v>
      </c>
      <c r="E5149" t="s">
        <v>94</v>
      </c>
      <c r="F5149" t="s">
        <v>113</v>
      </c>
      <c r="G5149" t="s">
        <v>121</v>
      </c>
      <c r="H5149" t="s">
        <v>242</v>
      </c>
      <c r="J5149">
        <v>0</v>
      </c>
      <c r="K5149">
        <v>1</v>
      </c>
      <c r="L5149">
        <v>83.757575759999995</v>
      </c>
      <c r="M5149">
        <v>22.60997987</v>
      </c>
      <c r="N5149">
        <v>0.72884000000000004</v>
      </c>
      <c r="O5149">
        <v>0.21301339999999999</v>
      </c>
      <c r="P5149">
        <v>139.375</v>
      </c>
      <c r="Q5149">
        <v>23.713465920000001</v>
      </c>
      <c r="R5149" t="s">
        <v>114</v>
      </c>
      <c r="S5149" t="s">
        <v>114</v>
      </c>
      <c r="T5149" t="s">
        <v>1041</v>
      </c>
      <c r="U5149" t="s">
        <v>114</v>
      </c>
    </row>
    <row r="5150" spans="1:21" x14ac:dyDescent="0.25">
      <c r="A5150" t="s">
        <v>53</v>
      </c>
      <c r="B5150" t="s">
        <v>868</v>
      </c>
      <c r="C5150">
        <v>12</v>
      </c>
      <c r="D5150" t="s">
        <v>19</v>
      </c>
      <c r="E5150" t="s">
        <v>94</v>
      </c>
      <c r="F5150" t="s">
        <v>113</v>
      </c>
      <c r="G5150" t="s">
        <v>121</v>
      </c>
      <c r="H5150" t="s">
        <v>112</v>
      </c>
      <c r="J5150">
        <v>0</v>
      </c>
      <c r="K5150">
        <v>1</v>
      </c>
      <c r="L5150">
        <v>83.757575759999995</v>
      </c>
      <c r="M5150">
        <v>22.60997987</v>
      </c>
      <c r="N5150">
        <v>0.72884000000000004</v>
      </c>
      <c r="O5150">
        <v>0.21301339999999999</v>
      </c>
      <c r="P5150">
        <v>65.09375</v>
      </c>
      <c r="Q5150">
        <v>37.895352600000002</v>
      </c>
      <c r="R5150">
        <v>2.2882677779999998</v>
      </c>
      <c r="S5150">
        <v>2.2111774</v>
      </c>
      <c r="T5150" t="s">
        <v>1041</v>
      </c>
      <c r="U5150">
        <v>1.9981640000000001</v>
      </c>
    </row>
    <row r="5151" spans="1:21" x14ac:dyDescent="0.25">
      <c r="A5151" t="s">
        <v>53</v>
      </c>
      <c r="B5151" t="s">
        <v>869</v>
      </c>
      <c r="C5151">
        <v>12</v>
      </c>
      <c r="D5151" t="s">
        <v>19</v>
      </c>
      <c r="E5151" t="s">
        <v>94</v>
      </c>
      <c r="F5151" t="s">
        <v>103</v>
      </c>
      <c r="G5151" t="s">
        <v>121</v>
      </c>
      <c r="H5151" t="s">
        <v>103</v>
      </c>
      <c r="J5151">
        <v>0</v>
      </c>
      <c r="K5151">
        <v>1</v>
      </c>
      <c r="L5151">
        <v>98.291666669999998</v>
      </c>
      <c r="M5151">
        <v>30.315130790000001</v>
      </c>
      <c r="N5151">
        <v>5.0803484000000003E-2</v>
      </c>
      <c r="O5151">
        <v>0.42866070000000001</v>
      </c>
      <c r="P5151">
        <v>98.291666669999998</v>
      </c>
      <c r="Q5151">
        <v>30.315130790000001</v>
      </c>
      <c r="R5151">
        <v>5.0803484000000003E-2</v>
      </c>
      <c r="S5151">
        <v>0.42866070000000001</v>
      </c>
      <c r="T5151" t="s">
        <v>1041</v>
      </c>
      <c r="U5151">
        <v>0</v>
      </c>
    </row>
    <row r="5152" spans="1:21" x14ac:dyDescent="0.25">
      <c r="A5152" t="s">
        <v>53</v>
      </c>
      <c r="B5152" t="s">
        <v>869</v>
      </c>
      <c r="C5152">
        <v>12</v>
      </c>
      <c r="D5152" t="s">
        <v>19</v>
      </c>
      <c r="E5152" t="s">
        <v>94</v>
      </c>
      <c r="F5152" t="s">
        <v>103</v>
      </c>
      <c r="G5152" t="s">
        <v>121</v>
      </c>
      <c r="H5152" t="s">
        <v>241</v>
      </c>
      <c r="J5152">
        <v>0</v>
      </c>
      <c r="K5152">
        <v>1</v>
      </c>
      <c r="L5152">
        <v>98.291666669999998</v>
      </c>
      <c r="M5152">
        <v>30.315130790000001</v>
      </c>
      <c r="N5152">
        <v>5.0803484000000003E-2</v>
      </c>
      <c r="O5152">
        <v>0.42866070000000001</v>
      </c>
      <c r="P5152">
        <v>114</v>
      </c>
      <c r="Q5152">
        <v>30.43077242</v>
      </c>
      <c r="R5152">
        <v>0.53383111100000002</v>
      </c>
      <c r="S5152">
        <v>0.28333332999999999</v>
      </c>
      <c r="T5152" t="s">
        <v>1041</v>
      </c>
      <c r="U5152">
        <v>0.14532737000000001</v>
      </c>
    </row>
    <row r="5153" spans="1:21" x14ac:dyDescent="0.25">
      <c r="A5153" t="s">
        <v>53</v>
      </c>
      <c r="B5153" t="s">
        <v>870</v>
      </c>
      <c r="C5153">
        <v>12</v>
      </c>
      <c r="D5153" t="s">
        <v>19</v>
      </c>
      <c r="E5153" t="s">
        <v>94</v>
      </c>
      <c r="F5153" t="s">
        <v>112</v>
      </c>
      <c r="G5153" t="s">
        <v>121</v>
      </c>
      <c r="H5153" t="s">
        <v>114</v>
      </c>
      <c r="J5153">
        <v>0</v>
      </c>
      <c r="K5153">
        <v>0</v>
      </c>
      <c r="L5153">
        <v>65.09375</v>
      </c>
      <c r="M5153">
        <v>37.895352600000002</v>
      </c>
      <c r="N5153">
        <v>2.2882677779999998</v>
      </c>
      <c r="O5153">
        <v>2.2111774</v>
      </c>
      <c r="P5153" t="s">
        <v>114</v>
      </c>
      <c r="Q5153" t="s">
        <v>114</v>
      </c>
      <c r="R5153" t="s">
        <v>114</v>
      </c>
      <c r="S5153" t="s">
        <v>114</v>
      </c>
      <c r="T5153" t="s">
        <v>1041</v>
      </c>
      <c r="U5153" t="s">
        <v>114</v>
      </c>
    </row>
    <row r="5154" spans="1:21" x14ac:dyDescent="0.25">
      <c r="A5154" t="s">
        <v>54</v>
      </c>
      <c r="B5154" t="s">
        <v>871</v>
      </c>
      <c r="C5154">
        <v>12</v>
      </c>
      <c r="D5154" t="s">
        <v>21</v>
      </c>
      <c r="E5154" t="s">
        <v>95</v>
      </c>
      <c r="F5154" t="s">
        <v>113</v>
      </c>
      <c r="G5154" t="s">
        <v>121</v>
      </c>
      <c r="H5154" t="s">
        <v>241</v>
      </c>
      <c r="J5154">
        <v>0</v>
      </c>
      <c r="K5154">
        <v>2</v>
      </c>
      <c r="L5154">
        <v>83.757575759999995</v>
      </c>
      <c r="M5154">
        <v>22.60997987</v>
      </c>
      <c r="N5154">
        <v>0.72884000000000004</v>
      </c>
      <c r="O5154">
        <v>0.21301339999999999</v>
      </c>
      <c r="P5154">
        <v>114</v>
      </c>
      <c r="Q5154">
        <v>30.43077242</v>
      </c>
      <c r="R5154">
        <v>0.53383111100000002</v>
      </c>
      <c r="S5154">
        <v>0.28333332999999999</v>
      </c>
      <c r="T5154" t="s">
        <v>1041</v>
      </c>
      <c r="U5154">
        <v>7.0319930000000003E-2</v>
      </c>
    </row>
    <row r="5155" spans="1:21" x14ac:dyDescent="0.25">
      <c r="A5155" t="s">
        <v>54</v>
      </c>
      <c r="B5155" t="s">
        <v>871</v>
      </c>
      <c r="C5155">
        <v>12</v>
      </c>
      <c r="D5155" t="s">
        <v>21</v>
      </c>
      <c r="E5155" t="s">
        <v>95</v>
      </c>
      <c r="F5155" t="s">
        <v>113</v>
      </c>
      <c r="G5155" t="s">
        <v>121</v>
      </c>
      <c r="H5155" t="s">
        <v>241</v>
      </c>
      <c r="J5155">
        <v>0</v>
      </c>
      <c r="K5155">
        <v>2</v>
      </c>
      <c r="L5155">
        <v>83.757575759999995</v>
      </c>
      <c r="M5155">
        <v>22.60997987</v>
      </c>
      <c r="N5155">
        <v>0.72884000000000004</v>
      </c>
      <c r="O5155">
        <v>0.21301339999999999</v>
      </c>
      <c r="P5155">
        <v>114</v>
      </c>
      <c r="Q5155">
        <v>30.43077242</v>
      </c>
      <c r="R5155">
        <v>0.53383111100000002</v>
      </c>
      <c r="S5155">
        <v>0.28333332999999999</v>
      </c>
      <c r="T5155" t="s">
        <v>1041</v>
      </c>
      <c r="U5155">
        <v>7.0319930000000003E-2</v>
      </c>
    </row>
    <row r="5156" spans="1:21" x14ac:dyDescent="0.25">
      <c r="A5156" t="s">
        <v>54</v>
      </c>
      <c r="B5156" t="s">
        <v>872</v>
      </c>
      <c r="C5156">
        <v>12</v>
      </c>
      <c r="D5156" t="s">
        <v>21</v>
      </c>
      <c r="E5156" t="s">
        <v>95</v>
      </c>
      <c r="F5156" t="s">
        <v>110</v>
      </c>
      <c r="G5156" t="s">
        <v>121</v>
      </c>
      <c r="H5156" t="s">
        <v>241</v>
      </c>
      <c r="I5156" t="s">
        <v>162</v>
      </c>
      <c r="J5156">
        <v>1</v>
      </c>
      <c r="K5156">
        <v>2</v>
      </c>
      <c r="L5156">
        <v>73.260869569999997</v>
      </c>
      <c r="M5156">
        <v>34.453830549999999</v>
      </c>
      <c r="N5156">
        <v>1.058333333</v>
      </c>
      <c r="O5156">
        <v>0.90897070000000002</v>
      </c>
      <c r="P5156">
        <v>114</v>
      </c>
      <c r="Q5156">
        <v>30.43077242</v>
      </c>
      <c r="R5156">
        <v>0.53383111100000002</v>
      </c>
      <c r="S5156">
        <v>0.28333332999999999</v>
      </c>
      <c r="T5156" t="s">
        <v>1041</v>
      </c>
      <c r="U5156">
        <v>0.62563736999999997</v>
      </c>
    </row>
    <row r="5157" spans="1:21" x14ac:dyDescent="0.25">
      <c r="A5157" t="s">
        <v>54</v>
      </c>
      <c r="B5157" t="s">
        <v>872</v>
      </c>
      <c r="C5157">
        <v>12</v>
      </c>
      <c r="D5157" t="s">
        <v>21</v>
      </c>
      <c r="E5157" t="s">
        <v>95</v>
      </c>
      <c r="F5157" t="s">
        <v>110</v>
      </c>
      <c r="G5157" t="s">
        <v>121</v>
      </c>
      <c r="H5157" t="s">
        <v>241</v>
      </c>
      <c r="I5157" t="s">
        <v>162</v>
      </c>
      <c r="J5157">
        <v>1</v>
      </c>
      <c r="K5157">
        <v>2</v>
      </c>
      <c r="L5157">
        <v>73.260869569999997</v>
      </c>
      <c r="M5157">
        <v>34.453830549999999</v>
      </c>
      <c r="N5157">
        <v>1.058333333</v>
      </c>
      <c r="O5157">
        <v>0.90897070000000002</v>
      </c>
      <c r="P5157">
        <v>114</v>
      </c>
      <c r="Q5157">
        <v>30.43077242</v>
      </c>
      <c r="R5157">
        <v>0.53383111100000002</v>
      </c>
      <c r="S5157">
        <v>0.28333332999999999</v>
      </c>
      <c r="T5157" t="s">
        <v>1041</v>
      </c>
      <c r="U5157">
        <v>0.62563736999999997</v>
      </c>
    </row>
    <row r="5158" spans="1:21" x14ac:dyDescent="0.25">
      <c r="A5158" t="s">
        <v>54</v>
      </c>
      <c r="B5158" t="s">
        <v>873</v>
      </c>
      <c r="C5158">
        <v>12</v>
      </c>
      <c r="D5158" t="s">
        <v>21</v>
      </c>
      <c r="E5158" t="s">
        <v>95</v>
      </c>
      <c r="F5158" t="s">
        <v>111</v>
      </c>
      <c r="G5158" t="s">
        <v>121</v>
      </c>
      <c r="H5158" t="s">
        <v>162</v>
      </c>
      <c r="J5158">
        <v>0</v>
      </c>
      <c r="K5158">
        <v>1</v>
      </c>
      <c r="L5158">
        <v>94.97142857</v>
      </c>
      <c r="M5158">
        <v>24.31591813</v>
      </c>
      <c r="N5158">
        <v>0.122951111</v>
      </c>
      <c r="O5158">
        <v>0.39050790000000002</v>
      </c>
      <c r="P5158">
        <v>82.53846154</v>
      </c>
      <c r="Q5158">
        <v>35.660530039999998</v>
      </c>
      <c r="R5158">
        <v>3.3754499999999998</v>
      </c>
      <c r="S5158" t="s">
        <v>114</v>
      </c>
      <c r="T5158" t="s">
        <v>1041</v>
      </c>
      <c r="U5158" t="s">
        <v>114</v>
      </c>
    </row>
    <row r="5159" spans="1:21" x14ac:dyDescent="0.25">
      <c r="A5159" t="s">
        <v>55</v>
      </c>
      <c r="B5159" t="s">
        <v>874</v>
      </c>
      <c r="C5159">
        <v>12</v>
      </c>
      <c r="D5159" t="s">
        <v>23</v>
      </c>
      <c r="E5159" t="s">
        <v>94</v>
      </c>
      <c r="F5159" t="s">
        <v>113</v>
      </c>
      <c r="G5159" t="s">
        <v>110</v>
      </c>
      <c r="H5159" t="s">
        <v>238</v>
      </c>
      <c r="J5159">
        <v>0</v>
      </c>
      <c r="K5159">
        <v>1</v>
      </c>
      <c r="L5159">
        <v>83.757575759999995</v>
      </c>
      <c r="M5159">
        <v>22.60997987</v>
      </c>
      <c r="N5159">
        <v>0.72884000000000004</v>
      </c>
      <c r="O5159">
        <v>0.21301339999999999</v>
      </c>
      <c r="P5159">
        <v>87.5</v>
      </c>
      <c r="Q5159">
        <v>29.478311600000001</v>
      </c>
      <c r="R5159">
        <v>3.0797751000000002E-2</v>
      </c>
      <c r="S5159">
        <v>0.12931835</v>
      </c>
      <c r="T5159" t="s">
        <v>1041</v>
      </c>
      <c r="U5159">
        <v>8.3695049999999993E-2</v>
      </c>
    </row>
    <row r="5160" spans="1:21" x14ac:dyDescent="0.25">
      <c r="A5160" t="s">
        <v>55</v>
      </c>
      <c r="B5160" t="s">
        <v>874</v>
      </c>
      <c r="C5160">
        <v>12</v>
      </c>
      <c r="D5160" t="s">
        <v>23</v>
      </c>
      <c r="E5160" t="s">
        <v>94</v>
      </c>
      <c r="F5160" t="s">
        <v>113</v>
      </c>
      <c r="G5160" t="s">
        <v>110</v>
      </c>
      <c r="H5160" t="s">
        <v>103</v>
      </c>
      <c r="J5160">
        <v>0</v>
      </c>
      <c r="K5160">
        <v>1</v>
      </c>
      <c r="L5160">
        <v>83.757575759999995</v>
      </c>
      <c r="M5160">
        <v>22.60997987</v>
      </c>
      <c r="N5160">
        <v>0.72884000000000004</v>
      </c>
      <c r="O5160">
        <v>0.21301339999999999</v>
      </c>
      <c r="P5160">
        <v>98.291666669999998</v>
      </c>
      <c r="Q5160">
        <v>30.315130790000001</v>
      </c>
      <c r="R5160">
        <v>5.0803484000000003E-2</v>
      </c>
      <c r="S5160">
        <v>0.42866070000000001</v>
      </c>
      <c r="T5160" t="s">
        <v>1041</v>
      </c>
      <c r="U5160">
        <v>0.21564730000000001</v>
      </c>
    </row>
    <row r="5161" spans="1:21" x14ac:dyDescent="0.25">
      <c r="A5161" t="s">
        <v>55</v>
      </c>
      <c r="B5161" t="s">
        <v>874</v>
      </c>
      <c r="C5161">
        <v>12</v>
      </c>
      <c r="D5161" t="s">
        <v>23</v>
      </c>
      <c r="E5161" t="s">
        <v>94</v>
      </c>
      <c r="F5161" t="s">
        <v>113</v>
      </c>
      <c r="G5161" t="s">
        <v>110</v>
      </c>
      <c r="H5161" t="s">
        <v>808</v>
      </c>
      <c r="J5161">
        <v>0</v>
      </c>
      <c r="K5161">
        <v>1</v>
      </c>
      <c r="L5161">
        <v>83.757575759999995</v>
      </c>
      <c r="M5161">
        <v>22.60997987</v>
      </c>
      <c r="N5161">
        <v>0.72884000000000004</v>
      </c>
      <c r="O5161">
        <v>0.21301339999999999</v>
      </c>
      <c r="P5161">
        <v>102.79166669999999</v>
      </c>
      <c r="Q5161">
        <v>27.057373470000002</v>
      </c>
      <c r="R5161">
        <v>6.3567849939999999</v>
      </c>
      <c r="S5161" t="s">
        <v>114</v>
      </c>
      <c r="T5161" t="s">
        <v>1041</v>
      </c>
      <c r="U5161" t="s">
        <v>114</v>
      </c>
    </row>
    <row r="5162" spans="1:21" x14ac:dyDescent="0.25">
      <c r="A5162" t="s">
        <v>55</v>
      </c>
      <c r="B5162" t="s">
        <v>874</v>
      </c>
      <c r="C5162">
        <v>12</v>
      </c>
      <c r="D5162" t="s">
        <v>23</v>
      </c>
      <c r="E5162" t="s">
        <v>94</v>
      </c>
      <c r="F5162" t="s">
        <v>113</v>
      </c>
      <c r="G5162" t="s">
        <v>110</v>
      </c>
      <c r="H5162" t="s">
        <v>113</v>
      </c>
      <c r="J5162">
        <v>0</v>
      </c>
      <c r="K5162">
        <v>1</v>
      </c>
      <c r="L5162">
        <v>83.757575759999995</v>
      </c>
      <c r="M5162">
        <v>22.60997987</v>
      </c>
      <c r="N5162">
        <v>0.72884000000000004</v>
      </c>
      <c r="O5162">
        <v>0.21301339999999999</v>
      </c>
      <c r="P5162">
        <v>83.757575759999995</v>
      </c>
      <c r="Q5162">
        <v>22.60997987</v>
      </c>
      <c r="R5162">
        <v>0.72884000000000004</v>
      </c>
      <c r="S5162">
        <v>0.21301339999999999</v>
      </c>
      <c r="T5162" t="s">
        <v>1041</v>
      </c>
      <c r="U5162">
        <v>0</v>
      </c>
    </row>
    <row r="5163" spans="1:21" x14ac:dyDescent="0.25">
      <c r="A5163" t="s">
        <v>55</v>
      </c>
      <c r="B5163" t="s">
        <v>875</v>
      </c>
      <c r="C5163">
        <v>12</v>
      </c>
      <c r="D5163" t="s">
        <v>23</v>
      </c>
      <c r="E5163" t="s">
        <v>94</v>
      </c>
      <c r="F5163" t="s">
        <v>110</v>
      </c>
      <c r="G5163" t="s">
        <v>103</v>
      </c>
      <c r="H5163" t="s">
        <v>114</v>
      </c>
      <c r="J5163">
        <v>0</v>
      </c>
      <c r="K5163" t="s">
        <v>114</v>
      </c>
      <c r="L5163">
        <v>73.260869569999997</v>
      </c>
      <c r="M5163">
        <v>34.453830549999999</v>
      </c>
      <c r="N5163">
        <v>1.058333333</v>
      </c>
      <c r="O5163">
        <v>0.90897070000000002</v>
      </c>
      <c r="P5163" t="s">
        <v>114</v>
      </c>
      <c r="Q5163" t="s">
        <v>114</v>
      </c>
      <c r="R5163" t="s">
        <v>114</v>
      </c>
      <c r="S5163" t="s">
        <v>114</v>
      </c>
      <c r="T5163" t="s">
        <v>1041</v>
      </c>
      <c r="U5163" t="s">
        <v>114</v>
      </c>
    </row>
    <row r="5164" spans="1:21" x14ac:dyDescent="0.25">
      <c r="A5164" t="s">
        <v>55</v>
      </c>
      <c r="B5164" t="s">
        <v>876</v>
      </c>
      <c r="C5164">
        <v>12</v>
      </c>
      <c r="D5164" t="s">
        <v>23</v>
      </c>
      <c r="E5164" t="s">
        <v>94</v>
      </c>
      <c r="F5164" t="s">
        <v>103</v>
      </c>
      <c r="G5164" t="s">
        <v>103</v>
      </c>
      <c r="H5164" t="s">
        <v>114</v>
      </c>
      <c r="J5164">
        <v>0</v>
      </c>
      <c r="K5164" t="s">
        <v>114</v>
      </c>
      <c r="L5164">
        <v>98.291666669999998</v>
      </c>
      <c r="M5164">
        <v>30.315130790000001</v>
      </c>
      <c r="N5164">
        <v>5.0803484000000003E-2</v>
      </c>
      <c r="O5164">
        <v>0.42866070000000001</v>
      </c>
      <c r="P5164" t="s">
        <v>114</v>
      </c>
      <c r="Q5164" t="s">
        <v>114</v>
      </c>
      <c r="R5164" t="s">
        <v>114</v>
      </c>
      <c r="S5164" t="s">
        <v>114</v>
      </c>
      <c r="T5164" t="s">
        <v>1041</v>
      </c>
      <c r="U5164" t="s">
        <v>114</v>
      </c>
    </row>
    <row r="5165" spans="1:21" x14ac:dyDescent="0.25">
      <c r="A5165" t="s">
        <v>55</v>
      </c>
      <c r="B5165" t="s">
        <v>877</v>
      </c>
      <c r="C5165">
        <v>12</v>
      </c>
      <c r="D5165" t="s">
        <v>23</v>
      </c>
      <c r="E5165" t="s">
        <v>94</v>
      </c>
      <c r="F5165" t="s">
        <v>111</v>
      </c>
      <c r="G5165" t="s">
        <v>113</v>
      </c>
      <c r="H5165" t="s">
        <v>113</v>
      </c>
      <c r="J5165">
        <v>0</v>
      </c>
      <c r="K5165">
        <v>2</v>
      </c>
      <c r="L5165">
        <v>94.97142857</v>
      </c>
      <c r="M5165">
        <v>24.31591813</v>
      </c>
      <c r="N5165">
        <v>0.122951111</v>
      </c>
      <c r="O5165">
        <v>0.39050790000000002</v>
      </c>
      <c r="P5165">
        <v>83.757575759999995</v>
      </c>
      <c r="Q5165">
        <v>22.60997987</v>
      </c>
      <c r="R5165">
        <v>0.72884000000000004</v>
      </c>
      <c r="S5165">
        <v>0.21301339999999999</v>
      </c>
      <c r="T5165" t="s">
        <v>1041</v>
      </c>
      <c r="U5165">
        <v>0.17749450000000003</v>
      </c>
    </row>
    <row r="5166" spans="1:21" x14ac:dyDescent="0.25">
      <c r="A5166" t="s">
        <v>55</v>
      </c>
      <c r="B5166" t="s">
        <v>877</v>
      </c>
      <c r="C5166">
        <v>12</v>
      </c>
      <c r="D5166" t="s">
        <v>23</v>
      </c>
      <c r="E5166" t="s">
        <v>94</v>
      </c>
      <c r="F5166" t="s">
        <v>111</v>
      </c>
      <c r="G5166" t="s">
        <v>113</v>
      </c>
      <c r="H5166" t="s">
        <v>113</v>
      </c>
      <c r="J5166">
        <v>0</v>
      </c>
      <c r="K5166">
        <v>2</v>
      </c>
      <c r="L5166">
        <v>94.97142857</v>
      </c>
      <c r="M5166">
        <v>24.31591813</v>
      </c>
      <c r="N5166">
        <v>0.122951111</v>
      </c>
      <c r="O5166">
        <v>0.39050790000000002</v>
      </c>
      <c r="P5166">
        <v>83.757575759999995</v>
      </c>
      <c r="Q5166">
        <v>22.60997987</v>
      </c>
      <c r="R5166">
        <v>0.72884000000000004</v>
      </c>
      <c r="S5166">
        <v>0.21301339999999999</v>
      </c>
      <c r="T5166" t="s">
        <v>1041</v>
      </c>
      <c r="U5166">
        <v>0.17749450000000003</v>
      </c>
    </row>
    <row r="5167" spans="1:21" x14ac:dyDescent="0.25">
      <c r="A5167" t="s">
        <v>55</v>
      </c>
      <c r="B5167" t="s">
        <v>877</v>
      </c>
      <c r="C5167">
        <v>12</v>
      </c>
      <c r="D5167" t="s">
        <v>23</v>
      </c>
      <c r="E5167" t="s">
        <v>94</v>
      </c>
      <c r="F5167" t="s">
        <v>111</v>
      </c>
      <c r="G5167" t="s">
        <v>113</v>
      </c>
      <c r="H5167" t="s">
        <v>797</v>
      </c>
      <c r="J5167">
        <v>0</v>
      </c>
      <c r="K5167">
        <v>1</v>
      </c>
      <c r="L5167">
        <v>94.97142857</v>
      </c>
      <c r="M5167">
        <v>24.31591813</v>
      </c>
      <c r="N5167">
        <v>0.122951111</v>
      </c>
      <c r="O5167">
        <v>0.39050790000000002</v>
      </c>
      <c r="P5167">
        <v>179.45454549999999</v>
      </c>
      <c r="Q5167">
        <v>26.326869609999999</v>
      </c>
      <c r="R5167">
        <v>2.3456094639999998</v>
      </c>
      <c r="S5167">
        <v>0.18833116</v>
      </c>
      <c r="T5167" t="s">
        <v>1041</v>
      </c>
      <c r="U5167">
        <v>0.20217674000000002</v>
      </c>
    </row>
    <row r="5168" spans="1:21" x14ac:dyDescent="0.25">
      <c r="A5168" t="s">
        <v>56</v>
      </c>
      <c r="B5168" t="s">
        <v>878</v>
      </c>
      <c r="C5168">
        <v>12</v>
      </c>
      <c r="D5168" t="s">
        <v>25</v>
      </c>
      <c r="E5168" t="s">
        <v>94</v>
      </c>
      <c r="F5168" t="s">
        <v>113</v>
      </c>
      <c r="G5168" t="s">
        <v>113</v>
      </c>
      <c r="H5168" t="s">
        <v>113</v>
      </c>
      <c r="J5168">
        <v>0</v>
      </c>
      <c r="K5168">
        <v>3</v>
      </c>
      <c r="L5168">
        <v>83.757575759999995</v>
      </c>
      <c r="M5168">
        <v>22.60997987</v>
      </c>
      <c r="N5168">
        <v>0.72884000000000004</v>
      </c>
      <c r="O5168">
        <v>0.21301339999999999</v>
      </c>
      <c r="P5168">
        <v>83.757575759999995</v>
      </c>
      <c r="Q5168">
        <v>22.60997987</v>
      </c>
      <c r="R5168">
        <v>0.72884000000000004</v>
      </c>
      <c r="S5168">
        <v>0.21301339999999999</v>
      </c>
      <c r="T5168" t="s">
        <v>1041</v>
      </c>
      <c r="U5168">
        <v>0</v>
      </c>
    </row>
    <row r="5169" spans="1:21" x14ac:dyDescent="0.25">
      <c r="A5169" t="s">
        <v>56</v>
      </c>
      <c r="B5169" t="s">
        <v>878</v>
      </c>
      <c r="C5169">
        <v>12</v>
      </c>
      <c r="D5169" t="s">
        <v>25</v>
      </c>
      <c r="E5169" t="s">
        <v>94</v>
      </c>
      <c r="F5169" t="s">
        <v>113</v>
      </c>
      <c r="G5169" t="s">
        <v>113</v>
      </c>
      <c r="H5169" t="s">
        <v>113</v>
      </c>
      <c r="J5169">
        <v>0</v>
      </c>
      <c r="K5169">
        <v>3</v>
      </c>
      <c r="L5169">
        <v>83.757575759999995</v>
      </c>
      <c r="M5169">
        <v>22.60997987</v>
      </c>
      <c r="N5169">
        <v>0.72884000000000004</v>
      </c>
      <c r="O5169">
        <v>0.21301339999999999</v>
      </c>
      <c r="P5169">
        <v>83.757575759999995</v>
      </c>
      <c r="Q5169">
        <v>22.60997987</v>
      </c>
      <c r="R5169">
        <v>0.72884000000000004</v>
      </c>
      <c r="S5169">
        <v>0.21301339999999999</v>
      </c>
      <c r="T5169" t="s">
        <v>1041</v>
      </c>
      <c r="U5169">
        <v>0</v>
      </c>
    </row>
    <row r="5170" spans="1:21" x14ac:dyDescent="0.25">
      <c r="A5170" t="s">
        <v>56</v>
      </c>
      <c r="B5170" t="s">
        <v>878</v>
      </c>
      <c r="C5170">
        <v>12</v>
      </c>
      <c r="D5170" t="s">
        <v>25</v>
      </c>
      <c r="E5170" t="s">
        <v>94</v>
      </c>
      <c r="F5170" t="s">
        <v>113</v>
      </c>
      <c r="G5170" t="s">
        <v>113</v>
      </c>
      <c r="H5170" t="s">
        <v>113</v>
      </c>
      <c r="J5170">
        <v>0</v>
      </c>
      <c r="K5170">
        <v>3</v>
      </c>
      <c r="L5170">
        <v>83.757575759999995</v>
      </c>
      <c r="M5170">
        <v>22.60997987</v>
      </c>
      <c r="N5170">
        <v>0.72884000000000004</v>
      </c>
      <c r="O5170">
        <v>0.21301339999999999</v>
      </c>
      <c r="P5170">
        <v>83.757575759999995</v>
      </c>
      <c r="Q5170">
        <v>22.60997987</v>
      </c>
      <c r="R5170">
        <v>0.72884000000000004</v>
      </c>
      <c r="S5170">
        <v>0.21301339999999999</v>
      </c>
      <c r="T5170" t="s">
        <v>1041</v>
      </c>
      <c r="U5170">
        <v>0</v>
      </c>
    </row>
    <row r="5171" spans="1:21" x14ac:dyDescent="0.25">
      <c r="A5171" t="s">
        <v>56</v>
      </c>
      <c r="B5171" t="s">
        <v>879</v>
      </c>
      <c r="C5171">
        <v>12</v>
      </c>
      <c r="D5171" t="s">
        <v>25</v>
      </c>
      <c r="E5171" t="s">
        <v>94</v>
      </c>
      <c r="F5171" t="s">
        <v>111</v>
      </c>
      <c r="G5171" t="s">
        <v>121</v>
      </c>
      <c r="H5171" t="s">
        <v>112</v>
      </c>
      <c r="J5171">
        <v>0</v>
      </c>
      <c r="K5171">
        <v>1</v>
      </c>
      <c r="L5171">
        <v>94.97142857</v>
      </c>
      <c r="M5171">
        <v>24.31591813</v>
      </c>
      <c r="N5171">
        <v>0.122951111</v>
      </c>
      <c r="O5171">
        <v>0.39050790000000002</v>
      </c>
      <c r="P5171">
        <v>65.09375</v>
      </c>
      <c r="Q5171">
        <v>37.895352600000002</v>
      </c>
      <c r="R5171">
        <v>2.2882677779999998</v>
      </c>
      <c r="S5171">
        <v>2.2111774</v>
      </c>
      <c r="T5171" t="s">
        <v>1041</v>
      </c>
      <c r="U5171">
        <v>1.8206694999999999</v>
      </c>
    </row>
    <row r="5172" spans="1:21" x14ac:dyDescent="0.25">
      <c r="A5172" t="s">
        <v>56</v>
      </c>
      <c r="B5172" t="s">
        <v>880</v>
      </c>
      <c r="C5172">
        <v>12</v>
      </c>
      <c r="D5172" t="s">
        <v>25</v>
      </c>
      <c r="E5172" t="s">
        <v>94</v>
      </c>
      <c r="F5172" t="s">
        <v>104</v>
      </c>
      <c r="G5172" t="s">
        <v>121</v>
      </c>
      <c r="H5172" t="s">
        <v>104</v>
      </c>
      <c r="J5172">
        <v>0</v>
      </c>
      <c r="K5172">
        <v>1</v>
      </c>
      <c r="L5172">
        <v>113.9375</v>
      </c>
      <c r="M5172">
        <v>33.375507550000002</v>
      </c>
      <c r="N5172">
        <v>2.4262999999999999</v>
      </c>
      <c r="O5172">
        <v>0.40692159999999999</v>
      </c>
      <c r="P5172">
        <v>113.9375</v>
      </c>
      <c r="Q5172">
        <v>33.375507550000002</v>
      </c>
      <c r="R5172">
        <v>2.4262999999999999</v>
      </c>
      <c r="S5172">
        <v>0.40692159999999999</v>
      </c>
      <c r="T5172" t="s">
        <v>1041</v>
      </c>
      <c r="U5172">
        <v>0</v>
      </c>
    </row>
    <row r="5173" spans="1:21" x14ac:dyDescent="0.25">
      <c r="A5173" t="s">
        <v>56</v>
      </c>
      <c r="B5173" t="s">
        <v>881</v>
      </c>
      <c r="C5173">
        <v>12</v>
      </c>
      <c r="D5173" t="s">
        <v>25</v>
      </c>
      <c r="E5173" t="s">
        <v>94</v>
      </c>
      <c r="F5173" t="s">
        <v>112</v>
      </c>
      <c r="G5173" t="s">
        <v>121</v>
      </c>
      <c r="H5173" t="s">
        <v>241</v>
      </c>
      <c r="J5173">
        <v>0</v>
      </c>
      <c r="K5173">
        <v>4</v>
      </c>
      <c r="L5173">
        <v>65.09375</v>
      </c>
      <c r="M5173">
        <v>37.895352600000002</v>
      </c>
      <c r="N5173">
        <v>2.2882677779999998</v>
      </c>
      <c r="O5173">
        <v>2.2111774</v>
      </c>
      <c r="P5173">
        <v>114</v>
      </c>
      <c r="Q5173">
        <v>30.43077242</v>
      </c>
      <c r="R5173">
        <v>0.53383111100000002</v>
      </c>
      <c r="S5173">
        <v>0.28333332999999999</v>
      </c>
      <c r="T5173" t="s">
        <v>1041</v>
      </c>
      <c r="U5173">
        <v>1.9278440699999999</v>
      </c>
    </row>
    <row r="5174" spans="1:21" x14ac:dyDescent="0.25">
      <c r="A5174" t="s">
        <v>56</v>
      </c>
      <c r="B5174" t="s">
        <v>881</v>
      </c>
      <c r="C5174">
        <v>12</v>
      </c>
      <c r="D5174" t="s">
        <v>25</v>
      </c>
      <c r="E5174" t="s">
        <v>94</v>
      </c>
      <c r="F5174" t="s">
        <v>112</v>
      </c>
      <c r="G5174" t="s">
        <v>121</v>
      </c>
      <c r="H5174" t="s">
        <v>241</v>
      </c>
      <c r="J5174">
        <v>0</v>
      </c>
      <c r="K5174">
        <v>4</v>
      </c>
      <c r="L5174">
        <v>65.09375</v>
      </c>
      <c r="M5174">
        <v>37.895352600000002</v>
      </c>
      <c r="N5174">
        <v>2.2882677779999998</v>
      </c>
      <c r="O5174">
        <v>2.2111774</v>
      </c>
      <c r="P5174">
        <v>114</v>
      </c>
      <c r="Q5174">
        <v>30.43077242</v>
      </c>
      <c r="R5174">
        <v>0.53383111100000002</v>
      </c>
      <c r="S5174">
        <v>0.28333332999999999</v>
      </c>
      <c r="T5174" t="s">
        <v>1041</v>
      </c>
      <c r="U5174">
        <v>1.9278440699999999</v>
      </c>
    </row>
    <row r="5175" spans="1:21" x14ac:dyDescent="0.25">
      <c r="A5175" t="s">
        <v>56</v>
      </c>
      <c r="B5175" t="s">
        <v>881</v>
      </c>
      <c r="C5175">
        <v>12</v>
      </c>
      <c r="D5175" t="s">
        <v>25</v>
      </c>
      <c r="E5175" t="s">
        <v>94</v>
      </c>
      <c r="F5175" t="s">
        <v>112</v>
      </c>
      <c r="G5175" t="s">
        <v>121</v>
      </c>
      <c r="H5175" t="s">
        <v>241</v>
      </c>
      <c r="J5175">
        <v>0</v>
      </c>
      <c r="K5175">
        <v>4</v>
      </c>
      <c r="L5175">
        <v>65.09375</v>
      </c>
      <c r="M5175">
        <v>37.895352600000002</v>
      </c>
      <c r="N5175">
        <v>2.2882677779999998</v>
      </c>
      <c r="O5175">
        <v>2.2111774</v>
      </c>
      <c r="P5175">
        <v>114</v>
      </c>
      <c r="Q5175">
        <v>30.43077242</v>
      </c>
      <c r="R5175">
        <v>0.53383111100000002</v>
      </c>
      <c r="S5175">
        <v>0.28333332999999999</v>
      </c>
      <c r="T5175" t="s">
        <v>1041</v>
      </c>
      <c r="U5175">
        <v>1.9278440699999999</v>
      </c>
    </row>
    <row r="5176" spans="1:21" x14ac:dyDescent="0.25">
      <c r="A5176" t="s">
        <v>56</v>
      </c>
      <c r="B5176" t="s">
        <v>881</v>
      </c>
      <c r="C5176">
        <v>12</v>
      </c>
      <c r="D5176" t="s">
        <v>25</v>
      </c>
      <c r="E5176" t="s">
        <v>94</v>
      </c>
      <c r="F5176" t="s">
        <v>112</v>
      </c>
      <c r="G5176" t="s">
        <v>121</v>
      </c>
      <c r="H5176" t="s">
        <v>241</v>
      </c>
      <c r="J5176">
        <v>0</v>
      </c>
      <c r="K5176">
        <v>4</v>
      </c>
      <c r="L5176">
        <v>65.09375</v>
      </c>
      <c r="M5176">
        <v>37.895352600000002</v>
      </c>
      <c r="N5176">
        <v>2.2882677779999998</v>
      </c>
      <c r="O5176">
        <v>2.2111774</v>
      </c>
      <c r="P5176">
        <v>114</v>
      </c>
      <c r="Q5176">
        <v>30.43077242</v>
      </c>
      <c r="R5176">
        <v>0.53383111100000002</v>
      </c>
      <c r="S5176">
        <v>0.28333332999999999</v>
      </c>
      <c r="T5176" t="s">
        <v>1041</v>
      </c>
      <c r="U5176">
        <v>1.9278440699999999</v>
      </c>
    </row>
    <row r="5177" spans="1:21" x14ac:dyDescent="0.25">
      <c r="A5177" t="s">
        <v>57</v>
      </c>
      <c r="B5177" t="s">
        <v>882</v>
      </c>
      <c r="C5177">
        <v>12</v>
      </c>
      <c r="D5177" t="s">
        <v>27</v>
      </c>
      <c r="E5177" t="s">
        <v>94</v>
      </c>
      <c r="F5177" t="s">
        <v>105</v>
      </c>
      <c r="G5177" t="s">
        <v>121</v>
      </c>
      <c r="H5177" t="s">
        <v>247</v>
      </c>
      <c r="J5177">
        <v>0</v>
      </c>
      <c r="K5177">
        <v>1</v>
      </c>
      <c r="L5177">
        <v>67.5</v>
      </c>
      <c r="M5177">
        <v>47.937235809999997</v>
      </c>
      <c r="N5177">
        <v>0.41599678000000001</v>
      </c>
      <c r="O5177">
        <v>2.0950346999999998</v>
      </c>
      <c r="P5177">
        <v>65.791044779999993</v>
      </c>
      <c r="Q5177">
        <v>22.94519201</v>
      </c>
      <c r="R5177">
        <v>8.1320334999999994E-2</v>
      </c>
      <c r="S5177">
        <v>0.17285655</v>
      </c>
      <c r="T5177" t="s">
        <v>1041</v>
      </c>
      <c r="U5177">
        <v>1.9221781499999997</v>
      </c>
    </row>
    <row r="5178" spans="1:21" x14ac:dyDescent="0.25">
      <c r="A5178" t="s">
        <v>57</v>
      </c>
      <c r="B5178" t="s">
        <v>882</v>
      </c>
      <c r="C5178">
        <v>12</v>
      </c>
      <c r="D5178" t="s">
        <v>27</v>
      </c>
      <c r="E5178" t="s">
        <v>94</v>
      </c>
      <c r="F5178" t="s">
        <v>105</v>
      </c>
      <c r="G5178" t="s">
        <v>121</v>
      </c>
      <c r="H5178" t="s">
        <v>103</v>
      </c>
      <c r="J5178">
        <v>0</v>
      </c>
      <c r="K5178">
        <v>1</v>
      </c>
      <c r="L5178">
        <v>67.5</v>
      </c>
      <c r="M5178">
        <v>47.937235809999997</v>
      </c>
      <c r="N5178">
        <v>0.41599678000000001</v>
      </c>
      <c r="O5178">
        <v>2.0950346999999998</v>
      </c>
      <c r="P5178">
        <v>98.291666669999998</v>
      </c>
      <c r="Q5178">
        <v>30.315130790000001</v>
      </c>
      <c r="R5178">
        <v>5.0803484000000003E-2</v>
      </c>
      <c r="S5178">
        <v>0.42866070000000001</v>
      </c>
      <c r="T5178" t="s">
        <v>1041</v>
      </c>
      <c r="U5178">
        <v>1.6663739999999998</v>
      </c>
    </row>
    <row r="5179" spans="1:21" x14ac:dyDescent="0.25">
      <c r="A5179" t="s">
        <v>57</v>
      </c>
      <c r="B5179" t="s">
        <v>882</v>
      </c>
      <c r="C5179">
        <v>12</v>
      </c>
      <c r="D5179" t="s">
        <v>27</v>
      </c>
      <c r="E5179" t="s">
        <v>94</v>
      </c>
      <c r="F5179" t="s">
        <v>105</v>
      </c>
      <c r="G5179" t="s">
        <v>121</v>
      </c>
      <c r="H5179" t="s">
        <v>233</v>
      </c>
      <c r="J5179">
        <v>0</v>
      </c>
      <c r="K5179">
        <v>6</v>
      </c>
      <c r="L5179">
        <v>67.5</v>
      </c>
      <c r="M5179">
        <v>47.937235809999997</v>
      </c>
      <c r="N5179">
        <v>0.41599678000000001</v>
      </c>
      <c r="O5179">
        <v>2.0950346999999998</v>
      </c>
      <c r="P5179">
        <v>106.0540541</v>
      </c>
      <c r="Q5179">
        <v>52.690533369999997</v>
      </c>
      <c r="R5179">
        <v>7.6058968000000005E-2</v>
      </c>
      <c r="S5179">
        <v>0.44888888999999998</v>
      </c>
      <c r="T5179" t="s">
        <v>1041</v>
      </c>
      <c r="U5179">
        <v>1.6461458099999997</v>
      </c>
    </row>
    <row r="5180" spans="1:21" x14ac:dyDescent="0.25">
      <c r="A5180" t="s">
        <v>57</v>
      </c>
      <c r="B5180" t="s">
        <v>882</v>
      </c>
      <c r="C5180">
        <v>12</v>
      </c>
      <c r="D5180" t="s">
        <v>27</v>
      </c>
      <c r="E5180" t="s">
        <v>94</v>
      </c>
      <c r="F5180" t="s">
        <v>105</v>
      </c>
      <c r="G5180" t="s">
        <v>121</v>
      </c>
      <c r="H5180" t="s">
        <v>233</v>
      </c>
      <c r="J5180">
        <v>0</v>
      </c>
      <c r="K5180">
        <v>6</v>
      </c>
      <c r="L5180">
        <v>67.5</v>
      </c>
      <c r="M5180">
        <v>47.937235809999997</v>
      </c>
      <c r="N5180">
        <v>0.41599678000000001</v>
      </c>
      <c r="O5180">
        <v>2.0950346999999998</v>
      </c>
      <c r="P5180">
        <v>106.0540541</v>
      </c>
      <c r="Q5180">
        <v>52.690533369999997</v>
      </c>
      <c r="R5180">
        <v>7.6058968000000005E-2</v>
      </c>
      <c r="S5180">
        <v>0.44888888999999998</v>
      </c>
      <c r="T5180" t="s">
        <v>1041</v>
      </c>
      <c r="U5180">
        <v>1.6461458099999997</v>
      </c>
    </row>
    <row r="5181" spans="1:21" x14ac:dyDescent="0.25">
      <c r="A5181" t="s">
        <v>57</v>
      </c>
      <c r="B5181" t="s">
        <v>882</v>
      </c>
      <c r="C5181">
        <v>12</v>
      </c>
      <c r="D5181" t="s">
        <v>27</v>
      </c>
      <c r="E5181" t="s">
        <v>94</v>
      </c>
      <c r="F5181" t="s">
        <v>105</v>
      </c>
      <c r="G5181" t="s">
        <v>121</v>
      </c>
      <c r="H5181" t="s">
        <v>233</v>
      </c>
      <c r="J5181">
        <v>0</v>
      </c>
      <c r="K5181">
        <v>6</v>
      </c>
      <c r="L5181">
        <v>67.5</v>
      </c>
      <c r="M5181">
        <v>47.937235809999997</v>
      </c>
      <c r="N5181">
        <v>0.41599678000000001</v>
      </c>
      <c r="O5181">
        <v>2.0950346999999998</v>
      </c>
      <c r="P5181">
        <v>106.0540541</v>
      </c>
      <c r="Q5181">
        <v>52.690533369999997</v>
      </c>
      <c r="R5181">
        <v>7.6058968000000005E-2</v>
      </c>
      <c r="S5181">
        <v>0.44888888999999998</v>
      </c>
      <c r="T5181" t="s">
        <v>1041</v>
      </c>
      <c r="U5181">
        <v>1.6461458099999997</v>
      </c>
    </row>
    <row r="5182" spans="1:21" x14ac:dyDescent="0.25">
      <c r="A5182" t="s">
        <v>57</v>
      </c>
      <c r="B5182" t="s">
        <v>882</v>
      </c>
      <c r="C5182">
        <v>12</v>
      </c>
      <c r="D5182" t="s">
        <v>27</v>
      </c>
      <c r="E5182" t="s">
        <v>94</v>
      </c>
      <c r="F5182" t="s">
        <v>105</v>
      </c>
      <c r="G5182" t="s">
        <v>121</v>
      </c>
      <c r="H5182" t="s">
        <v>233</v>
      </c>
      <c r="J5182">
        <v>0</v>
      </c>
      <c r="K5182">
        <v>6</v>
      </c>
      <c r="L5182">
        <v>67.5</v>
      </c>
      <c r="M5182">
        <v>47.937235809999997</v>
      </c>
      <c r="N5182">
        <v>0.41599678000000001</v>
      </c>
      <c r="O5182">
        <v>2.0950346999999998</v>
      </c>
      <c r="P5182">
        <v>106.0540541</v>
      </c>
      <c r="Q5182">
        <v>52.690533369999997</v>
      </c>
      <c r="R5182">
        <v>7.6058968000000005E-2</v>
      </c>
      <c r="S5182">
        <v>0.44888888999999998</v>
      </c>
      <c r="T5182" t="s">
        <v>1041</v>
      </c>
      <c r="U5182">
        <v>1.6461458099999997</v>
      </c>
    </row>
    <row r="5183" spans="1:21" x14ac:dyDescent="0.25">
      <c r="A5183" t="s">
        <v>57</v>
      </c>
      <c r="B5183" t="s">
        <v>882</v>
      </c>
      <c r="C5183">
        <v>12</v>
      </c>
      <c r="D5183" t="s">
        <v>27</v>
      </c>
      <c r="E5183" t="s">
        <v>94</v>
      </c>
      <c r="F5183" t="s">
        <v>105</v>
      </c>
      <c r="G5183" t="s">
        <v>121</v>
      </c>
      <c r="H5183" t="s">
        <v>233</v>
      </c>
      <c r="J5183">
        <v>0</v>
      </c>
      <c r="K5183">
        <v>6</v>
      </c>
      <c r="L5183">
        <v>67.5</v>
      </c>
      <c r="M5183">
        <v>47.937235809999997</v>
      </c>
      <c r="N5183">
        <v>0.41599678000000001</v>
      </c>
      <c r="O5183">
        <v>2.0950346999999998</v>
      </c>
      <c r="P5183">
        <v>106.0540541</v>
      </c>
      <c r="Q5183">
        <v>52.690533369999997</v>
      </c>
      <c r="R5183">
        <v>7.6058968000000005E-2</v>
      </c>
      <c r="S5183">
        <v>0.44888888999999998</v>
      </c>
      <c r="T5183" t="s">
        <v>1041</v>
      </c>
      <c r="U5183">
        <v>1.6461458099999997</v>
      </c>
    </row>
    <row r="5184" spans="1:21" x14ac:dyDescent="0.25">
      <c r="A5184" t="s">
        <v>57</v>
      </c>
      <c r="B5184" t="s">
        <v>882</v>
      </c>
      <c r="C5184">
        <v>12</v>
      </c>
      <c r="D5184" t="s">
        <v>27</v>
      </c>
      <c r="E5184" t="s">
        <v>94</v>
      </c>
      <c r="F5184" t="s">
        <v>105</v>
      </c>
      <c r="G5184" t="s">
        <v>121</v>
      </c>
      <c r="H5184" t="s">
        <v>233</v>
      </c>
      <c r="J5184">
        <v>0</v>
      </c>
      <c r="K5184">
        <v>6</v>
      </c>
      <c r="L5184">
        <v>67.5</v>
      </c>
      <c r="M5184">
        <v>47.937235809999997</v>
      </c>
      <c r="N5184">
        <v>0.41599678000000001</v>
      </c>
      <c r="O5184">
        <v>2.0950346999999998</v>
      </c>
      <c r="P5184">
        <v>106.0540541</v>
      </c>
      <c r="Q5184">
        <v>52.690533369999997</v>
      </c>
      <c r="R5184">
        <v>7.6058968000000005E-2</v>
      </c>
      <c r="S5184">
        <v>0.44888888999999998</v>
      </c>
      <c r="T5184" t="s">
        <v>1041</v>
      </c>
      <c r="U5184">
        <v>1.6461458099999997</v>
      </c>
    </row>
    <row r="5185" spans="1:21" x14ac:dyDescent="0.25">
      <c r="A5185" t="s">
        <v>57</v>
      </c>
      <c r="B5185" t="s">
        <v>883</v>
      </c>
      <c r="C5185">
        <v>12</v>
      </c>
      <c r="D5185" t="s">
        <v>27</v>
      </c>
      <c r="E5185" t="s">
        <v>94</v>
      </c>
      <c r="F5185" t="s">
        <v>113</v>
      </c>
      <c r="G5185" t="s">
        <v>121</v>
      </c>
      <c r="H5185" t="s">
        <v>114</v>
      </c>
      <c r="J5185">
        <v>0</v>
      </c>
      <c r="K5185" t="s">
        <v>114</v>
      </c>
      <c r="L5185">
        <v>83.757575759999995</v>
      </c>
      <c r="M5185">
        <v>22.60997987</v>
      </c>
      <c r="N5185">
        <v>0.72884000000000004</v>
      </c>
      <c r="O5185">
        <v>0.21301339999999999</v>
      </c>
      <c r="P5185" t="s">
        <v>114</v>
      </c>
      <c r="Q5185" t="s">
        <v>114</v>
      </c>
      <c r="R5185" t="s">
        <v>114</v>
      </c>
      <c r="S5185" t="s">
        <v>114</v>
      </c>
      <c r="T5185" t="s">
        <v>1041</v>
      </c>
      <c r="U5185" t="s">
        <v>114</v>
      </c>
    </row>
    <row r="5186" spans="1:21" x14ac:dyDescent="0.25">
      <c r="A5186" t="s">
        <v>57</v>
      </c>
      <c r="B5186" t="s">
        <v>884</v>
      </c>
      <c r="C5186">
        <v>12</v>
      </c>
      <c r="D5186" t="s">
        <v>27</v>
      </c>
      <c r="E5186" t="s">
        <v>94</v>
      </c>
      <c r="F5186" t="s">
        <v>112</v>
      </c>
      <c r="G5186" t="s">
        <v>112</v>
      </c>
      <c r="H5186" t="s">
        <v>112</v>
      </c>
      <c r="J5186">
        <v>0</v>
      </c>
      <c r="K5186">
        <v>2</v>
      </c>
      <c r="L5186">
        <v>65.09375</v>
      </c>
      <c r="M5186">
        <v>37.895352600000002</v>
      </c>
      <c r="N5186">
        <v>2.2882677779999998</v>
      </c>
      <c r="O5186">
        <v>2.2111774</v>
      </c>
      <c r="P5186">
        <v>65.09375</v>
      </c>
      <c r="Q5186">
        <v>37.895352600000002</v>
      </c>
      <c r="R5186">
        <v>2.2882677779999998</v>
      </c>
      <c r="S5186">
        <v>2.2111774</v>
      </c>
      <c r="T5186" t="s">
        <v>1041</v>
      </c>
      <c r="U5186">
        <v>0</v>
      </c>
    </row>
    <row r="5187" spans="1:21" x14ac:dyDescent="0.25">
      <c r="A5187" t="s">
        <v>57</v>
      </c>
      <c r="B5187" t="s">
        <v>884</v>
      </c>
      <c r="C5187">
        <v>12</v>
      </c>
      <c r="D5187" t="s">
        <v>27</v>
      </c>
      <c r="E5187" t="s">
        <v>94</v>
      </c>
      <c r="F5187" t="s">
        <v>112</v>
      </c>
      <c r="G5187" t="s">
        <v>112</v>
      </c>
      <c r="H5187" t="s">
        <v>112</v>
      </c>
      <c r="J5187">
        <v>0</v>
      </c>
      <c r="K5187">
        <v>2</v>
      </c>
      <c r="L5187">
        <v>65.09375</v>
      </c>
      <c r="M5187">
        <v>37.895352600000002</v>
      </c>
      <c r="N5187">
        <v>2.2882677779999998</v>
      </c>
      <c r="O5187">
        <v>2.2111774</v>
      </c>
      <c r="P5187">
        <v>65.09375</v>
      </c>
      <c r="Q5187">
        <v>37.895352600000002</v>
      </c>
      <c r="R5187">
        <v>2.2882677779999998</v>
      </c>
      <c r="S5187">
        <v>2.2111774</v>
      </c>
      <c r="T5187" t="s">
        <v>1041</v>
      </c>
      <c r="U5187">
        <v>0</v>
      </c>
    </row>
    <row r="5188" spans="1:21" x14ac:dyDescent="0.25">
      <c r="A5188" t="s">
        <v>57</v>
      </c>
      <c r="B5188" t="s">
        <v>884</v>
      </c>
      <c r="C5188">
        <v>12</v>
      </c>
      <c r="D5188" t="s">
        <v>27</v>
      </c>
      <c r="E5188" t="s">
        <v>94</v>
      </c>
      <c r="F5188" t="s">
        <v>112</v>
      </c>
      <c r="G5188" t="s">
        <v>112</v>
      </c>
      <c r="H5188" t="s">
        <v>247</v>
      </c>
      <c r="J5188">
        <v>0</v>
      </c>
      <c r="K5188">
        <v>1</v>
      </c>
      <c r="L5188">
        <v>65.09375</v>
      </c>
      <c r="M5188">
        <v>37.895352600000002</v>
      </c>
      <c r="N5188">
        <v>2.2882677779999998</v>
      </c>
      <c r="O5188">
        <v>2.2111774</v>
      </c>
      <c r="P5188">
        <v>65.791044779999993</v>
      </c>
      <c r="Q5188">
        <v>22.94519201</v>
      </c>
      <c r="R5188">
        <v>8.1320334999999994E-2</v>
      </c>
      <c r="S5188">
        <v>0.17285655</v>
      </c>
      <c r="T5188" t="s">
        <v>1041</v>
      </c>
      <c r="U5188">
        <v>2.0383208499999999</v>
      </c>
    </row>
    <row r="5189" spans="1:21" x14ac:dyDescent="0.25">
      <c r="A5189" t="s">
        <v>58</v>
      </c>
      <c r="B5189" t="s">
        <v>885</v>
      </c>
      <c r="C5189">
        <v>12</v>
      </c>
      <c r="D5189" t="s">
        <v>29</v>
      </c>
      <c r="E5189" t="s">
        <v>95</v>
      </c>
      <c r="F5189" t="s">
        <v>102</v>
      </c>
      <c r="G5189" t="s">
        <v>104</v>
      </c>
      <c r="H5189" t="s">
        <v>104</v>
      </c>
      <c r="J5189">
        <v>0</v>
      </c>
      <c r="K5189">
        <v>1</v>
      </c>
      <c r="L5189">
        <v>84.740740740000007</v>
      </c>
      <c r="M5189">
        <v>29.167014049999999</v>
      </c>
      <c r="N5189">
        <v>1.1169849999999999</v>
      </c>
      <c r="O5189">
        <v>1.1571499000000001</v>
      </c>
      <c r="P5189">
        <v>113.9375</v>
      </c>
      <c r="Q5189">
        <v>33.375507550000002</v>
      </c>
      <c r="R5189">
        <v>2.4262999999999999</v>
      </c>
      <c r="S5189">
        <v>0.40692159999999999</v>
      </c>
      <c r="T5189" t="s">
        <v>1041</v>
      </c>
      <c r="U5189">
        <v>0.75022830000000007</v>
      </c>
    </row>
    <row r="5190" spans="1:21" x14ac:dyDescent="0.25">
      <c r="A5190" t="s">
        <v>58</v>
      </c>
      <c r="B5190" t="s">
        <v>885</v>
      </c>
      <c r="C5190">
        <v>12</v>
      </c>
      <c r="D5190" t="s">
        <v>29</v>
      </c>
      <c r="E5190" t="s">
        <v>95</v>
      </c>
      <c r="F5190" t="s">
        <v>102</v>
      </c>
      <c r="G5190" t="s">
        <v>104</v>
      </c>
      <c r="H5190" t="s">
        <v>246</v>
      </c>
      <c r="J5190">
        <v>0</v>
      </c>
      <c r="K5190">
        <v>1</v>
      </c>
      <c r="L5190">
        <v>84.740740740000007</v>
      </c>
      <c r="M5190">
        <v>29.167014049999999</v>
      </c>
      <c r="N5190">
        <v>1.1169849999999999</v>
      </c>
      <c r="O5190">
        <v>1.1571499000000001</v>
      </c>
      <c r="P5190">
        <v>120.25</v>
      </c>
      <c r="Q5190">
        <v>30.670450110000001</v>
      </c>
      <c r="R5190">
        <v>0.91037498500000003</v>
      </c>
      <c r="S5190" t="s">
        <v>114</v>
      </c>
      <c r="T5190" t="s">
        <v>1041</v>
      </c>
      <c r="U5190" t="s">
        <v>114</v>
      </c>
    </row>
    <row r="5191" spans="1:21" x14ac:dyDescent="0.25">
      <c r="A5191" t="s">
        <v>58</v>
      </c>
      <c r="B5191" t="s">
        <v>886</v>
      </c>
      <c r="C5191">
        <v>12</v>
      </c>
      <c r="D5191" t="s">
        <v>29</v>
      </c>
      <c r="E5191" t="s">
        <v>95</v>
      </c>
      <c r="F5191" t="s">
        <v>110</v>
      </c>
      <c r="G5191" t="s">
        <v>121</v>
      </c>
      <c r="H5191" t="s">
        <v>246</v>
      </c>
      <c r="I5191" t="s">
        <v>162</v>
      </c>
      <c r="J5191">
        <v>1</v>
      </c>
      <c r="K5191">
        <v>1</v>
      </c>
      <c r="L5191">
        <v>73.260869569999997</v>
      </c>
      <c r="M5191">
        <v>34.453830549999999</v>
      </c>
      <c r="N5191">
        <v>1.058333333</v>
      </c>
      <c r="O5191">
        <v>0.90897070000000002</v>
      </c>
      <c r="P5191">
        <v>120.25</v>
      </c>
      <c r="Q5191">
        <v>30.670450110000001</v>
      </c>
      <c r="R5191">
        <v>0.91037498500000003</v>
      </c>
      <c r="S5191" t="s">
        <v>114</v>
      </c>
      <c r="T5191" t="s">
        <v>1041</v>
      </c>
      <c r="U5191" t="s">
        <v>114</v>
      </c>
    </row>
    <row r="5192" spans="1:21" x14ac:dyDescent="0.25">
      <c r="A5192" t="s">
        <v>58</v>
      </c>
      <c r="B5192" t="s">
        <v>886</v>
      </c>
      <c r="C5192">
        <v>12</v>
      </c>
      <c r="D5192" t="s">
        <v>29</v>
      </c>
      <c r="E5192" t="s">
        <v>95</v>
      </c>
      <c r="F5192" t="s">
        <v>110</v>
      </c>
      <c r="G5192" t="s">
        <v>121</v>
      </c>
      <c r="H5192" t="s">
        <v>239</v>
      </c>
      <c r="J5192">
        <v>1</v>
      </c>
      <c r="K5192">
        <v>1</v>
      </c>
      <c r="L5192">
        <v>73.260869569999997</v>
      </c>
      <c r="M5192">
        <v>34.453830549999999</v>
      </c>
      <c r="N5192">
        <v>1.058333333</v>
      </c>
      <c r="O5192">
        <v>0.90897070000000002</v>
      </c>
      <c r="P5192">
        <v>100.45454549999999</v>
      </c>
      <c r="Q5192">
        <v>26.754810689999999</v>
      </c>
      <c r="R5192">
        <v>0.75829999999999997</v>
      </c>
      <c r="S5192">
        <v>0.40907861000000001</v>
      </c>
      <c r="T5192" t="s">
        <v>1041</v>
      </c>
      <c r="U5192">
        <v>0.49989209000000001</v>
      </c>
    </row>
    <row r="5193" spans="1:21" x14ac:dyDescent="0.25">
      <c r="A5193" t="s">
        <v>58</v>
      </c>
      <c r="B5193" t="s">
        <v>887</v>
      </c>
      <c r="C5193">
        <v>12</v>
      </c>
      <c r="D5193" t="s">
        <v>29</v>
      </c>
      <c r="E5193" t="s">
        <v>95</v>
      </c>
      <c r="F5193" t="s">
        <v>103</v>
      </c>
      <c r="G5193" t="s">
        <v>121</v>
      </c>
      <c r="H5193" t="s">
        <v>249</v>
      </c>
      <c r="J5193">
        <v>0</v>
      </c>
      <c r="K5193">
        <v>1</v>
      </c>
      <c r="L5193">
        <v>98.291666669999998</v>
      </c>
      <c r="M5193">
        <v>30.315130790000001</v>
      </c>
      <c r="N5193">
        <v>5.0803484000000003E-2</v>
      </c>
      <c r="O5193">
        <v>0.42866070000000001</v>
      </c>
      <c r="P5193">
        <v>81.666666669999998</v>
      </c>
      <c r="Q5193">
        <v>48.056268459999998</v>
      </c>
      <c r="R5193">
        <v>0.120291364</v>
      </c>
      <c r="S5193" t="s">
        <v>114</v>
      </c>
      <c r="T5193" t="s">
        <v>1041</v>
      </c>
      <c r="U5193" t="s">
        <v>114</v>
      </c>
    </row>
    <row r="5194" spans="1:21" x14ac:dyDescent="0.25">
      <c r="A5194" t="s">
        <v>58</v>
      </c>
      <c r="B5194" t="s">
        <v>887</v>
      </c>
      <c r="C5194">
        <v>12</v>
      </c>
      <c r="D5194" t="s">
        <v>29</v>
      </c>
      <c r="E5194" t="s">
        <v>95</v>
      </c>
      <c r="F5194" t="s">
        <v>103</v>
      </c>
      <c r="G5194" t="s">
        <v>121</v>
      </c>
      <c r="H5194" t="s">
        <v>238</v>
      </c>
      <c r="J5194">
        <v>0</v>
      </c>
      <c r="K5194">
        <v>1</v>
      </c>
      <c r="L5194">
        <v>98.291666669999998</v>
      </c>
      <c r="M5194">
        <v>30.315130790000001</v>
      </c>
      <c r="N5194">
        <v>5.0803484000000003E-2</v>
      </c>
      <c r="O5194">
        <v>0.42866070000000001</v>
      </c>
      <c r="P5194">
        <v>87.5</v>
      </c>
      <c r="Q5194">
        <v>29.478311600000001</v>
      </c>
      <c r="R5194">
        <v>3.0797751000000002E-2</v>
      </c>
      <c r="S5194">
        <v>0.12931835</v>
      </c>
      <c r="T5194" t="s">
        <v>1041</v>
      </c>
      <c r="U5194">
        <v>0.29934234999999998</v>
      </c>
    </row>
    <row r="5195" spans="1:21" x14ac:dyDescent="0.25">
      <c r="A5195" t="s">
        <v>59</v>
      </c>
      <c r="B5195" t="s">
        <v>888</v>
      </c>
      <c r="C5195">
        <v>12</v>
      </c>
      <c r="D5195" t="s">
        <v>31</v>
      </c>
      <c r="E5195" t="s">
        <v>94</v>
      </c>
      <c r="F5195" t="s">
        <v>105</v>
      </c>
      <c r="G5195" t="s">
        <v>121</v>
      </c>
      <c r="H5195" t="s">
        <v>241</v>
      </c>
      <c r="J5195">
        <v>0</v>
      </c>
      <c r="K5195">
        <v>1</v>
      </c>
      <c r="L5195">
        <v>67.5</v>
      </c>
      <c r="M5195">
        <v>47.937235809999997</v>
      </c>
      <c r="N5195">
        <v>0.41599678000000001</v>
      </c>
      <c r="O5195">
        <v>2.0950346999999998</v>
      </c>
      <c r="P5195">
        <v>114</v>
      </c>
      <c r="Q5195">
        <v>30.43077242</v>
      </c>
      <c r="R5195">
        <v>0.53383111100000002</v>
      </c>
      <c r="S5195">
        <v>0.28333332999999999</v>
      </c>
      <c r="T5195" t="s">
        <v>1041</v>
      </c>
      <c r="U5195">
        <v>1.8117013699999998</v>
      </c>
    </row>
    <row r="5196" spans="1:21" x14ac:dyDescent="0.25">
      <c r="A5196" t="s">
        <v>59</v>
      </c>
      <c r="B5196" t="s">
        <v>889</v>
      </c>
      <c r="C5196">
        <v>12</v>
      </c>
      <c r="D5196" t="s">
        <v>31</v>
      </c>
      <c r="E5196" t="s">
        <v>94</v>
      </c>
      <c r="F5196" t="s">
        <v>110</v>
      </c>
      <c r="G5196" t="s">
        <v>121</v>
      </c>
      <c r="H5196" t="s">
        <v>241</v>
      </c>
      <c r="J5196">
        <v>0</v>
      </c>
      <c r="K5196">
        <v>2</v>
      </c>
      <c r="L5196">
        <v>73.260869569999997</v>
      </c>
      <c r="M5196">
        <v>34.453830549999999</v>
      </c>
      <c r="N5196">
        <v>1.058333333</v>
      </c>
      <c r="O5196">
        <v>0.90897070000000002</v>
      </c>
      <c r="P5196">
        <v>114</v>
      </c>
      <c r="Q5196">
        <v>30.43077242</v>
      </c>
      <c r="R5196">
        <v>0.53383111100000002</v>
      </c>
      <c r="S5196">
        <v>0.28333332999999999</v>
      </c>
      <c r="T5196" t="s">
        <v>1041</v>
      </c>
      <c r="U5196">
        <v>0.62563736999999997</v>
      </c>
    </row>
    <row r="5197" spans="1:21" x14ac:dyDescent="0.25">
      <c r="A5197" t="s">
        <v>59</v>
      </c>
      <c r="B5197" t="s">
        <v>889</v>
      </c>
      <c r="C5197">
        <v>12</v>
      </c>
      <c r="D5197" t="s">
        <v>31</v>
      </c>
      <c r="E5197" t="s">
        <v>94</v>
      </c>
      <c r="F5197" t="s">
        <v>110</v>
      </c>
      <c r="G5197" t="s">
        <v>121</v>
      </c>
      <c r="H5197" t="s">
        <v>241</v>
      </c>
      <c r="J5197">
        <v>0</v>
      </c>
      <c r="K5197">
        <v>2</v>
      </c>
      <c r="L5197">
        <v>73.260869569999997</v>
      </c>
      <c r="M5197">
        <v>34.453830549999999</v>
      </c>
      <c r="N5197">
        <v>1.058333333</v>
      </c>
      <c r="O5197">
        <v>0.90897070000000002</v>
      </c>
      <c r="P5197">
        <v>114</v>
      </c>
      <c r="Q5197">
        <v>30.43077242</v>
      </c>
      <c r="R5197">
        <v>0.53383111100000002</v>
      </c>
      <c r="S5197">
        <v>0.28333332999999999</v>
      </c>
      <c r="T5197" t="s">
        <v>1041</v>
      </c>
      <c r="U5197">
        <v>0.62563736999999997</v>
      </c>
    </row>
    <row r="5198" spans="1:21" x14ac:dyDescent="0.25">
      <c r="A5198" t="s">
        <v>60</v>
      </c>
      <c r="B5198" t="s">
        <v>890</v>
      </c>
      <c r="C5198">
        <v>12</v>
      </c>
      <c r="D5198" t="s">
        <v>33</v>
      </c>
      <c r="E5198" t="s">
        <v>95</v>
      </c>
      <c r="F5198" t="s">
        <v>102</v>
      </c>
      <c r="G5198" t="s">
        <v>104</v>
      </c>
      <c r="H5198" t="s">
        <v>104</v>
      </c>
      <c r="J5198">
        <v>0</v>
      </c>
      <c r="K5198">
        <v>1</v>
      </c>
      <c r="L5198">
        <v>84.740740740000007</v>
      </c>
      <c r="M5198">
        <v>29.167014049999999</v>
      </c>
      <c r="N5198">
        <v>1.1169849999999999</v>
      </c>
      <c r="O5198">
        <v>1.1571499000000001</v>
      </c>
      <c r="P5198">
        <v>113.9375</v>
      </c>
      <c r="Q5198">
        <v>33.375507550000002</v>
      </c>
      <c r="R5198">
        <v>2.4262999999999999</v>
      </c>
      <c r="S5198">
        <v>0.40692159999999999</v>
      </c>
      <c r="T5198" t="s">
        <v>1041</v>
      </c>
      <c r="U5198">
        <v>0.75022830000000007</v>
      </c>
    </row>
    <row r="5199" spans="1:21" x14ac:dyDescent="0.25">
      <c r="A5199" t="s">
        <v>60</v>
      </c>
      <c r="B5199" t="s">
        <v>891</v>
      </c>
      <c r="C5199">
        <v>12</v>
      </c>
      <c r="D5199" t="s">
        <v>33</v>
      </c>
      <c r="E5199" t="s">
        <v>95</v>
      </c>
      <c r="F5199" t="s">
        <v>110</v>
      </c>
      <c r="G5199" t="s">
        <v>121</v>
      </c>
      <c r="H5199" t="s">
        <v>241</v>
      </c>
      <c r="J5199">
        <v>0</v>
      </c>
      <c r="K5199">
        <v>2</v>
      </c>
      <c r="L5199">
        <v>73.260869569999997</v>
      </c>
      <c r="M5199">
        <v>34.453830549999999</v>
      </c>
      <c r="N5199">
        <v>1.058333333</v>
      </c>
      <c r="O5199">
        <v>0.90897070000000002</v>
      </c>
      <c r="P5199">
        <v>114</v>
      </c>
      <c r="Q5199">
        <v>30.43077242</v>
      </c>
      <c r="R5199">
        <v>0.53383111100000002</v>
      </c>
      <c r="S5199">
        <v>0.28333332999999999</v>
      </c>
      <c r="T5199" t="s">
        <v>1041</v>
      </c>
      <c r="U5199">
        <v>0.62563736999999997</v>
      </c>
    </row>
    <row r="5200" spans="1:21" x14ac:dyDescent="0.25">
      <c r="A5200" t="s">
        <v>60</v>
      </c>
      <c r="B5200" t="s">
        <v>891</v>
      </c>
      <c r="C5200">
        <v>12</v>
      </c>
      <c r="D5200" t="s">
        <v>33</v>
      </c>
      <c r="E5200" t="s">
        <v>95</v>
      </c>
      <c r="F5200" t="s">
        <v>110</v>
      </c>
      <c r="G5200" t="s">
        <v>121</v>
      </c>
      <c r="H5200" t="s">
        <v>241</v>
      </c>
      <c r="J5200">
        <v>0</v>
      </c>
      <c r="K5200">
        <v>2</v>
      </c>
      <c r="L5200">
        <v>73.260869569999997</v>
      </c>
      <c r="M5200">
        <v>34.453830549999999</v>
      </c>
      <c r="N5200">
        <v>1.058333333</v>
      </c>
      <c r="O5200">
        <v>0.90897070000000002</v>
      </c>
      <c r="P5200">
        <v>114</v>
      </c>
      <c r="Q5200">
        <v>30.43077242</v>
      </c>
      <c r="R5200">
        <v>0.53383111100000002</v>
      </c>
      <c r="S5200">
        <v>0.28333332999999999</v>
      </c>
      <c r="T5200" t="s">
        <v>1041</v>
      </c>
      <c r="U5200">
        <v>0.62563736999999997</v>
      </c>
    </row>
    <row r="5201" spans="1:21" x14ac:dyDescent="0.25">
      <c r="A5201" t="s">
        <v>60</v>
      </c>
      <c r="B5201" t="s">
        <v>891</v>
      </c>
      <c r="C5201">
        <v>12</v>
      </c>
      <c r="D5201" t="s">
        <v>33</v>
      </c>
      <c r="E5201" t="s">
        <v>95</v>
      </c>
      <c r="F5201" t="s">
        <v>110</v>
      </c>
      <c r="G5201" t="s">
        <v>121</v>
      </c>
      <c r="H5201" t="s">
        <v>246</v>
      </c>
      <c r="J5201">
        <v>0</v>
      </c>
      <c r="K5201">
        <v>2</v>
      </c>
      <c r="L5201">
        <v>73.260869569999997</v>
      </c>
      <c r="M5201">
        <v>34.453830549999999</v>
      </c>
      <c r="N5201">
        <v>1.058333333</v>
      </c>
      <c r="O5201">
        <v>0.90897070000000002</v>
      </c>
      <c r="P5201">
        <v>120.25</v>
      </c>
      <c r="Q5201">
        <v>30.670450110000001</v>
      </c>
      <c r="R5201">
        <v>0.91037498500000003</v>
      </c>
      <c r="S5201" t="s">
        <v>114</v>
      </c>
      <c r="T5201" t="s">
        <v>1041</v>
      </c>
      <c r="U5201" t="s">
        <v>114</v>
      </c>
    </row>
    <row r="5202" spans="1:21" x14ac:dyDescent="0.25">
      <c r="A5202" t="s">
        <v>60</v>
      </c>
      <c r="B5202" t="s">
        <v>891</v>
      </c>
      <c r="C5202">
        <v>12</v>
      </c>
      <c r="D5202" t="s">
        <v>33</v>
      </c>
      <c r="E5202" t="s">
        <v>95</v>
      </c>
      <c r="F5202" t="s">
        <v>110</v>
      </c>
      <c r="G5202" t="s">
        <v>121</v>
      </c>
      <c r="H5202" t="s">
        <v>246</v>
      </c>
      <c r="J5202">
        <v>0</v>
      </c>
      <c r="K5202">
        <v>2</v>
      </c>
      <c r="L5202">
        <v>73.260869569999997</v>
      </c>
      <c r="M5202">
        <v>34.453830549999999</v>
      </c>
      <c r="N5202">
        <v>1.058333333</v>
      </c>
      <c r="O5202">
        <v>0.90897070000000002</v>
      </c>
      <c r="P5202">
        <v>120.25</v>
      </c>
      <c r="Q5202">
        <v>30.670450110000001</v>
      </c>
      <c r="R5202">
        <v>0.91037498500000003</v>
      </c>
      <c r="S5202" t="s">
        <v>114</v>
      </c>
      <c r="T5202" t="s">
        <v>1041</v>
      </c>
      <c r="U5202" t="s">
        <v>114</v>
      </c>
    </row>
    <row r="5203" spans="1:21" x14ac:dyDescent="0.25">
      <c r="A5203" t="s">
        <v>60</v>
      </c>
      <c r="B5203" t="s">
        <v>892</v>
      </c>
      <c r="C5203">
        <v>12</v>
      </c>
      <c r="D5203" t="s">
        <v>33</v>
      </c>
      <c r="E5203" t="s">
        <v>95</v>
      </c>
      <c r="F5203" t="s">
        <v>104</v>
      </c>
      <c r="G5203" t="s">
        <v>104</v>
      </c>
      <c r="H5203" t="s">
        <v>104</v>
      </c>
      <c r="J5203">
        <v>0</v>
      </c>
      <c r="K5203">
        <v>1</v>
      </c>
      <c r="L5203">
        <v>113.9375</v>
      </c>
      <c r="M5203">
        <v>33.375507550000002</v>
      </c>
      <c r="N5203">
        <v>2.4262999999999999</v>
      </c>
      <c r="O5203">
        <v>0.40692159999999999</v>
      </c>
      <c r="P5203">
        <v>113.9375</v>
      </c>
      <c r="Q5203">
        <v>33.375507550000002</v>
      </c>
      <c r="R5203">
        <v>2.4262999999999999</v>
      </c>
      <c r="S5203">
        <v>0.40692159999999999</v>
      </c>
      <c r="T5203" t="s">
        <v>1041</v>
      </c>
      <c r="U5203">
        <v>0</v>
      </c>
    </row>
    <row r="5204" spans="1:21" x14ac:dyDescent="0.25">
      <c r="A5204" t="s">
        <v>60</v>
      </c>
      <c r="B5204" t="s">
        <v>892</v>
      </c>
      <c r="C5204">
        <v>12</v>
      </c>
      <c r="D5204" t="s">
        <v>33</v>
      </c>
      <c r="E5204" t="s">
        <v>95</v>
      </c>
      <c r="F5204" t="s">
        <v>104</v>
      </c>
      <c r="G5204" t="s">
        <v>104</v>
      </c>
      <c r="H5204" t="s">
        <v>246</v>
      </c>
      <c r="J5204">
        <v>0</v>
      </c>
      <c r="K5204">
        <v>2</v>
      </c>
      <c r="L5204">
        <v>113.9375</v>
      </c>
      <c r="M5204">
        <v>33.375507550000002</v>
      </c>
      <c r="N5204">
        <v>2.4262999999999999</v>
      </c>
      <c r="O5204">
        <v>0.40692159999999999</v>
      </c>
      <c r="P5204">
        <v>120.25</v>
      </c>
      <c r="Q5204">
        <v>30.670450110000001</v>
      </c>
      <c r="R5204">
        <v>0.91037498500000003</v>
      </c>
      <c r="S5204" t="s">
        <v>114</v>
      </c>
      <c r="T5204" t="s">
        <v>1041</v>
      </c>
      <c r="U5204" t="s">
        <v>114</v>
      </c>
    </row>
    <row r="5205" spans="1:21" x14ac:dyDescent="0.25">
      <c r="A5205" t="s">
        <v>60</v>
      </c>
      <c r="B5205" t="s">
        <v>892</v>
      </c>
      <c r="C5205">
        <v>12</v>
      </c>
      <c r="D5205" t="s">
        <v>33</v>
      </c>
      <c r="E5205" t="s">
        <v>95</v>
      </c>
      <c r="F5205" t="s">
        <v>104</v>
      </c>
      <c r="G5205" t="s">
        <v>104</v>
      </c>
      <c r="H5205" t="s">
        <v>246</v>
      </c>
      <c r="J5205">
        <v>0</v>
      </c>
      <c r="K5205">
        <v>2</v>
      </c>
      <c r="L5205">
        <v>113.9375</v>
      </c>
      <c r="M5205">
        <v>33.375507550000002</v>
      </c>
      <c r="N5205">
        <v>2.4262999999999999</v>
      </c>
      <c r="O5205">
        <v>0.40692159999999999</v>
      </c>
      <c r="P5205">
        <v>120.25</v>
      </c>
      <c r="Q5205">
        <v>30.670450110000001</v>
      </c>
      <c r="R5205">
        <v>0.91037498500000003</v>
      </c>
      <c r="S5205" t="s">
        <v>114</v>
      </c>
      <c r="T5205" t="s">
        <v>1041</v>
      </c>
      <c r="U5205" t="s">
        <v>114</v>
      </c>
    </row>
    <row r="5206" spans="1:21" x14ac:dyDescent="0.25">
      <c r="A5206" t="s">
        <v>60</v>
      </c>
      <c r="B5206" t="s">
        <v>892</v>
      </c>
      <c r="C5206">
        <v>12</v>
      </c>
      <c r="D5206" t="s">
        <v>33</v>
      </c>
      <c r="E5206" t="s">
        <v>95</v>
      </c>
      <c r="F5206" t="s">
        <v>104</v>
      </c>
      <c r="G5206" t="s">
        <v>104</v>
      </c>
      <c r="H5206" t="s">
        <v>797</v>
      </c>
      <c r="J5206">
        <v>0</v>
      </c>
      <c r="K5206">
        <v>1</v>
      </c>
      <c r="L5206">
        <v>113.9375</v>
      </c>
      <c r="M5206">
        <v>33.375507550000002</v>
      </c>
      <c r="N5206">
        <v>2.4262999999999999</v>
      </c>
      <c r="O5206">
        <v>0.40692159999999999</v>
      </c>
      <c r="P5206">
        <v>179.45454549999999</v>
      </c>
      <c r="Q5206">
        <v>26.326869609999999</v>
      </c>
      <c r="R5206">
        <v>2.3456094639999998</v>
      </c>
      <c r="S5206">
        <v>0.18833116</v>
      </c>
      <c r="T5206" t="s">
        <v>1041</v>
      </c>
      <c r="U5206">
        <v>0.21859044</v>
      </c>
    </row>
    <row r="5207" spans="1:21" x14ac:dyDescent="0.25">
      <c r="A5207" t="s">
        <v>60</v>
      </c>
      <c r="B5207" t="s">
        <v>892</v>
      </c>
      <c r="C5207">
        <v>12</v>
      </c>
      <c r="D5207" t="s">
        <v>33</v>
      </c>
      <c r="E5207" t="s">
        <v>95</v>
      </c>
      <c r="F5207" t="s">
        <v>104</v>
      </c>
      <c r="G5207" t="s">
        <v>104</v>
      </c>
      <c r="H5207" t="s">
        <v>247</v>
      </c>
      <c r="J5207">
        <v>0</v>
      </c>
      <c r="K5207">
        <v>1</v>
      </c>
      <c r="L5207">
        <v>113.9375</v>
      </c>
      <c r="M5207">
        <v>33.375507550000002</v>
      </c>
      <c r="N5207">
        <v>2.4262999999999999</v>
      </c>
      <c r="O5207">
        <v>0.40692159999999999</v>
      </c>
      <c r="P5207">
        <v>65.791044779999993</v>
      </c>
      <c r="Q5207">
        <v>22.94519201</v>
      </c>
      <c r="R5207">
        <v>8.1320334999999994E-2</v>
      </c>
      <c r="S5207">
        <v>0.17285655</v>
      </c>
      <c r="T5207" t="s">
        <v>1041</v>
      </c>
      <c r="U5207">
        <v>0.23406505</v>
      </c>
    </row>
    <row r="5208" spans="1:21" x14ac:dyDescent="0.25">
      <c r="A5208" t="s">
        <v>60</v>
      </c>
      <c r="B5208" t="s">
        <v>893</v>
      </c>
      <c r="C5208">
        <v>12</v>
      </c>
      <c r="D5208" t="s">
        <v>33</v>
      </c>
      <c r="E5208" t="s">
        <v>95</v>
      </c>
      <c r="F5208" t="s">
        <v>112</v>
      </c>
      <c r="G5208" t="s">
        <v>121</v>
      </c>
      <c r="H5208" t="s">
        <v>114</v>
      </c>
      <c r="J5208">
        <v>0</v>
      </c>
      <c r="K5208">
        <v>0</v>
      </c>
      <c r="L5208">
        <v>65.09375</v>
      </c>
      <c r="M5208">
        <v>37.895352600000002</v>
      </c>
      <c r="N5208">
        <v>2.2882677779999998</v>
      </c>
      <c r="O5208">
        <v>2.2111774</v>
      </c>
      <c r="P5208" t="s">
        <v>114</v>
      </c>
      <c r="Q5208" t="s">
        <v>114</v>
      </c>
      <c r="R5208" t="s">
        <v>114</v>
      </c>
      <c r="S5208" t="s">
        <v>114</v>
      </c>
      <c r="T5208" t="s">
        <v>1041</v>
      </c>
      <c r="U5208" t="s">
        <v>114</v>
      </c>
    </row>
    <row r="5209" spans="1:21" x14ac:dyDescent="0.25">
      <c r="A5209" t="s">
        <v>61</v>
      </c>
      <c r="B5209" t="s">
        <v>894</v>
      </c>
      <c r="C5209">
        <v>12</v>
      </c>
      <c r="D5209" t="s">
        <v>35</v>
      </c>
      <c r="E5209" t="s">
        <v>94</v>
      </c>
      <c r="F5209" t="s">
        <v>102</v>
      </c>
      <c r="G5209" t="s">
        <v>121</v>
      </c>
      <c r="H5209" t="s">
        <v>162</v>
      </c>
      <c r="J5209">
        <v>1</v>
      </c>
      <c r="K5209">
        <v>1</v>
      </c>
      <c r="L5209">
        <v>84.740740740000007</v>
      </c>
      <c r="M5209">
        <v>29.167014049999999</v>
      </c>
      <c r="N5209">
        <v>1.1169849999999999</v>
      </c>
      <c r="O5209">
        <v>1.1571499000000001</v>
      </c>
      <c r="P5209">
        <v>82.53846154</v>
      </c>
      <c r="Q5209">
        <v>35.660530039999998</v>
      </c>
      <c r="R5209">
        <v>3.3754499999999998</v>
      </c>
      <c r="S5209" t="s">
        <v>114</v>
      </c>
      <c r="T5209" t="s">
        <v>1041</v>
      </c>
      <c r="U5209" t="s">
        <v>114</v>
      </c>
    </row>
    <row r="5210" spans="1:21" x14ac:dyDescent="0.25">
      <c r="A5210" t="s">
        <v>61</v>
      </c>
      <c r="B5210" t="s">
        <v>895</v>
      </c>
      <c r="C5210">
        <v>12</v>
      </c>
      <c r="D5210" t="s">
        <v>35</v>
      </c>
      <c r="E5210" t="s">
        <v>94</v>
      </c>
      <c r="F5210" t="s">
        <v>110</v>
      </c>
      <c r="G5210" t="s">
        <v>121</v>
      </c>
      <c r="H5210" t="s">
        <v>162</v>
      </c>
      <c r="J5210">
        <v>0</v>
      </c>
      <c r="K5210">
        <v>1</v>
      </c>
      <c r="L5210">
        <v>73.260869569999997</v>
      </c>
      <c r="M5210">
        <v>34.453830549999999</v>
      </c>
      <c r="N5210">
        <v>1.058333333</v>
      </c>
      <c r="O5210">
        <v>0.90897070000000002</v>
      </c>
      <c r="P5210">
        <v>82.53846154</v>
      </c>
      <c r="Q5210">
        <v>35.660530039999998</v>
      </c>
      <c r="R5210">
        <v>3.3754499999999998</v>
      </c>
      <c r="S5210" t="s">
        <v>114</v>
      </c>
      <c r="T5210" t="s">
        <v>1041</v>
      </c>
      <c r="U5210" t="s">
        <v>114</v>
      </c>
    </row>
    <row r="5211" spans="1:21" x14ac:dyDescent="0.25">
      <c r="A5211" t="s">
        <v>61</v>
      </c>
      <c r="B5211" t="s">
        <v>895</v>
      </c>
      <c r="C5211">
        <v>12</v>
      </c>
      <c r="D5211" t="s">
        <v>35</v>
      </c>
      <c r="E5211" t="s">
        <v>94</v>
      </c>
      <c r="F5211" t="s">
        <v>110</v>
      </c>
      <c r="G5211" t="s">
        <v>121</v>
      </c>
      <c r="H5211" t="s">
        <v>102</v>
      </c>
      <c r="J5211">
        <v>0</v>
      </c>
      <c r="K5211">
        <v>1</v>
      </c>
      <c r="L5211">
        <v>73.260869569999997</v>
      </c>
      <c r="M5211">
        <v>34.453830549999999</v>
      </c>
      <c r="N5211">
        <v>1.058333333</v>
      </c>
      <c r="O5211">
        <v>0.90897070000000002</v>
      </c>
      <c r="P5211">
        <v>84.740740740000007</v>
      </c>
      <c r="Q5211">
        <v>29.167014049999999</v>
      </c>
      <c r="R5211">
        <v>1.1169849999999999</v>
      </c>
      <c r="S5211">
        <v>1.1571499000000001</v>
      </c>
      <c r="T5211" t="s">
        <v>1041</v>
      </c>
      <c r="U5211">
        <v>0.24817920000000004</v>
      </c>
    </row>
    <row r="5212" spans="1:21" x14ac:dyDescent="0.25">
      <c r="A5212" t="s">
        <v>61</v>
      </c>
      <c r="B5212" t="s">
        <v>896</v>
      </c>
      <c r="C5212">
        <v>12</v>
      </c>
      <c r="D5212" t="s">
        <v>35</v>
      </c>
      <c r="E5212" t="s">
        <v>94</v>
      </c>
      <c r="F5212" t="s">
        <v>112</v>
      </c>
      <c r="G5212" t="s">
        <v>121</v>
      </c>
      <c r="H5212" t="s">
        <v>162</v>
      </c>
      <c r="J5212">
        <v>0</v>
      </c>
      <c r="K5212">
        <v>1</v>
      </c>
      <c r="L5212">
        <v>65.09375</v>
      </c>
      <c r="M5212">
        <v>37.895352600000002</v>
      </c>
      <c r="N5212">
        <v>2.2882677779999998</v>
      </c>
      <c r="O5212">
        <v>2.2111774</v>
      </c>
      <c r="P5212">
        <v>82.53846154</v>
      </c>
      <c r="Q5212">
        <v>35.660530039999998</v>
      </c>
      <c r="R5212">
        <v>3.3754499999999998</v>
      </c>
      <c r="S5212" t="s">
        <v>114</v>
      </c>
      <c r="T5212" t="s">
        <v>1041</v>
      </c>
      <c r="U5212" t="s">
        <v>114</v>
      </c>
    </row>
    <row r="5213" spans="1:21" x14ac:dyDescent="0.25">
      <c r="A5213" t="s">
        <v>62</v>
      </c>
      <c r="B5213" t="s">
        <v>897</v>
      </c>
      <c r="C5213">
        <v>12</v>
      </c>
      <c r="D5213" t="s">
        <v>37</v>
      </c>
      <c r="E5213" t="s">
        <v>95</v>
      </c>
      <c r="F5213" t="s">
        <v>102</v>
      </c>
      <c r="G5213" t="s">
        <v>121</v>
      </c>
      <c r="H5213" t="s">
        <v>114</v>
      </c>
      <c r="J5213">
        <v>0</v>
      </c>
      <c r="K5213">
        <v>0</v>
      </c>
      <c r="L5213">
        <v>84.740740740000007</v>
      </c>
      <c r="M5213">
        <v>29.167014049999999</v>
      </c>
      <c r="N5213">
        <v>1.1169849999999999</v>
      </c>
      <c r="O5213">
        <v>1.1571499000000001</v>
      </c>
      <c r="P5213" t="s">
        <v>114</v>
      </c>
      <c r="Q5213" t="s">
        <v>114</v>
      </c>
      <c r="R5213" t="s">
        <v>114</v>
      </c>
      <c r="S5213" t="s">
        <v>114</v>
      </c>
      <c r="T5213" t="s">
        <v>1041</v>
      </c>
      <c r="U5213" t="s">
        <v>114</v>
      </c>
    </row>
    <row r="5214" spans="1:21" x14ac:dyDescent="0.25">
      <c r="A5214" t="s">
        <v>62</v>
      </c>
      <c r="B5214" t="s">
        <v>898</v>
      </c>
      <c r="C5214">
        <v>12</v>
      </c>
      <c r="D5214" t="s">
        <v>37</v>
      </c>
      <c r="E5214" t="s">
        <v>95</v>
      </c>
      <c r="F5214" t="s">
        <v>103</v>
      </c>
      <c r="G5214" t="s">
        <v>121</v>
      </c>
      <c r="H5214" t="s">
        <v>233</v>
      </c>
      <c r="J5214">
        <v>0</v>
      </c>
      <c r="K5214">
        <v>1</v>
      </c>
      <c r="L5214">
        <v>98.291666669999998</v>
      </c>
      <c r="M5214">
        <v>30.315130790000001</v>
      </c>
      <c r="N5214">
        <v>5.0803484000000003E-2</v>
      </c>
      <c r="O5214">
        <v>0.42866070000000001</v>
      </c>
      <c r="P5214">
        <v>106.0540541</v>
      </c>
      <c r="Q5214">
        <v>52.690533369999997</v>
      </c>
      <c r="R5214">
        <v>7.6058968000000005E-2</v>
      </c>
      <c r="S5214">
        <v>0.44888888999999998</v>
      </c>
      <c r="T5214" t="s">
        <v>1041</v>
      </c>
      <c r="U5214">
        <v>2.0228189999999979E-2</v>
      </c>
    </row>
    <row r="5215" spans="1:21" x14ac:dyDescent="0.25">
      <c r="A5215" t="s">
        <v>62</v>
      </c>
      <c r="B5215" t="s">
        <v>898</v>
      </c>
      <c r="C5215">
        <v>12</v>
      </c>
      <c r="D5215" t="s">
        <v>37</v>
      </c>
      <c r="E5215" t="s">
        <v>95</v>
      </c>
      <c r="F5215" t="s">
        <v>103</v>
      </c>
      <c r="G5215" t="s">
        <v>121</v>
      </c>
      <c r="H5215" t="s">
        <v>234</v>
      </c>
      <c r="J5215">
        <v>0</v>
      </c>
      <c r="K5215">
        <v>1</v>
      </c>
      <c r="L5215">
        <v>98.291666669999998</v>
      </c>
      <c r="M5215">
        <v>30.315130790000001</v>
      </c>
      <c r="N5215">
        <v>5.0803484000000003E-2</v>
      </c>
      <c r="O5215">
        <v>0.42866070000000001</v>
      </c>
      <c r="P5215">
        <v>89.8125</v>
      </c>
      <c r="Q5215">
        <v>34.754706650000003</v>
      </c>
      <c r="R5215">
        <v>2.3065078999999999E-2</v>
      </c>
      <c r="S5215">
        <v>2.4791666700000001</v>
      </c>
      <c r="T5215" t="s">
        <v>1041</v>
      </c>
      <c r="U5215">
        <v>2.0505059700000001</v>
      </c>
    </row>
    <row r="5216" spans="1:21" x14ac:dyDescent="0.25">
      <c r="A5216" t="s">
        <v>62</v>
      </c>
      <c r="B5216" t="s">
        <v>898</v>
      </c>
      <c r="C5216">
        <v>12</v>
      </c>
      <c r="D5216" t="s">
        <v>37</v>
      </c>
      <c r="E5216" t="s">
        <v>95</v>
      </c>
      <c r="F5216" t="s">
        <v>103</v>
      </c>
      <c r="G5216" t="s">
        <v>121</v>
      </c>
      <c r="H5216" t="s">
        <v>241</v>
      </c>
      <c r="J5216">
        <v>0</v>
      </c>
      <c r="K5216">
        <v>1</v>
      </c>
      <c r="L5216">
        <v>98.291666669999998</v>
      </c>
      <c r="M5216">
        <v>30.315130790000001</v>
      </c>
      <c r="N5216">
        <v>5.0803484000000003E-2</v>
      </c>
      <c r="O5216">
        <v>0.42866070000000001</v>
      </c>
      <c r="P5216">
        <v>114</v>
      </c>
      <c r="Q5216">
        <v>30.43077242</v>
      </c>
      <c r="R5216">
        <v>0.53383111100000002</v>
      </c>
      <c r="S5216">
        <v>0.28333332999999999</v>
      </c>
      <c r="T5216" t="s">
        <v>1041</v>
      </c>
      <c r="U5216">
        <v>0.14532737000000001</v>
      </c>
    </row>
    <row r="5217" spans="1:21" x14ac:dyDescent="0.25">
      <c r="A5217" t="s">
        <v>63</v>
      </c>
      <c r="B5217" t="s">
        <v>899</v>
      </c>
      <c r="C5217">
        <v>12</v>
      </c>
      <c r="D5217" t="s">
        <v>64</v>
      </c>
      <c r="E5217" t="s">
        <v>94</v>
      </c>
      <c r="F5217" t="s">
        <v>104</v>
      </c>
      <c r="G5217" t="s">
        <v>121</v>
      </c>
      <c r="H5217" t="s">
        <v>238</v>
      </c>
      <c r="J5217">
        <v>0</v>
      </c>
      <c r="K5217">
        <v>2</v>
      </c>
      <c r="L5217">
        <v>113.9375</v>
      </c>
      <c r="M5217">
        <v>33.375507550000002</v>
      </c>
      <c r="N5217">
        <v>2.4262999999999999</v>
      </c>
      <c r="O5217">
        <v>0.40692159999999999</v>
      </c>
      <c r="P5217">
        <v>87.5</v>
      </c>
      <c r="Q5217">
        <v>29.478311600000001</v>
      </c>
      <c r="R5217">
        <v>3.0797751000000002E-2</v>
      </c>
      <c r="S5217">
        <v>0.12931835</v>
      </c>
      <c r="T5217" t="s">
        <v>1041</v>
      </c>
      <c r="U5217">
        <v>0.27760324999999997</v>
      </c>
    </row>
    <row r="5218" spans="1:21" x14ac:dyDescent="0.25">
      <c r="A5218" t="s">
        <v>63</v>
      </c>
      <c r="B5218" t="s">
        <v>899</v>
      </c>
      <c r="C5218">
        <v>12</v>
      </c>
      <c r="D5218" t="s">
        <v>64</v>
      </c>
      <c r="E5218" t="s">
        <v>94</v>
      </c>
      <c r="F5218" t="s">
        <v>104</v>
      </c>
      <c r="G5218" t="s">
        <v>121</v>
      </c>
      <c r="H5218" t="s">
        <v>238</v>
      </c>
      <c r="J5218">
        <v>0</v>
      </c>
      <c r="K5218">
        <v>2</v>
      </c>
      <c r="L5218">
        <v>113.9375</v>
      </c>
      <c r="M5218">
        <v>33.375507550000002</v>
      </c>
      <c r="N5218">
        <v>2.4262999999999999</v>
      </c>
      <c r="O5218">
        <v>0.40692159999999999</v>
      </c>
      <c r="P5218">
        <v>87.5</v>
      </c>
      <c r="Q5218">
        <v>29.478311600000001</v>
      </c>
      <c r="R5218">
        <v>3.0797751000000002E-2</v>
      </c>
      <c r="S5218">
        <v>0.12931835</v>
      </c>
      <c r="T5218" t="s">
        <v>1041</v>
      </c>
      <c r="U5218">
        <v>0.27760324999999997</v>
      </c>
    </row>
    <row r="5219" spans="1:21" x14ac:dyDescent="0.25">
      <c r="A5219" t="s">
        <v>63</v>
      </c>
      <c r="B5219" t="s">
        <v>899</v>
      </c>
      <c r="C5219">
        <v>12</v>
      </c>
      <c r="D5219" t="s">
        <v>64</v>
      </c>
      <c r="E5219" t="s">
        <v>94</v>
      </c>
      <c r="F5219" t="s">
        <v>104</v>
      </c>
      <c r="G5219" t="s">
        <v>121</v>
      </c>
      <c r="H5219" t="s">
        <v>103</v>
      </c>
      <c r="J5219">
        <v>0</v>
      </c>
      <c r="K5219">
        <v>1</v>
      </c>
      <c r="L5219">
        <v>113.9375</v>
      </c>
      <c r="M5219">
        <v>33.375507550000002</v>
      </c>
      <c r="N5219">
        <v>2.4262999999999999</v>
      </c>
      <c r="O5219">
        <v>0.40692159999999999</v>
      </c>
      <c r="P5219">
        <v>98.291666669999998</v>
      </c>
      <c r="Q5219">
        <v>30.315130790000001</v>
      </c>
      <c r="R5219">
        <v>5.0803484000000003E-2</v>
      </c>
      <c r="S5219">
        <v>0.42866070000000001</v>
      </c>
      <c r="T5219" t="s">
        <v>1041</v>
      </c>
      <c r="U5219">
        <v>2.1739100000000011E-2</v>
      </c>
    </row>
    <row r="5220" spans="1:21" x14ac:dyDescent="0.25">
      <c r="A5220" t="s">
        <v>63</v>
      </c>
      <c r="B5220" t="s">
        <v>899</v>
      </c>
      <c r="C5220">
        <v>12</v>
      </c>
      <c r="D5220" t="s">
        <v>64</v>
      </c>
      <c r="E5220" t="s">
        <v>94</v>
      </c>
      <c r="F5220" t="s">
        <v>104</v>
      </c>
      <c r="G5220" t="s">
        <v>121</v>
      </c>
      <c r="H5220" t="s">
        <v>248</v>
      </c>
      <c r="J5220">
        <v>0</v>
      </c>
      <c r="K5220">
        <v>2</v>
      </c>
      <c r="L5220">
        <v>113.9375</v>
      </c>
      <c r="M5220">
        <v>33.375507550000002</v>
      </c>
      <c r="N5220">
        <v>2.4262999999999999</v>
      </c>
      <c r="O5220">
        <v>0.40692159999999999</v>
      </c>
      <c r="P5220">
        <v>83.92307692</v>
      </c>
      <c r="Q5220">
        <v>44.319135699999997</v>
      </c>
      <c r="R5220">
        <v>5.9548609999999997E-3</v>
      </c>
      <c r="S5220">
        <v>0.18017928</v>
      </c>
      <c r="T5220" t="s">
        <v>1041</v>
      </c>
      <c r="U5220">
        <v>0.22674232</v>
      </c>
    </row>
    <row r="5221" spans="1:21" x14ac:dyDescent="0.25">
      <c r="A5221" t="s">
        <v>63</v>
      </c>
      <c r="B5221" t="s">
        <v>899</v>
      </c>
      <c r="C5221">
        <v>12</v>
      </c>
      <c r="D5221" t="s">
        <v>64</v>
      </c>
      <c r="E5221" t="s">
        <v>94</v>
      </c>
      <c r="F5221" t="s">
        <v>104</v>
      </c>
      <c r="G5221" t="s">
        <v>121</v>
      </c>
      <c r="H5221" t="s">
        <v>248</v>
      </c>
      <c r="J5221">
        <v>0</v>
      </c>
      <c r="K5221">
        <v>2</v>
      </c>
      <c r="L5221">
        <v>113.9375</v>
      </c>
      <c r="M5221">
        <v>33.375507550000002</v>
      </c>
      <c r="N5221">
        <v>2.4262999999999999</v>
      </c>
      <c r="O5221">
        <v>0.40692159999999999</v>
      </c>
      <c r="P5221">
        <v>83.92307692</v>
      </c>
      <c r="Q5221">
        <v>44.319135699999997</v>
      </c>
      <c r="R5221">
        <v>5.9548609999999997E-3</v>
      </c>
      <c r="S5221">
        <v>0.18017928</v>
      </c>
      <c r="T5221" t="s">
        <v>1041</v>
      </c>
      <c r="U5221">
        <v>0.22674232</v>
      </c>
    </row>
    <row r="5222" spans="1:21" x14ac:dyDescent="0.25">
      <c r="A5222" t="s">
        <v>65</v>
      </c>
      <c r="B5222" t="s">
        <v>900</v>
      </c>
      <c r="C5222">
        <v>12</v>
      </c>
      <c r="D5222" t="s">
        <v>66</v>
      </c>
      <c r="E5222" t="s">
        <v>95</v>
      </c>
      <c r="F5222" t="s">
        <v>105</v>
      </c>
      <c r="G5222" t="s">
        <v>121</v>
      </c>
      <c r="H5222" t="s">
        <v>111</v>
      </c>
      <c r="J5222">
        <v>0</v>
      </c>
      <c r="K5222">
        <v>1</v>
      </c>
      <c r="L5222">
        <v>67.5</v>
      </c>
      <c r="M5222">
        <v>47.937235809999997</v>
      </c>
      <c r="N5222">
        <v>0.41599678000000001</v>
      </c>
      <c r="O5222">
        <v>2.0950346999999998</v>
      </c>
      <c r="P5222">
        <v>94.97142857</v>
      </c>
      <c r="Q5222">
        <v>24.31591813</v>
      </c>
      <c r="R5222">
        <v>0.122951111</v>
      </c>
      <c r="S5222">
        <v>0.39050790000000002</v>
      </c>
      <c r="T5222" t="s">
        <v>1041</v>
      </c>
      <c r="U5222">
        <v>1.7045267999999998</v>
      </c>
    </row>
    <row r="5223" spans="1:21" x14ac:dyDescent="0.25">
      <c r="A5223" t="s">
        <v>65</v>
      </c>
      <c r="B5223" t="s">
        <v>900</v>
      </c>
      <c r="C5223">
        <v>12</v>
      </c>
      <c r="D5223" t="s">
        <v>66</v>
      </c>
      <c r="E5223" t="s">
        <v>95</v>
      </c>
      <c r="F5223" t="s">
        <v>105</v>
      </c>
      <c r="G5223" t="s">
        <v>121</v>
      </c>
      <c r="H5223" t="s">
        <v>808</v>
      </c>
      <c r="J5223">
        <v>0</v>
      </c>
      <c r="K5223">
        <v>1</v>
      </c>
      <c r="L5223">
        <v>67.5</v>
      </c>
      <c r="M5223">
        <v>47.937235809999997</v>
      </c>
      <c r="N5223">
        <v>0.41599678000000001</v>
      </c>
      <c r="O5223">
        <v>2.0950346999999998</v>
      </c>
      <c r="P5223">
        <v>102.79166669999999</v>
      </c>
      <c r="Q5223">
        <v>27.057373470000002</v>
      </c>
      <c r="R5223">
        <v>6.3567849939999999</v>
      </c>
      <c r="S5223" t="s">
        <v>114</v>
      </c>
      <c r="T5223" t="s">
        <v>1041</v>
      </c>
      <c r="U5223" t="s">
        <v>114</v>
      </c>
    </row>
    <row r="5224" spans="1:21" x14ac:dyDescent="0.25">
      <c r="A5224" t="s">
        <v>65</v>
      </c>
      <c r="B5224" t="s">
        <v>900</v>
      </c>
      <c r="C5224">
        <v>12</v>
      </c>
      <c r="D5224" t="s">
        <v>66</v>
      </c>
      <c r="E5224" t="s">
        <v>95</v>
      </c>
      <c r="F5224" t="s">
        <v>105</v>
      </c>
      <c r="G5224" t="s">
        <v>121</v>
      </c>
      <c r="H5224" t="s">
        <v>247</v>
      </c>
      <c r="J5224">
        <v>0</v>
      </c>
      <c r="K5224">
        <v>1</v>
      </c>
      <c r="L5224">
        <v>67.5</v>
      </c>
      <c r="M5224">
        <v>47.937235809999997</v>
      </c>
      <c r="N5224">
        <v>0.41599678000000001</v>
      </c>
      <c r="O5224">
        <v>2.0950346999999998</v>
      </c>
      <c r="P5224">
        <v>65.791044779999993</v>
      </c>
      <c r="Q5224">
        <v>22.94519201</v>
      </c>
      <c r="R5224">
        <v>8.1320334999999994E-2</v>
      </c>
      <c r="S5224">
        <v>0.17285655</v>
      </c>
      <c r="T5224" t="s">
        <v>1041</v>
      </c>
      <c r="U5224">
        <v>1.9221781499999997</v>
      </c>
    </row>
    <row r="5225" spans="1:21" x14ac:dyDescent="0.25">
      <c r="A5225" t="s">
        <v>65</v>
      </c>
      <c r="B5225" t="s">
        <v>900</v>
      </c>
      <c r="C5225">
        <v>12</v>
      </c>
      <c r="D5225" t="s">
        <v>66</v>
      </c>
      <c r="E5225" t="s">
        <v>95</v>
      </c>
      <c r="F5225" t="s">
        <v>105</v>
      </c>
      <c r="G5225" t="s">
        <v>121</v>
      </c>
      <c r="H5225" t="s">
        <v>248</v>
      </c>
      <c r="J5225">
        <v>0</v>
      </c>
      <c r="K5225">
        <v>2</v>
      </c>
      <c r="L5225">
        <v>67.5</v>
      </c>
      <c r="M5225">
        <v>47.937235809999997</v>
      </c>
      <c r="N5225">
        <v>0.41599678000000001</v>
      </c>
      <c r="O5225">
        <v>2.0950346999999998</v>
      </c>
      <c r="P5225">
        <v>83.92307692</v>
      </c>
      <c r="Q5225">
        <v>44.319135699999997</v>
      </c>
      <c r="R5225">
        <v>5.9548609999999997E-3</v>
      </c>
      <c r="S5225">
        <v>0.18017928</v>
      </c>
      <c r="T5225" t="s">
        <v>1041</v>
      </c>
      <c r="U5225">
        <v>1.9148554199999999</v>
      </c>
    </row>
    <row r="5226" spans="1:21" x14ac:dyDescent="0.25">
      <c r="A5226" t="s">
        <v>65</v>
      </c>
      <c r="B5226" t="s">
        <v>900</v>
      </c>
      <c r="C5226">
        <v>12</v>
      </c>
      <c r="D5226" t="s">
        <v>66</v>
      </c>
      <c r="E5226" t="s">
        <v>95</v>
      </c>
      <c r="F5226" t="s">
        <v>105</v>
      </c>
      <c r="G5226" t="s">
        <v>121</v>
      </c>
      <c r="H5226" t="s">
        <v>248</v>
      </c>
      <c r="J5226">
        <v>0</v>
      </c>
      <c r="K5226">
        <v>2</v>
      </c>
      <c r="L5226">
        <v>67.5</v>
      </c>
      <c r="M5226">
        <v>47.937235809999997</v>
      </c>
      <c r="N5226">
        <v>0.41599678000000001</v>
      </c>
      <c r="O5226">
        <v>2.0950346999999998</v>
      </c>
      <c r="P5226">
        <v>83.92307692</v>
      </c>
      <c r="Q5226">
        <v>44.319135699999997</v>
      </c>
      <c r="R5226">
        <v>5.9548609999999997E-3</v>
      </c>
      <c r="S5226">
        <v>0.18017928</v>
      </c>
      <c r="T5226" t="s">
        <v>1041</v>
      </c>
      <c r="U5226">
        <v>1.9148554199999999</v>
      </c>
    </row>
    <row r="5227" spans="1:21" x14ac:dyDescent="0.25">
      <c r="A5227" t="s">
        <v>10</v>
      </c>
      <c r="B5227" t="s">
        <v>901</v>
      </c>
      <c r="C5227">
        <v>15</v>
      </c>
      <c r="D5227" t="s">
        <v>11</v>
      </c>
      <c r="E5227" t="s">
        <v>94</v>
      </c>
      <c r="F5227" t="s">
        <v>102</v>
      </c>
      <c r="G5227" t="s">
        <v>102</v>
      </c>
      <c r="H5227" t="s">
        <v>102</v>
      </c>
      <c r="J5227">
        <v>0</v>
      </c>
      <c r="K5227">
        <v>1</v>
      </c>
      <c r="L5227">
        <v>84.740740740000007</v>
      </c>
      <c r="M5227">
        <v>29.167014049999999</v>
      </c>
      <c r="N5227">
        <v>1.1169849999999999</v>
      </c>
      <c r="O5227">
        <v>1.1571499000000001</v>
      </c>
      <c r="P5227">
        <v>84.740740740000007</v>
      </c>
      <c r="Q5227">
        <v>29.167014049999999</v>
      </c>
      <c r="R5227">
        <v>1.1169849999999999</v>
      </c>
      <c r="S5227">
        <v>1.1571499000000001</v>
      </c>
      <c r="T5227" t="s">
        <v>1041</v>
      </c>
      <c r="U5227">
        <v>0</v>
      </c>
    </row>
    <row r="5228" spans="1:21" x14ac:dyDescent="0.25">
      <c r="A5228" t="s">
        <v>10</v>
      </c>
      <c r="B5228" t="s">
        <v>901</v>
      </c>
      <c r="C5228">
        <v>16</v>
      </c>
      <c r="D5228" t="s">
        <v>11</v>
      </c>
      <c r="E5228" t="s">
        <v>94</v>
      </c>
      <c r="F5228" t="s">
        <v>102</v>
      </c>
      <c r="G5228" t="s">
        <v>102</v>
      </c>
      <c r="H5228" t="s">
        <v>111</v>
      </c>
      <c r="J5228">
        <v>0</v>
      </c>
      <c r="K5228">
        <v>1</v>
      </c>
      <c r="L5228">
        <v>84.740740740000007</v>
      </c>
      <c r="M5228">
        <v>29.167014049999999</v>
      </c>
      <c r="N5228">
        <v>1.1169849999999999</v>
      </c>
      <c r="O5228">
        <v>1.1571499000000001</v>
      </c>
      <c r="P5228">
        <v>94.97142857</v>
      </c>
      <c r="Q5228">
        <v>24.31591813</v>
      </c>
      <c r="R5228">
        <v>0.122951111</v>
      </c>
      <c r="S5228">
        <v>0.39050790000000002</v>
      </c>
      <c r="T5228" t="s">
        <v>1041</v>
      </c>
      <c r="U5228">
        <v>0.76664200000000005</v>
      </c>
    </row>
    <row r="5229" spans="1:21" x14ac:dyDescent="0.25">
      <c r="A5229" t="s">
        <v>10</v>
      </c>
      <c r="B5229" t="s">
        <v>902</v>
      </c>
      <c r="C5229">
        <v>15</v>
      </c>
      <c r="D5229" t="s">
        <v>11</v>
      </c>
      <c r="E5229" t="s">
        <v>94</v>
      </c>
      <c r="F5229" t="s">
        <v>105</v>
      </c>
      <c r="G5229" t="s">
        <v>121</v>
      </c>
      <c r="H5229" t="s">
        <v>244</v>
      </c>
      <c r="J5229">
        <v>0</v>
      </c>
      <c r="K5229">
        <v>2</v>
      </c>
      <c r="L5229">
        <v>67.5</v>
      </c>
      <c r="M5229">
        <v>47.937235809999997</v>
      </c>
      <c r="N5229">
        <v>0.41599678000000001</v>
      </c>
      <c r="O5229">
        <v>2.0950346999999998</v>
      </c>
      <c r="P5229">
        <v>75</v>
      </c>
      <c r="Q5229">
        <v>28.80614499</v>
      </c>
      <c r="R5229">
        <v>2.3860428570000001</v>
      </c>
      <c r="S5229">
        <v>0.26400832000000002</v>
      </c>
      <c r="T5229" t="s">
        <v>1041</v>
      </c>
      <c r="U5229">
        <v>1.8310263799999997</v>
      </c>
    </row>
    <row r="5230" spans="1:21" x14ac:dyDescent="0.25">
      <c r="A5230" t="s">
        <v>10</v>
      </c>
      <c r="B5230" t="s">
        <v>902</v>
      </c>
      <c r="C5230">
        <v>15</v>
      </c>
      <c r="D5230" t="s">
        <v>11</v>
      </c>
      <c r="E5230" t="s">
        <v>94</v>
      </c>
      <c r="F5230" t="s">
        <v>105</v>
      </c>
      <c r="G5230" t="s">
        <v>121</v>
      </c>
      <c r="H5230" t="s">
        <v>244</v>
      </c>
      <c r="J5230">
        <v>0</v>
      </c>
      <c r="K5230">
        <v>2</v>
      </c>
      <c r="L5230">
        <v>67.5</v>
      </c>
      <c r="M5230">
        <v>47.937235809999997</v>
      </c>
      <c r="N5230">
        <v>0.41599678000000001</v>
      </c>
      <c r="O5230">
        <v>2.0950346999999998</v>
      </c>
      <c r="P5230">
        <v>75</v>
      </c>
      <c r="Q5230">
        <v>28.80614499</v>
      </c>
      <c r="R5230">
        <v>2.3860428570000001</v>
      </c>
      <c r="S5230">
        <v>0.26400832000000002</v>
      </c>
      <c r="T5230" t="s">
        <v>1041</v>
      </c>
      <c r="U5230">
        <v>1.8310263799999997</v>
      </c>
    </row>
    <row r="5231" spans="1:21" x14ac:dyDescent="0.25">
      <c r="A5231" t="s">
        <v>10</v>
      </c>
      <c r="B5231" t="s">
        <v>902</v>
      </c>
      <c r="C5231">
        <v>16</v>
      </c>
      <c r="D5231" t="s">
        <v>11</v>
      </c>
      <c r="E5231" t="s">
        <v>94</v>
      </c>
      <c r="F5231" t="s">
        <v>105</v>
      </c>
      <c r="G5231" t="s">
        <v>121</v>
      </c>
      <c r="H5231" t="s">
        <v>104</v>
      </c>
      <c r="J5231">
        <v>0</v>
      </c>
      <c r="K5231">
        <v>1</v>
      </c>
      <c r="L5231">
        <v>67.5</v>
      </c>
      <c r="M5231">
        <v>47.937235809999997</v>
      </c>
      <c r="N5231">
        <v>0.41599678000000001</v>
      </c>
      <c r="O5231">
        <v>2.0950346999999998</v>
      </c>
      <c r="P5231">
        <v>113.9375</v>
      </c>
      <c r="Q5231">
        <v>33.375507550000002</v>
      </c>
      <c r="R5231">
        <v>2.4262999999999999</v>
      </c>
      <c r="S5231">
        <v>0.40692159999999999</v>
      </c>
      <c r="T5231" t="s">
        <v>1041</v>
      </c>
      <c r="U5231">
        <v>1.6881130999999998</v>
      </c>
    </row>
    <row r="5232" spans="1:21" x14ac:dyDescent="0.25">
      <c r="A5232" t="s">
        <v>10</v>
      </c>
      <c r="B5232" t="s">
        <v>903</v>
      </c>
      <c r="C5232">
        <v>15</v>
      </c>
      <c r="D5232" t="s">
        <v>11</v>
      </c>
      <c r="E5232" t="s">
        <v>94</v>
      </c>
      <c r="F5232" t="s">
        <v>103</v>
      </c>
      <c r="G5232" t="s">
        <v>121</v>
      </c>
      <c r="H5232" t="s">
        <v>245</v>
      </c>
      <c r="J5232">
        <v>0</v>
      </c>
      <c r="K5232">
        <v>1</v>
      </c>
      <c r="L5232">
        <v>98.291666669999998</v>
      </c>
      <c r="M5232">
        <v>30.315130790000001</v>
      </c>
      <c r="N5232">
        <v>5.0803484000000003E-2</v>
      </c>
      <c r="O5232">
        <v>0.42866070000000001</v>
      </c>
      <c r="P5232" t="s">
        <v>114</v>
      </c>
      <c r="Q5232" t="s">
        <v>114</v>
      </c>
      <c r="R5232" t="s">
        <v>114</v>
      </c>
      <c r="S5232" t="s">
        <v>114</v>
      </c>
      <c r="T5232" t="s">
        <v>1041</v>
      </c>
      <c r="U5232" t="s">
        <v>114</v>
      </c>
    </row>
    <row r="5233" spans="1:21" x14ac:dyDescent="0.25">
      <c r="A5233" t="s">
        <v>10</v>
      </c>
      <c r="B5233" t="s">
        <v>904</v>
      </c>
      <c r="C5233">
        <v>15</v>
      </c>
      <c r="D5233" t="s">
        <v>11</v>
      </c>
      <c r="E5233" t="s">
        <v>94</v>
      </c>
      <c r="F5233" t="s">
        <v>104</v>
      </c>
      <c r="G5233" t="s">
        <v>121</v>
      </c>
      <c r="H5233" t="s">
        <v>242</v>
      </c>
      <c r="J5233">
        <v>0</v>
      </c>
      <c r="K5233">
        <v>6</v>
      </c>
      <c r="L5233">
        <v>113.9375</v>
      </c>
      <c r="M5233">
        <v>33.375507550000002</v>
      </c>
      <c r="N5233">
        <v>2.4262999999999999</v>
      </c>
      <c r="O5233">
        <v>0.40692159999999999</v>
      </c>
      <c r="P5233">
        <v>139.375</v>
      </c>
      <c r="Q5233">
        <v>23.713465920000001</v>
      </c>
      <c r="R5233" t="s">
        <v>114</v>
      </c>
      <c r="S5233" t="s">
        <v>114</v>
      </c>
      <c r="T5233" t="s">
        <v>1041</v>
      </c>
      <c r="U5233" t="s">
        <v>114</v>
      </c>
    </row>
    <row r="5234" spans="1:21" x14ac:dyDescent="0.25">
      <c r="A5234" t="s">
        <v>10</v>
      </c>
      <c r="B5234" t="s">
        <v>904</v>
      </c>
      <c r="C5234">
        <v>15</v>
      </c>
      <c r="D5234" t="s">
        <v>11</v>
      </c>
      <c r="E5234" t="s">
        <v>94</v>
      </c>
      <c r="F5234" t="s">
        <v>104</v>
      </c>
      <c r="G5234" t="s">
        <v>121</v>
      </c>
      <c r="H5234" t="s">
        <v>242</v>
      </c>
      <c r="J5234">
        <v>0</v>
      </c>
      <c r="K5234">
        <v>6</v>
      </c>
      <c r="L5234">
        <v>113.9375</v>
      </c>
      <c r="M5234">
        <v>33.375507550000002</v>
      </c>
      <c r="N5234">
        <v>2.4262999999999999</v>
      </c>
      <c r="O5234">
        <v>0.40692159999999999</v>
      </c>
      <c r="P5234">
        <v>139.375</v>
      </c>
      <c r="Q5234">
        <v>23.713465920000001</v>
      </c>
      <c r="R5234" t="s">
        <v>114</v>
      </c>
      <c r="S5234" t="s">
        <v>114</v>
      </c>
      <c r="T5234" t="s">
        <v>1041</v>
      </c>
      <c r="U5234" t="s">
        <v>114</v>
      </c>
    </row>
    <row r="5235" spans="1:21" x14ac:dyDescent="0.25">
      <c r="A5235" t="s">
        <v>10</v>
      </c>
      <c r="B5235" t="s">
        <v>904</v>
      </c>
      <c r="C5235">
        <v>15</v>
      </c>
      <c r="D5235" t="s">
        <v>11</v>
      </c>
      <c r="E5235" t="s">
        <v>94</v>
      </c>
      <c r="F5235" t="s">
        <v>104</v>
      </c>
      <c r="G5235" t="s">
        <v>121</v>
      </c>
      <c r="H5235" t="s">
        <v>242</v>
      </c>
      <c r="J5235">
        <v>0</v>
      </c>
      <c r="K5235">
        <v>6</v>
      </c>
      <c r="L5235">
        <v>113.9375</v>
      </c>
      <c r="M5235">
        <v>33.375507550000002</v>
      </c>
      <c r="N5235">
        <v>2.4262999999999999</v>
      </c>
      <c r="O5235">
        <v>0.40692159999999999</v>
      </c>
      <c r="P5235">
        <v>139.375</v>
      </c>
      <c r="Q5235">
        <v>23.713465920000001</v>
      </c>
      <c r="R5235" t="s">
        <v>114</v>
      </c>
      <c r="S5235" t="s">
        <v>114</v>
      </c>
      <c r="T5235" t="s">
        <v>1041</v>
      </c>
      <c r="U5235" t="s">
        <v>114</v>
      </c>
    </row>
    <row r="5236" spans="1:21" x14ac:dyDescent="0.25">
      <c r="A5236" t="s">
        <v>10</v>
      </c>
      <c r="B5236" t="s">
        <v>904</v>
      </c>
      <c r="C5236">
        <v>15</v>
      </c>
      <c r="D5236" t="s">
        <v>11</v>
      </c>
      <c r="E5236" t="s">
        <v>94</v>
      </c>
      <c r="F5236" t="s">
        <v>104</v>
      </c>
      <c r="G5236" t="s">
        <v>121</v>
      </c>
      <c r="H5236" t="s">
        <v>242</v>
      </c>
      <c r="J5236">
        <v>0</v>
      </c>
      <c r="K5236">
        <v>6</v>
      </c>
      <c r="L5236">
        <v>113.9375</v>
      </c>
      <c r="M5236">
        <v>33.375507550000002</v>
      </c>
      <c r="N5236">
        <v>2.4262999999999999</v>
      </c>
      <c r="O5236">
        <v>0.40692159999999999</v>
      </c>
      <c r="P5236">
        <v>139.375</v>
      </c>
      <c r="Q5236">
        <v>23.713465920000001</v>
      </c>
      <c r="R5236" t="s">
        <v>114</v>
      </c>
      <c r="S5236" t="s">
        <v>114</v>
      </c>
      <c r="T5236" t="s">
        <v>1041</v>
      </c>
      <c r="U5236" t="s">
        <v>114</v>
      </c>
    </row>
    <row r="5237" spans="1:21" x14ac:dyDescent="0.25">
      <c r="A5237" t="s">
        <v>10</v>
      </c>
      <c r="B5237" t="s">
        <v>904</v>
      </c>
      <c r="C5237">
        <v>15</v>
      </c>
      <c r="D5237" t="s">
        <v>11</v>
      </c>
      <c r="E5237" t="s">
        <v>94</v>
      </c>
      <c r="F5237" t="s">
        <v>104</v>
      </c>
      <c r="G5237" t="s">
        <v>121</v>
      </c>
      <c r="H5237" t="s">
        <v>242</v>
      </c>
      <c r="J5237">
        <v>0</v>
      </c>
      <c r="K5237">
        <v>6</v>
      </c>
      <c r="L5237">
        <v>113.9375</v>
      </c>
      <c r="M5237">
        <v>33.375507550000002</v>
      </c>
      <c r="N5237">
        <v>2.4262999999999999</v>
      </c>
      <c r="O5237">
        <v>0.40692159999999999</v>
      </c>
      <c r="P5237">
        <v>139.375</v>
      </c>
      <c r="Q5237">
        <v>23.713465920000001</v>
      </c>
      <c r="R5237" t="s">
        <v>114</v>
      </c>
      <c r="S5237" t="s">
        <v>114</v>
      </c>
      <c r="T5237" t="s">
        <v>1041</v>
      </c>
      <c r="U5237" t="s">
        <v>114</v>
      </c>
    </row>
    <row r="5238" spans="1:21" x14ac:dyDescent="0.25">
      <c r="A5238" t="s">
        <v>10</v>
      </c>
      <c r="B5238" t="s">
        <v>904</v>
      </c>
      <c r="C5238">
        <v>15</v>
      </c>
      <c r="D5238" t="s">
        <v>11</v>
      </c>
      <c r="E5238" t="s">
        <v>94</v>
      </c>
      <c r="F5238" t="s">
        <v>104</v>
      </c>
      <c r="G5238" t="s">
        <v>121</v>
      </c>
      <c r="H5238" t="s">
        <v>242</v>
      </c>
      <c r="J5238">
        <v>0</v>
      </c>
      <c r="K5238">
        <v>6</v>
      </c>
      <c r="L5238">
        <v>113.9375</v>
      </c>
      <c r="M5238">
        <v>33.375507550000002</v>
      </c>
      <c r="N5238">
        <v>2.4262999999999999</v>
      </c>
      <c r="O5238">
        <v>0.40692159999999999</v>
      </c>
      <c r="P5238">
        <v>139.375</v>
      </c>
      <c r="Q5238">
        <v>23.713465920000001</v>
      </c>
      <c r="R5238" t="s">
        <v>114</v>
      </c>
      <c r="S5238" t="s">
        <v>114</v>
      </c>
      <c r="T5238" t="s">
        <v>1041</v>
      </c>
      <c r="U5238" t="s">
        <v>114</v>
      </c>
    </row>
    <row r="5239" spans="1:21" x14ac:dyDescent="0.25">
      <c r="A5239" t="s">
        <v>14</v>
      </c>
      <c r="B5239" t="s">
        <v>905</v>
      </c>
      <c r="C5239">
        <v>15</v>
      </c>
      <c r="D5239" t="s">
        <v>15</v>
      </c>
      <c r="E5239" t="s">
        <v>94</v>
      </c>
      <c r="F5239" t="s">
        <v>102</v>
      </c>
      <c r="G5239" t="s">
        <v>121</v>
      </c>
      <c r="H5239" t="s">
        <v>114</v>
      </c>
      <c r="J5239">
        <v>0</v>
      </c>
      <c r="K5239" t="s">
        <v>114</v>
      </c>
      <c r="L5239">
        <v>84.740740740000007</v>
      </c>
      <c r="M5239">
        <v>29.167014049999999</v>
      </c>
      <c r="N5239">
        <v>1.1169849999999999</v>
      </c>
      <c r="O5239">
        <v>1.1571499000000001</v>
      </c>
      <c r="P5239" t="s">
        <v>114</v>
      </c>
      <c r="Q5239" t="s">
        <v>114</v>
      </c>
      <c r="R5239" t="s">
        <v>114</v>
      </c>
      <c r="S5239" t="s">
        <v>114</v>
      </c>
      <c r="T5239" t="s">
        <v>1041</v>
      </c>
      <c r="U5239" t="s">
        <v>114</v>
      </c>
    </row>
    <row r="5240" spans="1:21" x14ac:dyDescent="0.25">
      <c r="A5240" t="s">
        <v>14</v>
      </c>
      <c r="B5240" t="s">
        <v>906</v>
      </c>
      <c r="C5240">
        <v>15</v>
      </c>
      <c r="D5240" t="s">
        <v>15</v>
      </c>
      <c r="E5240" t="s">
        <v>94</v>
      </c>
      <c r="F5240" t="s">
        <v>110</v>
      </c>
      <c r="G5240" t="s">
        <v>121</v>
      </c>
      <c r="H5240" t="s">
        <v>114</v>
      </c>
      <c r="J5240">
        <v>0</v>
      </c>
      <c r="K5240" t="s">
        <v>114</v>
      </c>
      <c r="L5240">
        <v>73.260869569999997</v>
      </c>
      <c r="M5240">
        <v>34.453830549999999</v>
      </c>
      <c r="N5240">
        <v>1.058333333</v>
      </c>
      <c r="O5240">
        <v>0.90897070000000002</v>
      </c>
      <c r="P5240" t="s">
        <v>114</v>
      </c>
      <c r="Q5240" t="s">
        <v>114</v>
      </c>
      <c r="R5240" t="s">
        <v>114</v>
      </c>
      <c r="S5240" t="s">
        <v>114</v>
      </c>
      <c r="T5240" t="s">
        <v>1041</v>
      </c>
      <c r="U5240" t="s">
        <v>114</v>
      </c>
    </row>
    <row r="5241" spans="1:21" x14ac:dyDescent="0.25">
      <c r="A5241" t="s">
        <v>14</v>
      </c>
      <c r="B5241" t="s">
        <v>907</v>
      </c>
      <c r="C5241">
        <v>15</v>
      </c>
      <c r="D5241" t="s">
        <v>15</v>
      </c>
      <c r="E5241" t="s">
        <v>94</v>
      </c>
      <c r="F5241" t="s">
        <v>111</v>
      </c>
      <c r="G5241" t="s">
        <v>110</v>
      </c>
      <c r="H5241" t="s">
        <v>110</v>
      </c>
      <c r="J5241">
        <v>0</v>
      </c>
      <c r="K5241">
        <v>1</v>
      </c>
      <c r="L5241">
        <v>94.97142857</v>
      </c>
      <c r="M5241">
        <v>24.31591813</v>
      </c>
      <c r="N5241">
        <v>0.122951111</v>
      </c>
      <c r="O5241">
        <v>0.39050790000000002</v>
      </c>
      <c r="P5241">
        <v>73.260869569999997</v>
      </c>
      <c r="Q5241">
        <v>34.453830549999999</v>
      </c>
      <c r="R5241">
        <v>1.058333333</v>
      </c>
      <c r="S5241">
        <v>0.90897070000000002</v>
      </c>
      <c r="T5241" t="s">
        <v>1041</v>
      </c>
      <c r="U5241">
        <v>0.5184628</v>
      </c>
    </row>
    <row r="5242" spans="1:21" x14ac:dyDescent="0.25">
      <c r="A5242" t="s">
        <v>14</v>
      </c>
      <c r="B5242" t="s">
        <v>908</v>
      </c>
      <c r="C5242">
        <v>15</v>
      </c>
      <c r="D5242" t="s">
        <v>15</v>
      </c>
      <c r="E5242" t="s">
        <v>94</v>
      </c>
      <c r="F5242" t="s">
        <v>104</v>
      </c>
      <c r="G5242" t="s">
        <v>110</v>
      </c>
      <c r="H5242" t="s">
        <v>110</v>
      </c>
      <c r="J5242">
        <v>0</v>
      </c>
      <c r="K5242">
        <v>1</v>
      </c>
      <c r="L5242">
        <v>113.9375</v>
      </c>
      <c r="M5242">
        <v>33.375507550000002</v>
      </c>
      <c r="N5242">
        <v>2.4262999999999999</v>
      </c>
      <c r="O5242">
        <v>0.40692159999999999</v>
      </c>
      <c r="P5242">
        <v>73.260869569999997</v>
      </c>
      <c r="Q5242">
        <v>34.453830549999999</v>
      </c>
      <c r="R5242">
        <v>1.058333333</v>
      </c>
      <c r="S5242">
        <v>0.90897070000000002</v>
      </c>
      <c r="T5242" t="s">
        <v>1041</v>
      </c>
      <c r="U5242">
        <v>0.50204910000000003</v>
      </c>
    </row>
    <row r="5243" spans="1:21" x14ac:dyDescent="0.25">
      <c r="A5243" t="s">
        <v>14</v>
      </c>
      <c r="B5243" t="s">
        <v>908</v>
      </c>
      <c r="C5243">
        <v>16</v>
      </c>
      <c r="D5243" t="s">
        <v>15</v>
      </c>
      <c r="E5243" t="s">
        <v>94</v>
      </c>
      <c r="F5243" t="s">
        <v>104</v>
      </c>
      <c r="G5243" t="s">
        <v>110</v>
      </c>
      <c r="H5243" t="s">
        <v>104</v>
      </c>
      <c r="J5243">
        <v>0</v>
      </c>
      <c r="K5243">
        <v>2</v>
      </c>
      <c r="L5243">
        <v>113.9375</v>
      </c>
      <c r="M5243">
        <v>33.375507550000002</v>
      </c>
      <c r="N5243">
        <v>2.4262999999999999</v>
      </c>
      <c r="O5243">
        <v>0.40692159999999999</v>
      </c>
      <c r="P5243">
        <v>113.9375</v>
      </c>
      <c r="Q5243">
        <v>33.375507550000002</v>
      </c>
      <c r="R5243">
        <v>2.4262999999999999</v>
      </c>
      <c r="S5243">
        <v>0.40692159999999999</v>
      </c>
      <c r="T5243" t="s">
        <v>1041</v>
      </c>
      <c r="U5243">
        <v>0</v>
      </c>
    </row>
    <row r="5244" spans="1:21" x14ac:dyDescent="0.25">
      <c r="A5244" t="s">
        <v>14</v>
      </c>
      <c r="B5244" t="s">
        <v>908</v>
      </c>
      <c r="C5244">
        <v>16</v>
      </c>
      <c r="D5244" t="s">
        <v>15</v>
      </c>
      <c r="E5244" t="s">
        <v>94</v>
      </c>
      <c r="F5244" t="s">
        <v>104</v>
      </c>
      <c r="G5244" t="s">
        <v>110</v>
      </c>
      <c r="H5244" t="s">
        <v>104</v>
      </c>
      <c r="J5244">
        <v>0</v>
      </c>
      <c r="K5244">
        <v>2</v>
      </c>
      <c r="L5244">
        <v>113.9375</v>
      </c>
      <c r="M5244">
        <v>33.375507550000002</v>
      </c>
      <c r="N5244">
        <v>2.4262999999999999</v>
      </c>
      <c r="O5244">
        <v>0.40692159999999999</v>
      </c>
      <c r="P5244">
        <v>113.9375</v>
      </c>
      <c r="Q5244">
        <v>33.375507550000002</v>
      </c>
      <c r="R5244">
        <v>2.4262999999999999</v>
      </c>
      <c r="S5244">
        <v>0.40692159999999999</v>
      </c>
      <c r="T5244" t="s">
        <v>1041</v>
      </c>
      <c r="U5244">
        <v>0</v>
      </c>
    </row>
    <row r="5245" spans="1:21" x14ac:dyDescent="0.25">
      <c r="A5245" t="s">
        <v>16</v>
      </c>
      <c r="B5245" t="s">
        <v>909</v>
      </c>
      <c r="C5245">
        <v>15</v>
      </c>
      <c r="D5245" t="s">
        <v>17</v>
      </c>
      <c r="E5245" t="s">
        <v>95</v>
      </c>
      <c r="F5245" t="s">
        <v>113</v>
      </c>
      <c r="G5245" t="s">
        <v>104</v>
      </c>
      <c r="H5245" t="s">
        <v>104</v>
      </c>
      <c r="J5245">
        <v>0</v>
      </c>
      <c r="K5245">
        <v>1</v>
      </c>
      <c r="L5245">
        <v>83.757575759999995</v>
      </c>
      <c r="M5245">
        <v>22.60997987</v>
      </c>
      <c r="N5245">
        <v>0.72884000000000004</v>
      </c>
      <c r="O5245">
        <v>0.21301339999999999</v>
      </c>
      <c r="P5245">
        <v>113.9375</v>
      </c>
      <c r="Q5245">
        <v>33.375507550000002</v>
      </c>
      <c r="R5245">
        <v>2.4262999999999999</v>
      </c>
      <c r="S5245">
        <v>0.40692159999999999</v>
      </c>
      <c r="T5245" t="s">
        <v>1041</v>
      </c>
      <c r="U5245">
        <v>0.1939082</v>
      </c>
    </row>
    <row r="5246" spans="1:21" x14ac:dyDescent="0.25">
      <c r="A5246" t="s">
        <v>16</v>
      </c>
      <c r="B5246" t="s">
        <v>909</v>
      </c>
      <c r="C5246">
        <v>16</v>
      </c>
      <c r="D5246" t="s">
        <v>17</v>
      </c>
      <c r="E5246" t="s">
        <v>95</v>
      </c>
      <c r="F5246" t="s">
        <v>113</v>
      </c>
      <c r="G5246" t="s">
        <v>104</v>
      </c>
      <c r="H5246" t="s">
        <v>113</v>
      </c>
      <c r="J5246">
        <v>0</v>
      </c>
      <c r="K5246">
        <v>3</v>
      </c>
      <c r="L5246">
        <v>83.757575759999995</v>
      </c>
      <c r="M5246">
        <v>22.60997987</v>
      </c>
      <c r="N5246">
        <v>0.72884000000000004</v>
      </c>
      <c r="O5246">
        <v>0.21301339999999999</v>
      </c>
      <c r="P5246">
        <v>83.757575759999995</v>
      </c>
      <c r="Q5246">
        <v>22.60997987</v>
      </c>
      <c r="R5246">
        <v>0.72884000000000004</v>
      </c>
      <c r="S5246">
        <v>0.21301339999999999</v>
      </c>
      <c r="T5246" t="s">
        <v>1041</v>
      </c>
      <c r="U5246">
        <v>0</v>
      </c>
    </row>
    <row r="5247" spans="1:21" x14ac:dyDescent="0.25">
      <c r="A5247" t="s">
        <v>16</v>
      </c>
      <c r="B5247" t="s">
        <v>909</v>
      </c>
      <c r="C5247">
        <v>16</v>
      </c>
      <c r="D5247" t="s">
        <v>17</v>
      </c>
      <c r="E5247" t="s">
        <v>95</v>
      </c>
      <c r="F5247" t="s">
        <v>113</v>
      </c>
      <c r="G5247" t="s">
        <v>104</v>
      </c>
      <c r="H5247" t="s">
        <v>113</v>
      </c>
      <c r="J5247">
        <v>0</v>
      </c>
      <c r="K5247">
        <v>3</v>
      </c>
      <c r="L5247">
        <v>83.757575759999995</v>
      </c>
      <c r="M5247">
        <v>22.60997987</v>
      </c>
      <c r="N5247">
        <v>0.72884000000000004</v>
      </c>
      <c r="O5247">
        <v>0.21301339999999999</v>
      </c>
      <c r="P5247">
        <v>83.757575759999995</v>
      </c>
      <c r="Q5247">
        <v>22.60997987</v>
      </c>
      <c r="R5247">
        <v>0.72884000000000004</v>
      </c>
      <c r="S5247">
        <v>0.21301339999999999</v>
      </c>
      <c r="T5247" t="s">
        <v>1041</v>
      </c>
      <c r="U5247">
        <v>0</v>
      </c>
    </row>
    <row r="5248" spans="1:21" x14ac:dyDescent="0.25">
      <c r="A5248" t="s">
        <v>16</v>
      </c>
      <c r="B5248" t="s">
        <v>909</v>
      </c>
      <c r="C5248">
        <v>16</v>
      </c>
      <c r="D5248" t="s">
        <v>17</v>
      </c>
      <c r="E5248" t="s">
        <v>95</v>
      </c>
      <c r="F5248" t="s">
        <v>113</v>
      </c>
      <c r="G5248" t="s">
        <v>104</v>
      </c>
      <c r="H5248" t="s">
        <v>113</v>
      </c>
      <c r="J5248">
        <v>0</v>
      </c>
      <c r="K5248">
        <v>3</v>
      </c>
      <c r="L5248">
        <v>83.757575759999995</v>
      </c>
      <c r="M5248">
        <v>22.60997987</v>
      </c>
      <c r="N5248">
        <v>0.72884000000000004</v>
      </c>
      <c r="O5248">
        <v>0.21301339999999999</v>
      </c>
      <c r="P5248">
        <v>83.757575759999995</v>
      </c>
      <c r="Q5248">
        <v>22.60997987</v>
      </c>
      <c r="R5248">
        <v>0.72884000000000004</v>
      </c>
      <c r="S5248">
        <v>0.21301339999999999</v>
      </c>
      <c r="T5248" t="s">
        <v>1041</v>
      </c>
      <c r="U5248">
        <v>0</v>
      </c>
    </row>
    <row r="5249" spans="1:21" x14ac:dyDescent="0.25">
      <c r="A5249" t="s">
        <v>16</v>
      </c>
      <c r="B5249" t="s">
        <v>910</v>
      </c>
      <c r="C5249">
        <v>15</v>
      </c>
      <c r="D5249" t="s">
        <v>17</v>
      </c>
      <c r="E5249" t="s">
        <v>95</v>
      </c>
      <c r="F5249" t="s">
        <v>110</v>
      </c>
      <c r="G5249" t="s">
        <v>121</v>
      </c>
      <c r="H5249" t="s">
        <v>104</v>
      </c>
      <c r="J5249">
        <v>0</v>
      </c>
      <c r="K5249">
        <v>1</v>
      </c>
      <c r="L5249">
        <v>73.260869569999997</v>
      </c>
      <c r="M5249">
        <v>34.453830549999999</v>
      </c>
      <c r="N5249">
        <v>1.058333333</v>
      </c>
      <c r="O5249">
        <v>0.90897070000000002</v>
      </c>
      <c r="P5249">
        <v>113.9375</v>
      </c>
      <c r="Q5249">
        <v>33.375507550000002</v>
      </c>
      <c r="R5249">
        <v>2.4262999999999999</v>
      </c>
      <c r="S5249">
        <v>0.40692159999999999</v>
      </c>
      <c r="T5249" t="s">
        <v>1041</v>
      </c>
      <c r="U5249">
        <v>0.50204910000000003</v>
      </c>
    </row>
    <row r="5250" spans="1:21" x14ac:dyDescent="0.25">
      <c r="A5250" t="s">
        <v>16</v>
      </c>
      <c r="B5250" t="s">
        <v>910</v>
      </c>
      <c r="C5250">
        <v>16</v>
      </c>
      <c r="D5250" t="s">
        <v>17</v>
      </c>
      <c r="E5250" t="s">
        <v>95</v>
      </c>
      <c r="F5250" t="s">
        <v>110</v>
      </c>
      <c r="G5250" t="s">
        <v>121</v>
      </c>
      <c r="H5250" t="s">
        <v>241</v>
      </c>
      <c r="J5250">
        <v>0</v>
      </c>
      <c r="K5250">
        <v>1</v>
      </c>
      <c r="L5250">
        <v>73.260869569999997</v>
      </c>
      <c r="M5250">
        <v>34.453830549999999</v>
      </c>
      <c r="N5250">
        <v>1.058333333</v>
      </c>
      <c r="O5250">
        <v>0.90897070000000002</v>
      </c>
      <c r="P5250">
        <v>114</v>
      </c>
      <c r="Q5250">
        <v>30.43077242</v>
      </c>
      <c r="R5250">
        <v>0.53383111100000002</v>
      </c>
      <c r="S5250">
        <v>0.28333332999999999</v>
      </c>
      <c r="T5250" t="s">
        <v>1041</v>
      </c>
      <c r="U5250">
        <v>0.62563736999999997</v>
      </c>
    </row>
    <row r="5251" spans="1:21" x14ac:dyDescent="0.25">
      <c r="A5251" t="s">
        <v>16</v>
      </c>
      <c r="B5251" t="s">
        <v>911</v>
      </c>
      <c r="C5251">
        <v>15</v>
      </c>
      <c r="D5251" t="s">
        <v>17</v>
      </c>
      <c r="E5251" t="s">
        <v>95</v>
      </c>
      <c r="F5251" t="s">
        <v>111</v>
      </c>
      <c r="G5251" t="s">
        <v>113</v>
      </c>
      <c r="H5251" t="s">
        <v>113</v>
      </c>
      <c r="J5251">
        <v>0</v>
      </c>
      <c r="K5251">
        <v>2</v>
      </c>
      <c r="L5251">
        <v>94.97142857</v>
      </c>
      <c r="M5251">
        <v>24.31591813</v>
      </c>
      <c r="N5251">
        <v>0.122951111</v>
      </c>
      <c r="O5251">
        <v>0.39050790000000002</v>
      </c>
      <c r="P5251">
        <v>83.757575759999995</v>
      </c>
      <c r="Q5251">
        <v>22.60997987</v>
      </c>
      <c r="R5251">
        <v>0.72884000000000004</v>
      </c>
      <c r="S5251">
        <v>0.21301339999999999</v>
      </c>
      <c r="T5251" t="s">
        <v>1041</v>
      </c>
      <c r="U5251">
        <v>0.17749450000000003</v>
      </c>
    </row>
    <row r="5252" spans="1:21" x14ac:dyDescent="0.25">
      <c r="A5252" t="s">
        <v>16</v>
      </c>
      <c r="B5252" t="s">
        <v>911</v>
      </c>
      <c r="C5252">
        <v>15</v>
      </c>
      <c r="D5252" t="s">
        <v>17</v>
      </c>
      <c r="E5252" t="s">
        <v>95</v>
      </c>
      <c r="F5252" t="s">
        <v>111</v>
      </c>
      <c r="G5252" t="s">
        <v>113</v>
      </c>
      <c r="H5252" t="s">
        <v>113</v>
      </c>
      <c r="J5252">
        <v>0</v>
      </c>
      <c r="K5252">
        <v>2</v>
      </c>
      <c r="L5252">
        <v>94.97142857</v>
      </c>
      <c r="M5252">
        <v>24.31591813</v>
      </c>
      <c r="N5252">
        <v>0.122951111</v>
      </c>
      <c r="O5252">
        <v>0.39050790000000002</v>
      </c>
      <c r="P5252">
        <v>83.757575759999995</v>
      </c>
      <c r="Q5252">
        <v>22.60997987</v>
      </c>
      <c r="R5252">
        <v>0.72884000000000004</v>
      </c>
      <c r="S5252">
        <v>0.21301339999999999</v>
      </c>
      <c r="T5252" t="s">
        <v>1041</v>
      </c>
      <c r="U5252">
        <v>0.17749450000000003</v>
      </c>
    </row>
    <row r="5253" spans="1:21" x14ac:dyDescent="0.25">
      <c r="A5253" t="s">
        <v>16</v>
      </c>
      <c r="B5253" t="s">
        <v>911</v>
      </c>
      <c r="C5253">
        <v>16</v>
      </c>
      <c r="D5253" t="s">
        <v>17</v>
      </c>
      <c r="E5253" t="s">
        <v>95</v>
      </c>
      <c r="F5253" t="s">
        <v>111</v>
      </c>
      <c r="G5253" t="s">
        <v>113</v>
      </c>
      <c r="H5253" t="s">
        <v>247</v>
      </c>
      <c r="J5253">
        <v>0</v>
      </c>
      <c r="K5253">
        <v>3</v>
      </c>
      <c r="L5253">
        <v>94.97142857</v>
      </c>
      <c r="M5253">
        <v>24.31591813</v>
      </c>
      <c r="N5253">
        <v>0.122951111</v>
      </c>
      <c r="O5253">
        <v>0.39050790000000002</v>
      </c>
      <c r="P5253">
        <v>65.791044779999993</v>
      </c>
      <c r="Q5253">
        <v>22.94519201</v>
      </c>
      <c r="R5253">
        <v>8.1320334999999994E-2</v>
      </c>
      <c r="S5253">
        <v>0.17285655</v>
      </c>
      <c r="T5253" t="s">
        <v>1041</v>
      </c>
      <c r="U5253">
        <v>0.21765135000000002</v>
      </c>
    </row>
    <row r="5254" spans="1:21" x14ac:dyDescent="0.25">
      <c r="A5254" t="s">
        <v>16</v>
      </c>
      <c r="B5254" t="s">
        <v>911</v>
      </c>
      <c r="C5254">
        <v>16</v>
      </c>
      <c r="D5254" t="s">
        <v>17</v>
      </c>
      <c r="E5254" t="s">
        <v>95</v>
      </c>
      <c r="F5254" t="s">
        <v>111</v>
      </c>
      <c r="G5254" t="s">
        <v>113</v>
      </c>
      <c r="H5254" t="s">
        <v>247</v>
      </c>
      <c r="J5254">
        <v>0</v>
      </c>
      <c r="K5254">
        <v>3</v>
      </c>
      <c r="L5254">
        <v>94.97142857</v>
      </c>
      <c r="M5254">
        <v>24.31591813</v>
      </c>
      <c r="N5254">
        <v>0.122951111</v>
      </c>
      <c r="O5254">
        <v>0.39050790000000002</v>
      </c>
      <c r="P5254">
        <v>65.791044779999993</v>
      </c>
      <c r="Q5254">
        <v>22.94519201</v>
      </c>
      <c r="R5254">
        <v>8.1320334999999994E-2</v>
      </c>
      <c r="S5254">
        <v>0.17285655</v>
      </c>
      <c r="T5254" t="s">
        <v>1041</v>
      </c>
      <c r="U5254">
        <v>0.21765135000000002</v>
      </c>
    </row>
    <row r="5255" spans="1:21" x14ac:dyDescent="0.25">
      <c r="A5255" t="s">
        <v>16</v>
      </c>
      <c r="B5255" t="s">
        <v>911</v>
      </c>
      <c r="C5255">
        <v>16</v>
      </c>
      <c r="D5255" t="s">
        <v>17</v>
      </c>
      <c r="E5255" t="s">
        <v>95</v>
      </c>
      <c r="F5255" t="s">
        <v>111</v>
      </c>
      <c r="G5255" t="s">
        <v>113</v>
      </c>
      <c r="H5255" t="s">
        <v>247</v>
      </c>
      <c r="J5255">
        <v>0</v>
      </c>
      <c r="K5255">
        <v>3</v>
      </c>
      <c r="L5255">
        <v>94.97142857</v>
      </c>
      <c r="M5255">
        <v>24.31591813</v>
      </c>
      <c r="N5255">
        <v>0.122951111</v>
      </c>
      <c r="O5255">
        <v>0.39050790000000002</v>
      </c>
      <c r="P5255">
        <v>65.791044779999993</v>
      </c>
      <c r="Q5255">
        <v>22.94519201</v>
      </c>
      <c r="R5255">
        <v>8.1320334999999994E-2</v>
      </c>
      <c r="S5255">
        <v>0.17285655</v>
      </c>
      <c r="T5255" t="s">
        <v>1041</v>
      </c>
      <c r="U5255">
        <v>0.21765135000000002</v>
      </c>
    </row>
    <row r="5256" spans="1:21" x14ac:dyDescent="0.25">
      <c r="A5256" t="s">
        <v>16</v>
      </c>
      <c r="B5256" t="s">
        <v>912</v>
      </c>
      <c r="C5256">
        <v>15</v>
      </c>
      <c r="D5256" t="s">
        <v>17</v>
      </c>
      <c r="E5256" t="s">
        <v>95</v>
      </c>
      <c r="F5256" t="s">
        <v>104</v>
      </c>
      <c r="G5256" t="s">
        <v>121</v>
      </c>
      <c r="H5256" t="s">
        <v>247</v>
      </c>
      <c r="J5256">
        <v>0</v>
      </c>
      <c r="K5256">
        <v>1</v>
      </c>
      <c r="L5256">
        <v>113.9375</v>
      </c>
      <c r="M5256">
        <v>33.375507550000002</v>
      </c>
      <c r="N5256">
        <v>2.4262999999999999</v>
      </c>
      <c r="O5256">
        <v>0.40692159999999999</v>
      </c>
      <c r="P5256">
        <v>65.791044779999993</v>
      </c>
      <c r="Q5256">
        <v>22.94519201</v>
      </c>
      <c r="R5256">
        <v>8.1320334999999994E-2</v>
      </c>
      <c r="S5256">
        <v>0.17285655</v>
      </c>
      <c r="T5256" t="s">
        <v>1041</v>
      </c>
      <c r="U5256">
        <v>0.23406505</v>
      </c>
    </row>
    <row r="5257" spans="1:21" x14ac:dyDescent="0.25">
      <c r="A5257" t="s">
        <v>16</v>
      </c>
      <c r="B5257" t="s">
        <v>912</v>
      </c>
      <c r="C5257">
        <v>16</v>
      </c>
      <c r="D5257" t="s">
        <v>17</v>
      </c>
      <c r="E5257" t="s">
        <v>95</v>
      </c>
      <c r="F5257" t="s">
        <v>104</v>
      </c>
      <c r="G5257" t="s">
        <v>121</v>
      </c>
      <c r="H5257" t="s">
        <v>111</v>
      </c>
      <c r="J5257">
        <v>0</v>
      </c>
      <c r="K5257">
        <v>1</v>
      </c>
      <c r="L5257">
        <v>113.9375</v>
      </c>
      <c r="M5257">
        <v>33.375507550000002</v>
      </c>
      <c r="N5257">
        <v>2.4262999999999999</v>
      </c>
      <c r="O5257">
        <v>0.40692159999999999</v>
      </c>
      <c r="P5257">
        <v>94.97142857</v>
      </c>
      <c r="Q5257">
        <v>24.31591813</v>
      </c>
      <c r="R5257">
        <v>0.122951111</v>
      </c>
      <c r="S5257">
        <v>0.39050790000000002</v>
      </c>
      <c r="T5257" t="s">
        <v>1041</v>
      </c>
      <c r="U5257">
        <v>1.6413699999999976E-2</v>
      </c>
    </row>
    <row r="5258" spans="1:21" x14ac:dyDescent="0.25">
      <c r="A5258" t="s">
        <v>18</v>
      </c>
      <c r="B5258" t="s">
        <v>913</v>
      </c>
      <c r="C5258">
        <v>15</v>
      </c>
      <c r="D5258" t="s">
        <v>19</v>
      </c>
      <c r="E5258" t="s">
        <v>95</v>
      </c>
      <c r="F5258" t="s">
        <v>113</v>
      </c>
      <c r="G5258" t="s">
        <v>121</v>
      </c>
      <c r="H5258" t="s">
        <v>113</v>
      </c>
      <c r="J5258">
        <v>0</v>
      </c>
      <c r="K5258">
        <v>3</v>
      </c>
      <c r="L5258">
        <v>83.757575759999995</v>
      </c>
      <c r="M5258">
        <v>22.60997987</v>
      </c>
      <c r="N5258">
        <v>0.72884000000000004</v>
      </c>
      <c r="O5258">
        <v>0.21301339999999999</v>
      </c>
      <c r="P5258">
        <v>83.757575759999995</v>
      </c>
      <c r="Q5258">
        <v>22.60997987</v>
      </c>
      <c r="R5258">
        <v>0.72884000000000004</v>
      </c>
      <c r="S5258">
        <v>0.21301339999999999</v>
      </c>
      <c r="T5258" t="s">
        <v>1041</v>
      </c>
      <c r="U5258">
        <v>0</v>
      </c>
    </row>
    <row r="5259" spans="1:21" x14ac:dyDescent="0.25">
      <c r="A5259" t="s">
        <v>18</v>
      </c>
      <c r="B5259" t="s">
        <v>913</v>
      </c>
      <c r="C5259">
        <v>15</v>
      </c>
      <c r="D5259" t="s">
        <v>19</v>
      </c>
      <c r="E5259" t="s">
        <v>95</v>
      </c>
      <c r="F5259" t="s">
        <v>113</v>
      </c>
      <c r="G5259" t="s">
        <v>121</v>
      </c>
      <c r="H5259" t="s">
        <v>113</v>
      </c>
      <c r="J5259">
        <v>0</v>
      </c>
      <c r="K5259">
        <v>3</v>
      </c>
      <c r="L5259">
        <v>83.757575759999995</v>
      </c>
      <c r="M5259">
        <v>22.60997987</v>
      </c>
      <c r="N5259">
        <v>0.72884000000000004</v>
      </c>
      <c r="O5259">
        <v>0.21301339999999999</v>
      </c>
      <c r="P5259">
        <v>83.757575759999995</v>
      </c>
      <c r="Q5259">
        <v>22.60997987</v>
      </c>
      <c r="R5259">
        <v>0.72884000000000004</v>
      </c>
      <c r="S5259">
        <v>0.21301339999999999</v>
      </c>
      <c r="T5259" t="s">
        <v>1041</v>
      </c>
      <c r="U5259">
        <v>0</v>
      </c>
    </row>
    <row r="5260" spans="1:21" x14ac:dyDescent="0.25">
      <c r="A5260" t="s">
        <v>18</v>
      </c>
      <c r="B5260" t="s">
        <v>913</v>
      </c>
      <c r="C5260">
        <v>15</v>
      </c>
      <c r="D5260" t="s">
        <v>19</v>
      </c>
      <c r="E5260" t="s">
        <v>95</v>
      </c>
      <c r="F5260" t="s">
        <v>113</v>
      </c>
      <c r="G5260" t="s">
        <v>121</v>
      </c>
      <c r="H5260" t="s">
        <v>113</v>
      </c>
      <c r="J5260">
        <v>0</v>
      </c>
      <c r="K5260">
        <v>3</v>
      </c>
      <c r="L5260">
        <v>83.757575759999995</v>
      </c>
      <c r="M5260">
        <v>22.60997987</v>
      </c>
      <c r="N5260">
        <v>0.72884000000000004</v>
      </c>
      <c r="O5260">
        <v>0.21301339999999999</v>
      </c>
      <c r="P5260">
        <v>83.757575759999995</v>
      </c>
      <c r="Q5260">
        <v>22.60997987</v>
      </c>
      <c r="R5260">
        <v>0.72884000000000004</v>
      </c>
      <c r="S5260">
        <v>0.21301339999999999</v>
      </c>
      <c r="T5260" t="s">
        <v>1041</v>
      </c>
      <c r="U5260">
        <v>0</v>
      </c>
    </row>
    <row r="5261" spans="1:21" x14ac:dyDescent="0.25">
      <c r="A5261" t="s">
        <v>18</v>
      </c>
      <c r="B5261" t="s">
        <v>913</v>
      </c>
      <c r="C5261">
        <v>16</v>
      </c>
      <c r="D5261" t="s">
        <v>19</v>
      </c>
      <c r="E5261" t="s">
        <v>95</v>
      </c>
      <c r="F5261" t="s">
        <v>113</v>
      </c>
      <c r="G5261" t="s">
        <v>121</v>
      </c>
      <c r="H5261" t="s">
        <v>808</v>
      </c>
      <c r="J5261">
        <v>0</v>
      </c>
      <c r="K5261">
        <v>1</v>
      </c>
      <c r="L5261">
        <v>83.757575759999995</v>
      </c>
      <c r="M5261">
        <v>22.60997987</v>
      </c>
      <c r="N5261">
        <v>0.72884000000000004</v>
      </c>
      <c r="O5261">
        <v>0.21301339999999999</v>
      </c>
      <c r="P5261">
        <v>102.79166669999999</v>
      </c>
      <c r="Q5261">
        <v>27.057373470000002</v>
      </c>
      <c r="R5261">
        <v>6.3567849939999999</v>
      </c>
      <c r="S5261" t="s">
        <v>114</v>
      </c>
      <c r="T5261" t="s">
        <v>1041</v>
      </c>
      <c r="U5261" t="s">
        <v>114</v>
      </c>
    </row>
    <row r="5262" spans="1:21" x14ac:dyDescent="0.25">
      <c r="A5262" t="s">
        <v>18</v>
      </c>
      <c r="B5262" t="s">
        <v>913</v>
      </c>
      <c r="C5262">
        <v>17</v>
      </c>
      <c r="D5262" t="s">
        <v>19</v>
      </c>
      <c r="E5262" t="s">
        <v>95</v>
      </c>
      <c r="F5262" t="s">
        <v>113</v>
      </c>
      <c r="G5262" t="s">
        <v>121</v>
      </c>
      <c r="H5262" t="s">
        <v>242</v>
      </c>
      <c r="J5262">
        <v>0</v>
      </c>
      <c r="K5262">
        <v>15</v>
      </c>
      <c r="L5262">
        <v>83.757575759999995</v>
      </c>
      <c r="M5262">
        <v>22.60997987</v>
      </c>
      <c r="N5262">
        <v>0.72884000000000004</v>
      </c>
      <c r="O5262">
        <v>0.21301339999999999</v>
      </c>
      <c r="P5262">
        <v>139.375</v>
      </c>
      <c r="Q5262">
        <v>23.713465920000001</v>
      </c>
      <c r="R5262" t="s">
        <v>114</v>
      </c>
      <c r="S5262" t="s">
        <v>114</v>
      </c>
      <c r="T5262" t="s">
        <v>1041</v>
      </c>
      <c r="U5262" t="s">
        <v>114</v>
      </c>
    </row>
    <row r="5263" spans="1:21" x14ac:dyDescent="0.25">
      <c r="A5263" t="s">
        <v>18</v>
      </c>
      <c r="B5263" t="s">
        <v>913</v>
      </c>
      <c r="C5263">
        <v>17</v>
      </c>
      <c r="D5263" t="s">
        <v>19</v>
      </c>
      <c r="E5263" t="s">
        <v>95</v>
      </c>
      <c r="F5263" t="s">
        <v>113</v>
      </c>
      <c r="G5263" t="s">
        <v>121</v>
      </c>
      <c r="H5263" t="s">
        <v>242</v>
      </c>
      <c r="J5263">
        <v>0</v>
      </c>
      <c r="K5263">
        <v>15</v>
      </c>
      <c r="L5263">
        <v>83.757575759999995</v>
      </c>
      <c r="M5263">
        <v>22.60997987</v>
      </c>
      <c r="N5263">
        <v>0.72884000000000004</v>
      </c>
      <c r="O5263">
        <v>0.21301339999999999</v>
      </c>
      <c r="P5263">
        <v>139.375</v>
      </c>
      <c r="Q5263">
        <v>23.713465920000001</v>
      </c>
      <c r="R5263" t="s">
        <v>114</v>
      </c>
      <c r="S5263" t="s">
        <v>114</v>
      </c>
      <c r="T5263" t="s">
        <v>1041</v>
      </c>
      <c r="U5263" t="s">
        <v>114</v>
      </c>
    </row>
    <row r="5264" spans="1:21" x14ac:dyDescent="0.25">
      <c r="A5264" t="s">
        <v>18</v>
      </c>
      <c r="B5264" t="s">
        <v>913</v>
      </c>
      <c r="C5264">
        <v>17</v>
      </c>
      <c r="D5264" t="s">
        <v>19</v>
      </c>
      <c r="E5264" t="s">
        <v>95</v>
      </c>
      <c r="F5264" t="s">
        <v>113</v>
      </c>
      <c r="G5264" t="s">
        <v>121</v>
      </c>
      <c r="H5264" t="s">
        <v>242</v>
      </c>
      <c r="J5264">
        <v>0</v>
      </c>
      <c r="K5264">
        <v>15</v>
      </c>
      <c r="L5264">
        <v>83.757575759999995</v>
      </c>
      <c r="M5264">
        <v>22.60997987</v>
      </c>
      <c r="N5264">
        <v>0.72884000000000004</v>
      </c>
      <c r="O5264">
        <v>0.21301339999999999</v>
      </c>
      <c r="P5264">
        <v>139.375</v>
      </c>
      <c r="Q5264">
        <v>23.713465920000001</v>
      </c>
      <c r="R5264" t="s">
        <v>114</v>
      </c>
      <c r="S5264" t="s">
        <v>114</v>
      </c>
      <c r="T5264" t="s">
        <v>1041</v>
      </c>
      <c r="U5264" t="s">
        <v>114</v>
      </c>
    </row>
    <row r="5265" spans="1:21" x14ac:dyDescent="0.25">
      <c r="A5265" t="s">
        <v>18</v>
      </c>
      <c r="B5265" t="s">
        <v>913</v>
      </c>
      <c r="C5265">
        <v>17</v>
      </c>
      <c r="D5265" t="s">
        <v>19</v>
      </c>
      <c r="E5265" t="s">
        <v>95</v>
      </c>
      <c r="F5265" t="s">
        <v>113</v>
      </c>
      <c r="G5265" t="s">
        <v>121</v>
      </c>
      <c r="H5265" t="s">
        <v>242</v>
      </c>
      <c r="J5265">
        <v>0</v>
      </c>
      <c r="K5265">
        <v>15</v>
      </c>
      <c r="L5265">
        <v>83.757575759999995</v>
      </c>
      <c r="M5265">
        <v>22.60997987</v>
      </c>
      <c r="N5265">
        <v>0.72884000000000004</v>
      </c>
      <c r="O5265">
        <v>0.21301339999999999</v>
      </c>
      <c r="P5265">
        <v>139.375</v>
      </c>
      <c r="Q5265">
        <v>23.713465920000001</v>
      </c>
      <c r="R5265" t="s">
        <v>114</v>
      </c>
      <c r="S5265" t="s">
        <v>114</v>
      </c>
      <c r="T5265" t="s">
        <v>1041</v>
      </c>
      <c r="U5265" t="s">
        <v>114</v>
      </c>
    </row>
    <row r="5266" spans="1:21" x14ac:dyDescent="0.25">
      <c r="A5266" t="s">
        <v>18</v>
      </c>
      <c r="B5266" t="s">
        <v>913</v>
      </c>
      <c r="C5266">
        <v>17</v>
      </c>
      <c r="D5266" t="s">
        <v>19</v>
      </c>
      <c r="E5266" t="s">
        <v>95</v>
      </c>
      <c r="F5266" t="s">
        <v>113</v>
      </c>
      <c r="G5266" t="s">
        <v>121</v>
      </c>
      <c r="H5266" t="s">
        <v>242</v>
      </c>
      <c r="J5266">
        <v>0</v>
      </c>
      <c r="K5266">
        <v>15</v>
      </c>
      <c r="L5266">
        <v>83.757575759999995</v>
      </c>
      <c r="M5266">
        <v>22.60997987</v>
      </c>
      <c r="N5266">
        <v>0.72884000000000004</v>
      </c>
      <c r="O5266">
        <v>0.21301339999999999</v>
      </c>
      <c r="P5266">
        <v>139.375</v>
      </c>
      <c r="Q5266">
        <v>23.713465920000001</v>
      </c>
      <c r="R5266" t="s">
        <v>114</v>
      </c>
      <c r="S5266" t="s">
        <v>114</v>
      </c>
      <c r="T5266" t="s">
        <v>1041</v>
      </c>
      <c r="U5266" t="s">
        <v>114</v>
      </c>
    </row>
    <row r="5267" spans="1:21" x14ac:dyDescent="0.25">
      <c r="A5267" t="s">
        <v>18</v>
      </c>
      <c r="B5267" t="s">
        <v>913</v>
      </c>
      <c r="C5267">
        <v>17</v>
      </c>
      <c r="D5267" t="s">
        <v>19</v>
      </c>
      <c r="E5267" t="s">
        <v>95</v>
      </c>
      <c r="F5267" t="s">
        <v>113</v>
      </c>
      <c r="G5267" t="s">
        <v>121</v>
      </c>
      <c r="H5267" t="s">
        <v>242</v>
      </c>
      <c r="J5267">
        <v>0</v>
      </c>
      <c r="K5267">
        <v>15</v>
      </c>
      <c r="L5267">
        <v>83.757575759999995</v>
      </c>
      <c r="M5267">
        <v>22.60997987</v>
      </c>
      <c r="N5267">
        <v>0.72884000000000004</v>
      </c>
      <c r="O5267">
        <v>0.21301339999999999</v>
      </c>
      <c r="P5267">
        <v>139.375</v>
      </c>
      <c r="Q5267">
        <v>23.713465920000001</v>
      </c>
      <c r="R5267" t="s">
        <v>114</v>
      </c>
      <c r="S5267" t="s">
        <v>114</v>
      </c>
      <c r="T5267" t="s">
        <v>1041</v>
      </c>
      <c r="U5267" t="s">
        <v>114</v>
      </c>
    </row>
    <row r="5268" spans="1:21" x14ac:dyDescent="0.25">
      <c r="A5268" t="s">
        <v>18</v>
      </c>
      <c r="B5268" t="s">
        <v>913</v>
      </c>
      <c r="C5268">
        <v>17</v>
      </c>
      <c r="D5268" t="s">
        <v>19</v>
      </c>
      <c r="E5268" t="s">
        <v>95</v>
      </c>
      <c r="F5268" t="s">
        <v>113</v>
      </c>
      <c r="G5268" t="s">
        <v>121</v>
      </c>
      <c r="H5268" t="s">
        <v>242</v>
      </c>
      <c r="J5268">
        <v>0</v>
      </c>
      <c r="K5268">
        <v>15</v>
      </c>
      <c r="L5268">
        <v>83.757575759999995</v>
      </c>
      <c r="M5268">
        <v>22.60997987</v>
      </c>
      <c r="N5268">
        <v>0.72884000000000004</v>
      </c>
      <c r="O5268">
        <v>0.21301339999999999</v>
      </c>
      <c r="P5268">
        <v>139.375</v>
      </c>
      <c r="Q5268">
        <v>23.713465920000001</v>
      </c>
      <c r="R5268" t="s">
        <v>114</v>
      </c>
      <c r="S5268" t="s">
        <v>114</v>
      </c>
      <c r="T5268" t="s">
        <v>1041</v>
      </c>
      <c r="U5268" t="s">
        <v>114</v>
      </c>
    </row>
    <row r="5269" spans="1:21" x14ac:dyDescent="0.25">
      <c r="A5269" t="s">
        <v>18</v>
      </c>
      <c r="B5269" t="s">
        <v>913</v>
      </c>
      <c r="C5269">
        <v>17</v>
      </c>
      <c r="D5269" t="s">
        <v>19</v>
      </c>
      <c r="E5269" t="s">
        <v>95</v>
      </c>
      <c r="F5269" t="s">
        <v>113</v>
      </c>
      <c r="G5269" t="s">
        <v>121</v>
      </c>
      <c r="H5269" t="s">
        <v>242</v>
      </c>
      <c r="J5269">
        <v>0</v>
      </c>
      <c r="K5269">
        <v>15</v>
      </c>
      <c r="L5269">
        <v>83.757575759999995</v>
      </c>
      <c r="M5269">
        <v>22.60997987</v>
      </c>
      <c r="N5269">
        <v>0.72884000000000004</v>
      </c>
      <c r="O5269">
        <v>0.21301339999999999</v>
      </c>
      <c r="P5269">
        <v>139.375</v>
      </c>
      <c r="Q5269">
        <v>23.713465920000001</v>
      </c>
      <c r="R5269" t="s">
        <v>114</v>
      </c>
      <c r="S5269" t="s">
        <v>114</v>
      </c>
      <c r="T5269" t="s">
        <v>1041</v>
      </c>
      <c r="U5269" t="s">
        <v>114</v>
      </c>
    </row>
    <row r="5270" spans="1:21" x14ac:dyDescent="0.25">
      <c r="A5270" t="s">
        <v>18</v>
      </c>
      <c r="B5270" t="s">
        <v>913</v>
      </c>
      <c r="C5270">
        <v>17</v>
      </c>
      <c r="D5270" t="s">
        <v>19</v>
      </c>
      <c r="E5270" t="s">
        <v>95</v>
      </c>
      <c r="F5270" t="s">
        <v>113</v>
      </c>
      <c r="G5270" t="s">
        <v>121</v>
      </c>
      <c r="H5270" t="s">
        <v>242</v>
      </c>
      <c r="J5270">
        <v>0</v>
      </c>
      <c r="K5270">
        <v>15</v>
      </c>
      <c r="L5270">
        <v>83.757575759999995</v>
      </c>
      <c r="M5270">
        <v>22.60997987</v>
      </c>
      <c r="N5270">
        <v>0.72884000000000004</v>
      </c>
      <c r="O5270">
        <v>0.21301339999999999</v>
      </c>
      <c r="P5270">
        <v>139.375</v>
      </c>
      <c r="Q5270">
        <v>23.713465920000001</v>
      </c>
      <c r="R5270" t="s">
        <v>114</v>
      </c>
      <c r="S5270" t="s">
        <v>114</v>
      </c>
      <c r="T5270" t="s">
        <v>1041</v>
      </c>
      <c r="U5270" t="s">
        <v>114</v>
      </c>
    </row>
    <row r="5271" spans="1:21" x14ac:dyDescent="0.25">
      <c r="A5271" t="s">
        <v>18</v>
      </c>
      <c r="B5271" t="s">
        <v>913</v>
      </c>
      <c r="C5271">
        <v>17</v>
      </c>
      <c r="D5271" t="s">
        <v>19</v>
      </c>
      <c r="E5271" t="s">
        <v>95</v>
      </c>
      <c r="F5271" t="s">
        <v>113</v>
      </c>
      <c r="G5271" t="s">
        <v>121</v>
      </c>
      <c r="H5271" t="s">
        <v>242</v>
      </c>
      <c r="J5271">
        <v>0</v>
      </c>
      <c r="K5271">
        <v>15</v>
      </c>
      <c r="L5271">
        <v>83.757575759999995</v>
      </c>
      <c r="M5271">
        <v>22.60997987</v>
      </c>
      <c r="N5271">
        <v>0.72884000000000004</v>
      </c>
      <c r="O5271">
        <v>0.21301339999999999</v>
      </c>
      <c r="P5271">
        <v>139.375</v>
      </c>
      <c r="Q5271">
        <v>23.713465920000001</v>
      </c>
      <c r="R5271" t="s">
        <v>114</v>
      </c>
      <c r="S5271" t="s">
        <v>114</v>
      </c>
      <c r="T5271" t="s">
        <v>1041</v>
      </c>
      <c r="U5271" t="s">
        <v>114</v>
      </c>
    </row>
    <row r="5272" spans="1:21" x14ac:dyDescent="0.25">
      <c r="A5272" t="s">
        <v>18</v>
      </c>
      <c r="B5272" t="s">
        <v>913</v>
      </c>
      <c r="C5272">
        <v>17</v>
      </c>
      <c r="D5272" t="s">
        <v>19</v>
      </c>
      <c r="E5272" t="s">
        <v>95</v>
      </c>
      <c r="F5272" t="s">
        <v>113</v>
      </c>
      <c r="G5272" t="s">
        <v>121</v>
      </c>
      <c r="H5272" t="s">
        <v>242</v>
      </c>
      <c r="J5272">
        <v>0</v>
      </c>
      <c r="K5272">
        <v>15</v>
      </c>
      <c r="L5272">
        <v>83.757575759999995</v>
      </c>
      <c r="M5272">
        <v>22.60997987</v>
      </c>
      <c r="N5272">
        <v>0.72884000000000004</v>
      </c>
      <c r="O5272">
        <v>0.21301339999999999</v>
      </c>
      <c r="P5272">
        <v>139.375</v>
      </c>
      <c r="Q5272">
        <v>23.713465920000001</v>
      </c>
      <c r="R5272" t="s">
        <v>114</v>
      </c>
      <c r="S5272" t="s">
        <v>114</v>
      </c>
      <c r="T5272" t="s">
        <v>1041</v>
      </c>
      <c r="U5272" t="s">
        <v>114</v>
      </c>
    </row>
    <row r="5273" spans="1:21" x14ac:dyDescent="0.25">
      <c r="A5273" t="s">
        <v>18</v>
      </c>
      <c r="B5273" t="s">
        <v>913</v>
      </c>
      <c r="C5273">
        <v>17</v>
      </c>
      <c r="D5273" t="s">
        <v>19</v>
      </c>
      <c r="E5273" t="s">
        <v>95</v>
      </c>
      <c r="F5273" t="s">
        <v>113</v>
      </c>
      <c r="G5273" t="s">
        <v>121</v>
      </c>
      <c r="H5273" t="s">
        <v>242</v>
      </c>
      <c r="J5273">
        <v>0</v>
      </c>
      <c r="K5273">
        <v>15</v>
      </c>
      <c r="L5273">
        <v>83.757575759999995</v>
      </c>
      <c r="M5273">
        <v>22.60997987</v>
      </c>
      <c r="N5273">
        <v>0.72884000000000004</v>
      </c>
      <c r="O5273">
        <v>0.21301339999999999</v>
      </c>
      <c r="P5273">
        <v>139.375</v>
      </c>
      <c r="Q5273">
        <v>23.713465920000001</v>
      </c>
      <c r="R5273" t="s">
        <v>114</v>
      </c>
      <c r="S5273" t="s">
        <v>114</v>
      </c>
      <c r="T5273" t="s">
        <v>1041</v>
      </c>
      <c r="U5273" t="s">
        <v>114</v>
      </c>
    </row>
    <row r="5274" spans="1:21" x14ac:dyDescent="0.25">
      <c r="A5274" t="s">
        <v>18</v>
      </c>
      <c r="B5274" t="s">
        <v>913</v>
      </c>
      <c r="C5274">
        <v>17</v>
      </c>
      <c r="D5274" t="s">
        <v>19</v>
      </c>
      <c r="E5274" t="s">
        <v>95</v>
      </c>
      <c r="F5274" t="s">
        <v>113</v>
      </c>
      <c r="G5274" t="s">
        <v>121</v>
      </c>
      <c r="H5274" t="s">
        <v>242</v>
      </c>
      <c r="J5274">
        <v>0</v>
      </c>
      <c r="K5274">
        <v>15</v>
      </c>
      <c r="L5274">
        <v>83.757575759999995</v>
      </c>
      <c r="M5274">
        <v>22.60997987</v>
      </c>
      <c r="N5274">
        <v>0.72884000000000004</v>
      </c>
      <c r="O5274">
        <v>0.21301339999999999</v>
      </c>
      <c r="P5274">
        <v>139.375</v>
      </c>
      <c r="Q5274">
        <v>23.713465920000001</v>
      </c>
      <c r="R5274" t="s">
        <v>114</v>
      </c>
      <c r="S5274" t="s">
        <v>114</v>
      </c>
      <c r="T5274" t="s">
        <v>1041</v>
      </c>
      <c r="U5274" t="s">
        <v>114</v>
      </c>
    </row>
    <row r="5275" spans="1:21" x14ac:dyDescent="0.25">
      <c r="A5275" t="s">
        <v>18</v>
      </c>
      <c r="B5275" t="s">
        <v>913</v>
      </c>
      <c r="C5275">
        <v>17</v>
      </c>
      <c r="D5275" t="s">
        <v>19</v>
      </c>
      <c r="E5275" t="s">
        <v>95</v>
      </c>
      <c r="F5275" t="s">
        <v>113</v>
      </c>
      <c r="G5275" t="s">
        <v>121</v>
      </c>
      <c r="H5275" t="s">
        <v>242</v>
      </c>
      <c r="J5275">
        <v>0</v>
      </c>
      <c r="K5275">
        <v>15</v>
      </c>
      <c r="L5275">
        <v>83.757575759999995</v>
      </c>
      <c r="M5275">
        <v>22.60997987</v>
      </c>
      <c r="N5275">
        <v>0.72884000000000004</v>
      </c>
      <c r="O5275">
        <v>0.21301339999999999</v>
      </c>
      <c r="P5275">
        <v>139.375</v>
      </c>
      <c r="Q5275">
        <v>23.713465920000001</v>
      </c>
      <c r="R5275" t="s">
        <v>114</v>
      </c>
      <c r="S5275" t="s">
        <v>114</v>
      </c>
      <c r="T5275" t="s">
        <v>1041</v>
      </c>
      <c r="U5275" t="s">
        <v>114</v>
      </c>
    </row>
    <row r="5276" spans="1:21" x14ac:dyDescent="0.25">
      <c r="A5276" t="s">
        <v>18</v>
      </c>
      <c r="B5276" t="s">
        <v>913</v>
      </c>
      <c r="C5276">
        <v>17</v>
      </c>
      <c r="D5276" t="s">
        <v>19</v>
      </c>
      <c r="E5276" t="s">
        <v>95</v>
      </c>
      <c r="F5276" t="s">
        <v>113</v>
      </c>
      <c r="G5276" t="s">
        <v>121</v>
      </c>
      <c r="H5276" t="s">
        <v>242</v>
      </c>
      <c r="J5276">
        <v>0</v>
      </c>
      <c r="K5276">
        <v>15</v>
      </c>
      <c r="L5276">
        <v>83.757575759999995</v>
      </c>
      <c r="M5276">
        <v>22.60997987</v>
      </c>
      <c r="N5276">
        <v>0.72884000000000004</v>
      </c>
      <c r="O5276">
        <v>0.21301339999999999</v>
      </c>
      <c r="P5276">
        <v>139.375</v>
      </c>
      <c r="Q5276">
        <v>23.713465920000001</v>
      </c>
      <c r="R5276" t="s">
        <v>114</v>
      </c>
      <c r="S5276" t="s">
        <v>114</v>
      </c>
      <c r="T5276" t="s">
        <v>1041</v>
      </c>
      <c r="U5276" t="s">
        <v>114</v>
      </c>
    </row>
    <row r="5277" spans="1:21" x14ac:dyDescent="0.25">
      <c r="A5277" t="s">
        <v>18</v>
      </c>
      <c r="B5277" t="s">
        <v>914</v>
      </c>
      <c r="C5277">
        <v>15</v>
      </c>
      <c r="D5277" t="s">
        <v>19</v>
      </c>
      <c r="E5277" t="s">
        <v>95</v>
      </c>
      <c r="F5277" t="s">
        <v>111</v>
      </c>
      <c r="G5277" t="s">
        <v>121</v>
      </c>
      <c r="H5277" t="s">
        <v>113</v>
      </c>
      <c r="J5277">
        <v>0</v>
      </c>
      <c r="K5277">
        <v>2</v>
      </c>
      <c r="L5277">
        <v>94.97142857</v>
      </c>
      <c r="M5277">
        <v>24.31591813</v>
      </c>
      <c r="N5277">
        <v>0.122951111</v>
      </c>
      <c r="O5277">
        <v>0.39050790000000002</v>
      </c>
      <c r="P5277">
        <v>83.757575759999995</v>
      </c>
      <c r="Q5277">
        <v>22.60997987</v>
      </c>
      <c r="R5277">
        <v>0.72884000000000004</v>
      </c>
      <c r="S5277">
        <v>0.21301339999999999</v>
      </c>
      <c r="T5277" t="s">
        <v>1041</v>
      </c>
      <c r="U5277">
        <v>0.17749450000000003</v>
      </c>
    </row>
    <row r="5278" spans="1:21" x14ac:dyDescent="0.25">
      <c r="A5278" t="s">
        <v>18</v>
      </c>
      <c r="B5278" t="s">
        <v>914</v>
      </c>
      <c r="C5278">
        <v>15</v>
      </c>
      <c r="D5278" t="s">
        <v>19</v>
      </c>
      <c r="E5278" t="s">
        <v>95</v>
      </c>
      <c r="F5278" t="s">
        <v>111</v>
      </c>
      <c r="G5278" t="s">
        <v>121</v>
      </c>
      <c r="H5278" t="s">
        <v>113</v>
      </c>
      <c r="J5278">
        <v>0</v>
      </c>
      <c r="K5278">
        <v>2</v>
      </c>
      <c r="L5278">
        <v>94.97142857</v>
      </c>
      <c r="M5278">
        <v>24.31591813</v>
      </c>
      <c r="N5278">
        <v>0.122951111</v>
      </c>
      <c r="O5278">
        <v>0.39050790000000002</v>
      </c>
      <c r="P5278">
        <v>83.757575759999995</v>
      </c>
      <c r="Q5278">
        <v>22.60997987</v>
      </c>
      <c r="R5278">
        <v>0.72884000000000004</v>
      </c>
      <c r="S5278">
        <v>0.21301339999999999</v>
      </c>
      <c r="T5278" t="s">
        <v>1041</v>
      </c>
      <c r="U5278">
        <v>0.17749450000000003</v>
      </c>
    </row>
    <row r="5279" spans="1:21" x14ac:dyDescent="0.25">
      <c r="A5279" t="s">
        <v>18</v>
      </c>
      <c r="B5279" t="s">
        <v>914</v>
      </c>
      <c r="C5279">
        <v>16</v>
      </c>
      <c r="D5279" t="s">
        <v>19</v>
      </c>
      <c r="E5279" t="s">
        <v>95</v>
      </c>
      <c r="F5279" t="s">
        <v>111</v>
      </c>
      <c r="G5279" t="s">
        <v>121</v>
      </c>
      <c r="H5279" t="s">
        <v>242</v>
      </c>
      <c r="J5279">
        <v>0</v>
      </c>
      <c r="K5279">
        <v>2</v>
      </c>
      <c r="L5279">
        <v>94.97142857</v>
      </c>
      <c r="M5279">
        <v>24.31591813</v>
      </c>
      <c r="N5279">
        <v>0.122951111</v>
      </c>
      <c r="O5279">
        <v>0.39050790000000002</v>
      </c>
      <c r="P5279">
        <v>139.375</v>
      </c>
      <c r="Q5279">
        <v>23.713465920000001</v>
      </c>
      <c r="R5279" t="s">
        <v>114</v>
      </c>
      <c r="S5279" t="s">
        <v>114</v>
      </c>
      <c r="T5279" t="s">
        <v>1041</v>
      </c>
      <c r="U5279" t="s">
        <v>114</v>
      </c>
    </row>
    <row r="5280" spans="1:21" x14ac:dyDescent="0.25">
      <c r="A5280" t="s">
        <v>18</v>
      </c>
      <c r="B5280" t="s">
        <v>914</v>
      </c>
      <c r="C5280">
        <v>16</v>
      </c>
      <c r="D5280" t="s">
        <v>19</v>
      </c>
      <c r="E5280" t="s">
        <v>95</v>
      </c>
      <c r="F5280" t="s">
        <v>111</v>
      </c>
      <c r="G5280" t="s">
        <v>121</v>
      </c>
      <c r="H5280" t="s">
        <v>242</v>
      </c>
      <c r="J5280">
        <v>0</v>
      </c>
      <c r="K5280">
        <v>2</v>
      </c>
      <c r="L5280">
        <v>94.97142857</v>
      </c>
      <c r="M5280">
        <v>24.31591813</v>
      </c>
      <c r="N5280">
        <v>0.122951111</v>
      </c>
      <c r="O5280">
        <v>0.39050790000000002</v>
      </c>
      <c r="P5280">
        <v>139.375</v>
      </c>
      <c r="Q5280">
        <v>23.713465920000001</v>
      </c>
      <c r="R5280" t="s">
        <v>114</v>
      </c>
      <c r="S5280" t="s">
        <v>114</v>
      </c>
      <c r="T5280" t="s">
        <v>1041</v>
      </c>
      <c r="U5280" t="s">
        <v>114</v>
      </c>
    </row>
    <row r="5281" spans="1:21" x14ac:dyDescent="0.25">
      <c r="A5281" t="s">
        <v>18</v>
      </c>
      <c r="B5281" t="s">
        <v>915</v>
      </c>
      <c r="C5281">
        <v>15</v>
      </c>
      <c r="D5281" t="s">
        <v>19</v>
      </c>
      <c r="E5281" t="s">
        <v>95</v>
      </c>
      <c r="F5281" t="s">
        <v>104</v>
      </c>
      <c r="G5281" t="s">
        <v>121</v>
      </c>
      <c r="H5281" t="s">
        <v>247</v>
      </c>
      <c r="J5281">
        <v>0</v>
      </c>
      <c r="K5281">
        <v>1</v>
      </c>
      <c r="L5281">
        <v>113.9375</v>
      </c>
      <c r="M5281">
        <v>33.375507550000002</v>
      </c>
      <c r="N5281">
        <v>2.4262999999999999</v>
      </c>
      <c r="O5281">
        <v>0.40692159999999999</v>
      </c>
      <c r="P5281">
        <v>65.791044779999993</v>
      </c>
      <c r="Q5281">
        <v>22.94519201</v>
      </c>
      <c r="R5281">
        <v>8.1320334999999994E-2</v>
      </c>
      <c r="S5281">
        <v>0.17285655</v>
      </c>
      <c r="T5281" t="s">
        <v>1041</v>
      </c>
      <c r="U5281">
        <v>0.23406505</v>
      </c>
    </row>
    <row r="5282" spans="1:21" x14ac:dyDescent="0.25">
      <c r="A5282" t="s">
        <v>18</v>
      </c>
      <c r="B5282" t="s">
        <v>915</v>
      </c>
      <c r="C5282">
        <v>16</v>
      </c>
      <c r="D5282" t="s">
        <v>19</v>
      </c>
      <c r="E5282" t="s">
        <v>95</v>
      </c>
      <c r="F5282" t="s">
        <v>104</v>
      </c>
      <c r="G5282" t="s">
        <v>121</v>
      </c>
      <c r="H5282" t="s">
        <v>113</v>
      </c>
      <c r="J5282">
        <v>0</v>
      </c>
      <c r="K5282">
        <v>3</v>
      </c>
      <c r="L5282">
        <v>113.9375</v>
      </c>
      <c r="M5282">
        <v>33.375507550000002</v>
      </c>
      <c r="N5282">
        <v>2.4262999999999999</v>
      </c>
      <c r="O5282">
        <v>0.40692159999999999</v>
      </c>
      <c r="P5282">
        <v>83.757575759999995</v>
      </c>
      <c r="Q5282">
        <v>22.60997987</v>
      </c>
      <c r="R5282">
        <v>0.72884000000000004</v>
      </c>
      <c r="S5282">
        <v>0.21301339999999999</v>
      </c>
      <c r="T5282" t="s">
        <v>1041</v>
      </c>
      <c r="U5282">
        <v>0.1939082</v>
      </c>
    </row>
    <row r="5283" spans="1:21" x14ac:dyDescent="0.25">
      <c r="A5283" t="s">
        <v>18</v>
      </c>
      <c r="B5283" t="s">
        <v>915</v>
      </c>
      <c r="C5283">
        <v>16</v>
      </c>
      <c r="D5283" t="s">
        <v>19</v>
      </c>
      <c r="E5283" t="s">
        <v>95</v>
      </c>
      <c r="F5283" t="s">
        <v>104</v>
      </c>
      <c r="G5283" t="s">
        <v>121</v>
      </c>
      <c r="H5283" t="s">
        <v>113</v>
      </c>
      <c r="J5283">
        <v>0</v>
      </c>
      <c r="K5283">
        <v>3</v>
      </c>
      <c r="L5283">
        <v>113.9375</v>
      </c>
      <c r="M5283">
        <v>33.375507550000002</v>
      </c>
      <c r="N5283">
        <v>2.4262999999999999</v>
      </c>
      <c r="O5283">
        <v>0.40692159999999999</v>
      </c>
      <c r="P5283">
        <v>83.757575759999995</v>
      </c>
      <c r="Q5283">
        <v>22.60997987</v>
      </c>
      <c r="R5283">
        <v>0.72884000000000004</v>
      </c>
      <c r="S5283">
        <v>0.21301339999999999</v>
      </c>
      <c r="T5283" t="s">
        <v>1041</v>
      </c>
      <c r="U5283">
        <v>0.1939082</v>
      </c>
    </row>
    <row r="5284" spans="1:21" x14ac:dyDescent="0.25">
      <c r="A5284" t="s">
        <v>18</v>
      </c>
      <c r="B5284" t="s">
        <v>915</v>
      </c>
      <c r="C5284">
        <v>16</v>
      </c>
      <c r="D5284" t="s">
        <v>19</v>
      </c>
      <c r="E5284" t="s">
        <v>95</v>
      </c>
      <c r="F5284" t="s">
        <v>104</v>
      </c>
      <c r="G5284" t="s">
        <v>121</v>
      </c>
      <c r="H5284" t="s">
        <v>113</v>
      </c>
      <c r="J5284">
        <v>0</v>
      </c>
      <c r="K5284">
        <v>3</v>
      </c>
      <c r="L5284">
        <v>113.9375</v>
      </c>
      <c r="M5284">
        <v>33.375507550000002</v>
      </c>
      <c r="N5284">
        <v>2.4262999999999999</v>
      </c>
      <c r="O5284">
        <v>0.40692159999999999</v>
      </c>
      <c r="P5284">
        <v>83.757575759999995</v>
      </c>
      <c r="Q5284">
        <v>22.60997987</v>
      </c>
      <c r="R5284">
        <v>0.72884000000000004</v>
      </c>
      <c r="S5284">
        <v>0.21301339999999999</v>
      </c>
      <c r="T5284" t="s">
        <v>1041</v>
      </c>
      <c r="U5284">
        <v>0.1939082</v>
      </c>
    </row>
    <row r="5285" spans="1:21" x14ac:dyDescent="0.25">
      <c r="A5285" t="s">
        <v>18</v>
      </c>
      <c r="B5285" t="s">
        <v>916</v>
      </c>
      <c r="C5285">
        <v>15</v>
      </c>
      <c r="D5285" t="s">
        <v>19</v>
      </c>
      <c r="E5285" t="s">
        <v>95</v>
      </c>
      <c r="F5285" t="s">
        <v>112</v>
      </c>
      <c r="G5285" t="s">
        <v>113</v>
      </c>
      <c r="H5285" t="s">
        <v>113</v>
      </c>
      <c r="J5285">
        <v>0</v>
      </c>
      <c r="K5285">
        <v>1</v>
      </c>
      <c r="L5285">
        <v>65.09375</v>
      </c>
      <c r="M5285">
        <v>37.895352600000002</v>
      </c>
      <c r="N5285">
        <v>2.2882677779999998</v>
      </c>
      <c r="O5285">
        <v>2.2111774</v>
      </c>
      <c r="P5285">
        <v>83.757575759999995</v>
      </c>
      <c r="Q5285">
        <v>22.60997987</v>
      </c>
      <c r="R5285">
        <v>0.72884000000000004</v>
      </c>
      <c r="S5285">
        <v>0.21301339999999999</v>
      </c>
      <c r="T5285" t="s">
        <v>1041</v>
      </c>
      <c r="U5285">
        <v>1.9981640000000001</v>
      </c>
    </row>
    <row r="5286" spans="1:21" x14ac:dyDescent="0.25">
      <c r="A5286" t="s">
        <v>20</v>
      </c>
      <c r="B5286" t="s">
        <v>917</v>
      </c>
      <c r="C5286">
        <v>15</v>
      </c>
      <c r="D5286" t="s">
        <v>21</v>
      </c>
      <c r="E5286" t="s">
        <v>94</v>
      </c>
      <c r="F5286" t="s">
        <v>102</v>
      </c>
      <c r="G5286" t="s">
        <v>121</v>
      </c>
      <c r="H5286" t="s">
        <v>246</v>
      </c>
      <c r="J5286">
        <v>0</v>
      </c>
      <c r="K5286">
        <v>1</v>
      </c>
      <c r="L5286">
        <v>84.740740740000007</v>
      </c>
      <c r="M5286">
        <v>29.167014049999999</v>
      </c>
      <c r="N5286">
        <v>1.1169849999999999</v>
      </c>
      <c r="O5286">
        <v>1.1571499000000001</v>
      </c>
      <c r="P5286">
        <v>120.25</v>
      </c>
      <c r="Q5286">
        <v>30.670450110000001</v>
      </c>
      <c r="R5286">
        <v>0.91037498500000003</v>
      </c>
      <c r="S5286" t="s">
        <v>114</v>
      </c>
      <c r="T5286" t="s">
        <v>1041</v>
      </c>
      <c r="U5286" t="s">
        <v>114</v>
      </c>
    </row>
    <row r="5287" spans="1:21" x14ac:dyDescent="0.25">
      <c r="A5287" t="s">
        <v>20</v>
      </c>
      <c r="B5287" t="s">
        <v>918</v>
      </c>
      <c r="C5287">
        <v>15</v>
      </c>
      <c r="D5287" t="s">
        <v>21</v>
      </c>
      <c r="E5287" t="s">
        <v>94</v>
      </c>
      <c r="F5287" t="s">
        <v>113</v>
      </c>
      <c r="G5287" t="s">
        <v>113</v>
      </c>
      <c r="H5287" t="s">
        <v>113</v>
      </c>
      <c r="J5287">
        <v>0</v>
      </c>
      <c r="K5287">
        <v>1</v>
      </c>
      <c r="L5287">
        <v>83.757575759999995</v>
      </c>
      <c r="M5287">
        <v>22.60997987</v>
      </c>
      <c r="N5287">
        <v>0.72884000000000004</v>
      </c>
      <c r="O5287">
        <v>0.21301339999999999</v>
      </c>
      <c r="P5287">
        <v>83.757575759999995</v>
      </c>
      <c r="Q5287">
        <v>22.60997987</v>
      </c>
      <c r="R5287">
        <v>0.72884000000000004</v>
      </c>
      <c r="S5287">
        <v>0.21301339999999999</v>
      </c>
      <c r="T5287" t="s">
        <v>1041</v>
      </c>
      <c r="U5287">
        <v>0</v>
      </c>
    </row>
    <row r="5288" spans="1:21" x14ac:dyDescent="0.25">
      <c r="A5288" t="s">
        <v>20</v>
      </c>
      <c r="B5288" t="s">
        <v>919</v>
      </c>
      <c r="C5288">
        <v>15</v>
      </c>
      <c r="D5288" t="s">
        <v>21</v>
      </c>
      <c r="E5288" t="s">
        <v>94</v>
      </c>
      <c r="F5288" t="s">
        <v>110</v>
      </c>
      <c r="G5288" t="s">
        <v>121</v>
      </c>
      <c r="H5288" t="s">
        <v>113</v>
      </c>
      <c r="J5288">
        <v>0</v>
      </c>
      <c r="K5288">
        <v>2</v>
      </c>
      <c r="L5288">
        <v>73.260869569999997</v>
      </c>
      <c r="M5288">
        <v>34.453830549999999</v>
      </c>
      <c r="N5288">
        <v>1.058333333</v>
      </c>
      <c r="O5288">
        <v>0.90897070000000002</v>
      </c>
      <c r="P5288">
        <v>83.757575759999995</v>
      </c>
      <c r="Q5288">
        <v>22.60997987</v>
      </c>
      <c r="R5288">
        <v>0.72884000000000004</v>
      </c>
      <c r="S5288">
        <v>0.21301339999999999</v>
      </c>
      <c r="T5288" t="s">
        <v>1041</v>
      </c>
      <c r="U5288">
        <v>0.6959573</v>
      </c>
    </row>
    <row r="5289" spans="1:21" x14ac:dyDescent="0.25">
      <c r="A5289" t="s">
        <v>20</v>
      </c>
      <c r="B5289" t="s">
        <v>919</v>
      </c>
      <c r="C5289">
        <v>15</v>
      </c>
      <c r="D5289" t="s">
        <v>21</v>
      </c>
      <c r="E5289" t="s">
        <v>94</v>
      </c>
      <c r="F5289" t="s">
        <v>110</v>
      </c>
      <c r="G5289" t="s">
        <v>121</v>
      </c>
      <c r="H5289" t="s">
        <v>113</v>
      </c>
      <c r="J5289">
        <v>0</v>
      </c>
      <c r="K5289">
        <v>2</v>
      </c>
      <c r="L5289">
        <v>73.260869569999997</v>
      </c>
      <c r="M5289">
        <v>34.453830549999999</v>
      </c>
      <c r="N5289">
        <v>1.058333333</v>
      </c>
      <c r="O5289">
        <v>0.90897070000000002</v>
      </c>
      <c r="P5289">
        <v>83.757575759999995</v>
      </c>
      <c r="Q5289">
        <v>22.60997987</v>
      </c>
      <c r="R5289">
        <v>0.72884000000000004</v>
      </c>
      <c r="S5289">
        <v>0.21301339999999999</v>
      </c>
      <c r="T5289" t="s">
        <v>1041</v>
      </c>
      <c r="U5289">
        <v>0.6959573</v>
      </c>
    </row>
    <row r="5290" spans="1:21" x14ac:dyDescent="0.25">
      <c r="A5290" t="s">
        <v>20</v>
      </c>
      <c r="B5290" t="s">
        <v>919</v>
      </c>
      <c r="C5290">
        <v>16</v>
      </c>
      <c r="D5290" t="s">
        <v>21</v>
      </c>
      <c r="E5290" t="s">
        <v>94</v>
      </c>
      <c r="F5290" t="s">
        <v>110</v>
      </c>
      <c r="G5290" t="s">
        <v>121</v>
      </c>
      <c r="H5290" t="s">
        <v>102</v>
      </c>
      <c r="J5290">
        <v>0</v>
      </c>
      <c r="K5290">
        <v>1</v>
      </c>
      <c r="L5290">
        <v>73.260869569999997</v>
      </c>
      <c r="M5290">
        <v>34.453830549999999</v>
      </c>
      <c r="N5290">
        <v>1.058333333</v>
      </c>
      <c r="O5290">
        <v>0.90897070000000002</v>
      </c>
      <c r="P5290">
        <v>84.740740740000007</v>
      </c>
      <c r="Q5290">
        <v>29.167014049999999</v>
      </c>
      <c r="R5290">
        <v>1.1169849999999999</v>
      </c>
      <c r="S5290">
        <v>1.1571499000000001</v>
      </c>
      <c r="T5290" t="s">
        <v>1041</v>
      </c>
      <c r="U5290">
        <v>0.24817920000000004</v>
      </c>
    </row>
    <row r="5291" spans="1:21" x14ac:dyDescent="0.25">
      <c r="A5291" t="s">
        <v>20</v>
      </c>
      <c r="B5291" t="s">
        <v>920</v>
      </c>
      <c r="C5291">
        <v>15</v>
      </c>
      <c r="D5291" t="s">
        <v>21</v>
      </c>
      <c r="E5291" t="s">
        <v>94</v>
      </c>
      <c r="F5291" t="s">
        <v>111</v>
      </c>
      <c r="G5291" t="s">
        <v>121</v>
      </c>
      <c r="H5291" t="s">
        <v>110</v>
      </c>
      <c r="J5291">
        <v>0</v>
      </c>
      <c r="K5291">
        <v>1</v>
      </c>
      <c r="L5291">
        <v>94.97142857</v>
      </c>
      <c r="M5291">
        <v>24.31591813</v>
      </c>
      <c r="N5291">
        <v>0.122951111</v>
      </c>
      <c r="O5291">
        <v>0.39050790000000002</v>
      </c>
      <c r="P5291">
        <v>73.260869569999997</v>
      </c>
      <c r="Q5291">
        <v>34.453830549999999</v>
      </c>
      <c r="R5291">
        <v>1.058333333</v>
      </c>
      <c r="S5291">
        <v>0.90897070000000002</v>
      </c>
      <c r="T5291" t="s">
        <v>1041</v>
      </c>
      <c r="U5291">
        <v>0.5184628</v>
      </c>
    </row>
    <row r="5292" spans="1:21" x14ac:dyDescent="0.25">
      <c r="A5292" t="s">
        <v>22</v>
      </c>
      <c r="B5292" t="s">
        <v>921</v>
      </c>
      <c r="C5292">
        <v>15</v>
      </c>
      <c r="D5292" t="s">
        <v>23</v>
      </c>
      <c r="E5292" t="s">
        <v>95</v>
      </c>
      <c r="F5292" t="s">
        <v>102</v>
      </c>
      <c r="G5292" t="s">
        <v>121</v>
      </c>
      <c r="H5292" t="s">
        <v>236</v>
      </c>
      <c r="J5292">
        <v>0</v>
      </c>
      <c r="K5292">
        <v>1</v>
      </c>
      <c r="L5292">
        <v>84.740740740000007</v>
      </c>
      <c r="M5292">
        <v>29.167014049999999</v>
      </c>
      <c r="N5292">
        <v>1.1169849999999999</v>
      </c>
      <c r="O5292">
        <v>1.1571499000000001</v>
      </c>
      <c r="P5292">
        <v>113.33333330000001</v>
      </c>
      <c r="Q5292">
        <v>26.41632581</v>
      </c>
      <c r="R5292">
        <v>1.6844570160000001</v>
      </c>
      <c r="S5292">
        <v>8.9285710000000004E-2</v>
      </c>
      <c r="T5292" t="s">
        <v>1041</v>
      </c>
      <c r="U5292">
        <v>1.0678641900000001</v>
      </c>
    </row>
    <row r="5293" spans="1:21" x14ac:dyDescent="0.25">
      <c r="A5293" t="s">
        <v>22</v>
      </c>
      <c r="B5293" t="s">
        <v>922</v>
      </c>
      <c r="C5293">
        <v>15</v>
      </c>
      <c r="D5293" t="s">
        <v>23</v>
      </c>
      <c r="E5293" t="s">
        <v>95</v>
      </c>
      <c r="F5293" t="s">
        <v>105</v>
      </c>
      <c r="G5293" t="s">
        <v>121</v>
      </c>
      <c r="H5293" t="s">
        <v>113</v>
      </c>
      <c r="J5293">
        <v>0</v>
      </c>
      <c r="K5293">
        <v>4</v>
      </c>
      <c r="L5293">
        <v>67.5</v>
      </c>
      <c r="M5293">
        <v>47.937235809999997</v>
      </c>
      <c r="N5293">
        <v>0.41599678000000001</v>
      </c>
      <c r="O5293">
        <v>2.0950346999999998</v>
      </c>
      <c r="P5293">
        <v>83.757575759999995</v>
      </c>
      <c r="Q5293">
        <v>22.60997987</v>
      </c>
      <c r="R5293">
        <v>0.72884000000000004</v>
      </c>
      <c r="S5293">
        <v>0.21301339999999999</v>
      </c>
      <c r="T5293" t="s">
        <v>1041</v>
      </c>
      <c r="U5293">
        <v>1.8820212999999999</v>
      </c>
    </row>
    <row r="5294" spans="1:21" x14ac:dyDescent="0.25">
      <c r="A5294" t="s">
        <v>22</v>
      </c>
      <c r="B5294" t="s">
        <v>922</v>
      </c>
      <c r="C5294">
        <v>15</v>
      </c>
      <c r="D5294" t="s">
        <v>23</v>
      </c>
      <c r="E5294" t="s">
        <v>95</v>
      </c>
      <c r="F5294" t="s">
        <v>105</v>
      </c>
      <c r="G5294" t="s">
        <v>121</v>
      </c>
      <c r="H5294" t="s">
        <v>113</v>
      </c>
      <c r="J5294">
        <v>0</v>
      </c>
      <c r="K5294">
        <v>4</v>
      </c>
      <c r="L5294">
        <v>67.5</v>
      </c>
      <c r="M5294">
        <v>47.937235809999997</v>
      </c>
      <c r="N5294">
        <v>0.41599678000000001</v>
      </c>
      <c r="O5294">
        <v>2.0950346999999998</v>
      </c>
      <c r="P5294">
        <v>83.757575759999995</v>
      </c>
      <c r="Q5294">
        <v>22.60997987</v>
      </c>
      <c r="R5294">
        <v>0.72884000000000004</v>
      </c>
      <c r="S5294">
        <v>0.21301339999999999</v>
      </c>
      <c r="T5294" t="s">
        <v>1041</v>
      </c>
      <c r="U5294">
        <v>1.8820212999999999</v>
      </c>
    </row>
    <row r="5295" spans="1:21" x14ac:dyDescent="0.25">
      <c r="A5295" t="s">
        <v>22</v>
      </c>
      <c r="B5295" t="s">
        <v>922</v>
      </c>
      <c r="C5295">
        <v>15</v>
      </c>
      <c r="D5295" t="s">
        <v>23</v>
      </c>
      <c r="E5295" t="s">
        <v>95</v>
      </c>
      <c r="F5295" t="s">
        <v>105</v>
      </c>
      <c r="G5295" t="s">
        <v>121</v>
      </c>
      <c r="H5295" t="s">
        <v>113</v>
      </c>
      <c r="J5295">
        <v>0</v>
      </c>
      <c r="K5295">
        <v>4</v>
      </c>
      <c r="L5295">
        <v>67.5</v>
      </c>
      <c r="M5295">
        <v>47.937235809999997</v>
      </c>
      <c r="N5295">
        <v>0.41599678000000001</v>
      </c>
      <c r="O5295">
        <v>2.0950346999999998</v>
      </c>
      <c r="P5295">
        <v>83.757575759999995</v>
      </c>
      <c r="Q5295">
        <v>22.60997987</v>
      </c>
      <c r="R5295">
        <v>0.72884000000000004</v>
      </c>
      <c r="S5295">
        <v>0.21301339999999999</v>
      </c>
      <c r="T5295" t="s">
        <v>1041</v>
      </c>
      <c r="U5295">
        <v>1.8820212999999999</v>
      </c>
    </row>
    <row r="5296" spans="1:21" x14ac:dyDescent="0.25">
      <c r="A5296" t="s">
        <v>22</v>
      </c>
      <c r="B5296" t="s">
        <v>922</v>
      </c>
      <c r="C5296">
        <v>15</v>
      </c>
      <c r="D5296" t="s">
        <v>23</v>
      </c>
      <c r="E5296" t="s">
        <v>95</v>
      </c>
      <c r="F5296" t="s">
        <v>105</v>
      </c>
      <c r="G5296" t="s">
        <v>121</v>
      </c>
      <c r="H5296" t="s">
        <v>113</v>
      </c>
      <c r="J5296">
        <v>0</v>
      </c>
      <c r="K5296">
        <v>4</v>
      </c>
      <c r="L5296">
        <v>67.5</v>
      </c>
      <c r="M5296">
        <v>47.937235809999997</v>
      </c>
      <c r="N5296">
        <v>0.41599678000000001</v>
      </c>
      <c r="O5296">
        <v>2.0950346999999998</v>
      </c>
      <c r="P5296">
        <v>83.757575759999995</v>
      </c>
      <c r="Q5296">
        <v>22.60997987</v>
      </c>
      <c r="R5296">
        <v>0.72884000000000004</v>
      </c>
      <c r="S5296">
        <v>0.21301339999999999</v>
      </c>
      <c r="T5296" t="s">
        <v>1041</v>
      </c>
      <c r="U5296">
        <v>1.8820212999999999</v>
      </c>
    </row>
    <row r="5297" spans="1:21" x14ac:dyDescent="0.25">
      <c r="A5297" t="s">
        <v>22</v>
      </c>
      <c r="B5297" t="s">
        <v>922</v>
      </c>
      <c r="C5297">
        <v>16</v>
      </c>
      <c r="D5297" t="s">
        <v>23</v>
      </c>
      <c r="E5297" t="s">
        <v>95</v>
      </c>
      <c r="F5297" t="s">
        <v>105</v>
      </c>
      <c r="G5297" t="s">
        <v>121</v>
      </c>
      <c r="H5297" t="s">
        <v>103</v>
      </c>
      <c r="J5297">
        <v>0</v>
      </c>
      <c r="K5297">
        <v>1</v>
      </c>
      <c r="L5297">
        <v>67.5</v>
      </c>
      <c r="M5297">
        <v>47.937235809999997</v>
      </c>
      <c r="N5297">
        <v>0.41599678000000001</v>
      </c>
      <c r="O5297">
        <v>2.0950346999999998</v>
      </c>
      <c r="P5297">
        <v>98.291666669999998</v>
      </c>
      <c r="Q5297">
        <v>30.315130790000001</v>
      </c>
      <c r="R5297">
        <v>5.0803484000000003E-2</v>
      </c>
      <c r="S5297">
        <v>0.42866070000000001</v>
      </c>
      <c r="T5297" t="s">
        <v>1041</v>
      </c>
      <c r="U5297">
        <v>1.6663739999999998</v>
      </c>
    </row>
    <row r="5298" spans="1:21" x14ac:dyDescent="0.25">
      <c r="A5298" t="s">
        <v>22</v>
      </c>
      <c r="B5298" t="s">
        <v>922</v>
      </c>
      <c r="C5298">
        <v>17</v>
      </c>
      <c r="D5298" t="s">
        <v>23</v>
      </c>
      <c r="E5298" t="s">
        <v>95</v>
      </c>
      <c r="F5298" t="s">
        <v>105</v>
      </c>
      <c r="G5298" t="s">
        <v>121</v>
      </c>
      <c r="H5298" t="s">
        <v>234</v>
      </c>
      <c r="J5298">
        <v>0</v>
      </c>
      <c r="K5298">
        <v>1</v>
      </c>
      <c r="L5298">
        <v>67.5</v>
      </c>
      <c r="M5298">
        <v>47.937235809999997</v>
      </c>
      <c r="N5298">
        <v>0.41599678000000001</v>
      </c>
      <c r="O5298">
        <v>2.0950346999999998</v>
      </c>
      <c r="P5298">
        <v>89.8125</v>
      </c>
      <c r="Q5298">
        <v>34.754706650000003</v>
      </c>
      <c r="R5298">
        <v>2.3065078999999999E-2</v>
      </c>
      <c r="S5298">
        <v>2.4791666700000001</v>
      </c>
      <c r="T5298" t="s">
        <v>1041</v>
      </c>
      <c r="U5298">
        <v>0.38413197000000032</v>
      </c>
    </row>
    <row r="5299" spans="1:21" x14ac:dyDescent="0.25">
      <c r="A5299" t="s">
        <v>22</v>
      </c>
      <c r="B5299" t="s">
        <v>923</v>
      </c>
      <c r="C5299">
        <v>15</v>
      </c>
      <c r="D5299" t="s">
        <v>23</v>
      </c>
      <c r="E5299" t="s">
        <v>95</v>
      </c>
      <c r="F5299" t="s">
        <v>103</v>
      </c>
      <c r="G5299" t="s">
        <v>103</v>
      </c>
      <c r="H5299" t="s">
        <v>103</v>
      </c>
      <c r="J5299">
        <v>0</v>
      </c>
      <c r="K5299">
        <v>6</v>
      </c>
      <c r="L5299">
        <v>98.291666669999998</v>
      </c>
      <c r="M5299">
        <v>30.315130790000001</v>
      </c>
      <c r="N5299">
        <v>5.0803484000000003E-2</v>
      </c>
      <c r="O5299">
        <v>0.42866070000000001</v>
      </c>
      <c r="P5299">
        <v>98.291666669999998</v>
      </c>
      <c r="Q5299">
        <v>30.315130790000001</v>
      </c>
      <c r="R5299">
        <v>5.0803484000000003E-2</v>
      </c>
      <c r="S5299">
        <v>0.42866070000000001</v>
      </c>
      <c r="T5299" t="s">
        <v>1041</v>
      </c>
      <c r="U5299">
        <v>0</v>
      </c>
    </row>
    <row r="5300" spans="1:21" x14ac:dyDescent="0.25">
      <c r="A5300" t="s">
        <v>22</v>
      </c>
      <c r="B5300" t="s">
        <v>923</v>
      </c>
      <c r="C5300">
        <v>15</v>
      </c>
      <c r="D5300" t="s">
        <v>23</v>
      </c>
      <c r="E5300" t="s">
        <v>95</v>
      </c>
      <c r="F5300" t="s">
        <v>103</v>
      </c>
      <c r="G5300" t="s">
        <v>103</v>
      </c>
      <c r="H5300" t="s">
        <v>103</v>
      </c>
      <c r="J5300">
        <v>0</v>
      </c>
      <c r="K5300">
        <v>6</v>
      </c>
      <c r="L5300">
        <v>98.291666669999998</v>
      </c>
      <c r="M5300">
        <v>30.315130790000001</v>
      </c>
      <c r="N5300">
        <v>5.0803484000000003E-2</v>
      </c>
      <c r="O5300">
        <v>0.42866070000000001</v>
      </c>
      <c r="P5300">
        <v>98.291666669999998</v>
      </c>
      <c r="Q5300">
        <v>30.315130790000001</v>
      </c>
      <c r="R5300">
        <v>5.0803484000000003E-2</v>
      </c>
      <c r="S5300">
        <v>0.42866070000000001</v>
      </c>
      <c r="T5300" t="s">
        <v>1041</v>
      </c>
      <c r="U5300">
        <v>0</v>
      </c>
    </row>
    <row r="5301" spans="1:21" x14ac:dyDescent="0.25">
      <c r="A5301" t="s">
        <v>22</v>
      </c>
      <c r="B5301" t="s">
        <v>923</v>
      </c>
      <c r="C5301">
        <v>15</v>
      </c>
      <c r="D5301" t="s">
        <v>23</v>
      </c>
      <c r="E5301" t="s">
        <v>95</v>
      </c>
      <c r="F5301" t="s">
        <v>103</v>
      </c>
      <c r="G5301" t="s">
        <v>103</v>
      </c>
      <c r="H5301" t="s">
        <v>103</v>
      </c>
      <c r="J5301">
        <v>0</v>
      </c>
      <c r="K5301">
        <v>6</v>
      </c>
      <c r="L5301">
        <v>98.291666669999998</v>
      </c>
      <c r="M5301">
        <v>30.315130790000001</v>
      </c>
      <c r="N5301">
        <v>5.0803484000000003E-2</v>
      </c>
      <c r="O5301">
        <v>0.42866070000000001</v>
      </c>
      <c r="P5301">
        <v>98.291666669999998</v>
      </c>
      <c r="Q5301">
        <v>30.315130790000001</v>
      </c>
      <c r="R5301">
        <v>5.0803484000000003E-2</v>
      </c>
      <c r="S5301">
        <v>0.42866070000000001</v>
      </c>
      <c r="T5301" t="s">
        <v>1041</v>
      </c>
      <c r="U5301">
        <v>0</v>
      </c>
    </row>
    <row r="5302" spans="1:21" x14ac:dyDescent="0.25">
      <c r="A5302" t="s">
        <v>22</v>
      </c>
      <c r="B5302" t="s">
        <v>923</v>
      </c>
      <c r="C5302">
        <v>15</v>
      </c>
      <c r="D5302" t="s">
        <v>23</v>
      </c>
      <c r="E5302" t="s">
        <v>95</v>
      </c>
      <c r="F5302" t="s">
        <v>103</v>
      </c>
      <c r="G5302" t="s">
        <v>103</v>
      </c>
      <c r="H5302" t="s">
        <v>103</v>
      </c>
      <c r="J5302">
        <v>0</v>
      </c>
      <c r="K5302">
        <v>6</v>
      </c>
      <c r="L5302">
        <v>98.291666669999998</v>
      </c>
      <c r="M5302">
        <v>30.315130790000001</v>
      </c>
      <c r="N5302">
        <v>5.0803484000000003E-2</v>
      </c>
      <c r="O5302">
        <v>0.42866070000000001</v>
      </c>
      <c r="P5302">
        <v>98.291666669999998</v>
      </c>
      <c r="Q5302">
        <v>30.315130790000001</v>
      </c>
      <c r="R5302">
        <v>5.0803484000000003E-2</v>
      </c>
      <c r="S5302">
        <v>0.42866070000000001</v>
      </c>
      <c r="T5302" t="s">
        <v>1041</v>
      </c>
      <c r="U5302">
        <v>0</v>
      </c>
    </row>
    <row r="5303" spans="1:21" x14ac:dyDescent="0.25">
      <c r="A5303" t="s">
        <v>22</v>
      </c>
      <c r="B5303" t="s">
        <v>923</v>
      </c>
      <c r="C5303">
        <v>15</v>
      </c>
      <c r="D5303" t="s">
        <v>23</v>
      </c>
      <c r="E5303" t="s">
        <v>95</v>
      </c>
      <c r="F5303" t="s">
        <v>103</v>
      </c>
      <c r="G5303" t="s">
        <v>103</v>
      </c>
      <c r="H5303" t="s">
        <v>103</v>
      </c>
      <c r="J5303">
        <v>0</v>
      </c>
      <c r="K5303">
        <v>6</v>
      </c>
      <c r="L5303">
        <v>98.291666669999998</v>
      </c>
      <c r="M5303">
        <v>30.315130790000001</v>
      </c>
      <c r="N5303">
        <v>5.0803484000000003E-2</v>
      </c>
      <c r="O5303">
        <v>0.42866070000000001</v>
      </c>
      <c r="P5303">
        <v>98.291666669999998</v>
      </c>
      <c r="Q5303">
        <v>30.315130790000001</v>
      </c>
      <c r="R5303">
        <v>5.0803484000000003E-2</v>
      </c>
      <c r="S5303">
        <v>0.42866070000000001</v>
      </c>
      <c r="T5303" t="s">
        <v>1041</v>
      </c>
      <c r="U5303">
        <v>0</v>
      </c>
    </row>
    <row r="5304" spans="1:21" x14ac:dyDescent="0.25">
      <c r="A5304" t="s">
        <v>22</v>
      </c>
      <c r="B5304" t="s">
        <v>923</v>
      </c>
      <c r="C5304">
        <v>15</v>
      </c>
      <c r="D5304" t="s">
        <v>23</v>
      </c>
      <c r="E5304" t="s">
        <v>95</v>
      </c>
      <c r="F5304" t="s">
        <v>103</v>
      </c>
      <c r="G5304" t="s">
        <v>103</v>
      </c>
      <c r="H5304" t="s">
        <v>103</v>
      </c>
      <c r="J5304">
        <v>0</v>
      </c>
      <c r="K5304">
        <v>6</v>
      </c>
      <c r="L5304">
        <v>98.291666669999998</v>
      </c>
      <c r="M5304">
        <v>30.315130790000001</v>
      </c>
      <c r="N5304">
        <v>5.0803484000000003E-2</v>
      </c>
      <c r="O5304">
        <v>0.42866070000000001</v>
      </c>
      <c r="P5304">
        <v>98.291666669999998</v>
      </c>
      <c r="Q5304">
        <v>30.315130790000001</v>
      </c>
      <c r="R5304">
        <v>5.0803484000000003E-2</v>
      </c>
      <c r="S5304">
        <v>0.42866070000000001</v>
      </c>
      <c r="T5304" t="s">
        <v>1041</v>
      </c>
      <c r="U5304">
        <v>0</v>
      </c>
    </row>
    <row r="5305" spans="1:21" x14ac:dyDescent="0.25">
      <c r="A5305" t="s">
        <v>22</v>
      </c>
      <c r="B5305" t="s">
        <v>923</v>
      </c>
      <c r="C5305">
        <v>16</v>
      </c>
      <c r="D5305" t="s">
        <v>23</v>
      </c>
      <c r="E5305" t="s">
        <v>95</v>
      </c>
      <c r="F5305" t="s">
        <v>103</v>
      </c>
      <c r="G5305" t="s">
        <v>103</v>
      </c>
      <c r="H5305" t="s">
        <v>248</v>
      </c>
      <c r="J5305">
        <v>0</v>
      </c>
      <c r="K5305">
        <v>4</v>
      </c>
      <c r="L5305">
        <v>98.291666669999998</v>
      </c>
      <c r="M5305">
        <v>30.315130790000001</v>
      </c>
      <c r="N5305">
        <v>5.0803484000000003E-2</v>
      </c>
      <c r="O5305">
        <v>0.42866070000000001</v>
      </c>
      <c r="P5305">
        <v>83.92307692</v>
      </c>
      <c r="Q5305">
        <v>44.319135699999997</v>
      </c>
      <c r="R5305">
        <v>5.9548609999999997E-3</v>
      </c>
      <c r="S5305">
        <v>0.18017928</v>
      </c>
      <c r="T5305" t="s">
        <v>1041</v>
      </c>
      <c r="U5305">
        <v>0.24848142000000001</v>
      </c>
    </row>
    <row r="5306" spans="1:21" x14ac:dyDescent="0.25">
      <c r="A5306" t="s">
        <v>22</v>
      </c>
      <c r="B5306" t="s">
        <v>923</v>
      </c>
      <c r="C5306">
        <v>16</v>
      </c>
      <c r="D5306" t="s">
        <v>23</v>
      </c>
      <c r="E5306" t="s">
        <v>95</v>
      </c>
      <c r="F5306" t="s">
        <v>103</v>
      </c>
      <c r="G5306" t="s">
        <v>103</v>
      </c>
      <c r="H5306" t="s">
        <v>248</v>
      </c>
      <c r="J5306">
        <v>0</v>
      </c>
      <c r="K5306">
        <v>4</v>
      </c>
      <c r="L5306">
        <v>98.291666669999998</v>
      </c>
      <c r="M5306">
        <v>30.315130790000001</v>
      </c>
      <c r="N5306">
        <v>5.0803484000000003E-2</v>
      </c>
      <c r="O5306">
        <v>0.42866070000000001</v>
      </c>
      <c r="P5306">
        <v>83.92307692</v>
      </c>
      <c r="Q5306">
        <v>44.319135699999997</v>
      </c>
      <c r="R5306">
        <v>5.9548609999999997E-3</v>
      </c>
      <c r="S5306">
        <v>0.18017928</v>
      </c>
      <c r="T5306" t="s">
        <v>1041</v>
      </c>
      <c r="U5306">
        <v>0.24848142000000001</v>
      </c>
    </row>
    <row r="5307" spans="1:21" x14ac:dyDescent="0.25">
      <c r="A5307" t="s">
        <v>22</v>
      </c>
      <c r="B5307" t="s">
        <v>923</v>
      </c>
      <c r="C5307">
        <v>16</v>
      </c>
      <c r="D5307" t="s">
        <v>23</v>
      </c>
      <c r="E5307" t="s">
        <v>95</v>
      </c>
      <c r="F5307" t="s">
        <v>103</v>
      </c>
      <c r="G5307" t="s">
        <v>103</v>
      </c>
      <c r="H5307" t="s">
        <v>248</v>
      </c>
      <c r="J5307">
        <v>0</v>
      </c>
      <c r="K5307">
        <v>4</v>
      </c>
      <c r="L5307">
        <v>98.291666669999998</v>
      </c>
      <c r="M5307">
        <v>30.315130790000001</v>
      </c>
      <c r="N5307">
        <v>5.0803484000000003E-2</v>
      </c>
      <c r="O5307">
        <v>0.42866070000000001</v>
      </c>
      <c r="P5307">
        <v>83.92307692</v>
      </c>
      <c r="Q5307">
        <v>44.319135699999997</v>
      </c>
      <c r="R5307">
        <v>5.9548609999999997E-3</v>
      </c>
      <c r="S5307">
        <v>0.18017928</v>
      </c>
      <c r="T5307" t="s">
        <v>1041</v>
      </c>
      <c r="U5307">
        <v>0.24848142000000001</v>
      </c>
    </row>
    <row r="5308" spans="1:21" x14ac:dyDescent="0.25">
      <c r="A5308" t="s">
        <v>22</v>
      </c>
      <c r="B5308" t="s">
        <v>923</v>
      </c>
      <c r="C5308">
        <v>16</v>
      </c>
      <c r="D5308" t="s">
        <v>23</v>
      </c>
      <c r="E5308" t="s">
        <v>95</v>
      </c>
      <c r="F5308" t="s">
        <v>103</v>
      </c>
      <c r="G5308" t="s">
        <v>103</v>
      </c>
      <c r="H5308" t="s">
        <v>248</v>
      </c>
      <c r="J5308">
        <v>0</v>
      </c>
      <c r="K5308">
        <v>4</v>
      </c>
      <c r="L5308">
        <v>98.291666669999998</v>
      </c>
      <c r="M5308">
        <v>30.315130790000001</v>
      </c>
      <c r="N5308">
        <v>5.0803484000000003E-2</v>
      </c>
      <c r="O5308">
        <v>0.42866070000000001</v>
      </c>
      <c r="P5308">
        <v>83.92307692</v>
      </c>
      <c r="Q5308">
        <v>44.319135699999997</v>
      </c>
      <c r="R5308">
        <v>5.9548609999999997E-3</v>
      </c>
      <c r="S5308">
        <v>0.18017928</v>
      </c>
      <c r="T5308" t="s">
        <v>1041</v>
      </c>
      <c r="U5308">
        <v>0.24848142000000001</v>
      </c>
    </row>
    <row r="5309" spans="1:21" x14ac:dyDescent="0.25">
      <c r="A5309" t="s">
        <v>22</v>
      </c>
      <c r="B5309" t="s">
        <v>924</v>
      </c>
      <c r="C5309">
        <v>15</v>
      </c>
      <c r="D5309" t="s">
        <v>23</v>
      </c>
      <c r="E5309" t="s">
        <v>95</v>
      </c>
      <c r="F5309" t="s">
        <v>111</v>
      </c>
      <c r="G5309" t="s">
        <v>121</v>
      </c>
      <c r="H5309" t="s">
        <v>112</v>
      </c>
      <c r="J5309">
        <v>1</v>
      </c>
      <c r="K5309">
        <v>1</v>
      </c>
      <c r="L5309">
        <v>94.97142857</v>
      </c>
      <c r="M5309">
        <v>24.31591813</v>
      </c>
      <c r="N5309">
        <v>0.122951111</v>
      </c>
      <c r="O5309">
        <v>0.39050790000000002</v>
      </c>
      <c r="P5309">
        <v>65.09375</v>
      </c>
      <c r="Q5309">
        <v>37.895352600000002</v>
      </c>
      <c r="R5309">
        <v>2.2882677779999998</v>
      </c>
      <c r="S5309">
        <v>2.2111774</v>
      </c>
      <c r="T5309" t="s">
        <v>1041</v>
      </c>
      <c r="U5309">
        <v>1.8206694999999999</v>
      </c>
    </row>
    <row r="5310" spans="1:21" x14ac:dyDescent="0.25">
      <c r="A5310" t="s">
        <v>22</v>
      </c>
      <c r="B5310" t="s">
        <v>924</v>
      </c>
      <c r="C5310">
        <v>16</v>
      </c>
      <c r="D5310" t="s">
        <v>23</v>
      </c>
      <c r="E5310" t="s">
        <v>95</v>
      </c>
      <c r="F5310" t="s">
        <v>111</v>
      </c>
      <c r="G5310" t="s">
        <v>121</v>
      </c>
      <c r="H5310" t="s">
        <v>239</v>
      </c>
      <c r="J5310">
        <v>1</v>
      </c>
      <c r="K5310">
        <v>1</v>
      </c>
      <c r="L5310">
        <v>94.97142857</v>
      </c>
      <c r="M5310">
        <v>24.31591813</v>
      </c>
      <c r="N5310">
        <v>0.122951111</v>
      </c>
      <c r="O5310">
        <v>0.39050790000000002</v>
      </c>
      <c r="P5310">
        <v>100.45454549999999</v>
      </c>
      <c r="Q5310">
        <v>26.754810689999999</v>
      </c>
      <c r="R5310">
        <v>0.75829999999999997</v>
      </c>
      <c r="S5310">
        <v>0.40907861000000001</v>
      </c>
      <c r="T5310" t="s">
        <v>1041</v>
      </c>
      <c r="U5310">
        <v>1.857070999999999E-2</v>
      </c>
    </row>
    <row r="5311" spans="1:21" x14ac:dyDescent="0.25">
      <c r="A5311" t="s">
        <v>22</v>
      </c>
      <c r="B5311" t="s">
        <v>924</v>
      </c>
      <c r="C5311">
        <v>17</v>
      </c>
      <c r="D5311" t="s">
        <v>23</v>
      </c>
      <c r="E5311" t="s">
        <v>95</v>
      </c>
      <c r="F5311" t="s">
        <v>111</v>
      </c>
      <c r="G5311" t="s">
        <v>121</v>
      </c>
      <c r="H5311" t="s">
        <v>248</v>
      </c>
      <c r="J5311">
        <v>1</v>
      </c>
      <c r="K5311">
        <v>5</v>
      </c>
      <c r="L5311">
        <v>94.97142857</v>
      </c>
      <c r="M5311">
        <v>24.31591813</v>
      </c>
      <c r="N5311">
        <v>0.122951111</v>
      </c>
      <c r="O5311">
        <v>0.39050790000000002</v>
      </c>
      <c r="P5311">
        <v>83.92307692</v>
      </c>
      <c r="Q5311">
        <v>44.319135699999997</v>
      </c>
      <c r="R5311">
        <v>5.9548609999999997E-3</v>
      </c>
      <c r="S5311">
        <v>0.18017928</v>
      </c>
      <c r="T5311" t="s">
        <v>1041</v>
      </c>
      <c r="U5311">
        <v>0.21032862000000002</v>
      </c>
    </row>
    <row r="5312" spans="1:21" x14ac:dyDescent="0.25">
      <c r="A5312" t="s">
        <v>22</v>
      </c>
      <c r="B5312" t="s">
        <v>924</v>
      </c>
      <c r="C5312">
        <v>17</v>
      </c>
      <c r="D5312" t="s">
        <v>23</v>
      </c>
      <c r="E5312" t="s">
        <v>95</v>
      </c>
      <c r="F5312" t="s">
        <v>111</v>
      </c>
      <c r="G5312" t="s">
        <v>121</v>
      </c>
      <c r="H5312" t="s">
        <v>248</v>
      </c>
      <c r="J5312">
        <v>1</v>
      </c>
      <c r="K5312">
        <v>5</v>
      </c>
      <c r="L5312">
        <v>94.97142857</v>
      </c>
      <c r="M5312">
        <v>24.31591813</v>
      </c>
      <c r="N5312">
        <v>0.122951111</v>
      </c>
      <c r="O5312">
        <v>0.39050790000000002</v>
      </c>
      <c r="P5312">
        <v>83.92307692</v>
      </c>
      <c r="Q5312">
        <v>44.319135699999997</v>
      </c>
      <c r="R5312">
        <v>5.9548609999999997E-3</v>
      </c>
      <c r="S5312">
        <v>0.18017928</v>
      </c>
      <c r="T5312" t="s">
        <v>1041</v>
      </c>
      <c r="U5312">
        <v>0.21032862000000002</v>
      </c>
    </row>
    <row r="5313" spans="1:21" x14ac:dyDescent="0.25">
      <c r="A5313" t="s">
        <v>22</v>
      </c>
      <c r="B5313" t="s">
        <v>924</v>
      </c>
      <c r="C5313">
        <v>17</v>
      </c>
      <c r="D5313" t="s">
        <v>23</v>
      </c>
      <c r="E5313" t="s">
        <v>95</v>
      </c>
      <c r="F5313" t="s">
        <v>111</v>
      </c>
      <c r="G5313" t="s">
        <v>121</v>
      </c>
      <c r="H5313" t="s">
        <v>248</v>
      </c>
      <c r="J5313">
        <v>1</v>
      </c>
      <c r="K5313">
        <v>5</v>
      </c>
      <c r="L5313">
        <v>94.97142857</v>
      </c>
      <c r="M5313">
        <v>24.31591813</v>
      </c>
      <c r="N5313">
        <v>0.122951111</v>
      </c>
      <c r="O5313">
        <v>0.39050790000000002</v>
      </c>
      <c r="P5313">
        <v>83.92307692</v>
      </c>
      <c r="Q5313">
        <v>44.319135699999997</v>
      </c>
      <c r="R5313">
        <v>5.9548609999999997E-3</v>
      </c>
      <c r="S5313">
        <v>0.18017928</v>
      </c>
      <c r="T5313" t="s">
        <v>1041</v>
      </c>
      <c r="U5313">
        <v>0.21032862000000002</v>
      </c>
    </row>
    <row r="5314" spans="1:21" x14ac:dyDescent="0.25">
      <c r="A5314" t="s">
        <v>22</v>
      </c>
      <c r="B5314" t="s">
        <v>924</v>
      </c>
      <c r="C5314">
        <v>17</v>
      </c>
      <c r="D5314" t="s">
        <v>23</v>
      </c>
      <c r="E5314" t="s">
        <v>95</v>
      </c>
      <c r="F5314" t="s">
        <v>111</v>
      </c>
      <c r="G5314" t="s">
        <v>121</v>
      </c>
      <c r="H5314" t="s">
        <v>248</v>
      </c>
      <c r="J5314">
        <v>1</v>
      </c>
      <c r="K5314">
        <v>5</v>
      </c>
      <c r="L5314">
        <v>94.97142857</v>
      </c>
      <c r="M5314">
        <v>24.31591813</v>
      </c>
      <c r="N5314">
        <v>0.122951111</v>
      </c>
      <c r="O5314">
        <v>0.39050790000000002</v>
      </c>
      <c r="P5314">
        <v>83.92307692</v>
      </c>
      <c r="Q5314">
        <v>44.319135699999997</v>
      </c>
      <c r="R5314">
        <v>5.9548609999999997E-3</v>
      </c>
      <c r="S5314">
        <v>0.18017928</v>
      </c>
      <c r="T5314" t="s">
        <v>1041</v>
      </c>
      <c r="U5314">
        <v>0.21032862000000002</v>
      </c>
    </row>
    <row r="5315" spans="1:21" x14ac:dyDescent="0.25">
      <c r="A5315" t="s">
        <v>22</v>
      </c>
      <c r="B5315" t="s">
        <v>924</v>
      </c>
      <c r="C5315">
        <v>17</v>
      </c>
      <c r="D5315" t="s">
        <v>23</v>
      </c>
      <c r="E5315" t="s">
        <v>95</v>
      </c>
      <c r="F5315" t="s">
        <v>111</v>
      </c>
      <c r="G5315" t="s">
        <v>121</v>
      </c>
      <c r="H5315" t="s">
        <v>248</v>
      </c>
      <c r="J5315">
        <v>1</v>
      </c>
      <c r="K5315">
        <v>5</v>
      </c>
      <c r="L5315">
        <v>94.97142857</v>
      </c>
      <c r="M5315">
        <v>24.31591813</v>
      </c>
      <c r="N5315">
        <v>0.122951111</v>
      </c>
      <c r="O5315">
        <v>0.39050790000000002</v>
      </c>
      <c r="P5315">
        <v>83.92307692</v>
      </c>
      <c r="Q5315">
        <v>44.319135699999997</v>
      </c>
      <c r="R5315">
        <v>5.9548609999999997E-3</v>
      </c>
      <c r="S5315">
        <v>0.18017928</v>
      </c>
      <c r="T5315" t="s">
        <v>1041</v>
      </c>
      <c r="U5315">
        <v>0.21032862000000002</v>
      </c>
    </row>
    <row r="5316" spans="1:21" x14ac:dyDescent="0.25">
      <c r="A5316" t="s">
        <v>22</v>
      </c>
      <c r="B5316" t="s">
        <v>925</v>
      </c>
      <c r="C5316">
        <v>15</v>
      </c>
      <c r="D5316" t="s">
        <v>23</v>
      </c>
      <c r="E5316" t="s">
        <v>95</v>
      </c>
      <c r="F5316" t="s">
        <v>112</v>
      </c>
      <c r="G5316" t="s">
        <v>103</v>
      </c>
      <c r="H5316" t="s">
        <v>103</v>
      </c>
      <c r="J5316">
        <v>0</v>
      </c>
      <c r="K5316">
        <v>3</v>
      </c>
      <c r="L5316">
        <v>65.09375</v>
      </c>
      <c r="M5316">
        <v>37.895352600000002</v>
      </c>
      <c r="N5316">
        <v>2.2882677779999998</v>
      </c>
      <c r="O5316">
        <v>2.2111774</v>
      </c>
      <c r="P5316">
        <v>98.291666669999998</v>
      </c>
      <c r="Q5316">
        <v>30.315130790000001</v>
      </c>
      <c r="R5316">
        <v>5.0803484000000003E-2</v>
      </c>
      <c r="S5316">
        <v>0.42866070000000001</v>
      </c>
      <c r="T5316" t="s">
        <v>1041</v>
      </c>
      <c r="U5316">
        <v>1.7825167</v>
      </c>
    </row>
    <row r="5317" spans="1:21" x14ac:dyDescent="0.25">
      <c r="A5317" t="s">
        <v>22</v>
      </c>
      <c r="B5317" t="s">
        <v>925</v>
      </c>
      <c r="C5317">
        <v>15</v>
      </c>
      <c r="D5317" t="s">
        <v>23</v>
      </c>
      <c r="E5317" t="s">
        <v>95</v>
      </c>
      <c r="F5317" t="s">
        <v>112</v>
      </c>
      <c r="G5317" t="s">
        <v>103</v>
      </c>
      <c r="H5317" t="s">
        <v>103</v>
      </c>
      <c r="J5317">
        <v>0</v>
      </c>
      <c r="K5317">
        <v>3</v>
      </c>
      <c r="L5317">
        <v>65.09375</v>
      </c>
      <c r="M5317">
        <v>37.895352600000002</v>
      </c>
      <c r="N5317">
        <v>2.2882677779999998</v>
      </c>
      <c r="O5317">
        <v>2.2111774</v>
      </c>
      <c r="P5317">
        <v>98.291666669999998</v>
      </c>
      <c r="Q5317">
        <v>30.315130790000001</v>
      </c>
      <c r="R5317">
        <v>5.0803484000000003E-2</v>
      </c>
      <c r="S5317">
        <v>0.42866070000000001</v>
      </c>
      <c r="T5317" t="s">
        <v>1041</v>
      </c>
      <c r="U5317">
        <v>1.7825167</v>
      </c>
    </row>
    <row r="5318" spans="1:21" x14ac:dyDescent="0.25">
      <c r="A5318" t="s">
        <v>22</v>
      </c>
      <c r="B5318" t="s">
        <v>925</v>
      </c>
      <c r="C5318">
        <v>15</v>
      </c>
      <c r="D5318" t="s">
        <v>23</v>
      </c>
      <c r="E5318" t="s">
        <v>95</v>
      </c>
      <c r="F5318" t="s">
        <v>112</v>
      </c>
      <c r="G5318" t="s">
        <v>103</v>
      </c>
      <c r="H5318" t="s">
        <v>103</v>
      </c>
      <c r="J5318">
        <v>0</v>
      </c>
      <c r="K5318">
        <v>3</v>
      </c>
      <c r="L5318">
        <v>65.09375</v>
      </c>
      <c r="M5318">
        <v>37.895352600000002</v>
      </c>
      <c r="N5318">
        <v>2.2882677779999998</v>
      </c>
      <c r="O5318">
        <v>2.2111774</v>
      </c>
      <c r="P5318">
        <v>98.291666669999998</v>
      </c>
      <c r="Q5318">
        <v>30.315130790000001</v>
      </c>
      <c r="R5318">
        <v>5.0803484000000003E-2</v>
      </c>
      <c r="S5318">
        <v>0.42866070000000001</v>
      </c>
      <c r="T5318" t="s">
        <v>1041</v>
      </c>
      <c r="U5318">
        <v>1.7825167</v>
      </c>
    </row>
    <row r="5319" spans="1:21" x14ac:dyDescent="0.25">
      <c r="A5319" t="s">
        <v>22</v>
      </c>
      <c r="B5319" t="s">
        <v>925</v>
      </c>
      <c r="C5319">
        <v>16</v>
      </c>
      <c r="D5319" t="s">
        <v>23</v>
      </c>
      <c r="E5319" t="s">
        <v>95</v>
      </c>
      <c r="F5319" t="s">
        <v>112</v>
      </c>
      <c r="G5319" t="s">
        <v>103</v>
      </c>
      <c r="H5319" t="s">
        <v>113</v>
      </c>
      <c r="J5319">
        <v>0</v>
      </c>
      <c r="K5319">
        <v>2</v>
      </c>
      <c r="L5319">
        <v>65.09375</v>
      </c>
      <c r="M5319">
        <v>37.895352600000002</v>
      </c>
      <c r="N5319">
        <v>2.2882677779999998</v>
      </c>
      <c r="O5319">
        <v>2.2111774</v>
      </c>
      <c r="P5319">
        <v>83.757575759999995</v>
      </c>
      <c r="Q5319">
        <v>22.60997987</v>
      </c>
      <c r="R5319">
        <v>0.72884000000000004</v>
      </c>
      <c r="S5319">
        <v>0.21301339999999999</v>
      </c>
      <c r="T5319" t="s">
        <v>1041</v>
      </c>
      <c r="U5319">
        <v>1.9981640000000001</v>
      </c>
    </row>
    <row r="5320" spans="1:21" x14ac:dyDescent="0.25">
      <c r="A5320" t="s">
        <v>22</v>
      </c>
      <c r="B5320" t="s">
        <v>925</v>
      </c>
      <c r="C5320">
        <v>16</v>
      </c>
      <c r="D5320" t="s">
        <v>23</v>
      </c>
      <c r="E5320" t="s">
        <v>95</v>
      </c>
      <c r="F5320" t="s">
        <v>112</v>
      </c>
      <c r="G5320" t="s">
        <v>103</v>
      </c>
      <c r="H5320" t="s">
        <v>113</v>
      </c>
      <c r="J5320">
        <v>0</v>
      </c>
      <c r="K5320">
        <v>2</v>
      </c>
      <c r="L5320">
        <v>65.09375</v>
      </c>
      <c r="M5320">
        <v>37.895352600000002</v>
      </c>
      <c r="N5320">
        <v>2.2882677779999998</v>
      </c>
      <c r="O5320">
        <v>2.2111774</v>
      </c>
      <c r="P5320">
        <v>83.757575759999995</v>
      </c>
      <c r="Q5320">
        <v>22.60997987</v>
      </c>
      <c r="R5320">
        <v>0.72884000000000004</v>
      </c>
      <c r="S5320">
        <v>0.21301339999999999</v>
      </c>
      <c r="T5320" t="s">
        <v>1041</v>
      </c>
      <c r="U5320">
        <v>1.9981640000000001</v>
      </c>
    </row>
    <row r="5321" spans="1:21" x14ac:dyDescent="0.25">
      <c r="A5321" t="s">
        <v>22</v>
      </c>
      <c r="B5321" t="s">
        <v>925</v>
      </c>
      <c r="C5321">
        <v>17</v>
      </c>
      <c r="D5321" t="s">
        <v>23</v>
      </c>
      <c r="E5321" t="s">
        <v>95</v>
      </c>
      <c r="F5321" t="s">
        <v>112</v>
      </c>
      <c r="G5321" t="s">
        <v>103</v>
      </c>
      <c r="H5321" t="s">
        <v>247</v>
      </c>
      <c r="J5321">
        <v>0</v>
      </c>
      <c r="K5321">
        <v>1</v>
      </c>
      <c r="L5321">
        <v>65.09375</v>
      </c>
      <c r="M5321">
        <v>37.895352600000002</v>
      </c>
      <c r="N5321">
        <v>2.2882677779999998</v>
      </c>
      <c r="O5321">
        <v>2.2111774</v>
      </c>
      <c r="P5321">
        <v>65.791044779999993</v>
      </c>
      <c r="Q5321">
        <v>22.94519201</v>
      </c>
      <c r="R5321">
        <v>8.1320334999999994E-2</v>
      </c>
      <c r="S5321">
        <v>0.17285655</v>
      </c>
      <c r="T5321" t="s">
        <v>1041</v>
      </c>
      <c r="U5321">
        <v>2.0383208499999999</v>
      </c>
    </row>
    <row r="5322" spans="1:21" x14ac:dyDescent="0.25">
      <c r="A5322" t="s">
        <v>22</v>
      </c>
      <c r="B5322" t="s">
        <v>925</v>
      </c>
      <c r="C5322">
        <v>18</v>
      </c>
      <c r="D5322" t="s">
        <v>23</v>
      </c>
      <c r="E5322" t="s">
        <v>95</v>
      </c>
      <c r="F5322" t="s">
        <v>112</v>
      </c>
      <c r="G5322" t="s">
        <v>103</v>
      </c>
      <c r="H5322" t="s">
        <v>248</v>
      </c>
      <c r="J5322">
        <v>0</v>
      </c>
      <c r="K5322">
        <v>3</v>
      </c>
      <c r="L5322">
        <v>65.09375</v>
      </c>
      <c r="M5322">
        <v>37.895352600000002</v>
      </c>
      <c r="N5322">
        <v>2.2882677779999998</v>
      </c>
      <c r="O5322">
        <v>2.2111774</v>
      </c>
      <c r="P5322">
        <v>83.92307692</v>
      </c>
      <c r="Q5322">
        <v>44.319135699999997</v>
      </c>
      <c r="R5322">
        <v>5.9548609999999997E-3</v>
      </c>
      <c r="S5322">
        <v>0.18017928</v>
      </c>
      <c r="T5322" t="s">
        <v>1041</v>
      </c>
      <c r="U5322">
        <v>2.03099812</v>
      </c>
    </row>
    <row r="5323" spans="1:21" x14ac:dyDescent="0.25">
      <c r="A5323" t="s">
        <v>22</v>
      </c>
      <c r="B5323" t="s">
        <v>925</v>
      </c>
      <c r="C5323">
        <v>18</v>
      </c>
      <c r="D5323" t="s">
        <v>23</v>
      </c>
      <c r="E5323" t="s">
        <v>95</v>
      </c>
      <c r="F5323" t="s">
        <v>112</v>
      </c>
      <c r="G5323" t="s">
        <v>103</v>
      </c>
      <c r="H5323" t="s">
        <v>248</v>
      </c>
      <c r="J5323">
        <v>0</v>
      </c>
      <c r="K5323">
        <v>3</v>
      </c>
      <c r="L5323">
        <v>65.09375</v>
      </c>
      <c r="M5323">
        <v>37.895352600000002</v>
      </c>
      <c r="N5323">
        <v>2.2882677779999998</v>
      </c>
      <c r="O5323">
        <v>2.2111774</v>
      </c>
      <c r="P5323">
        <v>83.92307692</v>
      </c>
      <c r="Q5323">
        <v>44.319135699999997</v>
      </c>
      <c r="R5323">
        <v>5.9548609999999997E-3</v>
      </c>
      <c r="S5323">
        <v>0.18017928</v>
      </c>
      <c r="T5323" t="s">
        <v>1041</v>
      </c>
      <c r="U5323">
        <v>2.03099812</v>
      </c>
    </row>
    <row r="5324" spans="1:21" x14ac:dyDescent="0.25">
      <c r="A5324" t="s">
        <v>22</v>
      </c>
      <c r="B5324" t="s">
        <v>925</v>
      </c>
      <c r="C5324">
        <v>18</v>
      </c>
      <c r="D5324" t="s">
        <v>23</v>
      </c>
      <c r="E5324" t="s">
        <v>95</v>
      </c>
      <c r="F5324" t="s">
        <v>112</v>
      </c>
      <c r="G5324" t="s">
        <v>103</v>
      </c>
      <c r="H5324" t="s">
        <v>248</v>
      </c>
      <c r="J5324">
        <v>0</v>
      </c>
      <c r="K5324">
        <v>3</v>
      </c>
      <c r="L5324">
        <v>65.09375</v>
      </c>
      <c r="M5324">
        <v>37.895352600000002</v>
      </c>
      <c r="N5324">
        <v>2.2882677779999998</v>
      </c>
      <c r="O5324">
        <v>2.2111774</v>
      </c>
      <c r="P5324">
        <v>83.92307692</v>
      </c>
      <c r="Q5324">
        <v>44.319135699999997</v>
      </c>
      <c r="R5324">
        <v>5.9548609999999997E-3</v>
      </c>
      <c r="S5324">
        <v>0.18017928</v>
      </c>
      <c r="T5324" t="s">
        <v>1041</v>
      </c>
      <c r="U5324">
        <v>2.03099812</v>
      </c>
    </row>
    <row r="5325" spans="1:21" x14ac:dyDescent="0.25">
      <c r="A5325" t="s">
        <v>24</v>
      </c>
      <c r="B5325" t="s">
        <v>926</v>
      </c>
      <c r="C5325">
        <v>15</v>
      </c>
      <c r="D5325" t="s">
        <v>25</v>
      </c>
      <c r="E5325" t="s">
        <v>95</v>
      </c>
      <c r="F5325" t="s">
        <v>105</v>
      </c>
      <c r="G5325" t="s">
        <v>121</v>
      </c>
      <c r="H5325" t="s">
        <v>111</v>
      </c>
      <c r="J5325">
        <v>0</v>
      </c>
      <c r="K5325">
        <v>1</v>
      </c>
      <c r="L5325">
        <v>67.5</v>
      </c>
      <c r="M5325">
        <v>47.937235809999997</v>
      </c>
      <c r="N5325">
        <v>0.41599678000000001</v>
      </c>
      <c r="O5325">
        <v>2.0950346999999998</v>
      </c>
      <c r="P5325">
        <v>94.97142857</v>
      </c>
      <c r="Q5325">
        <v>24.31591813</v>
      </c>
      <c r="R5325">
        <v>0.122951111</v>
      </c>
      <c r="S5325">
        <v>0.39050790000000002</v>
      </c>
      <c r="T5325" t="s">
        <v>1041</v>
      </c>
      <c r="U5325">
        <v>1.7045267999999998</v>
      </c>
    </row>
    <row r="5326" spans="1:21" x14ac:dyDescent="0.25">
      <c r="A5326" t="s">
        <v>24</v>
      </c>
      <c r="B5326" t="s">
        <v>926</v>
      </c>
      <c r="C5326">
        <v>16</v>
      </c>
      <c r="D5326" t="s">
        <v>25</v>
      </c>
      <c r="E5326" t="s">
        <v>95</v>
      </c>
      <c r="F5326" t="s">
        <v>105</v>
      </c>
      <c r="G5326" t="s">
        <v>121</v>
      </c>
      <c r="H5326" t="s">
        <v>104</v>
      </c>
      <c r="J5326">
        <v>0</v>
      </c>
      <c r="K5326">
        <v>1</v>
      </c>
      <c r="L5326">
        <v>67.5</v>
      </c>
      <c r="M5326">
        <v>47.937235809999997</v>
      </c>
      <c r="N5326">
        <v>0.41599678000000001</v>
      </c>
      <c r="O5326">
        <v>2.0950346999999998</v>
      </c>
      <c r="P5326">
        <v>113.9375</v>
      </c>
      <c r="Q5326">
        <v>33.375507550000002</v>
      </c>
      <c r="R5326">
        <v>2.4262999999999999</v>
      </c>
      <c r="S5326">
        <v>0.40692159999999999</v>
      </c>
      <c r="T5326" t="s">
        <v>1041</v>
      </c>
      <c r="U5326">
        <v>1.6881130999999998</v>
      </c>
    </row>
    <row r="5327" spans="1:21" x14ac:dyDescent="0.25">
      <c r="A5327" t="s">
        <v>24</v>
      </c>
      <c r="B5327" t="s">
        <v>927</v>
      </c>
      <c r="C5327">
        <v>15</v>
      </c>
      <c r="D5327" t="s">
        <v>25</v>
      </c>
      <c r="E5327" t="s">
        <v>95</v>
      </c>
      <c r="F5327" t="s">
        <v>112</v>
      </c>
      <c r="G5327" t="s">
        <v>112</v>
      </c>
      <c r="H5327" t="s">
        <v>112</v>
      </c>
      <c r="J5327">
        <v>0</v>
      </c>
      <c r="K5327">
        <v>1</v>
      </c>
      <c r="L5327">
        <v>65.09375</v>
      </c>
      <c r="M5327">
        <v>37.895352600000002</v>
      </c>
      <c r="N5327">
        <v>2.2882677779999998</v>
      </c>
      <c r="O5327">
        <v>2.2111774</v>
      </c>
      <c r="P5327">
        <v>65.09375</v>
      </c>
      <c r="Q5327">
        <v>37.895352600000002</v>
      </c>
      <c r="R5327">
        <v>2.2882677779999998</v>
      </c>
      <c r="S5327">
        <v>2.2111774</v>
      </c>
      <c r="T5327" t="s">
        <v>1041</v>
      </c>
      <c r="U5327">
        <v>0</v>
      </c>
    </row>
    <row r="5328" spans="1:21" x14ac:dyDescent="0.25">
      <c r="A5328" t="s">
        <v>26</v>
      </c>
      <c r="B5328" t="s">
        <v>928</v>
      </c>
      <c r="C5328">
        <v>15</v>
      </c>
      <c r="D5328" t="s">
        <v>27</v>
      </c>
      <c r="E5328" t="s">
        <v>95</v>
      </c>
      <c r="F5328" t="s">
        <v>105</v>
      </c>
      <c r="G5328" t="s">
        <v>102</v>
      </c>
      <c r="H5328" t="s">
        <v>102</v>
      </c>
      <c r="J5328">
        <v>0</v>
      </c>
      <c r="K5328">
        <v>1</v>
      </c>
      <c r="L5328">
        <v>67.5</v>
      </c>
      <c r="M5328">
        <v>47.937235809999997</v>
      </c>
      <c r="N5328">
        <v>0.41599678000000001</v>
      </c>
      <c r="O5328">
        <v>2.0950346999999998</v>
      </c>
      <c r="P5328">
        <v>84.740740740000007</v>
      </c>
      <c r="Q5328">
        <v>29.167014049999999</v>
      </c>
      <c r="R5328">
        <v>1.1169849999999999</v>
      </c>
      <c r="S5328">
        <v>1.1571499000000001</v>
      </c>
      <c r="T5328" t="s">
        <v>1041</v>
      </c>
      <c r="U5328">
        <v>0.93788479999999974</v>
      </c>
    </row>
    <row r="5329" spans="1:21" x14ac:dyDescent="0.25">
      <c r="A5329" t="s">
        <v>26</v>
      </c>
      <c r="B5329" t="s">
        <v>928</v>
      </c>
      <c r="C5329">
        <v>16</v>
      </c>
      <c r="D5329" t="s">
        <v>27</v>
      </c>
      <c r="E5329" t="s">
        <v>95</v>
      </c>
      <c r="F5329" t="s">
        <v>105</v>
      </c>
      <c r="G5329" t="s">
        <v>102</v>
      </c>
      <c r="H5329" t="s">
        <v>111</v>
      </c>
      <c r="J5329">
        <v>0</v>
      </c>
      <c r="K5329">
        <v>1</v>
      </c>
      <c r="L5329">
        <v>67.5</v>
      </c>
      <c r="M5329">
        <v>47.937235809999997</v>
      </c>
      <c r="N5329">
        <v>0.41599678000000001</v>
      </c>
      <c r="O5329">
        <v>2.0950346999999998</v>
      </c>
      <c r="P5329">
        <v>94.97142857</v>
      </c>
      <c r="Q5329">
        <v>24.31591813</v>
      </c>
      <c r="R5329">
        <v>0.122951111</v>
      </c>
      <c r="S5329">
        <v>0.39050790000000002</v>
      </c>
      <c r="T5329" t="s">
        <v>1041</v>
      </c>
      <c r="U5329">
        <v>1.7045267999999998</v>
      </c>
    </row>
    <row r="5330" spans="1:21" x14ac:dyDescent="0.25">
      <c r="A5330" t="s">
        <v>26</v>
      </c>
      <c r="B5330" t="s">
        <v>928</v>
      </c>
      <c r="C5330">
        <v>17</v>
      </c>
      <c r="D5330" t="s">
        <v>27</v>
      </c>
      <c r="E5330" t="s">
        <v>95</v>
      </c>
      <c r="F5330" t="s">
        <v>105</v>
      </c>
      <c r="G5330" t="s">
        <v>102</v>
      </c>
      <c r="H5330" t="s">
        <v>242</v>
      </c>
      <c r="J5330">
        <v>0</v>
      </c>
      <c r="K5330">
        <v>1</v>
      </c>
      <c r="L5330">
        <v>67.5</v>
      </c>
      <c r="M5330">
        <v>47.937235809999997</v>
      </c>
      <c r="N5330">
        <v>0.41599678000000001</v>
      </c>
      <c r="O5330">
        <v>2.0950346999999998</v>
      </c>
      <c r="P5330">
        <v>139.375</v>
      </c>
      <c r="Q5330">
        <v>23.713465920000001</v>
      </c>
      <c r="R5330" t="s">
        <v>114</v>
      </c>
      <c r="S5330" t="s">
        <v>114</v>
      </c>
      <c r="T5330" t="s">
        <v>1041</v>
      </c>
      <c r="U5330" t="s">
        <v>114</v>
      </c>
    </row>
    <row r="5331" spans="1:21" x14ac:dyDescent="0.25">
      <c r="A5331" t="s">
        <v>26</v>
      </c>
      <c r="B5331" t="s">
        <v>929</v>
      </c>
      <c r="C5331">
        <v>15</v>
      </c>
      <c r="D5331" t="s">
        <v>27</v>
      </c>
      <c r="E5331" t="s">
        <v>95</v>
      </c>
      <c r="F5331" t="s">
        <v>110</v>
      </c>
      <c r="G5331" t="s">
        <v>111</v>
      </c>
      <c r="H5331" t="s">
        <v>111</v>
      </c>
      <c r="J5331">
        <v>0</v>
      </c>
      <c r="K5331">
        <v>1</v>
      </c>
      <c r="L5331">
        <v>73.260869569999997</v>
      </c>
      <c r="M5331">
        <v>34.453830549999999</v>
      </c>
      <c r="N5331">
        <v>1.058333333</v>
      </c>
      <c r="O5331">
        <v>0.90897070000000002</v>
      </c>
      <c r="P5331">
        <v>94.97142857</v>
      </c>
      <c r="Q5331">
        <v>24.31591813</v>
      </c>
      <c r="R5331">
        <v>0.122951111</v>
      </c>
      <c r="S5331">
        <v>0.39050790000000002</v>
      </c>
      <c r="T5331" t="s">
        <v>1041</v>
      </c>
      <c r="U5331">
        <v>0.5184628</v>
      </c>
    </row>
    <row r="5332" spans="1:21" x14ac:dyDescent="0.25">
      <c r="A5332" t="s">
        <v>26</v>
      </c>
      <c r="B5332" t="s">
        <v>929</v>
      </c>
      <c r="C5332">
        <v>16</v>
      </c>
      <c r="D5332" t="s">
        <v>27</v>
      </c>
      <c r="E5332" t="s">
        <v>95</v>
      </c>
      <c r="F5332" t="s">
        <v>110</v>
      </c>
      <c r="G5332" t="s">
        <v>111</v>
      </c>
      <c r="H5332" t="s">
        <v>242</v>
      </c>
      <c r="J5332">
        <v>0</v>
      </c>
      <c r="K5332">
        <v>8</v>
      </c>
      <c r="L5332">
        <v>73.260869569999997</v>
      </c>
      <c r="M5332">
        <v>34.453830549999999</v>
      </c>
      <c r="N5332">
        <v>1.058333333</v>
      </c>
      <c r="O5332">
        <v>0.90897070000000002</v>
      </c>
      <c r="P5332">
        <v>139.375</v>
      </c>
      <c r="Q5332">
        <v>23.713465920000001</v>
      </c>
      <c r="R5332" t="s">
        <v>114</v>
      </c>
      <c r="S5332" t="s">
        <v>114</v>
      </c>
      <c r="T5332" t="s">
        <v>1041</v>
      </c>
      <c r="U5332" t="s">
        <v>114</v>
      </c>
    </row>
    <row r="5333" spans="1:21" x14ac:dyDescent="0.25">
      <c r="A5333" t="s">
        <v>26</v>
      </c>
      <c r="B5333" t="s">
        <v>929</v>
      </c>
      <c r="C5333">
        <v>16</v>
      </c>
      <c r="D5333" t="s">
        <v>27</v>
      </c>
      <c r="E5333" t="s">
        <v>95</v>
      </c>
      <c r="F5333" t="s">
        <v>110</v>
      </c>
      <c r="G5333" t="s">
        <v>111</v>
      </c>
      <c r="H5333" t="s">
        <v>242</v>
      </c>
      <c r="J5333">
        <v>0</v>
      </c>
      <c r="K5333">
        <v>8</v>
      </c>
      <c r="L5333">
        <v>73.260869569999997</v>
      </c>
      <c r="M5333">
        <v>34.453830549999999</v>
      </c>
      <c r="N5333">
        <v>1.058333333</v>
      </c>
      <c r="O5333">
        <v>0.90897070000000002</v>
      </c>
      <c r="P5333">
        <v>139.375</v>
      </c>
      <c r="Q5333">
        <v>23.713465920000001</v>
      </c>
      <c r="R5333" t="s">
        <v>114</v>
      </c>
      <c r="S5333" t="s">
        <v>114</v>
      </c>
      <c r="T5333" t="s">
        <v>1041</v>
      </c>
      <c r="U5333" t="s">
        <v>114</v>
      </c>
    </row>
    <row r="5334" spans="1:21" x14ac:dyDescent="0.25">
      <c r="A5334" t="s">
        <v>26</v>
      </c>
      <c r="B5334" t="s">
        <v>929</v>
      </c>
      <c r="C5334">
        <v>16</v>
      </c>
      <c r="D5334" t="s">
        <v>27</v>
      </c>
      <c r="E5334" t="s">
        <v>95</v>
      </c>
      <c r="F5334" t="s">
        <v>110</v>
      </c>
      <c r="G5334" t="s">
        <v>111</v>
      </c>
      <c r="H5334" t="s">
        <v>242</v>
      </c>
      <c r="J5334">
        <v>0</v>
      </c>
      <c r="K5334">
        <v>8</v>
      </c>
      <c r="L5334">
        <v>73.260869569999997</v>
      </c>
      <c r="M5334">
        <v>34.453830549999999</v>
      </c>
      <c r="N5334">
        <v>1.058333333</v>
      </c>
      <c r="O5334">
        <v>0.90897070000000002</v>
      </c>
      <c r="P5334">
        <v>139.375</v>
      </c>
      <c r="Q5334">
        <v>23.713465920000001</v>
      </c>
      <c r="R5334" t="s">
        <v>114</v>
      </c>
      <c r="S5334" t="s">
        <v>114</v>
      </c>
      <c r="T5334" t="s">
        <v>1041</v>
      </c>
      <c r="U5334" t="s">
        <v>114</v>
      </c>
    </row>
    <row r="5335" spans="1:21" x14ac:dyDescent="0.25">
      <c r="A5335" t="s">
        <v>26</v>
      </c>
      <c r="B5335" t="s">
        <v>929</v>
      </c>
      <c r="C5335">
        <v>16</v>
      </c>
      <c r="D5335" t="s">
        <v>27</v>
      </c>
      <c r="E5335" t="s">
        <v>95</v>
      </c>
      <c r="F5335" t="s">
        <v>110</v>
      </c>
      <c r="G5335" t="s">
        <v>111</v>
      </c>
      <c r="H5335" t="s">
        <v>242</v>
      </c>
      <c r="J5335">
        <v>0</v>
      </c>
      <c r="K5335">
        <v>8</v>
      </c>
      <c r="L5335">
        <v>73.260869569999997</v>
      </c>
      <c r="M5335">
        <v>34.453830549999999</v>
      </c>
      <c r="N5335">
        <v>1.058333333</v>
      </c>
      <c r="O5335">
        <v>0.90897070000000002</v>
      </c>
      <c r="P5335">
        <v>139.375</v>
      </c>
      <c r="Q5335">
        <v>23.713465920000001</v>
      </c>
      <c r="R5335" t="s">
        <v>114</v>
      </c>
      <c r="S5335" t="s">
        <v>114</v>
      </c>
      <c r="T5335" t="s">
        <v>1041</v>
      </c>
      <c r="U5335" t="s">
        <v>114</v>
      </c>
    </row>
    <row r="5336" spans="1:21" x14ac:dyDescent="0.25">
      <c r="A5336" t="s">
        <v>26</v>
      </c>
      <c r="B5336" t="s">
        <v>929</v>
      </c>
      <c r="C5336">
        <v>16</v>
      </c>
      <c r="D5336" t="s">
        <v>27</v>
      </c>
      <c r="E5336" t="s">
        <v>95</v>
      </c>
      <c r="F5336" t="s">
        <v>110</v>
      </c>
      <c r="G5336" t="s">
        <v>111</v>
      </c>
      <c r="H5336" t="s">
        <v>242</v>
      </c>
      <c r="J5336">
        <v>0</v>
      </c>
      <c r="K5336">
        <v>8</v>
      </c>
      <c r="L5336">
        <v>73.260869569999997</v>
      </c>
      <c r="M5336">
        <v>34.453830549999999</v>
      </c>
      <c r="N5336">
        <v>1.058333333</v>
      </c>
      <c r="O5336">
        <v>0.90897070000000002</v>
      </c>
      <c r="P5336">
        <v>139.375</v>
      </c>
      <c r="Q5336">
        <v>23.713465920000001</v>
      </c>
      <c r="R5336" t="s">
        <v>114</v>
      </c>
      <c r="S5336" t="s">
        <v>114</v>
      </c>
      <c r="T5336" t="s">
        <v>1041</v>
      </c>
      <c r="U5336" t="s">
        <v>114</v>
      </c>
    </row>
    <row r="5337" spans="1:21" x14ac:dyDescent="0.25">
      <c r="A5337" t="s">
        <v>26</v>
      </c>
      <c r="B5337" t="s">
        <v>929</v>
      </c>
      <c r="C5337">
        <v>16</v>
      </c>
      <c r="D5337" t="s">
        <v>27</v>
      </c>
      <c r="E5337" t="s">
        <v>95</v>
      </c>
      <c r="F5337" t="s">
        <v>110</v>
      </c>
      <c r="G5337" t="s">
        <v>111</v>
      </c>
      <c r="H5337" t="s">
        <v>242</v>
      </c>
      <c r="J5337">
        <v>0</v>
      </c>
      <c r="K5337">
        <v>8</v>
      </c>
      <c r="L5337">
        <v>73.260869569999997</v>
      </c>
      <c r="M5337">
        <v>34.453830549999999</v>
      </c>
      <c r="N5337">
        <v>1.058333333</v>
      </c>
      <c r="O5337">
        <v>0.90897070000000002</v>
      </c>
      <c r="P5337">
        <v>139.375</v>
      </c>
      <c r="Q5337">
        <v>23.713465920000001</v>
      </c>
      <c r="R5337" t="s">
        <v>114</v>
      </c>
      <c r="S5337" t="s">
        <v>114</v>
      </c>
      <c r="T5337" t="s">
        <v>1041</v>
      </c>
      <c r="U5337" t="s">
        <v>114</v>
      </c>
    </row>
    <row r="5338" spans="1:21" x14ac:dyDescent="0.25">
      <c r="A5338" t="s">
        <v>26</v>
      </c>
      <c r="B5338" t="s">
        <v>929</v>
      </c>
      <c r="C5338">
        <v>16</v>
      </c>
      <c r="D5338" t="s">
        <v>27</v>
      </c>
      <c r="E5338" t="s">
        <v>95</v>
      </c>
      <c r="F5338" t="s">
        <v>110</v>
      </c>
      <c r="G5338" t="s">
        <v>111</v>
      </c>
      <c r="H5338" t="s">
        <v>242</v>
      </c>
      <c r="J5338">
        <v>0</v>
      </c>
      <c r="K5338">
        <v>8</v>
      </c>
      <c r="L5338">
        <v>73.260869569999997</v>
      </c>
      <c r="M5338">
        <v>34.453830549999999</v>
      </c>
      <c r="N5338">
        <v>1.058333333</v>
      </c>
      <c r="O5338">
        <v>0.90897070000000002</v>
      </c>
      <c r="P5338">
        <v>139.375</v>
      </c>
      <c r="Q5338">
        <v>23.713465920000001</v>
      </c>
      <c r="R5338" t="s">
        <v>114</v>
      </c>
      <c r="S5338" t="s">
        <v>114</v>
      </c>
      <c r="T5338" t="s">
        <v>1041</v>
      </c>
      <c r="U5338" t="s">
        <v>114</v>
      </c>
    </row>
    <row r="5339" spans="1:21" x14ac:dyDescent="0.25">
      <c r="A5339" t="s">
        <v>26</v>
      </c>
      <c r="B5339" t="s">
        <v>929</v>
      </c>
      <c r="C5339">
        <v>16</v>
      </c>
      <c r="D5339" t="s">
        <v>27</v>
      </c>
      <c r="E5339" t="s">
        <v>95</v>
      </c>
      <c r="F5339" t="s">
        <v>110</v>
      </c>
      <c r="G5339" t="s">
        <v>111</v>
      </c>
      <c r="H5339" t="s">
        <v>242</v>
      </c>
      <c r="J5339">
        <v>0</v>
      </c>
      <c r="K5339">
        <v>8</v>
      </c>
      <c r="L5339">
        <v>73.260869569999997</v>
      </c>
      <c r="M5339">
        <v>34.453830549999999</v>
      </c>
      <c r="N5339">
        <v>1.058333333</v>
      </c>
      <c r="O5339">
        <v>0.90897070000000002</v>
      </c>
      <c r="P5339">
        <v>139.375</v>
      </c>
      <c r="Q5339">
        <v>23.713465920000001</v>
      </c>
      <c r="R5339" t="s">
        <v>114</v>
      </c>
      <c r="S5339" t="s">
        <v>114</v>
      </c>
      <c r="T5339" t="s">
        <v>1041</v>
      </c>
      <c r="U5339" t="s">
        <v>114</v>
      </c>
    </row>
    <row r="5340" spans="1:21" x14ac:dyDescent="0.25">
      <c r="A5340" t="s">
        <v>26</v>
      </c>
      <c r="B5340" t="s">
        <v>930</v>
      </c>
      <c r="C5340">
        <v>15</v>
      </c>
      <c r="D5340" t="s">
        <v>27</v>
      </c>
      <c r="E5340" t="s">
        <v>95</v>
      </c>
      <c r="F5340" t="s">
        <v>111</v>
      </c>
      <c r="G5340" t="s">
        <v>102</v>
      </c>
      <c r="H5340" t="s">
        <v>244</v>
      </c>
      <c r="J5340">
        <v>0</v>
      </c>
      <c r="K5340">
        <v>1</v>
      </c>
      <c r="L5340">
        <v>94.97142857</v>
      </c>
      <c r="M5340">
        <v>24.31591813</v>
      </c>
      <c r="N5340">
        <v>0.122951111</v>
      </c>
      <c r="O5340">
        <v>0.39050790000000002</v>
      </c>
      <c r="P5340">
        <v>75</v>
      </c>
      <c r="Q5340">
        <v>28.80614499</v>
      </c>
      <c r="R5340">
        <v>2.3860428570000001</v>
      </c>
      <c r="S5340">
        <v>0.26400832000000002</v>
      </c>
      <c r="T5340" t="s">
        <v>1041</v>
      </c>
      <c r="U5340">
        <v>0.12649958</v>
      </c>
    </row>
    <row r="5341" spans="1:21" x14ac:dyDescent="0.25">
      <c r="A5341" t="s">
        <v>26</v>
      </c>
      <c r="B5341" t="s">
        <v>930</v>
      </c>
      <c r="C5341">
        <v>16</v>
      </c>
      <c r="D5341" t="s">
        <v>27</v>
      </c>
      <c r="E5341" t="s">
        <v>95</v>
      </c>
      <c r="F5341" t="s">
        <v>111</v>
      </c>
      <c r="G5341" t="s">
        <v>102</v>
      </c>
      <c r="H5341" t="s">
        <v>236</v>
      </c>
      <c r="J5341">
        <v>0</v>
      </c>
      <c r="K5341">
        <v>1</v>
      </c>
      <c r="L5341">
        <v>94.97142857</v>
      </c>
      <c r="M5341">
        <v>24.31591813</v>
      </c>
      <c r="N5341">
        <v>0.122951111</v>
      </c>
      <c r="O5341">
        <v>0.39050790000000002</v>
      </c>
      <c r="P5341">
        <v>113.33333330000001</v>
      </c>
      <c r="Q5341">
        <v>26.41632581</v>
      </c>
      <c r="R5341">
        <v>1.6844570160000001</v>
      </c>
      <c r="S5341">
        <v>8.9285710000000004E-2</v>
      </c>
      <c r="T5341" t="s">
        <v>1041</v>
      </c>
      <c r="U5341">
        <v>0.30122219</v>
      </c>
    </row>
    <row r="5342" spans="1:21" x14ac:dyDescent="0.25">
      <c r="A5342" t="s">
        <v>26</v>
      </c>
      <c r="B5342" t="s">
        <v>930</v>
      </c>
      <c r="C5342">
        <v>17</v>
      </c>
      <c r="D5342" t="s">
        <v>27</v>
      </c>
      <c r="E5342" t="s">
        <v>95</v>
      </c>
      <c r="F5342" t="s">
        <v>111</v>
      </c>
      <c r="G5342" t="s">
        <v>102</v>
      </c>
      <c r="H5342" t="s">
        <v>102</v>
      </c>
      <c r="J5342">
        <v>0</v>
      </c>
      <c r="K5342">
        <v>1</v>
      </c>
      <c r="L5342">
        <v>94.97142857</v>
      </c>
      <c r="M5342">
        <v>24.31591813</v>
      </c>
      <c r="N5342">
        <v>0.122951111</v>
      </c>
      <c r="O5342">
        <v>0.39050790000000002</v>
      </c>
      <c r="P5342">
        <v>84.740740740000007</v>
      </c>
      <c r="Q5342">
        <v>29.167014049999999</v>
      </c>
      <c r="R5342">
        <v>1.1169849999999999</v>
      </c>
      <c r="S5342">
        <v>1.1571499000000001</v>
      </c>
      <c r="T5342" t="s">
        <v>1041</v>
      </c>
      <c r="U5342">
        <v>0.76664200000000005</v>
      </c>
    </row>
    <row r="5343" spans="1:21" x14ac:dyDescent="0.25">
      <c r="A5343" t="s">
        <v>26</v>
      </c>
      <c r="B5343" t="s">
        <v>930</v>
      </c>
      <c r="C5343">
        <v>18</v>
      </c>
      <c r="D5343" t="s">
        <v>27</v>
      </c>
      <c r="E5343" t="s">
        <v>95</v>
      </c>
      <c r="F5343" t="s">
        <v>111</v>
      </c>
      <c r="G5343" t="s">
        <v>102</v>
      </c>
      <c r="H5343" t="s">
        <v>242</v>
      </c>
      <c r="J5343">
        <v>0</v>
      </c>
      <c r="K5343">
        <v>3</v>
      </c>
      <c r="L5343">
        <v>94.97142857</v>
      </c>
      <c r="M5343">
        <v>24.31591813</v>
      </c>
      <c r="N5343">
        <v>0.122951111</v>
      </c>
      <c r="O5343">
        <v>0.39050790000000002</v>
      </c>
      <c r="P5343">
        <v>139.375</v>
      </c>
      <c r="Q5343">
        <v>23.713465920000001</v>
      </c>
      <c r="R5343" t="s">
        <v>114</v>
      </c>
      <c r="S5343" t="s">
        <v>114</v>
      </c>
      <c r="T5343" t="s">
        <v>1041</v>
      </c>
      <c r="U5343" t="s">
        <v>114</v>
      </c>
    </row>
    <row r="5344" spans="1:21" x14ac:dyDescent="0.25">
      <c r="A5344" t="s">
        <v>26</v>
      </c>
      <c r="B5344" t="s">
        <v>930</v>
      </c>
      <c r="C5344">
        <v>18</v>
      </c>
      <c r="D5344" t="s">
        <v>27</v>
      </c>
      <c r="E5344" t="s">
        <v>95</v>
      </c>
      <c r="F5344" t="s">
        <v>111</v>
      </c>
      <c r="G5344" t="s">
        <v>102</v>
      </c>
      <c r="H5344" t="s">
        <v>242</v>
      </c>
      <c r="J5344">
        <v>0</v>
      </c>
      <c r="K5344">
        <v>3</v>
      </c>
      <c r="L5344">
        <v>94.97142857</v>
      </c>
      <c r="M5344">
        <v>24.31591813</v>
      </c>
      <c r="N5344">
        <v>0.122951111</v>
      </c>
      <c r="O5344">
        <v>0.39050790000000002</v>
      </c>
      <c r="P5344">
        <v>139.375</v>
      </c>
      <c r="Q5344">
        <v>23.713465920000001</v>
      </c>
      <c r="R5344" t="s">
        <v>114</v>
      </c>
      <c r="S5344" t="s">
        <v>114</v>
      </c>
      <c r="T5344" t="s">
        <v>1041</v>
      </c>
      <c r="U5344" t="s">
        <v>114</v>
      </c>
    </row>
    <row r="5345" spans="1:21" x14ac:dyDescent="0.25">
      <c r="A5345" t="s">
        <v>26</v>
      </c>
      <c r="B5345" t="s">
        <v>930</v>
      </c>
      <c r="C5345">
        <v>18</v>
      </c>
      <c r="D5345" t="s">
        <v>27</v>
      </c>
      <c r="E5345" t="s">
        <v>95</v>
      </c>
      <c r="F5345" t="s">
        <v>111</v>
      </c>
      <c r="G5345" t="s">
        <v>102</v>
      </c>
      <c r="H5345" t="s">
        <v>242</v>
      </c>
      <c r="J5345">
        <v>0</v>
      </c>
      <c r="K5345">
        <v>3</v>
      </c>
      <c r="L5345">
        <v>94.97142857</v>
      </c>
      <c r="M5345">
        <v>24.31591813</v>
      </c>
      <c r="N5345">
        <v>0.122951111</v>
      </c>
      <c r="O5345">
        <v>0.39050790000000002</v>
      </c>
      <c r="P5345">
        <v>139.375</v>
      </c>
      <c r="Q5345">
        <v>23.713465920000001</v>
      </c>
      <c r="R5345" t="s">
        <v>114</v>
      </c>
      <c r="S5345" t="s">
        <v>114</v>
      </c>
      <c r="T5345" t="s">
        <v>1041</v>
      </c>
      <c r="U5345" t="s">
        <v>114</v>
      </c>
    </row>
    <row r="5346" spans="1:21" x14ac:dyDescent="0.25">
      <c r="A5346" t="s">
        <v>28</v>
      </c>
      <c r="B5346" t="s">
        <v>931</v>
      </c>
      <c r="C5346">
        <v>15</v>
      </c>
      <c r="D5346" t="s">
        <v>29</v>
      </c>
      <c r="E5346" t="s">
        <v>94</v>
      </c>
      <c r="F5346" t="s">
        <v>113</v>
      </c>
      <c r="G5346" t="s">
        <v>113</v>
      </c>
      <c r="H5346" t="s">
        <v>113</v>
      </c>
      <c r="J5346">
        <v>0</v>
      </c>
      <c r="K5346">
        <v>2</v>
      </c>
      <c r="L5346">
        <v>83.757575759999995</v>
      </c>
      <c r="M5346">
        <v>22.60997987</v>
      </c>
      <c r="N5346">
        <v>0.72884000000000004</v>
      </c>
      <c r="O5346">
        <v>0.21301339999999999</v>
      </c>
      <c r="P5346">
        <v>83.757575759999995</v>
      </c>
      <c r="Q5346">
        <v>22.60997987</v>
      </c>
      <c r="R5346">
        <v>0.72884000000000004</v>
      </c>
      <c r="S5346">
        <v>0.21301339999999999</v>
      </c>
      <c r="T5346" t="s">
        <v>1041</v>
      </c>
      <c r="U5346">
        <v>0</v>
      </c>
    </row>
    <row r="5347" spans="1:21" x14ac:dyDescent="0.25">
      <c r="A5347" t="s">
        <v>28</v>
      </c>
      <c r="B5347" t="s">
        <v>931</v>
      </c>
      <c r="C5347">
        <v>15</v>
      </c>
      <c r="D5347" t="s">
        <v>29</v>
      </c>
      <c r="E5347" t="s">
        <v>94</v>
      </c>
      <c r="F5347" t="s">
        <v>113</v>
      </c>
      <c r="G5347" t="s">
        <v>113</v>
      </c>
      <c r="H5347" t="s">
        <v>113</v>
      </c>
      <c r="J5347">
        <v>0</v>
      </c>
      <c r="K5347">
        <v>2</v>
      </c>
      <c r="L5347">
        <v>83.757575759999995</v>
      </c>
      <c r="M5347">
        <v>22.60997987</v>
      </c>
      <c r="N5347">
        <v>0.72884000000000004</v>
      </c>
      <c r="O5347">
        <v>0.21301339999999999</v>
      </c>
      <c r="P5347">
        <v>83.757575759999995</v>
      </c>
      <c r="Q5347">
        <v>22.60997987</v>
      </c>
      <c r="R5347">
        <v>0.72884000000000004</v>
      </c>
      <c r="S5347">
        <v>0.21301339999999999</v>
      </c>
      <c r="T5347" t="s">
        <v>1041</v>
      </c>
      <c r="U5347">
        <v>0</v>
      </c>
    </row>
    <row r="5348" spans="1:21" x14ac:dyDescent="0.25">
      <c r="A5348" t="s">
        <v>28</v>
      </c>
      <c r="B5348" t="s">
        <v>931</v>
      </c>
      <c r="C5348">
        <v>16</v>
      </c>
      <c r="D5348" t="s">
        <v>29</v>
      </c>
      <c r="E5348" t="s">
        <v>94</v>
      </c>
      <c r="F5348" t="s">
        <v>113</v>
      </c>
      <c r="G5348" t="s">
        <v>113</v>
      </c>
      <c r="H5348" t="s">
        <v>248</v>
      </c>
      <c r="J5348">
        <v>0</v>
      </c>
      <c r="K5348">
        <v>12</v>
      </c>
      <c r="L5348">
        <v>83.757575759999995</v>
      </c>
      <c r="M5348">
        <v>22.60997987</v>
      </c>
      <c r="N5348">
        <v>0.72884000000000004</v>
      </c>
      <c r="O5348">
        <v>0.21301339999999999</v>
      </c>
      <c r="P5348">
        <v>83.92307692</v>
      </c>
      <c r="Q5348">
        <v>44.319135699999997</v>
      </c>
      <c r="R5348">
        <v>5.9548609999999997E-3</v>
      </c>
      <c r="S5348">
        <v>0.18017928</v>
      </c>
      <c r="T5348" t="s">
        <v>1041</v>
      </c>
      <c r="U5348">
        <v>3.2834119999999994E-2</v>
      </c>
    </row>
    <row r="5349" spans="1:21" x14ac:dyDescent="0.25">
      <c r="A5349" t="s">
        <v>28</v>
      </c>
      <c r="B5349" t="s">
        <v>931</v>
      </c>
      <c r="C5349">
        <v>16</v>
      </c>
      <c r="D5349" t="s">
        <v>29</v>
      </c>
      <c r="E5349" t="s">
        <v>94</v>
      </c>
      <c r="F5349" t="s">
        <v>113</v>
      </c>
      <c r="G5349" t="s">
        <v>113</v>
      </c>
      <c r="H5349" t="s">
        <v>248</v>
      </c>
      <c r="J5349">
        <v>0</v>
      </c>
      <c r="K5349">
        <v>12</v>
      </c>
      <c r="L5349">
        <v>83.757575759999995</v>
      </c>
      <c r="M5349">
        <v>22.60997987</v>
      </c>
      <c r="N5349">
        <v>0.72884000000000004</v>
      </c>
      <c r="O5349">
        <v>0.21301339999999999</v>
      </c>
      <c r="P5349">
        <v>83.92307692</v>
      </c>
      <c r="Q5349">
        <v>44.319135699999997</v>
      </c>
      <c r="R5349">
        <v>5.9548609999999997E-3</v>
      </c>
      <c r="S5349">
        <v>0.18017928</v>
      </c>
      <c r="T5349" t="s">
        <v>1041</v>
      </c>
      <c r="U5349">
        <v>3.2834119999999994E-2</v>
      </c>
    </row>
    <row r="5350" spans="1:21" x14ac:dyDescent="0.25">
      <c r="A5350" t="s">
        <v>28</v>
      </c>
      <c r="B5350" t="s">
        <v>931</v>
      </c>
      <c r="C5350">
        <v>16</v>
      </c>
      <c r="D5350" t="s">
        <v>29</v>
      </c>
      <c r="E5350" t="s">
        <v>94</v>
      </c>
      <c r="F5350" t="s">
        <v>113</v>
      </c>
      <c r="G5350" t="s">
        <v>113</v>
      </c>
      <c r="H5350" t="s">
        <v>248</v>
      </c>
      <c r="J5350">
        <v>0</v>
      </c>
      <c r="K5350">
        <v>12</v>
      </c>
      <c r="L5350">
        <v>83.757575759999995</v>
      </c>
      <c r="M5350">
        <v>22.60997987</v>
      </c>
      <c r="N5350">
        <v>0.72884000000000004</v>
      </c>
      <c r="O5350">
        <v>0.21301339999999999</v>
      </c>
      <c r="P5350">
        <v>83.92307692</v>
      </c>
      <c r="Q5350">
        <v>44.319135699999997</v>
      </c>
      <c r="R5350">
        <v>5.9548609999999997E-3</v>
      </c>
      <c r="S5350">
        <v>0.18017928</v>
      </c>
      <c r="T5350" t="s">
        <v>1041</v>
      </c>
      <c r="U5350">
        <v>3.2834119999999994E-2</v>
      </c>
    </row>
    <row r="5351" spans="1:21" x14ac:dyDescent="0.25">
      <c r="A5351" t="s">
        <v>28</v>
      </c>
      <c r="B5351" t="s">
        <v>931</v>
      </c>
      <c r="C5351">
        <v>16</v>
      </c>
      <c r="D5351" t="s">
        <v>29</v>
      </c>
      <c r="E5351" t="s">
        <v>94</v>
      </c>
      <c r="F5351" t="s">
        <v>113</v>
      </c>
      <c r="G5351" t="s">
        <v>113</v>
      </c>
      <c r="H5351" t="s">
        <v>248</v>
      </c>
      <c r="J5351">
        <v>0</v>
      </c>
      <c r="K5351">
        <v>12</v>
      </c>
      <c r="L5351">
        <v>83.757575759999995</v>
      </c>
      <c r="M5351">
        <v>22.60997987</v>
      </c>
      <c r="N5351">
        <v>0.72884000000000004</v>
      </c>
      <c r="O5351">
        <v>0.21301339999999999</v>
      </c>
      <c r="P5351">
        <v>83.92307692</v>
      </c>
      <c r="Q5351">
        <v>44.319135699999997</v>
      </c>
      <c r="R5351">
        <v>5.9548609999999997E-3</v>
      </c>
      <c r="S5351">
        <v>0.18017928</v>
      </c>
      <c r="T5351" t="s">
        <v>1041</v>
      </c>
      <c r="U5351">
        <v>3.2834119999999994E-2</v>
      </c>
    </row>
    <row r="5352" spans="1:21" x14ac:dyDescent="0.25">
      <c r="A5352" t="s">
        <v>28</v>
      </c>
      <c r="B5352" t="s">
        <v>931</v>
      </c>
      <c r="C5352">
        <v>16</v>
      </c>
      <c r="D5352" t="s">
        <v>29</v>
      </c>
      <c r="E5352" t="s">
        <v>94</v>
      </c>
      <c r="F5352" t="s">
        <v>113</v>
      </c>
      <c r="G5352" t="s">
        <v>113</v>
      </c>
      <c r="H5352" t="s">
        <v>248</v>
      </c>
      <c r="J5352">
        <v>0</v>
      </c>
      <c r="K5352">
        <v>12</v>
      </c>
      <c r="L5352">
        <v>83.757575759999995</v>
      </c>
      <c r="M5352">
        <v>22.60997987</v>
      </c>
      <c r="N5352">
        <v>0.72884000000000004</v>
      </c>
      <c r="O5352">
        <v>0.21301339999999999</v>
      </c>
      <c r="P5352">
        <v>83.92307692</v>
      </c>
      <c r="Q5352">
        <v>44.319135699999997</v>
      </c>
      <c r="R5352">
        <v>5.9548609999999997E-3</v>
      </c>
      <c r="S5352">
        <v>0.18017928</v>
      </c>
      <c r="T5352" t="s">
        <v>1041</v>
      </c>
      <c r="U5352">
        <v>3.2834119999999994E-2</v>
      </c>
    </row>
    <row r="5353" spans="1:21" x14ac:dyDescent="0.25">
      <c r="A5353" t="s">
        <v>28</v>
      </c>
      <c r="B5353" t="s">
        <v>931</v>
      </c>
      <c r="C5353">
        <v>16</v>
      </c>
      <c r="D5353" t="s">
        <v>29</v>
      </c>
      <c r="E5353" t="s">
        <v>94</v>
      </c>
      <c r="F5353" t="s">
        <v>113</v>
      </c>
      <c r="G5353" t="s">
        <v>113</v>
      </c>
      <c r="H5353" t="s">
        <v>248</v>
      </c>
      <c r="J5353">
        <v>0</v>
      </c>
      <c r="K5353">
        <v>12</v>
      </c>
      <c r="L5353">
        <v>83.757575759999995</v>
      </c>
      <c r="M5353">
        <v>22.60997987</v>
      </c>
      <c r="N5353">
        <v>0.72884000000000004</v>
      </c>
      <c r="O5353">
        <v>0.21301339999999999</v>
      </c>
      <c r="P5353">
        <v>83.92307692</v>
      </c>
      <c r="Q5353">
        <v>44.319135699999997</v>
      </c>
      <c r="R5353">
        <v>5.9548609999999997E-3</v>
      </c>
      <c r="S5353">
        <v>0.18017928</v>
      </c>
      <c r="T5353" t="s">
        <v>1041</v>
      </c>
      <c r="U5353">
        <v>3.2834119999999994E-2</v>
      </c>
    </row>
    <row r="5354" spans="1:21" x14ac:dyDescent="0.25">
      <c r="A5354" t="s">
        <v>28</v>
      </c>
      <c r="B5354" t="s">
        <v>931</v>
      </c>
      <c r="C5354">
        <v>16</v>
      </c>
      <c r="D5354" t="s">
        <v>29</v>
      </c>
      <c r="E5354" t="s">
        <v>94</v>
      </c>
      <c r="F5354" t="s">
        <v>113</v>
      </c>
      <c r="G5354" t="s">
        <v>113</v>
      </c>
      <c r="H5354" t="s">
        <v>248</v>
      </c>
      <c r="J5354">
        <v>0</v>
      </c>
      <c r="K5354">
        <v>12</v>
      </c>
      <c r="L5354">
        <v>83.757575759999995</v>
      </c>
      <c r="M5354">
        <v>22.60997987</v>
      </c>
      <c r="N5354">
        <v>0.72884000000000004</v>
      </c>
      <c r="O5354">
        <v>0.21301339999999999</v>
      </c>
      <c r="P5354">
        <v>83.92307692</v>
      </c>
      <c r="Q5354">
        <v>44.319135699999997</v>
      </c>
      <c r="R5354">
        <v>5.9548609999999997E-3</v>
      </c>
      <c r="S5354">
        <v>0.18017928</v>
      </c>
      <c r="T5354" t="s">
        <v>1041</v>
      </c>
      <c r="U5354">
        <v>3.2834119999999994E-2</v>
      </c>
    </row>
    <row r="5355" spans="1:21" x14ac:dyDescent="0.25">
      <c r="A5355" t="s">
        <v>28</v>
      </c>
      <c r="B5355" t="s">
        <v>931</v>
      </c>
      <c r="C5355">
        <v>16</v>
      </c>
      <c r="D5355" t="s">
        <v>29</v>
      </c>
      <c r="E5355" t="s">
        <v>94</v>
      </c>
      <c r="F5355" t="s">
        <v>113</v>
      </c>
      <c r="G5355" t="s">
        <v>113</v>
      </c>
      <c r="H5355" t="s">
        <v>248</v>
      </c>
      <c r="J5355">
        <v>0</v>
      </c>
      <c r="K5355">
        <v>12</v>
      </c>
      <c r="L5355">
        <v>83.757575759999995</v>
      </c>
      <c r="M5355">
        <v>22.60997987</v>
      </c>
      <c r="N5355">
        <v>0.72884000000000004</v>
      </c>
      <c r="O5355">
        <v>0.21301339999999999</v>
      </c>
      <c r="P5355">
        <v>83.92307692</v>
      </c>
      <c r="Q5355">
        <v>44.319135699999997</v>
      </c>
      <c r="R5355">
        <v>5.9548609999999997E-3</v>
      </c>
      <c r="S5355">
        <v>0.18017928</v>
      </c>
      <c r="T5355" t="s">
        <v>1041</v>
      </c>
      <c r="U5355">
        <v>3.2834119999999994E-2</v>
      </c>
    </row>
    <row r="5356" spans="1:21" x14ac:dyDescent="0.25">
      <c r="A5356" t="s">
        <v>28</v>
      </c>
      <c r="B5356" t="s">
        <v>931</v>
      </c>
      <c r="C5356">
        <v>16</v>
      </c>
      <c r="D5356" t="s">
        <v>29</v>
      </c>
      <c r="E5356" t="s">
        <v>94</v>
      </c>
      <c r="F5356" t="s">
        <v>113</v>
      </c>
      <c r="G5356" t="s">
        <v>113</v>
      </c>
      <c r="H5356" t="s">
        <v>248</v>
      </c>
      <c r="J5356">
        <v>0</v>
      </c>
      <c r="K5356">
        <v>12</v>
      </c>
      <c r="L5356">
        <v>83.757575759999995</v>
      </c>
      <c r="M5356">
        <v>22.60997987</v>
      </c>
      <c r="N5356">
        <v>0.72884000000000004</v>
      </c>
      <c r="O5356">
        <v>0.21301339999999999</v>
      </c>
      <c r="P5356">
        <v>83.92307692</v>
      </c>
      <c r="Q5356">
        <v>44.319135699999997</v>
      </c>
      <c r="R5356">
        <v>5.9548609999999997E-3</v>
      </c>
      <c r="S5356">
        <v>0.18017928</v>
      </c>
      <c r="T5356" t="s">
        <v>1041</v>
      </c>
      <c r="U5356">
        <v>3.2834119999999994E-2</v>
      </c>
    </row>
    <row r="5357" spans="1:21" x14ac:dyDescent="0.25">
      <c r="A5357" t="s">
        <v>28</v>
      </c>
      <c r="B5357" t="s">
        <v>931</v>
      </c>
      <c r="C5357">
        <v>16</v>
      </c>
      <c r="D5357" t="s">
        <v>29</v>
      </c>
      <c r="E5357" t="s">
        <v>94</v>
      </c>
      <c r="F5357" t="s">
        <v>113</v>
      </c>
      <c r="G5357" t="s">
        <v>113</v>
      </c>
      <c r="H5357" t="s">
        <v>248</v>
      </c>
      <c r="J5357">
        <v>0</v>
      </c>
      <c r="K5357">
        <v>12</v>
      </c>
      <c r="L5357">
        <v>83.757575759999995</v>
      </c>
      <c r="M5357">
        <v>22.60997987</v>
      </c>
      <c r="N5357">
        <v>0.72884000000000004</v>
      </c>
      <c r="O5357">
        <v>0.21301339999999999</v>
      </c>
      <c r="P5357">
        <v>83.92307692</v>
      </c>
      <c r="Q5357">
        <v>44.319135699999997</v>
      </c>
      <c r="R5357">
        <v>5.9548609999999997E-3</v>
      </c>
      <c r="S5357">
        <v>0.18017928</v>
      </c>
      <c r="T5357" t="s">
        <v>1041</v>
      </c>
      <c r="U5357">
        <v>3.2834119999999994E-2</v>
      </c>
    </row>
    <row r="5358" spans="1:21" x14ac:dyDescent="0.25">
      <c r="A5358" t="s">
        <v>28</v>
      </c>
      <c r="B5358" t="s">
        <v>931</v>
      </c>
      <c r="C5358">
        <v>16</v>
      </c>
      <c r="D5358" t="s">
        <v>29</v>
      </c>
      <c r="E5358" t="s">
        <v>94</v>
      </c>
      <c r="F5358" t="s">
        <v>113</v>
      </c>
      <c r="G5358" t="s">
        <v>113</v>
      </c>
      <c r="H5358" t="s">
        <v>248</v>
      </c>
      <c r="J5358">
        <v>0</v>
      </c>
      <c r="K5358">
        <v>12</v>
      </c>
      <c r="L5358">
        <v>83.757575759999995</v>
      </c>
      <c r="M5358">
        <v>22.60997987</v>
      </c>
      <c r="N5358">
        <v>0.72884000000000004</v>
      </c>
      <c r="O5358">
        <v>0.21301339999999999</v>
      </c>
      <c r="P5358">
        <v>83.92307692</v>
      </c>
      <c r="Q5358">
        <v>44.319135699999997</v>
      </c>
      <c r="R5358">
        <v>5.9548609999999997E-3</v>
      </c>
      <c r="S5358">
        <v>0.18017928</v>
      </c>
      <c r="T5358" t="s">
        <v>1041</v>
      </c>
      <c r="U5358">
        <v>3.2834119999999994E-2</v>
      </c>
    </row>
    <row r="5359" spans="1:21" x14ac:dyDescent="0.25">
      <c r="A5359" t="s">
        <v>28</v>
      </c>
      <c r="B5359" t="s">
        <v>931</v>
      </c>
      <c r="C5359">
        <v>16</v>
      </c>
      <c r="D5359" t="s">
        <v>29</v>
      </c>
      <c r="E5359" t="s">
        <v>94</v>
      </c>
      <c r="F5359" t="s">
        <v>113</v>
      </c>
      <c r="G5359" t="s">
        <v>113</v>
      </c>
      <c r="H5359" t="s">
        <v>248</v>
      </c>
      <c r="J5359">
        <v>0</v>
      </c>
      <c r="K5359">
        <v>12</v>
      </c>
      <c r="L5359">
        <v>83.757575759999995</v>
      </c>
      <c r="M5359">
        <v>22.60997987</v>
      </c>
      <c r="N5359">
        <v>0.72884000000000004</v>
      </c>
      <c r="O5359">
        <v>0.21301339999999999</v>
      </c>
      <c r="P5359">
        <v>83.92307692</v>
      </c>
      <c r="Q5359">
        <v>44.319135699999997</v>
      </c>
      <c r="R5359">
        <v>5.9548609999999997E-3</v>
      </c>
      <c r="S5359">
        <v>0.18017928</v>
      </c>
      <c r="T5359" t="s">
        <v>1041</v>
      </c>
      <c r="U5359">
        <v>3.2834119999999994E-2</v>
      </c>
    </row>
    <row r="5360" spans="1:21" x14ac:dyDescent="0.25">
      <c r="A5360" t="s">
        <v>28</v>
      </c>
      <c r="B5360" t="s">
        <v>931</v>
      </c>
      <c r="C5360">
        <v>17</v>
      </c>
      <c r="D5360" t="s">
        <v>29</v>
      </c>
      <c r="E5360" t="s">
        <v>94</v>
      </c>
      <c r="F5360" t="s">
        <v>113</v>
      </c>
      <c r="G5360" t="s">
        <v>113</v>
      </c>
      <c r="H5360" t="s">
        <v>247</v>
      </c>
      <c r="J5360">
        <v>0</v>
      </c>
      <c r="K5360">
        <v>1</v>
      </c>
      <c r="L5360">
        <v>83.757575759999995</v>
      </c>
      <c r="M5360">
        <v>22.60997987</v>
      </c>
      <c r="N5360">
        <v>0.72884000000000004</v>
      </c>
      <c r="O5360">
        <v>0.21301339999999999</v>
      </c>
      <c r="P5360">
        <v>65.791044779999993</v>
      </c>
      <c r="Q5360">
        <v>22.94519201</v>
      </c>
      <c r="R5360">
        <v>8.1320334999999994E-2</v>
      </c>
      <c r="S5360">
        <v>0.17285655</v>
      </c>
      <c r="T5360" t="s">
        <v>1041</v>
      </c>
      <c r="U5360">
        <v>4.0156849999999994E-2</v>
      </c>
    </row>
    <row r="5361" spans="1:21" x14ac:dyDescent="0.25">
      <c r="A5361" t="s">
        <v>28</v>
      </c>
      <c r="B5361" t="s">
        <v>931</v>
      </c>
      <c r="C5361">
        <v>18</v>
      </c>
      <c r="D5361" t="s">
        <v>29</v>
      </c>
      <c r="E5361" t="s">
        <v>94</v>
      </c>
      <c r="F5361" t="s">
        <v>113</v>
      </c>
      <c r="G5361" t="s">
        <v>113</v>
      </c>
      <c r="H5361" t="s">
        <v>239</v>
      </c>
      <c r="J5361">
        <v>0</v>
      </c>
      <c r="K5361">
        <v>1</v>
      </c>
      <c r="L5361">
        <v>83.757575759999995</v>
      </c>
      <c r="M5361">
        <v>22.60997987</v>
      </c>
      <c r="N5361">
        <v>0.72884000000000004</v>
      </c>
      <c r="O5361">
        <v>0.21301339999999999</v>
      </c>
      <c r="P5361">
        <v>100.45454549999999</v>
      </c>
      <c r="Q5361">
        <v>26.754810689999999</v>
      </c>
      <c r="R5361">
        <v>0.75829999999999997</v>
      </c>
      <c r="S5361">
        <v>0.40907861000000001</v>
      </c>
      <c r="T5361" t="s">
        <v>1041</v>
      </c>
      <c r="U5361">
        <v>0.19606521000000002</v>
      </c>
    </row>
    <row r="5362" spans="1:21" x14ac:dyDescent="0.25">
      <c r="A5362" t="s">
        <v>28</v>
      </c>
      <c r="B5362" t="s">
        <v>932</v>
      </c>
      <c r="C5362">
        <v>15</v>
      </c>
      <c r="D5362" t="s">
        <v>29</v>
      </c>
      <c r="E5362" t="s">
        <v>94</v>
      </c>
      <c r="F5362" t="s">
        <v>103</v>
      </c>
      <c r="G5362" t="s">
        <v>102</v>
      </c>
      <c r="H5362" t="s">
        <v>102</v>
      </c>
      <c r="J5362">
        <v>0</v>
      </c>
      <c r="K5362">
        <v>1</v>
      </c>
      <c r="L5362">
        <v>98.291666669999998</v>
      </c>
      <c r="M5362">
        <v>30.315130790000001</v>
      </c>
      <c r="N5362">
        <v>5.0803484000000003E-2</v>
      </c>
      <c r="O5362">
        <v>0.42866070000000001</v>
      </c>
      <c r="P5362">
        <v>84.740740740000007</v>
      </c>
      <c r="Q5362">
        <v>29.167014049999999</v>
      </c>
      <c r="R5362">
        <v>1.1169849999999999</v>
      </c>
      <c r="S5362">
        <v>1.1571499000000001</v>
      </c>
      <c r="T5362" t="s">
        <v>1041</v>
      </c>
      <c r="U5362">
        <v>0.72848920000000006</v>
      </c>
    </row>
    <row r="5363" spans="1:21" x14ac:dyDescent="0.25">
      <c r="A5363" t="s">
        <v>28</v>
      </c>
      <c r="B5363" t="s">
        <v>932</v>
      </c>
      <c r="C5363">
        <v>16</v>
      </c>
      <c r="D5363" t="s">
        <v>29</v>
      </c>
      <c r="E5363" t="s">
        <v>94</v>
      </c>
      <c r="F5363" t="s">
        <v>103</v>
      </c>
      <c r="G5363" t="s">
        <v>102</v>
      </c>
      <c r="H5363" t="s">
        <v>103</v>
      </c>
      <c r="J5363">
        <v>0</v>
      </c>
      <c r="K5363">
        <v>2</v>
      </c>
      <c r="L5363">
        <v>98.291666669999998</v>
      </c>
      <c r="M5363">
        <v>30.315130790000001</v>
      </c>
      <c r="N5363">
        <v>5.0803484000000003E-2</v>
      </c>
      <c r="O5363">
        <v>0.42866070000000001</v>
      </c>
      <c r="P5363">
        <v>98.291666669999998</v>
      </c>
      <c r="Q5363">
        <v>30.315130790000001</v>
      </c>
      <c r="R5363">
        <v>5.0803484000000003E-2</v>
      </c>
      <c r="S5363">
        <v>0.42866070000000001</v>
      </c>
      <c r="T5363" t="s">
        <v>1041</v>
      </c>
      <c r="U5363">
        <v>0</v>
      </c>
    </row>
    <row r="5364" spans="1:21" x14ac:dyDescent="0.25">
      <c r="A5364" t="s">
        <v>28</v>
      </c>
      <c r="B5364" t="s">
        <v>932</v>
      </c>
      <c r="C5364">
        <v>16</v>
      </c>
      <c r="D5364" t="s">
        <v>29</v>
      </c>
      <c r="E5364" t="s">
        <v>94</v>
      </c>
      <c r="F5364" t="s">
        <v>103</v>
      </c>
      <c r="G5364" t="s">
        <v>102</v>
      </c>
      <c r="H5364" t="s">
        <v>103</v>
      </c>
      <c r="J5364">
        <v>0</v>
      </c>
      <c r="K5364">
        <v>2</v>
      </c>
      <c r="L5364">
        <v>98.291666669999998</v>
      </c>
      <c r="M5364">
        <v>30.315130790000001</v>
      </c>
      <c r="N5364">
        <v>5.0803484000000003E-2</v>
      </c>
      <c r="O5364">
        <v>0.42866070000000001</v>
      </c>
      <c r="P5364">
        <v>98.291666669999998</v>
      </c>
      <c r="Q5364">
        <v>30.315130790000001</v>
      </c>
      <c r="R5364">
        <v>5.0803484000000003E-2</v>
      </c>
      <c r="S5364">
        <v>0.42866070000000001</v>
      </c>
      <c r="T5364" t="s">
        <v>1041</v>
      </c>
      <c r="U5364">
        <v>0</v>
      </c>
    </row>
    <row r="5365" spans="1:21" x14ac:dyDescent="0.25">
      <c r="A5365" t="s">
        <v>28</v>
      </c>
      <c r="B5365" t="s">
        <v>933</v>
      </c>
      <c r="C5365">
        <v>15</v>
      </c>
      <c r="D5365" t="s">
        <v>29</v>
      </c>
      <c r="E5365" t="s">
        <v>94</v>
      </c>
      <c r="F5365" t="s">
        <v>111</v>
      </c>
      <c r="G5365" t="s">
        <v>121</v>
      </c>
      <c r="H5365" t="s">
        <v>247</v>
      </c>
      <c r="J5365">
        <v>0</v>
      </c>
      <c r="K5365">
        <v>1</v>
      </c>
      <c r="L5365">
        <v>94.97142857</v>
      </c>
      <c r="M5365">
        <v>24.31591813</v>
      </c>
      <c r="N5365">
        <v>0.122951111</v>
      </c>
      <c r="O5365">
        <v>0.39050790000000002</v>
      </c>
      <c r="P5365">
        <v>65.791044779999993</v>
      </c>
      <c r="Q5365">
        <v>22.94519201</v>
      </c>
      <c r="R5365">
        <v>8.1320334999999994E-2</v>
      </c>
      <c r="S5365">
        <v>0.17285655</v>
      </c>
      <c r="T5365" t="s">
        <v>1041</v>
      </c>
      <c r="U5365">
        <v>0.21765135000000002</v>
      </c>
    </row>
    <row r="5366" spans="1:21" x14ac:dyDescent="0.25">
      <c r="A5366" t="s">
        <v>28</v>
      </c>
      <c r="B5366" t="s">
        <v>933</v>
      </c>
      <c r="C5366">
        <v>16</v>
      </c>
      <c r="D5366" t="s">
        <v>29</v>
      </c>
      <c r="E5366" t="s">
        <v>94</v>
      </c>
      <c r="F5366" t="s">
        <v>111</v>
      </c>
      <c r="G5366" t="s">
        <v>121</v>
      </c>
      <c r="H5366" t="s">
        <v>113</v>
      </c>
      <c r="J5366">
        <v>0</v>
      </c>
      <c r="K5366">
        <v>3</v>
      </c>
      <c r="L5366">
        <v>94.97142857</v>
      </c>
      <c r="M5366">
        <v>24.31591813</v>
      </c>
      <c r="N5366">
        <v>0.122951111</v>
      </c>
      <c r="O5366">
        <v>0.39050790000000002</v>
      </c>
      <c r="P5366">
        <v>83.757575759999995</v>
      </c>
      <c r="Q5366">
        <v>22.60997987</v>
      </c>
      <c r="R5366">
        <v>0.72884000000000004</v>
      </c>
      <c r="S5366">
        <v>0.21301339999999999</v>
      </c>
      <c r="T5366" t="s">
        <v>1041</v>
      </c>
      <c r="U5366">
        <v>0.17749450000000003</v>
      </c>
    </row>
    <row r="5367" spans="1:21" x14ac:dyDescent="0.25">
      <c r="A5367" t="s">
        <v>28</v>
      </c>
      <c r="B5367" t="s">
        <v>933</v>
      </c>
      <c r="C5367">
        <v>16</v>
      </c>
      <c r="D5367" t="s">
        <v>29</v>
      </c>
      <c r="E5367" t="s">
        <v>94</v>
      </c>
      <c r="F5367" t="s">
        <v>111</v>
      </c>
      <c r="G5367" t="s">
        <v>121</v>
      </c>
      <c r="H5367" t="s">
        <v>113</v>
      </c>
      <c r="J5367">
        <v>0</v>
      </c>
      <c r="K5367">
        <v>3</v>
      </c>
      <c r="L5367">
        <v>94.97142857</v>
      </c>
      <c r="M5367">
        <v>24.31591813</v>
      </c>
      <c r="N5367">
        <v>0.122951111</v>
      </c>
      <c r="O5367">
        <v>0.39050790000000002</v>
      </c>
      <c r="P5367">
        <v>83.757575759999995</v>
      </c>
      <c r="Q5367">
        <v>22.60997987</v>
      </c>
      <c r="R5367">
        <v>0.72884000000000004</v>
      </c>
      <c r="S5367">
        <v>0.21301339999999999</v>
      </c>
      <c r="T5367" t="s">
        <v>1041</v>
      </c>
      <c r="U5367">
        <v>0.17749450000000003</v>
      </c>
    </row>
    <row r="5368" spans="1:21" x14ac:dyDescent="0.25">
      <c r="A5368" t="s">
        <v>28</v>
      </c>
      <c r="B5368" t="s">
        <v>933</v>
      </c>
      <c r="C5368">
        <v>16</v>
      </c>
      <c r="D5368" t="s">
        <v>29</v>
      </c>
      <c r="E5368" t="s">
        <v>94</v>
      </c>
      <c r="F5368" t="s">
        <v>111</v>
      </c>
      <c r="G5368" t="s">
        <v>121</v>
      </c>
      <c r="H5368" t="s">
        <v>113</v>
      </c>
      <c r="J5368">
        <v>0</v>
      </c>
      <c r="K5368">
        <v>3</v>
      </c>
      <c r="L5368">
        <v>94.97142857</v>
      </c>
      <c r="M5368">
        <v>24.31591813</v>
      </c>
      <c r="N5368">
        <v>0.122951111</v>
      </c>
      <c r="O5368">
        <v>0.39050790000000002</v>
      </c>
      <c r="P5368">
        <v>83.757575759999995</v>
      </c>
      <c r="Q5368">
        <v>22.60997987</v>
      </c>
      <c r="R5368">
        <v>0.72884000000000004</v>
      </c>
      <c r="S5368">
        <v>0.21301339999999999</v>
      </c>
      <c r="T5368" t="s">
        <v>1041</v>
      </c>
      <c r="U5368">
        <v>0.17749450000000003</v>
      </c>
    </row>
    <row r="5369" spans="1:21" x14ac:dyDescent="0.25">
      <c r="A5369" t="s">
        <v>28</v>
      </c>
      <c r="B5369" t="s">
        <v>933</v>
      </c>
      <c r="C5369">
        <v>17</v>
      </c>
      <c r="D5369" t="s">
        <v>29</v>
      </c>
      <c r="E5369" t="s">
        <v>94</v>
      </c>
      <c r="F5369" t="s">
        <v>111</v>
      </c>
      <c r="G5369" t="s">
        <v>121</v>
      </c>
      <c r="H5369" t="s">
        <v>248</v>
      </c>
      <c r="J5369">
        <v>0</v>
      </c>
      <c r="K5369">
        <v>1</v>
      </c>
      <c r="L5369">
        <v>94.97142857</v>
      </c>
      <c r="M5369">
        <v>24.31591813</v>
      </c>
      <c r="N5369">
        <v>0.122951111</v>
      </c>
      <c r="O5369">
        <v>0.39050790000000002</v>
      </c>
      <c r="P5369">
        <v>83.92307692</v>
      </c>
      <c r="Q5369">
        <v>44.319135699999997</v>
      </c>
      <c r="R5369">
        <v>5.9548609999999997E-3</v>
      </c>
      <c r="S5369">
        <v>0.18017928</v>
      </c>
      <c r="T5369" t="s">
        <v>1041</v>
      </c>
      <c r="U5369">
        <v>0.21032862000000002</v>
      </c>
    </row>
    <row r="5370" spans="1:21" x14ac:dyDescent="0.25">
      <c r="A5370" t="s">
        <v>28</v>
      </c>
      <c r="B5370" t="s">
        <v>934</v>
      </c>
      <c r="C5370">
        <v>15</v>
      </c>
      <c r="D5370" t="s">
        <v>29</v>
      </c>
      <c r="E5370" t="s">
        <v>94</v>
      </c>
      <c r="F5370" t="s">
        <v>112</v>
      </c>
      <c r="G5370" t="s">
        <v>121</v>
      </c>
      <c r="H5370" t="s">
        <v>103</v>
      </c>
      <c r="J5370">
        <v>0</v>
      </c>
      <c r="K5370">
        <v>4</v>
      </c>
      <c r="L5370">
        <v>65.09375</v>
      </c>
      <c r="M5370">
        <v>37.895352600000002</v>
      </c>
      <c r="N5370">
        <v>2.2882677779999998</v>
      </c>
      <c r="O5370">
        <v>2.2111774</v>
      </c>
      <c r="P5370">
        <v>98.291666669999998</v>
      </c>
      <c r="Q5370">
        <v>30.315130790000001</v>
      </c>
      <c r="R5370">
        <v>5.0803484000000003E-2</v>
      </c>
      <c r="S5370">
        <v>0.42866070000000001</v>
      </c>
      <c r="T5370" t="s">
        <v>1041</v>
      </c>
      <c r="U5370">
        <v>1.7825167</v>
      </c>
    </row>
    <row r="5371" spans="1:21" x14ac:dyDescent="0.25">
      <c r="A5371" t="s">
        <v>28</v>
      </c>
      <c r="B5371" t="s">
        <v>934</v>
      </c>
      <c r="C5371">
        <v>15</v>
      </c>
      <c r="D5371" t="s">
        <v>29</v>
      </c>
      <c r="E5371" t="s">
        <v>94</v>
      </c>
      <c r="F5371" t="s">
        <v>112</v>
      </c>
      <c r="G5371" t="s">
        <v>121</v>
      </c>
      <c r="H5371" t="s">
        <v>103</v>
      </c>
      <c r="J5371">
        <v>0</v>
      </c>
      <c r="K5371">
        <v>4</v>
      </c>
      <c r="L5371">
        <v>65.09375</v>
      </c>
      <c r="M5371">
        <v>37.895352600000002</v>
      </c>
      <c r="N5371">
        <v>2.2882677779999998</v>
      </c>
      <c r="O5371">
        <v>2.2111774</v>
      </c>
      <c r="P5371">
        <v>98.291666669999998</v>
      </c>
      <c r="Q5371">
        <v>30.315130790000001</v>
      </c>
      <c r="R5371">
        <v>5.0803484000000003E-2</v>
      </c>
      <c r="S5371">
        <v>0.42866070000000001</v>
      </c>
      <c r="T5371" t="s">
        <v>1041</v>
      </c>
      <c r="U5371">
        <v>1.7825167</v>
      </c>
    </row>
    <row r="5372" spans="1:21" x14ac:dyDescent="0.25">
      <c r="A5372" t="s">
        <v>28</v>
      </c>
      <c r="B5372" t="s">
        <v>934</v>
      </c>
      <c r="C5372">
        <v>15</v>
      </c>
      <c r="D5372" t="s">
        <v>29</v>
      </c>
      <c r="E5372" t="s">
        <v>94</v>
      </c>
      <c r="F5372" t="s">
        <v>112</v>
      </c>
      <c r="G5372" t="s">
        <v>121</v>
      </c>
      <c r="H5372" t="s">
        <v>103</v>
      </c>
      <c r="J5372">
        <v>0</v>
      </c>
      <c r="K5372">
        <v>4</v>
      </c>
      <c r="L5372">
        <v>65.09375</v>
      </c>
      <c r="M5372">
        <v>37.895352600000002</v>
      </c>
      <c r="N5372">
        <v>2.2882677779999998</v>
      </c>
      <c r="O5372">
        <v>2.2111774</v>
      </c>
      <c r="P5372">
        <v>98.291666669999998</v>
      </c>
      <c r="Q5372">
        <v>30.315130790000001</v>
      </c>
      <c r="R5372">
        <v>5.0803484000000003E-2</v>
      </c>
      <c r="S5372">
        <v>0.42866070000000001</v>
      </c>
      <c r="T5372" t="s">
        <v>1041</v>
      </c>
      <c r="U5372">
        <v>1.7825167</v>
      </c>
    </row>
    <row r="5373" spans="1:21" x14ac:dyDescent="0.25">
      <c r="A5373" t="s">
        <v>28</v>
      </c>
      <c r="B5373" t="s">
        <v>934</v>
      </c>
      <c r="C5373">
        <v>15</v>
      </c>
      <c r="D5373" t="s">
        <v>29</v>
      </c>
      <c r="E5373" t="s">
        <v>94</v>
      </c>
      <c r="F5373" t="s">
        <v>112</v>
      </c>
      <c r="G5373" t="s">
        <v>121</v>
      </c>
      <c r="H5373" t="s">
        <v>103</v>
      </c>
      <c r="J5373">
        <v>0</v>
      </c>
      <c r="K5373">
        <v>4</v>
      </c>
      <c r="L5373">
        <v>65.09375</v>
      </c>
      <c r="M5373">
        <v>37.895352600000002</v>
      </c>
      <c r="N5373">
        <v>2.2882677779999998</v>
      </c>
      <c r="O5373">
        <v>2.2111774</v>
      </c>
      <c r="P5373">
        <v>98.291666669999998</v>
      </c>
      <c r="Q5373">
        <v>30.315130790000001</v>
      </c>
      <c r="R5373">
        <v>5.0803484000000003E-2</v>
      </c>
      <c r="S5373">
        <v>0.42866070000000001</v>
      </c>
      <c r="T5373" t="s">
        <v>1041</v>
      </c>
      <c r="U5373">
        <v>1.7825167</v>
      </c>
    </row>
    <row r="5374" spans="1:21" x14ac:dyDescent="0.25">
      <c r="A5374" t="s">
        <v>28</v>
      </c>
      <c r="B5374" t="s">
        <v>934</v>
      </c>
      <c r="C5374">
        <v>16</v>
      </c>
      <c r="D5374" t="s">
        <v>29</v>
      </c>
      <c r="E5374" t="s">
        <v>94</v>
      </c>
      <c r="F5374" t="s">
        <v>112</v>
      </c>
      <c r="G5374" t="s">
        <v>121</v>
      </c>
      <c r="H5374" t="s">
        <v>113</v>
      </c>
      <c r="J5374">
        <v>0</v>
      </c>
      <c r="K5374">
        <v>6</v>
      </c>
      <c r="L5374">
        <v>65.09375</v>
      </c>
      <c r="M5374">
        <v>37.895352600000002</v>
      </c>
      <c r="N5374">
        <v>2.2882677779999998</v>
      </c>
      <c r="O5374">
        <v>2.2111774</v>
      </c>
      <c r="P5374">
        <v>83.757575759999995</v>
      </c>
      <c r="Q5374">
        <v>22.60997987</v>
      </c>
      <c r="R5374">
        <v>0.72884000000000004</v>
      </c>
      <c r="S5374">
        <v>0.21301339999999999</v>
      </c>
      <c r="T5374" t="s">
        <v>1041</v>
      </c>
      <c r="U5374">
        <v>1.9981640000000001</v>
      </c>
    </row>
    <row r="5375" spans="1:21" x14ac:dyDescent="0.25">
      <c r="A5375" t="s">
        <v>28</v>
      </c>
      <c r="B5375" t="s">
        <v>934</v>
      </c>
      <c r="C5375">
        <v>16</v>
      </c>
      <c r="D5375" t="s">
        <v>29</v>
      </c>
      <c r="E5375" t="s">
        <v>94</v>
      </c>
      <c r="F5375" t="s">
        <v>112</v>
      </c>
      <c r="G5375" t="s">
        <v>121</v>
      </c>
      <c r="H5375" t="s">
        <v>113</v>
      </c>
      <c r="J5375">
        <v>0</v>
      </c>
      <c r="K5375">
        <v>6</v>
      </c>
      <c r="L5375">
        <v>65.09375</v>
      </c>
      <c r="M5375">
        <v>37.895352600000002</v>
      </c>
      <c r="N5375">
        <v>2.2882677779999998</v>
      </c>
      <c r="O5375">
        <v>2.2111774</v>
      </c>
      <c r="P5375">
        <v>83.757575759999995</v>
      </c>
      <c r="Q5375">
        <v>22.60997987</v>
      </c>
      <c r="R5375">
        <v>0.72884000000000004</v>
      </c>
      <c r="S5375">
        <v>0.21301339999999999</v>
      </c>
      <c r="T5375" t="s">
        <v>1041</v>
      </c>
      <c r="U5375">
        <v>1.9981640000000001</v>
      </c>
    </row>
    <row r="5376" spans="1:21" x14ac:dyDescent="0.25">
      <c r="A5376" t="s">
        <v>28</v>
      </c>
      <c r="B5376" t="s">
        <v>934</v>
      </c>
      <c r="C5376">
        <v>16</v>
      </c>
      <c r="D5376" t="s">
        <v>29</v>
      </c>
      <c r="E5376" t="s">
        <v>94</v>
      </c>
      <c r="F5376" t="s">
        <v>112</v>
      </c>
      <c r="G5376" t="s">
        <v>121</v>
      </c>
      <c r="H5376" t="s">
        <v>113</v>
      </c>
      <c r="J5376">
        <v>0</v>
      </c>
      <c r="K5376">
        <v>6</v>
      </c>
      <c r="L5376">
        <v>65.09375</v>
      </c>
      <c r="M5376">
        <v>37.895352600000002</v>
      </c>
      <c r="N5376">
        <v>2.2882677779999998</v>
      </c>
      <c r="O5376">
        <v>2.2111774</v>
      </c>
      <c r="P5376">
        <v>83.757575759999995</v>
      </c>
      <c r="Q5376">
        <v>22.60997987</v>
      </c>
      <c r="R5376">
        <v>0.72884000000000004</v>
      </c>
      <c r="S5376">
        <v>0.21301339999999999</v>
      </c>
      <c r="T5376" t="s">
        <v>1041</v>
      </c>
      <c r="U5376">
        <v>1.9981640000000001</v>
      </c>
    </row>
    <row r="5377" spans="1:21" x14ac:dyDescent="0.25">
      <c r="A5377" t="s">
        <v>28</v>
      </c>
      <c r="B5377" t="s">
        <v>934</v>
      </c>
      <c r="C5377">
        <v>16</v>
      </c>
      <c r="D5377" t="s">
        <v>29</v>
      </c>
      <c r="E5377" t="s">
        <v>94</v>
      </c>
      <c r="F5377" t="s">
        <v>112</v>
      </c>
      <c r="G5377" t="s">
        <v>121</v>
      </c>
      <c r="H5377" t="s">
        <v>113</v>
      </c>
      <c r="J5377">
        <v>0</v>
      </c>
      <c r="K5377">
        <v>6</v>
      </c>
      <c r="L5377">
        <v>65.09375</v>
      </c>
      <c r="M5377">
        <v>37.895352600000002</v>
      </c>
      <c r="N5377">
        <v>2.2882677779999998</v>
      </c>
      <c r="O5377">
        <v>2.2111774</v>
      </c>
      <c r="P5377">
        <v>83.757575759999995</v>
      </c>
      <c r="Q5377">
        <v>22.60997987</v>
      </c>
      <c r="R5377">
        <v>0.72884000000000004</v>
      </c>
      <c r="S5377">
        <v>0.21301339999999999</v>
      </c>
      <c r="T5377" t="s">
        <v>1041</v>
      </c>
      <c r="U5377">
        <v>1.9981640000000001</v>
      </c>
    </row>
    <row r="5378" spans="1:21" x14ac:dyDescent="0.25">
      <c r="A5378" t="s">
        <v>28</v>
      </c>
      <c r="B5378" t="s">
        <v>934</v>
      </c>
      <c r="C5378">
        <v>16</v>
      </c>
      <c r="D5378" t="s">
        <v>29</v>
      </c>
      <c r="E5378" t="s">
        <v>94</v>
      </c>
      <c r="F5378" t="s">
        <v>112</v>
      </c>
      <c r="G5378" t="s">
        <v>121</v>
      </c>
      <c r="H5378" t="s">
        <v>113</v>
      </c>
      <c r="J5378">
        <v>0</v>
      </c>
      <c r="K5378">
        <v>6</v>
      </c>
      <c r="L5378">
        <v>65.09375</v>
      </c>
      <c r="M5378">
        <v>37.895352600000002</v>
      </c>
      <c r="N5378">
        <v>2.2882677779999998</v>
      </c>
      <c r="O5378">
        <v>2.2111774</v>
      </c>
      <c r="P5378">
        <v>83.757575759999995</v>
      </c>
      <c r="Q5378">
        <v>22.60997987</v>
      </c>
      <c r="R5378">
        <v>0.72884000000000004</v>
      </c>
      <c r="S5378">
        <v>0.21301339999999999</v>
      </c>
      <c r="T5378" t="s">
        <v>1041</v>
      </c>
      <c r="U5378">
        <v>1.9981640000000001</v>
      </c>
    </row>
    <row r="5379" spans="1:21" x14ac:dyDescent="0.25">
      <c r="A5379" t="s">
        <v>28</v>
      </c>
      <c r="B5379" t="s">
        <v>934</v>
      </c>
      <c r="C5379">
        <v>16</v>
      </c>
      <c r="D5379" t="s">
        <v>29</v>
      </c>
      <c r="E5379" t="s">
        <v>94</v>
      </c>
      <c r="F5379" t="s">
        <v>112</v>
      </c>
      <c r="G5379" t="s">
        <v>121</v>
      </c>
      <c r="H5379" t="s">
        <v>113</v>
      </c>
      <c r="J5379">
        <v>0</v>
      </c>
      <c r="K5379">
        <v>6</v>
      </c>
      <c r="L5379">
        <v>65.09375</v>
      </c>
      <c r="M5379">
        <v>37.895352600000002</v>
      </c>
      <c r="N5379">
        <v>2.2882677779999998</v>
      </c>
      <c r="O5379">
        <v>2.2111774</v>
      </c>
      <c r="P5379">
        <v>83.757575759999995</v>
      </c>
      <c r="Q5379">
        <v>22.60997987</v>
      </c>
      <c r="R5379">
        <v>0.72884000000000004</v>
      </c>
      <c r="S5379">
        <v>0.21301339999999999</v>
      </c>
      <c r="T5379" t="s">
        <v>1041</v>
      </c>
      <c r="U5379">
        <v>1.9981640000000001</v>
      </c>
    </row>
    <row r="5380" spans="1:21" x14ac:dyDescent="0.25">
      <c r="A5380" t="s">
        <v>28</v>
      </c>
      <c r="B5380" t="s">
        <v>934</v>
      </c>
      <c r="C5380">
        <v>17</v>
      </c>
      <c r="D5380" t="s">
        <v>29</v>
      </c>
      <c r="E5380" t="s">
        <v>94</v>
      </c>
      <c r="F5380" t="s">
        <v>112</v>
      </c>
      <c r="G5380" t="s">
        <v>121</v>
      </c>
      <c r="H5380" t="s">
        <v>248</v>
      </c>
      <c r="J5380">
        <v>0</v>
      </c>
      <c r="K5380">
        <v>3</v>
      </c>
      <c r="L5380">
        <v>65.09375</v>
      </c>
      <c r="M5380">
        <v>37.895352600000002</v>
      </c>
      <c r="N5380">
        <v>2.2882677779999998</v>
      </c>
      <c r="O5380">
        <v>2.2111774</v>
      </c>
      <c r="P5380">
        <v>83.92307692</v>
      </c>
      <c r="Q5380">
        <v>44.319135699999997</v>
      </c>
      <c r="R5380">
        <v>5.9548609999999997E-3</v>
      </c>
      <c r="S5380">
        <v>0.18017928</v>
      </c>
      <c r="T5380" t="s">
        <v>1041</v>
      </c>
      <c r="U5380">
        <v>2.03099812</v>
      </c>
    </row>
    <row r="5381" spans="1:21" x14ac:dyDescent="0.25">
      <c r="A5381" t="s">
        <v>28</v>
      </c>
      <c r="B5381" t="s">
        <v>934</v>
      </c>
      <c r="C5381">
        <v>17</v>
      </c>
      <c r="D5381" t="s">
        <v>29</v>
      </c>
      <c r="E5381" t="s">
        <v>94</v>
      </c>
      <c r="F5381" t="s">
        <v>112</v>
      </c>
      <c r="G5381" t="s">
        <v>121</v>
      </c>
      <c r="H5381" t="s">
        <v>248</v>
      </c>
      <c r="J5381">
        <v>0</v>
      </c>
      <c r="K5381">
        <v>3</v>
      </c>
      <c r="L5381">
        <v>65.09375</v>
      </c>
      <c r="M5381">
        <v>37.895352600000002</v>
      </c>
      <c r="N5381">
        <v>2.2882677779999998</v>
      </c>
      <c r="O5381">
        <v>2.2111774</v>
      </c>
      <c r="P5381">
        <v>83.92307692</v>
      </c>
      <c r="Q5381">
        <v>44.319135699999997</v>
      </c>
      <c r="R5381">
        <v>5.9548609999999997E-3</v>
      </c>
      <c r="S5381">
        <v>0.18017928</v>
      </c>
      <c r="T5381" t="s">
        <v>1041</v>
      </c>
      <c r="U5381">
        <v>2.03099812</v>
      </c>
    </row>
    <row r="5382" spans="1:21" x14ac:dyDescent="0.25">
      <c r="A5382" t="s">
        <v>28</v>
      </c>
      <c r="B5382" t="s">
        <v>934</v>
      </c>
      <c r="C5382">
        <v>17</v>
      </c>
      <c r="D5382" t="s">
        <v>29</v>
      </c>
      <c r="E5382" t="s">
        <v>94</v>
      </c>
      <c r="F5382" t="s">
        <v>112</v>
      </c>
      <c r="G5382" t="s">
        <v>121</v>
      </c>
      <c r="H5382" t="s">
        <v>248</v>
      </c>
      <c r="J5382">
        <v>0</v>
      </c>
      <c r="K5382">
        <v>3</v>
      </c>
      <c r="L5382">
        <v>65.09375</v>
      </c>
      <c r="M5382">
        <v>37.895352600000002</v>
      </c>
      <c r="N5382">
        <v>2.2882677779999998</v>
      </c>
      <c r="O5382">
        <v>2.2111774</v>
      </c>
      <c r="P5382">
        <v>83.92307692</v>
      </c>
      <c r="Q5382">
        <v>44.319135699999997</v>
      </c>
      <c r="R5382">
        <v>5.9548609999999997E-3</v>
      </c>
      <c r="S5382">
        <v>0.18017928</v>
      </c>
      <c r="T5382" t="s">
        <v>1041</v>
      </c>
      <c r="U5382">
        <v>2.03099812</v>
      </c>
    </row>
    <row r="5383" spans="1:21" x14ac:dyDescent="0.25">
      <c r="A5383" t="s">
        <v>30</v>
      </c>
      <c r="B5383" t="s">
        <v>935</v>
      </c>
      <c r="C5383">
        <v>15</v>
      </c>
      <c r="D5383" t="s">
        <v>31</v>
      </c>
      <c r="E5383" t="s">
        <v>95</v>
      </c>
      <c r="F5383" t="s">
        <v>113</v>
      </c>
      <c r="G5383" t="s">
        <v>121</v>
      </c>
      <c r="H5383" t="s">
        <v>113</v>
      </c>
      <c r="J5383">
        <v>0</v>
      </c>
      <c r="K5383">
        <v>1</v>
      </c>
      <c r="L5383">
        <v>83.757575759999995</v>
      </c>
      <c r="M5383">
        <v>22.60997987</v>
      </c>
      <c r="N5383">
        <v>0.72884000000000004</v>
      </c>
      <c r="O5383">
        <v>0.21301339999999999</v>
      </c>
      <c r="P5383">
        <v>83.757575759999995</v>
      </c>
      <c r="Q5383">
        <v>22.60997987</v>
      </c>
      <c r="R5383">
        <v>0.72884000000000004</v>
      </c>
      <c r="S5383">
        <v>0.21301339999999999</v>
      </c>
      <c r="T5383" t="s">
        <v>1041</v>
      </c>
      <c r="U5383">
        <v>0</v>
      </c>
    </row>
    <row r="5384" spans="1:21" x14ac:dyDescent="0.25">
      <c r="A5384" t="s">
        <v>30</v>
      </c>
      <c r="B5384" t="s">
        <v>935</v>
      </c>
      <c r="C5384">
        <v>16</v>
      </c>
      <c r="D5384" t="s">
        <v>31</v>
      </c>
      <c r="E5384" t="s">
        <v>95</v>
      </c>
      <c r="F5384" t="s">
        <v>113</v>
      </c>
      <c r="G5384" t="s">
        <v>121</v>
      </c>
      <c r="H5384" t="s">
        <v>103</v>
      </c>
      <c r="J5384">
        <v>0</v>
      </c>
      <c r="K5384">
        <v>2</v>
      </c>
      <c r="L5384">
        <v>83.757575759999995</v>
      </c>
      <c r="M5384">
        <v>22.60997987</v>
      </c>
      <c r="N5384">
        <v>0.72884000000000004</v>
      </c>
      <c r="O5384">
        <v>0.21301339999999999</v>
      </c>
      <c r="P5384">
        <v>98.291666669999998</v>
      </c>
      <c r="Q5384">
        <v>30.315130790000001</v>
      </c>
      <c r="R5384">
        <v>5.0803484000000003E-2</v>
      </c>
      <c r="S5384">
        <v>0.42866070000000001</v>
      </c>
      <c r="T5384" t="s">
        <v>1041</v>
      </c>
      <c r="U5384">
        <v>0.21564730000000001</v>
      </c>
    </row>
    <row r="5385" spans="1:21" x14ac:dyDescent="0.25">
      <c r="A5385" t="s">
        <v>30</v>
      </c>
      <c r="B5385" t="s">
        <v>935</v>
      </c>
      <c r="C5385">
        <v>16</v>
      </c>
      <c r="D5385" t="s">
        <v>31</v>
      </c>
      <c r="E5385" t="s">
        <v>95</v>
      </c>
      <c r="F5385" t="s">
        <v>113</v>
      </c>
      <c r="G5385" t="s">
        <v>121</v>
      </c>
      <c r="H5385" t="s">
        <v>103</v>
      </c>
      <c r="J5385">
        <v>0</v>
      </c>
      <c r="K5385">
        <v>2</v>
      </c>
      <c r="L5385">
        <v>83.757575759999995</v>
      </c>
      <c r="M5385">
        <v>22.60997987</v>
      </c>
      <c r="N5385">
        <v>0.72884000000000004</v>
      </c>
      <c r="O5385">
        <v>0.21301339999999999</v>
      </c>
      <c r="P5385">
        <v>98.291666669999998</v>
      </c>
      <c r="Q5385">
        <v>30.315130790000001</v>
      </c>
      <c r="R5385">
        <v>5.0803484000000003E-2</v>
      </c>
      <c r="S5385">
        <v>0.42866070000000001</v>
      </c>
      <c r="T5385" t="s">
        <v>1041</v>
      </c>
      <c r="U5385">
        <v>0.21564730000000001</v>
      </c>
    </row>
    <row r="5386" spans="1:21" x14ac:dyDescent="0.25">
      <c r="A5386" t="s">
        <v>30</v>
      </c>
      <c r="B5386" t="s">
        <v>935</v>
      </c>
      <c r="C5386">
        <v>17</v>
      </c>
      <c r="D5386" t="s">
        <v>31</v>
      </c>
      <c r="E5386" t="s">
        <v>95</v>
      </c>
      <c r="F5386" t="s">
        <v>113</v>
      </c>
      <c r="G5386" t="s">
        <v>121</v>
      </c>
      <c r="H5386" t="s">
        <v>248</v>
      </c>
      <c r="J5386">
        <v>0</v>
      </c>
      <c r="K5386">
        <v>9</v>
      </c>
      <c r="L5386">
        <v>83.757575759999995</v>
      </c>
      <c r="M5386">
        <v>22.60997987</v>
      </c>
      <c r="N5386">
        <v>0.72884000000000004</v>
      </c>
      <c r="O5386">
        <v>0.21301339999999999</v>
      </c>
      <c r="P5386">
        <v>83.92307692</v>
      </c>
      <c r="Q5386">
        <v>44.319135699999997</v>
      </c>
      <c r="R5386">
        <v>5.9548609999999997E-3</v>
      </c>
      <c r="S5386">
        <v>0.18017928</v>
      </c>
      <c r="T5386" t="s">
        <v>1041</v>
      </c>
      <c r="U5386">
        <v>3.2834119999999994E-2</v>
      </c>
    </row>
    <row r="5387" spans="1:21" x14ac:dyDescent="0.25">
      <c r="A5387" t="s">
        <v>30</v>
      </c>
      <c r="B5387" t="s">
        <v>935</v>
      </c>
      <c r="C5387">
        <v>17</v>
      </c>
      <c r="D5387" t="s">
        <v>31</v>
      </c>
      <c r="E5387" t="s">
        <v>95</v>
      </c>
      <c r="F5387" t="s">
        <v>113</v>
      </c>
      <c r="G5387" t="s">
        <v>121</v>
      </c>
      <c r="H5387" t="s">
        <v>248</v>
      </c>
      <c r="J5387">
        <v>0</v>
      </c>
      <c r="K5387">
        <v>9</v>
      </c>
      <c r="L5387">
        <v>83.757575759999995</v>
      </c>
      <c r="M5387">
        <v>22.60997987</v>
      </c>
      <c r="N5387">
        <v>0.72884000000000004</v>
      </c>
      <c r="O5387">
        <v>0.21301339999999999</v>
      </c>
      <c r="P5387">
        <v>83.92307692</v>
      </c>
      <c r="Q5387">
        <v>44.319135699999997</v>
      </c>
      <c r="R5387">
        <v>5.9548609999999997E-3</v>
      </c>
      <c r="S5387">
        <v>0.18017928</v>
      </c>
      <c r="T5387" t="s">
        <v>1041</v>
      </c>
      <c r="U5387">
        <v>3.2834119999999994E-2</v>
      </c>
    </row>
    <row r="5388" spans="1:21" x14ac:dyDescent="0.25">
      <c r="A5388" t="s">
        <v>30</v>
      </c>
      <c r="B5388" t="s">
        <v>935</v>
      </c>
      <c r="C5388">
        <v>17</v>
      </c>
      <c r="D5388" t="s">
        <v>31</v>
      </c>
      <c r="E5388" t="s">
        <v>95</v>
      </c>
      <c r="F5388" t="s">
        <v>113</v>
      </c>
      <c r="G5388" t="s">
        <v>121</v>
      </c>
      <c r="H5388" t="s">
        <v>248</v>
      </c>
      <c r="J5388">
        <v>0</v>
      </c>
      <c r="K5388">
        <v>9</v>
      </c>
      <c r="L5388">
        <v>83.757575759999995</v>
      </c>
      <c r="M5388">
        <v>22.60997987</v>
      </c>
      <c r="N5388">
        <v>0.72884000000000004</v>
      </c>
      <c r="O5388">
        <v>0.21301339999999999</v>
      </c>
      <c r="P5388">
        <v>83.92307692</v>
      </c>
      <c r="Q5388">
        <v>44.319135699999997</v>
      </c>
      <c r="R5388">
        <v>5.9548609999999997E-3</v>
      </c>
      <c r="S5388">
        <v>0.18017928</v>
      </c>
      <c r="T5388" t="s">
        <v>1041</v>
      </c>
      <c r="U5388">
        <v>3.2834119999999994E-2</v>
      </c>
    </row>
    <row r="5389" spans="1:21" x14ac:dyDescent="0.25">
      <c r="A5389" t="s">
        <v>30</v>
      </c>
      <c r="B5389" t="s">
        <v>935</v>
      </c>
      <c r="C5389">
        <v>17</v>
      </c>
      <c r="D5389" t="s">
        <v>31</v>
      </c>
      <c r="E5389" t="s">
        <v>95</v>
      </c>
      <c r="F5389" t="s">
        <v>113</v>
      </c>
      <c r="G5389" t="s">
        <v>121</v>
      </c>
      <c r="H5389" t="s">
        <v>248</v>
      </c>
      <c r="J5389">
        <v>0</v>
      </c>
      <c r="K5389">
        <v>9</v>
      </c>
      <c r="L5389">
        <v>83.757575759999995</v>
      </c>
      <c r="M5389">
        <v>22.60997987</v>
      </c>
      <c r="N5389">
        <v>0.72884000000000004</v>
      </c>
      <c r="O5389">
        <v>0.21301339999999999</v>
      </c>
      <c r="P5389">
        <v>83.92307692</v>
      </c>
      <c r="Q5389">
        <v>44.319135699999997</v>
      </c>
      <c r="R5389">
        <v>5.9548609999999997E-3</v>
      </c>
      <c r="S5389">
        <v>0.18017928</v>
      </c>
      <c r="T5389" t="s">
        <v>1041</v>
      </c>
      <c r="U5389">
        <v>3.2834119999999994E-2</v>
      </c>
    </row>
    <row r="5390" spans="1:21" x14ac:dyDescent="0.25">
      <c r="A5390" t="s">
        <v>30</v>
      </c>
      <c r="B5390" t="s">
        <v>935</v>
      </c>
      <c r="C5390">
        <v>17</v>
      </c>
      <c r="D5390" t="s">
        <v>31</v>
      </c>
      <c r="E5390" t="s">
        <v>95</v>
      </c>
      <c r="F5390" t="s">
        <v>113</v>
      </c>
      <c r="G5390" t="s">
        <v>121</v>
      </c>
      <c r="H5390" t="s">
        <v>248</v>
      </c>
      <c r="J5390">
        <v>0</v>
      </c>
      <c r="K5390">
        <v>9</v>
      </c>
      <c r="L5390">
        <v>83.757575759999995</v>
      </c>
      <c r="M5390">
        <v>22.60997987</v>
      </c>
      <c r="N5390">
        <v>0.72884000000000004</v>
      </c>
      <c r="O5390">
        <v>0.21301339999999999</v>
      </c>
      <c r="P5390">
        <v>83.92307692</v>
      </c>
      <c r="Q5390">
        <v>44.319135699999997</v>
      </c>
      <c r="R5390">
        <v>5.9548609999999997E-3</v>
      </c>
      <c r="S5390">
        <v>0.18017928</v>
      </c>
      <c r="T5390" t="s">
        <v>1041</v>
      </c>
      <c r="U5390">
        <v>3.2834119999999994E-2</v>
      </c>
    </row>
    <row r="5391" spans="1:21" x14ac:dyDescent="0.25">
      <c r="A5391" t="s">
        <v>30</v>
      </c>
      <c r="B5391" t="s">
        <v>935</v>
      </c>
      <c r="C5391">
        <v>17</v>
      </c>
      <c r="D5391" t="s">
        <v>31</v>
      </c>
      <c r="E5391" t="s">
        <v>95</v>
      </c>
      <c r="F5391" t="s">
        <v>113</v>
      </c>
      <c r="G5391" t="s">
        <v>121</v>
      </c>
      <c r="H5391" t="s">
        <v>248</v>
      </c>
      <c r="J5391">
        <v>0</v>
      </c>
      <c r="K5391">
        <v>9</v>
      </c>
      <c r="L5391">
        <v>83.757575759999995</v>
      </c>
      <c r="M5391">
        <v>22.60997987</v>
      </c>
      <c r="N5391">
        <v>0.72884000000000004</v>
      </c>
      <c r="O5391">
        <v>0.21301339999999999</v>
      </c>
      <c r="P5391">
        <v>83.92307692</v>
      </c>
      <c r="Q5391">
        <v>44.319135699999997</v>
      </c>
      <c r="R5391">
        <v>5.9548609999999997E-3</v>
      </c>
      <c r="S5391">
        <v>0.18017928</v>
      </c>
      <c r="T5391" t="s">
        <v>1041</v>
      </c>
      <c r="U5391">
        <v>3.2834119999999994E-2</v>
      </c>
    </row>
    <row r="5392" spans="1:21" x14ac:dyDescent="0.25">
      <c r="A5392" t="s">
        <v>30</v>
      </c>
      <c r="B5392" t="s">
        <v>935</v>
      </c>
      <c r="C5392">
        <v>17</v>
      </c>
      <c r="D5392" t="s">
        <v>31</v>
      </c>
      <c r="E5392" t="s">
        <v>95</v>
      </c>
      <c r="F5392" t="s">
        <v>113</v>
      </c>
      <c r="G5392" t="s">
        <v>121</v>
      </c>
      <c r="H5392" t="s">
        <v>248</v>
      </c>
      <c r="J5392">
        <v>0</v>
      </c>
      <c r="K5392">
        <v>9</v>
      </c>
      <c r="L5392">
        <v>83.757575759999995</v>
      </c>
      <c r="M5392">
        <v>22.60997987</v>
      </c>
      <c r="N5392">
        <v>0.72884000000000004</v>
      </c>
      <c r="O5392">
        <v>0.21301339999999999</v>
      </c>
      <c r="P5392">
        <v>83.92307692</v>
      </c>
      <c r="Q5392">
        <v>44.319135699999997</v>
      </c>
      <c r="R5392">
        <v>5.9548609999999997E-3</v>
      </c>
      <c r="S5392">
        <v>0.18017928</v>
      </c>
      <c r="T5392" t="s">
        <v>1041</v>
      </c>
      <c r="U5392">
        <v>3.2834119999999994E-2</v>
      </c>
    </row>
    <row r="5393" spans="1:21" x14ac:dyDescent="0.25">
      <c r="A5393" t="s">
        <v>30</v>
      </c>
      <c r="B5393" t="s">
        <v>935</v>
      </c>
      <c r="C5393">
        <v>17</v>
      </c>
      <c r="D5393" t="s">
        <v>31</v>
      </c>
      <c r="E5393" t="s">
        <v>95</v>
      </c>
      <c r="F5393" t="s">
        <v>113</v>
      </c>
      <c r="G5393" t="s">
        <v>121</v>
      </c>
      <c r="H5393" t="s">
        <v>248</v>
      </c>
      <c r="J5393">
        <v>0</v>
      </c>
      <c r="K5393">
        <v>9</v>
      </c>
      <c r="L5393">
        <v>83.757575759999995</v>
      </c>
      <c r="M5393">
        <v>22.60997987</v>
      </c>
      <c r="N5393">
        <v>0.72884000000000004</v>
      </c>
      <c r="O5393">
        <v>0.21301339999999999</v>
      </c>
      <c r="P5393">
        <v>83.92307692</v>
      </c>
      <c r="Q5393">
        <v>44.319135699999997</v>
      </c>
      <c r="R5393">
        <v>5.9548609999999997E-3</v>
      </c>
      <c r="S5393">
        <v>0.18017928</v>
      </c>
      <c r="T5393" t="s">
        <v>1041</v>
      </c>
      <c r="U5393">
        <v>3.2834119999999994E-2</v>
      </c>
    </row>
    <row r="5394" spans="1:21" x14ac:dyDescent="0.25">
      <c r="A5394" t="s">
        <v>30</v>
      </c>
      <c r="B5394" t="s">
        <v>935</v>
      </c>
      <c r="C5394">
        <v>17</v>
      </c>
      <c r="D5394" t="s">
        <v>31</v>
      </c>
      <c r="E5394" t="s">
        <v>95</v>
      </c>
      <c r="F5394" t="s">
        <v>113</v>
      </c>
      <c r="G5394" t="s">
        <v>121</v>
      </c>
      <c r="H5394" t="s">
        <v>248</v>
      </c>
      <c r="J5394">
        <v>0</v>
      </c>
      <c r="K5394">
        <v>9</v>
      </c>
      <c r="L5394">
        <v>83.757575759999995</v>
      </c>
      <c r="M5394">
        <v>22.60997987</v>
      </c>
      <c r="N5394">
        <v>0.72884000000000004</v>
      </c>
      <c r="O5394">
        <v>0.21301339999999999</v>
      </c>
      <c r="P5394">
        <v>83.92307692</v>
      </c>
      <c r="Q5394">
        <v>44.319135699999997</v>
      </c>
      <c r="R5394">
        <v>5.9548609999999997E-3</v>
      </c>
      <c r="S5394">
        <v>0.18017928</v>
      </c>
      <c r="T5394" t="s">
        <v>1041</v>
      </c>
      <c r="U5394">
        <v>3.2834119999999994E-2</v>
      </c>
    </row>
    <row r="5395" spans="1:21" x14ac:dyDescent="0.25">
      <c r="A5395" t="s">
        <v>30</v>
      </c>
      <c r="B5395" t="s">
        <v>935</v>
      </c>
      <c r="C5395">
        <v>18</v>
      </c>
      <c r="D5395" t="s">
        <v>31</v>
      </c>
      <c r="E5395" t="s">
        <v>95</v>
      </c>
      <c r="F5395" t="s">
        <v>113</v>
      </c>
      <c r="G5395" t="s">
        <v>121</v>
      </c>
      <c r="H5395" t="s">
        <v>111</v>
      </c>
      <c r="J5395">
        <v>0</v>
      </c>
      <c r="K5395">
        <v>1</v>
      </c>
      <c r="L5395">
        <v>83.757575759999995</v>
      </c>
      <c r="M5395">
        <v>22.60997987</v>
      </c>
      <c r="N5395">
        <v>0.72884000000000004</v>
      </c>
      <c r="O5395">
        <v>0.21301339999999999</v>
      </c>
      <c r="P5395">
        <v>94.97142857</v>
      </c>
      <c r="Q5395">
        <v>24.31591813</v>
      </c>
      <c r="R5395">
        <v>0.122951111</v>
      </c>
      <c r="S5395">
        <v>0.39050790000000002</v>
      </c>
      <c r="T5395" t="s">
        <v>1041</v>
      </c>
      <c r="U5395">
        <v>0.17749450000000003</v>
      </c>
    </row>
    <row r="5396" spans="1:21" x14ac:dyDescent="0.25">
      <c r="A5396" t="s">
        <v>30</v>
      </c>
      <c r="B5396" t="s">
        <v>936</v>
      </c>
      <c r="C5396">
        <v>15</v>
      </c>
      <c r="D5396" t="s">
        <v>31</v>
      </c>
      <c r="E5396" t="s">
        <v>95</v>
      </c>
      <c r="F5396" t="s">
        <v>103</v>
      </c>
      <c r="G5396" t="s">
        <v>113</v>
      </c>
      <c r="H5396" t="s">
        <v>113</v>
      </c>
      <c r="J5396">
        <v>0</v>
      </c>
      <c r="K5396">
        <v>3</v>
      </c>
      <c r="L5396">
        <v>98.291666669999998</v>
      </c>
      <c r="M5396">
        <v>30.315130790000001</v>
      </c>
      <c r="N5396">
        <v>5.0803484000000003E-2</v>
      </c>
      <c r="O5396">
        <v>0.42866070000000001</v>
      </c>
      <c r="P5396">
        <v>83.757575759999995</v>
      </c>
      <c r="Q5396">
        <v>22.60997987</v>
      </c>
      <c r="R5396">
        <v>0.72884000000000004</v>
      </c>
      <c r="S5396">
        <v>0.21301339999999999</v>
      </c>
      <c r="T5396" t="s">
        <v>1041</v>
      </c>
      <c r="U5396">
        <v>0.21564730000000001</v>
      </c>
    </row>
    <row r="5397" spans="1:21" x14ac:dyDescent="0.25">
      <c r="A5397" t="s">
        <v>30</v>
      </c>
      <c r="B5397" t="s">
        <v>936</v>
      </c>
      <c r="C5397">
        <v>15</v>
      </c>
      <c r="D5397" t="s">
        <v>31</v>
      </c>
      <c r="E5397" t="s">
        <v>95</v>
      </c>
      <c r="F5397" t="s">
        <v>103</v>
      </c>
      <c r="G5397" t="s">
        <v>113</v>
      </c>
      <c r="H5397" t="s">
        <v>113</v>
      </c>
      <c r="J5397">
        <v>0</v>
      </c>
      <c r="K5397">
        <v>3</v>
      </c>
      <c r="L5397">
        <v>98.291666669999998</v>
      </c>
      <c r="M5397">
        <v>30.315130790000001</v>
      </c>
      <c r="N5397">
        <v>5.0803484000000003E-2</v>
      </c>
      <c r="O5397">
        <v>0.42866070000000001</v>
      </c>
      <c r="P5397">
        <v>83.757575759999995</v>
      </c>
      <c r="Q5397">
        <v>22.60997987</v>
      </c>
      <c r="R5397">
        <v>0.72884000000000004</v>
      </c>
      <c r="S5397">
        <v>0.21301339999999999</v>
      </c>
      <c r="T5397" t="s">
        <v>1041</v>
      </c>
      <c r="U5397">
        <v>0.21564730000000001</v>
      </c>
    </row>
    <row r="5398" spans="1:21" x14ac:dyDescent="0.25">
      <c r="A5398" t="s">
        <v>30</v>
      </c>
      <c r="B5398" t="s">
        <v>936</v>
      </c>
      <c r="C5398">
        <v>15</v>
      </c>
      <c r="D5398" t="s">
        <v>31</v>
      </c>
      <c r="E5398" t="s">
        <v>95</v>
      </c>
      <c r="F5398" t="s">
        <v>103</v>
      </c>
      <c r="G5398" t="s">
        <v>113</v>
      </c>
      <c r="H5398" t="s">
        <v>113</v>
      </c>
      <c r="J5398">
        <v>0</v>
      </c>
      <c r="K5398">
        <v>3</v>
      </c>
      <c r="L5398">
        <v>98.291666669999998</v>
      </c>
      <c r="M5398">
        <v>30.315130790000001</v>
      </c>
      <c r="N5398">
        <v>5.0803484000000003E-2</v>
      </c>
      <c r="O5398">
        <v>0.42866070000000001</v>
      </c>
      <c r="P5398">
        <v>83.757575759999995</v>
      </c>
      <c r="Q5398">
        <v>22.60997987</v>
      </c>
      <c r="R5398">
        <v>0.72884000000000004</v>
      </c>
      <c r="S5398">
        <v>0.21301339999999999</v>
      </c>
      <c r="T5398" t="s">
        <v>1041</v>
      </c>
      <c r="U5398">
        <v>0.21564730000000001</v>
      </c>
    </row>
    <row r="5399" spans="1:21" x14ac:dyDescent="0.25">
      <c r="A5399" t="s">
        <v>30</v>
      </c>
      <c r="B5399" t="s">
        <v>936</v>
      </c>
      <c r="C5399">
        <v>16</v>
      </c>
      <c r="D5399" t="s">
        <v>31</v>
      </c>
      <c r="E5399" t="s">
        <v>95</v>
      </c>
      <c r="F5399" t="s">
        <v>103</v>
      </c>
      <c r="G5399" t="s">
        <v>113</v>
      </c>
      <c r="H5399" t="s">
        <v>247</v>
      </c>
      <c r="J5399">
        <v>0</v>
      </c>
      <c r="K5399">
        <v>1</v>
      </c>
      <c r="L5399">
        <v>98.291666669999998</v>
      </c>
      <c r="M5399">
        <v>30.315130790000001</v>
      </c>
      <c r="N5399">
        <v>5.0803484000000003E-2</v>
      </c>
      <c r="O5399">
        <v>0.42866070000000001</v>
      </c>
      <c r="P5399">
        <v>65.791044779999993</v>
      </c>
      <c r="Q5399">
        <v>22.94519201</v>
      </c>
      <c r="R5399">
        <v>8.1320334999999994E-2</v>
      </c>
      <c r="S5399">
        <v>0.17285655</v>
      </c>
      <c r="T5399" t="s">
        <v>1041</v>
      </c>
      <c r="U5399">
        <v>0.25580415000000001</v>
      </c>
    </row>
    <row r="5400" spans="1:21" x14ac:dyDescent="0.25">
      <c r="A5400" t="s">
        <v>30</v>
      </c>
      <c r="B5400" t="s">
        <v>936</v>
      </c>
      <c r="C5400">
        <v>17</v>
      </c>
      <c r="D5400" t="s">
        <v>31</v>
      </c>
      <c r="E5400" t="s">
        <v>95</v>
      </c>
      <c r="F5400" t="s">
        <v>103</v>
      </c>
      <c r="G5400" t="s">
        <v>113</v>
      </c>
      <c r="H5400" t="s">
        <v>111</v>
      </c>
      <c r="J5400">
        <v>0</v>
      </c>
      <c r="K5400">
        <v>1</v>
      </c>
      <c r="L5400">
        <v>98.291666669999998</v>
      </c>
      <c r="M5400">
        <v>30.315130790000001</v>
      </c>
      <c r="N5400">
        <v>5.0803484000000003E-2</v>
      </c>
      <c r="O5400">
        <v>0.42866070000000001</v>
      </c>
      <c r="P5400">
        <v>94.97142857</v>
      </c>
      <c r="Q5400">
        <v>24.31591813</v>
      </c>
      <c r="R5400">
        <v>0.122951111</v>
      </c>
      <c r="S5400">
        <v>0.39050790000000002</v>
      </c>
      <c r="T5400" t="s">
        <v>1041</v>
      </c>
      <c r="U5400">
        <v>3.8152799999999987E-2</v>
      </c>
    </row>
    <row r="5401" spans="1:21" x14ac:dyDescent="0.25">
      <c r="A5401" t="s">
        <v>30</v>
      </c>
      <c r="B5401" t="s">
        <v>936</v>
      </c>
      <c r="C5401">
        <v>18</v>
      </c>
      <c r="D5401" t="s">
        <v>31</v>
      </c>
      <c r="E5401" t="s">
        <v>95</v>
      </c>
      <c r="F5401" t="s">
        <v>103</v>
      </c>
      <c r="G5401" t="s">
        <v>113</v>
      </c>
      <c r="H5401" t="s">
        <v>234</v>
      </c>
      <c r="J5401">
        <v>0</v>
      </c>
      <c r="K5401">
        <v>1</v>
      </c>
      <c r="L5401">
        <v>98.291666669999998</v>
      </c>
      <c r="M5401">
        <v>30.315130790000001</v>
      </c>
      <c r="N5401">
        <v>5.0803484000000003E-2</v>
      </c>
      <c r="O5401">
        <v>0.42866070000000001</v>
      </c>
      <c r="P5401">
        <v>89.8125</v>
      </c>
      <c r="Q5401">
        <v>34.754706650000003</v>
      </c>
      <c r="R5401">
        <v>2.3065078999999999E-2</v>
      </c>
      <c r="S5401">
        <v>2.4791666700000001</v>
      </c>
      <c r="T5401" t="s">
        <v>1041</v>
      </c>
      <c r="U5401">
        <v>2.0505059700000001</v>
      </c>
    </row>
    <row r="5402" spans="1:21" x14ac:dyDescent="0.25">
      <c r="A5402" t="s">
        <v>30</v>
      </c>
      <c r="B5402" t="s">
        <v>936</v>
      </c>
      <c r="C5402">
        <v>19</v>
      </c>
      <c r="D5402" t="s">
        <v>31</v>
      </c>
      <c r="E5402" t="s">
        <v>95</v>
      </c>
      <c r="F5402" t="s">
        <v>103</v>
      </c>
      <c r="G5402" t="s">
        <v>113</v>
      </c>
      <c r="H5402" t="s">
        <v>241</v>
      </c>
      <c r="J5402">
        <v>0</v>
      </c>
      <c r="K5402">
        <v>1</v>
      </c>
      <c r="L5402">
        <v>98.291666669999998</v>
      </c>
      <c r="M5402">
        <v>30.315130790000001</v>
      </c>
      <c r="N5402">
        <v>5.0803484000000003E-2</v>
      </c>
      <c r="O5402">
        <v>0.42866070000000001</v>
      </c>
      <c r="P5402">
        <v>114</v>
      </c>
      <c r="Q5402">
        <v>30.43077242</v>
      </c>
      <c r="R5402">
        <v>0.53383111100000002</v>
      </c>
      <c r="S5402">
        <v>0.28333332999999999</v>
      </c>
      <c r="T5402" t="s">
        <v>1041</v>
      </c>
      <c r="U5402">
        <v>0.14532737000000001</v>
      </c>
    </row>
    <row r="5403" spans="1:21" x14ac:dyDescent="0.25">
      <c r="A5403" t="s">
        <v>30</v>
      </c>
      <c r="B5403" t="s">
        <v>937</v>
      </c>
      <c r="C5403">
        <v>15</v>
      </c>
      <c r="D5403" t="s">
        <v>31</v>
      </c>
      <c r="E5403" t="s">
        <v>95</v>
      </c>
      <c r="F5403" t="s">
        <v>112</v>
      </c>
      <c r="G5403" t="s">
        <v>103</v>
      </c>
      <c r="H5403" t="s">
        <v>114</v>
      </c>
      <c r="J5403">
        <v>0</v>
      </c>
      <c r="K5403" t="s">
        <v>114</v>
      </c>
      <c r="L5403">
        <v>65.09375</v>
      </c>
      <c r="M5403">
        <v>37.895352600000002</v>
      </c>
      <c r="N5403">
        <v>2.2882677779999998</v>
      </c>
      <c r="O5403">
        <v>2.2111774</v>
      </c>
      <c r="P5403" t="s">
        <v>114</v>
      </c>
      <c r="Q5403" t="s">
        <v>114</v>
      </c>
      <c r="R5403" t="s">
        <v>114</v>
      </c>
      <c r="S5403" t="s">
        <v>114</v>
      </c>
      <c r="T5403" t="s">
        <v>1041</v>
      </c>
      <c r="U5403" t="s">
        <v>114</v>
      </c>
    </row>
    <row r="5404" spans="1:21" x14ac:dyDescent="0.25">
      <c r="A5404" t="s">
        <v>32</v>
      </c>
      <c r="B5404" t="s">
        <v>938</v>
      </c>
      <c r="C5404">
        <v>15</v>
      </c>
      <c r="D5404" t="s">
        <v>33</v>
      </c>
      <c r="E5404" t="s">
        <v>94</v>
      </c>
      <c r="F5404" t="s">
        <v>105</v>
      </c>
      <c r="G5404" t="s">
        <v>121</v>
      </c>
      <c r="H5404" t="s">
        <v>247</v>
      </c>
      <c r="J5404">
        <v>0</v>
      </c>
      <c r="K5404">
        <v>2</v>
      </c>
      <c r="L5404">
        <v>67.5</v>
      </c>
      <c r="M5404">
        <v>47.937235809999997</v>
      </c>
      <c r="N5404">
        <v>0.41599678000000001</v>
      </c>
      <c r="O5404">
        <v>2.0950346999999998</v>
      </c>
      <c r="P5404">
        <v>65.791044779999993</v>
      </c>
      <c r="Q5404">
        <v>22.94519201</v>
      </c>
      <c r="R5404">
        <v>8.1320334999999994E-2</v>
      </c>
      <c r="S5404">
        <v>0.17285655</v>
      </c>
      <c r="T5404" t="s">
        <v>1041</v>
      </c>
      <c r="U5404">
        <v>1.9221781499999997</v>
      </c>
    </row>
    <row r="5405" spans="1:21" x14ac:dyDescent="0.25">
      <c r="A5405" t="s">
        <v>32</v>
      </c>
      <c r="B5405" t="s">
        <v>938</v>
      </c>
      <c r="C5405">
        <v>15</v>
      </c>
      <c r="D5405" t="s">
        <v>33</v>
      </c>
      <c r="E5405" t="s">
        <v>94</v>
      </c>
      <c r="F5405" t="s">
        <v>105</v>
      </c>
      <c r="G5405" t="s">
        <v>121</v>
      </c>
      <c r="H5405" t="s">
        <v>247</v>
      </c>
      <c r="J5405">
        <v>0</v>
      </c>
      <c r="K5405">
        <v>2</v>
      </c>
      <c r="L5405">
        <v>67.5</v>
      </c>
      <c r="M5405">
        <v>47.937235809999997</v>
      </c>
      <c r="N5405">
        <v>0.41599678000000001</v>
      </c>
      <c r="O5405">
        <v>2.0950346999999998</v>
      </c>
      <c r="P5405">
        <v>65.791044779999993</v>
      </c>
      <c r="Q5405">
        <v>22.94519201</v>
      </c>
      <c r="R5405">
        <v>8.1320334999999994E-2</v>
      </c>
      <c r="S5405">
        <v>0.17285655</v>
      </c>
      <c r="T5405" t="s">
        <v>1041</v>
      </c>
      <c r="U5405">
        <v>1.9221781499999997</v>
      </c>
    </row>
    <row r="5406" spans="1:21" x14ac:dyDescent="0.25">
      <c r="A5406" t="s">
        <v>32</v>
      </c>
      <c r="B5406" t="s">
        <v>938</v>
      </c>
      <c r="C5406">
        <v>16</v>
      </c>
      <c r="D5406" t="s">
        <v>33</v>
      </c>
      <c r="E5406" t="s">
        <v>94</v>
      </c>
      <c r="F5406" t="s">
        <v>105</v>
      </c>
      <c r="G5406" t="s">
        <v>121</v>
      </c>
      <c r="H5406" t="s">
        <v>249</v>
      </c>
      <c r="J5406">
        <v>0</v>
      </c>
      <c r="K5406">
        <v>1</v>
      </c>
      <c r="L5406">
        <v>67.5</v>
      </c>
      <c r="M5406">
        <v>47.937235809999997</v>
      </c>
      <c r="N5406">
        <v>0.41599678000000001</v>
      </c>
      <c r="O5406">
        <v>2.0950346999999998</v>
      </c>
      <c r="P5406">
        <v>81.666666669999998</v>
      </c>
      <c r="Q5406">
        <v>48.056268459999998</v>
      </c>
      <c r="R5406">
        <v>0.120291364</v>
      </c>
      <c r="S5406" t="s">
        <v>114</v>
      </c>
      <c r="T5406" t="s">
        <v>1041</v>
      </c>
      <c r="U5406" t="s">
        <v>114</v>
      </c>
    </row>
    <row r="5407" spans="1:21" x14ac:dyDescent="0.25">
      <c r="A5407" t="s">
        <v>34</v>
      </c>
      <c r="B5407" t="s">
        <v>939</v>
      </c>
      <c r="C5407">
        <v>15</v>
      </c>
      <c r="D5407" t="s">
        <v>35</v>
      </c>
      <c r="E5407" t="s">
        <v>94</v>
      </c>
      <c r="F5407" t="s">
        <v>112</v>
      </c>
      <c r="G5407" t="s">
        <v>112</v>
      </c>
      <c r="H5407" t="s">
        <v>112</v>
      </c>
      <c r="J5407">
        <v>0</v>
      </c>
      <c r="K5407">
        <v>1</v>
      </c>
      <c r="L5407">
        <v>65.09375</v>
      </c>
      <c r="M5407">
        <v>37.895352600000002</v>
      </c>
      <c r="N5407">
        <v>2.2882677779999998</v>
      </c>
      <c r="O5407">
        <v>2.2111774</v>
      </c>
      <c r="P5407">
        <v>65.09375</v>
      </c>
      <c r="Q5407">
        <v>37.895352600000002</v>
      </c>
      <c r="R5407">
        <v>2.2882677779999998</v>
      </c>
      <c r="S5407">
        <v>2.2111774</v>
      </c>
      <c r="T5407" t="s">
        <v>1041</v>
      </c>
      <c r="U5407">
        <v>0</v>
      </c>
    </row>
    <row r="5408" spans="1:21" x14ac:dyDescent="0.25">
      <c r="A5408" t="s">
        <v>36</v>
      </c>
      <c r="B5408" t="s">
        <v>940</v>
      </c>
      <c r="C5408">
        <v>15</v>
      </c>
      <c r="D5408" t="s">
        <v>37</v>
      </c>
      <c r="E5408" t="s">
        <v>95</v>
      </c>
      <c r="F5408" t="s">
        <v>110</v>
      </c>
      <c r="G5408" t="s">
        <v>121</v>
      </c>
      <c r="H5408" t="s">
        <v>110</v>
      </c>
      <c r="J5408">
        <v>0</v>
      </c>
      <c r="K5408">
        <v>1</v>
      </c>
      <c r="L5408">
        <v>73.260869569999997</v>
      </c>
      <c r="M5408">
        <v>34.453830549999999</v>
      </c>
      <c r="N5408">
        <v>1.058333333</v>
      </c>
      <c r="O5408">
        <v>0.90897070000000002</v>
      </c>
      <c r="P5408">
        <v>73.260869569999997</v>
      </c>
      <c r="Q5408">
        <v>34.453830549999999</v>
      </c>
      <c r="R5408">
        <v>1.058333333</v>
      </c>
      <c r="S5408">
        <v>0.90897070000000002</v>
      </c>
      <c r="T5408" t="s">
        <v>1041</v>
      </c>
      <c r="U5408">
        <v>0</v>
      </c>
    </row>
    <row r="5409" spans="1:21" x14ac:dyDescent="0.25">
      <c r="A5409" t="s">
        <v>36</v>
      </c>
      <c r="B5409" t="s">
        <v>941</v>
      </c>
      <c r="C5409">
        <v>15</v>
      </c>
      <c r="D5409" t="s">
        <v>37</v>
      </c>
      <c r="E5409" t="s">
        <v>95</v>
      </c>
      <c r="F5409" t="s">
        <v>104</v>
      </c>
      <c r="G5409" t="s">
        <v>121</v>
      </c>
      <c r="H5409" t="s">
        <v>104</v>
      </c>
      <c r="J5409">
        <v>0</v>
      </c>
      <c r="K5409">
        <v>1</v>
      </c>
      <c r="L5409">
        <v>113.9375</v>
      </c>
      <c r="M5409">
        <v>33.375507550000002</v>
      </c>
      <c r="N5409">
        <v>2.4262999999999999</v>
      </c>
      <c r="O5409">
        <v>0.40692159999999999</v>
      </c>
      <c r="P5409">
        <v>113.9375</v>
      </c>
      <c r="Q5409">
        <v>33.375507550000002</v>
      </c>
      <c r="R5409">
        <v>2.4262999999999999</v>
      </c>
      <c r="S5409">
        <v>0.40692159999999999</v>
      </c>
      <c r="T5409" t="s">
        <v>1041</v>
      </c>
      <c r="U5409">
        <v>0</v>
      </c>
    </row>
    <row r="5410" spans="1:21" x14ac:dyDescent="0.25">
      <c r="A5410" t="s">
        <v>36</v>
      </c>
      <c r="B5410" t="s">
        <v>941</v>
      </c>
      <c r="C5410">
        <v>16</v>
      </c>
      <c r="D5410" t="s">
        <v>37</v>
      </c>
      <c r="E5410" t="s">
        <v>95</v>
      </c>
      <c r="F5410" t="s">
        <v>104</v>
      </c>
      <c r="G5410" t="s">
        <v>121</v>
      </c>
      <c r="H5410" t="s">
        <v>111</v>
      </c>
      <c r="J5410">
        <v>0</v>
      </c>
      <c r="K5410">
        <v>1</v>
      </c>
      <c r="L5410">
        <v>113.9375</v>
      </c>
      <c r="M5410">
        <v>33.375507550000002</v>
      </c>
      <c r="N5410">
        <v>2.4262999999999999</v>
      </c>
      <c r="O5410">
        <v>0.40692159999999999</v>
      </c>
      <c r="P5410">
        <v>94.97142857</v>
      </c>
      <c r="Q5410">
        <v>24.31591813</v>
      </c>
      <c r="R5410">
        <v>0.122951111</v>
      </c>
      <c r="S5410">
        <v>0.39050790000000002</v>
      </c>
      <c r="T5410" t="s">
        <v>1041</v>
      </c>
      <c r="U5410">
        <v>1.6413699999999976E-2</v>
      </c>
    </row>
    <row r="5411" spans="1:21" x14ac:dyDescent="0.25">
      <c r="A5411" t="s">
        <v>36</v>
      </c>
      <c r="B5411" t="s">
        <v>941</v>
      </c>
      <c r="C5411">
        <v>17</v>
      </c>
      <c r="D5411" t="s">
        <v>37</v>
      </c>
      <c r="E5411" t="s">
        <v>95</v>
      </c>
      <c r="F5411" t="s">
        <v>104</v>
      </c>
      <c r="G5411" t="s">
        <v>121</v>
      </c>
      <c r="H5411" t="s">
        <v>162</v>
      </c>
      <c r="J5411">
        <v>0</v>
      </c>
      <c r="K5411">
        <v>1</v>
      </c>
      <c r="L5411">
        <v>113.9375</v>
      </c>
      <c r="M5411">
        <v>33.375507550000002</v>
      </c>
      <c r="N5411">
        <v>2.4262999999999999</v>
      </c>
      <c r="O5411">
        <v>0.40692159999999999</v>
      </c>
      <c r="P5411">
        <v>82.53846154</v>
      </c>
      <c r="Q5411">
        <v>35.660530039999998</v>
      </c>
      <c r="R5411">
        <v>3.3754499999999998</v>
      </c>
      <c r="S5411" t="s">
        <v>114</v>
      </c>
      <c r="T5411" t="s">
        <v>1041</v>
      </c>
      <c r="U5411" t="s">
        <v>114</v>
      </c>
    </row>
    <row r="5412" spans="1:21" x14ac:dyDescent="0.25">
      <c r="A5412" t="s">
        <v>38</v>
      </c>
      <c r="B5412" t="s">
        <v>942</v>
      </c>
      <c r="C5412">
        <v>2</v>
      </c>
      <c r="D5412" t="s">
        <v>11</v>
      </c>
      <c r="E5412" t="s">
        <v>95</v>
      </c>
      <c r="F5412" t="s">
        <v>113</v>
      </c>
      <c r="G5412" t="s">
        <v>103</v>
      </c>
      <c r="H5412" t="s">
        <v>103</v>
      </c>
      <c r="J5412">
        <v>0</v>
      </c>
      <c r="K5412">
        <v>3</v>
      </c>
      <c r="L5412">
        <v>83.757575759999995</v>
      </c>
      <c r="M5412">
        <v>22.60997987</v>
      </c>
      <c r="N5412">
        <v>0.72884000000000004</v>
      </c>
      <c r="O5412">
        <v>0.21301339999999999</v>
      </c>
      <c r="P5412">
        <v>98.291666669999998</v>
      </c>
      <c r="Q5412">
        <v>30.315130790000001</v>
      </c>
      <c r="R5412">
        <v>5.0803484000000003E-2</v>
      </c>
      <c r="S5412">
        <v>0.42866070000000001</v>
      </c>
      <c r="T5412" t="s">
        <v>1041</v>
      </c>
      <c r="U5412">
        <v>0.21564730000000001</v>
      </c>
    </row>
    <row r="5413" spans="1:21" x14ac:dyDescent="0.25">
      <c r="A5413" t="s">
        <v>38</v>
      </c>
      <c r="B5413" t="s">
        <v>942</v>
      </c>
      <c r="C5413">
        <v>2</v>
      </c>
      <c r="D5413" t="s">
        <v>11</v>
      </c>
      <c r="E5413" t="s">
        <v>95</v>
      </c>
      <c r="F5413" t="s">
        <v>113</v>
      </c>
      <c r="G5413" t="s">
        <v>103</v>
      </c>
      <c r="H5413" t="s">
        <v>103</v>
      </c>
      <c r="J5413">
        <v>0</v>
      </c>
      <c r="K5413">
        <v>3</v>
      </c>
      <c r="L5413">
        <v>83.757575759999995</v>
      </c>
      <c r="M5413">
        <v>22.60997987</v>
      </c>
      <c r="N5413">
        <v>0.72884000000000004</v>
      </c>
      <c r="O5413">
        <v>0.21301339999999999</v>
      </c>
      <c r="P5413">
        <v>98.291666669999998</v>
      </c>
      <c r="Q5413">
        <v>30.315130790000001</v>
      </c>
      <c r="R5413">
        <v>5.0803484000000003E-2</v>
      </c>
      <c r="S5413">
        <v>0.42866070000000001</v>
      </c>
      <c r="T5413" t="s">
        <v>1041</v>
      </c>
      <c r="U5413">
        <v>0.21564730000000001</v>
      </c>
    </row>
    <row r="5414" spans="1:21" x14ac:dyDescent="0.25">
      <c r="A5414" t="s">
        <v>38</v>
      </c>
      <c r="B5414" t="s">
        <v>942</v>
      </c>
      <c r="C5414">
        <v>2</v>
      </c>
      <c r="D5414" t="s">
        <v>11</v>
      </c>
      <c r="E5414" t="s">
        <v>95</v>
      </c>
      <c r="F5414" t="s">
        <v>113</v>
      </c>
      <c r="G5414" t="s">
        <v>103</v>
      </c>
      <c r="H5414" t="s">
        <v>103</v>
      </c>
      <c r="J5414">
        <v>0</v>
      </c>
      <c r="K5414">
        <v>3</v>
      </c>
      <c r="L5414">
        <v>83.757575759999995</v>
      </c>
      <c r="M5414">
        <v>22.60997987</v>
      </c>
      <c r="N5414">
        <v>0.72884000000000004</v>
      </c>
      <c r="O5414">
        <v>0.21301339999999999</v>
      </c>
      <c r="P5414">
        <v>98.291666669999998</v>
      </c>
      <c r="Q5414">
        <v>30.315130790000001</v>
      </c>
      <c r="R5414">
        <v>5.0803484000000003E-2</v>
      </c>
      <c r="S5414">
        <v>0.42866070000000001</v>
      </c>
      <c r="T5414" t="s">
        <v>1041</v>
      </c>
      <c r="U5414">
        <v>0.21564730000000001</v>
      </c>
    </row>
    <row r="5415" spans="1:21" x14ac:dyDescent="0.25">
      <c r="A5415" t="s">
        <v>38</v>
      </c>
      <c r="B5415" t="s">
        <v>943</v>
      </c>
      <c r="C5415">
        <v>2</v>
      </c>
      <c r="D5415" t="s">
        <v>11</v>
      </c>
      <c r="E5415" t="s">
        <v>95</v>
      </c>
      <c r="F5415" t="s">
        <v>103</v>
      </c>
      <c r="G5415" t="s">
        <v>103</v>
      </c>
      <c r="H5415" t="s">
        <v>103</v>
      </c>
      <c r="J5415">
        <v>0</v>
      </c>
      <c r="K5415">
        <v>7</v>
      </c>
      <c r="L5415">
        <v>98.291666669999998</v>
      </c>
      <c r="M5415">
        <v>30.315130790000001</v>
      </c>
      <c r="N5415">
        <v>5.0803484000000003E-2</v>
      </c>
      <c r="O5415">
        <v>0.42866070000000001</v>
      </c>
      <c r="P5415">
        <v>98.291666669999998</v>
      </c>
      <c r="Q5415">
        <v>30.315130790000001</v>
      </c>
      <c r="R5415">
        <v>5.0803484000000003E-2</v>
      </c>
      <c r="S5415">
        <v>0.42866070000000001</v>
      </c>
      <c r="T5415" t="s">
        <v>1041</v>
      </c>
      <c r="U5415">
        <v>0</v>
      </c>
    </row>
    <row r="5416" spans="1:21" x14ac:dyDescent="0.25">
      <c r="A5416" t="s">
        <v>38</v>
      </c>
      <c r="B5416" t="s">
        <v>943</v>
      </c>
      <c r="C5416">
        <v>2</v>
      </c>
      <c r="D5416" t="s">
        <v>11</v>
      </c>
      <c r="E5416" t="s">
        <v>95</v>
      </c>
      <c r="F5416" t="s">
        <v>103</v>
      </c>
      <c r="G5416" t="s">
        <v>103</v>
      </c>
      <c r="H5416" t="s">
        <v>103</v>
      </c>
      <c r="J5416">
        <v>0</v>
      </c>
      <c r="K5416">
        <v>7</v>
      </c>
      <c r="L5416">
        <v>98.291666669999998</v>
      </c>
      <c r="M5416">
        <v>30.315130790000001</v>
      </c>
      <c r="N5416">
        <v>5.0803484000000003E-2</v>
      </c>
      <c r="O5416">
        <v>0.42866070000000001</v>
      </c>
      <c r="P5416">
        <v>98.291666669999998</v>
      </c>
      <c r="Q5416">
        <v>30.315130790000001</v>
      </c>
      <c r="R5416">
        <v>5.0803484000000003E-2</v>
      </c>
      <c r="S5416">
        <v>0.42866070000000001</v>
      </c>
      <c r="T5416" t="s">
        <v>1041</v>
      </c>
      <c r="U5416">
        <v>0</v>
      </c>
    </row>
    <row r="5417" spans="1:21" x14ac:dyDescent="0.25">
      <c r="A5417" t="s">
        <v>38</v>
      </c>
      <c r="B5417" t="s">
        <v>943</v>
      </c>
      <c r="C5417">
        <v>2</v>
      </c>
      <c r="D5417" t="s">
        <v>11</v>
      </c>
      <c r="E5417" t="s">
        <v>95</v>
      </c>
      <c r="F5417" t="s">
        <v>103</v>
      </c>
      <c r="G5417" t="s">
        <v>103</v>
      </c>
      <c r="H5417" t="s">
        <v>103</v>
      </c>
      <c r="J5417">
        <v>0</v>
      </c>
      <c r="K5417">
        <v>7</v>
      </c>
      <c r="L5417">
        <v>98.291666669999998</v>
      </c>
      <c r="M5417">
        <v>30.315130790000001</v>
      </c>
      <c r="N5417">
        <v>5.0803484000000003E-2</v>
      </c>
      <c r="O5417">
        <v>0.42866070000000001</v>
      </c>
      <c r="P5417">
        <v>98.291666669999998</v>
      </c>
      <c r="Q5417">
        <v>30.315130790000001</v>
      </c>
      <c r="R5417">
        <v>5.0803484000000003E-2</v>
      </c>
      <c r="S5417">
        <v>0.42866070000000001</v>
      </c>
      <c r="T5417" t="s">
        <v>1041</v>
      </c>
      <c r="U5417">
        <v>0</v>
      </c>
    </row>
    <row r="5418" spans="1:21" x14ac:dyDescent="0.25">
      <c r="A5418" t="s">
        <v>38</v>
      </c>
      <c r="B5418" t="s">
        <v>943</v>
      </c>
      <c r="C5418">
        <v>2</v>
      </c>
      <c r="D5418" t="s">
        <v>11</v>
      </c>
      <c r="E5418" t="s">
        <v>95</v>
      </c>
      <c r="F5418" t="s">
        <v>103</v>
      </c>
      <c r="G5418" t="s">
        <v>103</v>
      </c>
      <c r="H5418" t="s">
        <v>103</v>
      </c>
      <c r="J5418">
        <v>0</v>
      </c>
      <c r="K5418">
        <v>7</v>
      </c>
      <c r="L5418">
        <v>98.291666669999998</v>
      </c>
      <c r="M5418">
        <v>30.315130790000001</v>
      </c>
      <c r="N5418">
        <v>5.0803484000000003E-2</v>
      </c>
      <c r="O5418">
        <v>0.42866070000000001</v>
      </c>
      <c r="P5418">
        <v>98.291666669999998</v>
      </c>
      <c r="Q5418">
        <v>30.315130790000001</v>
      </c>
      <c r="R5418">
        <v>5.0803484000000003E-2</v>
      </c>
      <c r="S5418">
        <v>0.42866070000000001</v>
      </c>
      <c r="T5418" t="s">
        <v>1041</v>
      </c>
      <c r="U5418">
        <v>0</v>
      </c>
    </row>
    <row r="5419" spans="1:21" x14ac:dyDescent="0.25">
      <c r="A5419" t="s">
        <v>38</v>
      </c>
      <c r="B5419" t="s">
        <v>943</v>
      </c>
      <c r="C5419">
        <v>2</v>
      </c>
      <c r="D5419" t="s">
        <v>11</v>
      </c>
      <c r="E5419" t="s">
        <v>95</v>
      </c>
      <c r="F5419" t="s">
        <v>103</v>
      </c>
      <c r="G5419" t="s">
        <v>103</v>
      </c>
      <c r="H5419" t="s">
        <v>103</v>
      </c>
      <c r="J5419">
        <v>0</v>
      </c>
      <c r="K5419">
        <v>7</v>
      </c>
      <c r="L5419">
        <v>98.291666669999998</v>
      </c>
      <c r="M5419">
        <v>30.315130790000001</v>
      </c>
      <c r="N5419">
        <v>5.0803484000000003E-2</v>
      </c>
      <c r="O5419">
        <v>0.42866070000000001</v>
      </c>
      <c r="P5419">
        <v>98.291666669999998</v>
      </c>
      <c r="Q5419">
        <v>30.315130790000001</v>
      </c>
      <c r="R5419">
        <v>5.0803484000000003E-2</v>
      </c>
      <c r="S5419">
        <v>0.42866070000000001</v>
      </c>
      <c r="T5419" t="s">
        <v>1041</v>
      </c>
      <c r="U5419">
        <v>0</v>
      </c>
    </row>
    <row r="5420" spans="1:21" x14ac:dyDescent="0.25">
      <c r="A5420" t="s">
        <v>38</v>
      </c>
      <c r="B5420" t="s">
        <v>943</v>
      </c>
      <c r="C5420">
        <v>2</v>
      </c>
      <c r="D5420" t="s">
        <v>11</v>
      </c>
      <c r="E5420" t="s">
        <v>95</v>
      </c>
      <c r="F5420" t="s">
        <v>103</v>
      </c>
      <c r="G5420" t="s">
        <v>103</v>
      </c>
      <c r="H5420" t="s">
        <v>103</v>
      </c>
      <c r="J5420">
        <v>0</v>
      </c>
      <c r="K5420">
        <v>7</v>
      </c>
      <c r="L5420">
        <v>98.291666669999998</v>
      </c>
      <c r="M5420">
        <v>30.315130790000001</v>
      </c>
      <c r="N5420">
        <v>5.0803484000000003E-2</v>
      </c>
      <c r="O5420">
        <v>0.42866070000000001</v>
      </c>
      <c r="P5420">
        <v>98.291666669999998</v>
      </c>
      <c r="Q5420">
        <v>30.315130790000001</v>
      </c>
      <c r="R5420">
        <v>5.0803484000000003E-2</v>
      </c>
      <c r="S5420">
        <v>0.42866070000000001</v>
      </c>
      <c r="T5420" t="s">
        <v>1041</v>
      </c>
      <c r="U5420">
        <v>0</v>
      </c>
    </row>
    <row r="5421" spans="1:21" x14ac:dyDescent="0.25">
      <c r="A5421" t="s">
        <v>38</v>
      </c>
      <c r="B5421" t="s">
        <v>943</v>
      </c>
      <c r="C5421">
        <v>2</v>
      </c>
      <c r="D5421" t="s">
        <v>11</v>
      </c>
      <c r="E5421" t="s">
        <v>95</v>
      </c>
      <c r="F5421" t="s">
        <v>103</v>
      </c>
      <c r="G5421" t="s">
        <v>103</v>
      </c>
      <c r="H5421" t="s">
        <v>103</v>
      </c>
      <c r="J5421">
        <v>0</v>
      </c>
      <c r="K5421">
        <v>7</v>
      </c>
      <c r="L5421">
        <v>98.291666669999998</v>
      </c>
      <c r="M5421">
        <v>30.315130790000001</v>
      </c>
      <c r="N5421">
        <v>5.0803484000000003E-2</v>
      </c>
      <c r="O5421">
        <v>0.42866070000000001</v>
      </c>
      <c r="P5421">
        <v>98.291666669999998</v>
      </c>
      <c r="Q5421">
        <v>30.315130790000001</v>
      </c>
      <c r="R5421">
        <v>5.0803484000000003E-2</v>
      </c>
      <c r="S5421">
        <v>0.42866070000000001</v>
      </c>
      <c r="T5421" t="s">
        <v>1041</v>
      </c>
      <c r="U5421">
        <v>0</v>
      </c>
    </row>
    <row r="5422" spans="1:21" x14ac:dyDescent="0.25">
      <c r="A5422" t="s">
        <v>38</v>
      </c>
      <c r="B5422" t="s">
        <v>943</v>
      </c>
      <c r="C5422">
        <v>2</v>
      </c>
      <c r="D5422" t="s">
        <v>11</v>
      </c>
      <c r="E5422" t="s">
        <v>95</v>
      </c>
      <c r="F5422" t="s">
        <v>103</v>
      </c>
      <c r="G5422" t="s">
        <v>103</v>
      </c>
      <c r="H5422" t="s">
        <v>113</v>
      </c>
      <c r="J5422">
        <v>0</v>
      </c>
      <c r="K5422">
        <v>2</v>
      </c>
      <c r="L5422">
        <v>98.291666669999998</v>
      </c>
      <c r="M5422">
        <v>30.315130790000001</v>
      </c>
      <c r="N5422">
        <v>5.0803484000000003E-2</v>
      </c>
      <c r="O5422">
        <v>0.42866070000000001</v>
      </c>
      <c r="P5422">
        <v>83.757575759999995</v>
      </c>
      <c r="Q5422">
        <v>22.60997987</v>
      </c>
      <c r="R5422">
        <v>0.72884000000000004</v>
      </c>
      <c r="S5422">
        <v>0.21301339999999999</v>
      </c>
      <c r="T5422" t="s">
        <v>1041</v>
      </c>
      <c r="U5422">
        <v>0.21564730000000001</v>
      </c>
    </row>
    <row r="5423" spans="1:21" x14ac:dyDescent="0.25">
      <c r="A5423" t="s">
        <v>38</v>
      </c>
      <c r="B5423" t="s">
        <v>943</v>
      </c>
      <c r="C5423">
        <v>2</v>
      </c>
      <c r="D5423" t="s">
        <v>11</v>
      </c>
      <c r="E5423" t="s">
        <v>95</v>
      </c>
      <c r="F5423" t="s">
        <v>103</v>
      </c>
      <c r="G5423" t="s">
        <v>103</v>
      </c>
      <c r="H5423" t="s">
        <v>113</v>
      </c>
      <c r="J5423">
        <v>0</v>
      </c>
      <c r="K5423">
        <v>2</v>
      </c>
      <c r="L5423">
        <v>98.291666669999998</v>
      </c>
      <c r="M5423">
        <v>30.315130790000001</v>
      </c>
      <c r="N5423">
        <v>5.0803484000000003E-2</v>
      </c>
      <c r="O5423">
        <v>0.42866070000000001</v>
      </c>
      <c r="P5423">
        <v>83.757575759999995</v>
      </c>
      <c r="Q5423">
        <v>22.60997987</v>
      </c>
      <c r="R5423">
        <v>0.72884000000000004</v>
      </c>
      <c r="S5423">
        <v>0.21301339999999999</v>
      </c>
      <c r="T5423" t="s">
        <v>1041</v>
      </c>
      <c r="U5423">
        <v>0.21564730000000001</v>
      </c>
    </row>
    <row r="5424" spans="1:21" x14ac:dyDescent="0.25">
      <c r="A5424" t="s">
        <v>38</v>
      </c>
      <c r="B5424" t="s">
        <v>944</v>
      </c>
      <c r="C5424">
        <v>2</v>
      </c>
      <c r="D5424" t="s">
        <v>11</v>
      </c>
      <c r="E5424" t="s">
        <v>95</v>
      </c>
      <c r="F5424" t="s">
        <v>111</v>
      </c>
      <c r="G5424" t="s">
        <v>103</v>
      </c>
      <c r="H5424" t="s">
        <v>103</v>
      </c>
      <c r="J5424">
        <v>0</v>
      </c>
      <c r="K5424">
        <v>2</v>
      </c>
      <c r="L5424">
        <v>94.97142857</v>
      </c>
      <c r="M5424">
        <v>24.31591813</v>
      </c>
      <c r="N5424">
        <v>0.122951111</v>
      </c>
      <c r="O5424">
        <v>0.39050790000000002</v>
      </c>
      <c r="P5424">
        <v>98.291666669999998</v>
      </c>
      <c r="Q5424">
        <v>30.315130790000001</v>
      </c>
      <c r="R5424">
        <v>5.0803484000000003E-2</v>
      </c>
      <c r="S5424">
        <v>0.42866070000000001</v>
      </c>
      <c r="T5424" t="s">
        <v>1041</v>
      </c>
      <c r="U5424">
        <v>3.8152799999999987E-2</v>
      </c>
    </row>
    <row r="5425" spans="1:21" x14ac:dyDescent="0.25">
      <c r="A5425" t="s">
        <v>38</v>
      </c>
      <c r="B5425" t="s">
        <v>944</v>
      </c>
      <c r="C5425">
        <v>2</v>
      </c>
      <c r="D5425" t="s">
        <v>11</v>
      </c>
      <c r="E5425" t="s">
        <v>95</v>
      </c>
      <c r="F5425" t="s">
        <v>111</v>
      </c>
      <c r="G5425" t="s">
        <v>103</v>
      </c>
      <c r="H5425" t="s">
        <v>103</v>
      </c>
      <c r="J5425">
        <v>0</v>
      </c>
      <c r="K5425">
        <v>2</v>
      </c>
      <c r="L5425">
        <v>94.97142857</v>
      </c>
      <c r="M5425">
        <v>24.31591813</v>
      </c>
      <c r="N5425">
        <v>0.122951111</v>
      </c>
      <c r="O5425">
        <v>0.39050790000000002</v>
      </c>
      <c r="P5425">
        <v>98.291666669999998</v>
      </c>
      <c r="Q5425">
        <v>30.315130790000001</v>
      </c>
      <c r="R5425">
        <v>5.0803484000000003E-2</v>
      </c>
      <c r="S5425">
        <v>0.42866070000000001</v>
      </c>
      <c r="T5425" t="s">
        <v>1041</v>
      </c>
      <c r="U5425">
        <v>3.8152799999999987E-2</v>
      </c>
    </row>
    <row r="5426" spans="1:21" x14ac:dyDescent="0.25">
      <c r="A5426" t="s">
        <v>39</v>
      </c>
      <c r="B5426" t="s">
        <v>945</v>
      </c>
      <c r="C5426">
        <v>2</v>
      </c>
      <c r="D5426" t="s">
        <v>15</v>
      </c>
      <c r="E5426" t="s">
        <v>94</v>
      </c>
      <c r="F5426" t="s">
        <v>102</v>
      </c>
      <c r="G5426" t="s">
        <v>102</v>
      </c>
      <c r="H5426" t="s">
        <v>235</v>
      </c>
      <c r="J5426">
        <v>0</v>
      </c>
      <c r="K5426">
        <v>1</v>
      </c>
      <c r="L5426">
        <v>84.740740740000007</v>
      </c>
      <c r="M5426">
        <v>29.167014049999999</v>
      </c>
      <c r="N5426">
        <v>1.1169849999999999</v>
      </c>
      <c r="O5426">
        <v>1.1571499000000001</v>
      </c>
      <c r="P5426">
        <v>132.27272730000001</v>
      </c>
      <c r="Q5426">
        <v>20.180448590000001</v>
      </c>
      <c r="R5426">
        <v>3.7813451999999997E-2</v>
      </c>
      <c r="S5426">
        <v>0.41404401000000002</v>
      </c>
      <c r="T5426" t="s">
        <v>1041</v>
      </c>
      <c r="U5426">
        <v>0.74310589000000005</v>
      </c>
    </row>
    <row r="5427" spans="1:21" x14ac:dyDescent="0.25">
      <c r="A5427" t="s">
        <v>39</v>
      </c>
      <c r="B5427" t="s">
        <v>945</v>
      </c>
      <c r="C5427">
        <v>2</v>
      </c>
      <c r="D5427" t="s">
        <v>15</v>
      </c>
      <c r="E5427" t="s">
        <v>94</v>
      </c>
      <c r="F5427" t="s">
        <v>102</v>
      </c>
      <c r="G5427" t="s">
        <v>102</v>
      </c>
      <c r="H5427" t="s">
        <v>113</v>
      </c>
      <c r="J5427">
        <v>0</v>
      </c>
      <c r="K5427">
        <v>2</v>
      </c>
      <c r="L5427">
        <v>84.740740740000007</v>
      </c>
      <c r="M5427">
        <v>29.167014049999999</v>
      </c>
      <c r="N5427">
        <v>1.1169849999999999</v>
      </c>
      <c r="O5427">
        <v>1.1571499000000001</v>
      </c>
      <c r="P5427">
        <v>83.757575759999995</v>
      </c>
      <c r="Q5427">
        <v>22.60997987</v>
      </c>
      <c r="R5427">
        <v>0.72884000000000004</v>
      </c>
      <c r="S5427">
        <v>0.21301339999999999</v>
      </c>
      <c r="T5427" t="s">
        <v>1041</v>
      </c>
      <c r="U5427">
        <v>0.94413650000000005</v>
      </c>
    </row>
    <row r="5428" spans="1:21" x14ac:dyDescent="0.25">
      <c r="A5428" t="s">
        <v>39</v>
      </c>
      <c r="B5428" t="s">
        <v>945</v>
      </c>
      <c r="C5428">
        <v>2</v>
      </c>
      <c r="D5428" t="s">
        <v>15</v>
      </c>
      <c r="E5428" t="s">
        <v>94</v>
      </c>
      <c r="F5428" t="s">
        <v>102</v>
      </c>
      <c r="G5428" t="s">
        <v>102</v>
      </c>
      <c r="H5428" t="s">
        <v>113</v>
      </c>
      <c r="J5428">
        <v>0</v>
      </c>
      <c r="K5428">
        <v>2</v>
      </c>
      <c r="L5428">
        <v>84.740740740000007</v>
      </c>
      <c r="M5428">
        <v>29.167014049999999</v>
      </c>
      <c r="N5428">
        <v>1.1169849999999999</v>
      </c>
      <c r="O5428">
        <v>1.1571499000000001</v>
      </c>
      <c r="P5428">
        <v>83.757575759999995</v>
      </c>
      <c r="Q5428">
        <v>22.60997987</v>
      </c>
      <c r="R5428">
        <v>0.72884000000000004</v>
      </c>
      <c r="S5428">
        <v>0.21301339999999999</v>
      </c>
      <c r="T5428" t="s">
        <v>1041</v>
      </c>
      <c r="U5428">
        <v>0.94413650000000005</v>
      </c>
    </row>
    <row r="5429" spans="1:21" x14ac:dyDescent="0.25">
      <c r="A5429" t="s">
        <v>39</v>
      </c>
      <c r="B5429" t="s">
        <v>945</v>
      </c>
      <c r="C5429">
        <v>2</v>
      </c>
      <c r="D5429" t="s">
        <v>15</v>
      </c>
      <c r="E5429" t="s">
        <v>94</v>
      </c>
      <c r="F5429" t="s">
        <v>102</v>
      </c>
      <c r="G5429" t="s">
        <v>102</v>
      </c>
      <c r="H5429" t="s">
        <v>103</v>
      </c>
      <c r="J5429">
        <v>0</v>
      </c>
      <c r="K5429">
        <v>3</v>
      </c>
      <c r="L5429">
        <v>84.740740740000007</v>
      </c>
      <c r="M5429">
        <v>29.167014049999999</v>
      </c>
      <c r="N5429">
        <v>1.1169849999999999</v>
      </c>
      <c r="O5429">
        <v>1.1571499000000001</v>
      </c>
      <c r="P5429">
        <v>98.291666669999998</v>
      </c>
      <c r="Q5429">
        <v>30.315130790000001</v>
      </c>
      <c r="R5429">
        <v>5.0803484000000003E-2</v>
      </c>
      <c r="S5429">
        <v>0.42866070000000001</v>
      </c>
      <c r="T5429" t="s">
        <v>1041</v>
      </c>
      <c r="U5429">
        <v>0.72848920000000006</v>
      </c>
    </row>
    <row r="5430" spans="1:21" x14ac:dyDescent="0.25">
      <c r="A5430" t="s">
        <v>39</v>
      </c>
      <c r="B5430" t="s">
        <v>945</v>
      </c>
      <c r="C5430">
        <v>2</v>
      </c>
      <c r="D5430" t="s">
        <v>15</v>
      </c>
      <c r="E5430" t="s">
        <v>94</v>
      </c>
      <c r="F5430" t="s">
        <v>102</v>
      </c>
      <c r="G5430" t="s">
        <v>102</v>
      </c>
      <c r="H5430" t="s">
        <v>103</v>
      </c>
      <c r="J5430">
        <v>0</v>
      </c>
      <c r="K5430">
        <v>3</v>
      </c>
      <c r="L5430">
        <v>84.740740740000007</v>
      </c>
      <c r="M5430">
        <v>29.167014049999999</v>
      </c>
      <c r="N5430">
        <v>1.1169849999999999</v>
      </c>
      <c r="O5430">
        <v>1.1571499000000001</v>
      </c>
      <c r="P5430">
        <v>98.291666669999998</v>
      </c>
      <c r="Q5430">
        <v>30.315130790000001</v>
      </c>
      <c r="R5430">
        <v>5.0803484000000003E-2</v>
      </c>
      <c r="S5430">
        <v>0.42866070000000001</v>
      </c>
      <c r="T5430" t="s">
        <v>1041</v>
      </c>
      <c r="U5430">
        <v>0.72848920000000006</v>
      </c>
    </row>
    <row r="5431" spans="1:21" x14ac:dyDescent="0.25">
      <c r="A5431" t="s">
        <v>39</v>
      </c>
      <c r="B5431" t="s">
        <v>945</v>
      </c>
      <c r="C5431">
        <v>2</v>
      </c>
      <c r="D5431" t="s">
        <v>15</v>
      </c>
      <c r="E5431" t="s">
        <v>94</v>
      </c>
      <c r="F5431" t="s">
        <v>102</v>
      </c>
      <c r="G5431" t="s">
        <v>102</v>
      </c>
      <c r="H5431" t="s">
        <v>103</v>
      </c>
      <c r="J5431">
        <v>0</v>
      </c>
      <c r="K5431">
        <v>3</v>
      </c>
      <c r="L5431">
        <v>84.740740740000007</v>
      </c>
      <c r="M5431">
        <v>29.167014049999999</v>
      </c>
      <c r="N5431">
        <v>1.1169849999999999</v>
      </c>
      <c r="O5431">
        <v>1.1571499000000001</v>
      </c>
      <c r="P5431">
        <v>98.291666669999998</v>
      </c>
      <c r="Q5431">
        <v>30.315130790000001</v>
      </c>
      <c r="R5431">
        <v>5.0803484000000003E-2</v>
      </c>
      <c r="S5431">
        <v>0.42866070000000001</v>
      </c>
      <c r="T5431" t="s">
        <v>1041</v>
      </c>
      <c r="U5431">
        <v>0.72848920000000006</v>
      </c>
    </row>
    <row r="5432" spans="1:21" x14ac:dyDescent="0.25">
      <c r="A5432" t="s">
        <v>39</v>
      </c>
      <c r="B5432" t="s">
        <v>945</v>
      </c>
      <c r="C5432">
        <v>2</v>
      </c>
      <c r="D5432" t="s">
        <v>15</v>
      </c>
      <c r="E5432" t="s">
        <v>94</v>
      </c>
      <c r="F5432" t="s">
        <v>102</v>
      </c>
      <c r="G5432" t="s">
        <v>102</v>
      </c>
      <c r="H5432" t="s">
        <v>233</v>
      </c>
      <c r="J5432">
        <v>0</v>
      </c>
      <c r="K5432">
        <v>1</v>
      </c>
      <c r="L5432">
        <v>84.740740740000007</v>
      </c>
      <c r="M5432">
        <v>29.167014049999999</v>
      </c>
      <c r="N5432">
        <v>1.1169849999999999</v>
      </c>
      <c r="O5432">
        <v>1.1571499000000001</v>
      </c>
      <c r="P5432">
        <v>106.0540541</v>
      </c>
      <c r="Q5432">
        <v>52.690533369999997</v>
      </c>
      <c r="R5432">
        <v>7.6058968000000005E-2</v>
      </c>
      <c r="S5432">
        <v>0.44888888999999998</v>
      </c>
      <c r="T5432" t="s">
        <v>1041</v>
      </c>
      <c r="U5432">
        <v>0.70826101000000008</v>
      </c>
    </row>
    <row r="5433" spans="1:21" x14ac:dyDescent="0.25">
      <c r="A5433" t="s">
        <v>39</v>
      </c>
      <c r="B5433" t="s">
        <v>945</v>
      </c>
      <c r="C5433">
        <v>2</v>
      </c>
      <c r="D5433" t="s">
        <v>15</v>
      </c>
      <c r="E5433" t="s">
        <v>94</v>
      </c>
      <c r="F5433" t="s">
        <v>102</v>
      </c>
      <c r="G5433" t="s">
        <v>102</v>
      </c>
      <c r="H5433" t="s">
        <v>104</v>
      </c>
      <c r="J5433">
        <v>0</v>
      </c>
      <c r="K5433">
        <v>1</v>
      </c>
      <c r="L5433">
        <v>84.740740740000007</v>
      </c>
      <c r="M5433">
        <v>29.167014049999999</v>
      </c>
      <c r="N5433">
        <v>1.1169849999999999</v>
      </c>
      <c r="O5433">
        <v>1.1571499000000001</v>
      </c>
      <c r="P5433">
        <v>113.9375</v>
      </c>
      <c r="Q5433">
        <v>33.375507550000002</v>
      </c>
      <c r="R5433">
        <v>2.4262999999999999</v>
      </c>
      <c r="S5433">
        <v>0.40692159999999999</v>
      </c>
      <c r="T5433" t="s">
        <v>1041</v>
      </c>
      <c r="U5433">
        <v>0.75022830000000007</v>
      </c>
    </row>
    <row r="5434" spans="1:21" x14ac:dyDescent="0.25">
      <c r="A5434" t="s">
        <v>39</v>
      </c>
      <c r="B5434" t="s">
        <v>946</v>
      </c>
      <c r="C5434">
        <v>2</v>
      </c>
      <c r="D5434" t="s">
        <v>15</v>
      </c>
      <c r="E5434" t="s">
        <v>94</v>
      </c>
      <c r="F5434" t="s">
        <v>113</v>
      </c>
      <c r="G5434" t="s">
        <v>113</v>
      </c>
      <c r="H5434" t="s">
        <v>113</v>
      </c>
      <c r="J5434">
        <v>0</v>
      </c>
      <c r="K5434">
        <v>5</v>
      </c>
      <c r="L5434">
        <v>83.757575759999995</v>
      </c>
      <c r="M5434">
        <v>22.60997987</v>
      </c>
      <c r="N5434">
        <v>0.72884000000000004</v>
      </c>
      <c r="O5434">
        <v>0.21301339999999999</v>
      </c>
      <c r="P5434">
        <v>83.757575759999995</v>
      </c>
      <c r="Q5434">
        <v>22.60997987</v>
      </c>
      <c r="R5434">
        <v>0.72884000000000004</v>
      </c>
      <c r="S5434">
        <v>0.21301339999999999</v>
      </c>
      <c r="T5434" t="s">
        <v>1041</v>
      </c>
      <c r="U5434">
        <v>0</v>
      </c>
    </row>
    <row r="5435" spans="1:21" x14ac:dyDescent="0.25">
      <c r="A5435" t="s">
        <v>39</v>
      </c>
      <c r="B5435" t="s">
        <v>946</v>
      </c>
      <c r="C5435">
        <v>2</v>
      </c>
      <c r="D5435" t="s">
        <v>15</v>
      </c>
      <c r="E5435" t="s">
        <v>94</v>
      </c>
      <c r="F5435" t="s">
        <v>113</v>
      </c>
      <c r="G5435" t="s">
        <v>113</v>
      </c>
      <c r="H5435" t="s">
        <v>113</v>
      </c>
      <c r="J5435">
        <v>0</v>
      </c>
      <c r="K5435">
        <v>5</v>
      </c>
      <c r="L5435">
        <v>83.757575759999995</v>
      </c>
      <c r="M5435">
        <v>22.60997987</v>
      </c>
      <c r="N5435">
        <v>0.72884000000000004</v>
      </c>
      <c r="O5435">
        <v>0.21301339999999999</v>
      </c>
      <c r="P5435">
        <v>83.757575759999995</v>
      </c>
      <c r="Q5435">
        <v>22.60997987</v>
      </c>
      <c r="R5435">
        <v>0.72884000000000004</v>
      </c>
      <c r="S5435">
        <v>0.21301339999999999</v>
      </c>
      <c r="T5435" t="s">
        <v>1041</v>
      </c>
      <c r="U5435">
        <v>0</v>
      </c>
    </row>
    <row r="5436" spans="1:21" x14ac:dyDescent="0.25">
      <c r="A5436" t="s">
        <v>39</v>
      </c>
      <c r="B5436" t="s">
        <v>946</v>
      </c>
      <c r="C5436">
        <v>2</v>
      </c>
      <c r="D5436" t="s">
        <v>15</v>
      </c>
      <c r="E5436" t="s">
        <v>94</v>
      </c>
      <c r="F5436" t="s">
        <v>113</v>
      </c>
      <c r="G5436" t="s">
        <v>113</v>
      </c>
      <c r="H5436" t="s">
        <v>113</v>
      </c>
      <c r="J5436">
        <v>0</v>
      </c>
      <c r="K5436">
        <v>5</v>
      </c>
      <c r="L5436">
        <v>83.757575759999995</v>
      </c>
      <c r="M5436">
        <v>22.60997987</v>
      </c>
      <c r="N5436">
        <v>0.72884000000000004</v>
      </c>
      <c r="O5436">
        <v>0.21301339999999999</v>
      </c>
      <c r="P5436">
        <v>83.757575759999995</v>
      </c>
      <c r="Q5436">
        <v>22.60997987</v>
      </c>
      <c r="R5436">
        <v>0.72884000000000004</v>
      </c>
      <c r="S5436">
        <v>0.21301339999999999</v>
      </c>
      <c r="T5436" t="s">
        <v>1041</v>
      </c>
      <c r="U5436">
        <v>0</v>
      </c>
    </row>
    <row r="5437" spans="1:21" x14ac:dyDescent="0.25">
      <c r="A5437" t="s">
        <v>39</v>
      </c>
      <c r="B5437" t="s">
        <v>946</v>
      </c>
      <c r="C5437">
        <v>2</v>
      </c>
      <c r="D5437" t="s">
        <v>15</v>
      </c>
      <c r="E5437" t="s">
        <v>94</v>
      </c>
      <c r="F5437" t="s">
        <v>113</v>
      </c>
      <c r="G5437" t="s">
        <v>113</v>
      </c>
      <c r="H5437" t="s">
        <v>113</v>
      </c>
      <c r="J5437">
        <v>0</v>
      </c>
      <c r="K5437">
        <v>5</v>
      </c>
      <c r="L5437">
        <v>83.757575759999995</v>
      </c>
      <c r="M5437">
        <v>22.60997987</v>
      </c>
      <c r="N5437">
        <v>0.72884000000000004</v>
      </c>
      <c r="O5437">
        <v>0.21301339999999999</v>
      </c>
      <c r="P5437">
        <v>83.757575759999995</v>
      </c>
      <c r="Q5437">
        <v>22.60997987</v>
      </c>
      <c r="R5437">
        <v>0.72884000000000004</v>
      </c>
      <c r="S5437">
        <v>0.21301339999999999</v>
      </c>
      <c r="T5437" t="s">
        <v>1041</v>
      </c>
      <c r="U5437">
        <v>0</v>
      </c>
    </row>
    <row r="5438" spans="1:21" x14ac:dyDescent="0.25">
      <c r="A5438" t="s">
        <v>39</v>
      </c>
      <c r="B5438" t="s">
        <v>946</v>
      </c>
      <c r="C5438">
        <v>2</v>
      </c>
      <c r="D5438" t="s">
        <v>15</v>
      </c>
      <c r="E5438" t="s">
        <v>94</v>
      </c>
      <c r="F5438" t="s">
        <v>113</v>
      </c>
      <c r="G5438" t="s">
        <v>113</v>
      </c>
      <c r="H5438" t="s">
        <v>113</v>
      </c>
      <c r="J5438">
        <v>0</v>
      </c>
      <c r="K5438">
        <v>5</v>
      </c>
      <c r="L5438">
        <v>83.757575759999995</v>
      </c>
      <c r="M5438">
        <v>22.60997987</v>
      </c>
      <c r="N5438">
        <v>0.72884000000000004</v>
      </c>
      <c r="O5438">
        <v>0.21301339999999999</v>
      </c>
      <c r="P5438">
        <v>83.757575759999995</v>
      </c>
      <c r="Q5438">
        <v>22.60997987</v>
      </c>
      <c r="R5438">
        <v>0.72884000000000004</v>
      </c>
      <c r="S5438">
        <v>0.21301339999999999</v>
      </c>
      <c r="T5438" t="s">
        <v>1041</v>
      </c>
      <c r="U5438">
        <v>0</v>
      </c>
    </row>
    <row r="5439" spans="1:21" x14ac:dyDescent="0.25">
      <c r="A5439" t="s">
        <v>39</v>
      </c>
      <c r="B5439" t="s">
        <v>946</v>
      </c>
      <c r="C5439">
        <v>2</v>
      </c>
      <c r="D5439" t="s">
        <v>15</v>
      </c>
      <c r="E5439" t="s">
        <v>94</v>
      </c>
      <c r="F5439" t="s">
        <v>113</v>
      </c>
      <c r="G5439" t="s">
        <v>113</v>
      </c>
      <c r="H5439" t="s">
        <v>233</v>
      </c>
      <c r="J5439">
        <v>0</v>
      </c>
      <c r="K5439">
        <v>4</v>
      </c>
      <c r="L5439">
        <v>83.757575759999995</v>
      </c>
      <c r="M5439">
        <v>22.60997987</v>
      </c>
      <c r="N5439">
        <v>0.72884000000000004</v>
      </c>
      <c r="O5439">
        <v>0.21301339999999999</v>
      </c>
      <c r="P5439">
        <v>106.0540541</v>
      </c>
      <c r="Q5439">
        <v>52.690533369999997</v>
      </c>
      <c r="R5439">
        <v>7.6058968000000005E-2</v>
      </c>
      <c r="S5439">
        <v>0.44888888999999998</v>
      </c>
      <c r="T5439" t="s">
        <v>1041</v>
      </c>
      <c r="U5439">
        <v>0.23587548999999999</v>
      </c>
    </row>
    <row r="5440" spans="1:21" x14ac:dyDescent="0.25">
      <c r="A5440" t="s">
        <v>39</v>
      </c>
      <c r="B5440" t="s">
        <v>946</v>
      </c>
      <c r="C5440">
        <v>2</v>
      </c>
      <c r="D5440" t="s">
        <v>15</v>
      </c>
      <c r="E5440" t="s">
        <v>94</v>
      </c>
      <c r="F5440" t="s">
        <v>113</v>
      </c>
      <c r="G5440" t="s">
        <v>113</v>
      </c>
      <c r="H5440" t="s">
        <v>233</v>
      </c>
      <c r="J5440">
        <v>0</v>
      </c>
      <c r="K5440">
        <v>4</v>
      </c>
      <c r="L5440">
        <v>83.757575759999995</v>
      </c>
      <c r="M5440">
        <v>22.60997987</v>
      </c>
      <c r="N5440">
        <v>0.72884000000000004</v>
      </c>
      <c r="O5440">
        <v>0.21301339999999999</v>
      </c>
      <c r="P5440">
        <v>106.0540541</v>
      </c>
      <c r="Q5440">
        <v>52.690533369999997</v>
      </c>
      <c r="R5440">
        <v>7.6058968000000005E-2</v>
      </c>
      <c r="S5440">
        <v>0.44888888999999998</v>
      </c>
      <c r="T5440" t="s">
        <v>1041</v>
      </c>
      <c r="U5440">
        <v>0.23587548999999999</v>
      </c>
    </row>
    <row r="5441" spans="1:21" x14ac:dyDescent="0.25">
      <c r="A5441" t="s">
        <v>39</v>
      </c>
      <c r="B5441" t="s">
        <v>946</v>
      </c>
      <c r="C5441">
        <v>2</v>
      </c>
      <c r="D5441" t="s">
        <v>15</v>
      </c>
      <c r="E5441" t="s">
        <v>94</v>
      </c>
      <c r="F5441" t="s">
        <v>113</v>
      </c>
      <c r="G5441" t="s">
        <v>113</v>
      </c>
      <c r="H5441" t="s">
        <v>233</v>
      </c>
      <c r="J5441">
        <v>0</v>
      </c>
      <c r="K5441">
        <v>4</v>
      </c>
      <c r="L5441">
        <v>83.757575759999995</v>
      </c>
      <c r="M5441">
        <v>22.60997987</v>
      </c>
      <c r="N5441">
        <v>0.72884000000000004</v>
      </c>
      <c r="O5441">
        <v>0.21301339999999999</v>
      </c>
      <c r="P5441">
        <v>106.0540541</v>
      </c>
      <c r="Q5441">
        <v>52.690533369999997</v>
      </c>
      <c r="R5441">
        <v>7.6058968000000005E-2</v>
      </c>
      <c r="S5441">
        <v>0.44888888999999998</v>
      </c>
      <c r="T5441" t="s">
        <v>1041</v>
      </c>
      <c r="U5441">
        <v>0.23587548999999999</v>
      </c>
    </row>
    <row r="5442" spans="1:21" x14ac:dyDescent="0.25">
      <c r="A5442" t="s">
        <v>39</v>
      </c>
      <c r="B5442" t="s">
        <v>946</v>
      </c>
      <c r="C5442">
        <v>2</v>
      </c>
      <c r="D5442" t="s">
        <v>15</v>
      </c>
      <c r="E5442" t="s">
        <v>94</v>
      </c>
      <c r="F5442" t="s">
        <v>113</v>
      </c>
      <c r="G5442" t="s">
        <v>113</v>
      </c>
      <c r="H5442" t="s">
        <v>233</v>
      </c>
      <c r="J5442">
        <v>0</v>
      </c>
      <c r="K5442">
        <v>4</v>
      </c>
      <c r="L5442">
        <v>83.757575759999995</v>
      </c>
      <c r="M5442">
        <v>22.60997987</v>
      </c>
      <c r="N5442">
        <v>0.72884000000000004</v>
      </c>
      <c r="O5442">
        <v>0.21301339999999999</v>
      </c>
      <c r="P5442">
        <v>106.0540541</v>
      </c>
      <c r="Q5442">
        <v>52.690533369999997</v>
      </c>
      <c r="R5442">
        <v>7.6058968000000005E-2</v>
      </c>
      <c r="S5442">
        <v>0.44888888999999998</v>
      </c>
      <c r="T5442" t="s">
        <v>1041</v>
      </c>
      <c r="U5442">
        <v>0.23587548999999999</v>
      </c>
    </row>
    <row r="5443" spans="1:21" x14ac:dyDescent="0.25">
      <c r="A5443" t="s">
        <v>39</v>
      </c>
      <c r="B5443" t="s">
        <v>946</v>
      </c>
      <c r="C5443">
        <v>2</v>
      </c>
      <c r="D5443" t="s">
        <v>15</v>
      </c>
      <c r="E5443" t="s">
        <v>94</v>
      </c>
      <c r="F5443" t="s">
        <v>113</v>
      </c>
      <c r="G5443" t="s">
        <v>113</v>
      </c>
      <c r="H5443" t="s">
        <v>234</v>
      </c>
      <c r="J5443">
        <v>0</v>
      </c>
      <c r="K5443">
        <v>1</v>
      </c>
      <c r="L5443">
        <v>83.757575759999995</v>
      </c>
      <c r="M5443">
        <v>22.60997987</v>
      </c>
      <c r="N5443">
        <v>0.72884000000000004</v>
      </c>
      <c r="O5443">
        <v>0.21301339999999999</v>
      </c>
      <c r="P5443">
        <v>89.8125</v>
      </c>
      <c r="Q5443">
        <v>34.754706650000003</v>
      </c>
      <c r="R5443">
        <v>2.3065078999999999E-2</v>
      </c>
      <c r="S5443">
        <v>2.4791666700000001</v>
      </c>
      <c r="T5443" t="s">
        <v>1041</v>
      </c>
      <c r="U5443">
        <v>2.2661532700000002</v>
      </c>
    </row>
    <row r="5444" spans="1:21" x14ac:dyDescent="0.25">
      <c r="A5444" t="s">
        <v>39</v>
      </c>
      <c r="B5444" t="s">
        <v>947</v>
      </c>
      <c r="C5444">
        <v>2</v>
      </c>
      <c r="D5444" t="s">
        <v>15</v>
      </c>
      <c r="E5444" t="s">
        <v>94</v>
      </c>
      <c r="F5444" t="s">
        <v>103</v>
      </c>
      <c r="G5444" t="s">
        <v>103</v>
      </c>
      <c r="H5444" t="s">
        <v>103</v>
      </c>
      <c r="J5444">
        <v>0</v>
      </c>
      <c r="K5444">
        <v>3</v>
      </c>
      <c r="L5444">
        <v>98.291666669999998</v>
      </c>
      <c r="M5444">
        <v>30.315130790000001</v>
      </c>
      <c r="N5444">
        <v>5.0803484000000003E-2</v>
      </c>
      <c r="O5444">
        <v>0.42866070000000001</v>
      </c>
      <c r="P5444">
        <v>98.291666669999998</v>
      </c>
      <c r="Q5444">
        <v>30.315130790000001</v>
      </c>
      <c r="R5444">
        <v>5.0803484000000003E-2</v>
      </c>
      <c r="S5444">
        <v>0.42866070000000001</v>
      </c>
      <c r="T5444" t="s">
        <v>1041</v>
      </c>
      <c r="U5444">
        <v>0</v>
      </c>
    </row>
    <row r="5445" spans="1:21" x14ac:dyDescent="0.25">
      <c r="A5445" t="s">
        <v>39</v>
      </c>
      <c r="B5445" t="s">
        <v>947</v>
      </c>
      <c r="C5445">
        <v>2</v>
      </c>
      <c r="D5445" t="s">
        <v>15</v>
      </c>
      <c r="E5445" t="s">
        <v>94</v>
      </c>
      <c r="F5445" t="s">
        <v>103</v>
      </c>
      <c r="G5445" t="s">
        <v>103</v>
      </c>
      <c r="H5445" t="s">
        <v>103</v>
      </c>
      <c r="J5445">
        <v>0</v>
      </c>
      <c r="K5445">
        <v>3</v>
      </c>
      <c r="L5445">
        <v>98.291666669999998</v>
      </c>
      <c r="M5445">
        <v>30.315130790000001</v>
      </c>
      <c r="N5445">
        <v>5.0803484000000003E-2</v>
      </c>
      <c r="O5445">
        <v>0.42866070000000001</v>
      </c>
      <c r="P5445">
        <v>98.291666669999998</v>
      </c>
      <c r="Q5445">
        <v>30.315130790000001</v>
      </c>
      <c r="R5445">
        <v>5.0803484000000003E-2</v>
      </c>
      <c r="S5445">
        <v>0.42866070000000001</v>
      </c>
      <c r="T5445" t="s">
        <v>1041</v>
      </c>
      <c r="U5445">
        <v>0</v>
      </c>
    </row>
    <row r="5446" spans="1:21" x14ac:dyDescent="0.25">
      <c r="A5446" t="s">
        <v>39</v>
      </c>
      <c r="B5446" t="s">
        <v>947</v>
      </c>
      <c r="C5446">
        <v>2</v>
      </c>
      <c r="D5446" t="s">
        <v>15</v>
      </c>
      <c r="E5446" t="s">
        <v>94</v>
      </c>
      <c r="F5446" t="s">
        <v>103</v>
      </c>
      <c r="G5446" t="s">
        <v>103</v>
      </c>
      <c r="H5446" t="s">
        <v>103</v>
      </c>
      <c r="J5446">
        <v>0</v>
      </c>
      <c r="K5446">
        <v>3</v>
      </c>
      <c r="L5446">
        <v>98.291666669999998</v>
      </c>
      <c r="M5446">
        <v>30.315130790000001</v>
      </c>
      <c r="N5446">
        <v>5.0803484000000003E-2</v>
      </c>
      <c r="O5446">
        <v>0.42866070000000001</v>
      </c>
      <c r="P5446">
        <v>98.291666669999998</v>
      </c>
      <c r="Q5446">
        <v>30.315130790000001</v>
      </c>
      <c r="R5446">
        <v>5.0803484000000003E-2</v>
      </c>
      <c r="S5446">
        <v>0.42866070000000001</v>
      </c>
      <c r="T5446" t="s">
        <v>1041</v>
      </c>
      <c r="U5446">
        <v>0</v>
      </c>
    </row>
    <row r="5447" spans="1:21" x14ac:dyDescent="0.25">
      <c r="A5447" t="s">
        <v>39</v>
      </c>
      <c r="B5447" t="s">
        <v>947</v>
      </c>
      <c r="C5447">
        <v>2</v>
      </c>
      <c r="D5447" t="s">
        <v>15</v>
      </c>
      <c r="E5447" t="s">
        <v>94</v>
      </c>
      <c r="F5447" t="s">
        <v>103</v>
      </c>
      <c r="G5447" t="s">
        <v>103</v>
      </c>
      <c r="H5447" t="s">
        <v>104</v>
      </c>
      <c r="J5447">
        <v>0</v>
      </c>
      <c r="K5447">
        <v>1</v>
      </c>
      <c r="L5447">
        <v>98.291666669999998</v>
      </c>
      <c r="M5447">
        <v>30.315130790000001</v>
      </c>
      <c r="N5447">
        <v>5.0803484000000003E-2</v>
      </c>
      <c r="O5447">
        <v>0.42866070000000001</v>
      </c>
      <c r="P5447">
        <v>113.9375</v>
      </c>
      <c r="Q5447">
        <v>33.375507550000002</v>
      </c>
      <c r="R5447">
        <v>2.4262999999999999</v>
      </c>
      <c r="S5447">
        <v>0.40692159999999999</v>
      </c>
      <c r="T5447" t="s">
        <v>1041</v>
      </c>
      <c r="U5447">
        <v>2.1739100000000011E-2</v>
      </c>
    </row>
    <row r="5448" spans="1:21" x14ac:dyDescent="0.25">
      <c r="A5448" t="s">
        <v>39</v>
      </c>
      <c r="B5448" t="s">
        <v>947</v>
      </c>
      <c r="C5448">
        <v>2</v>
      </c>
      <c r="D5448" t="s">
        <v>15</v>
      </c>
      <c r="E5448" t="s">
        <v>94</v>
      </c>
      <c r="F5448" t="s">
        <v>103</v>
      </c>
      <c r="G5448" t="s">
        <v>103</v>
      </c>
      <c r="H5448" t="s">
        <v>113</v>
      </c>
      <c r="J5448">
        <v>0</v>
      </c>
      <c r="K5448">
        <v>4</v>
      </c>
      <c r="L5448">
        <v>98.291666669999998</v>
      </c>
      <c r="M5448">
        <v>30.315130790000001</v>
      </c>
      <c r="N5448">
        <v>5.0803484000000003E-2</v>
      </c>
      <c r="O5448">
        <v>0.42866070000000001</v>
      </c>
      <c r="P5448">
        <v>83.757575759999995</v>
      </c>
      <c r="Q5448">
        <v>22.60997987</v>
      </c>
      <c r="R5448">
        <v>0.72884000000000004</v>
      </c>
      <c r="S5448">
        <v>0.21301339999999999</v>
      </c>
      <c r="T5448" t="s">
        <v>1041</v>
      </c>
      <c r="U5448">
        <v>0.21564730000000001</v>
      </c>
    </row>
    <row r="5449" spans="1:21" x14ac:dyDescent="0.25">
      <c r="A5449" t="s">
        <v>39</v>
      </c>
      <c r="B5449" t="s">
        <v>947</v>
      </c>
      <c r="C5449">
        <v>2</v>
      </c>
      <c r="D5449" t="s">
        <v>15</v>
      </c>
      <c r="E5449" t="s">
        <v>94</v>
      </c>
      <c r="F5449" t="s">
        <v>103</v>
      </c>
      <c r="G5449" t="s">
        <v>103</v>
      </c>
      <c r="H5449" t="s">
        <v>113</v>
      </c>
      <c r="J5449">
        <v>0</v>
      </c>
      <c r="K5449">
        <v>4</v>
      </c>
      <c r="L5449">
        <v>98.291666669999998</v>
      </c>
      <c r="M5449">
        <v>30.315130790000001</v>
      </c>
      <c r="N5449">
        <v>5.0803484000000003E-2</v>
      </c>
      <c r="O5449">
        <v>0.42866070000000001</v>
      </c>
      <c r="P5449">
        <v>83.757575759999995</v>
      </c>
      <c r="Q5449">
        <v>22.60997987</v>
      </c>
      <c r="R5449">
        <v>0.72884000000000004</v>
      </c>
      <c r="S5449">
        <v>0.21301339999999999</v>
      </c>
      <c r="T5449" t="s">
        <v>1041</v>
      </c>
      <c r="U5449">
        <v>0.21564730000000001</v>
      </c>
    </row>
    <row r="5450" spans="1:21" x14ac:dyDescent="0.25">
      <c r="A5450" t="s">
        <v>39</v>
      </c>
      <c r="B5450" t="s">
        <v>947</v>
      </c>
      <c r="C5450">
        <v>2</v>
      </c>
      <c r="D5450" t="s">
        <v>15</v>
      </c>
      <c r="E5450" t="s">
        <v>94</v>
      </c>
      <c r="F5450" t="s">
        <v>103</v>
      </c>
      <c r="G5450" t="s">
        <v>103</v>
      </c>
      <c r="H5450" t="s">
        <v>113</v>
      </c>
      <c r="J5450">
        <v>0</v>
      </c>
      <c r="K5450">
        <v>4</v>
      </c>
      <c r="L5450">
        <v>98.291666669999998</v>
      </c>
      <c r="M5450">
        <v>30.315130790000001</v>
      </c>
      <c r="N5450">
        <v>5.0803484000000003E-2</v>
      </c>
      <c r="O5450">
        <v>0.42866070000000001</v>
      </c>
      <c r="P5450">
        <v>83.757575759999995</v>
      </c>
      <c r="Q5450">
        <v>22.60997987</v>
      </c>
      <c r="R5450">
        <v>0.72884000000000004</v>
      </c>
      <c r="S5450">
        <v>0.21301339999999999</v>
      </c>
      <c r="T5450" t="s">
        <v>1041</v>
      </c>
      <c r="U5450">
        <v>0.21564730000000001</v>
      </c>
    </row>
    <row r="5451" spans="1:21" x14ac:dyDescent="0.25">
      <c r="A5451" t="s">
        <v>39</v>
      </c>
      <c r="B5451" t="s">
        <v>947</v>
      </c>
      <c r="C5451">
        <v>2</v>
      </c>
      <c r="D5451" t="s">
        <v>15</v>
      </c>
      <c r="E5451" t="s">
        <v>94</v>
      </c>
      <c r="F5451" t="s">
        <v>103</v>
      </c>
      <c r="G5451" t="s">
        <v>103</v>
      </c>
      <c r="H5451" t="s">
        <v>113</v>
      </c>
      <c r="J5451">
        <v>0</v>
      </c>
      <c r="K5451">
        <v>4</v>
      </c>
      <c r="L5451">
        <v>98.291666669999998</v>
      </c>
      <c r="M5451">
        <v>30.315130790000001</v>
      </c>
      <c r="N5451">
        <v>5.0803484000000003E-2</v>
      </c>
      <c r="O5451">
        <v>0.42866070000000001</v>
      </c>
      <c r="P5451">
        <v>83.757575759999995</v>
      </c>
      <c r="Q5451">
        <v>22.60997987</v>
      </c>
      <c r="R5451">
        <v>0.72884000000000004</v>
      </c>
      <c r="S5451">
        <v>0.21301339999999999</v>
      </c>
      <c r="T5451" t="s">
        <v>1041</v>
      </c>
      <c r="U5451">
        <v>0.21564730000000001</v>
      </c>
    </row>
    <row r="5452" spans="1:21" x14ac:dyDescent="0.25">
      <c r="A5452" t="s">
        <v>39</v>
      </c>
      <c r="B5452" t="s">
        <v>948</v>
      </c>
      <c r="C5452">
        <v>2</v>
      </c>
      <c r="D5452" t="s">
        <v>15</v>
      </c>
      <c r="E5452" t="s">
        <v>94</v>
      </c>
      <c r="F5452" t="s">
        <v>111</v>
      </c>
      <c r="G5452" t="s">
        <v>104</v>
      </c>
      <c r="H5452" t="s">
        <v>236</v>
      </c>
      <c r="J5452">
        <v>0</v>
      </c>
      <c r="K5452">
        <v>1</v>
      </c>
      <c r="L5452">
        <v>94.97142857</v>
      </c>
      <c r="M5452">
        <v>24.31591813</v>
      </c>
      <c r="N5452">
        <v>0.122951111</v>
      </c>
      <c r="O5452">
        <v>0.39050790000000002</v>
      </c>
      <c r="P5452">
        <v>113.33333330000001</v>
      </c>
      <c r="Q5452">
        <v>26.41632581</v>
      </c>
      <c r="R5452">
        <v>1.6844570160000001</v>
      </c>
      <c r="S5452">
        <v>8.9285710000000004E-2</v>
      </c>
      <c r="T5452" t="s">
        <v>1041</v>
      </c>
      <c r="U5452">
        <v>0.30122219</v>
      </c>
    </row>
    <row r="5453" spans="1:21" x14ac:dyDescent="0.25">
      <c r="A5453" t="s">
        <v>39</v>
      </c>
      <c r="B5453" t="s">
        <v>948</v>
      </c>
      <c r="C5453">
        <v>2</v>
      </c>
      <c r="D5453" t="s">
        <v>15</v>
      </c>
      <c r="E5453" t="s">
        <v>94</v>
      </c>
      <c r="F5453" t="s">
        <v>111</v>
      </c>
      <c r="G5453" t="s">
        <v>104</v>
      </c>
      <c r="H5453" t="s">
        <v>103</v>
      </c>
      <c r="J5453">
        <v>0</v>
      </c>
      <c r="K5453">
        <v>1</v>
      </c>
      <c r="L5453">
        <v>94.97142857</v>
      </c>
      <c r="M5453">
        <v>24.31591813</v>
      </c>
      <c r="N5453">
        <v>0.122951111</v>
      </c>
      <c r="O5453">
        <v>0.39050790000000002</v>
      </c>
      <c r="P5453">
        <v>98.291666669999998</v>
      </c>
      <c r="Q5453">
        <v>30.315130790000001</v>
      </c>
      <c r="R5453">
        <v>5.0803484000000003E-2</v>
      </c>
      <c r="S5453">
        <v>0.42866070000000001</v>
      </c>
      <c r="T5453" t="s">
        <v>1041</v>
      </c>
      <c r="U5453">
        <v>3.8152799999999987E-2</v>
      </c>
    </row>
    <row r="5454" spans="1:21" x14ac:dyDescent="0.25">
      <c r="A5454" t="s">
        <v>39</v>
      </c>
      <c r="B5454" t="s">
        <v>948</v>
      </c>
      <c r="C5454">
        <v>2</v>
      </c>
      <c r="D5454" t="s">
        <v>15</v>
      </c>
      <c r="E5454" t="s">
        <v>94</v>
      </c>
      <c r="F5454" t="s">
        <v>111</v>
      </c>
      <c r="G5454" t="s">
        <v>104</v>
      </c>
      <c r="H5454" t="s">
        <v>104</v>
      </c>
      <c r="J5454">
        <v>0</v>
      </c>
      <c r="K5454">
        <v>1</v>
      </c>
      <c r="L5454">
        <v>94.97142857</v>
      </c>
      <c r="M5454">
        <v>24.31591813</v>
      </c>
      <c r="N5454">
        <v>0.122951111</v>
      </c>
      <c r="O5454">
        <v>0.39050790000000002</v>
      </c>
      <c r="P5454">
        <v>113.9375</v>
      </c>
      <c r="Q5454">
        <v>33.375507550000002</v>
      </c>
      <c r="R5454">
        <v>2.4262999999999999</v>
      </c>
      <c r="S5454">
        <v>0.40692159999999999</v>
      </c>
      <c r="T5454" t="s">
        <v>1041</v>
      </c>
      <c r="U5454">
        <v>1.6413699999999976E-2</v>
      </c>
    </row>
    <row r="5455" spans="1:21" x14ac:dyDescent="0.25">
      <c r="A5455" t="s">
        <v>39</v>
      </c>
      <c r="B5455" t="s">
        <v>949</v>
      </c>
      <c r="C5455">
        <v>2</v>
      </c>
      <c r="D5455" t="s">
        <v>15</v>
      </c>
      <c r="E5455" t="s">
        <v>94</v>
      </c>
      <c r="F5455" t="s">
        <v>104</v>
      </c>
      <c r="G5455" t="s">
        <v>104</v>
      </c>
      <c r="H5455" t="s">
        <v>104</v>
      </c>
      <c r="J5455">
        <v>0</v>
      </c>
      <c r="K5455">
        <v>3</v>
      </c>
      <c r="L5455">
        <v>113.9375</v>
      </c>
      <c r="M5455">
        <v>33.375507550000002</v>
      </c>
      <c r="N5455">
        <v>2.4262999999999999</v>
      </c>
      <c r="O5455">
        <v>0.40692159999999999</v>
      </c>
      <c r="P5455">
        <v>113.9375</v>
      </c>
      <c r="Q5455">
        <v>33.375507550000002</v>
      </c>
      <c r="R5455">
        <v>2.4262999999999999</v>
      </c>
      <c r="S5455">
        <v>0.40692159999999999</v>
      </c>
      <c r="T5455" t="s">
        <v>1041</v>
      </c>
      <c r="U5455">
        <v>0</v>
      </c>
    </row>
    <row r="5456" spans="1:21" x14ac:dyDescent="0.25">
      <c r="A5456" t="s">
        <v>39</v>
      </c>
      <c r="B5456" t="s">
        <v>949</v>
      </c>
      <c r="C5456">
        <v>2</v>
      </c>
      <c r="D5456" t="s">
        <v>15</v>
      </c>
      <c r="E5456" t="s">
        <v>94</v>
      </c>
      <c r="F5456" t="s">
        <v>104</v>
      </c>
      <c r="G5456" t="s">
        <v>104</v>
      </c>
      <c r="H5456" t="s">
        <v>104</v>
      </c>
      <c r="J5456">
        <v>0</v>
      </c>
      <c r="K5456">
        <v>3</v>
      </c>
      <c r="L5456">
        <v>113.9375</v>
      </c>
      <c r="M5456">
        <v>33.375507550000002</v>
      </c>
      <c r="N5456">
        <v>2.4262999999999999</v>
      </c>
      <c r="O5456">
        <v>0.40692159999999999</v>
      </c>
      <c r="P5456">
        <v>113.9375</v>
      </c>
      <c r="Q5456">
        <v>33.375507550000002</v>
      </c>
      <c r="R5456">
        <v>2.4262999999999999</v>
      </c>
      <c r="S5456">
        <v>0.40692159999999999</v>
      </c>
      <c r="T5456" t="s">
        <v>1041</v>
      </c>
      <c r="U5456">
        <v>0</v>
      </c>
    </row>
    <row r="5457" spans="1:21" x14ac:dyDescent="0.25">
      <c r="A5457" t="s">
        <v>39</v>
      </c>
      <c r="B5457" t="s">
        <v>949</v>
      </c>
      <c r="C5457">
        <v>2</v>
      </c>
      <c r="D5457" t="s">
        <v>15</v>
      </c>
      <c r="E5457" t="s">
        <v>94</v>
      </c>
      <c r="F5457" t="s">
        <v>104</v>
      </c>
      <c r="G5457" t="s">
        <v>104</v>
      </c>
      <c r="H5457" t="s">
        <v>104</v>
      </c>
      <c r="J5457">
        <v>0</v>
      </c>
      <c r="K5457">
        <v>3</v>
      </c>
      <c r="L5457">
        <v>113.9375</v>
      </c>
      <c r="M5457">
        <v>33.375507550000002</v>
      </c>
      <c r="N5457">
        <v>2.4262999999999999</v>
      </c>
      <c r="O5457">
        <v>0.40692159999999999</v>
      </c>
      <c r="P5457">
        <v>113.9375</v>
      </c>
      <c r="Q5457">
        <v>33.375507550000002</v>
      </c>
      <c r="R5457">
        <v>2.4262999999999999</v>
      </c>
      <c r="S5457">
        <v>0.40692159999999999</v>
      </c>
      <c r="T5457" t="s">
        <v>1041</v>
      </c>
      <c r="U5457">
        <v>0</v>
      </c>
    </row>
    <row r="5458" spans="1:21" x14ac:dyDescent="0.25">
      <c r="A5458" t="s">
        <v>39</v>
      </c>
      <c r="B5458" t="s">
        <v>949</v>
      </c>
      <c r="C5458">
        <v>2</v>
      </c>
      <c r="D5458" t="s">
        <v>15</v>
      </c>
      <c r="E5458" t="s">
        <v>94</v>
      </c>
      <c r="F5458" t="s">
        <v>104</v>
      </c>
      <c r="G5458" t="s">
        <v>104</v>
      </c>
      <c r="H5458" t="s">
        <v>113</v>
      </c>
      <c r="J5458">
        <v>0</v>
      </c>
      <c r="K5458">
        <v>1</v>
      </c>
      <c r="L5458">
        <v>113.9375</v>
      </c>
      <c r="M5458">
        <v>33.375507550000002</v>
      </c>
      <c r="N5458">
        <v>2.4262999999999999</v>
      </c>
      <c r="O5458">
        <v>0.40692159999999999</v>
      </c>
      <c r="P5458">
        <v>83.757575759999995</v>
      </c>
      <c r="Q5458">
        <v>22.60997987</v>
      </c>
      <c r="R5458">
        <v>0.72884000000000004</v>
      </c>
      <c r="S5458">
        <v>0.21301339999999999</v>
      </c>
      <c r="T5458" t="s">
        <v>1041</v>
      </c>
      <c r="U5458">
        <v>0.1939082</v>
      </c>
    </row>
    <row r="5459" spans="1:21" x14ac:dyDescent="0.25">
      <c r="A5459" t="s">
        <v>40</v>
      </c>
      <c r="B5459" t="s">
        <v>950</v>
      </c>
      <c r="C5459">
        <v>2</v>
      </c>
      <c r="D5459" t="s">
        <v>17</v>
      </c>
      <c r="E5459" t="s">
        <v>95</v>
      </c>
      <c r="F5459" t="s">
        <v>113</v>
      </c>
      <c r="G5459" t="s">
        <v>113</v>
      </c>
      <c r="H5459" t="s">
        <v>113</v>
      </c>
      <c r="J5459">
        <v>0</v>
      </c>
      <c r="K5459">
        <v>1</v>
      </c>
      <c r="L5459">
        <v>83.757575759999995</v>
      </c>
      <c r="M5459">
        <v>22.60997987</v>
      </c>
      <c r="N5459">
        <v>0.72884000000000004</v>
      </c>
      <c r="O5459">
        <v>0.21301339999999999</v>
      </c>
      <c r="P5459">
        <v>83.757575759999995</v>
      </c>
      <c r="Q5459">
        <v>22.60997987</v>
      </c>
      <c r="R5459">
        <v>0.72884000000000004</v>
      </c>
      <c r="S5459">
        <v>0.21301339999999999</v>
      </c>
      <c r="T5459" t="s">
        <v>1041</v>
      </c>
      <c r="U5459">
        <v>0</v>
      </c>
    </row>
    <row r="5460" spans="1:21" x14ac:dyDescent="0.25">
      <c r="A5460" t="s">
        <v>40</v>
      </c>
      <c r="B5460" t="s">
        <v>950</v>
      </c>
      <c r="C5460">
        <v>2</v>
      </c>
      <c r="D5460" t="s">
        <v>17</v>
      </c>
      <c r="E5460" t="s">
        <v>95</v>
      </c>
      <c r="F5460" t="s">
        <v>113</v>
      </c>
      <c r="G5460" t="s">
        <v>113</v>
      </c>
      <c r="H5460" t="s">
        <v>103</v>
      </c>
      <c r="J5460">
        <v>0</v>
      </c>
      <c r="K5460">
        <v>2</v>
      </c>
      <c r="L5460">
        <v>83.757575759999995</v>
      </c>
      <c r="M5460">
        <v>22.60997987</v>
      </c>
      <c r="N5460">
        <v>0.72884000000000004</v>
      </c>
      <c r="O5460">
        <v>0.21301339999999999</v>
      </c>
      <c r="P5460">
        <v>98.291666669999998</v>
      </c>
      <c r="Q5460">
        <v>30.315130790000001</v>
      </c>
      <c r="R5460">
        <v>5.0803484000000003E-2</v>
      </c>
      <c r="S5460">
        <v>0.42866070000000001</v>
      </c>
      <c r="T5460" t="s">
        <v>1041</v>
      </c>
      <c r="U5460">
        <v>0.21564730000000001</v>
      </c>
    </row>
    <row r="5461" spans="1:21" x14ac:dyDescent="0.25">
      <c r="A5461" t="s">
        <v>40</v>
      </c>
      <c r="B5461" t="s">
        <v>950</v>
      </c>
      <c r="C5461">
        <v>2</v>
      </c>
      <c r="D5461" t="s">
        <v>17</v>
      </c>
      <c r="E5461" t="s">
        <v>95</v>
      </c>
      <c r="F5461" t="s">
        <v>113</v>
      </c>
      <c r="G5461" t="s">
        <v>113</v>
      </c>
      <c r="H5461" t="s">
        <v>103</v>
      </c>
      <c r="J5461">
        <v>0</v>
      </c>
      <c r="K5461">
        <v>2</v>
      </c>
      <c r="L5461">
        <v>83.757575759999995</v>
      </c>
      <c r="M5461">
        <v>22.60997987</v>
      </c>
      <c r="N5461">
        <v>0.72884000000000004</v>
      </c>
      <c r="O5461">
        <v>0.21301339999999999</v>
      </c>
      <c r="P5461">
        <v>98.291666669999998</v>
      </c>
      <c r="Q5461">
        <v>30.315130790000001</v>
      </c>
      <c r="R5461">
        <v>5.0803484000000003E-2</v>
      </c>
      <c r="S5461">
        <v>0.42866070000000001</v>
      </c>
      <c r="T5461" t="s">
        <v>1041</v>
      </c>
      <c r="U5461">
        <v>0.21564730000000001</v>
      </c>
    </row>
    <row r="5462" spans="1:21" x14ac:dyDescent="0.25">
      <c r="A5462" t="s">
        <v>40</v>
      </c>
      <c r="B5462" t="s">
        <v>951</v>
      </c>
      <c r="C5462">
        <v>2</v>
      </c>
      <c r="D5462" t="s">
        <v>17</v>
      </c>
      <c r="E5462" t="s">
        <v>95</v>
      </c>
      <c r="F5462" t="s">
        <v>103</v>
      </c>
      <c r="G5462" t="s">
        <v>103</v>
      </c>
      <c r="H5462" t="s">
        <v>103</v>
      </c>
      <c r="J5462">
        <v>0</v>
      </c>
      <c r="K5462">
        <v>6</v>
      </c>
      <c r="L5462">
        <v>98.291666669999998</v>
      </c>
      <c r="M5462">
        <v>30.315130790000001</v>
      </c>
      <c r="N5462">
        <v>5.0803484000000003E-2</v>
      </c>
      <c r="O5462">
        <v>0.42866070000000001</v>
      </c>
      <c r="P5462">
        <v>98.291666669999998</v>
      </c>
      <c r="Q5462">
        <v>30.315130790000001</v>
      </c>
      <c r="R5462">
        <v>5.0803484000000003E-2</v>
      </c>
      <c r="S5462">
        <v>0.42866070000000001</v>
      </c>
      <c r="T5462" t="s">
        <v>1041</v>
      </c>
      <c r="U5462">
        <v>0</v>
      </c>
    </row>
    <row r="5463" spans="1:21" x14ac:dyDescent="0.25">
      <c r="A5463" t="s">
        <v>40</v>
      </c>
      <c r="B5463" t="s">
        <v>951</v>
      </c>
      <c r="C5463">
        <v>2</v>
      </c>
      <c r="D5463" t="s">
        <v>17</v>
      </c>
      <c r="E5463" t="s">
        <v>95</v>
      </c>
      <c r="F5463" t="s">
        <v>103</v>
      </c>
      <c r="G5463" t="s">
        <v>103</v>
      </c>
      <c r="H5463" t="s">
        <v>103</v>
      </c>
      <c r="J5463">
        <v>0</v>
      </c>
      <c r="K5463">
        <v>6</v>
      </c>
      <c r="L5463">
        <v>98.291666669999998</v>
      </c>
      <c r="M5463">
        <v>30.315130790000001</v>
      </c>
      <c r="N5463">
        <v>5.0803484000000003E-2</v>
      </c>
      <c r="O5463">
        <v>0.42866070000000001</v>
      </c>
      <c r="P5463">
        <v>98.291666669999998</v>
      </c>
      <c r="Q5463">
        <v>30.315130790000001</v>
      </c>
      <c r="R5463">
        <v>5.0803484000000003E-2</v>
      </c>
      <c r="S5463">
        <v>0.42866070000000001</v>
      </c>
      <c r="T5463" t="s">
        <v>1041</v>
      </c>
      <c r="U5463">
        <v>0</v>
      </c>
    </row>
    <row r="5464" spans="1:21" x14ac:dyDescent="0.25">
      <c r="A5464" t="s">
        <v>40</v>
      </c>
      <c r="B5464" t="s">
        <v>951</v>
      </c>
      <c r="C5464">
        <v>2</v>
      </c>
      <c r="D5464" t="s">
        <v>17</v>
      </c>
      <c r="E5464" t="s">
        <v>95</v>
      </c>
      <c r="F5464" t="s">
        <v>103</v>
      </c>
      <c r="G5464" t="s">
        <v>103</v>
      </c>
      <c r="H5464" t="s">
        <v>103</v>
      </c>
      <c r="J5464">
        <v>0</v>
      </c>
      <c r="K5464">
        <v>6</v>
      </c>
      <c r="L5464">
        <v>98.291666669999998</v>
      </c>
      <c r="M5464">
        <v>30.315130790000001</v>
      </c>
      <c r="N5464">
        <v>5.0803484000000003E-2</v>
      </c>
      <c r="O5464">
        <v>0.42866070000000001</v>
      </c>
      <c r="P5464">
        <v>98.291666669999998</v>
      </c>
      <c r="Q5464">
        <v>30.315130790000001</v>
      </c>
      <c r="R5464">
        <v>5.0803484000000003E-2</v>
      </c>
      <c r="S5464">
        <v>0.42866070000000001</v>
      </c>
      <c r="T5464" t="s">
        <v>1041</v>
      </c>
      <c r="U5464">
        <v>0</v>
      </c>
    </row>
    <row r="5465" spans="1:21" x14ac:dyDescent="0.25">
      <c r="A5465" t="s">
        <v>40</v>
      </c>
      <c r="B5465" t="s">
        <v>951</v>
      </c>
      <c r="C5465">
        <v>2</v>
      </c>
      <c r="D5465" t="s">
        <v>17</v>
      </c>
      <c r="E5465" t="s">
        <v>95</v>
      </c>
      <c r="F5465" t="s">
        <v>103</v>
      </c>
      <c r="G5465" t="s">
        <v>103</v>
      </c>
      <c r="H5465" t="s">
        <v>103</v>
      </c>
      <c r="J5465">
        <v>0</v>
      </c>
      <c r="K5465">
        <v>6</v>
      </c>
      <c r="L5465">
        <v>98.291666669999998</v>
      </c>
      <c r="M5465">
        <v>30.315130790000001</v>
      </c>
      <c r="N5465">
        <v>5.0803484000000003E-2</v>
      </c>
      <c r="O5465">
        <v>0.42866070000000001</v>
      </c>
      <c r="P5465">
        <v>98.291666669999998</v>
      </c>
      <c r="Q5465">
        <v>30.315130790000001</v>
      </c>
      <c r="R5465">
        <v>5.0803484000000003E-2</v>
      </c>
      <c r="S5465">
        <v>0.42866070000000001</v>
      </c>
      <c r="T5465" t="s">
        <v>1041</v>
      </c>
      <c r="U5465">
        <v>0</v>
      </c>
    </row>
    <row r="5466" spans="1:21" x14ac:dyDescent="0.25">
      <c r="A5466" t="s">
        <v>40</v>
      </c>
      <c r="B5466" t="s">
        <v>951</v>
      </c>
      <c r="C5466">
        <v>2</v>
      </c>
      <c r="D5466" t="s">
        <v>17</v>
      </c>
      <c r="E5466" t="s">
        <v>95</v>
      </c>
      <c r="F5466" t="s">
        <v>103</v>
      </c>
      <c r="G5466" t="s">
        <v>103</v>
      </c>
      <c r="H5466" t="s">
        <v>103</v>
      </c>
      <c r="J5466">
        <v>0</v>
      </c>
      <c r="K5466">
        <v>6</v>
      </c>
      <c r="L5466">
        <v>98.291666669999998</v>
      </c>
      <c r="M5466">
        <v>30.315130790000001</v>
      </c>
      <c r="N5466">
        <v>5.0803484000000003E-2</v>
      </c>
      <c r="O5466">
        <v>0.42866070000000001</v>
      </c>
      <c r="P5466">
        <v>98.291666669999998</v>
      </c>
      <c r="Q5466">
        <v>30.315130790000001</v>
      </c>
      <c r="R5466">
        <v>5.0803484000000003E-2</v>
      </c>
      <c r="S5466">
        <v>0.42866070000000001</v>
      </c>
      <c r="T5466" t="s">
        <v>1041</v>
      </c>
      <c r="U5466">
        <v>0</v>
      </c>
    </row>
    <row r="5467" spans="1:21" x14ac:dyDescent="0.25">
      <c r="A5467" t="s">
        <v>40</v>
      </c>
      <c r="B5467" t="s">
        <v>951</v>
      </c>
      <c r="C5467">
        <v>2</v>
      </c>
      <c r="D5467" t="s">
        <v>17</v>
      </c>
      <c r="E5467" t="s">
        <v>95</v>
      </c>
      <c r="F5467" t="s">
        <v>103</v>
      </c>
      <c r="G5467" t="s">
        <v>103</v>
      </c>
      <c r="H5467" t="s">
        <v>103</v>
      </c>
      <c r="J5467">
        <v>0</v>
      </c>
      <c r="K5467">
        <v>6</v>
      </c>
      <c r="L5467">
        <v>98.291666669999998</v>
      </c>
      <c r="M5467">
        <v>30.315130790000001</v>
      </c>
      <c r="N5467">
        <v>5.0803484000000003E-2</v>
      </c>
      <c r="O5467">
        <v>0.42866070000000001</v>
      </c>
      <c r="P5467">
        <v>98.291666669999998</v>
      </c>
      <c r="Q5467">
        <v>30.315130790000001</v>
      </c>
      <c r="R5467">
        <v>5.0803484000000003E-2</v>
      </c>
      <c r="S5467">
        <v>0.42866070000000001</v>
      </c>
      <c r="T5467" t="s">
        <v>1041</v>
      </c>
      <c r="U5467">
        <v>0</v>
      </c>
    </row>
    <row r="5468" spans="1:21" x14ac:dyDescent="0.25">
      <c r="A5468" t="s">
        <v>40</v>
      </c>
      <c r="B5468" t="s">
        <v>952</v>
      </c>
      <c r="C5468">
        <v>2</v>
      </c>
      <c r="D5468" t="s">
        <v>17</v>
      </c>
      <c r="E5468" t="s">
        <v>95</v>
      </c>
      <c r="F5468" t="s">
        <v>112</v>
      </c>
      <c r="G5468" t="s">
        <v>103</v>
      </c>
      <c r="H5468" t="s">
        <v>103</v>
      </c>
      <c r="I5468" t="s">
        <v>243</v>
      </c>
      <c r="J5468">
        <v>1</v>
      </c>
      <c r="K5468">
        <v>7</v>
      </c>
      <c r="L5468">
        <v>65.09375</v>
      </c>
      <c r="M5468">
        <v>37.895352600000002</v>
      </c>
      <c r="N5468">
        <v>2.2882677779999998</v>
      </c>
      <c r="O5468">
        <v>2.2111774</v>
      </c>
      <c r="P5468">
        <v>98.291666669999998</v>
      </c>
      <c r="Q5468">
        <v>30.315130790000001</v>
      </c>
      <c r="R5468">
        <v>5.0803484000000003E-2</v>
      </c>
      <c r="S5468">
        <v>0.42866070000000001</v>
      </c>
      <c r="T5468" t="s">
        <v>1041</v>
      </c>
      <c r="U5468">
        <v>1.7825167</v>
      </c>
    </row>
    <row r="5469" spans="1:21" x14ac:dyDescent="0.25">
      <c r="A5469" t="s">
        <v>40</v>
      </c>
      <c r="B5469" t="s">
        <v>952</v>
      </c>
      <c r="C5469">
        <v>2</v>
      </c>
      <c r="D5469" t="s">
        <v>17</v>
      </c>
      <c r="E5469" t="s">
        <v>95</v>
      </c>
      <c r="F5469" t="s">
        <v>112</v>
      </c>
      <c r="G5469" t="s">
        <v>103</v>
      </c>
      <c r="H5469" t="s">
        <v>103</v>
      </c>
      <c r="I5469" t="s">
        <v>243</v>
      </c>
      <c r="J5469">
        <v>1</v>
      </c>
      <c r="K5469">
        <v>7</v>
      </c>
      <c r="L5469">
        <v>65.09375</v>
      </c>
      <c r="M5469">
        <v>37.895352600000002</v>
      </c>
      <c r="N5469">
        <v>2.2882677779999998</v>
      </c>
      <c r="O5469">
        <v>2.2111774</v>
      </c>
      <c r="P5469">
        <v>98.291666669999998</v>
      </c>
      <c r="Q5469">
        <v>30.315130790000001</v>
      </c>
      <c r="R5469">
        <v>5.0803484000000003E-2</v>
      </c>
      <c r="S5469">
        <v>0.42866070000000001</v>
      </c>
      <c r="T5469" t="s">
        <v>1041</v>
      </c>
      <c r="U5469">
        <v>1.7825167</v>
      </c>
    </row>
    <row r="5470" spans="1:21" x14ac:dyDescent="0.25">
      <c r="A5470" t="s">
        <v>40</v>
      </c>
      <c r="B5470" t="s">
        <v>952</v>
      </c>
      <c r="C5470">
        <v>2</v>
      </c>
      <c r="D5470" t="s">
        <v>17</v>
      </c>
      <c r="E5470" t="s">
        <v>95</v>
      </c>
      <c r="F5470" t="s">
        <v>112</v>
      </c>
      <c r="G5470" t="s">
        <v>103</v>
      </c>
      <c r="H5470" t="s">
        <v>103</v>
      </c>
      <c r="I5470" t="s">
        <v>243</v>
      </c>
      <c r="J5470">
        <v>1</v>
      </c>
      <c r="K5470">
        <v>7</v>
      </c>
      <c r="L5470">
        <v>65.09375</v>
      </c>
      <c r="M5470">
        <v>37.895352600000002</v>
      </c>
      <c r="N5470">
        <v>2.2882677779999998</v>
      </c>
      <c r="O5470">
        <v>2.2111774</v>
      </c>
      <c r="P5470">
        <v>98.291666669999998</v>
      </c>
      <c r="Q5470">
        <v>30.315130790000001</v>
      </c>
      <c r="R5470">
        <v>5.0803484000000003E-2</v>
      </c>
      <c r="S5470">
        <v>0.42866070000000001</v>
      </c>
      <c r="T5470" t="s">
        <v>1041</v>
      </c>
      <c r="U5470">
        <v>1.7825167</v>
      </c>
    </row>
    <row r="5471" spans="1:21" x14ac:dyDescent="0.25">
      <c r="A5471" t="s">
        <v>40</v>
      </c>
      <c r="B5471" t="s">
        <v>952</v>
      </c>
      <c r="C5471">
        <v>2</v>
      </c>
      <c r="D5471" t="s">
        <v>17</v>
      </c>
      <c r="E5471" t="s">
        <v>95</v>
      </c>
      <c r="F5471" t="s">
        <v>112</v>
      </c>
      <c r="G5471" t="s">
        <v>103</v>
      </c>
      <c r="H5471" t="s">
        <v>103</v>
      </c>
      <c r="I5471" t="s">
        <v>243</v>
      </c>
      <c r="J5471">
        <v>1</v>
      </c>
      <c r="K5471">
        <v>7</v>
      </c>
      <c r="L5471">
        <v>65.09375</v>
      </c>
      <c r="M5471">
        <v>37.895352600000002</v>
      </c>
      <c r="N5471">
        <v>2.2882677779999998</v>
      </c>
      <c r="O5471">
        <v>2.2111774</v>
      </c>
      <c r="P5471">
        <v>98.291666669999998</v>
      </c>
      <c r="Q5471">
        <v>30.315130790000001</v>
      </c>
      <c r="R5471">
        <v>5.0803484000000003E-2</v>
      </c>
      <c r="S5471">
        <v>0.42866070000000001</v>
      </c>
      <c r="T5471" t="s">
        <v>1041</v>
      </c>
      <c r="U5471">
        <v>1.7825167</v>
      </c>
    </row>
    <row r="5472" spans="1:21" x14ac:dyDescent="0.25">
      <c r="A5472" t="s">
        <v>40</v>
      </c>
      <c r="B5472" t="s">
        <v>952</v>
      </c>
      <c r="C5472">
        <v>2</v>
      </c>
      <c r="D5472" t="s">
        <v>17</v>
      </c>
      <c r="E5472" t="s">
        <v>95</v>
      </c>
      <c r="F5472" t="s">
        <v>112</v>
      </c>
      <c r="G5472" t="s">
        <v>103</v>
      </c>
      <c r="H5472" t="s">
        <v>103</v>
      </c>
      <c r="I5472" t="s">
        <v>243</v>
      </c>
      <c r="J5472">
        <v>1</v>
      </c>
      <c r="K5472">
        <v>7</v>
      </c>
      <c r="L5472">
        <v>65.09375</v>
      </c>
      <c r="M5472">
        <v>37.895352600000002</v>
      </c>
      <c r="N5472">
        <v>2.2882677779999998</v>
      </c>
      <c r="O5472">
        <v>2.2111774</v>
      </c>
      <c r="P5472">
        <v>98.291666669999998</v>
      </c>
      <c r="Q5472">
        <v>30.315130790000001</v>
      </c>
      <c r="R5472">
        <v>5.0803484000000003E-2</v>
      </c>
      <c r="S5472">
        <v>0.42866070000000001</v>
      </c>
      <c r="T5472" t="s">
        <v>1041</v>
      </c>
      <c r="U5472">
        <v>1.7825167</v>
      </c>
    </row>
    <row r="5473" spans="1:21" x14ac:dyDescent="0.25">
      <c r="A5473" t="s">
        <v>40</v>
      </c>
      <c r="B5473" t="s">
        <v>952</v>
      </c>
      <c r="C5473">
        <v>2</v>
      </c>
      <c r="D5473" t="s">
        <v>17</v>
      </c>
      <c r="E5473" t="s">
        <v>95</v>
      </c>
      <c r="F5473" t="s">
        <v>112</v>
      </c>
      <c r="G5473" t="s">
        <v>103</v>
      </c>
      <c r="H5473" t="s">
        <v>103</v>
      </c>
      <c r="I5473" t="s">
        <v>243</v>
      </c>
      <c r="J5473">
        <v>1</v>
      </c>
      <c r="K5473">
        <v>7</v>
      </c>
      <c r="L5473">
        <v>65.09375</v>
      </c>
      <c r="M5473">
        <v>37.895352600000002</v>
      </c>
      <c r="N5473">
        <v>2.2882677779999998</v>
      </c>
      <c r="O5473">
        <v>2.2111774</v>
      </c>
      <c r="P5473">
        <v>98.291666669999998</v>
      </c>
      <c r="Q5473">
        <v>30.315130790000001</v>
      </c>
      <c r="R5473">
        <v>5.0803484000000003E-2</v>
      </c>
      <c r="S5473">
        <v>0.42866070000000001</v>
      </c>
      <c r="T5473" t="s">
        <v>1041</v>
      </c>
      <c r="U5473">
        <v>1.7825167</v>
      </c>
    </row>
    <row r="5474" spans="1:21" x14ac:dyDescent="0.25">
      <c r="A5474" t="s">
        <v>40</v>
      </c>
      <c r="B5474" t="s">
        <v>952</v>
      </c>
      <c r="C5474">
        <v>2</v>
      </c>
      <c r="D5474" t="s">
        <v>17</v>
      </c>
      <c r="E5474" t="s">
        <v>95</v>
      </c>
      <c r="F5474" t="s">
        <v>112</v>
      </c>
      <c r="G5474" t="s">
        <v>103</v>
      </c>
      <c r="H5474" t="s">
        <v>103</v>
      </c>
      <c r="I5474" t="s">
        <v>243</v>
      </c>
      <c r="J5474">
        <v>1</v>
      </c>
      <c r="K5474">
        <v>7</v>
      </c>
      <c r="L5474">
        <v>65.09375</v>
      </c>
      <c r="M5474">
        <v>37.895352600000002</v>
      </c>
      <c r="N5474">
        <v>2.2882677779999998</v>
      </c>
      <c r="O5474">
        <v>2.2111774</v>
      </c>
      <c r="P5474">
        <v>98.291666669999998</v>
      </c>
      <c r="Q5474">
        <v>30.315130790000001</v>
      </c>
      <c r="R5474">
        <v>5.0803484000000003E-2</v>
      </c>
      <c r="S5474">
        <v>0.42866070000000001</v>
      </c>
      <c r="T5474" t="s">
        <v>1041</v>
      </c>
      <c r="U5474">
        <v>1.7825167</v>
      </c>
    </row>
    <row r="5475" spans="1:21" x14ac:dyDescent="0.25">
      <c r="A5475" t="s">
        <v>40</v>
      </c>
      <c r="B5475" t="s">
        <v>952</v>
      </c>
      <c r="C5475">
        <v>2</v>
      </c>
      <c r="D5475" t="s">
        <v>17</v>
      </c>
      <c r="E5475" t="s">
        <v>95</v>
      </c>
      <c r="F5475" t="s">
        <v>112</v>
      </c>
      <c r="G5475" t="s">
        <v>103</v>
      </c>
      <c r="H5475" t="s">
        <v>113</v>
      </c>
      <c r="J5475">
        <v>1</v>
      </c>
      <c r="K5475">
        <v>5</v>
      </c>
      <c r="L5475">
        <v>65.09375</v>
      </c>
      <c r="M5475">
        <v>37.895352600000002</v>
      </c>
      <c r="N5475">
        <v>2.2882677779999998</v>
      </c>
      <c r="O5475">
        <v>2.2111774</v>
      </c>
      <c r="P5475">
        <v>83.757575759999995</v>
      </c>
      <c r="Q5475">
        <v>22.60997987</v>
      </c>
      <c r="R5475">
        <v>0.72884000000000004</v>
      </c>
      <c r="S5475">
        <v>0.21301339999999999</v>
      </c>
      <c r="T5475" t="s">
        <v>1041</v>
      </c>
      <c r="U5475">
        <v>1.9981640000000001</v>
      </c>
    </row>
    <row r="5476" spans="1:21" x14ac:dyDescent="0.25">
      <c r="A5476" t="s">
        <v>40</v>
      </c>
      <c r="B5476" t="s">
        <v>952</v>
      </c>
      <c r="C5476">
        <v>2</v>
      </c>
      <c r="D5476" t="s">
        <v>17</v>
      </c>
      <c r="E5476" t="s">
        <v>95</v>
      </c>
      <c r="F5476" t="s">
        <v>112</v>
      </c>
      <c r="G5476" t="s">
        <v>103</v>
      </c>
      <c r="H5476" t="s">
        <v>113</v>
      </c>
      <c r="J5476">
        <v>1</v>
      </c>
      <c r="K5476">
        <v>5</v>
      </c>
      <c r="L5476">
        <v>65.09375</v>
      </c>
      <c r="M5476">
        <v>37.895352600000002</v>
      </c>
      <c r="N5476">
        <v>2.2882677779999998</v>
      </c>
      <c r="O5476">
        <v>2.2111774</v>
      </c>
      <c r="P5476">
        <v>83.757575759999995</v>
      </c>
      <c r="Q5476">
        <v>22.60997987</v>
      </c>
      <c r="R5476">
        <v>0.72884000000000004</v>
      </c>
      <c r="S5476">
        <v>0.21301339999999999</v>
      </c>
      <c r="T5476" t="s">
        <v>1041</v>
      </c>
      <c r="U5476">
        <v>1.9981640000000001</v>
      </c>
    </row>
    <row r="5477" spans="1:21" x14ac:dyDescent="0.25">
      <c r="A5477" t="s">
        <v>40</v>
      </c>
      <c r="B5477" t="s">
        <v>952</v>
      </c>
      <c r="C5477">
        <v>2</v>
      </c>
      <c r="D5477" t="s">
        <v>17</v>
      </c>
      <c r="E5477" t="s">
        <v>95</v>
      </c>
      <c r="F5477" t="s">
        <v>112</v>
      </c>
      <c r="G5477" t="s">
        <v>103</v>
      </c>
      <c r="H5477" t="s">
        <v>113</v>
      </c>
      <c r="J5477">
        <v>1</v>
      </c>
      <c r="K5477">
        <v>5</v>
      </c>
      <c r="L5477">
        <v>65.09375</v>
      </c>
      <c r="M5477">
        <v>37.895352600000002</v>
      </c>
      <c r="N5477">
        <v>2.2882677779999998</v>
      </c>
      <c r="O5477">
        <v>2.2111774</v>
      </c>
      <c r="P5477">
        <v>83.757575759999995</v>
      </c>
      <c r="Q5477">
        <v>22.60997987</v>
      </c>
      <c r="R5477">
        <v>0.72884000000000004</v>
      </c>
      <c r="S5477">
        <v>0.21301339999999999</v>
      </c>
      <c r="T5477" t="s">
        <v>1041</v>
      </c>
      <c r="U5477">
        <v>1.9981640000000001</v>
      </c>
    </row>
    <row r="5478" spans="1:21" x14ac:dyDescent="0.25">
      <c r="A5478" t="s">
        <v>40</v>
      </c>
      <c r="B5478" t="s">
        <v>952</v>
      </c>
      <c r="C5478">
        <v>2</v>
      </c>
      <c r="D5478" t="s">
        <v>17</v>
      </c>
      <c r="E5478" t="s">
        <v>95</v>
      </c>
      <c r="F5478" t="s">
        <v>112</v>
      </c>
      <c r="G5478" t="s">
        <v>103</v>
      </c>
      <c r="H5478" t="s">
        <v>113</v>
      </c>
      <c r="J5478">
        <v>1</v>
      </c>
      <c r="K5478">
        <v>5</v>
      </c>
      <c r="L5478">
        <v>65.09375</v>
      </c>
      <c r="M5478">
        <v>37.895352600000002</v>
      </c>
      <c r="N5478">
        <v>2.2882677779999998</v>
      </c>
      <c r="O5478">
        <v>2.2111774</v>
      </c>
      <c r="P5478">
        <v>83.757575759999995</v>
      </c>
      <c r="Q5478">
        <v>22.60997987</v>
      </c>
      <c r="R5478">
        <v>0.72884000000000004</v>
      </c>
      <c r="S5478">
        <v>0.21301339999999999</v>
      </c>
      <c r="T5478" t="s">
        <v>1041</v>
      </c>
      <c r="U5478">
        <v>1.9981640000000001</v>
      </c>
    </row>
    <row r="5479" spans="1:21" x14ac:dyDescent="0.25">
      <c r="A5479" t="s">
        <v>40</v>
      </c>
      <c r="B5479" t="s">
        <v>952</v>
      </c>
      <c r="C5479">
        <v>2</v>
      </c>
      <c r="D5479" t="s">
        <v>17</v>
      </c>
      <c r="E5479" t="s">
        <v>95</v>
      </c>
      <c r="F5479" t="s">
        <v>112</v>
      </c>
      <c r="G5479" t="s">
        <v>103</v>
      </c>
      <c r="H5479" t="s">
        <v>113</v>
      </c>
      <c r="J5479">
        <v>1</v>
      </c>
      <c r="K5479">
        <v>5</v>
      </c>
      <c r="L5479">
        <v>65.09375</v>
      </c>
      <c r="M5479">
        <v>37.895352600000002</v>
      </c>
      <c r="N5479">
        <v>2.2882677779999998</v>
      </c>
      <c r="O5479">
        <v>2.2111774</v>
      </c>
      <c r="P5479">
        <v>83.757575759999995</v>
      </c>
      <c r="Q5479">
        <v>22.60997987</v>
      </c>
      <c r="R5479">
        <v>0.72884000000000004</v>
      </c>
      <c r="S5479">
        <v>0.21301339999999999</v>
      </c>
      <c r="T5479" t="s">
        <v>1041</v>
      </c>
      <c r="U5479">
        <v>1.9981640000000001</v>
      </c>
    </row>
    <row r="5480" spans="1:21" x14ac:dyDescent="0.25">
      <c r="A5480" t="s">
        <v>41</v>
      </c>
      <c r="B5480" t="s">
        <v>953</v>
      </c>
      <c r="C5480">
        <v>2</v>
      </c>
      <c r="D5480" t="s">
        <v>19</v>
      </c>
      <c r="E5480" t="s">
        <v>94</v>
      </c>
      <c r="F5480" t="s">
        <v>105</v>
      </c>
      <c r="G5480" t="s">
        <v>104</v>
      </c>
      <c r="H5480" t="s">
        <v>104</v>
      </c>
      <c r="J5480">
        <v>0</v>
      </c>
      <c r="K5480">
        <v>3</v>
      </c>
      <c r="L5480">
        <v>67.5</v>
      </c>
      <c r="M5480">
        <v>47.937235809999997</v>
      </c>
      <c r="N5480">
        <v>0.41599678000000001</v>
      </c>
      <c r="O5480">
        <v>2.0950346999999998</v>
      </c>
      <c r="P5480">
        <v>113.9375</v>
      </c>
      <c r="Q5480">
        <v>33.375507550000002</v>
      </c>
      <c r="R5480">
        <v>2.4262999999999999</v>
      </c>
      <c r="S5480">
        <v>0.40692159999999999</v>
      </c>
      <c r="T5480" t="s">
        <v>1041</v>
      </c>
      <c r="U5480">
        <v>1.6881130999999998</v>
      </c>
    </row>
    <row r="5481" spans="1:21" x14ac:dyDescent="0.25">
      <c r="A5481" t="s">
        <v>41</v>
      </c>
      <c r="B5481" t="s">
        <v>953</v>
      </c>
      <c r="C5481">
        <v>2</v>
      </c>
      <c r="D5481" t="s">
        <v>19</v>
      </c>
      <c r="E5481" t="s">
        <v>94</v>
      </c>
      <c r="F5481" t="s">
        <v>105</v>
      </c>
      <c r="G5481" t="s">
        <v>104</v>
      </c>
      <c r="H5481" t="s">
        <v>104</v>
      </c>
      <c r="J5481">
        <v>0</v>
      </c>
      <c r="K5481">
        <v>3</v>
      </c>
      <c r="L5481">
        <v>67.5</v>
      </c>
      <c r="M5481">
        <v>47.937235809999997</v>
      </c>
      <c r="N5481">
        <v>0.41599678000000001</v>
      </c>
      <c r="O5481">
        <v>2.0950346999999998</v>
      </c>
      <c r="P5481">
        <v>113.9375</v>
      </c>
      <c r="Q5481">
        <v>33.375507550000002</v>
      </c>
      <c r="R5481">
        <v>2.4262999999999999</v>
      </c>
      <c r="S5481">
        <v>0.40692159999999999</v>
      </c>
      <c r="T5481" t="s">
        <v>1041</v>
      </c>
      <c r="U5481">
        <v>1.6881130999999998</v>
      </c>
    </row>
    <row r="5482" spans="1:21" x14ac:dyDescent="0.25">
      <c r="A5482" t="s">
        <v>41</v>
      </c>
      <c r="B5482" t="s">
        <v>953</v>
      </c>
      <c r="C5482">
        <v>2</v>
      </c>
      <c r="D5482" t="s">
        <v>19</v>
      </c>
      <c r="E5482" t="s">
        <v>94</v>
      </c>
      <c r="F5482" t="s">
        <v>105</v>
      </c>
      <c r="G5482" t="s">
        <v>104</v>
      </c>
      <c r="H5482" t="s">
        <v>104</v>
      </c>
      <c r="J5482">
        <v>0</v>
      </c>
      <c r="K5482">
        <v>3</v>
      </c>
      <c r="L5482">
        <v>67.5</v>
      </c>
      <c r="M5482">
        <v>47.937235809999997</v>
      </c>
      <c r="N5482">
        <v>0.41599678000000001</v>
      </c>
      <c r="O5482">
        <v>2.0950346999999998</v>
      </c>
      <c r="P5482">
        <v>113.9375</v>
      </c>
      <c r="Q5482">
        <v>33.375507550000002</v>
      </c>
      <c r="R5482">
        <v>2.4262999999999999</v>
      </c>
      <c r="S5482">
        <v>0.40692159999999999</v>
      </c>
      <c r="T5482" t="s">
        <v>1041</v>
      </c>
      <c r="U5482">
        <v>1.6881130999999998</v>
      </c>
    </row>
    <row r="5483" spans="1:21" x14ac:dyDescent="0.25">
      <c r="A5483" t="s">
        <v>41</v>
      </c>
      <c r="B5483" t="s">
        <v>953</v>
      </c>
      <c r="C5483">
        <v>2</v>
      </c>
      <c r="D5483" t="s">
        <v>19</v>
      </c>
      <c r="E5483" t="s">
        <v>94</v>
      </c>
      <c r="F5483" t="s">
        <v>105</v>
      </c>
      <c r="G5483" t="s">
        <v>104</v>
      </c>
      <c r="H5483" t="s">
        <v>113</v>
      </c>
      <c r="J5483">
        <v>0</v>
      </c>
      <c r="K5483">
        <v>1</v>
      </c>
      <c r="L5483">
        <v>67.5</v>
      </c>
      <c r="M5483">
        <v>47.937235809999997</v>
      </c>
      <c r="N5483">
        <v>0.41599678000000001</v>
      </c>
      <c r="O5483">
        <v>2.0950346999999998</v>
      </c>
      <c r="P5483">
        <v>83.757575759999995</v>
      </c>
      <c r="Q5483">
        <v>22.60997987</v>
      </c>
      <c r="R5483">
        <v>0.72884000000000004</v>
      </c>
      <c r="S5483">
        <v>0.21301339999999999</v>
      </c>
      <c r="T5483" t="s">
        <v>1041</v>
      </c>
      <c r="U5483">
        <v>1.8820212999999999</v>
      </c>
    </row>
    <row r="5484" spans="1:21" x14ac:dyDescent="0.25">
      <c r="A5484" t="s">
        <v>41</v>
      </c>
      <c r="B5484" t="s">
        <v>953</v>
      </c>
      <c r="C5484">
        <v>2</v>
      </c>
      <c r="D5484" t="s">
        <v>19</v>
      </c>
      <c r="E5484" t="s">
        <v>94</v>
      </c>
      <c r="F5484" t="s">
        <v>105</v>
      </c>
      <c r="G5484" t="s">
        <v>104</v>
      </c>
      <c r="H5484" t="s">
        <v>237</v>
      </c>
      <c r="J5484">
        <v>0</v>
      </c>
      <c r="K5484">
        <v>1</v>
      </c>
      <c r="L5484">
        <v>67.5</v>
      </c>
      <c r="M5484">
        <v>47.937235809999997</v>
      </c>
      <c r="N5484">
        <v>0.41599678000000001</v>
      </c>
      <c r="O5484">
        <v>2.0950346999999998</v>
      </c>
      <c r="P5484">
        <v>83.888888890000004</v>
      </c>
      <c r="Q5484">
        <v>31.026943280000001</v>
      </c>
      <c r="R5484">
        <v>0.53083999999999998</v>
      </c>
      <c r="S5484">
        <v>0.24845418999999999</v>
      </c>
      <c r="T5484" t="s">
        <v>1041</v>
      </c>
      <c r="U5484">
        <v>1.8465805099999999</v>
      </c>
    </row>
    <row r="5485" spans="1:21" x14ac:dyDescent="0.25">
      <c r="A5485" t="s">
        <v>41</v>
      </c>
      <c r="B5485" t="s">
        <v>953</v>
      </c>
      <c r="C5485">
        <v>2</v>
      </c>
      <c r="D5485" t="s">
        <v>19</v>
      </c>
      <c r="E5485" t="s">
        <v>94</v>
      </c>
      <c r="F5485" t="s">
        <v>105</v>
      </c>
      <c r="G5485" t="s">
        <v>104</v>
      </c>
      <c r="H5485" t="s">
        <v>239</v>
      </c>
      <c r="J5485">
        <v>0</v>
      </c>
      <c r="K5485">
        <v>1</v>
      </c>
      <c r="L5485">
        <v>67.5</v>
      </c>
      <c r="M5485">
        <v>47.937235809999997</v>
      </c>
      <c r="N5485">
        <v>0.41599678000000001</v>
      </c>
      <c r="O5485">
        <v>2.0950346999999998</v>
      </c>
      <c r="P5485">
        <v>100.45454549999999</v>
      </c>
      <c r="Q5485">
        <v>26.754810689999999</v>
      </c>
      <c r="R5485">
        <v>0.75829999999999997</v>
      </c>
      <c r="S5485">
        <v>0.40907861000000001</v>
      </c>
      <c r="T5485" t="s">
        <v>1041</v>
      </c>
      <c r="U5485">
        <v>1.6859560899999999</v>
      </c>
    </row>
    <row r="5486" spans="1:21" x14ac:dyDescent="0.25">
      <c r="A5486" t="s">
        <v>41</v>
      </c>
      <c r="B5486" t="s">
        <v>954</v>
      </c>
      <c r="C5486">
        <v>2</v>
      </c>
      <c r="D5486" t="s">
        <v>19</v>
      </c>
      <c r="E5486" t="s">
        <v>94</v>
      </c>
      <c r="F5486" t="s">
        <v>113</v>
      </c>
      <c r="G5486" t="s">
        <v>104</v>
      </c>
      <c r="H5486" t="s">
        <v>237</v>
      </c>
      <c r="J5486">
        <v>0</v>
      </c>
      <c r="K5486">
        <v>1</v>
      </c>
      <c r="L5486">
        <v>83.757575759999995</v>
      </c>
      <c r="M5486">
        <v>22.60997987</v>
      </c>
      <c r="N5486">
        <v>0.72884000000000004</v>
      </c>
      <c r="O5486">
        <v>0.21301339999999999</v>
      </c>
      <c r="P5486">
        <v>83.888888890000004</v>
      </c>
      <c r="Q5486">
        <v>31.026943280000001</v>
      </c>
      <c r="R5486">
        <v>0.53083999999999998</v>
      </c>
      <c r="S5486">
        <v>0.24845418999999999</v>
      </c>
      <c r="T5486" t="s">
        <v>1041</v>
      </c>
      <c r="U5486">
        <v>3.544079E-2</v>
      </c>
    </row>
    <row r="5487" spans="1:21" x14ac:dyDescent="0.25">
      <c r="A5487" t="s">
        <v>41</v>
      </c>
      <c r="B5487" t="s">
        <v>954</v>
      </c>
      <c r="C5487">
        <v>2</v>
      </c>
      <c r="D5487" t="s">
        <v>19</v>
      </c>
      <c r="E5487" t="s">
        <v>94</v>
      </c>
      <c r="F5487" t="s">
        <v>113</v>
      </c>
      <c r="G5487" t="s">
        <v>104</v>
      </c>
      <c r="H5487" t="s">
        <v>113</v>
      </c>
      <c r="J5487">
        <v>0</v>
      </c>
      <c r="K5487">
        <v>7</v>
      </c>
      <c r="L5487">
        <v>83.757575759999995</v>
      </c>
      <c r="M5487">
        <v>22.60997987</v>
      </c>
      <c r="N5487">
        <v>0.72884000000000004</v>
      </c>
      <c r="O5487">
        <v>0.21301339999999999</v>
      </c>
      <c r="P5487">
        <v>83.757575759999995</v>
      </c>
      <c r="Q5487">
        <v>22.60997987</v>
      </c>
      <c r="R5487">
        <v>0.72884000000000004</v>
      </c>
      <c r="S5487">
        <v>0.21301339999999999</v>
      </c>
      <c r="T5487" t="s">
        <v>1041</v>
      </c>
      <c r="U5487">
        <v>0</v>
      </c>
    </row>
    <row r="5488" spans="1:21" x14ac:dyDescent="0.25">
      <c r="A5488" t="s">
        <v>41</v>
      </c>
      <c r="B5488" t="s">
        <v>954</v>
      </c>
      <c r="C5488">
        <v>2</v>
      </c>
      <c r="D5488" t="s">
        <v>19</v>
      </c>
      <c r="E5488" t="s">
        <v>94</v>
      </c>
      <c r="F5488" t="s">
        <v>113</v>
      </c>
      <c r="G5488" t="s">
        <v>104</v>
      </c>
      <c r="H5488" t="s">
        <v>113</v>
      </c>
      <c r="J5488">
        <v>0</v>
      </c>
      <c r="K5488">
        <v>7</v>
      </c>
      <c r="L5488">
        <v>83.757575759999995</v>
      </c>
      <c r="M5488">
        <v>22.60997987</v>
      </c>
      <c r="N5488">
        <v>0.72884000000000004</v>
      </c>
      <c r="O5488">
        <v>0.21301339999999999</v>
      </c>
      <c r="P5488">
        <v>83.757575759999995</v>
      </c>
      <c r="Q5488">
        <v>22.60997987</v>
      </c>
      <c r="R5488">
        <v>0.72884000000000004</v>
      </c>
      <c r="S5488">
        <v>0.21301339999999999</v>
      </c>
      <c r="T5488" t="s">
        <v>1041</v>
      </c>
      <c r="U5488">
        <v>0</v>
      </c>
    </row>
    <row r="5489" spans="1:21" x14ac:dyDescent="0.25">
      <c r="A5489" t="s">
        <v>41</v>
      </c>
      <c r="B5489" t="s">
        <v>954</v>
      </c>
      <c r="C5489">
        <v>2</v>
      </c>
      <c r="D5489" t="s">
        <v>19</v>
      </c>
      <c r="E5489" t="s">
        <v>94</v>
      </c>
      <c r="F5489" t="s">
        <v>113</v>
      </c>
      <c r="G5489" t="s">
        <v>104</v>
      </c>
      <c r="H5489" t="s">
        <v>113</v>
      </c>
      <c r="J5489">
        <v>0</v>
      </c>
      <c r="K5489">
        <v>7</v>
      </c>
      <c r="L5489">
        <v>83.757575759999995</v>
      </c>
      <c r="M5489">
        <v>22.60997987</v>
      </c>
      <c r="N5489">
        <v>0.72884000000000004</v>
      </c>
      <c r="O5489">
        <v>0.21301339999999999</v>
      </c>
      <c r="P5489">
        <v>83.757575759999995</v>
      </c>
      <c r="Q5489">
        <v>22.60997987</v>
      </c>
      <c r="R5489">
        <v>0.72884000000000004</v>
      </c>
      <c r="S5489">
        <v>0.21301339999999999</v>
      </c>
      <c r="T5489" t="s">
        <v>1041</v>
      </c>
      <c r="U5489">
        <v>0</v>
      </c>
    </row>
    <row r="5490" spans="1:21" x14ac:dyDescent="0.25">
      <c r="A5490" t="s">
        <v>41</v>
      </c>
      <c r="B5490" t="s">
        <v>954</v>
      </c>
      <c r="C5490">
        <v>2</v>
      </c>
      <c r="D5490" t="s">
        <v>19</v>
      </c>
      <c r="E5490" t="s">
        <v>94</v>
      </c>
      <c r="F5490" t="s">
        <v>113</v>
      </c>
      <c r="G5490" t="s">
        <v>104</v>
      </c>
      <c r="H5490" t="s">
        <v>113</v>
      </c>
      <c r="J5490">
        <v>0</v>
      </c>
      <c r="K5490">
        <v>7</v>
      </c>
      <c r="L5490">
        <v>83.757575759999995</v>
      </c>
      <c r="M5490">
        <v>22.60997987</v>
      </c>
      <c r="N5490">
        <v>0.72884000000000004</v>
      </c>
      <c r="O5490">
        <v>0.21301339999999999</v>
      </c>
      <c r="P5490">
        <v>83.757575759999995</v>
      </c>
      <c r="Q5490">
        <v>22.60997987</v>
      </c>
      <c r="R5490">
        <v>0.72884000000000004</v>
      </c>
      <c r="S5490">
        <v>0.21301339999999999</v>
      </c>
      <c r="T5490" t="s">
        <v>1041</v>
      </c>
      <c r="U5490">
        <v>0</v>
      </c>
    </row>
    <row r="5491" spans="1:21" x14ac:dyDescent="0.25">
      <c r="A5491" t="s">
        <v>41</v>
      </c>
      <c r="B5491" t="s">
        <v>954</v>
      </c>
      <c r="C5491">
        <v>2</v>
      </c>
      <c r="D5491" t="s">
        <v>19</v>
      </c>
      <c r="E5491" t="s">
        <v>94</v>
      </c>
      <c r="F5491" t="s">
        <v>113</v>
      </c>
      <c r="G5491" t="s">
        <v>104</v>
      </c>
      <c r="H5491" t="s">
        <v>113</v>
      </c>
      <c r="J5491">
        <v>0</v>
      </c>
      <c r="K5491">
        <v>7</v>
      </c>
      <c r="L5491">
        <v>83.757575759999995</v>
      </c>
      <c r="M5491">
        <v>22.60997987</v>
      </c>
      <c r="N5491">
        <v>0.72884000000000004</v>
      </c>
      <c r="O5491">
        <v>0.21301339999999999</v>
      </c>
      <c r="P5491">
        <v>83.757575759999995</v>
      </c>
      <c r="Q5491">
        <v>22.60997987</v>
      </c>
      <c r="R5491">
        <v>0.72884000000000004</v>
      </c>
      <c r="S5491">
        <v>0.21301339999999999</v>
      </c>
      <c r="T5491" t="s">
        <v>1041</v>
      </c>
      <c r="U5491">
        <v>0</v>
      </c>
    </row>
    <row r="5492" spans="1:21" x14ac:dyDescent="0.25">
      <c r="A5492" t="s">
        <v>41</v>
      </c>
      <c r="B5492" t="s">
        <v>954</v>
      </c>
      <c r="C5492">
        <v>2</v>
      </c>
      <c r="D5492" t="s">
        <v>19</v>
      </c>
      <c r="E5492" t="s">
        <v>94</v>
      </c>
      <c r="F5492" t="s">
        <v>113</v>
      </c>
      <c r="G5492" t="s">
        <v>104</v>
      </c>
      <c r="H5492" t="s">
        <v>113</v>
      </c>
      <c r="J5492">
        <v>0</v>
      </c>
      <c r="K5492">
        <v>7</v>
      </c>
      <c r="L5492">
        <v>83.757575759999995</v>
      </c>
      <c r="M5492">
        <v>22.60997987</v>
      </c>
      <c r="N5492">
        <v>0.72884000000000004</v>
      </c>
      <c r="O5492">
        <v>0.21301339999999999</v>
      </c>
      <c r="P5492">
        <v>83.757575759999995</v>
      </c>
      <c r="Q5492">
        <v>22.60997987</v>
      </c>
      <c r="R5492">
        <v>0.72884000000000004</v>
      </c>
      <c r="S5492">
        <v>0.21301339999999999</v>
      </c>
      <c r="T5492" t="s">
        <v>1041</v>
      </c>
      <c r="U5492">
        <v>0</v>
      </c>
    </row>
    <row r="5493" spans="1:21" x14ac:dyDescent="0.25">
      <c r="A5493" t="s">
        <v>41</v>
      </c>
      <c r="B5493" t="s">
        <v>954</v>
      </c>
      <c r="C5493">
        <v>2</v>
      </c>
      <c r="D5493" t="s">
        <v>19</v>
      </c>
      <c r="E5493" t="s">
        <v>94</v>
      </c>
      <c r="F5493" t="s">
        <v>113</v>
      </c>
      <c r="G5493" t="s">
        <v>104</v>
      </c>
      <c r="H5493" t="s">
        <v>113</v>
      </c>
      <c r="J5493">
        <v>0</v>
      </c>
      <c r="K5493">
        <v>7</v>
      </c>
      <c r="L5493">
        <v>83.757575759999995</v>
      </c>
      <c r="M5493">
        <v>22.60997987</v>
      </c>
      <c r="N5493">
        <v>0.72884000000000004</v>
      </c>
      <c r="O5493">
        <v>0.21301339999999999</v>
      </c>
      <c r="P5493">
        <v>83.757575759999995</v>
      </c>
      <c r="Q5493">
        <v>22.60997987</v>
      </c>
      <c r="R5493">
        <v>0.72884000000000004</v>
      </c>
      <c r="S5493">
        <v>0.21301339999999999</v>
      </c>
      <c r="T5493" t="s">
        <v>1041</v>
      </c>
      <c r="U5493">
        <v>0</v>
      </c>
    </row>
    <row r="5494" spans="1:21" x14ac:dyDescent="0.25">
      <c r="A5494" t="s">
        <v>41</v>
      </c>
      <c r="B5494" t="s">
        <v>954</v>
      </c>
      <c r="C5494">
        <v>2</v>
      </c>
      <c r="D5494" t="s">
        <v>19</v>
      </c>
      <c r="E5494" t="s">
        <v>94</v>
      </c>
      <c r="F5494" t="s">
        <v>113</v>
      </c>
      <c r="G5494" t="s">
        <v>104</v>
      </c>
      <c r="H5494" t="s">
        <v>104</v>
      </c>
      <c r="J5494">
        <v>0</v>
      </c>
      <c r="K5494">
        <v>1</v>
      </c>
      <c r="L5494">
        <v>83.757575759999995</v>
      </c>
      <c r="M5494">
        <v>22.60997987</v>
      </c>
      <c r="N5494">
        <v>0.72884000000000004</v>
      </c>
      <c r="O5494">
        <v>0.21301339999999999</v>
      </c>
      <c r="P5494">
        <v>113.9375</v>
      </c>
      <c r="Q5494">
        <v>33.375507550000002</v>
      </c>
      <c r="R5494">
        <v>2.4262999999999999</v>
      </c>
      <c r="S5494">
        <v>0.40692159999999999</v>
      </c>
      <c r="T5494" t="s">
        <v>1041</v>
      </c>
      <c r="U5494">
        <v>0.1939082</v>
      </c>
    </row>
    <row r="5495" spans="1:21" x14ac:dyDescent="0.25">
      <c r="A5495" t="s">
        <v>41</v>
      </c>
      <c r="B5495" t="s">
        <v>954</v>
      </c>
      <c r="C5495">
        <v>2</v>
      </c>
      <c r="D5495" t="s">
        <v>19</v>
      </c>
      <c r="E5495" t="s">
        <v>94</v>
      </c>
      <c r="F5495" t="s">
        <v>113</v>
      </c>
      <c r="G5495" t="s">
        <v>104</v>
      </c>
      <c r="H5495" t="s">
        <v>238</v>
      </c>
      <c r="J5495">
        <v>0</v>
      </c>
      <c r="K5495">
        <v>1</v>
      </c>
      <c r="L5495">
        <v>83.757575759999995</v>
      </c>
      <c r="M5495">
        <v>22.60997987</v>
      </c>
      <c r="N5495">
        <v>0.72884000000000004</v>
      </c>
      <c r="O5495">
        <v>0.21301339999999999</v>
      </c>
      <c r="P5495">
        <v>87.5</v>
      </c>
      <c r="Q5495">
        <v>29.478311600000001</v>
      </c>
      <c r="R5495">
        <v>3.0797751000000002E-2</v>
      </c>
      <c r="S5495">
        <v>0.12931835</v>
      </c>
      <c r="T5495" t="s">
        <v>1041</v>
      </c>
      <c r="U5495">
        <v>8.3695049999999993E-2</v>
      </c>
    </row>
    <row r="5496" spans="1:21" x14ac:dyDescent="0.25">
      <c r="A5496" t="s">
        <v>41</v>
      </c>
      <c r="B5496" t="s">
        <v>955</v>
      </c>
      <c r="C5496">
        <v>2</v>
      </c>
      <c r="D5496" t="s">
        <v>19</v>
      </c>
      <c r="E5496" t="s">
        <v>94</v>
      </c>
      <c r="F5496" t="s">
        <v>103</v>
      </c>
      <c r="G5496" t="s">
        <v>113</v>
      </c>
      <c r="H5496" t="s">
        <v>103</v>
      </c>
      <c r="J5496">
        <v>0</v>
      </c>
      <c r="K5496">
        <v>2</v>
      </c>
      <c r="L5496">
        <v>98.291666669999998</v>
      </c>
      <c r="M5496">
        <v>30.315130790000001</v>
      </c>
      <c r="N5496">
        <v>5.0803484000000003E-2</v>
      </c>
      <c r="O5496">
        <v>0.42866070000000001</v>
      </c>
      <c r="P5496">
        <v>98.291666669999998</v>
      </c>
      <c r="Q5496">
        <v>30.315130790000001</v>
      </c>
      <c r="R5496">
        <v>5.0803484000000003E-2</v>
      </c>
      <c r="S5496">
        <v>0.42866070000000001</v>
      </c>
      <c r="T5496" t="s">
        <v>1041</v>
      </c>
      <c r="U5496">
        <v>0</v>
      </c>
    </row>
    <row r="5497" spans="1:21" x14ac:dyDescent="0.25">
      <c r="A5497" t="s">
        <v>41</v>
      </c>
      <c r="B5497" t="s">
        <v>955</v>
      </c>
      <c r="C5497">
        <v>2</v>
      </c>
      <c r="D5497" t="s">
        <v>19</v>
      </c>
      <c r="E5497" t="s">
        <v>94</v>
      </c>
      <c r="F5497" t="s">
        <v>103</v>
      </c>
      <c r="G5497" t="s">
        <v>113</v>
      </c>
      <c r="H5497" t="s">
        <v>103</v>
      </c>
      <c r="J5497">
        <v>0</v>
      </c>
      <c r="K5497">
        <v>2</v>
      </c>
      <c r="L5497">
        <v>98.291666669999998</v>
      </c>
      <c r="M5497">
        <v>30.315130790000001</v>
      </c>
      <c r="N5497">
        <v>5.0803484000000003E-2</v>
      </c>
      <c r="O5497">
        <v>0.42866070000000001</v>
      </c>
      <c r="P5497">
        <v>98.291666669999998</v>
      </c>
      <c r="Q5497">
        <v>30.315130790000001</v>
      </c>
      <c r="R5497">
        <v>5.0803484000000003E-2</v>
      </c>
      <c r="S5497">
        <v>0.42866070000000001</v>
      </c>
      <c r="T5497" t="s">
        <v>1041</v>
      </c>
      <c r="U5497">
        <v>0</v>
      </c>
    </row>
    <row r="5498" spans="1:21" x14ac:dyDescent="0.25">
      <c r="A5498" t="s">
        <v>41</v>
      </c>
      <c r="B5498" t="s">
        <v>955</v>
      </c>
      <c r="C5498">
        <v>2</v>
      </c>
      <c r="D5498" t="s">
        <v>19</v>
      </c>
      <c r="E5498" t="s">
        <v>94</v>
      </c>
      <c r="F5498" t="s">
        <v>103</v>
      </c>
      <c r="G5498" t="s">
        <v>113</v>
      </c>
      <c r="H5498" t="s">
        <v>113</v>
      </c>
      <c r="J5498">
        <v>0</v>
      </c>
      <c r="K5498">
        <v>3</v>
      </c>
      <c r="L5498">
        <v>98.291666669999998</v>
      </c>
      <c r="M5498">
        <v>30.315130790000001</v>
      </c>
      <c r="N5498">
        <v>5.0803484000000003E-2</v>
      </c>
      <c r="O5498">
        <v>0.42866070000000001</v>
      </c>
      <c r="P5498">
        <v>83.757575759999995</v>
      </c>
      <c r="Q5498">
        <v>22.60997987</v>
      </c>
      <c r="R5498">
        <v>0.72884000000000004</v>
      </c>
      <c r="S5498">
        <v>0.21301339999999999</v>
      </c>
      <c r="T5498" t="s">
        <v>1041</v>
      </c>
      <c r="U5498">
        <v>0.21564730000000001</v>
      </c>
    </row>
    <row r="5499" spans="1:21" x14ac:dyDescent="0.25">
      <c r="A5499" t="s">
        <v>41</v>
      </c>
      <c r="B5499" t="s">
        <v>955</v>
      </c>
      <c r="C5499">
        <v>2</v>
      </c>
      <c r="D5499" t="s">
        <v>19</v>
      </c>
      <c r="E5499" t="s">
        <v>94</v>
      </c>
      <c r="F5499" t="s">
        <v>103</v>
      </c>
      <c r="G5499" t="s">
        <v>113</v>
      </c>
      <c r="H5499" t="s">
        <v>113</v>
      </c>
      <c r="J5499">
        <v>0</v>
      </c>
      <c r="K5499">
        <v>3</v>
      </c>
      <c r="L5499">
        <v>98.291666669999998</v>
      </c>
      <c r="M5499">
        <v>30.315130790000001</v>
      </c>
      <c r="N5499">
        <v>5.0803484000000003E-2</v>
      </c>
      <c r="O5499">
        <v>0.42866070000000001</v>
      </c>
      <c r="P5499">
        <v>83.757575759999995</v>
      </c>
      <c r="Q5499">
        <v>22.60997987</v>
      </c>
      <c r="R5499">
        <v>0.72884000000000004</v>
      </c>
      <c r="S5499">
        <v>0.21301339999999999</v>
      </c>
      <c r="T5499" t="s">
        <v>1041</v>
      </c>
      <c r="U5499">
        <v>0.21564730000000001</v>
      </c>
    </row>
    <row r="5500" spans="1:21" x14ac:dyDescent="0.25">
      <c r="A5500" t="s">
        <v>41</v>
      </c>
      <c r="B5500" t="s">
        <v>955</v>
      </c>
      <c r="C5500">
        <v>2</v>
      </c>
      <c r="D5500" t="s">
        <v>19</v>
      </c>
      <c r="E5500" t="s">
        <v>94</v>
      </c>
      <c r="F5500" t="s">
        <v>103</v>
      </c>
      <c r="G5500" t="s">
        <v>113</v>
      </c>
      <c r="H5500" t="s">
        <v>113</v>
      </c>
      <c r="J5500">
        <v>0</v>
      </c>
      <c r="K5500">
        <v>3</v>
      </c>
      <c r="L5500">
        <v>98.291666669999998</v>
      </c>
      <c r="M5500">
        <v>30.315130790000001</v>
      </c>
      <c r="N5500">
        <v>5.0803484000000003E-2</v>
      </c>
      <c r="O5500">
        <v>0.42866070000000001</v>
      </c>
      <c r="P5500">
        <v>83.757575759999995</v>
      </c>
      <c r="Q5500">
        <v>22.60997987</v>
      </c>
      <c r="R5500">
        <v>0.72884000000000004</v>
      </c>
      <c r="S5500">
        <v>0.21301339999999999</v>
      </c>
      <c r="T5500" t="s">
        <v>1041</v>
      </c>
      <c r="U5500">
        <v>0.21564730000000001</v>
      </c>
    </row>
    <row r="5501" spans="1:21" x14ac:dyDescent="0.25">
      <c r="A5501" t="s">
        <v>42</v>
      </c>
      <c r="B5501" t="s">
        <v>956</v>
      </c>
      <c r="C5501">
        <v>2</v>
      </c>
      <c r="D5501" t="s">
        <v>21</v>
      </c>
      <c r="E5501" t="s">
        <v>94</v>
      </c>
      <c r="F5501" t="s">
        <v>105</v>
      </c>
      <c r="G5501" t="s">
        <v>121</v>
      </c>
      <c r="H5501" t="s">
        <v>242</v>
      </c>
      <c r="J5501">
        <v>0</v>
      </c>
      <c r="K5501">
        <v>6</v>
      </c>
      <c r="L5501">
        <v>67.5</v>
      </c>
      <c r="M5501">
        <v>47.937235809999997</v>
      </c>
      <c r="N5501">
        <v>0.41599678000000001</v>
      </c>
      <c r="O5501">
        <v>2.0950346999999998</v>
      </c>
      <c r="P5501">
        <v>139.375</v>
      </c>
      <c r="Q5501">
        <v>23.713465920000001</v>
      </c>
      <c r="R5501" t="s">
        <v>114</v>
      </c>
      <c r="S5501" t="s">
        <v>114</v>
      </c>
      <c r="T5501" t="s">
        <v>1041</v>
      </c>
      <c r="U5501" t="s">
        <v>114</v>
      </c>
    </row>
    <row r="5502" spans="1:21" x14ac:dyDescent="0.25">
      <c r="A5502" t="s">
        <v>42</v>
      </c>
      <c r="B5502" t="s">
        <v>956</v>
      </c>
      <c r="C5502">
        <v>2</v>
      </c>
      <c r="D5502" t="s">
        <v>21</v>
      </c>
      <c r="E5502" t="s">
        <v>94</v>
      </c>
      <c r="F5502" t="s">
        <v>105</v>
      </c>
      <c r="G5502" t="s">
        <v>121</v>
      </c>
      <c r="H5502" t="s">
        <v>242</v>
      </c>
      <c r="J5502">
        <v>0</v>
      </c>
      <c r="K5502">
        <v>6</v>
      </c>
      <c r="L5502">
        <v>67.5</v>
      </c>
      <c r="M5502">
        <v>47.937235809999997</v>
      </c>
      <c r="N5502">
        <v>0.41599678000000001</v>
      </c>
      <c r="O5502">
        <v>2.0950346999999998</v>
      </c>
      <c r="P5502">
        <v>139.375</v>
      </c>
      <c r="Q5502">
        <v>23.713465920000001</v>
      </c>
      <c r="R5502" t="s">
        <v>114</v>
      </c>
      <c r="S5502" t="s">
        <v>114</v>
      </c>
      <c r="T5502" t="s">
        <v>1041</v>
      </c>
      <c r="U5502" t="s">
        <v>114</v>
      </c>
    </row>
    <row r="5503" spans="1:21" x14ac:dyDescent="0.25">
      <c r="A5503" t="s">
        <v>42</v>
      </c>
      <c r="B5503" t="s">
        <v>956</v>
      </c>
      <c r="C5503">
        <v>2</v>
      </c>
      <c r="D5503" t="s">
        <v>21</v>
      </c>
      <c r="E5503" t="s">
        <v>94</v>
      </c>
      <c r="F5503" t="s">
        <v>105</v>
      </c>
      <c r="G5503" t="s">
        <v>121</v>
      </c>
      <c r="H5503" t="s">
        <v>242</v>
      </c>
      <c r="J5503">
        <v>0</v>
      </c>
      <c r="K5503">
        <v>6</v>
      </c>
      <c r="L5503">
        <v>67.5</v>
      </c>
      <c r="M5503">
        <v>47.937235809999997</v>
      </c>
      <c r="N5503">
        <v>0.41599678000000001</v>
      </c>
      <c r="O5503">
        <v>2.0950346999999998</v>
      </c>
      <c r="P5503">
        <v>139.375</v>
      </c>
      <c r="Q5503">
        <v>23.713465920000001</v>
      </c>
      <c r="R5503" t="s">
        <v>114</v>
      </c>
      <c r="S5503" t="s">
        <v>114</v>
      </c>
      <c r="T5503" t="s">
        <v>1041</v>
      </c>
      <c r="U5503" t="s">
        <v>114</v>
      </c>
    </row>
    <row r="5504" spans="1:21" x14ac:dyDescent="0.25">
      <c r="A5504" t="s">
        <v>42</v>
      </c>
      <c r="B5504" t="s">
        <v>956</v>
      </c>
      <c r="C5504">
        <v>2</v>
      </c>
      <c r="D5504" t="s">
        <v>21</v>
      </c>
      <c r="E5504" t="s">
        <v>94</v>
      </c>
      <c r="F5504" t="s">
        <v>105</v>
      </c>
      <c r="G5504" t="s">
        <v>121</v>
      </c>
      <c r="H5504" t="s">
        <v>242</v>
      </c>
      <c r="J5504">
        <v>0</v>
      </c>
      <c r="K5504">
        <v>6</v>
      </c>
      <c r="L5504">
        <v>67.5</v>
      </c>
      <c r="M5504">
        <v>47.937235809999997</v>
      </c>
      <c r="N5504">
        <v>0.41599678000000001</v>
      </c>
      <c r="O5504">
        <v>2.0950346999999998</v>
      </c>
      <c r="P5504">
        <v>139.375</v>
      </c>
      <c r="Q5504">
        <v>23.713465920000001</v>
      </c>
      <c r="R5504" t="s">
        <v>114</v>
      </c>
      <c r="S5504" t="s">
        <v>114</v>
      </c>
      <c r="T5504" t="s">
        <v>1041</v>
      </c>
      <c r="U5504" t="s">
        <v>114</v>
      </c>
    </row>
    <row r="5505" spans="1:21" x14ac:dyDescent="0.25">
      <c r="A5505" t="s">
        <v>42</v>
      </c>
      <c r="B5505" t="s">
        <v>956</v>
      </c>
      <c r="C5505">
        <v>2</v>
      </c>
      <c r="D5505" t="s">
        <v>21</v>
      </c>
      <c r="E5505" t="s">
        <v>94</v>
      </c>
      <c r="F5505" t="s">
        <v>105</v>
      </c>
      <c r="G5505" t="s">
        <v>121</v>
      </c>
      <c r="H5505" t="s">
        <v>242</v>
      </c>
      <c r="J5505">
        <v>0</v>
      </c>
      <c r="K5505">
        <v>6</v>
      </c>
      <c r="L5505">
        <v>67.5</v>
      </c>
      <c r="M5505">
        <v>47.937235809999997</v>
      </c>
      <c r="N5505">
        <v>0.41599678000000001</v>
      </c>
      <c r="O5505">
        <v>2.0950346999999998</v>
      </c>
      <c r="P5505">
        <v>139.375</v>
      </c>
      <c r="Q5505">
        <v>23.713465920000001</v>
      </c>
      <c r="R5505" t="s">
        <v>114</v>
      </c>
      <c r="S5505" t="s">
        <v>114</v>
      </c>
      <c r="T5505" t="s">
        <v>1041</v>
      </c>
      <c r="U5505" t="s">
        <v>114</v>
      </c>
    </row>
    <row r="5506" spans="1:21" x14ac:dyDescent="0.25">
      <c r="A5506" t="s">
        <v>42</v>
      </c>
      <c r="B5506" t="s">
        <v>956</v>
      </c>
      <c r="C5506">
        <v>2</v>
      </c>
      <c r="D5506" t="s">
        <v>21</v>
      </c>
      <c r="E5506" t="s">
        <v>94</v>
      </c>
      <c r="F5506" t="s">
        <v>105</v>
      </c>
      <c r="G5506" t="s">
        <v>121</v>
      </c>
      <c r="H5506" t="s">
        <v>242</v>
      </c>
      <c r="J5506">
        <v>0</v>
      </c>
      <c r="K5506">
        <v>6</v>
      </c>
      <c r="L5506">
        <v>67.5</v>
      </c>
      <c r="M5506">
        <v>47.937235809999997</v>
      </c>
      <c r="N5506">
        <v>0.41599678000000001</v>
      </c>
      <c r="O5506">
        <v>2.0950346999999998</v>
      </c>
      <c r="P5506">
        <v>139.375</v>
      </c>
      <c r="Q5506">
        <v>23.713465920000001</v>
      </c>
      <c r="R5506" t="s">
        <v>114</v>
      </c>
      <c r="S5506" t="s">
        <v>114</v>
      </c>
      <c r="T5506" t="s">
        <v>1041</v>
      </c>
      <c r="U5506" t="s">
        <v>114</v>
      </c>
    </row>
    <row r="5507" spans="1:21" x14ac:dyDescent="0.25">
      <c r="A5507" t="s">
        <v>42</v>
      </c>
      <c r="B5507" t="s">
        <v>957</v>
      </c>
      <c r="C5507">
        <v>2</v>
      </c>
      <c r="D5507" t="s">
        <v>21</v>
      </c>
      <c r="E5507" t="s">
        <v>94</v>
      </c>
      <c r="F5507" t="s">
        <v>110</v>
      </c>
      <c r="G5507" t="s">
        <v>113</v>
      </c>
      <c r="H5507" t="s">
        <v>104</v>
      </c>
      <c r="J5507">
        <v>0</v>
      </c>
      <c r="K5507">
        <v>2</v>
      </c>
      <c r="L5507">
        <v>73.260869569999997</v>
      </c>
      <c r="M5507">
        <v>34.453830549999999</v>
      </c>
      <c r="N5507">
        <v>1.058333333</v>
      </c>
      <c r="O5507">
        <v>0.90897070000000002</v>
      </c>
      <c r="P5507">
        <v>113.9375</v>
      </c>
      <c r="Q5507">
        <v>33.375507550000002</v>
      </c>
      <c r="R5507">
        <v>2.4262999999999999</v>
      </c>
      <c r="S5507">
        <v>0.40692159999999999</v>
      </c>
      <c r="T5507" t="s">
        <v>1041</v>
      </c>
      <c r="U5507">
        <v>0.50204910000000003</v>
      </c>
    </row>
    <row r="5508" spans="1:21" x14ac:dyDescent="0.25">
      <c r="A5508" t="s">
        <v>42</v>
      </c>
      <c r="B5508" t="s">
        <v>957</v>
      </c>
      <c r="C5508">
        <v>2</v>
      </c>
      <c r="D5508" t="s">
        <v>21</v>
      </c>
      <c r="E5508" t="s">
        <v>94</v>
      </c>
      <c r="F5508" t="s">
        <v>110</v>
      </c>
      <c r="G5508" t="s">
        <v>113</v>
      </c>
      <c r="H5508" t="s">
        <v>104</v>
      </c>
      <c r="J5508">
        <v>0</v>
      </c>
      <c r="K5508">
        <v>2</v>
      </c>
      <c r="L5508">
        <v>73.260869569999997</v>
      </c>
      <c r="M5508">
        <v>34.453830549999999</v>
      </c>
      <c r="N5508">
        <v>1.058333333</v>
      </c>
      <c r="O5508">
        <v>0.90897070000000002</v>
      </c>
      <c r="P5508">
        <v>113.9375</v>
      </c>
      <c r="Q5508">
        <v>33.375507550000002</v>
      </c>
      <c r="R5508">
        <v>2.4262999999999999</v>
      </c>
      <c r="S5508">
        <v>0.40692159999999999</v>
      </c>
      <c r="T5508" t="s">
        <v>1041</v>
      </c>
      <c r="U5508">
        <v>0.50204910000000003</v>
      </c>
    </row>
    <row r="5509" spans="1:21" x14ac:dyDescent="0.25">
      <c r="A5509" t="s">
        <v>42</v>
      </c>
      <c r="B5509" t="s">
        <v>957</v>
      </c>
      <c r="C5509">
        <v>2</v>
      </c>
      <c r="D5509" t="s">
        <v>21</v>
      </c>
      <c r="E5509" t="s">
        <v>94</v>
      </c>
      <c r="F5509" t="s">
        <v>110</v>
      </c>
      <c r="G5509" t="s">
        <v>113</v>
      </c>
      <c r="H5509" t="s">
        <v>242</v>
      </c>
      <c r="J5509">
        <v>0</v>
      </c>
      <c r="K5509">
        <v>5</v>
      </c>
      <c r="L5509">
        <v>73.260869569999997</v>
      </c>
      <c r="M5509">
        <v>34.453830549999999</v>
      </c>
      <c r="N5509">
        <v>1.058333333</v>
      </c>
      <c r="O5509">
        <v>0.90897070000000002</v>
      </c>
      <c r="P5509">
        <v>139.375</v>
      </c>
      <c r="Q5509">
        <v>23.713465920000001</v>
      </c>
      <c r="R5509" t="s">
        <v>114</v>
      </c>
      <c r="S5509" t="s">
        <v>114</v>
      </c>
      <c r="T5509" t="s">
        <v>1041</v>
      </c>
      <c r="U5509" t="s">
        <v>114</v>
      </c>
    </row>
    <row r="5510" spans="1:21" x14ac:dyDescent="0.25">
      <c r="A5510" t="s">
        <v>42</v>
      </c>
      <c r="B5510" t="s">
        <v>957</v>
      </c>
      <c r="C5510">
        <v>2</v>
      </c>
      <c r="D5510" t="s">
        <v>21</v>
      </c>
      <c r="E5510" t="s">
        <v>94</v>
      </c>
      <c r="F5510" t="s">
        <v>110</v>
      </c>
      <c r="G5510" t="s">
        <v>113</v>
      </c>
      <c r="H5510" t="s">
        <v>242</v>
      </c>
      <c r="J5510">
        <v>0</v>
      </c>
      <c r="K5510">
        <v>5</v>
      </c>
      <c r="L5510">
        <v>73.260869569999997</v>
      </c>
      <c r="M5510">
        <v>34.453830549999999</v>
      </c>
      <c r="N5510">
        <v>1.058333333</v>
      </c>
      <c r="O5510">
        <v>0.90897070000000002</v>
      </c>
      <c r="P5510">
        <v>139.375</v>
      </c>
      <c r="Q5510">
        <v>23.713465920000001</v>
      </c>
      <c r="R5510" t="s">
        <v>114</v>
      </c>
      <c r="S5510" t="s">
        <v>114</v>
      </c>
      <c r="T5510" t="s">
        <v>1041</v>
      </c>
      <c r="U5510" t="s">
        <v>114</v>
      </c>
    </row>
    <row r="5511" spans="1:21" x14ac:dyDescent="0.25">
      <c r="A5511" t="s">
        <v>42</v>
      </c>
      <c r="B5511" t="s">
        <v>957</v>
      </c>
      <c r="C5511">
        <v>2</v>
      </c>
      <c r="D5511" t="s">
        <v>21</v>
      </c>
      <c r="E5511" t="s">
        <v>94</v>
      </c>
      <c r="F5511" t="s">
        <v>110</v>
      </c>
      <c r="G5511" t="s">
        <v>113</v>
      </c>
      <c r="H5511" t="s">
        <v>242</v>
      </c>
      <c r="J5511">
        <v>0</v>
      </c>
      <c r="K5511">
        <v>5</v>
      </c>
      <c r="L5511">
        <v>73.260869569999997</v>
      </c>
      <c r="M5511">
        <v>34.453830549999999</v>
      </c>
      <c r="N5511">
        <v>1.058333333</v>
      </c>
      <c r="O5511">
        <v>0.90897070000000002</v>
      </c>
      <c r="P5511">
        <v>139.375</v>
      </c>
      <c r="Q5511">
        <v>23.713465920000001</v>
      </c>
      <c r="R5511" t="s">
        <v>114</v>
      </c>
      <c r="S5511" t="s">
        <v>114</v>
      </c>
      <c r="T5511" t="s">
        <v>1041</v>
      </c>
      <c r="U5511" t="s">
        <v>114</v>
      </c>
    </row>
    <row r="5512" spans="1:21" x14ac:dyDescent="0.25">
      <c r="A5512" t="s">
        <v>42</v>
      </c>
      <c r="B5512" t="s">
        <v>957</v>
      </c>
      <c r="C5512">
        <v>2</v>
      </c>
      <c r="D5512" t="s">
        <v>21</v>
      </c>
      <c r="E5512" t="s">
        <v>94</v>
      </c>
      <c r="F5512" t="s">
        <v>110</v>
      </c>
      <c r="G5512" t="s">
        <v>113</v>
      </c>
      <c r="H5512" t="s">
        <v>242</v>
      </c>
      <c r="J5512">
        <v>0</v>
      </c>
      <c r="K5512">
        <v>5</v>
      </c>
      <c r="L5512">
        <v>73.260869569999997</v>
      </c>
      <c r="M5512">
        <v>34.453830549999999</v>
      </c>
      <c r="N5512">
        <v>1.058333333</v>
      </c>
      <c r="O5512">
        <v>0.90897070000000002</v>
      </c>
      <c r="P5512">
        <v>139.375</v>
      </c>
      <c r="Q5512">
        <v>23.713465920000001</v>
      </c>
      <c r="R5512" t="s">
        <v>114</v>
      </c>
      <c r="S5512" t="s">
        <v>114</v>
      </c>
      <c r="T5512" t="s">
        <v>1041</v>
      </c>
      <c r="U5512" t="s">
        <v>114</v>
      </c>
    </row>
    <row r="5513" spans="1:21" x14ac:dyDescent="0.25">
      <c r="A5513" t="s">
        <v>42</v>
      </c>
      <c r="B5513" t="s">
        <v>957</v>
      </c>
      <c r="C5513">
        <v>2</v>
      </c>
      <c r="D5513" t="s">
        <v>21</v>
      </c>
      <c r="E5513" t="s">
        <v>94</v>
      </c>
      <c r="F5513" t="s">
        <v>110</v>
      </c>
      <c r="G5513" t="s">
        <v>113</v>
      </c>
      <c r="H5513" t="s">
        <v>242</v>
      </c>
      <c r="J5513">
        <v>0</v>
      </c>
      <c r="K5513">
        <v>5</v>
      </c>
      <c r="L5513">
        <v>73.260869569999997</v>
      </c>
      <c r="M5513">
        <v>34.453830549999999</v>
      </c>
      <c r="N5513">
        <v>1.058333333</v>
      </c>
      <c r="O5513">
        <v>0.90897070000000002</v>
      </c>
      <c r="P5513">
        <v>139.375</v>
      </c>
      <c r="Q5513">
        <v>23.713465920000001</v>
      </c>
      <c r="R5513" t="s">
        <v>114</v>
      </c>
      <c r="S5513" t="s">
        <v>114</v>
      </c>
      <c r="T5513" t="s">
        <v>1041</v>
      </c>
      <c r="U5513" t="s">
        <v>114</v>
      </c>
    </row>
    <row r="5514" spans="1:21" x14ac:dyDescent="0.25">
      <c r="A5514" t="s">
        <v>42</v>
      </c>
      <c r="B5514" t="s">
        <v>957</v>
      </c>
      <c r="C5514">
        <v>2</v>
      </c>
      <c r="D5514" t="s">
        <v>21</v>
      </c>
      <c r="E5514" t="s">
        <v>94</v>
      </c>
      <c r="F5514" t="s">
        <v>110</v>
      </c>
      <c r="G5514" t="s">
        <v>113</v>
      </c>
      <c r="H5514" t="s">
        <v>113</v>
      </c>
      <c r="J5514">
        <v>0</v>
      </c>
      <c r="K5514">
        <v>2</v>
      </c>
      <c r="L5514">
        <v>73.260869569999997</v>
      </c>
      <c r="M5514">
        <v>34.453830549999999</v>
      </c>
      <c r="N5514">
        <v>1.058333333</v>
      </c>
      <c r="O5514">
        <v>0.90897070000000002</v>
      </c>
      <c r="P5514">
        <v>83.757575759999995</v>
      </c>
      <c r="Q5514">
        <v>22.60997987</v>
      </c>
      <c r="R5514">
        <v>0.72884000000000004</v>
      </c>
      <c r="S5514">
        <v>0.21301339999999999</v>
      </c>
      <c r="T5514" t="s">
        <v>1041</v>
      </c>
      <c r="U5514">
        <v>0.6959573</v>
      </c>
    </row>
    <row r="5515" spans="1:21" x14ac:dyDescent="0.25">
      <c r="A5515" t="s">
        <v>42</v>
      </c>
      <c r="B5515" t="s">
        <v>957</v>
      </c>
      <c r="C5515">
        <v>2</v>
      </c>
      <c r="D5515" t="s">
        <v>21</v>
      </c>
      <c r="E5515" t="s">
        <v>94</v>
      </c>
      <c r="F5515" t="s">
        <v>110</v>
      </c>
      <c r="G5515" t="s">
        <v>113</v>
      </c>
      <c r="H5515" t="s">
        <v>113</v>
      </c>
      <c r="J5515">
        <v>0</v>
      </c>
      <c r="K5515">
        <v>2</v>
      </c>
      <c r="L5515">
        <v>73.260869569999997</v>
      </c>
      <c r="M5515">
        <v>34.453830549999999</v>
      </c>
      <c r="N5515">
        <v>1.058333333</v>
      </c>
      <c r="O5515">
        <v>0.90897070000000002</v>
      </c>
      <c r="P5515">
        <v>83.757575759999995</v>
      </c>
      <c r="Q5515">
        <v>22.60997987</v>
      </c>
      <c r="R5515">
        <v>0.72884000000000004</v>
      </c>
      <c r="S5515">
        <v>0.21301339999999999</v>
      </c>
      <c r="T5515" t="s">
        <v>1041</v>
      </c>
      <c r="U5515">
        <v>0.6959573</v>
      </c>
    </row>
    <row r="5516" spans="1:21" x14ac:dyDescent="0.25">
      <c r="A5516" t="s">
        <v>42</v>
      </c>
      <c r="B5516" t="s">
        <v>958</v>
      </c>
      <c r="C5516">
        <v>2</v>
      </c>
      <c r="D5516" t="s">
        <v>21</v>
      </c>
      <c r="E5516" t="s">
        <v>94</v>
      </c>
      <c r="F5516" t="s">
        <v>111</v>
      </c>
      <c r="G5516" t="s">
        <v>110</v>
      </c>
      <c r="H5516" t="s">
        <v>113</v>
      </c>
      <c r="J5516">
        <v>0</v>
      </c>
      <c r="K5516">
        <v>1</v>
      </c>
      <c r="L5516">
        <v>94.97142857</v>
      </c>
      <c r="M5516">
        <v>24.31591813</v>
      </c>
      <c r="N5516">
        <v>0.122951111</v>
      </c>
      <c r="O5516">
        <v>0.39050790000000002</v>
      </c>
      <c r="P5516">
        <v>83.757575759999995</v>
      </c>
      <c r="Q5516">
        <v>22.60997987</v>
      </c>
      <c r="R5516">
        <v>0.72884000000000004</v>
      </c>
      <c r="S5516">
        <v>0.21301339999999999</v>
      </c>
      <c r="T5516" t="s">
        <v>1041</v>
      </c>
      <c r="U5516">
        <v>0.17749450000000003</v>
      </c>
    </row>
    <row r="5517" spans="1:21" x14ac:dyDescent="0.25">
      <c r="A5517" t="s">
        <v>42</v>
      </c>
      <c r="B5517" t="s">
        <v>958</v>
      </c>
      <c r="C5517">
        <v>2</v>
      </c>
      <c r="D5517" t="s">
        <v>21</v>
      </c>
      <c r="E5517" t="s">
        <v>94</v>
      </c>
      <c r="F5517" t="s">
        <v>111</v>
      </c>
      <c r="G5517" t="s">
        <v>110</v>
      </c>
      <c r="H5517" t="s">
        <v>110</v>
      </c>
      <c r="J5517">
        <v>0</v>
      </c>
      <c r="K5517">
        <v>1</v>
      </c>
      <c r="L5517">
        <v>94.97142857</v>
      </c>
      <c r="M5517">
        <v>24.31591813</v>
      </c>
      <c r="N5517">
        <v>0.122951111</v>
      </c>
      <c r="O5517">
        <v>0.39050790000000002</v>
      </c>
      <c r="P5517">
        <v>73.260869569999997</v>
      </c>
      <c r="Q5517">
        <v>34.453830549999999</v>
      </c>
      <c r="R5517">
        <v>1.058333333</v>
      </c>
      <c r="S5517">
        <v>0.90897070000000002</v>
      </c>
      <c r="T5517" t="s">
        <v>1041</v>
      </c>
      <c r="U5517">
        <v>0.5184628</v>
      </c>
    </row>
    <row r="5518" spans="1:21" x14ac:dyDescent="0.25">
      <c r="A5518" t="s">
        <v>42</v>
      </c>
      <c r="B5518" t="s">
        <v>959</v>
      </c>
      <c r="C5518">
        <v>2</v>
      </c>
      <c r="D5518" t="s">
        <v>21</v>
      </c>
      <c r="E5518" t="s">
        <v>94</v>
      </c>
      <c r="F5518" t="s">
        <v>104</v>
      </c>
      <c r="G5518" t="s">
        <v>121</v>
      </c>
      <c r="H5518" t="s">
        <v>110</v>
      </c>
      <c r="J5518">
        <v>1</v>
      </c>
      <c r="K5518">
        <v>2</v>
      </c>
      <c r="L5518">
        <v>113.9375</v>
      </c>
      <c r="M5518">
        <v>33.375507550000002</v>
      </c>
      <c r="N5518">
        <v>2.4262999999999999</v>
      </c>
      <c r="O5518">
        <v>0.40692159999999999</v>
      </c>
      <c r="P5518">
        <v>73.260869569999997</v>
      </c>
      <c r="Q5518">
        <v>34.453830549999999</v>
      </c>
      <c r="R5518">
        <v>1.058333333</v>
      </c>
      <c r="S5518">
        <v>0.90897070000000002</v>
      </c>
      <c r="T5518" t="s">
        <v>1041</v>
      </c>
      <c r="U5518">
        <v>0.50204910000000003</v>
      </c>
    </row>
    <row r="5519" spans="1:21" x14ac:dyDescent="0.25">
      <c r="A5519" t="s">
        <v>42</v>
      </c>
      <c r="B5519" t="s">
        <v>959</v>
      </c>
      <c r="C5519">
        <v>2</v>
      </c>
      <c r="D5519" t="s">
        <v>21</v>
      </c>
      <c r="E5519" t="s">
        <v>94</v>
      </c>
      <c r="F5519" t="s">
        <v>104</v>
      </c>
      <c r="G5519" t="s">
        <v>121</v>
      </c>
      <c r="H5519" t="s">
        <v>110</v>
      </c>
      <c r="J5519">
        <v>1</v>
      </c>
      <c r="K5519">
        <v>2</v>
      </c>
      <c r="L5519">
        <v>113.9375</v>
      </c>
      <c r="M5519">
        <v>33.375507550000002</v>
      </c>
      <c r="N5519">
        <v>2.4262999999999999</v>
      </c>
      <c r="O5519">
        <v>0.40692159999999999</v>
      </c>
      <c r="P5519">
        <v>73.260869569999997</v>
      </c>
      <c r="Q5519">
        <v>34.453830549999999</v>
      </c>
      <c r="R5519">
        <v>1.058333333</v>
      </c>
      <c r="S5519">
        <v>0.90897070000000002</v>
      </c>
      <c r="T5519" t="s">
        <v>1041</v>
      </c>
      <c r="U5519">
        <v>0.50204910000000003</v>
      </c>
    </row>
    <row r="5520" spans="1:21" x14ac:dyDescent="0.25">
      <c r="A5520" t="s">
        <v>42</v>
      </c>
      <c r="B5520" t="s">
        <v>959</v>
      </c>
      <c r="C5520">
        <v>2</v>
      </c>
      <c r="D5520" t="s">
        <v>21</v>
      </c>
      <c r="E5520" t="s">
        <v>94</v>
      </c>
      <c r="F5520" t="s">
        <v>104</v>
      </c>
      <c r="G5520" t="s">
        <v>121</v>
      </c>
      <c r="H5520" t="s">
        <v>240</v>
      </c>
      <c r="J5520">
        <v>1</v>
      </c>
      <c r="K5520">
        <v>2</v>
      </c>
      <c r="L5520">
        <v>113.9375</v>
      </c>
      <c r="M5520">
        <v>33.375507550000002</v>
      </c>
      <c r="N5520">
        <v>2.4262999999999999</v>
      </c>
      <c r="O5520">
        <v>0.40692159999999999</v>
      </c>
      <c r="P5520">
        <v>104.83333330000001</v>
      </c>
      <c r="Q5520">
        <v>43.798647680000002</v>
      </c>
      <c r="R5520">
        <v>7.7741939999999999E-3</v>
      </c>
      <c r="S5520" t="s">
        <v>114</v>
      </c>
      <c r="T5520" t="s">
        <v>1041</v>
      </c>
      <c r="U5520" t="s">
        <v>114</v>
      </c>
    </row>
    <row r="5521" spans="1:21" x14ac:dyDescent="0.25">
      <c r="A5521" t="s">
        <v>42</v>
      </c>
      <c r="B5521" t="s">
        <v>959</v>
      </c>
      <c r="C5521">
        <v>2</v>
      </c>
      <c r="D5521" t="s">
        <v>21</v>
      </c>
      <c r="E5521" t="s">
        <v>94</v>
      </c>
      <c r="F5521" t="s">
        <v>104</v>
      </c>
      <c r="G5521" t="s">
        <v>121</v>
      </c>
      <c r="H5521" t="s">
        <v>240</v>
      </c>
      <c r="J5521">
        <v>1</v>
      </c>
      <c r="K5521">
        <v>2</v>
      </c>
      <c r="L5521">
        <v>113.9375</v>
      </c>
      <c r="M5521">
        <v>33.375507550000002</v>
      </c>
      <c r="N5521">
        <v>2.4262999999999999</v>
      </c>
      <c r="O5521">
        <v>0.40692159999999999</v>
      </c>
      <c r="P5521">
        <v>104.83333330000001</v>
      </c>
      <c r="Q5521">
        <v>43.798647680000002</v>
      </c>
      <c r="R5521">
        <v>7.7741939999999999E-3</v>
      </c>
      <c r="S5521" t="s">
        <v>114</v>
      </c>
      <c r="T5521" t="s">
        <v>1041</v>
      </c>
      <c r="U5521" t="s">
        <v>114</v>
      </c>
    </row>
    <row r="5522" spans="1:21" x14ac:dyDescent="0.25">
      <c r="A5522" t="s">
        <v>42</v>
      </c>
      <c r="B5522" t="s">
        <v>959</v>
      </c>
      <c r="C5522">
        <v>2</v>
      </c>
      <c r="D5522" t="s">
        <v>21</v>
      </c>
      <c r="E5522" t="s">
        <v>94</v>
      </c>
      <c r="F5522" t="s">
        <v>104</v>
      </c>
      <c r="G5522" t="s">
        <v>121</v>
      </c>
      <c r="H5522" t="s">
        <v>241</v>
      </c>
      <c r="J5522">
        <v>1</v>
      </c>
      <c r="K5522">
        <v>1</v>
      </c>
      <c r="L5522">
        <v>113.9375</v>
      </c>
      <c r="M5522">
        <v>33.375507550000002</v>
      </c>
      <c r="N5522">
        <v>2.4262999999999999</v>
      </c>
      <c r="O5522">
        <v>0.40692159999999999</v>
      </c>
      <c r="P5522">
        <v>114</v>
      </c>
      <c r="Q5522">
        <v>30.43077242</v>
      </c>
      <c r="R5522">
        <v>0.53383111100000002</v>
      </c>
      <c r="S5522">
        <v>0.28333332999999999</v>
      </c>
      <c r="T5522" t="s">
        <v>1041</v>
      </c>
      <c r="U5522">
        <v>0.12358827</v>
      </c>
    </row>
    <row r="5523" spans="1:21" x14ac:dyDescent="0.25">
      <c r="A5523" t="s">
        <v>43</v>
      </c>
      <c r="B5523" t="s">
        <v>960</v>
      </c>
      <c r="C5523">
        <v>2</v>
      </c>
      <c r="D5523" t="s">
        <v>23</v>
      </c>
      <c r="E5523" t="s">
        <v>94</v>
      </c>
      <c r="F5523" t="s">
        <v>105</v>
      </c>
      <c r="G5523" t="s">
        <v>104</v>
      </c>
      <c r="H5523" t="s">
        <v>104</v>
      </c>
      <c r="J5523">
        <v>0</v>
      </c>
      <c r="K5523">
        <v>1</v>
      </c>
      <c r="L5523">
        <v>67.5</v>
      </c>
      <c r="M5523">
        <v>47.937235809999997</v>
      </c>
      <c r="N5523">
        <v>0.41599678000000001</v>
      </c>
      <c r="O5523">
        <v>2.0950346999999998</v>
      </c>
      <c r="P5523">
        <v>113.9375</v>
      </c>
      <c r="Q5523">
        <v>33.375507550000002</v>
      </c>
      <c r="R5523">
        <v>2.4262999999999999</v>
      </c>
      <c r="S5523">
        <v>0.40692159999999999</v>
      </c>
      <c r="T5523" t="s">
        <v>1041</v>
      </c>
      <c r="U5523">
        <v>1.6881130999999998</v>
      </c>
    </row>
    <row r="5524" spans="1:21" x14ac:dyDescent="0.25">
      <c r="A5524" t="s">
        <v>43</v>
      </c>
      <c r="B5524" t="s">
        <v>961</v>
      </c>
      <c r="C5524">
        <v>2</v>
      </c>
      <c r="D5524" t="s">
        <v>23</v>
      </c>
      <c r="E5524" t="s">
        <v>94</v>
      </c>
      <c r="F5524" t="s">
        <v>110</v>
      </c>
      <c r="G5524" t="s">
        <v>110</v>
      </c>
      <c r="H5524" t="s">
        <v>110</v>
      </c>
      <c r="J5524">
        <v>0</v>
      </c>
      <c r="K5524">
        <v>1</v>
      </c>
      <c r="L5524">
        <v>73.260869569999997</v>
      </c>
      <c r="M5524">
        <v>34.453830549999999</v>
      </c>
      <c r="N5524">
        <v>1.058333333</v>
      </c>
      <c r="O5524">
        <v>0.90897070000000002</v>
      </c>
      <c r="P5524">
        <v>73.260869569999997</v>
      </c>
      <c r="Q5524">
        <v>34.453830549999999</v>
      </c>
      <c r="R5524">
        <v>1.058333333</v>
      </c>
      <c r="S5524">
        <v>0.90897070000000002</v>
      </c>
      <c r="T5524" t="s">
        <v>1041</v>
      </c>
      <c r="U5524">
        <v>0</v>
      </c>
    </row>
    <row r="5525" spans="1:21" x14ac:dyDescent="0.25">
      <c r="A5525" t="s">
        <v>43</v>
      </c>
      <c r="B5525" t="s">
        <v>962</v>
      </c>
      <c r="C5525">
        <v>2</v>
      </c>
      <c r="D5525" t="s">
        <v>23</v>
      </c>
      <c r="E5525" t="s">
        <v>94</v>
      </c>
      <c r="F5525" t="s">
        <v>111</v>
      </c>
      <c r="G5525" t="s">
        <v>121</v>
      </c>
      <c r="H5525" t="s">
        <v>114</v>
      </c>
      <c r="J5525">
        <v>0</v>
      </c>
      <c r="K5525" t="s">
        <v>114</v>
      </c>
      <c r="L5525">
        <v>94.97142857</v>
      </c>
      <c r="M5525">
        <v>24.31591813</v>
      </c>
      <c r="N5525">
        <v>0.122951111</v>
      </c>
      <c r="O5525">
        <v>0.39050790000000002</v>
      </c>
      <c r="P5525" t="s">
        <v>114</v>
      </c>
      <c r="Q5525" t="s">
        <v>114</v>
      </c>
      <c r="R5525" t="s">
        <v>114</v>
      </c>
      <c r="S5525" t="s">
        <v>114</v>
      </c>
      <c r="T5525" t="s">
        <v>1041</v>
      </c>
      <c r="U5525" t="s">
        <v>114</v>
      </c>
    </row>
    <row r="5526" spans="1:21" x14ac:dyDescent="0.25">
      <c r="A5526" t="s">
        <v>43</v>
      </c>
      <c r="B5526" t="s">
        <v>963</v>
      </c>
      <c r="C5526">
        <v>2</v>
      </c>
      <c r="D5526" t="s">
        <v>23</v>
      </c>
      <c r="E5526" t="s">
        <v>94</v>
      </c>
      <c r="F5526" t="s">
        <v>104</v>
      </c>
      <c r="G5526" t="s">
        <v>104</v>
      </c>
      <c r="H5526" t="s">
        <v>104</v>
      </c>
      <c r="J5526">
        <v>0</v>
      </c>
      <c r="K5526">
        <v>1</v>
      </c>
      <c r="L5526">
        <v>113.9375</v>
      </c>
      <c r="M5526">
        <v>33.375507550000002</v>
      </c>
      <c r="N5526">
        <v>2.4262999999999999</v>
      </c>
      <c r="O5526">
        <v>0.40692159999999999</v>
      </c>
      <c r="P5526">
        <v>113.9375</v>
      </c>
      <c r="Q5526">
        <v>33.375507550000002</v>
      </c>
      <c r="R5526">
        <v>2.4262999999999999</v>
      </c>
      <c r="S5526">
        <v>0.40692159999999999</v>
      </c>
      <c r="T5526" t="s">
        <v>1041</v>
      </c>
      <c r="U5526">
        <v>0</v>
      </c>
    </row>
    <row r="5527" spans="1:21" x14ac:dyDescent="0.25">
      <c r="A5527" t="s">
        <v>43</v>
      </c>
      <c r="B5527" t="s">
        <v>963</v>
      </c>
      <c r="C5527">
        <v>2</v>
      </c>
      <c r="D5527" t="s">
        <v>23</v>
      </c>
      <c r="E5527" t="s">
        <v>94</v>
      </c>
      <c r="F5527" t="s">
        <v>104</v>
      </c>
      <c r="G5527" t="s">
        <v>104</v>
      </c>
      <c r="H5527" t="s">
        <v>808</v>
      </c>
      <c r="J5527">
        <v>0</v>
      </c>
      <c r="K5527">
        <v>1</v>
      </c>
      <c r="L5527">
        <v>113.9375</v>
      </c>
      <c r="M5527">
        <v>33.375507550000002</v>
      </c>
      <c r="N5527">
        <v>2.4262999999999999</v>
      </c>
      <c r="O5527">
        <v>0.40692159999999999</v>
      </c>
      <c r="P5527">
        <v>102.79166669999999</v>
      </c>
      <c r="Q5527">
        <v>27.057373470000002</v>
      </c>
      <c r="R5527">
        <v>6.3567849939999999</v>
      </c>
      <c r="S5527" t="s">
        <v>114</v>
      </c>
      <c r="T5527" t="s">
        <v>1041</v>
      </c>
      <c r="U5527" t="s">
        <v>114</v>
      </c>
    </row>
    <row r="5528" spans="1:21" x14ac:dyDescent="0.25">
      <c r="A5528" t="s">
        <v>44</v>
      </c>
      <c r="B5528" t="s">
        <v>964</v>
      </c>
      <c r="C5528">
        <v>2</v>
      </c>
      <c r="D5528" t="s">
        <v>25</v>
      </c>
      <c r="E5528" t="s">
        <v>95</v>
      </c>
      <c r="F5528" t="s">
        <v>102</v>
      </c>
      <c r="G5528" t="s">
        <v>102</v>
      </c>
      <c r="H5528" t="s">
        <v>102</v>
      </c>
      <c r="J5528">
        <v>0</v>
      </c>
      <c r="K5528">
        <v>1</v>
      </c>
      <c r="L5528">
        <v>84.740740740000007</v>
      </c>
      <c r="M5528">
        <v>29.167014049999999</v>
      </c>
      <c r="N5528">
        <v>1.1169849999999999</v>
      </c>
      <c r="O5528">
        <v>1.1571499000000001</v>
      </c>
      <c r="P5528">
        <v>84.740740740000007</v>
      </c>
      <c r="Q5528">
        <v>29.167014049999999</v>
      </c>
      <c r="R5528">
        <v>1.1169849999999999</v>
      </c>
      <c r="S5528">
        <v>1.1571499000000001</v>
      </c>
      <c r="T5528" t="s">
        <v>1041</v>
      </c>
      <c r="U5528">
        <v>0</v>
      </c>
    </row>
    <row r="5529" spans="1:21" x14ac:dyDescent="0.25">
      <c r="A5529" t="s">
        <v>44</v>
      </c>
      <c r="B5529" t="s">
        <v>965</v>
      </c>
      <c r="C5529">
        <v>2</v>
      </c>
      <c r="D5529" t="s">
        <v>25</v>
      </c>
      <c r="E5529" t="s">
        <v>95</v>
      </c>
      <c r="F5529" t="s">
        <v>110</v>
      </c>
      <c r="G5529" t="s">
        <v>121</v>
      </c>
      <c r="H5529" t="s">
        <v>114</v>
      </c>
      <c r="I5529" t="s">
        <v>162</v>
      </c>
      <c r="J5529">
        <v>1</v>
      </c>
      <c r="K5529">
        <v>0</v>
      </c>
      <c r="L5529">
        <v>73.260869569999997</v>
      </c>
      <c r="M5529">
        <v>34.453830549999999</v>
      </c>
      <c r="N5529">
        <v>1.058333333</v>
      </c>
      <c r="O5529">
        <v>0.90897070000000002</v>
      </c>
      <c r="P5529" t="s">
        <v>114</v>
      </c>
      <c r="Q5529" t="s">
        <v>114</v>
      </c>
      <c r="R5529" t="s">
        <v>114</v>
      </c>
      <c r="S5529" t="s">
        <v>114</v>
      </c>
      <c r="T5529" t="s">
        <v>1041</v>
      </c>
      <c r="U5529" t="s">
        <v>114</v>
      </c>
    </row>
    <row r="5530" spans="1:21" x14ac:dyDescent="0.25">
      <c r="A5530" t="s">
        <v>44</v>
      </c>
      <c r="B5530" t="s">
        <v>966</v>
      </c>
      <c r="C5530">
        <v>2</v>
      </c>
      <c r="D5530" t="s">
        <v>25</v>
      </c>
      <c r="E5530" t="s">
        <v>95</v>
      </c>
      <c r="F5530" t="s">
        <v>104</v>
      </c>
      <c r="G5530" t="s">
        <v>112</v>
      </c>
      <c r="H5530" t="s">
        <v>112</v>
      </c>
      <c r="J5530">
        <v>0</v>
      </c>
      <c r="K5530">
        <v>1</v>
      </c>
      <c r="L5530">
        <v>113.9375</v>
      </c>
      <c r="M5530">
        <v>33.375507550000002</v>
      </c>
      <c r="N5530">
        <v>2.4262999999999999</v>
      </c>
      <c r="O5530">
        <v>0.40692159999999999</v>
      </c>
      <c r="P5530">
        <v>65.09375</v>
      </c>
      <c r="Q5530">
        <v>37.895352600000002</v>
      </c>
      <c r="R5530">
        <v>2.2882677779999998</v>
      </c>
      <c r="S5530">
        <v>2.2111774</v>
      </c>
      <c r="T5530" t="s">
        <v>1041</v>
      </c>
      <c r="U5530">
        <v>1.8042558</v>
      </c>
    </row>
    <row r="5531" spans="1:21" x14ac:dyDescent="0.25">
      <c r="A5531" t="s">
        <v>44</v>
      </c>
      <c r="B5531" t="s">
        <v>966</v>
      </c>
      <c r="C5531">
        <v>2</v>
      </c>
      <c r="D5531" t="s">
        <v>25</v>
      </c>
      <c r="E5531" t="s">
        <v>95</v>
      </c>
      <c r="F5531" t="s">
        <v>104</v>
      </c>
      <c r="G5531" t="s">
        <v>112</v>
      </c>
      <c r="H5531" t="s">
        <v>162</v>
      </c>
      <c r="J5531">
        <v>0</v>
      </c>
      <c r="K5531">
        <v>1</v>
      </c>
      <c r="L5531">
        <v>113.9375</v>
      </c>
      <c r="M5531">
        <v>33.375507550000002</v>
      </c>
      <c r="N5531">
        <v>2.4262999999999999</v>
      </c>
      <c r="O5531">
        <v>0.40692159999999999</v>
      </c>
      <c r="P5531">
        <v>82.53846154</v>
      </c>
      <c r="Q5531">
        <v>35.660530039999998</v>
      </c>
      <c r="R5531">
        <v>3.3754499999999998</v>
      </c>
      <c r="S5531" t="s">
        <v>114</v>
      </c>
      <c r="T5531" t="s">
        <v>1041</v>
      </c>
      <c r="U5531" t="s">
        <v>114</v>
      </c>
    </row>
    <row r="5532" spans="1:21" x14ac:dyDescent="0.25">
      <c r="A5532" t="s">
        <v>44</v>
      </c>
      <c r="B5532" t="s">
        <v>966</v>
      </c>
      <c r="C5532">
        <v>2</v>
      </c>
      <c r="D5532" t="s">
        <v>25</v>
      </c>
      <c r="E5532" t="s">
        <v>95</v>
      </c>
      <c r="F5532" t="s">
        <v>104</v>
      </c>
      <c r="G5532" t="s">
        <v>112</v>
      </c>
      <c r="H5532" t="s">
        <v>113</v>
      </c>
      <c r="J5532">
        <v>0</v>
      </c>
      <c r="K5532">
        <v>1</v>
      </c>
      <c r="L5532">
        <v>113.9375</v>
      </c>
      <c r="M5532">
        <v>33.375507550000002</v>
      </c>
      <c r="N5532">
        <v>2.4262999999999999</v>
      </c>
      <c r="O5532">
        <v>0.40692159999999999</v>
      </c>
      <c r="P5532">
        <v>83.757575759999995</v>
      </c>
      <c r="Q5532">
        <v>22.60997987</v>
      </c>
      <c r="R5532">
        <v>0.72884000000000004</v>
      </c>
      <c r="S5532">
        <v>0.21301339999999999</v>
      </c>
      <c r="T5532" t="s">
        <v>1041</v>
      </c>
      <c r="U5532">
        <v>0.1939082</v>
      </c>
    </row>
    <row r="5533" spans="1:21" x14ac:dyDescent="0.25">
      <c r="A5533" t="s">
        <v>44</v>
      </c>
      <c r="B5533" t="s">
        <v>967</v>
      </c>
      <c r="C5533">
        <v>2</v>
      </c>
      <c r="D5533" t="s">
        <v>25</v>
      </c>
      <c r="E5533" t="s">
        <v>95</v>
      </c>
      <c r="F5533" t="s">
        <v>112</v>
      </c>
      <c r="G5533" t="s">
        <v>121</v>
      </c>
      <c r="H5533" t="s">
        <v>114</v>
      </c>
      <c r="J5533">
        <v>0</v>
      </c>
      <c r="K5533" t="s">
        <v>114</v>
      </c>
      <c r="L5533">
        <v>65.09375</v>
      </c>
      <c r="M5533">
        <v>37.895352600000002</v>
      </c>
      <c r="N5533">
        <v>2.2882677779999998</v>
      </c>
      <c r="O5533">
        <v>2.2111774</v>
      </c>
      <c r="P5533" t="s">
        <v>114</v>
      </c>
      <c r="Q5533" t="s">
        <v>114</v>
      </c>
      <c r="R5533" t="s">
        <v>114</v>
      </c>
      <c r="S5533" t="s">
        <v>114</v>
      </c>
      <c r="T5533" t="s">
        <v>1041</v>
      </c>
      <c r="U5533" t="s">
        <v>114</v>
      </c>
    </row>
    <row r="5534" spans="1:21" x14ac:dyDescent="0.25">
      <c r="A5534" t="s">
        <v>45</v>
      </c>
      <c r="B5534" t="s">
        <v>968</v>
      </c>
      <c r="C5534">
        <v>2</v>
      </c>
      <c r="D5534" t="s">
        <v>27</v>
      </c>
      <c r="E5534" t="s">
        <v>95</v>
      </c>
      <c r="F5534" t="s">
        <v>102</v>
      </c>
      <c r="G5534" t="s">
        <v>113</v>
      </c>
      <c r="H5534" t="s">
        <v>113</v>
      </c>
      <c r="J5534">
        <v>0</v>
      </c>
      <c r="K5534">
        <v>2</v>
      </c>
      <c r="L5534">
        <v>84.740740740000007</v>
      </c>
      <c r="M5534">
        <v>29.167014049999999</v>
      </c>
      <c r="N5534">
        <v>1.1169849999999999</v>
      </c>
      <c r="O5534">
        <v>1.1571499000000001</v>
      </c>
      <c r="P5534">
        <v>83.757575759999995</v>
      </c>
      <c r="Q5534">
        <v>22.60997987</v>
      </c>
      <c r="R5534">
        <v>0.72884000000000004</v>
      </c>
      <c r="S5534">
        <v>0.21301339999999999</v>
      </c>
      <c r="T5534" t="s">
        <v>1041</v>
      </c>
      <c r="U5534">
        <v>0.94413650000000005</v>
      </c>
    </row>
    <row r="5535" spans="1:21" x14ac:dyDescent="0.25">
      <c r="A5535" t="s">
        <v>45</v>
      </c>
      <c r="B5535" t="s">
        <v>968</v>
      </c>
      <c r="C5535">
        <v>2</v>
      </c>
      <c r="D5535" t="s">
        <v>27</v>
      </c>
      <c r="E5535" t="s">
        <v>95</v>
      </c>
      <c r="F5535" t="s">
        <v>102</v>
      </c>
      <c r="G5535" t="s">
        <v>113</v>
      </c>
      <c r="H5535" t="s">
        <v>113</v>
      </c>
      <c r="J5535">
        <v>0</v>
      </c>
      <c r="K5535">
        <v>2</v>
      </c>
      <c r="L5535">
        <v>84.740740740000007</v>
      </c>
      <c r="M5535">
        <v>29.167014049999999</v>
      </c>
      <c r="N5535">
        <v>1.1169849999999999</v>
      </c>
      <c r="O5535">
        <v>1.1571499000000001</v>
      </c>
      <c r="P5535">
        <v>83.757575759999995</v>
      </c>
      <c r="Q5535">
        <v>22.60997987</v>
      </c>
      <c r="R5535">
        <v>0.72884000000000004</v>
      </c>
      <c r="S5535">
        <v>0.21301339999999999</v>
      </c>
      <c r="T5535" t="s">
        <v>1041</v>
      </c>
      <c r="U5535">
        <v>0.94413650000000005</v>
      </c>
    </row>
    <row r="5536" spans="1:21" x14ac:dyDescent="0.25">
      <c r="A5536" t="s">
        <v>45</v>
      </c>
      <c r="B5536" t="s">
        <v>969</v>
      </c>
      <c r="C5536">
        <v>2</v>
      </c>
      <c r="D5536" t="s">
        <v>27</v>
      </c>
      <c r="E5536" t="s">
        <v>95</v>
      </c>
      <c r="F5536" t="s">
        <v>105</v>
      </c>
      <c r="G5536" t="s">
        <v>113</v>
      </c>
      <c r="H5536" t="s">
        <v>113</v>
      </c>
      <c r="J5536">
        <v>0</v>
      </c>
      <c r="K5536">
        <v>6</v>
      </c>
      <c r="L5536">
        <v>67.5</v>
      </c>
      <c r="M5536">
        <v>47.937235809999997</v>
      </c>
      <c r="N5536">
        <v>0.41599678000000001</v>
      </c>
      <c r="O5536">
        <v>2.0950346999999998</v>
      </c>
      <c r="P5536">
        <v>83.757575759999995</v>
      </c>
      <c r="Q5536">
        <v>22.60997987</v>
      </c>
      <c r="R5536">
        <v>0.72884000000000004</v>
      </c>
      <c r="S5536">
        <v>0.21301339999999999</v>
      </c>
      <c r="T5536" t="s">
        <v>1041</v>
      </c>
      <c r="U5536">
        <v>1.8820212999999999</v>
      </c>
    </row>
    <row r="5537" spans="1:21" x14ac:dyDescent="0.25">
      <c r="A5537" t="s">
        <v>45</v>
      </c>
      <c r="B5537" t="s">
        <v>969</v>
      </c>
      <c r="C5537">
        <v>2</v>
      </c>
      <c r="D5537" t="s">
        <v>27</v>
      </c>
      <c r="E5537" t="s">
        <v>95</v>
      </c>
      <c r="F5537" t="s">
        <v>105</v>
      </c>
      <c r="G5537" t="s">
        <v>113</v>
      </c>
      <c r="H5537" t="s">
        <v>113</v>
      </c>
      <c r="J5537">
        <v>0</v>
      </c>
      <c r="K5537">
        <v>6</v>
      </c>
      <c r="L5537">
        <v>67.5</v>
      </c>
      <c r="M5537">
        <v>47.937235809999997</v>
      </c>
      <c r="N5537">
        <v>0.41599678000000001</v>
      </c>
      <c r="O5537">
        <v>2.0950346999999998</v>
      </c>
      <c r="P5537">
        <v>83.757575759999995</v>
      </c>
      <c r="Q5537">
        <v>22.60997987</v>
      </c>
      <c r="R5537">
        <v>0.72884000000000004</v>
      </c>
      <c r="S5537">
        <v>0.21301339999999999</v>
      </c>
      <c r="T5537" t="s">
        <v>1041</v>
      </c>
      <c r="U5537">
        <v>1.8820212999999999</v>
      </c>
    </row>
    <row r="5538" spans="1:21" x14ac:dyDescent="0.25">
      <c r="A5538" t="s">
        <v>45</v>
      </c>
      <c r="B5538" t="s">
        <v>969</v>
      </c>
      <c r="C5538">
        <v>2</v>
      </c>
      <c r="D5538" t="s">
        <v>27</v>
      </c>
      <c r="E5538" t="s">
        <v>95</v>
      </c>
      <c r="F5538" t="s">
        <v>105</v>
      </c>
      <c r="G5538" t="s">
        <v>113</v>
      </c>
      <c r="H5538" t="s">
        <v>113</v>
      </c>
      <c r="J5538">
        <v>0</v>
      </c>
      <c r="K5538">
        <v>6</v>
      </c>
      <c r="L5538">
        <v>67.5</v>
      </c>
      <c r="M5538">
        <v>47.937235809999997</v>
      </c>
      <c r="N5538">
        <v>0.41599678000000001</v>
      </c>
      <c r="O5538">
        <v>2.0950346999999998</v>
      </c>
      <c r="P5538">
        <v>83.757575759999995</v>
      </c>
      <c r="Q5538">
        <v>22.60997987</v>
      </c>
      <c r="R5538">
        <v>0.72884000000000004</v>
      </c>
      <c r="S5538">
        <v>0.21301339999999999</v>
      </c>
      <c r="T5538" t="s">
        <v>1041</v>
      </c>
      <c r="U5538">
        <v>1.8820212999999999</v>
      </c>
    </row>
    <row r="5539" spans="1:21" x14ac:dyDescent="0.25">
      <c r="A5539" t="s">
        <v>45</v>
      </c>
      <c r="B5539" t="s">
        <v>969</v>
      </c>
      <c r="C5539">
        <v>2</v>
      </c>
      <c r="D5539" t="s">
        <v>27</v>
      </c>
      <c r="E5539" t="s">
        <v>95</v>
      </c>
      <c r="F5539" t="s">
        <v>105</v>
      </c>
      <c r="G5539" t="s">
        <v>113</v>
      </c>
      <c r="H5539" t="s">
        <v>113</v>
      </c>
      <c r="J5539">
        <v>0</v>
      </c>
      <c r="K5539">
        <v>6</v>
      </c>
      <c r="L5539">
        <v>67.5</v>
      </c>
      <c r="M5539">
        <v>47.937235809999997</v>
      </c>
      <c r="N5539">
        <v>0.41599678000000001</v>
      </c>
      <c r="O5539">
        <v>2.0950346999999998</v>
      </c>
      <c r="P5539">
        <v>83.757575759999995</v>
      </c>
      <c r="Q5539">
        <v>22.60997987</v>
      </c>
      <c r="R5539">
        <v>0.72884000000000004</v>
      </c>
      <c r="S5539">
        <v>0.21301339999999999</v>
      </c>
      <c r="T5539" t="s">
        <v>1041</v>
      </c>
      <c r="U5539">
        <v>1.8820212999999999</v>
      </c>
    </row>
    <row r="5540" spans="1:21" x14ac:dyDescent="0.25">
      <c r="A5540" t="s">
        <v>45</v>
      </c>
      <c r="B5540" t="s">
        <v>969</v>
      </c>
      <c r="C5540">
        <v>2</v>
      </c>
      <c r="D5540" t="s">
        <v>27</v>
      </c>
      <c r="E5540" t="s">
        <v>95</v>
      </c>
      <c r="F5540" t="s">
        <v>105</v>
      </c>
      <c r="G5540" t="s">
        <v>113</v>
      </c>
      <c r="H5540" t="s">
        <v>113</v>
      </c>
      <c r="J5540">
        <v>0</v>
      </c>
      <c r="K5540">
        <v>6</v>
      </c>
      <c r="L5540">
        <v>67.5</v>
      </c>
      <c r="M5540">
        <v>47.937235809999997</v>
      </c>
      <c r="N5540">
        <v>0.41599678000000001</v>
      </c>
      <c r="O5540">
        <v>2.0950346999999998</v>
      </c>
      <c r="P5540">
        <v>83.757575759999995</v>
      </c>
      <c r="Q5540">
        <v>22.60997987</v>
      </c>
      <c r="R5540">
        <v>0.72884000000000004</v>
      </c>
      <c r="S5540">
        <v>0.21301339999999999</v>
      </c>
      <c r="T5540" t="s">
        <v>1041</v>
      </c>
      <c r="U5540">
        <v>1.8820212999999999</v>
      </c>
    </row>
    <row r="5541" spans="1:21" x14ac:dyDescent="0.25">
      <c r="A5541" t="s">
        <v>45</v>
      </c>
      <c r="B5541" t="s">
        <v>969</v>
      </c>
      <c r="C5541">
        <v>2</v>
      </c>
      <c r="D5541" t="s">
        <v>27</v>
      </c>
      <c r="E5541" t="s">
        <v>95</v>
      </c>
      <c r="F5541" t="s">
        <v>105</v>
      </c>
      <c r="G5541" t="s">
        <v>113</v>
      </c>
      <c r="H5541" t="s">
        <v>113</v>
      </c>
      <c r="J5541">
        <v>0</v>
      </c>
      <c r="K5541">
        <v>6</v>
      </c>
      <c r="L5541">
        <v>67.5</v>
      </c>
      <c r="M5541">
        <v>47.937235809999997</v>
      </c>
      <c r="N5541">
        <v>0.41599678000000001</v>
      </c>
      <c r="O5541">
        <v>2.0950346999999998</v>
      </c>
      <c r="P5541">
        <v>83.757575759999995</v>
      </c>
      <c r="Q5541">
        <v>22.60997987</v>
      </c>
      <c r="R5541">
        <v>0.72884000000000004</v>
      </c>
      <c r="S5541">
        <v>0.21301339999999999</v>
      </c>
      <c r="T5541" t="s">
        <v>1041</v>
      </c>
      <c r="U5541">
        <v>1.8820212999999999</v>
      </c>
    </row>
    <row r="5542" spans="1:21" x14ac:dyDescent="0.25">
      <c r="A5542" t="s">
        <v>45</v>
      </c>
      <c r="B5542" t="s">
        <v>970</v>
      </c>
      <c r="C5542">
        <v>2</v>
      </c>
      <c r="D5542" t="s">
        <v>27</v>
      </c>
      <c r="E5542" t="s">
        <v>95</v>
      </c>
      <c r="F5542" t="s">
        <v>112</v>
      </c>
      <c r="G5542" t="s">
        <v>121</v>
      </c>
      <c r="H5542" t="s">
        <v>113</v>
      </c>
      <c r="J5542">
        <v>0</v>
      </c>
      <c r="K5542">
        <v>8</v>
      </c>
      <c r="L5542">
        <v>65.09375</v>
      </c>
      <c r="M5542">
        <v>37.895352600000002</v>
      </c>
      <c r="N5542">
        <v>2.2882677779999998</v>
      </c>
      <c r="O5542">
        <v>2.2111774</v>
      </c>
      <c r="P5542">
        <v>83.757575759999995</v>
      </c>
      <c r="Q5542">
        <v>22.60997987</v>
      </c>
      <c r="R5542">
        <v>0.72884000000000004</v>
      </c>
      <c r="S5542">
        <v>0.21301339999999999</v>
      </c>
      <c r="T5542" t="s">
        <v>1041</v>
      </c>
      <c r="U5542">
        <v>1.9981640000000001</v>
      </c>
    </row>
    <row r="5543" spans="1:21" x14ac:dyDescent="0.25">
      <c r="A5543" t="s">
        <v>45</v>
      </c>
      <c r="B5543" t="s">
        <v>970</v>
      </c>
      <c r="C5543">
        <v>2</v>
      </c>
      <c r="D5543" t="s">
        <v>27</v>
      </c>
      <c r="E5543" t="s">
        <v>95</v>
      </c>
      <c r="F5543" t="s">
        <v>112</v>
      </c>
      <c r="G5543" t="s">
        <v>121</v>
      </c>
      <c r="H5543" t="s">
        <v>113</v>
      </c>
      <c r="J5543">
        <v>0</v>
      </c>
      <c r="K5543">
        <v>8</v>
      </c>
      <c r="L5543">
        <v>65.09375</v>
      </c>
      <c r="M5543">
        <v>37.895352600000002</v>
      </c>
      <c r="N5543">
        <v>2.2882677779999998</v>
      </c>
      <c r="O5543">
        <v>2.2111774</v>
      </c>
      <c r="P5543">
        <v>83.757575759999995</v>
      </c>
      <c r="Q5543">
        <v>22.60997987</v>
      </c>
      <c r="R5543">
        <v>0.72884000000000004</v>
      </c>
      <c r="S5543">
        <v>0.21301339999999999</v>
      </c>
      <c r="T5543" t="s">
        <v>1041</v>
      </c>
      <c r="U5543">
        <v>1.9981640000000001</v>
      </c>
    </row>
    <row r="5544" spans="1:21" x14ac:dyDescent="0.25">
      <c r="A5544" t="s">
        <v>45</v>
      </c>
      <c r="B5544" t="s">
        <v>970</v>
      </c>
      <c r="C5544">
        <v>2</v>
      </c>
      <c r="D5544" t="s">
        <v>27</v>
      </c>
      <c r="E5544" t="s">
        <v>95</v>
      </c>
      <c r="F5544" t="s">
        <v>112</v>
      </c>
      <c r="G5544" t="s">
        <v>121</v>
      </c>
      <c r="H5544" t="s">
        <v>113</v>
      </c>
      <c r="J5544">
        <v>0</v>
      </c>
      <c r="K5544">
        <v>8</v>
      </c>
      <c r="L5544">
        <v>65.09375</v>
      </c>
      <c r="M5544">
        <v>37.895352600000002</v>
      </c>
      <c r="N5544">
        <v>2.2882677779999998</v>
      </c>
      <c r="O5544">
        <v>2.2111774</v>
      </c>
      <c r="P5544">
        <v>83.757575759999995</v>
      </c>
      <c r="Q5544">
        <v>22.60997987</v>
      </c>
      <c r="R5544">
        <v>0.72884000000000004</v>
      </c>
      <c r="S5544">
        <v>0.21301339999999999</v>
      </c>
      <c r="T5544" t="s">
        <v>1041</v>
      </c>
      <c r="U5544">
        <v>1.9981640000000001</v>
      </c>
    </row>
    <row r="5545" spans="1:21" x14ac:dyDescent="0.25">
      <c r="A5545" t="s">
        <v>45</v>
      </c>
      <c r="B5545" t="s">
        <v>970</v>
      </c>
      <c r="C5545">
        <v>2</v>
      </c>
      <c r="D5545" t="s">
        <v>27</v>
      </c>
      <c r="E5545" t="s">
        <v>95</v>
      </c>
      <c r="F5545" t="s">
        <v>112</v>
      </c>
      <c r="G5545" t="s">
        <v>121</v>
      </c>
      <c r="H5545" t="s">
        <v>113</v>
      </c>
      <c r="J5545">
        <v>0</v>
      </c>
      <c r="K5545">
        <v>8</v>
      </c>
      <c r="L5545">
        <v>65.09375</v>
      </c>
      <c r="M5545">
        <v>37.895352600000002</v>
      </c>
      <c r="N5545">
        <v>2.2882677779999998</v>
      </c>
      <c r="O5545">
        <v>2.2111774</v>
      </c>
      <c r="P5545">
        <v>83.757575759999995</v>
      </c>
      <c r="Q5545">
        <v>22.60997987</v>
      </c>
      <c r="R5545">
        <v>0.72884000000000004</v>
      </c>
      <c r="S5545">
        <v>0.21301339999999999</v>
      </c>
      <c r="T5545" t="s">
        <v>1041</v>
      </c>
      <c r="U5545">
        <v>1.9981640000000001</v>
      </c>
    </row>
    <row r="5546" spans="1:21" x14ac:dyDescent="0.25">
      <c r="A5546" t="s">
        <v>45</v>
      </c>
      <c r="B5546" t="s">
        <v>970</v>
      </c>
      <c r="C5546">
        <v>2</v>
      </c>
      <c r="D5546" t="s">
        <v>27</v>
      </c>
      <c r="E5546" t="s">
        <v>95</v>
      </c>
      <c r="F5546" t="s">
        <v>112</v>
      </c>
      <c r="G5546" t="s">
        <v>121</v>
      </c>
      <c r="H5546" t="s">
        <v>113</v>
      </c>
      <c r="J5546">
        <v>0</v>
      </c>
      <c r="K5546">
        <v>8</v>
      </c>
      <c r="L5546">
        <v>65.09375</v>
      </c>
      <c r="M5546">
        <v>37.895352600000002</v>
      </c>
      <c r="N5546">
        <v>2.2882677779999998</v>
      </c>
      <c r="O5546">
        <v>2.2111774</v>
      </c>
      <c r="P5546">
        <v>83.757575759999995</v>
      </c>
      <c r="Q5546">
        <v>22.60997987</v>
      </c>
      <c r="R5546">
        <v>0.72884000000000004</v>
      </c>
      <c r="S5546">
        <v>0.21301339999999999</v>
      </c>
      <c r="T5546" t="s">
        <v>1041</v>
      </c>
      <c r="U5546">
        <v>1.9981640000000001</v>
      </c>
    </row>
    <row r="5547" spans="1:21" x14ac:dyDescent="0.25">
      <c r="A5547" t="s">
        <v>45</v>
      </c>
      <c r="B5547" t="s">
        <v>970</v>
      </c>
      <c r="C5547">
        <v>2</v>
      </c>
      <c r="D5547" t="s">
        <v>27</v>
      </c>
      <c r="E5547" t="s">
        <v>95</v>
      </c>
      <c r="F5547" t="s">
        <v>112</v>
      </c>
      <c r="G5547" t="s">
        <v>121</v>
      </c>
      <c r="H5547" t="s">
        <v>113</v>
      </c>
      <c r="J5547">
        <v>0</v>
      </c>
      <c r="K5547">
        <v>8</v>
      </c>
      <c r="L5547">
        <v>65.09375</v>
      </c>
      <c r="M5547">
        <v>37.895352600000002</v>
      </c>
      <c r="N5547">
        <v>2.2882677779999998</v>
      </c>
      <c r="O5547">
        <v>2.2111774</v>
      </c>
      <c r="P5547">
        <v>83.757575759999995</v>
      </c>
      <c r="Q5547">
        <v>22.60997987</v>
      </c>
      <c r="R5547">
        <v>0.72884000000000004</v>
      </c>
      <c r="S5547">
        <v>0.21301339999999999</v>
      </c>
      <c r="T5547" t="s">
        <v>1041</v>
      </c>
      <c r="U5547">
        <v>1.9981640000000001</v>
      </c>
    </row>
    <row r="5548" spans="1:21" x14ac:dyDescent="0.25">
      <c r="A5548" t="s">
        <v>45</v>
      </c>
      <c r="B5548" t="s">
        <v>970</v>
      </c>
      <c r="C5548">
        <v>2</v>
      </c>
      <c r="D5548" t="s">
        <v>27</v>
      </c>
      <c r="E5548" t="s">
        <v>95</v>
      </c>
      <c r="F5548" t="s">
        <v>112</v>
      </c>
      <c r="G5548" t="s">
        <v>121</v>
      </c>
      <c r="H5548" t="s">
        <v>113</v>
      </c>
      <c r="J5548">
        <v>0</v>
      </c>
      <c r="K5548">
        <v>8</v>
      </c>
      <c r="L5548">
        <v>65.09375</v>
      </c>
      <c r="M5548">
        <v>37.895352600000002</v>
      </c>
      <c r="N5548">
        <v>2.2882677779999998</v>
      </c>
      <c r="O5548">
        <v>2.2111774</v>
      </c>
      <c r="P5548">
        <v>83.757575759999995</v>
      </c>
      <c r="Q5548">
        <v>22.60997987</v>
      </c>
      <c r="R5548">
        <v>0.72884000000000004</v>
      </c>
      <c r="S5548">
        <v>0.21301339999999999</v>
      </c>
      <c r="T5548" t="s">
        <v>1041</v>
      </c>
      <c r="U5548">
        <v>1.9981640000000001</v>
      </c>
    </row>
    <row r="5549" spans="1:21" x14ac:dyDescent="0.25">
      <c r="A5549" t="s">
        <v>45</v>
      </c>
      <c r="B5549" t="s">
        <v>970</v>
      </c>
      <c r="C5549">
        <v>2</v>
      </c>
      <c r="D5549" t="s">
        <v>27</v>
      </c>
      <c r="E5549" t="s">
        <v>95</v>
      </c>
      <c r="F5549" t="s">
        <v>112</v>
      </c>
      <c r="G5549" t="s">
        <v>121</v>
      </c>
      <c r="H5549" t="s">
        <v>113</v>
      </c>
      <c r="J5549">
        <v>0</v>
      </c>
      <c r="K5549">
        <v>8</v>
      </c>
      <c r="L5549">
        <v>65.09375</v>
      </c>
      <c r="M5549">
        <v>37.895352600000002</v>
      </c>
      <c r="N5549">
        <v>2.2882677779999998</v>
      </c>
      <c r="O5549">
        <v>2.2111774</v>
      </c>
      <c r="P5549">
        <v>83.757575759999995</v>
      </c>
      <c r="Q5549">
        <v>22.60997987</v>
      </c>
      <c r="R5549">
        <v>0.72884000000000004</v>
      </c>
      <c r="S5549">
        <v>0.21301339999999999</v>
      </c>
      <c r="T5549" t="s">
        <v>1041</v>
      </c>
      <c r="U5549">
        <v>1.9981640000000001</v>
      </c>
    </row>
    <row r="5550" spans="1:21" x14ac:dyDescent="0.25">
      <c r="A5550" t="s">
        <v>45</v>
      </c>
      <c r="B5550" t="s">
        <v>970</v>
      </c>
      <c r="C5550">
        <v>2</v>
      </c>
      <c r="D5550" t="s">
        <v>27</v>
      </c>
      <c r="E5550" t="s">
        <v>95</v>
      </c>
      <c r="F5550" t="s">
        <v>112</v>
      </c>
      <c r="G5550" t="s">
        <v>121</v>
      </c>
      <c r="H5550" t="s">
        <v>103</v>
      </c>
      <c r="J5550">
        <v>0</v>
      </c>
      <c r="K5550">
        <v>1</v>
      </c>
      <c r="L5550">
        <v>65.09375</v>
      </c>
      <c r="M5550">
        <v>37.895352600000002</v>
      </c>
      <c r="N5550">
        <v>2.2882677779999998</v>
      </c>
      <c r="O5550">
        <v>2.2111774</v>
      </c>
      <c r="P5550">
        <v>98.291666669999998</v>
      </c>
      <c r="Q5550">
        <v>30.315130790000001</v>
      </c>
      <c r="R5550">
        <v>5.0803484000000003E-2</v>
      </c>
      <c r="S5550">
        <v>0.42866070000000001</v>
      </c>
      <c r="T5550" t="s">
        <v>1041</v>
      </c>
      <c r="U5550">
        <v>1.7825167</v>
      </c>
    </row>
    <row r="5551" spans="1:21" x14ac:dyDescent="0.25">
      <c r="A5551" t="s">
        <v>46</v>
      </c>
      <c r="B5551" t="s">
        <v>971</v>
      </c>
      <c r="C5551">
        <v>2</v>
      </c>
      <c r="D5551" t="s">
        <v>29</v>
      </c>
      <c r="E5551" t="s">
        <v>95</v>
      </c>
      <c r="F5551" t="s">
        <v>102</v>
      </c>
      <c r="G5551" t="s">
        <v>121</v>
      </c>
      <c r="H5551" t="s">
        <v>114</v>
      </c>
      <c r="J5551">
        <v>0</v>
      </c>
      <c r="K5551" t="s">
        <v>114</v>
      </c>
      <c r="L5551">
        <v>84.740740740000007</v>
      </c>
      <c r="M5551">
        <v>29.167014049999999</v>
      </c>
      <c r="N5551">
        <v>1.1169849999999999</v>
      </c>
      <c r="O5551">
        <v>1.1571499000000001</v>
      </c>
      <c r="P5551" t="s">
        <v>114</v>
      </c>
      <c r="Q5551" t="s">
        <v>114</v>
      </c>
      <c r="R5551" t="s">
        <v>114</v>
      </c>
      <c r="S5551" t="s">
        <v>114</v>
      </c>
      <c r="T5551" t="s">
        <v>1041</v>
      </c>
      <c r="U5551" t="s">
        <v>114</v>
      </c>
    </row>
    <row r="5552" spans="1:21" x14ac:dyDescent="0.25">
      <c r="A5552" t="s">
        <v>46</v>
      </c>
      <c r="B5552" t="s">
        <v>972</v>
      </c>
      <c r="C5552">
        <v>2</v>
      </c>
      <c r="D5552" t="s">
        <v>29</v>
      </c>
      <c r="E5552" t="s">
        <v>95</v>
      </c>
      <c r="F5552" t="s">
        <v>110</v>
      </c>
      <c r="G5552" t="s">
        <v>113</v>
      </c>
      <c r="H5552" t="s">
        <v>113</v>
      </c>
      <c r="J5552">
        <v>0</v>
      </c>
      <c r="K5552">
        <v>3</v>
      </c>
      <c r="L5552">
        <v>73.260869569999997</v>
      </c>
      <c r="M5552">
        <v>34.453830549999999</v>
      </c>
      <c r="N5552">
        <v>1.058333333</v>
      </c>
      <c r="O5552">
        <v>0.90897070000000002</v>
      </c>
      <c r="P5552">
        <v>83.757575759999995</v>
      </c>
      <c r="Q5552">
        <v>22.60997987</v>
      </c>
      <c r="R5552">
        <v>0.72884000000000004</v>
      </c>
      <c r="S5552">
        <v>0.21301339999999999</v>
      </c>
      <c r="T5552" t="s">
        <v>1041</v>
      </c>
      <c r="U5552">
        <v>0.6959573</v>
      </c>
    </row>
    <row r="5553" spans="1:21" x14ac:dyDescent="0.25">
      <c r="A5553" t="s">
        <v>46</v>
      </c>
      <c r="B5553" t="s">
        <v>972</v>
      </c>
      <c r="C5553">
        <v>2</v>
      </c>
      <c r="D5553" t="s">
        <v>29</v>
      </c>
      <c r="E5553" t="s">
        <v>95</v>
      </c>
      <c r="F5553" t="s">
        <v>110</v>
      </c>
      <c r="G5553" t="s">
        <v>113</v>
      </c>
      <c r="H5553" t="s">
        <v>113</v>
      </c>
      <c r="J5553">
        <v>0</v>
      </c>
      <c r="K5553">
        <v>3</v>
      </c>
      <c r="L5553">
        <v>73.260869569999997</v>
      </c>
      <c r="M5553">
        <v>34.453830549999999</v>
      </c>
      <c r="N5553">
        <v>1.058333333</v>
      </c>
      <c r="O5553">
        <v>0.90897070000000002</v>
      </c>
      <c r="P5553">
        <v>83.757575759999995</v>
      </c>
      <c r="Q5553">
        <v>22.60997987</v>
      </c>
      <c r="R5553">
        <v>0.72884000000000004</v>
      </c>
      <c r="S5553">
        <v>0.21301339999999999</v>
      </c>
      <c r="T5553" t="s">
        <v>1041</v>
      </c>
      <c r="U5553">
        <v>0.6959573</v>
      </c>
    </row>
    <row r="5554" spans="1:21" x14ac:dyDescent="0.25">
      <c r="A5554" t="s">
        <v>46</v>
      </c>
      <c r="B5554" t="s">
        <v>972</v>
      </c>
      <c r="C5554">
        <v>2</v>
      </c>
      <c r="D5554" t="s">
        <v>29</v>
      </c>
      <c r="E5554" t="s">
        <v>95</v>
      </c>
      <c r="F5554" t="s">
        <v>110</v>
      </c>
      <c r="G5554" t="s">
        <v>113</v>
      </c>
      <c r="H5554" t="s">
        <v>113</v>
      </c>
      <c r="J5554">
        <v>0</v>
      </c>
      <c r="K5554">
        <v>3</v>
      </c>
      <c r="L5554">
        <v>73.260869569999997</v>
      </c>
      <c r="M5554">
        <v>34.453830549999999</v>
      </c>
      <c r="N5554">
        <v>1.058333333</v>
      </c>
      <c r="O5554">
        <v>0.90897070000000002</v>
      </c>
      <c r="P5554">
        <v>83.757575759999995</v>
      </c>
      <c r="Q5554">
        <v>22.60997987</v>
      </c>
      <c r="R5554">
        <v>0.72884000000000004</v>
      </c>
      <c r="S5554">
        <v>0.21301339999999999</v>
      </c>
      <c r="T5554" t="s">
        <v>1041</v>
      </c>
      <c r="U5554">
        <v>0.6959573</v>
      </c>
    </row>
    <row r="5555" spans="1:21" x14ac:dyDescent="0.25">
      <c r="A5555" t="s">
        <v>46</v>
      </c>
      <c r="B5555" t="s">
        <v>973</v>
      </c>
      <c r="C5555">
        <v>2</v>
      </c>
      <c r="D5555" t="s">
        <v>29</v>
      </c>
      <c r="E5555" t="s">
        <v>95</v>
      </c>
      <c r="F5555" t="s">
        <v>112</v>
      </c>
      <c r="G5555" t="s">
        <v>121</v>
      </c>
      <c r="H5555" t="s">
        <v>114</v>
      </c>
      <c r="J5555">
        <v>0</v>
      </c>
      <c r="K5555" t="s">
        <v>114</v>
      </c>
      <c r="L5555">
        <v>65.09375</v>
      </c>
      <c r="M5555">
        <v>37.895352600000002</v>
      </c>
      <c r="N5555">
        <v>2.2882677779999998</v>
      </c>
      <c r="O5555">
        <v>2.2111774</v>
      </c>
      <c r="P5555" t="s">
        <v>114</v>
      </c>
      <c r="Q5555" t="s">
        <v>114</v>
      </c>
      <c r="R5555" t="s">
        <v>114</v>
      </c>
      <c r="S5555" t="s">
        <v>114</v>
      </c>
      <c r="T5555" t="s">
        <v>1041</v>
      </c>
      <c r="U5555" t="s">
        <v>114</v>
      </c>
    </row>
    <row r="5556" spans="1:21" x14ac:dyDescent="0.25">
      <c r="A5556" t="s">
        <v>47</v>
      </c>
      <c r="B5556" t="s">
        <v>974</v>
      </c>
      <c r="C5556">
        <v>2</v>
      </c>
      <c r="D5556" t="s">
        <v>31</v>
      </c>
      <c r="E5556" t="s">
        <v>94</v>
      </c>
      <c r="F5556" t="s">
        <v>112</v>
      </c>
      <c r="G5556" t="s">
        <v>112</v>
      </c>
      <c r="H5556" t="s">
        <v>112</v>
      </c>
      <c r="J5556">
        <v>0</v>
      </c>
      <c r="K5556">
        <v>1</v>
      </c>
      <c r="L5556">
        <v>65.09375</v>
      </c>
      <c r="M5556">
        <v>37.895352600000002</v>
      </c>
      <c r="N5556">
        <v>2.2882677779999998</v>
      </c>
      <c r="O5556">
        <v>2.2111774</v>
      </c>
      <c r="P5556">
        <v>65.09375</v>
      </c>
      <c r="Q5556">
        <v>37.895352600000002</v>
      </c>
      <c r="R5556">
        <v>2.2882677779999998</v>
      </c>
      <c r="S5556">
        <v>2.2111774</v>
      </c>
      <c r="T5556" t="s">
        <v>1041</v>
      </c>
      <c r="U5556">
        <v>0</v>
      </c>
    </row>
    <row r="5557" spans="1:21" x14ac:dyDescent="0.25">
      <c r="A5557" t="s">
        <v>47</v>
      </c>
      <c r="B5557" t="s">
        <v>974</v>
      </c>
      <c r="C5557">
        <v>2</v>
      </c>
      <c r="D5557" t="s">
        <v>31</v>
      </c>
      <c r="E5557" t="s">
        <v>94</v>
      </c>
      <c r="F5557" t="s">
        <v>112</v>
      </c>
      <c r="G5557" t="s">
        <v>112</v>
      </c>
      <c r="H5557" t="s">
        <v>113</v>
      </c>
      <c r="J5557">
        <v>0</v>
      </c>
      <c r="K5557">
        <v>1</v>
      </c>
      <c r="L5557">
        <v>65.09375</v>
      </c>
      <c r="M5557">
        <v>37.895352600000002</v>
      </c>
      <c r="N5557">
        <v>2.2882677779999998</v>
      </c>
      <c r="O5557">
        <v>2.2111774</v>
      </c>
      <c r="P5557">
        <v>83.757575759999995</v>
      </c>
      <c r="Q5557">
        <v>22.60997987</v>
      </c>
      <c r="R5557">
        <v>0.72884000000000004</v>
      </c>
      <c r="S5557">
        <v>0.21301339999999999</v>
      </c>
      <c r="T5557" t="s">
        <v>1041</v>
      </c>
      <c r="U5557">
        <v>1.9981640000000001</v>
      </c>
    </row>
    <row r="5558" spans="1:21" x14ac:dyDescent="0.25">
      <c r="A5558" t="s">
        <v>48</v>
      </c>
      <c r="B5558" t="s">
        <v>975</v>
      </c>
      <c r="C5558">
        <v>2</v>
      </c>
      <c r="D5558" t="s">
        <v>33</v>
      </c>
      <c r="E5558" t="s">
        <v>95</v>
      </c>
      <c r="F5558" t="s">
        <v>105</v>
      </c>
      <c r="G5558" t="s">
        <v>104</v>
      </c>
      <c r="H5558" t="s">
        <v>103</v>
      </c>
      <c r="J5558">
        <v>0</v>
      </c>
      <c r="K5558">
        <v>1</v>
      </c>
      <c r="L5558">
        <v>67.5</v>
      </c>
      <c r="M5558">
        <v>47.937235809999997</v>
      </c>
      <c r="N5558">
        <v>0.41599678000000001</v>
      </c>
      <c r="O5558">
        <v>2.0950346999999998</v>
      </c>
      <c r="P5558">
        <v>98.291666669999998</v>
      </c>
      <c r="Q5558">
        <v>30.315130790000001</v>
      </c>
      <c r="R5558">
        <v>5.0803484000000003E-2</v>
      </c>
      <c r="S5558">
        <v>0.42866070000000001</v>
      </c>
      <c r="T5558" t="s">
        <v>1041</v>
      </c>
      <c r="U5558">
        <v>1.6663739999999998</v>
      </c>
    </row>
    <row r="5559" spans="1:21" x14ac:dyDescent="0.25">
      <c r="A5559" t="s">
        <v>48</v>
      </c>
      <c r="B5559" t="s">
        <v>975</v>
      </c>
      <c r="C5559">
        <v>2</v>
      </c>
      <c r="D5559" t="s">
        <v>33</v>
      </c>
      <c r="E5559" t="s">
        <v>95</v>
      </c>
      <c r="F5559" t="s">
        <v>105</v>
      </c>
      <c r="G5559" t="s">
        <v>104</v>
      </c>
      <c r="H5559" t="s">
        <v>104</v>
      </c>
      <c r="J5559">
        <v>0</v>
      </c>
      <c r="K5559">
        <v>2</v>
      </c>
      <c r="L5559">
        <v>67.5</v>
      </c>
      <c r="M5559">
        <v>47.937235809999997</v>
      </c>
      <c r="N5559">
        <v>0.41599678000000001</v>
      </c>
      <c r="O5559">
        <v>2.0950346999999998</v>
      </c>
      <c r="P5559">
        <v>113.9375</v>
      </c>
      <c r="Q5559">
        <v>33.375507550000002</v>
      </c>
      <c r="R5559">
        <v>2.4262999999999999</v>
      </c>
      <c r="S5559">
        <v>0.40692159999999999</v>
      </c>
      <c r="T5559" t="s">
        <v>1041</v>
      </c>
      <c r="U5559">
        <v>1.6881130999999998</v>
      </c>
    </row>
    <row r="5560" spans="1:21" x14ac:dyDescent="0.25">
      <c r="A5560" t="s">
        <v>48</v>
      </c>
      <c r="B5560" t="s">
        <v>975</v>
      </c>
      <c r="C5560">
        <v>2</v>
      </c>
      <c r="D5560" t="s">
        <v>33</v>
      </c>
      <c r="E5560" t="s">
        <v>95</v>
      </c>
      <c r="F5560" t="s">
        <v>105</v>
      </c>
      <c r="G5560" t="s">
        <v>104</v>
      </c>
      <c r="H5560" t="s">
        <v>104</v>
      </c>
      <c r="J5560">
        <v>0</v>
      </c>
      <c r="K5560">
        <v>2</v>
      </c>
      <c r="L5560">
        <v>67.5</v>
      </c>
      <c r="M5560">
        <v>47.937235809999997</v>
      </c>
      <c r="N5560">
        <v>0.41599678000000001</v>
      </c>
      <c r="O5560">
        <v>2.0950346999999998</v>
      </c>
      <c r="P5560">
        <v>113.9375</v>
      </c>
      <c r="Q5560">
        <v>33.375507550000002</v>
      </c>
      <c r="R5560">
        <v>2.4262999999999999</v>
      </c>
      <c r="S5560">
        <v>0.40692159999999999</v>
      </c>
      <c r="T5560" t="s">
        <v>1041</v>
      </c>
      <c r="U5560">
        <v>1.6881130999999998</v>
      </c>
    </row>
    <row r="5561" spans="1:21" x14ac:dyDescent="0.25">
      <c r="A5561" t="s">
        <v>48</v>
      </c>
      <c r="B5561" t="s">
        <v>976</v>
      </c>
      <c r="C5561">
        <v>2</v>
      </c>
      <c r="D5561" t="s">
        <v>33</v>
      </c>
      <c r="E5561" t="s">
        <v>95</v>
      </c>
      <c r="F5561" t="s">
        <v>111</v>
      </c>
      <c r="G5561" t="s">
        <v>113</v>
      </c>
      <c r="H5561" t="s">
        <v>113</v>
      </c>
      <c r="J5561">
        <v>0</v>
      </c>
      <c r="K5561">
        <v>1</v>
      </c>
      <c r="L5561">
        <v>94.97142857</v>
      </c>
      <c r="M5561">
        <v>24.31591813</v>
      </c>
      <c r="N5561">
        <v>0.122951111</v>
      </c>
      <c r="O5561">
        <v>0.39050790000000002</v>
      </c>
      <c r="P5561">
        <v>83.757575759999995</v>
      </c>
      <c r="Q5561">
        <v>22.60997987</v>
      </c>
      <c r="R5561">
        <v>0.72884000000000004</v>
      </c>
      <c r="S5561">
        <v>0.21301339999999999</v>
      </c>
      <c r="T5561" t="s">
        <v>1041</v>
      </c>
      <c r="U5561">
        <v>0.17749450000000003</v>
      </c>
    </row>
    <row r="5562" spans="1:21" x14ac:dyDescent="0.25">
      <c r="A5562" t="s">
        <v>48</v>
      </c>
      <c r="B5562" t="s">
        <v>976</v>
      </c>
      <c r="C5562">
        <v>2</v>
      </c>
      <c r="D5562" t="s">
        <v>33</v>
      </c>
      <c r="E5562" t="s">
        <v>95</v>
      </c>
      <c r="F5562" t="s">
        <v>111</v>
      </c>
      <c r="G5562" t="s">
        <v>113</v>
      </c>
      <c r="H5562" t="s">
        <v>241</v>
      </c>
      <c r="J5562">
        <v>0</v>
      </c>
      <c r="K5562">
        <v>1</v>
      </c>
      <c r="L5562">
        <v>94.97142857</v>
      </c>
      <c r="M5562">
        <v>24.31591813</v>
      </c>
      <c r="N5562">
        <v>0.122951111</v>
      </c>
      <c r="O5562">
        <v>0.39050790000000002</v>
      </c>
      <c r="P5562">
        <v>114</v>
      </c>
      <c r="Q5562">
        <v>30.43077242</v>
      </c>
      <c r="R5562">
        <v>0.53383111100000002</v>
      </c>
      <c r="S5562">
        <v>0.28333332999999999</v>
      </c>
      <c r="T5562" t="s">
        <v>1041</v>
      </c>
      <c r="U5562">
        <v>0.10717457000000002</v>
      </c>
    </row>
    <row r="5563" spans="1:21" x14ac:dyDescent="0.25">
      <c r="A5563" t="s">
        <v>48</v>
      </c>
      <c r="B5563" t="s">
        <v>977</v>
      </c>
      <c r="C5563">
        <v>2</v>
      </c>
      <c r="D5563" t="s">
        <v>33</v>
      </c>
      <c r="E5563" t="s">
        <v>95</v>
      </c>
      <c r="F5563" t="s">
        <v>104</v>
      </c>
      <c r="G5563" t="s">
        <v>121</v>
      </c>
      <c r="H5563" t="s">
        <v>113</v>
      </c>
      <c r="J5563">
        <v>0</v>
      </c>
      <c r="K5563">
        <v>5</v>
      </c>
      <c r="L5563">
        <v>113.9375</v>
      </c>
      <c r="M5563">
        <v>33.375507550000002</v>
      </c>
      <c r="N5563">
        <v>2.4262999999999999</v>
      </c>
      <c r="O5563">
        <v>0.40692159999999999</v>
      </c>
      <c r="P5563">
        <v>83.757575759999995</v>
      </c>
      <c r="Q5563">
        <v>22.60997987</v>
      </c>
      <c r="R5563">
        <v>0.72884000000000004</v>
      </c>
      <c r="S5563">
        <v>0.21301339999999999</v>
      </c>
      <c r="T5563" t="s">
        <v>1041</v>
      </c>
      <c r="U5563">
        <v>0.1939082</v>
      </c>
    </row>
    <row r="5564" spans="1:21" x14ac:dyDescent="0.25">
      <c r="A5564" t="s">
        <v>48</v>
      </c>
      <c r="B5564" t="s">
        <v>977</v>
      </c>
      <c r="C5564">
        <v>2</v>
      </c>
      <c r="D5564" t="s">
        <v>33</v>
      </c>
      <c r="E5564" t="s">
        <v>95</v>
      </c>
      <c r="F5564" t="s">
        <v>104</v>
      </c>
      <c r="G5564" t="s">
        <v>121</v>
      </c>
      <c r="H5564" t="s">
        <v>113</v>
      </c>
      <c r="J5564">
        <v>0</v>
      </c>
      <c r="K5564">
        <v>5</v>
      </c>
      <c r="L5564">
        <v>113.9375</v>
      </c>
      <c r="M5564">
        <v>33.375507550000002</v>
      </c>
      <c r="N5564">
        <v>2.4262999999999999</v>
      </c>
      <c r="O5564">
        <v>0.40692159999999999</v>
      </c>
      <c r="P5564">
        <v>83.757575759999995</v>
      </c>
      <c r="Q5564">
        <v>22.60997987</v>
      </c>
      <c r="R5564">
        <v>0.72884000000000004</v>
      </c>
      <c r="S5564">
        <v>0.21301339999999999</v>
      </c>
      <c r="T5564" t="s">
        <v>1041</v>
      </c>
      <c r="U5564">
        <v>0.1939082</v>
      </c>
    </row>
    <row r="5565" spans="1:21" x14ac:dyDescent="0.25">
      <c r="A5565" t="s">
        <v>48</v>
      </c>
      <c r="B5565" t="s">
        <v>977</v>
      </c>
      <c r="C5565">
        <v>2</v>
      </c>
      <c r="D5565" t="s">
        <v>33</v>
      </c>
      <c r="E5565" t="s">
        <v>95</v>
      </c>
      <c r="F5565" t="s">
        <v>104</v>
      </c>
      <c r="G5565" t="s">
        <v>121</v>
      </c>
      <c r="H5565" t="s">
        <v>113</v>
      </c>
      <c r="J5565">
        <v>0</v>
      </c>
      <c r="K5565">
        <v>5</v>
      </c>
      <c r="L5565">
        <v>113.9375</v>
      </c>
      <c r="M5565">
        <v>33.375507550000002</v>
      </c>
      <c r="N5565">
        <v>2.4262999999999999</v>
      </c>
      <c r="O5565">
        <v>0.40692159999999999</v>
      </c>
      <c r="P5565">
        <v>83.757575759999995</v>
      </c>
      <c r="Q5565">
        <v>22.60997987</v>
      </c>
      <c r="R5565">
        <v>0.72884000000000004</v>
      </c>
      <c r="S5565">
        <v>0.21301339999999999</v>
      </c>
      <c r="T5565" t="s">
        <v>1041</v>
      </c>
      <c r="U5565">
        <v>0.1939082</v>
      </c>
    </row>
    <row r="5566" spans="1:21" x14ac:dyDescent="0.25">
      <c r="A5566" t="s">
        <v>48</v>
      </c>
      <c r="B5566" t="s">
        <v>977</v>
      </c>
      <c r="C5566">
        <v>2</v>
      </c>
      <c r="D5566" t="s">
        <v>33</v>
      </c>
      <c r="E5566" t="s">
        <v>95</v>
      </c>
      <c r="F5566" t="s">
        <v>104</v>
      </c>
      <c r="G5566" t="s">
        <v>121</v>
      </c>
      <c r="H5566" t="s">
        <v>113</v>
      </c>
      <c r="J5566">
        <v>0</v>
      </c>
      <c r="K5566">
        <v>5</v>
      </c>
      <c r="L5566">
        <v>113.9375</v>
      </c>
      <c r="M5566">
        <v>33.375507550000002</v>
      </c>
      <c r="N5566">
        <v>2.4262999999999999</v>
      </c>
      <c r="O5566">
        <v>0.40692159999999999</v>
      </c>
      <c r="P5566">
        <v>83.757575759999995</v>
      </c>
      <c r="Q5566">
        <v>22.60997987</v>
      </c>
      <c r="R5566">
        <v>0.72884000000000004</v>
      </c>
      <c r="S5566">
        <v>0.21301339999999999</v>
      </c>
      <c r="T5566" t="s">
        <v>1041</v>
      </c>
      <c r="U5566">
        <v>0.1939082</v>
      </c>
    </row>
    <row r="5567" spans="1:21" x14ac:dyDescent="0.25">
      <c r="A5567" t="s">
        <v>48</v>
      </c>
      <c r="B5567" t="s">
        <v>977</v>
      </c>
      <c r="C5567">
        <v>2</v>
      </c>
      <c r="D5567" t="s">
        <v>33</v>
      </c>
      <c r="E5567" t="s">
        <v>95</v>
      </c>
      <c r="F5567" t="s">
        <v>104</v>
      </c>
      <c r="G5567" t="s">
        <v>121</v>
      </c>
      <c r="H5567" t="s">
        <v>113</v>
      </c>
      <c r="J5567">
        <v>0</v>
      </c>
      <c r="K5567">
        <v>5</v>
      </c>
      <c r="L5567">
        <v>113.9375</v>
      </c>
      <c r="M5567">
        <v>33.375507550000002</v>
      </c>
      <c r="N5567">
        <v>2.4262999999999999</v>
      </c>
      <c r="O5567">
        <v>0.40692159999999999</v>
      </c>
      <c r="P5567">
        <v>83.757575759999995</v>
      </c>
      <c r="Q5567">
        <v>22.60997987</v>
      </c>
      <c r="R5567">
        <v>0.72884000000000004</v>
      </c>
      <c r="S5567">
        <v>0.21301339999999999</v>
      </c>
      <c r="T5567" t="s">
        <v>1041</v>
      </c>
      <c r="U5567">
        <v>0.1939082</v>
      </c>
    </row>
    <row r="5568" spans="1:21" x14ac:dyDescent="0.25">
      <c r="A5568" t="s">
        <v>48</v>
      </c>
      <c r="B5568" t="s">
        <v>977</v>
      </c>
      <c r="C5568">
        <v>2</v>
      </c>
      <c r="D5568" t="s">
        <v>33</v>
      </c>
      <c r="E5568" t="s">
        <v>95</v>
      </c>
      <c r="F5568" t="s">
        <v>104</v>
      </c>
      <c r="G5568" t="s">
        <v>121</v>
      </c>
      <c r="H5568" t="s">
        <v>104</v>
      </c>
      <c r="J5568">
        <v>0</v>
      </c>
      <c r="K5568">
        <v>2</v>
      </c>
      <c r="L5568">
        <v>113.9375</v>
      </c>
      <c r="M5568">
        <v>33.375507550000002</v>
      </c>
      <c r="N5568">
        <v>2.4262999999999999</v>
      </c>
      <c r="O5568">
        <v>0.40692159999999999</v>
      </c>
      <c r="P5568">
        <v>113.9375</v>
      </c>
      <c r="Q5568">
        <v>33.375507550000002</v>
      </c>
      <c r="R5568">
        <v>2.4262999999999999</v>
      </c>
      <c r="S5568">
        <v>0.40692159999999999</v>
      </c>
      <c r="T5568" t="s">
        <v>1041</v>
      </c>
      <c r="U5568">
        <v>0</v>
      </c>
    </row>
    <row r="5569" spans="1:21" x14ac:dyDescent="0.25">
      <c r="A5569" t="s">
        <v>48</v>
      </c>
      <c r="B5569" t="s">
        <v>977</v>
      </c>
      <c r="C5569">
        <v>2</v>
      </c>
      <c r="D5569" t="s">
        <v>33</v>
      </c>
      <c r="E5569" t="s">
        <v>95</v>
      </c>
      <c r="F5569" t="s">
        <v>104</v>
      </c>
      <c r="G5569" t="s">
        <v>121</v>
      </c>
      <c r="H5569" t="s">
        <v>104</v>
      </c>
      <c r="J5569">
        <v>0</v>
      </c>
      <c r="K5569">
        <v>2</v>
      </c>
      <c r="L5569">
        <v>113.9375</v>
      </c>
      <c r="M5569">
        <v>33.375507550000002</v>
      </c>
      <c r="N5569">
        <v>2.4262999999999999</v>
      </c>
      <c r="O5569">
        <v>0.40692159999999999</v>
      </c>
      <c r="P5569">
        <v>113.9375</v>
      </c>
      <c r="Q5569">
        <v>33.375507550000002</v>
      </c>
      <c r="R5569">
        <v>2.4262999999999999</v>
      </c>
      <c r="S5569">
        <v>0.40692159999999999</v>
      </c>
      <c r="T5569" t="s">
        <v>1041</v>
      </c>
      <c r="U5569">
        <v>0</v>
      </c>
    </row>
    <row r="5570" spans="1:21" x14ac:dyDescent="0.25">
      <c r="A5570" t="s">
        <v>48</v>
      </c>
      <c r="B5570" t="s">
        <v>977</v>
      </c>
      <c r="C5570">
        <v>2</v>
      </c>
      <c r="D5570" t="s">
        <v>33</v>
      </c>
      <c r="E5570" t="s">
        <v>95</v>
      </c>
      <c r="F5570" t="s">
        <v>104</v>
      </c>
      <c r="G5570" t="s">
        <v>121</v>
      </c>
      <c r="H5570" t="s">
        <v>103</v>
      </c>
      <c r="J5570">
        <v>0</v>
      </c>
      <c r="K5570">
        <v>1</v>
      </c>
      <c r="L5570">
        <v>113.9375</v>
      </c>
      <c r="M5570">
        <v>33.375507550000002</v>
      </c>
      <c r="N5570">
        <v>2.4262999999999999</v>
      </c>
      <c r="O5570">
        <v>0.40692159999999999</v>
      </c>
      <c r="P5570">
        <v>98.291666669999998</v>
      </c>
      <c r="Q5570">
        <v>30.315130790000001</v>
      </c>
      <c r="R5570">
        <v>5.0803484000000003E-2</v>
      </c>
      <c r="S5570">
        <v>0.42866070000000001</v>
      </c>
      <c r="T5570" t="s">
        <v>1041</v>
      </c>
      <c r="U5570">
        <v>2.1739100000000011E-2</v>
      </c>
    </row>
    <row r="5571" spans="1:21" x14ac:dyDescent="0.25">
      <c r="A5571" t="s">
        <v>49</v>
      </c>
      <c r="B5571" t="s">
        <v>978</v>
      </c>
      <c r="C5571">
        <v>2</v>
      </c>
      <c r="D5571" t="s">
        <v>35</v>
      </c>
      <c r="E5571" t="s">
        <v>94</v>
      </c>
      <c r="F5571" t="s">
        <v>102</v>
      </c>
      <c r="G5571" t="s">
        <v>112</v>
      </c>
      <c r="H5571" t="s">
        <v>112</v>
      </c>
      <c r="J5571">
        <v>0</v>
      </c>
      <c r="K5571">
        <v>1</v>
      </c>
      <c r="L5571">
        <v>84.740740740000007</v>
      </c>
      <c r="M5571">
        <v>29.167014049999999</v>
      </c>
      <c r="N5571">
        <v>1.1169849999999999</v>
      </c>
      <c r="O5571">
        <v>1.1571499000000001</v>
      </c>
      <c r="P5571">
        <v>65.09375</v>
      </c>
      <c r="Q5571">
        <v>37.895352600000002</v>
      </c>
      <c r="R5571">
        <v>2.2882677779999998</v>
      </c>
      <c r="S5571">
        <v>2.2111774</v>
      </c>
      <c r="T5571" t="s">
        <v>1041</v>
      </c>
      <c r="U5571">
        <v>1.0540274999999999</v>
      </c>
    </row>
    <row r="5572" spans="1:21" x14ac:dyDescent="0.25">
      <c r="A5572" t="s">
        <v>49</v>
      </c>
      <c r="B5572" t="s">
        <v>978</v>
      </c>
      <c r="C5572">
        <v>2</v>
      </c>
      <c r="D5572" t="s">
        <v>35</v>
      </c>
      <c r="E5572" t="s">
        <v>94</v>
      </c>
      <c r="F5572" t="s">
        <v>102</v>
      </c>
      <c r="G5572" t="s">
        <v>112</v>
      </c>
      <c r="H5572" t="s">
        <v>104</v>
      </c>
      <c r="J5572">
        <v>0</v>
      </c>
      <c r="K5572">
        <v>5</v>
      </c>
      <c r="L5572">
        <v>84.740740740000007</v>
      </c>
      <c r="M5572">
        <v>29.167014049999999</v>
      </c>
      <c r="N5572">
        <v>1.1169849999999999</v>
      </c>
      <c r="O5572">
        <v>1.1571499000000001</v>
      </c>
      <c r="P5572">
        <v>113.9375</v>
      </c>
      <c r="Q5572">
        <v>33.375507550000002</v>
      </c>
      <c r="R5572">
        <v>2.4262999999999999</v>
      </c>
      <c r="S5572">
        <v>0.40692159999999999</v>
      </c>
      <c r="T5572" t="s">
        <v>1041</v>
      </c>
      <c r="U5572">
        <v>0.75022830000000007</v>
      </c>
    </row>
    <row r="5573" spans="1:21" x14ac:dyDescent="0.25">
      <c r="A5573" t="s">
        <v>49</v>
      </c>
      <c r="B5573" t="s">
        <v>978</v>
      </c>
      <c r="C5573">
        <v>2</v>
      </c>
      <c r="D5573" t="s">
        <v>35</v>
      </c>
      <c r="E5573" t="s">
        <v>94</v>
      </c>
      <c r="F5573" t="s">
        <v>102</v>
      </c>
      <c r="G5573" t="s">
        <v>112</v>
      </c>
      <c r="H5573" t="s">
        <v>104</v>
      </c>
      <c r="J5573">
        <v>0</v>
      </c>
      <c r="K5573">
        <v>5</v>
      </c>
      <c r="L5573">
        <v>84.740740740000007</v>
      </c>
      <c r="M5573">
        <v>29.167014049999999</v>
      </c>
      <c r="N5573">
        <v>1.1169849999999999</v>
      </c>
      <c r="O5573">
        <v>1.1571499000000001</v>
      </c>
      <c r="P5573">
        <v>113.9375</v>
      </c>
      <c r="Q5573">
        <v>33.375507550000002</v>
      </c>
      <c r="R5573">
        <v>2.4262999999999999</v>
      </c>
      <c r="S5573">
        <v>0.40692159999999999</v>
      </c>
      <c r="T5573" t="s">
        <v>1041</v>
      </c>
      <c r="U5573">
        <v>0.75022830000000007</v>
      </c>
    </row>
    <row r="5574" spans="1:21" x14ac:dyDescent="0.25">
      <c r="A5574" t="s">
        <v>49</v>
      </c>
      <c r="B5574" t="s">
        <v>978</v>
      </c>
      <c r="C5574">
        <v>2</v>
      </c>
      <c r="D5574" t="s">
        <v>35</v>
      </c>
      <c r="E5574" t="s">
        <v>94</v>
      </c>
      <c r="F5574" t="s">
        <v>102</v>
      </c>
      <c r="G5574" t="s">
        <v>112</v>
      </c>
      <c r="H5574" t="s">
        <v>104</v>
      </c>
      <c r="J5574">
        <v>0</v>
      </c>
      <c r="K5574">
        <v>5</v>
      </c>
      <c r="L5574">
        <v>84.740740740000007</v>
      </c>
      <c r="M5574">
        <v>29.167014049999999</v>
      </c>
      <c r="N5574">
        <v>1.1169849999999999</v>
      </c>
      <c r="O5574">
        <v>1.1571499000000001</v>
      </c>
      <c r="P5574">
        <v>113.9375</v>
      </c>
      <c r="Q5574">
        <v>33.375507550000002</v>
      </c>
      <c r="R5574">
        <v>2.4262999999999999</v>
      </c>
      <c r="S5574">
        <v>0.40692159999999999</v>
      </c>
      <c r="T5574" t="s">
        <v>1041</v>
      </c>
      <c r="U5574">
        <v>0.75022830000000007</v>
      </c>
    </row>
    <row r="5575" spans="1:21" x14ac:dyDescent="0.25">
      <c r="A5575" t="s">
        <v>49</v>
      </c>
      <c r="B5575" t="s">
        <v>978</v>
      </c>
      <c r="C5575">
        <v>2</v>
      </c>
      <c r="D5575" t="s">
        <v>35</v>
      </c>
      <c r="E5575" t="s">
        <v>94</v>
      </c>
      <c r="F5575" t="s">
        <v>102</v>
      </c>
      <c r="G5575" t="s">
        <v>112</v>
      </c>
      <c r="H5575" t="s">
        <v>104</v>
      </c>
      <c r="J5575">
        <v>0</v>
      </c>
      <c r="K5575">
        <v>5</v>
      </c>
      <c r="L5575">
        <v>84.740740740000007</v>
      </c>
      <c r="M5575">
        <v>29.167014049999999</v>
      </c>
      <c r="N5575">
        <v>1.1169849999999999</v>
      </c>
      <c r="O5575">
        <v>1.1571499000000001</v>
      </c>
      <c r="P5575">
        <v>113.9375</v>
      </c>
      <c r="Q5575">
        <v>33.375507550000002</v>
      </c>
      <c r="R5575">
        <v>2.4262999999999999</v>
      </c>
      <c r="S5575">
        <v>0.40692159999999999</v>
      </c>
      <c r="T5575" t="s">
        <v>1041</v>
      </c>
      <c r="U5575">
        <v>0.75022830000000007</v>
      </c>
    </row>
    <row r="5576" spans="1:21" x14ac:dyDescent="0.25">
      <c r="A5576" t="s">
        <v>49</v>
      </c>
      <c r="B5576" t="s">
        <v>978</v>
      </c>
      <c r="C5576">
        <v>2</v>
      </c>
      <c r="D5576" t="s">
        <v>35</v>
      </c>
      <c r="E5576" t="s">
        <v>94</v>
      </c>
      <c r="F5576" t="s">
        <v>102</v>
      </c>
      <c r="G5576" t="s">
        <v>112</v>
      </c>
      <c r="H5576" t="s">
        <v>104</v>
      </c>
      <c r="J5576">
        <v>0</v>
      </c>
      <c r="K5576">
        <v>5</v>
      </c>
      <c r="L5576">
        <v>84.740740740000007</v>
      </c>
      <c r="M5576">
        <v>29.167014049999999</v>
      </c>
      <c r="N5576">
        <v>1.1169849999999999</v>
      </c>
      <c r="O5576">
        <v>1.1571499000000001</v>
      </c>
      <c r="P5576">
        <v>113.9375</v>
      </c>
      <c r="Q5576">
        <v>33.375507550000002</v>
      </c>
      <c r="R5576">
        <v>2.4262999999999999</v>
      </c>
      <c r="S5576">
        <v>0.40692159999999999</v>
      </c>
      <c r="T5576" t="s">
        <v>1041</v>
      </c>
      <c r="U5576">
        <v>0.75022830000000007</v>
      </c>
    </row>
    <row r="5577" spans="1:21" x14ac:dyDescent="0.25">
      <c r="A5577" t="s">
        <v>49</v>
      </c>
      <c r="B5577" t="s">
        <v>979</v>
      </c>
      <c r="C5577">
        <v>2</v>
      </c>
      <c r="D5577" t="s">
        <v>35</v>
      </c>
      <c r="E5577" t="s">
        <v>94</v>
      </c>
      <c r="F5577" t="s">
        <v>112</v>
      </c>
      <c r="G5577" t="s">
        <v>112</v>
      </c>
      <c r="H5577" t="s">
        <v>112</v>
      </c>
      <c r="J5577">
        <v>0</v>
      </c>
      <c r="K5577">
        <v>1</v>
      </c>
      <c r="L5577">
        <v>65.09375</v>
      </c>
      <c r="M5577">
        <v>37.895352600000002</v>
      </c>
      <c r="N5577">
        <v>2.2882677779999998</v>
      </c>
      <c r="O5577">
        <v>2.2111774</v>
      </c>
      <c r="P5577">
        <v>65.09375</v>
      </c>
      <c r="Q5577">
        <v>37.895352600000002</v>
      </c>
      <c r="R5577">
        <v>2.2882677779999998</v>
      </c>
      <c r="S5577">
        <v>2.2111774</v>
      </c>
      <c r="T5577" t="s">
        <v>1041</v>
      </c>
      <c r="U5577">
        <v>0</v>
      </c>
    </row>
    <row r="5578" spans="1:21" x14ac:dyDescent="0.25">
      <c r="A5578" t="s">
        <v>49</v>
      </c>
      <c r="B5578" t="s">
        <v>979</v>
      </c>
      <c r="C5578">
        <v>2</v>
      </c>
      <c r="D5578" t="s">
        <v>35</v>
      </c>
      <c r="E5578" t="s">
        <v>94</v>
      </c>
      <c r="F5578" t="s">
        <v>112</v>
      </c>
      <c r="G5578" t="s">
        <v>112</v>
      </c>
      <c r="H5578" t="s">
        <v>103</v>
      </c>
      <c r="J5578">
        <v>0</v>
      </c>
      <c r="K5578">
        <v>1</v>
      </c>
      <c r="L5578">
        <v>65.09375</v>
      </c>
      <c r="M5578">
        <v>37.895352600000002</v>
      </c>
      <c r="N5578">
        <v>2.2882677779999998</v>
      </c>
      <c r="O5578">
        <v>2.2111774</v>
      </c>
      <c r="P5578">
        <v>98.291666669999998</v>
      </c>
      <c r="Q5578">
        <v>30.315130790000001</v>
      </c>
      <c r="R5578">
        <v>5.0803484000000003E-2</v>
      </c>
      <c r="S5578">
        <v>0.42866070000000001</v>
      </c>
      <c r="T5578" t="s">
        <v>1041</v>
      </c>
      <c r="U5578">
        <v>1.7825167</v>
      </c>
    </row>
    <row r="5579" spans="1:21" x14ac:dyDescent="0.25">
      <c r="A5579" t="s">
        <v>79</v>
      </c>
      <c r="B5579" t="s">
        <v>980</v>
      </c>
      <c r="C5579">
        <v>6</v>
      </c>
      <c r="D5579" t="s">
        <v>11</v>
      </c>
      <c r="E5579" t="s">
        <v>95</v>
      </c>
      <c r="F5579" t="s">
        <v>113</v>
      </c>
      <c r="G5579" t="s">
        <v>113</v>
      </c>
      <c r="H5579" t="s">
        <v>113</v>
      </c>
      <c r="J5579">
        <v>0</v>
      </c>
      <c r="K5579">
        <v>4</v>
      </c>
      <c r="L5579">
        <v>83.757575759999995</v>
      </c>
      <c r="M5579">
        <v>22.60997987</v>
      </c>
      <c r="N5579">
        <v>0.72884000000000004</v>
      </c>
      <c r="O5579">
        <v>0.21301339999999999</v>
      </c>
      <c r="P5579">
        <v>83.757575759999995</v>
      </c>
      <c r="Q5579">
        <v>22.60997987</v>
      </c>
      <c r="R5579">
        <v>0.72884000000000004</v>
      </c>
      <c r="S5579">
        <v>0.21301339999999999</v>
      </c>
      <c r="T5579" t="s">
        <v>1041</v>
      </c>
      <c r="U5579">
        <v>0</v>
      </c>
    </row>
    <row r="5580" spans="1:21" x14ac:dyDescent="0.25">
      <c r="A5580" t="s">
        <v>79</v>
      </c>
      <c r="B5580" t="s">
        <v>980</v>
      </c>
      <c r="C5580">
        <v>6</v>
      </c>
      <c r="D5580" t="s">
        <v>11</v>
      </c>
      <c r="E5580" t="s">
        <v>95</v>
      </c>
      <c r="F5580" t="s">
        <v>113</v>
      </c>
      <c r="G5580" t="s">
        <v>113</v>
      </c>
      <c r="H5580" t="s">
        <v>113</v>
      </c>
      <c r="J5580">
        <v>0</v>
      </c>
      <c r="K5580">
        <v>4</v>
      </c>
      <c r="L5580">
        <v>83.757575759999995</v>
      </c>
      <c r="M5580">
        <v>22.60997987</v>
      </c>
      <c r="N5580">
        <v>0.72884000000000004</v>
      </c>
      <c r="O5580">
        <v>0.21301339999999999</v>
      </c>
      <c r="P5580">
        <v>83.757575759999995</v>
      </c>
      <c r="Q5580">
        <v>22.60997987</v>
      </c>
      <c r="R5580">
        <v>0.72884000000000004</v>
      </c>
      <c r="S5580">
        <v>0.21301339999999999</v>
      </c>
      <c r="T5580" t="s">
        <v>1041</v>
      </c>
      <c r="U5580">
        <v>0</v>
      </c>
    </row>
    <row r="5581" spans="1:21" x14ac:dyDescent="0.25">
      <c r="A5581" t="s">
        <v>79</v>
      </c>
      <c r="B5581" t="s">
        <v>980</v>
      </c>
      <c r="C5581">
        <v>6</v>
      </c>
      <c r="D5581" t="s">
        <v>11</v>
      </c>
      <c r="E5581" t="s">
        <v>95</v>
      </c>
      <c r="F5581" t="s">
        <v>113</v>
      </c>
      <c r="G5581" t="s">
        <v>113</v>
      </c>
      <c r="H5581" t="s">
        <v>113</v>
      </c>
      <c r="J5581">
        <v>0</v>
      </c>
      <c r="K5581">
        <v>4</v>
      </c>
      <c r="L5581">
        <v>83.757575759999995</v>
      </c>
      <c r="M5581">
        <v>22.60997987</v>
      </c>
      <c r="N5581">
        <v>0.72884000000000004</v>
      </c>
      <c r="O5581">
        <v>0.21301339999999999</v>
      </c>
      <c r="P5581">
        <v>83.757575759999995</v>
      </c>
      <c r="Q5581">
        <v>22.60997987</v>
      </c>
      <c r="R5581">
        <v>0.72884000000000004</v>
      </c>
      <c r="S5581">
        <v>0.21301339999999999</v>
      </c>
      <c r="T5581" t="s">
        <v>1041</v>
      </c>
      <c r="U5581">
        <v>0</v>
      </c>
    </row>
    <row r="5582" spans="1:21" x14ac:dyDescent="0.25">
      <c r="A5582" t="s">
        <v>79</v>
      </c>
      <c r="B5582" t="s">
        <v>980</v>
      </c>
      <c r="C5582">
        <v>6</v>
      </c>
      <c r="D5582" t="s">
        <v>11</v>
      </c>
      <c r="E5582" t="s">
        <v>95</v>
      </c>
      <c r="F5582" t="s">
        <v>113</v>
      </c>
      <c r="G5582" t="s">
        <v>113</v>
      </c>
      <c r="H5582" t="s">
        <v>113</v>
      </c>
      <c r="J5582">
        <v>0</v>
      </c>
      <c r="K5582">
        <v>4</v>
      </c>
      <c r="L5582">
        <v>83.757575759999995</v>
      </c>
      <c r="M5582">
        <v>22.60997987</v>
      </c>
      <c r="N5582">
        <v>0.72884000000000004</v>
      </c>
      <c r="O5582">
        <v>0.21301339999999999</v>
      </c>
      <c r="P5582">
        <v>83.757575759999995</v>
      </c>
      <c r="Q5582">
        <v>22.60997987</v>
      </c>
      <c r="R5582">
        <v>0.72884000000000004</v>
      </c>
      <c r="S5582">
        <v>0.21301339999999999</v>
      </c>
      <c r="T5582" t="s">
        <v>1041</v>
      </c>
      <c r="U5582">
        <v>0</v>
      </c>
    </row>
    <row r="5583" spans="1:21" x14ac:dyDescent="0.25">
      <c r="A5583" t="s">
        <v>79</v>
      </c>
      <c r="B5583" t="s">
        <v>981</v>
      </c>
      <c r="C5583">
        <v>6</v>
      </c>
      <c r="D5583" t="s">
        <v>11</v>
      </c>
      <c r="E5583" t="s">
        <v>95</v>
      </c>
      <c r="F5583" t="s">
        <v>103</v>
      </c>
      <c r="G5583" t="s">
        <v>113</v>
      </c>
      <c r="H5583" t="s">
        <v>113</v>
      </c>
      <c r="J5583">
        <v>0</v>
      </c>
      <c r="K5583">
        <v>7</v>
      </c>
      <c r="L5583">
        <v>98.291666669999998</v>
      </c>
      <c r="M5583">
        <v>30.315130790000001</v>
      </c>
      <c r="N5583">
        <v>5.0803484000000003E-2</v>
      </c>
      <c r="O5583">
        <v>0.42866070000000001</v>
      </c>
      <c r="P5583">
        <v>83.757575759999995</v>
      </c>
      <c r="Q5583">
        <v>22.60997987</v>
      </c>
      <c r="R5583">
        <v>0.72884000000000004</v>
      </c>
      <c r="S5583">
        <v>0.21301339999999999</v>
      </c>
      <c r="T5583" t="s">
        <v>1041</v>
      </c>
      <c r="U5583">
        <v>0.21564730000000001</v>
      </c>
    </row>
    <row r="5584" spans="1:21" x14ac:dyDescent="0.25">
      <c r="A5584" t="s">
        <v>79</v>
      </c>
      <c r="B5584" t="s">
        <v>981</v>
      </c>
      <c r="C5584">
        <v>6</v>
      </c>
      <c r="D5584" t="s">
        <v>11</v>
      </c>
      <c r="E5584" t="s">
        <v>95</v>
      </c>
      <c r="F5584" t="s">
        <v>103</v>
      </c>
      <c r="G5584" t="s">
        <v>113</v>
      </c>
      <c r="H5584" t="s">
        <v>113</v>
      </c>
      <c r="J5584">
        <v>0</v>
      </c>
      <c r="K5584">
        <v>7</v>
      </c>
      <c r="L5584">
        <v>98.291666669999998</v>
      </c>
      <c r="M5584">
        <v>30.315130790000001</v>
      </c>
      <c r="N5584">
        <v>5.0803484000000003E-2</v>
      </c>
      <c r="O5584">
        <v>0.42866070000000001</v>
      </c>
      <c r="P5584">
        <v>83.757575759999995</v>
      </c>
      <c r="Q5584">
        <v>22.60997987</v>
      </c>
      <c r="R5584">
        <v>0.72884000000000004</v>
      </c>
      <c r="S5584">
        <v>0.21301339999999999</v>
      </c>
      <c r="T5584" t="s">
        <v>1041</v>
      </c>
      <c r="U5584">
        <v>0.21564730000000001</v>
      </c>
    </row>
    <row r="5585" spans="1:21" x14ac:dyDescent="0.25">
      <c r="A5585" t="s">
        <v>79</v>
      </c>
      <c r="B5585" t="s">
        <v>981</v>
      </c>
      <c r="C5585">
        <v>6</v>
      </c>
      <c r="D5585" t="s">
        <v>11</v>
      </c>
      <c r="E5585" t="s">
        <v>95</v>
      </c>
      <c r="F5585" t="s">
        <v>103</v>
      </c>
      <c r="G5585" t="s">
        <v>113</v>
      </c>
      <c r="H5585" t="s">
        <v>113</v>
      </c>
      <c r="J5585">
        <v>0</v>
      </c>
      <c r="K5585">
        <v>7</v>
      </c>
      <c r="L5585">
        <v>98.291666669999998</v>
      </c>
      <c r="M5585">
        <v>30.315130790000001</v>
      </c>
      <c r="N5585">
        <v>5.0803484000000003E-2</v>
      </c>
      <c r="O5585">
        <v>0.42866070000000001</v>
      </c>
      <c r="P5585">
        <v>83.757575759999995</v>
      </c>
      <c r="Q5585">
        <v>22.60997987</v>
      </c>
      <c r="R5585">
        <v>0.72884000000000004</v>
      </c>
      <c r="S5585">
        <v>0.21301339999999999</v>
      </c>
      <c r="T5585" t="s">
        <v>1041</v>
      </c>
      <c r="U5585">
        <v>0.21564730000000001</v>
      </c>
    </row>
    <row r="5586" spans="1:21" x14ac:dyDescent="0.25">
      <c r="A5586" t="s">
        <v>79</v>
      </c>
      <c r="B5586" t="s">
        <v>981</v>
      </c>
      <c r="C5586">
        <v>6</v>
      </c>
      <c r="D5586" t="s">
        <v>11</v>
      </c>
      <c r="E5586" t="s">
        <v>95</v>
      </c>
      <c r="F5586" t="s">
        <v>103</v>
      </c>
      <c r="G5586" t="s">
        <v>113</v>
      </c>
      <c r="H5586" t="s">
        <v>113</v>
      </c>
      <c r="J5586">
        <v>0</v>
      </c>
      <c r="K5586">
        <v>7</v>
      </c>
      <c r="L5586">
        <v>98.291666669999998</v>
      </c>
      <c r="M5586">
        <v>30.315130790000001</v>
      </c>
      <c r="N5586">
        <v>5.0803484000000003E-2</v>
      </c>
      <c r="O5586">
        <v>0.42866070000000001</v>
      </c>
      <c r="P5586">
        <v>83.757575759999995</v>
      </c>
      <c r="Q5586">
        <v>22.60997987</v>
      </c>
      <c r="R5586">
        <v>0.72884000000000004</v>
      </c>
      <c r="S5586">
        <v>0.21301339999999999</v>
      </c>
      <c r="T5586" t="s">
        <v>1041</v>
      </c>
      <c r="U5586">
        <v>0.21564730000000001</v>
      </c>
    </row>
    <row r="5587" spans="1:21" x14ac:dyDescent="0.25">
      <c r="A5587" t="s">
        <v>79</v>
      </c>
      <c r="B5587" t="s">
        <v>981</v>
      </c>
      <c r="C5587">
        <v>6</v>
      </c>
      <c r="D5587" t="s">
        <v>11</v>
      </c>
      <c r="E5587" t="s">
        <v>95</v>
      </c>
      <c r="F5587" t="s">
        <v>103</v>
      </c>
      <c r="G5587" t="s">
        <v>113</v>
      </c>
      <c r="H5587" t="s">
        <v>113</v>
      </c>
      <c r="J5587">
        <v>0</v>
      </c>
      <c r="K5587">
        <v>7</v>
      </c>
      <c r="L5587">
        <v>98.291666669999998</v>
      </c>
      <c r="M5587">
        <v>30.315130790000001</v>
      </c>
      <c r="N5587">
        <v>5.0803484000000003E-2</v>
      </c>
      <c r="O5587">
        <v>0.42866070000000001</v>
      </c>
      <c r="P5587">
        <v>83.757575759999995</v>
      </c>
      <c r="Q5587">
        <v>22.60997987</v>
      </c>
      <c r="R5587">
        <v>0.72884000000000004</v>
      </c>
      <c r="S5587">
        <v>0.21301339999999999</v>
      </c>
      <c r="T5587" t="s">
        <v>1041</v>
      </c>
      <c r="U5587">
        <v>0.21564730000000001</v>
      </c>
    </row>
    <row r="5588" spans="1:21" x14ac:dyDescent="0.25">
      <c r="A5588" t="s">
        <v>79</v>
      </c>
      <c r="B5588" t="s">
        <v>981</v>
      </c>
      <c r="C5588">
        <v>6</v>
      </c>
      <c r="D5588" t="s">
        <v>11</v>
      </c>
      <c r="E5588" t="s">
        <v>95</v>
      </c>
      <c r="F5588" t="s">
        <v>103</v>
      </c>
      <c r="G5588" t="s">
        <v>113</v>
      </c>
      <c r="H5588" t="s">
        <v>113</v>
      </c>
      <c r="J5588">
        <v>0</v>
      </c>
      <c r="K5588">
        <v>7</v>
      </c>
      <c r="L5588">
        <v>98.291666669999998</v>
      </c>
      <c r="M5588">
        <v>30.315130790000001</v>
      </c>
      <c r="N5588">
        <v>5.0803484000000003E-2</v>
      </c>
      <c r="O5588">
        <v>0.42866070000000001</v>
      </c>
      <c r="P5588">
        <v>83.757575759999995</v>
      </c>
      <c r="Q5588">
        <v>22.60997987</v>
      </c>
      <c r="R5588">
        <v>0.72884000000000004</v>
      </c>
      <c r="S5588">
        <v>0.21301339999999999</v>
      </c>
      <c r="T5588" t="s">
        <v>1041</v>
      </c>
      <c r="U5588">
        <v>0.21564730000000001</v>
      </c>
    </row>
    <row r="5589" spans="1:21" x14ac:dyDescent="0.25">
      <c r="A5589" t="s">
        <v>79</v>
      </c>
      <c r="B5589" t="s">
        <v>981</v>
      </c>
      <c r="C5589">
        <v>6</v>
      </c>
      <c r="D5589" t="s">
        <v>11</v>
      </c>
      <c r="E5589" t="s">
        <v>95</v>
      </c>
      <c r="F5589" t="s">
        <v>103</v>
      </c>
      <c r="G5589" t="s">
        <v>113</v>
      </c>
      <c r="H5589" t="s">
        <v>113</v>
      </c>
      <c r="J5589">
        <v>0</v>
      </c>
      <c r="K5589">
        <v>7</v>
      </c>
      <c r="L5589">
        <v>98.291666669999998</v>
      </c>
      <c r="M5589">
        <v>30.315130790000001</v>
      </c>
      <c r="N5589">
        <v>5.0803484000000003E-2</v>
      </c>
      <c r="O5589">
        <v>0.42866070000000001</v>
      </c>
      <c r="P5589">
        <v>83.757575759999995</v>
      </c>
      <c r="Q5589">
        <v>22.60997987</v>
      </c>
      <c r="R5589">
        <v>0.72884000000000004</v>
      </c>
      <c r="S5589">
        <v>0.21301339999999999</v>
      </c>
      <c r="T5589" t="s">
        <v>1041</v>
      </c>
      <c r="U5589">
        <v>0.21564730000000001</v>
      </c>
    </row>
    <row r="5590" spans="1:21" x14ac:dyDescent="0.25">
      <c r="A5590" t="s">
        <v>79</v>
      </c>
      <c r="B5590" t="s">
        <v>981</v>
      </c>
      <c r="C5590">
        <v>6</v>
      </c>
      <c r="D5590" t="s">
        <v>11</v>
      </c>
      <c r="E5590" t="s">
        <v>95</v>
      </c>
      <c r="F5590" t="s">
        <v>103</v>
      </c>
      <c r="G5590" t="s">
        <v>113</v>
      </c>
      <c r="H5590" t="s">
        <v>103</v>
      </c>
      <c r="J5590">
        <v>0</v>
      </c>
      <c r="K5590">
        <v>4</v>
      </c>
      <c r="L5590">
        <v>98.291666669999998</v>
      </c>
      <c r="M5590">
        <v>30.315130790000001</v>
      </c>
      <c r="N5590">
        <v>5.0803484000000003E-2</v>
      </c>
      <c r="O5590">
        <v>0.42866070000000001</v>
      </c>
      <c r="P5590">
        <v>98.291666669999998</v>
      </c>
      <c r="Q5590">
        <v>30.315130790000001</v>
      </c>
      <c r="R5590">
        <v>5.0803484000000003E-2</v>
      </c>
      <c r="S5590">
        <v>0.42866070000000001</v>
      </c>
      <c r="T5590" t="s">
        <v>1041</v>
      </c>
      <c r="U5590">
        <v>0</v>
      </c>
    </row>
    <row r="5591" spans="1:21" x14ac:dyDescent="0.25">
      <c r="A5591" t="s">
        <v>79</v>
      </c>
      <c r="B5591" t="s">
        <v>981</v>
      </c>
      <c r="C5591">
        <v>6</v>
      </c>
      <c r="D5591" t="s">
        <v>11</v>
      </c>
      <c r="E5591" t="s">
        <v>95</v>
      </c>
      <c r="F5591" t="s">
        <v>103</v>
      </c>
      <c r="G5591" t="s">
        <v>113</v>
      </c>
      <c r="H5591" t="s">
        <v>103</v>
      </c>
      <c r="J5591">
        <v>0</v>
      </c>
      <c r="K5591">
        <v>4</v>
      </c>
      <c r="L5591">
        <v>98.291666669999998</v>
      </c>
      <c r="M5591">
        <v>30.315130790000001</v>
      </c>
      <c r="N5591">
        <v>5.0803484000000003E-2</v>
      </c>
      <c r="O5591">
        <v>0.42866070000000001</v>
      </c>
      <c r="P5591">
        <v>98.291666669999998</v>
      </c>
      <c r="Q5591">
        <v>30.315130790000001</v>
      </c>
      <c r="R5591">
        <v>5.0803484000000003E-2</v>
      </c>
      <c r="S5591">
        <v>0.42866070000000001</v>
      </c>
      <c r="T5591" t="s">
        <v>1041</v>
      </c>
      <c r="U5591">
        <v>0</v>
      </c>
    </row>
    <row r="5592" spans="1:21" x14ac:dyDescent="0.25">
      <c r="A5592" t="s">
        <v>79</v>
      </c>
      <c r="B5592" t="s">
        <v>981</v>
      </c>
      <c r="C5592">
        <v>6</v>
      </c>
      <c r="D5592" t="s">
        <v>11</v>
      </c>
      <c r="E5592" t="s">
        <v>95</v>
      </c>
      <c r="F5592" t="s">
        <v>103</v>
      </c>
      <c r="G5592" t="s">
        <v>113</v>
      </c>
      <c r="H5592" t="s">
        <v>103</v>
      </c>
      <c r="J5592">
        <v>0</v>
      </c>
      <c r="K5592">
        <v>4</v>
      </c>
      <c r="L5592">
        <v>98.291666669999998</v>
      </c>
      <c r="M5592">
        <v>30.315130790000001</v>
      </c>
      <c r="N5592">
        <v>5.0803484000000003E-2</v>
      </c>
      <c r="O5592">
        <v>0.42866070000000001</v>
      </c>
      <c r="P5592">
        <v>98.291666669999998</v>
      </c>
      <c r="Q5592">
        <v>30.315130790000001</v>
      </c>
      <c r="R5592">
        <v>5.0803484000000003E-2</v>
      </c>
      <c r="S5592">
        <v>0.42866070000000001</v>
      </c>
      <c r="T5592" t="s">
        <v>1041</v>
      </c>
      <c r="U5592">
        <v>0</v>
      </c>
    </row>
    <row r="5593" spans="1:21" x14ac:dyDescent="0.25">
      <c r="A5593" t="s">
        <v>79</v>
      </c>
      <c r="B5593" t="s">
        <v>981</v>
      </c>
      <c r="C5593">
        <v>6</v>
      </c>
      <c r="D5593" t="s">
        <v>11</v>
      </c>
      <c r="E5593" t="s">
        <v>95</v>
      </c>
      <c r="F5593" t="s">
        <v>103</v>
      </c>
      <c r="G5593" t="s">
        <v>113</v>
      </c>
      <c r="H5593" t="s">
        <v>103</v>
      </c>
      <c r="J5593">
        <v>0</v>
      </c>
      <c r="K5593">
        <v>4</v>
      </c>
      <c r="L5593">
        <v>98.291666669999998</v>
      </c>
      <c r="M5593">
        <v>30.315130790000001</v>
      </c>
      <c r="N5593">
        <v>5.0803484000000003E-2</v>
      </c>
      <c r="O5593">
        <v>0.42866070000000001</v>
      </c>
      <c r="P5593">
        <v>98.291666669999998</v>
      </c>
      <c r="Q5593">
        <v>30.315130790000001</v>
      </c>
      <c r="R5593">
        <v>5.0803484000000003E-2</v>
      </c>
      <c r="S5593">
        <v>0.42866070000000001</v>
      </c>
      <c r="T5593" t="s">
        <v>1041</v>
      </c>
      <c r="U5593">
        <v>0</v>
      </c>
    </row>
    <row r="5594" spans="1:21" x14ac:dyDescent="0.25">
      <c r="A5594" t="s">
        <v>79</v>
      </c>
      <c r="B5594" t="s">
        <v>982</v>
      </c>
      <c r="C5594">
        <v>6</v>
      </c>
      <c r="D5594" t="s">
        <v>11</v>
      </c>
      <c r="E5594" t="s">
        <v>95</v>
      </c>
      <c r="F5594" t="s">
        <v>111</v>
      </c>
      <c r="G5594" t="s">
        <v>113</v>
      </c>
      <c r="H5594" t="s">
        <v>234</v>
      </c>
      <c r="J5594">
        <v>0</v>
      </c>
      <c r="K5594">
        <v>1</v>
      </c>
      <c r="L5594">
        <v>94.97142857</v>
      </c>
      <c r="M5594">
        <v>24.31591813</v>
      </c>
      <c r="N5594">
        <v>0.122951111</v>
      </c>
      <c r="O5594">
        <v>0.39050790000000002</v>
      </c>
      <c r="P5594">
        <v>89.8125</v>
      </c>
      <c r="Q5594">
        <v>34.754706650000003</v>
      </c>
      <c r="R5594">
        <v>2.3065078999999999E-2</v>
      </c>
      <c r="S5594">
        <v>2.4791666700000001</v>
      </c>
      <c r="T5594" t="s">
        <v>1041</v>
      </c>
      <c r="U5594">
        <v>2.0886587700000003</v>
      </c>
    </row>
    <row r="5595" spans="1:21" x14ac:dyDescent="0.25">
      <c r="A5595" t="s">
        <v>79</v>
      </c>
      <c r="B5595" t="s">
        <v>982</v>
      </c>
      <c r="C5595">
        <v>6</v>
      </c>
      <c r="D5595" t="s">
        <v>11</v>
      </c>
      <c r="E5595" t="s">
        <v>95</v>
      </c>
      <c r="F5595" t="s">
        <v>111</v>
      </c>
      <c r="G5595" t="s">
        <v>113</v>
      </c>
      <c r="H5595" t="s">
        <v>113</v>
      </c>
      <c r="J5595">
        <v>0</v>
      </c>
      <c r="K5595">
        <v>5</v>
      </c>
      <c r="L5595">
        <v>94.97142857</v>
      </c>
      <c r="M5595">
        <v>24.31591813</v>
      </c>
      <c r="N5595">
        <v>0.122951111</v>
      </c>
      <c r="O5595">
        <v>0.39050790000000002</v>
      </c>
      <c r="P5595">
        <v>83.757575759999995</v>
      </c>
      <c r="Q5595">
        <v>22.60997987</v>
      </c>
      <c r="R5595">
        <v>0.72884000000000004</v>
      </c>
      <c r="S5595">
        <v>0.21301339999999999</v>
      </c>
      <c r="T5595" t="s">
        <v>1041</v>
      </c>
      <c r="U5595">
        <v>0.17749450000000003</v>
      </c>
    </row>
    <row r="5596" spans="1:21" x14ac:dyDescent="0.25">
      <c r="A5596" t="s">
        <v>79</v>
      </c>
      <c r="B5596" t="s">
        <v>982</v>
      </c>
      <c r="C5596">
        <v>6</v>
      </c>
      <c r="D5596" t="s">
        <v>11</v>
      </c>
      <c r="E5596" t="s">
        <v>95</v>
      </c>
      <c r="F5596" t="s">
        <v>111</v>
      </c>
      <c r="G5596" t="s">
        <v>113</v>
      </c>
      <c r="H5596" t="s">
        <v>113</v>
      </c>
      <c r="J5596">
        <v>0</v>
      </c>
      <c r="K5596">
        <v>5</v>
      </c>
      <c r="L5596">
        <v>94.97142857</v>
      </c>
      <c r="M5596">
        <v>24.31591813</v>
      </c>
      <c r="N5596">
        <v>0.122951111</v>
      </c>
      <c r="O5596">
        <v>0.39050790000000002</v>
      </c>
      <c r="P5596">
        <v>83.757575759999995</v>
      </c>
      <c r="Q5596">
        <v>22.60997987</v>
      </c>
      <c r="R5596">
        <v>0.72884000000000004</v>
      </c>
      <c r="S5596">
        <v>0.21301339999999999</v>
      </c>
      <c r="T5596" t="s">
        <v>1041</v>
      </c>
      <c r="U5596">
        <v>0.17749450000000003</v>
      </c>
    </row>
    <row r="5597" spans="1:21" x14ac:dyDescent="0.25">
      <c r="A5597" t="s">
        <v>79</v>
      </c>
      <c r="B5597" t="s">
        <v>982</v>
      </c>
      <c r="C5597">
        <v>6</v>
      </c>
      <c r="D5597" t="s">
        <v>11</v>
      </c>
      <c r="E5597" t="s">
        <v>95</v>
      </c>
      <c r="F5597" t="s">
        <v>111</v>
      </c>
      <c r="G5597" t="s">
        <v>113</v>
      </c>
      <c r="H5597" t="s">
        <v>113</v>
      </c>
      <c r="J5597">
        <v>0</v>
      </c>
      <c r="K5597">
        <v>5</v>
      </c>
      <c r="L5597">
        <v>94.97142857</v>
      </c>
      <c r="M5597">
        <v>24.31591813</v>
      </c>
      <c r="N5597">
        <v>0.122951111</v>
      </c>
      <c r="O5597">
        <v>0.39050790000000002</v>
      </c>
      <c r="P5597">
        <v>83.757575759999995</v>
      </c>
      <c r="Q5597">
        <v>22.60997987</v>
      </c>
      <c r="R5597">
        <v>0.72884000000000004</v>
      </c>
      <c r="S5597">
        <v>0.21301339999999999</v>
      </c>
      <c r="T5597" t="s">
        <v>1041</v>
      </c>
      <c r="U5597">
        <v>0.17749450000000003</v>
      </c>
    </row>
    <row r="5598" spans="1:21" x14ac:dyDescent="0.25">
      <c r="A5598" t="s">
        <v>79</v>
      </c>
      <c r="B5598" t="s">
        <v>982</v>
      </c>
      <c r="C5598">
        <v>6</v>
      </c>
      <c r="D5598" t="s">
        <v>11</v>
      </c>
      <c r="E5598" t="s">
        <v>95</v>
      </c>
      <c r="F5598" t="s">
        <v>111</v>
      </c>
      <c r="G5598" t="s">
        <v>113</v>
      </c>
      <c r="H5598" t="s">
        <v>113</v>
      </c>
      <c r="J5598">
        <v>0</v>
      </c>
      <c r="K5598">
        <v>5</v>
      </c>
      <c r="L5598">
        <v>94.97142857</v>
      </c>
      <c r="M5598">
        <v>24.31591813</v>
      </c>
      <c r="N5598">
        <v>0.122951111</v>
      </c>
      <c r="O5598">
        <v>0.39050790000000002</v>
      </c>
      <c r="P5598">
        <v>83.757575759999995</v>
      </c>
      <c r="Q5598">
        <v>22.60997987</v>
      </c>
      <c r="R5598">
        <v>0.72884000000000004</v>
      </c>
      <c r="S5598">
        <v>0.21301339999999999</v>
      </c>
      <c r="T5598" t="s">
        <v>1041</v>
      </c>
      <c r="U5598">
        <v>0.17749450000000003</v>
      </c>
    </row>
    <row r="5599" spans="1:21" x14ac:dyDescent="0.25">
      <c r="A5599" t="s">
        <v>79</v>
      </c>
      <c r="B5599" t="s">
        <v>982</v>
      </c>
      <c r="C5599">
        <v>6</v>
      </c>
      <c r="D5599" t="s">
        <v>11</v>
      </c>
      <c r="E5599" t="s">
        <v>95</v>
      </c>
      <c r="F5599" t="s">
        <v>111</v>
      </c>
      <c r="G5599" t="s">
        <v>113</v>
      </c>
      <c r="H5599" t="s">
        <v>113</v>
      </c>
      <c r="J5599">
        <v>0</v>
      </c>
      <c r="K5599">
        <v>5</v>
      </c>
      <c r="L5599">
        <v>94.97142857</v>
      </c>
      <c r="M5599">
        <v>24.31591813</v>
      </c>
      <c r="N5599">
        <v>0.122951111</v>
      </c>
      <c r="O5599">
        <v>0.39050790000000002</v>
      </c>
      <c r="P5599">
        <v>83.757575759999995</v>
      </c>
      <c r="Q5599">
        <v>22.60997987</v>
      </c>
      <c r="R5599">
        <v>0.72884000000000004</v>
      </c>
      <c r="S5599">
        <v>0.21301339999999999</v>
      </c>
      <c r="T5599" t="s">
        <v>1041</v>
      </c>
      <c r="U5599">
        <v>0.17749450000000003</v>
      </c>
    </row>
    <row r="5600" spans="1:21" x14ac:dyDescent="0.25">
      <c r="A5600" t="s">
        <v>79</v>
      </c>
      <c r="B5600" t="s">
        <v>982</v>
      </c>
      <c r="C5600">
        <v>6</v>
      </c>
      <c r="D5600" t="s">
        <v>11</v>
      </c>
      <c r="E5600" t="s">
        <v>95</v>
      </c>
      <c r="F5600" t="s">
        <v>111</v>
      </c>
      <c r="G5600" t="s">
        <v>113</v>
      </c>
      <c r="H5600" t="s">
        <v>103</v>
      </c>
      <c r="J5600">
        <v>0</v>
      </c>
      <c r="K5600">
        <v>1</v>
      </c>
      <c r="L5600">
        <v>94.97142857</v>
      </c>
      <c r="M5600">
        <v>24.31591813</v>
      </c>
      <c r="N5600">
        <v>0.122951111</v>
      </c>
      <c r="O5600">
        <v>0.39050790000000002</v>
      </c>
      <c r="P5600">
        <v>98.291666669999998</v>
      </c>
      <c r="Q5600">
        <v>30.315130790000001</v>
      </c>
      <c r="R5600">
        <v>5.0803484000000003E-2</v>
      </c>
      <c r="S5600">
        <v>0.42866070000000001</v>
      </c>
      <c r="T5600" t="s">
        <v>1041</v>
      </c>
      <c r="U5600">
        <v>3.8152799999999987E-2</v>
      </c>
    </row>
    <row r="5601" spans="1:21" x14ac:dyDescent="0.25">
      <c r="A5601" t="s">
        <v>80</v>
      </c>
      <c r="B5601" t="s">
        <v>983</v>
      </c>
      <c r="C5601">
        <v>6</v>
      </c>
      <c r="D5601" t="s">
        <v>15</v>
      </c>
      <c r="E5601" t="s">
        <v>95</v>
      </c>
      <c r="F5601" t="s">
        <v>105</v>
      </c>
      <c r="G5601" t="s">
        <v>121</v>
      </c>
      <c r="H5601" t="s">
        <v>113</v>
      </c>
      <c r="J5601">
        <v>0</v>
      </c>
      <c r="K5601">
        <v>1</v>
      </c>
      <c r="L5601">
        <v>67.5</v>
      </c>
      <c r="M5601">
        <v>47.937235809999997</v>
      </c>
      <c r="N5601">
        <v>0.41599678000000001</v>
      </c>
      <c r="O5601">
        <v>2.0950346999999998</v>
      </c>
      <c r="P5601">
        <v>83.757575759999995</v>
      </c>
      <c r="Q5601">
        <v>22.60997987</v>
      </c>
      <c r="R5601">
        <v>0.72884000000000004</v>
      </c>
      <c r="S5601">
        <v>0.21301339999999999</v>
      </c>
      <c r="T5601" t="s">
        <v>1041</v>
      </c>
      <c r="U5601">
        <v>1.8820212999999999</v>
      </c>
    </row>
    <row r="5602" spans="1:21" x14ac:dyDescent="0.25">
      <c r="A5602" t="s">
        <v>80</v>
      </c>
      <c r="B5602" t="s">
        <v>983</v>
      </c>
      <c r="C5602">
        <v>6</v>
      </c>
      <c r="D5602" t="s">
        <v>15</v>
      </c>
      <c r="E5602" t="s">
        <v>95</v>
      </c>
      <c r="F5602" t="s">
        <v>105</v>
      </c>
      <c r="G5602" t="s">
        <v>121</v>
      </c>
      <c r="H5602" t="s">
        <v>103</v>
      </c>
      <c r="J5602">
        <v>0</v>
      </c>
      <c r="K5602">
        <v>9</v>
      </c>
      <c r="L5602">
        <v>67.5</v>
      </c>
      <c r="M5602">
        <v>47.937235809999997</v>
      </c>
      <c r="N5602">
        <v>0.41599678000000001</v>
      </c>
      <c r="O5602">
        <v>2.0950346999999998</v>
      </c>
      <c r="P5602">
        <v>98.291666669999998</v>
      </c>
      <c r="Q5602">
        <v>30.315130790000001</v>
      </c>
      <c r="R5602">
        <v>5.0803484000000003E-2</v>
      </c>
      <c r="S5602">
        <v>0.42866070000000001</v>
      </c>
      <c r="T5602" t="s">
        <v>1041</v>
      </c>
      <c r="U5602">
        <v>1.6663739999999998</v>
      </c>
    </row>
    <row r="5603" spans="1:21" x14ac:dyDescent="0.25">
      <c r="A5603" t="s">
        <v>80</v>
      </c>
      <c r="B5603" t="s">
        <v>983</v>
      </c>
      <c r="C5603">
        <v>6</v>
      </c>
      <c r="D5603" t="s">
        <v>15</v>
      </c>
      <c r="E5603" t="s">
        <v>95</v>
      </c>
      <c r="F5603" t="s">
        <v>105</v>
      </c>
      <c r="G5603" t="s">
        <v>121</v>
      </c>
      <c r="H5603" t="s">
        <v>103</v>
      </c>
      <c r="J5603">
        <v>0</v>
      </c>
      <c r="K5603">
        <v>9</v>
      </c>
      <c r="L5603">
        <v>67.5</v>
      </c>
      <c r="M5603">
        <v>47.937235809999997</v>
      </c>
      <c r="N5603">
        <v>0.41599678000000001</v>
      </c>
      <c r="O5603">
        <v>2.0950346999999998</v>
      </c>
      <c r="P5603">
        <v>98.291666669999998</v>
      </c>
      <c r="Q5603">
        <v>30.315130790000001</v>
      </c>
      <c r="R5603">
        <v>5.0803484000000003E-2</v>
      </c>
      <c r="S5603">
        <v>0.42866070000000001</v>
      </c>
      <c r="T5603" t="s">
        <v>1041</v>
      </c>
      <c r="U5603">
        <v>1.6663739999999998</v>
      </c>
    </row>
    <row r="5604" spans="1:21" x14ac:dyDescent="0.25">
      <c r="A5604" t="s">
        <v>80</v>
      </c>
      <c r="B5604" t="s">
        <v>983</v>
      </c>
      <c r="C5604">
        <v>6</v>
      </c>
      <c r="D5604" t="s">
        <v>15</v>
      </c>
      <c r="E5604" t="s">
        <v>95</v>
      </c>
      <c r="F5604" t="s">
        <v>105</v>
      </c>
      <c r="G5604" t="s">
        <v>121</v>
      </c>
      <c r="H5604" t="s">
        <v>103</v>
      </c>
      <c r="J5604">
        <v>0</v>
      </c>
      <c r="K5604">
        <v>9</v>
      </c>
      <c r="L5604">
        <v>67.5</v>
      </c>
      <c r="M5604">
        <v>47.937235809999997</v>
      </c>
      <c r="N5604">
        <v>0.41599678000000001</v>
      </c>
      <c r="O5604">
        <v>2.0950346999999998</v>
      </c>
      <c r="P5604">
        <v>98.291666669999998</v>
      </c>
      <c r="Q5604">
        <v>30.315130790000001</v>
      </c>
      <c r="R5604">
        <v>5.0803484000000003E-2</v>
      </c>
      <c r="S5604">
        <v>0.42866070000000001</v>
      </c>
      <c r="T5604" t="s">
        <v>1041</v>
      </c>
      <c r="U5604">
        <v>1.6663739999999998</v>
      </c>
    </row>
    <row r="5605" spans="1:21" x14ac:dyDescent="0.25">
      <c r="A5605" t="s">
        <v>80</v>
      </c>
      <c r="B5605" t="s">
        <v>983</v>
      </c>
      <c r="C5605">
        <v>6</v>
      </c>
      <c r="D5605" t="s">
        <v>15</v>
      </c>
      <c r="E5605" t="s">
        <v>95</v>
      </c>
      <c r="F5605" t="s">
        <v>105</v>
      </c>
      <c r="G5605" t="s">
        <v>121</v>
      </c>
      <c r="H5605" t="s">
        <v>103</v>
      </c>
      <c r="J5605">
        <v>0</v>
      </c>
      <c r="K5605">
        <v>9</v>
      </c>
      <c r="L5605">
        <v>67.5</v>
      </c>
      <c r="M5605">
        <v>47.937235809999997</v>
      </c>
      <c r="N5605">
        <v>0.41599678000000001</v>
      </c>
      <c r="O5605">
        <v>2.0950346999999998</v>
      </c>
      <c r="P5605">
        <v>98.291666669999998</v>
      </c>
      <c r="Q5605">
        <v>30.315130790000001</v>
      </c>
      <c r="R5605">
        <v>5.0803484000000003E-2</v>
      </c>
      <c r="S5605">
        <v>0.42866070000000001</v>
      </c>
      <c r="T5605" t="s">
        <v>1041</v>
      </c>
      <c r="U5605">
        <v>1.6663739999999998</v>
      </c>
    </row>
    <row r="5606" spans="1:21" x14ac:dyDescent="0.25">
      <c r="A5606" t="s">
        <v>80</v>
      </c>
      <c r="B5606" t="s">
        <v>983</v>
      </c>
      <c r="C5606">
        <v>6</v>
      </c>
      <c r="D5606" t="s">
        <v>15</v>
      </c>
      <c r="E5606" t="s">
        <v>95</v>
      </c>
      <c r="F5606" t="s">
        <v>105</v>
      </c>
      <c r="G5606" t="s">
        <v>121</v>
      </c>
      <c r="H5606" t="s">
        <v>103</v>
      </c>
      <c r="J5606">
        <v>0</v>
      </c>
      <c r="K5606">
        <v>9</v>
      </c>
      <c r="L5606">
        <v>67.5</v>
      </c>
      <c r="M5606">
        <v>47.937235809999997</v>
      </c>
      <c r="N5606">
        <v>0.41599678000000001</v>
      </c>
      <c r="O5606">
        <v>2.0950346999999998</v>
      </c>
      <c r="P5606">
        <v>98.291666669999998</v>
      </c>
      <c r="Q5606">
        <v>30.315130790000001</v>
      </c>
      <c r="R5606">
        <v>5.0803484000000003E-2</v>
      </c>
      <c r="S5606">
        <v>0.42866070000000001</v>
      </c>
      <c r="T5606" t="s">
        <v>1041</v>
      </c>
      <c r="U5606">
        <v>1.6663739999999998</v>
      </c>
    </row>
    <row r="5607" spans="1:21" x14ac:dyDescent="0.25">
      <c r="A5607" t="s">
        <v>80</v>
      </c>
      <c r="B5607" t="s">
        <v>983</v>
      </c>
      <c r="C5607">
        <v>6</v>
      </c>
      <c r="D5607" t="s">
        <v>15</v>
      </c>
      <c r="E5607" t="s">
        <v>95</v>
      </c>
      <c r="F5607" t="s">
        <v>105</v>
      </c>
      <c r="G5607" t="s">
        <v>121</v>
      </c>
      <c r="H5607" t="s">
        <v>103</v>
      </c>
      <c r="J5607">
        <v>0</v>
      </c>
      <c r="K5607">
        <v>9</v>
      </c>
      <c r="L5607">
        <v>67.5</v>
      </c>
      <c r="M5607">
        <v>47.937235809999997</v>
      </c>
      <c r="N5607">
        <v>0.41599678000000001</v>
      </c>
      <c r="O5607">
        <v>2.0950346999999998</v>
      </c>
      <c r="P5607">
        <v>98.291666669999998</v>
      </c>
      <c r="Q5607">
        <v>30.315130790000001</v>
      </c>
      <c r="R5607">
        <v>5.0803484000000003E-2</v>
      </c>
      <c r="S5607">
        <v>0.42866070000000001</v>
      </c>
      <c r="T5607" t="s">
        <v>1041</v>
      </c>
      <c r="U5607">
        <v>1.6663739999999998</v>
      </c>
    </row>
    <row r="5608" spans="1:21" x14ac:dyDescent="0.25">
      <c r="A5608" t="s">
        <v>80</v>
      </c>
      <c r="B5608" t="s">
        <v>983</v>
      </c>
      <c r="C5608">
        <v>6</v>
      </c>
      <c r="D5608" t="s">
        <v>15</v>
      </c>
      <c r="E5608" t="s">
        <v>95</v>
      </c>
      <c r="F5608" t="s">
        <v>105</v>
      </c>
      <c r="G5608" t="s">
        <v>121</v>
      </c>
      <c r="H5608" t="s">
        <v>103</v>
      </c>
      <c r="J5608">
        <v>0</v>
      </c>
      <c r="K5608">
        <v>9</v>
      </c>
      <c r="L5608">
        <v>67.5</v>
      </c>
      <c r="M5608">
        <v>47.937235809999997</v>
      </c>
      <c r="N5608">
        <v>0.41599678000000001</v>
      </c>
      <c r="O5608">
        <v>2.0950346999999998</v>
      </c>
      <c r="P5608">
        <v>98.291666669999998</v>
      </c>
      <c r="Q5608">
        <v>30.315130790000001</v>
      </c>
      <c r="R5608">
        <v>5.0803484000000003E-2</v>
      </c>
      <c r="S5608">
        <v>0.42866070000000001</v>
      </c>
      <c r="T5608" t="s">
        <v>1041</v>
      </c>
      <c r="U5608">
        <v>1.6663739999999998</v>
      </c>
    </row>
    <row r="5609" spans="1:21" x14ac:dyDescent="0.25">
      <c r="A5609" t="s">
        <v>80</v>
      </c>
      <c r="B5609" t="s">
        <v>983</v>
      </c>
      <c r="C5609">
        <v>6</v>
      </c>
      <c r="D5609" t="s">
        <v>15</v>
      </c>
      <c r="E5609" t="s">
        <v>95</v>
      </c>
      <c r="F5609" t="s">
        <v>105</v>
      </c>
      <c r="G5609" t="s">
        <v>121</v>
      </c>
      <c r="H5609" t="s">
        <v>103</v>
      </c>
      <c r="J5609">
        <v>0</v>
      </c>
      <c r="K5609">
        <v>9</v>
      </c>
      <c r="L5609">
        <v>67.5</v>
      </c>
      <c r="M5609">
        <v>47.937235809999997</v>
      </c>
      <c r="N5609">
        <v>0.41599678000000001</v>
      </c>
      <c r="O5609">
        <v>2.0950346999999998</v>
      </c>
      <c r="P5609">
        <v>98.291666669999998</v>
      </c>
      <c r="Q5609">
        <v>30.315130790000001</v>
      </c>
      <c r="R5609">
        <v>5.0803484000000003E-2</v>
      </c>
      <c r="S5609">
        <v>0.42866070000000001</v>
      </c>
      <c r="T5609" t="s">
        <v>1041</v>
      </c>
      <c r="U5609">
        <v>1.6663739999999998</v>
      </c>
    </row>
    <row r="5610" spans="1:21" x14ac:dyDescent="0.25">
      <c r="A5610" t="s">
        <v>80</v>
      </c>
      <c r="B5610" t="s">
        <v>983</v>
      </c>
      <c r="C5610">
        <v>6</v>
      </c>
      <c r="D5610" t="s">
        <v>15</v>
      </c>
      <c r="E5610" t="s">
        <v>95</v>
      </c>
      <c r="F5610" t="s">
        <v>105</v>
      </c>
      <c r="G5610" t="s">
        <v>121</v>
      </c>
      <c r="H5610" t="s">
        <v>103</v>
      </c>
      <c r="J5610">
        <v>0</v>
      </c>
      <c r="K5610">
        <v>9</v>
      </c>
      <c r="L5610">
        <v>67.5</v>
      </c>
      <c r="M5610">
        <v>47.937235809999997</v>
      </c>
      <c r="N5610">
        <v>0.41599678000000001</v>
      </c>
      <c r="O5610">
        <v>2.0950346999999998</v>
      </c>
      <c r="P5610">
        <v>98.291666669999998</v>
      </c>
      <c r="Q5610">
        <v>30.315130790000001</v>
      </c>
      <c r="R5610">
        <v>5.0803484000000003E-2</v>
      </c>
      <c r="S5610">
        <v>0.42866070000000001</v>
      </c>
      <c r="T5610" t="s">
        <v>1041</v>
      </c>
      <c r="U5610">
        <v>1.6663739999999998</v>
      </c>
    </row>
    <row r="5611" spans="1:21" x14ac:dyDescent="0.25">
      <c r="A5611" t="s">
        <v>80</v>
      </c>
      <c r="B5611" t="s">
        <v>984</v>
      </c>
      <c r="C5611">
        <v>6</v>
      </c>
      <c r="D5611" t="s">
        <v>15</v>
      </c>
      <c r="E5611" t="s">
        <v>95</v>
      </c>
      <c r="F5611" t="s">
        <v>113</v>
      </c>
      <c r="G5611" t="s">
        <v>113</v>
      </c>
      <c r="H5611" t="s">
        <v>113</v>
      </c>
      <c r="J5611">
        <v>0</v>
      </c>
      <c r="K5611">
        <v>6</v>
      </c>
      <c r="L5611">
        <v>83.757575759999995</v>
      </c>
      <c r="M5611">
        <v>22.60997987</v>
      </c>
      <c r="N5611">
        <v>0.72884000000000004</v>
      </c>
      <c r="O5611">
        <v>0.21301339999999999</v>
      </c>
      <c r="P5611">
        <v>83.757575759999995</v>
      </c>
      <c r="Q5611">
        <v>22.60997987</v>
      </c>
      <c r="R5611">
        <v>0.72884000000000004</v>
      </c>
      <c r="S5611">
        <v>0.21301339999999999</v>
      </c>
      <c r="T5611" t="s">
        <v>1041</v>
      </c>
      <c r="U5611">
        <v>0</v>
      </c>
    </row>
    <row r="5612" spans="1:21" x14ac:dyDescent="0.25">
      <c r="A5612" t="s">
        <v>80</v>
      </c>
      <c r="B5612" t="s">
        <v>984</v>
      </c>
      <c r="C5612">
        <v>6</v>
      </c>
      <c r="D5612" t="s">
        <v>15</v>
      </c>
      <c r="E5612" t="s">
        <v>95</v>
      </c>
      <c r="F5612" t="s">
        <v>113</v>
      </c>
      <c r="G5612" t="s">
        <v>113</v>
      </c>
      <c r="H5612" t="s">
        <v>113</v>
      </c>
      <c r="J5612">
        <v>0</v>
      </c>
      <c r="K5612">
        <v>6</v>
      </c>
      <c r="L5612">
        <v>83.757575759999995</v>
      </c>
      <c r="M5612">
        <v>22.60997987</v>
      </c>
      <c r="N5612">
        <v>0.72884000000000004</v>
      </c>
      <c r="O5612">
        <v>0.21301339999999999</v>
      </c>
      <c r="P5612">
        <v>83.757575759999995</v>
      </c>
      <c r="Q5612">
        <v>22.60997987</v>
      </c>
      <c r="R5612">
        <v>0.72884000000000004</v>
      </c>
      <c r="S5612">
        <v>0.21301339999999999</v>
      </c>
      <c r="T5612" t="s">
        <v>1041</v>
      </c>
      <c r="U5612">
        <v>0</v>
      </c>
    </row>
    <row r="5613" spans="1:21" x14ac:dyDescent="0.25">
      <c r="A5613" t="s">
        <v>80</v>
      </c>
      <c r="B5613" t="s">
        <v>984</v>
      </c>
      <c r="C5613">
        <v>6</v>
      </c>
      <c r="D5613" t="s">
        <v>15</v>
      </c>
      <c r="E5613" t="s">
        <v>95</v>
      </c>
      <c r="F5613" t="s">
        <v>113</v>
      </c>
      <c r="G5613" t="s">
        <v>113</v>
      </c>
      <c r="H5613" t="s">
        <v>113</v>
      </c>
      <c r="J5613">
        <v>0</v>
      </c>
      <c r="K5613">
        <v>6</v>
      </c>
      <c r="L5613">
        <v>83.757575759999995</v>
      </c>
      <c r="M5613">
        <v>22.60997987</v>
      </c>
      <c r="N5613">
        <v>0.72884000000000004</v>
      </c>
      <c r="O5613">
        <v>0.21301339999999999</v>
      </c>
      <c r="P5613">
        <v>83.757575759999995</v>
      </c>
      <c r="Q5613">
        <v>22.60997987</v>
      </c>
      <c r="R5613">
        <v>0.72884000000000004</v>
      </c>
      <c r="S5613">
        <v>0.21301339999999999</v>
      </c>
      <c r="T5613" t="s">
        <v>1041</v>
      </c>
      <c r="U5613">
        <v>0</v>
      </c>
    </row>
    <row r="5614" spans="1:21" x14ac:dyDescent="0.25">
      <c r="A5614" t="s">
        <v>80</v>
      </c>
      <c r="B5614" t="s">
        <v>984</v>
      </c>
      <c r="C5614">
        <v>6</v>
      </c>
      <c r="D5614" t="s">
        <v>15</v>
      </c>
      <c r="E5614" t="s">
        <v>95</v>
      </c>
      <c r="F5614" t="s">
        <v>113</v>
      </c>
      <c r="G5614" t="s">
        <v>113</v>
      </c>
      <c r="H5614" t="s">
        <v>113</v>
      </c>
      <c r="J5614">
        <v>0</v>
      </c>
      <c r="K5614">
        <v>6</v>
      </c>
      <c r="L5614">
        <v>83.757575759999995</v>
      </c>
      <c r="M5614">
        <v>22.60997987</v>
      </c>
      <c r="N5614">
        <v>0.72884000000000004</v>
      </c>
      <c r="O5614">
        <v>0.21301339999999999</v>
      </c>
      <c r="P5614">
        <v>83.757575759999995</v>
      </c>
      <c r="Q5614">
        <v>22.60997987</v>
      </c>
      <c r="R5614">
        <v>0.72884000000000004</v>
      </c>
      <c r="S5614">
        <v>0.21301339999999999</v>
      </c>
      <c r="T5614" t="s">
        <v>1041</v>
      </c>
      <c r="U5614">
        <v>0</v>
      </c>
    </row>
    <row r="5615" spans="1:21" x14ac:dyDescent="0.25">
      <c r="A5615" t="s">
        <v>80</v>
      </c>
      <c r="B5615" t="s">
        <v>984</v>
      </c>
      <c r="C5615">
        <v>6</v>
      </c>
      <c r="D5615" t="s">
        <v>15</v>
      </c>
      <c r="E5615" t="s">
        <v>95</v>
      </c>
      <c r="F5615" t="s">
        <v>113</v>
      </c>
      <c r="G5615" t="s">
        <v>113</v>
      </c>
      <c r="H5615" t="s">
        <v>113</v>
      </c>
      <c r="J5615">
        <v>0</v>
      </c>
      <c r="K5615">
        <v>6</v>
      </c>
      <c r="L5615">
        <v>83.757575759999995</v>
      </c>
      <c r="M5615">
        <v>22.60997987</v>
      </c>
      <c r="N5615">
        <v>0.72884000000000004</v>
      </c>
      <c r="O5615">
        <v>0.21301339999999999</v>
      </c>
      <c r="P5615">
        <v>83.757575759999995</v>
      </c>
      <c r="Q5615">
        <v>22.60997987</v>
      </c>
      <c r="R5615">
        <v>0.72884000000000004</v>
      </c>
      <c r="S5615">
        <v>0.21301339999999999</v>
      </c>
      <c r="T5615" t="s">
        <v>1041</v>
      </c>
      <c r="U5615">
        <v>0</v>
      </c>
    </row>
    <row r="5616" spans="1:21" x14ac:dyDescent="0.25">
      <c r="A5616" t="s">
        <v>80</v>
      </c>
      <c r="B5616" t="s">
        <v>984</v>
      </c>
      <c r="C5616">
        <v>6</v>
      </c>
      <c r="D5616" t="s">
        <v>15</v>
      </c>
      <c r="E5616" t="s">
        <v>95</v>
      </c>
      <c r="F5616" t="s">
        <v>113</v>
      </c>
      <c r="G5616" t="s">
        <v>113</v>
      </c>
      <c r="H5616" t="s">
        <v>113</v>
      </c>
      <c r="J5616">
        <v>0</v>
      </c>
      <c r="K5616">
        <v>6</v>
      </c>
      <c r="L5616">
        <v>83.757575759999995</v>
      </c>
      <c r="M5616">
        <v>22.60997987</v>
      </c>
      <c r="N5616">
        <v>0.72884000000000004</v>
      </c>
      <c r="O5616">
        <v>0.21301339999999999</v>
      </c>
      <c r="P5616">
        <v>83.757575759999995</v>
      </c>
      <c r="Q5616">
        <v>22.60997987</v>
      </c>
      <c r="R5616">
        <v>0.72884000000000004</v>
      </c>
      <c r="S5616">
        <v>0.21301339999999999</v>
      </c>
      <c r="T5616" t="s">
        <v>1041</v>
      </c>
      <c r="U5616">
        <v>0</v>
      </c>
    </row>
    <row r="5617" spans="1:21" x14ac:dyDescent="0.25">
      <c r="A5617" t="s">
        <v>80</v>
      </c>
      <c r="B5617" t="s">
        <v>985</v>
      </c>
      <c r="C5617">
        <v>6</v>
      </c>
      <c r="D5617" t="s">
        <v>15</v>
      </c>
      <c r="E5617" t="s">
        <v>95</v>
      </c>
      <c r="F5617" t="s">
        <v>103</v>
      </c>
      <c r="G5617" t="s">
        <v>113</v>
      </c>
      <c r="H5617" t="s">
        <v>113</v>
      </c>
      <c r="J5617">
        <v>0</v>
      </c>
      <c r="K5617">
        <v>1</v>
      </c>
      <c r="L5617">
        <v>98.291666669999998</v>
      </c>
      <c r="M5617">
        <v>30.315130790000001</v>
      </c>
      <c r="N5617">
        <v>5.0803484000000003E-2</v>
      </c>
      <c r="O5617">
        <v>0.42866070000000001</v>
      </c>
      <c r="P5617">
        <v>83.757575759999995</v>
      </c>
      <c r="Q5617">
        <v>22.60997987</v>
      </c>
      <c r="R5617">
        <v>0.72884000000000004</v>
      </c>
      <c r="S5617">
        <v>0.21301339999999999</v>
      </c>
      <c r="T5617" t="s">
        <v>1041</v>
      </c>
      <c r="U5617">
        <v>0.21564730000000001</v>
      </c>
    </row>
    <row r="5618" spans="1:21" x14ac:dyDescent="0.25">
      <c r="A5618" t="s">
        <v>80</v>
      </c>
      <c r="B5618" t="s">
        <v>985</v>
      </c>
      <c r="C5618">
        <v>6</v>
      </c>
      <c r="D5618" t="s">
        <v>15</v>
      </c>
      <c r="E5618" t="s">
        <v>95</v>
      </c>
      <c r="F5618" t="s">
        <v>103</v>
      </c>
      <c r="G5618" t="s">
        <v>113</v>
      </c>
      <c r="H5618" t="s">
        <v>103</v>
      </c>
      <c r="J5618">
        <v>0</v>
      </c>
      <c r="K5618">
        <v>2</v>
      </c>
      <c r="L5618">
        <v>98.291666669999998</v>
      </c>
      <c r="M5618">
        <v>30.315130790000001</v>
      </c>
      <c r="N5618">
        <v>5.0803484000000003E-2</v>
      </c>
      <c r="O5618">
        <v>0.42866070000000001</v>
      </c>
      <c r="P5618">
        <v>98.291666669999998</v>
      </c>
      <c r="Q5618">
        <v>30.315130790000001</v>
      </c>
      <c r="R5618">
        <v>5.0803484000000003E-2</v>
      </c>
      <c r="S5618">
        <v>0.42866070000000001</v>
      </c>
      <c r="T5618" t="s">
        <v>1041</v>
      </c>
      <c r="U5618">
        <v>0</v>
      </c>
    </row>
    <row r="5619" spans="1:21" x14ac:dyDescent="0.25">
      <c r="A5619" t="s">
        <v>80</v>
      </c>
      <c r="B5619" t="s">
        <v>985</v>
      </c>
      <c r="C5619">
        <v>6</v>
      </c>
      <c r="D5619" t="s">
        <v>15</v>
      </c>
      <c r="E5619" t="s">
        <v>95</v>
      </c>
      <c r="F5619" t="s">
        <v>103</v>
      </c>
      <c r="G5619" t="s">
        <v>113</v>
      </c>
      <c r="H5619" t="s">
        <v>103</v>
      </c>
      <c r="J5619">
        <v>0</v>
      </c>
      <c r="K5619">
        <v>2</v>
      </c>
      <c r="L5619">
        <v>98.291666669999998</v>
      </c>
      <c r="M5619">
        <v>30.315130790000001</v>
      </c>
      <c r="N5619">
        <v>5.0803484000000003E-2</v>
      </c>
      <c r="O5619">
        <v>0.42866070000000001</v>
      </c>
      <c r="P5619">
        <v>98.291666669999998</v>
      </c>
      <c r="Q5619">
        <v>30.315130790000001</v>
      </c>
      <c r="R5619">
        <v>5.0803484000000003E-2</v>
      </c>
      <c r="S5619">
        <v>0.42866070000000001</v>
      </c>
      <c r="T5619" t="s">
        <v>1041</v>
      </c>
      <c r="U5619">
        <v>0</v>
      </c>
    </row>
    <row r="5620" spans="1:21" x14ac:dyDescent="0.25">
      <c r="A5620" t="s">
        <v>81</v>
      </c>
      <c r="B5620" t="s">
        <v>986</v>
      </c>
      <c r="C5620">
        <v>6</v>
      </c>
      <c r="D5620" t="s">
        <v>17</v>
      </c>
      <c r="E5620" t="s">
        <v>94</v>
      </c>
      <c r="F5620" t="s">
        <v>105</v>
      </c>
      <c r="G5620" t="s">
        <v>113</v>
      </c>
      <c r="H5620" t="s">
        <v>113</v>
      </c>
      <c r="J5620">
        <v>0</v>
      </c>
      <c r="K5620">
        <v>6</v>
      </c>
      <c r="L5620">
        <v>67.5</v>
      </c>
      <c r="M5620">
        <v>47.937235809999997</v>
      </c>
      <c r="N5620">
        <v>0.41599678000000001</v>
      </c>
      <c r="O5620">
        <v>2.0950346999999998</v>
      </c>
      <c r="P5620">
        <v>83.757575759999995</v>
      </c>
      <c r="Q5620">
        <v>22.60997987</v>
      </c>
      <c r="R5620">
        <v>0.72884000000000004</v>
      </c>
      <c r="S5620">
        <v>0.21301339999999999</v>
      </c>
      <c r="T5620" t="s">
        <v>1041</v>
      </c>
      <c r="U5620">
        <v>1.8820212999999999</v>
      </c>
    </row>
    <row r="5621" spans="1:21" x14ac:dyDescent="0.25">
      <c r="A5621" t="s">
        <v>81</v>
      </c>
      <c r="B5621" t="s">
        <v>986</v>
      </c>
      <c r="C5621">
        <v>6</v>
      </c>
      <c r="D5621" t="s">
        <v>17</v>
      </c>
      <c r="E5621" t="s">
        <v>94</v>
      </c>
      <c r="F5621" t="s">
        <v>105</v>
      </c>
      <c r="G5621" t="s">
        <v>113</v>
      </c>
      <c r="H5621" t="s">
        <v>113</v>
      </c>
      <c r="J5621">
        <v>0</v>
      </c>
      <c r="K5621">
        <v>6</v>
      </c>
      <c r="L5621">
        <v>67.5</v>
      </c>
      <c r="M5621">
        <v>47.937235809999997</v>
      </c>
      <c r="N5621">
        <v>0.41599678000000001</v>
      </c>
      <c r="O5621">
        <v>2.0950346999999998</v>
      </c>
      <c r="P5621">
        <v>83.757575759999995</v>
      </c>
      <c r="Q5621">
        <v>22.60997987</v>
      </c>
      <c r="R5621">
        <v>0.72884000000000004</v>
      </c>
      <c r="S5621">
        <v>0.21301339999999999</v>
      </c>
      <c r="T5621" t="s">
        <v>1041</v>
      </c>
      <c r="U5621">
        <v>1.8820212999999999</v>
      </c>
    </row>
    <row r="5622" spans="1:21" x14ac:dyDescent="0.25">
      <c r="A5622" t="s">
        <v>81</v>
      </c>
      <c r="B5622" t="s">
        <v>986</v>
      </c>
      <c r="C5622">
        <v>6</v>
      </c>
      <c r="D5622" t="s">
        <v>17</v>
      </c>
      <c r="E5622" t="s">
        <v>94</v>
      </c>
      <c r="F5622" t="s">
        <v>105</v>
      </c>
      <c r="G5622" t="s">
        <v>113</v>
      </c>
      <c r="H5622" t="s">
        <v>113</v>
      </c>
      <c r="J5622">
        <v>0</v>
      </c>
      <c r="K5622">
        <v>6</v>
      </c>
      <c r="L5622">
        <v>67.5</v>
      </c>
      <c r="M5622">
        <v>47.937235809999997</v>
      </c>
      <c r="N5622">
        <v>0.41599678000000001</v>
      </c>
      <c r="O5622">
        <v>2.0950346999999998</v>
      </c>
      <c r="P5622">
        <v>83.757575759999995</v>
      </c>
      <c r="Q5622">
        <v>22.60997987</v>
      </c>
      <c r="R5622">
        <v>0.72884000000000004</v>
      </c>
      <c r="S5622">
        <v>0.21301339999999999</v>
      </c>
      <c r="T5622" t="s">
        <v>1041</v>
      </c>
      <c r="U5622">
        <v>1.8820212999999999</v>
      </c>
    </row>
    <row r="5623" spans="1:21" x14ac:dyDescent="0.25">
      <c r="A5623" t="s">
        <v>81</v>
      </c>
      <c r="B5623" t="s">
        <v>986</v>
      </c>
      <c r="C5623">
        <v>6</v>
      </c>
      <c r="D5623" t="s">
        <v>17</v>
      </c>
      <c r="E5623" t="s">
        <v>94</v>
      </c>
      <c r="F5623" t="s">
        <v>105</v>
      </c>
      <c r="G5623" t="s">
        <v>113</v>
      </c>
      <c r="H5623" t="s">
        <v>113</v>
      </c>
      <c r="J5623">
        <v>0</v>
      </c>
      <c r="K5623">
        <v>6</v>
      </c>
      <c r="L5623">
        <v>67.5</v>
      </c>
      <c r="M5623">
        <v>47.937235809999997</v>
      </c>
      <c r="N5623">
        <v>0.41599678000000001</v>
      </c>
      <c r="O5623">
        <v>2.0950346999999998</v>
      </c>
      <c r="P5623">
        <v>83.757575759999995</v>
      </c>
      <c r="Q5623">
        <v>22.60997987</v>
      </c>
      <c r="R5623">
        <v>0.72884000000000004</v>
      </c>
      <c r="S5623">
        <v>0.21301339999999999</v>
      </c>
      <c r="T5623" t="s">
        <v>1041</v>
      </c>
      <c r="U5623">
        <v>1.8820212999999999</v>
      </c>
    </row>
    <row r="5624" spans="1:21" x14ac:dyDescent="0.25">
      <c r="A5624" t="s">
        <v>81</v>
      </c>
      <c r="B5624" t="s">
        <v>986</v>
      </c>
      <c r="C5624">
        <v>6</v>
      </c>
      <c r="D5624" t="s">
        <v>17</v>
      </c>
      <c r="E5624" t="s">
        <v>94</v>
      </c>
      <c r="F5624" t="s">
        <v>105</v>
      </c>
      <c r="G5624" t="s">
        <v>113</v>
      </c>
      <c r="H5624" t="s">
        <v>113</v>
      </c>
      <c r="J5624">
        <v>0</v>
      </c>
      <c r="K5624">
        <v>6</v>
      </c>
      <c r="L5624">
        <v>67.5</v>
      </c>
      <c r="M5624">
        <v>47.937235809999997</v>
      </c>
      <c r="N5624">
        <v>0.41599678000000001</v>
      </c>
      <c r="O5624">
        <v>2.0950346999999998</v>
      </c>
      <c r="P5624">
        <v>83.757575759999995</v>
      </c>
      <c r="Q5624">
        <v>22.60997987</v>
      </c>
      <c r="R5624">
        <v>0.72884000000000004</v>
      </c>
      <c r="S5624">
        <v>0.21301339999999999</v>
      </c>
      <c r="T5624" t="s">
        <v>1041</v>
      </c>
      <c r="U5624">
        <v>1.8820212999999999</v>
      </c>
    </row>
    <row r="5625" spans="1:21" x14ac:dyDescent="0.25">
      <c r="A5625" t="s">
        <v>81</v>
      </c>
      <c r="B5625" t="s">
        <v>986</v>
      </c>
      <c r="C5625">
        <v>6</v>
      </c>
      <c r="D5625" t="s">
        <v>17</v>
      </c>
      <c r="E5625" t="s">
        <v>94</v>
      </c>
      <c r="F5625" t="s">
        <v>105</v>
      </c>
      <c r="G5625" t="s">
        <v>113</v>
      </c>
      <c r="H5625" t="s">
        <v>113</v>
      </c>
      <c r="J5625">
        <v>0</v>
      </c>
      <c r="K5625">
        <v>6</v>
      </c>
      <c r="L5625">
        <v>67.5</v>
      </c>
      <c r="M5625">
        <v>47.937235809999997</v>
      </c>
      <c r="N5625">
        <v>0.41599678000000001</v>
      </c>
      <c r="O5625">
        <v>2.0950346999999998</v>
      </c>
      <c r="P5625">
        <v>83.757575759999995</v>
      </c>
      <c r="Q5625">
        <v>22.60997987</v>
      </c>
      <c r="R5625">
        <v>0.72884000000000004</v>
      </c>
      <c r="S5625">
        <v>0.21301339999999999</v>
      </c>
      <c r="T5625" t="s">
        <v>1041</v>
      </c>
      <c r="U5625">
        <v>1.8820212999999999</v>
      </c>
    </row>
    <row r="5626" spans="1:21" x14ac:dyDescent="0.25">
      <c r="A5626" t="s">
        <v>81</v>
      </c>
      <c r="B5626" t="s">
        <v>987</v>
      </c>
      <c r="C5626">
        <v>6</v>
      </c>
      <c r="D5626" t="s">
        <v>17</v>
      </c>
      <c r="E5626" t="s">
        <v>94</v>
      </c>
      <c r="F5626" t="s">
        <v>113</v>
      </c>
      <c r="G5626" t="s">
        <v>113</v>
      </c>
      <c r="H5626" t="s">
        <v>113</v>
      </c>
      <c r="J5626">
        <v>0</v>
      </c>
      <c r="K5626">
        <v>6</v>
      </c>
      <c r="L5626">
        <v>83.757575759999995</v>
      </c>
      <c r="M5626">
        <v>22.60997987</v>
      </c>
      <c r="N5626">
        <v>0.72884000000000004</v>
      </c>
      <c r="O5626">
        <v>0.21301339999999999</v>
      </c>
      <c r="P5626">
        <v>83.757575759999995</v>
      </c>
      <c r="Q5626">
        <v>22.60997987</v>
      </c>
      <c r="R5626">
        <v>0.72884000000000004</v>
      </c>
      <c r="S5626">
        <v>0.21301339999999999</v>
      </c>
      <c r="T5626" t="s">
        <v>1041</v>
      </c>
      <c r="U5626">
        <v>0</v>
      </c>
    </row>
    <row r="5627" spans="1:21" x14ac:dyDescent="0.25">
      <c r="A5627" t="s">
        <v>81</v>
      </c>
      <c r="B5627" t="s">
        <v>987</v>
      </c>
      <c r="C5627">
        <v>6</v>
      </c>
      <c r="D5627" t="s">
        <v>17</v>
      </c>
      <c r="E5627" t="s">
        <v>94</v>
      </c>
      <c r="F5627" t="s">
        <v>113</v>
      </c>
      <c r="G5627" t="s">
        <v>113</v>
      </c>
      <c r="H5627" t="s">
        <v>113</v>
      </c>
      <c r="J5627">
        <v>0</v>
      </c>
      <c r="K5627">
        <v>6</v>
      </c>
      <c r="L5627">
        <v>83.757575759999995</v>
      </c>
      <c r="M5627">
        <v>22.60997987</v>
      </c>
      <c r="N5627">
        <v>0.72884000000000004</v>
      </c>
      <c r="O5627">
        <v>0.21301339999999999</v>
      </c>
      <c r="P5627">
        <v>83.757575759999995</v>
      </c>
      <c r="Q5627">
        <v>22.60997987</v>
      </c>
      <c r="R5627">
        <v>0.72884000000000004</v>
      </c>
      <c r="S5627">
        <v>0.21301339999999999</v>
      </c>
      <c r="T5627" t="s">
        <v>1041</v>
      </c>
      <c r="U5627">
        <v>0</v>
      </c>
    </row>
    <row r="5628" spans="1:21" x14ac:dyDescent="0.25">
      <c r="A5628" t="s">
        <v>81</v>
      </c>
      <c r="B5628" t="s">
        <v>987</v>
      </c>
      <c r="C5628">
        <v>6</v>
      </c>
      <c r="D5628" t="s">
        <v>17</v>
      </c>
      <c r="E5628" t="s">
        <v>94</v>
      </c>
      <c r="F5628" t="s">
        <v>113</v>
      </c>
      <c r="G5628" t="s">
        <v>113</v>
      </c>
      <c r="H5628" t="s">
        <v>113</v>
      </c>
      <c r="J5628">
        <v>0</v>
      </c>
      <c r="K5628">
        <v>6</v>
      </c>
      <c r="L5628">
        <v>83.757575759999995</v>
      </c>
      <c r="M5628">
        <v>22.60997987</v>
      </c>
      <c r="N5628">
        <v>0.72884000000000004</v>
      </c>
      <c r="O5628">
        <v>0.21301339999999999</v>
      </c>
      <c r="P5628">
        <v>83.757575759999995</v>
      </c>
      <c r="Q5628">
        <v>22.60997987</v>
      </c>
      <c r="R5628">
        <v>0.72884000000000004</v>
      </c>
      <c r="S5628">
        <v>0.21301339999999999</v>
      </c>
      <c r="T5628" t="s">
        <v>1041</v>
      </c>
      <c r="U5628">
        <v>0</v>
      </c>
    </row>
    <row r="5629" spans="1:21" x14ac:dyDescent="0.25">
      <c r="A5629" t="s">
        <v>81</v>
      </c>
      <c r="B5629" t="s">
        <v>987</v>
      </c>
      <c r="C5629">
        <v>6</v>
      </c>
      <c r="D5629" t="s">
        <v>17</v>
      </c>
      <c r="E5629" t="s">
        <v>94</v>
      </c>
      <c r="F5629" t="s">
        <v>113</v>
      </c>
      <c r="G5629" t="s">
        <v>113</v>
      </c>
      <c r="H5629" t="s">
        <v>113</v>
      </c>
      <c r="J5629">
        <v>0</v>
      </c>
      <c r="K5629">
        <v>6</v>
      </c>
      <c r="L5629">
        <v>83.757575759999995</v>
      </c>
      <c r="M5629">
        <v>22.60997987</v>
      </c>
      <c r="N5629">
        <v>0.72884000000000004</v>
      </c>
      <c r="O5629">
        <v>0.21301339999999999</v>
      </c>
      <c r="P5629">
        <v>83.757575759999995</v>
      </c>
      <c r="Q5629">
        <v>22.60997987</v>
      </c>
      <c r="R5629">
        <v>0.72884000000000004</v>
      </c>
      <c r="S5629">
        <v>0.21301339999999999</v>
      </c>
      <c r="T5629" t="s">
        <v>1041</v>
      </c>
      <c r="U5629">
        <v>0</v>
      </c>
    </row>
    <row r="5630" spans="1:21" x14ac:dyDescent="0.25">
      <c r="A5630" t="s">
        <v>81</v>
      </c>
      <c r="B5630" t="s">
        <v>987</v>
      </c>
      <c r="C5630">
        <v>6</v>
      </c>
      <c r="D5630" t="s">
        <v>17</v>
      </c>
      <c r="E5630" t="s">
        <v>94</v>
      </c>
      <c r="F5630" t="s">
        <v>113</v>
      </c>
      <c r="G5630" t="s">
        <v>113</v>
      </c>
      <c r="H5630" t="s">
        <v>113</v>
      </c>
      <c r="J5630">
        <v>0</v>
      </c>
      <c r="K5630">
        <v>6</v>
      </c>
      <c r="L5630">
        <v>83.757575759999995</v>
      </c>
      <c r="M5630">
        <v>22.60997987</v>
      </c>
      <c r="N5630">
        <v>0.72884000000000004</v>
      </c>
      <c r="O5630">
        <v>0.21301339999999999</v>
      </c>
      <c r="P5630">
        <v>83.757575759999995</v>
      </c>
      <c r="Q5630">
        <v>22.60997987</v>
      </c>
      <c r="R5630">
        <v>0.72884000000000004</v>
      </c>
      <c r="S5630">
        <v>0.21301339999999999</v>
      </c>
      <c r="T5630" t="s">
        <v>1041</v>
      </c>
      <c r="U5630">
        <v>0</v>
      </c>
    </row>
    <row r="5631" spans="1:21" x14ac:dyDescent="0.25">
      <c r="A5631" t="s">
        <v>81</v>
      </c>
      <c r="B5631" t="s">
        <v>987</v>
      </c>
      <c r="C5631">
        <v>6</v>
      </c>
      <c r="D5631" t="s">
        <v>17</v>
      </c>
      <c r="E5631" t="s">
        <v>94</v>
      </c>
      <c r="F5631" t="s">
        <v>113</v>
      </c>
      <c r="G5631" t="s">
        <v>113</v>
      </c>
      <c r="H5631" t="s">
        <v>113</v>
      </c>
      <c r="J5631">
        <v>0</v>
      </c>
      <c r="K5631">
        <v>6</v>
      </c>
      <c r="L5631">
        <v>83.757575759999995</v>
      </c>
      <c r="M5631">
        <v>22.60997987</v>
      </c>
      <c r="N5631">
        <v>0.72884000000000004</v>
      </c>
      <c r="O5631">
        <v>0.21301339999999999</v>
      </c>
      <c r="P5631">
        <v>83.757575759999995</v>
      </c>
      <c r="Q5631">
        <v>22.60997987</v>
      </c>
      <c r="R5631">
        <v>0.72884000000000004</v>
      </c>
      <c r="S5631">
        <v>0.21301339999999999</v>
      </c>
      <c r="T5631" t="s">
        <v>1041</v>
      </c>
      <c r="U5631">
        <v>0</v>
      </c>
    </row>
    <row r="5632" spans="1:21" x14ac:dyDescent="0.25">
      <c r="A5632" t="s">
        <v>81</v>
      </c>
      <c r="B5632" t="s">
        <v>988</v>
      </c>
      <c r="C5632">
        <v>6</v>
      </c>
      <c r="D5632" t="s">
        <v>17</v>
      </c>
      <c r="E5632" t="s">
        <v>94</v>
      </c>
      <c r="F5632" t="s">
        <v>103</v>
      </c>
      <c r="G5632" t="s">
        <v>113</v>
      </c>
      <c r="H5632" t="s">
        <v>113</v>
      </c>
      <c r="J5632">
        <v>0</v>
      </c>
      <c r="K5632">
        <v>5</v>
      </c>
      <c r="L5632">
        <v>98.291666669999998</v>
      </c>
      <c r="M5632">
        <v>30.315130790000001</v>
      </c>
      <c r="N5632">
        <v>5.0803484000000003E-2</v>
      </c>
      <c r="O5632">
        <v>0.42866070000000001</v>
      </c>
      <c r="P5632">
        <v>83.757575759999995</v>
      </c>
      <c r="Q5632">
        <v>22.60997987</v>
      </c>
      <c r="R5632">
        <v>0.72884000000000004</v>
      </c>
      <c r="S5632">
        <v>0.21301339999999999</v>
      </c>
      <c r="T5632" t="s">
        <v>1041</v>
      </c>
      <c r="U5632">
        <v>0.21564730000000001</v>
      </c>
    </row>
    <row r="5633" spans="1:21" x14ac:dyDescent="0.25">
      <c r="A5633" t="s">
        <v>81</v>
      </c>
      <c r="B5633" t="s">
        <v>988</v>
      </c>
      <c r="C5633">
        <v>6</v>
      </c>
      <c r="D5633" t="s">
        <v>17</v>
      </c>
      <c r="E5633" t="s">
        <v>94</v>
      </c>
      <c r="F5633" t="s">
        <v>103</v>
      </c>
      <c r="G5633" t="s">
        <v>113</v>
      </c>
      <c r="H5633" t="s">
        <v>113</v>
      </c>
      <c r="J5633">
        <v>0</v>
      </c>
      <c r="K5633">
        <v>5</v>
      </c>
      <c r="L5633">
        <v>98.291666669999998</v>
      </c>
      <c r="M5633">
        <v>30.315130790000001</v>
      </c>
      <c r="N5633">
        <v>5.0803484000000003E-2</v>
      </c>
      <c r="O5633">
        <v>0.42866070000000001</v>
      </c>
      <c r="P5633">
        <v>83.757575759999995</v>
      </c>
      <c r="Q5633">
        <v>22.60997987</v>
      </c>
      <c r="R5633">
        <v>0.72884000000000004</v>
      </c>
      <c r="S5633">
        <v>0.21301339999999999</v>
      </c>
      <c r="T5633" t="s">
        <v>1041</v>
      </c>
      <c r="U5633">
        <v>0.21564730000000001</v>
      </c>
    </row>
    <row r="5634" spans="1:21" x14ac:dyDescent="0.25">
      <c r="A5634" t="s">
        <v>81</v>
      </c>
      <c r="B5634" t="s">
        <v>988</v>
      </c>
      <c r="C5634">
        <v>6</v>
      </c>
      <c r="D5634" t="s">
        <v>17</v>
      </c>
      <c r="E5634" t="s">
        <v>94</v>
      </c>
      <c r="F5634" t="s">
        <v>103</v>
      </c>
      <c r="G5634" t="s">
        <v>113</v>
      </c>
      <c r="H5634" t="s">
        <v>113</v>
      </c>
      <c r="J5634">
        <v>0</v>
      </c>
      <c r="K5634">
        <v>5</v>
      </c>
      <c r="L5634">
        <v>98.291666669999998</v>
      </c>
      <c r="M5634">
        <v>30.315130790000001</v>
      </c>
      <c r="N5634">
        <v>5.0803484000000003E-2</v>
      </c>
      <c r="O5634">
        <v>0.42866070000000001</v>
      </c>
      <c r="P5634">
        <v>83.757575759999995</v>
      </c>
      <c r="Q5634">
        <v>22.60997987</v>
      </c>
      <c r="R5634">
        <v>0.72884000000000004</v>
      </c>
      <c r="S5634">
        <v>0.21301339999999999</v>
      </c>
      <c r="T5634" t="s">
        <v>1041</v>
      </c>
      <c r="U5634">
        <v>0.21564730000000001</v>
      </c>
    </row>
    <row r="5635" spans="1:21" x14ac:dyDescent="0.25">
      <c r="A5635" t="s">
        <v>81</v>
      </c>
      <c r="B5635" t="s">
        <v>988</v>
      </c>
      <c r="C5635">
        <v>6</v>
      </c>
      <c r="D5635" t="s">
        <v>17</v>
      </c>
      <c r="E5635" t="s">
        <v>94</v>
      </c>
      <c r="F5635" t="s">
        <v>103</v>
      </c>
      <c r="G5635" t="s">
        <v>113</v>
      </c>
      <c r="H5635" t="s">
        <v>113</v>
      </c>
      <c r="J5635">
        <v>0</v>
      </c>
      <c r="K5635">
        <v>5</v>
      </c>
      <c r="L5635">
        <v>98.291666669999998</v>
      </c>
      <c r="M5635">
        <v>30.315130790000001</v>
      </c>
      <c r="N5635">
        <v>5.0803484000000003E-2</v>
      </c>
      <c r="O5635">
        <v>0.42866070000000001</v>
      </c>
      <c r="P5635">
        <v>83.757575759999995</v>
      </c>
      <c r="Q5635">
        <v>22.60997987</v>
      </c>
      <c r="R5635">
        <v>0.72884000000000004</v>
      </c>
      <c r="S5635">
        <v>0.21301339999999999</v>
      </c>
      <c r="T5635" t="s">
        <v>1041</v>
      </c>
      <c r="U5635">
        <v>0.21564730000000001</v>
      </c>
    </row>
    <row r="5636" spans="1:21" x14ac:dyDescent="0.25">
      <c r="A5636" t="s">
        <v>81</v>
      </c>
      <c r="B5636" t="s">
        <v>988</v>
      </c>
      <c r="C5636">
        <v>6</v>
      </c>
      <c r="D5636" t="s">
        <v>17</v>
      </c>
      <c r="E5636" t="s">
        <v>94</v>
      </c>
      <c r="F5636" t="s">
        <v>103</v>
      </c>
      <c r="G5636" t="s">
        <v>113</v>
      </c>
      <c r="H5636" t="s">
        <v>113</v>
      </c>
      <c r="J5636">
        <v>0</v>
      </c>
      <c r="K5636">
        <v>5</v>
      </c>
      <c r="L5636">
        <v>98.291666669999998</v>
      </c>
      <c r="M5636">
        <v>30.315130790000001</v>
      </c>
      <c r="N5636">
        <v>5.0803484000000003E-2</v>
      </c>
      <c r="O5636">
        <v>0.42866070000000001</v>
      </c>
      <c r="P5636">
        <v>83.757575759999995</v>
      </c>
      <c r="Q5636">
        <v>22.60997987</v>
      </c>
      <c r="R5636">
        <v>0.72884000000000004</v>
      </c>
      <c r="S5636">
        <v>0.21301339999999999</v>
      </c>
      <c r="T5636" t="s">
        <v>1041</v>
      </c>
      <c r="U5636">
        <v>0.21564730000000001</v>
      </c>
    </row>
    <row r="5637" spans="1:21" x14ac:dyDescent="0.25">
      <c r="A5637" t="s">
        <v>81</v>
      </c>
      <c r="B5637" t="s">
        <v>988</v>
      </c>
      <c r="C5637">
        <v>6</v>
      </c>
      <c r="D5637" t="s">
        <v>17</v>
      </c>
      <c r="E5637" t="s">
        <v>94</v>
      </c>
      <c r="F5637" t="s">
        <v>103</v>
      </c>
      <c r="G5637" t="s">
        <v>113</v>
      </c>
      <c r="H5637" t="s">
        <v>103</v>
      </c>
      <c r="J5637">
        <v>0</v>
      </c>
      <c r="K5637">
        <v>1</v>
      </c>
      <c r="L5637">
        <v>98.291666669999998</v>
      </c>
      <c r="M5637">
        <v>30.315130790000001</v>
      </c>
      <c r="N5637">
        <v>5.0803484000000003E-2</v>
      </c>
      <c r="O5637">
        <v>0.42866070000000001</v>
      </c>
      <c r="P5637">
        <v>98.291666669999998</v>
      </c>
      <c r="Q5637">
        <v>30.315130790000001</v>
      </c>
      <c r="R5637">
        <v>5.0803484000000003E-2</v>
      </c>
      <c r="S5637">
        <v>0.42866070000000001</v>
      </c>
      <c r="T5637" t="s">
        <v>1041</v>
      </c>
      <c r="U5637">
        <v>0</v>
      </c>
    </row>
    <row r="5638" spans="1:21" x14ac:dyDescent="0.25">
      <c r="A5638" t="s">
        <v>82</v>
      </c>
      <c r="B5638" t="s">
        <v>989</v>
      </c>
      <c r="C5638">
        <v>6</v>
      </c>
      <c r="D5638" t="s">
        <v>19</v>
      </c>
      <c r="E5638" t="s">
        <v>94</v>
      </c>
      <c r="F5638" t="s">
        <v>102</v>
      </c>
      <c r="G5638" t="s">
        <v>102</v>
      </c>
      <c r="H5638" t="s">
        <v>102</v>
      </c>
      <c r="J5638">
        <v>0</v>
      </c>
      <c r="K5638">
        <v>1</v>
      </c>
      <c r="L5638">
        <v>84.740740740000007</v>
      </c>
      <c r="M5638">
        <v>29.167014049999999</v>
      </c>
      <c r="N5638">
        <v>1.1169849999999999</v>
      </c>
      <c r="O5638">
        <v>1.1571499000000001</v>
      </c>
      <c r="P5638">
        <v>84.740740740000007</v>
      </c>
      <c r="Q5638">
        <v>29.167014049999999</v>
      </c>
      <c r="R5638">
        <v>1.1169849999999999</v>
      </c>
      <c r="S5638">
        <v>1.1571499000000001</v>
      </c>
      <c r="T5638" t="s">
        <v>1041</v>
      </c>
      <c r="U5638">
        <v>0</v>
      </c>
    </row>
    <row r="5639" spans="1:21" x14ac:dyDescent="0.25">
      <c r="A5639" t="s">
        <v>82</v>
      </c>
      <c r="B5639" t="s">
        <v>990</v>
      </c>
      <c r="C5639">
        <v>6</v>
      </c>
      <c r="D5639" t="s">
        <v>19</v>
      </c>
      <c r="E5639" t="s">
        <v>94</v>
      </c>
      <c r="F5639" t="s">
        <v>113</v>
      </c>
      <c r="G5639" t="s">
        <v>113</v>
      </c>
      <c r="H5639" t="s">
        <v>113</v>
      </c>
      <c r="J5639">
        <v>0</v>
      </c>
      <c r="K5639">
        <v>4</v>
      </c>
      <c r="L5639">
        <v>83.757575759999995</v>
      </c>
      <c r="M5639">
        <v>22.60997987</v>
      </c>
      <c r="N5639">
        <v>0.72884000000000004</v>
      </c>
      <c r="O5639">
        <v>0.21301339999999999</v>
      </c>
      <c r="P5639">
        <v>83.757575759999995</v>
      </c>
      <c r="Q5639">
        <v>22.60997987</v>
      </c>
      <c r="R5639">
        <v>0.72884000000000004</v>
      </c>
      <c r="S5639">
        <v>0.21301339999999999</v>
      </c>
      <c r="T5639" t="s">
        <v>1041</v>
      </c>
      <c r="U5639">
        <v>0</v>
      </c>
    </row>
    <row r="5640" spans="1:21" x14ac:dyDescent="0.25">
      <c r="A5640" t="s">
        <v>82</v>
      </c>
      <c r="B5640" t="s">
        <v>990</v>
      </c>
      <c r="C5640">
        <v>6</v>
      </c>
      <c r="D5640" t="s">
        <v>19</v>
      </c>
      <c r="E5640" t="s">
        <v>94</v>
      </c>
      <c r="F5640" t="s">
        <v>113</v>
      </c>
      <c r="G5640" t="s">
        <v>113</v>
      </c>
      <c r="H5640" t="s">
        <v>113</v>
      </c>
      <c r="J5640">
        <v>0</v>
      </c>
      <c r="K5640">
        <v>4</v>
      </c>
      <c r="L5640">
        <v>83.757575759999995</v>
      </c>
      <c r="M5640">
        <v>22.60997987</v>
      </c>
      <c r="N5640">
        <v>0.72884000000000004</v>
      </c>
      <c r="O5640">
        <v>0.21301339999999999</v>
      </c>
      <c r="P5640">
        <v>83.757575759999995</v>
      </c>
      <c r="Q5640">
        <v>22.60997987</v>
      </c>
      <c r="R5640">
        <v>0.72884000000000004</v>
      </c>
      <c r="S5640">
        <v>0.21301339999999999</v>
      </c>
      <c r="T5640" t="s">
        <v>1041</v>
      </c>
      <c r="U5640">
        <v>0</v>
      </c>
    </row>
    <row r="5641" spans="1:21" x14ac:dyDescent="0.25">
      <c r="A5641" t="s">
        <v>82</v>
      </c>
      <c r="B5641" t="s">
        <v>990</v>
      </c>
      <c r="C5641">
        <v>6</v>
      </c>
      <c r="D5641" t="s">
        <v>19</v>
      </c>
      <c r="E5641" t="s">
        <v>94</v>
      </c>
      <c r="F5641" t="s">
        <v>113</v>
      </c>
      <c r="G5641" t="s">
        <v>113</v>
      </c>
      <c r="H5641" t="s">
        <v>113</v>
      </c>
      <c r="J5641">
        <v>0</v>
      </c>
      <c r="K5641">
        <v>4</v>
      </c>
      <c r="L5641">
        <v>83.757575759999995</v>
      </c>
      <c r="M5641">
        <v>22.60997987</v>
      </c>
      <c r="N5641">
        <v>0.72884000000000004</v>
      </c>
      <c r="O5641">
        <v>0.21301339999999999</v>
      </c>
      <c r="P5641">
        <v>83.757575759999995</v>
      </c>
      <c r="Q5641">
        <v>22.60997987</v>
      </c>
      <c r="R5641">
        <v>0.72884000000000004</v>
      </c>
      <c r="S5641">
        <v>0.21301339999999999</v>
      </c>
      <c r="T5641" t="s">
        <v>1041</v>
      </c>
      <c r="U5641">
        <v>0</v>
      </c>
    </row>
    <row r="5642" spans="1:21" x14ac:dyDescent="0.25">
      <c r="A5642" t="s">
        <v>82</v>
      </c>
      <c r="B5642" t="s">
        <v>990</v>
      </c>
      <c r="C5642">
        <v>6</v>
      </c>
      <c r="D5642" t="s">
        <v>19</v>
      </c>
      <c r="E5642" t="s">
        <v>94</v>
      </c>
      <c r="F5642" t="s">
        <v>113</v>
      </c>
      <c r="G5642" t="s">
        <v>113</v>
      </c>
      <c r="H5642" t="s">
        <v>113</v>
      </c>
      <c r="J5642">
        <v>0</v>
      </c>
      <c r="K5642">
        <v>4</v>
      </c>
      <c r="L5642">
        <v>83.757575759999995</v>
      </c>
      <c r="M5642">
        <v>22.60997987</v>
      </c>
      <c r="N5642">
        <v>0.72884000000000004</v>
      </c>
      <c r="O5642">
        <v>0.21301339999999999</v>
      </c>
      <c r="P5642">
        <v>83.757575759999995</v>
      </c>
      <c r="Q5642">
        <v>22.60997987</v>
      </c>
      <c r="R5642">
        <v>0.72884000000000004</v>
      </c>
      <c r="S5642">
        <v>0.21301339999999999</v>
      </c>
      <c r="T5642" t="s">
        <v>1041</v>
      </c>
      <c r="U5642">
        <v>0</v>
      </c>
    </row>
    <row r="5643" spans="1:21" x14ac:dyDescent="0.25">
      <c r="A5643" t="s">
        <v>82</v>
      </c>
      <c r="B5643" t="s">
        <v>990</v>
      </c>
      <c r="C5643">
        <v>6</v>
      </c>
      <c r="D5643" t="s">
        <v>19</v>
      </c>
      <c r="E5643" t="s">
        <v>94</v>
      </c>
      <c r="F5643" t="s">
        <v>113</v>
      </c>
      <c r="G5643" t="s">
        <v>113</v>
      </c>
      <c r="H5643" t="s">
        <v>241</v>
      </c>
      <c r="J5643">
        <v>0</v>
      </c>
      <c r="K5643">
        <v>1</v>
      </c>
      <c r="L5643">
        <v>83.757575759999995</v>
      </c>
      <c r="M5643">
        <v>22.60997987</v>
      </c>
      <c r="N5643">
        <v>0.72884000000000004</v>
      </c>
      <c r="O5643">
        <v>0.21301339999999999</v>
      </c>
      <c r="P5643">
        <v>114</v>
      </c>
      <c r="Q5643">
        <v>30.43077242</v>
      </c>
      <c r="R5643">
        <v>0.53383111100000002</v>
      </c>
      <c r="S5643">
        <v>0.28333332999999999</v>
      </c>
      <c r="T5643" t="s">
        <v>1041</v>
      </c>
      <c r="U5643">
        <v>7.0319930000000003E-2</v>
      </c>
    </row>
    <row r="5644" spans="1:21" x14ac:dyDescent="0.25">
      <c r="A5644" t="s">
        <v>82</v>
      </c>
      <c r="B5644" t="s">
        <v>990</v>
      </c>
      <c r="C5644">
        <v>6</v>
      </c>
      <c r="D5644" t="s">
        <v>19</v>
      </c>
      <c r="E5644" t="s">
        <v>94</v>
      </c>
      <c r="F5644" t="s">
        <v>113</v>
      </c>
      <c r="G5644" t="s">
        <v>113</v>
      </c>
      <c r="H5644" t="s">
        <v>808</v>
      </c>
      <c r="J5644">
        <v>0</v>
      </c>
      <c r="K5644">
        <v>1</v>
      </c>
      <c r="L5644">
        <v>83.757575759999995</v>
      </c>
      <c r="M5644">
        <v>22.60997987</v>
      </c>
      <c r="N5644">
        <v>0.72884000000000004</v>
      </c>
      <c r="O5644">
        <v>0.21301339999999999</v>
      </c>
      <c r="P5644">
        <v>102.79166669999999</v>
      </c>
      <c r="Q5644">
        <v>27.057373470000002</v>
      </c>
      <c r="R5644">
        <v>6.3567849939999999</v>
      </c>
      <c r="S5644" t="s">
        <v>114</v>
      </c>
      <c r="T5644" t="s">
        <v>1041</v>
      </c>
      <c r="U5644" t="s">
        <v>114</v>
      </c>
    </row>
    <row r="5645" spans="1:21" x14ac:dyDescent="0.25">
      <c r="A5645" t="s">
        <v>82</v>
      </c>
      <c r="B5645" t="s">
        <v>990</v>
      </c>
      <c r="C5645">
        <v>6</v>
      </c>
      <c r="D5645" t="s">
        <v>19</v>
      </c>
      <c r="E5645" t="s">
        <v>94</v>
      </c>
      <c r="F5645" t="s">
        <v>113</v>
      </c>
      <c r="G5645" t="s">
        <v>113</v>
      </c>
      <c r="H5645" t="s">
        <v>103</v>
      </c>
      <c r="J5645">
        <v>0</v>
      </c>
      <c r="K5645">
        <v>1</v>
      </c>
      <c r="L5645">
        <v>83.757575759999995</v>
      </c>
      <c r="M5645">
        <v>22.60997987</v>
      </c>
      <c r="N5645">
        <v>0.72884000000000004</v>
      </c>
      <c r="O5645">
        <v>0.21301339999999999</v>
      </c>
      <c r="P5645">
        <v>98.291666669999998</v>
      </c>
      <c r="Q5645">
        <v>30.315130790000001</v>
      </c>
      <c r="R5645">
        <v>5.0803484000000003E-2</v>
      </c>
      <c r="S5645">
        <v>0.42866070000000001</v>
      </c>
      <c r="T5645" t="s">
        <v>1041</v>
      </c>
      <c r="U5645">
        <v>0.21564730000000001</v>
      </c>
    </row>
    <row r="5646" spans="1:21" x14ac:dyDescent="0.25">
      <c r="A5646" t="s">
        <v>82</v>
      </c>
      <c r="B5646" t="s">
        <v>991</v>
      </c>
      <c r="C5646">
        <v>6</v>
      </c>
      <c r="D5646" t="s">
        <v>19</v>
      </c>
      <c r="E5646" t="s">
        <v>94</v>
      </c>
      <c r="F5646" t="s">
        <v>104</v>
      </c>
      <c r="G5646" t="s">
        <v>113</v>
      </c>
      <c r="H5646" t="s">
        <v>113</v>
      </c>
      <c r="J5646">
        <v>0</v>
      </c>
      <c r="K5646">
        <v>3</v>
      </c>
      <c r="L5646">
        <v>113.9375</v>
      </c>
      <c r="M5646">
        <v>33.375507550000002</v>
      </c>
      <c r="N5646">
        <v>2.4262999999999999</v>
      </c>
      <c r="O5646">
        <v>0.40692159999999999</v>
      </c>
      <c r="P5646">
        <v>83.757575759999995</v>
      </c>
      <c r="Q5646">
        <v>22.60997987</v>
      </c>
      <c r="R5646">
        <v>0.72884000000000004</v>
      </c>
      <c r="S5646">
        <v>0.21301339999999999</v>
      </c>
      <c r="T5646" t="s">
        <v>1041</v>
      </c>
      <c r="U5646">
        <v>0.1939082</v>
      </c>
    </row>
    <row r="5647" spans="1:21" x14ac:dyDescent="0.25">
      <c r="A5647" t="s">
        <v>82</v>
      </c>
      <c r="B5647" t="s">
        <v>991</v>
      </c>
      <c r="C5647">
        <v>6</v>
      </c>
      <c r="D5647" t="s">
        <v>19</v>
      </c>
      <c r="E5647" t="s">
        <v>94</v>
      </c>
      <c r="F5647" t="s">
        <v>104</v>
      </c>
      <c r="G5647" t="s">
        <v>113</v>
      </c>
      <c r="H5647" t="s">
        <v>113</v>
      </c>
      <c r="J5647">
        <v>0</v>
      </c>
      <c r="K5647">
        <v>3</v>
      </c>
      <c r="L5647">
        <v>113.9375</v>
      </c>
      <c r="M5647">
        <v>33.375507550000002</v>
      </c>
      <c r="N5647">
        <v>2.4262999999999999</v>
      </c>
      <c r="O5647">
        <v>0.40692159999999999</v>
      </c>
      <c r="P5647">
        <v>83.757575759999995</v>
      </c>
      <c r="Q5647">
        <v>22.60997987</v>
      </c>
      <c r="R5647">
        <v>0.72884000000000004</v>
      </c>
      <c r="S5647">
        <v>0.21301339999999999</v>
      </c>
      <c r="T5647" t="s">
        <v>1041</v>
      </c>
      <c r="U5647">
        <v>0.1939082</v>
      </c>
    </row>
    <row r="5648" spans="1:21" x14ac:dyDescent="0.25">
      <c r="A5648" t="s">
        <v>82</v>
      </c>
      <c r="B5648" t="s">
        <v>991</v>
      </c>
      <c r="C5648">
        <v>6</v>
      </c>
      <c r="D5648" t="s">
        <v>19</v>
      </c>
      <c r="E5648" t="s">
        <v>94</v>
      </c>
      <c r="F5648" t="s">
        <v>104</v>
      </c>
      <c r="G5648" t="s">
        <v>113</v>
      </c>
      <c r="H5648" t="s">
        <v>113</v>
      </c>
      <c r="J5648">
        <v>0</v>
      </c>
      <c r="K5648">
        <v>3</v>
      </c>
      <c r="L5648">
        <v>113.9375</v>
      </c>
      <c r="M5648">
        <v>33.375507550000002</v>
      </c>
      <c r="N5648">
        <v>2.4262999999999999</v>
      </c>
      <c r="O5648">
        <v>0.40692159999999999</v>
      </c>
      <c r="P5648">
        <v>83.757575759999995</v>
      </c>
      <c r="Q5648">
        <v>22.60997987</v>
      </c>
      <c r="R5648">
        <v>0.72884000000000004</v>
      </c>
      <c r="S5648">
        <v>0.21301339999999999</v>
      </c>
      <c r="T5648" t="s">
        <v>1041</v>
      </c>
      <c r="U5648">
        <v>0.1939082</v>
      </c>
    </row>
    <row r="5649" spans="1:21" x14ac:dyDescent="0.25">
      <c r="A5649" t="s">
        <v>83</v>
      </c>
      <c r="B5649" t="s">
        <v>992</v>
      </c>
      <c r="C5649">
        <v>6</v>
      </c>
      <c r="D5649" t="s">
        <v>21</v>
      </c>
      <c r="E5649" t="s">
        <v>94</v>
      </c>
      <c r="F5649" t="s">
        <v>102</v>
      </c>
      <c r="G5649" t="s">
        <v>121</v>
      </c>
      <c r="H5649" t="s">
        <v>114</v>
      </c>
      <c r="J5649">
        <v>0</v>
      </c>
      <c r="K5649">
        <v>0</v>
      </c>
      <c r="L5649">
        <v>84.740740740000007</v>
      </c>
      <c r="M5649">
        <v>29.167014049999999</v>
      </c>
      <c r="N5649">
        <v>1.1169849999999999</v>
      </c>
      <c r="O5649">
        <v>1.1571499000000001</v>
      </c>
      <c r="P5649" t="s">
        <v>114</v>
      </c>
      <c r="Q5649" t="s">
        <v>114</v>
      </c>
      <c r="R5649" t="s">
        <v>114</v>
      </c>
      <c r="S5649" t="s">
        <v>114</v>
      </c>
      <c r="T5649" t="s">
        <v>1041</v>
      </c>
      <c r="U5649" t="s">
        <v>114</v>
      </c>
    </row>
    <row r="5650" spans="1:21" x14ac:dyDescent="0.25">
      <c r="A5650" t="s">
        <v>83</v>
      </c>
      <c r="B5650" t="s">
        <v>993</v>
      </c>
      <c r="C5650">
        <v>6</v>
      </c>
      <c r="D5650" t="s">
        <v>21</v>
      </c>
      <c r="E5650" t="s">
        <v>94</v>
      </c>
      <c r="F5650" t="s">
        <v>103</v>
      </c>
      <c r="G5650" t="s">
        <v>103</v>
      </c>
      <c r="H5650" t="s">
        <v>103</v>
      </c>
      <c r="J5650">
        <v>0</v>
      </c>
      <c r="K5650">
        <v>2</v>
      </c>
      <c r="L5650">
        <v>98.291666669999998</v>
      </c>
      <c r="M5650">
        <v>30.315130790000001</v>
      </c>
      <c r="N5650">
        <v>5.0803484000000003E-2</v>
      </c>
      <c r="O5650">
        <v>0.42866070000000001</v>
      </c>
      <c r="P5650">
        <v>98.291666669999998</v>
      </c>
      <c r="Q5650">
        <v>30.315130790000001</v>
      </c>
      <c r="R5650">
        <v>5.0803484000000003E-2</v>
      </c>
      <c r="S5650">
        <v>0.42866070000000001</v>
      </c>
      <c r="T5650" t="s">
        <v>1041</v>
      </c>
      <c r="U5650">
        <v>0</v>
      </c>
    </row>
    <row r="5651" spans="1:21" x14ac:dyDescent="0.25">
      <c r="A5651" t="s">
        <v>83</v>
      </c>
      <c r="B5651" t="s">
        <v>993</v>
      </c>
      <c r="C5651">
        <v>6</v>
      </c>
      <c r="D5651" t="s">
        <v>21</v>
      </c>
      <c r="E5651" t="s">
        <v>94</v>
      </c>
      <c r="F5651" t="s">
        <v>103</v>
      </c>
      <c r="G5651" t="s">
        <v>103</v>
      </c>
      <c r="H5651" t="s">
        <v>103</v>
      </c>
      <c r="J5651">
        <v>0</v>
      </c>
      <c r="K5651">
        <v>2</v>
      </c>
      <c r="L5651">
        <v>98.291666669999998</v>
      </c>
      <c r="M5651">
        <v>30.315130790000001</v>
      </c>
      <c r="N5651">
        <v>5.0803484000000003E-2</v>
      </c>
      <c r="O5651">
        <v>0.42866070000000001</v>
      </c>
      <c r="P5651">
        <v>98.291666669999998</v>
      </c>
      <c r="Q5651">
        <v>30.315130790000001</v>
      </c>
      <c r="R5651">
        <v>5.0803484000000003E-2</v>
      </c>
      <c r="S5651">
        <v>0.42866070000000001</v>
      </c>
      <c r="T5651" t="s">
        <v>1041</v>
      </c>
      <c r="U5651">
        <v>0</v>
      </c>
    </row>
    <row r="5652" spans="1:21" x14ac:dyDescent="0.25">
      <c r="A5652" t="s">
        <v>83</v>
      </c>
      <c r="B5652" t="s">
        <v>993</v>
      </c>
      <c r="C5652">
        <v>6</v>
      </c>
      <c r="D5652" t="s">
        <v>21</v>
      </c>
      <c r="E5652" t="s">
        <v>94</v>
      </c>
      <c r="F5652" t="s">
        <v>103</v>
      </c>
      <c r="G5652" t="s">
        <v>103</v>
      </c>
      <c r="H5652" t="s">
        <v>246</v>
      </c>
      <c r="J5652">
        <v>0</v>
      </c>
      <c r="K5652">
        <v>1</v>
      </c>
      <c r="L5652">
        <v>98.291666669999998</v>
      </c>
      <c r="M5652">
        <v>30.315130790000001</v>
      </c>
      <c r="N5652">
        <v>5.0803484000000003E-2</v>
      </c>
      <c r="O5652">
        <v>0.42866070000000001</v>
      </c>
      <c r="P5652">
        <v>120.25</v>
      </c>
      <c r="Q5652">
        <v>30.670450110000001</v>
      </c>
      <c r="R5652">
        <v>0.91037498500000003</v>
      </c>
      <c r="S5652" t="s">
        <v>114</v>
      </c>
      <c r="T5652" t="s">
        <v>1041</v>
      </c>
      <c r="U5652" t="s">
        <v>114</v>
      </c>
    </row>
    <row r="5653" spans="1:21" x14ac:dyDescent="0.25">
      <c r="A5653" t="s">
        <v>83</v>
      </c>
      <c r="B5653" t="s">
        <v>993</v>
      </c>
      <c r="C5653">
        <v>6</v>
      </c>
      <c r="D5653" t="s">
        <v>21</v>
      </c>
      <c r="E5653" t="s">
        <v>94</v>
      </c>
      <c r="F5653" t="s">
        <v>103</v>
      </c>
      <c r="G5653" t="s">
        <v>103</v>
      </c>
      <c r="H5653" t="s">
        <v>239</v>
      </c>
      <c r="J5653">
        <v>0</v>
      </c>
      <c r="K5653">
        <v>1</v>
      </c>
      <c r="L5653">
        <v>98.291666669999998</v>
      </c>
      <c r="M5653">
        <v>30.315130790000001</v>
      </c>
      <c r="N5653">
        <v>5.0803484000000003E-2</v>
      </c>
      <c r="O5653">
        <v>0.42866070000000001</v>
      </c>
      <c r="P5653">
        <v>100.45454549999999</v>
      </c>
      <c r="Q5653">
        <v>26.754810689999999</v>
      </c>
      <c r="R5653">
        <v>0.75829999999999997</v>
      </c>
      <c r="S5653">
        <v>0.40907861000000001</v>
      </c>
      <c r="T5653" t="s">
        <v>1041</v>
      </c>
      <c r="U5653">
        <v>1.9582089999999996E-2</v>
      </c>
    </row>
    <row r="5654" spans="1:21" x14ac:dyDescent="0.25">
      <c r="A5654" t="s">
        <v>83</v>
      </c>
      <c r="B5654" t="s">
        <v>994</v>
      </c>
      <c r="C5654">
        <v>6</v>
      </c>
      <c r="D5654" t="s">
        <v>21</v>
      </c>
      <c r="E5654" t="s">
        <v>94</v>
      </c>
      <c r="F5654" t="s">
        <v>111</v>
      </c>
      <c r="G5654" t="s">
        <v>121</v>
      </c>
      <c r="H5654" t="s">
        <v>114</v>
      </c>
      <c r="J5654">
        <v>0</v>
      </c>
      <c r="K5654">
        <v>0</v>
      </c>
      <c r="L5654">
        <v>94.97142857</v>
      </c>
      <c r="M5654">
        <v>24.31591813</v>
      </c>
      <c r="N5654">
        <v>0.122951111</v>
      </c>
      <c r="O5654">
        <v>0.39050790000000002</v>
      </c>
      <c r="P5654" t="s">
        <v>114</v>
      </c>
      <c r="Q5654" t="s">
        <v>114</v>
      </c>
      <c r="R5654" t="s">
        <v>114</v>
      </c>
      <c r="S5654" t="s">
        <v>114</v>
      </c>
      <c r="T5654" t="s">
        <v>1041</v>
      </c>
      <c r="U5654" t="s">
        <v>114</v>
      </c>
    </row>
    <row r="5655" spans="1:21" x14ac:dyDescent="0.25">
      <c r="A5655" t="s">
        <v>84</v>
      </c>
      <c r="B5655" t="s">
        <v>995</v>
      </c>
      <c r="C5655">
        <v>6</v>
      </c>
      <c r="D5655" t="s">
        <v>23</v>
      </c>
      <c r="E5655" t="s">
        <v>95</v>
      </c>
      <c r="F5655" t="s">
        <v>102</v>
      </c>
      <c r="G5655" t="s">
        <v>121</v>
      </c>
      <c r="H5655" t="s">
        <v>254</v>
      </c>
      <c r="J5655">
        <v>0</v>
      </c>
      <c r="K5655">
        <v>3</v>
      </c>
      <c r="L5655">
        <v>84.740740740000007</v>
      </c>
      <c r="M5655">
        <v>29.167014049999999</v>
      </c>
      <c r="N5655">
        <v>1.1169849999999999</v>
      </c>
      <c r="O5655">
        <v>1.1571499000000001</v>
      </c>
      <c r="P5655" t="s">
        <v>114</v>
      </c>
      <c r="Q5655" t="s">
        <v>114</v>
      </c>
      <c r="R5655" t="s">
        <v>114</v>
      </c>
      <c r="S5655" t="s">
        <v>114</v>
      </c>
      <c r="T5655" t="s">
        <v>1041</v>
      </c>
      <c r="U5655" t="s">
        <v>114</v>
      </c>
    </row>
    <row r="5656" spans="1:21" x14ac:dyDescent="0.25">
      <c r="A5656" t="s">
        <v>84</v>
      </c>
      <c r="B5656" t="s">
        <v>995</v>
      </c>
      <c r="C5656">
        <v>6</v>
      </c>
      <c r="D5656" t="s">
        <v>23</v>
      </c>
      <c r="E5656" t="s">
        <v>95</v>
      </c>
      <c r="F5656" t="s">
        <v>102</v>
      </c>
      <c r="G5656" t="s">
        <v>121</v>
      </c>
      <c r="H5656" t="s">
        <v>254</v>
      </c>
      <c r="J5656">
        <v>0</v>
      </c>
      <c r="K5656">
        <v>3</v>
      </c>
      <c r="L5656">
        <v>84.740740740000007</v>
      </c>
      <c r="M5656">
        <v>29.167014049999999</v>
      </c>
      <c r="N5656">
        <v>1.1169849999999999</v>
      </c>
      <c r="O5656">
        <v>1.1571499000000001</v>
      </c>
      <c r="P5656" t="s">
        <v>114</v>
      </c>
      <c r="Q5656" t="s">
        <v>114</v>
      </c>
      <c r="R5656" t="s">
        <v>114</v>
      </c>
      <c r="S5656" t="s">
        <v>114</v>
      </c>
      <c r="T5656" t="s">
        <v>1041</v>
      </c>
      <c r="U5656" t="s">
        <v>114</v>
      </c>
    </row>
    <row r="5657" spans="1:21" x14ac:dyDescent="0.25">
      <c r="A5657" t="s">
        <v>84</v>
      </c>
      <c r="B5657" t="s">
        <v>995</v>
      </c>
      <c r="C5657">
        <v>6</v>
      </c>
      <c r="D5657" t="s">
        <v>23</v>
      </c>
      <c r="E5657" t="s">
        <v>95</v>
      </c>
      <c r="F5657" t="s">
        <v>102</v>
      </c>
      <c r="G5657" t="s">
        <v>121</v>
      </c>
      <c r="H5657" t="s">
        <v>254</v>
      </c>
      <c r="J5657">
        <v>0</v>
      </c>
      <c r="K5657">
        <v>3</v>
      </c>
      <c r="L5657">
        <v>84.740740740000007</v>
      </c>
      <c r="M5657">
        <v>29.167014049999999</v>
      </c>
      <c r="N5657">
        <v>1.1169849999999999</v>
      </c>
      <c r="O5657">
        <v>1.1571499000000001</v>
      </c>
      <c r="P5657" t="s">
        <v>114</v>
      </c>
      <c r="Q5657" t="s">
        <v>114</v>
      </c>
      <c r="R5657" t="s">
        <v>114</v>
      </c>
      <c r="S5657" t="s">
        <v>114</v>
      </c>
      <c r="T5657" t="s">
        <v>1041</v>
      </c>
      <c r="U5657" t="s">
        <v>114</v>
      </c>
    </row>
    <row r="5658" spans="1:21" x14ac:dyDescent="0.25">
      <c r="A5658" t="s">
        <v>84</v>
      </c>
      <c r="B5658" t="s">
        <v>995</v>
      </c>
      <c r="C5658">
        <v>6</v>
      </c>
      <c r="D5658" t="s">
        <v>23</v>
      </c>
      <c r="E5658" t="s">
        <v>95</v>
      </c>
      <c r="F5658" t="s">
        <v>102</v>
      </c>
      <c r="G5658" t="s">
        <v>121</v>
      </c>
      <c r="H5658" t="s">
        <v>248</v>
      </c>
      <c r="J5658">
        <v>0</v>
      </c>
      <c r="K5658">
        <v>1</v>
      </c>
      <c r="L5658">
        <v>84.740740740000007</v>
      </c>
      <c r="M5658">
        <v>29.167014049999999</v>
      </c>
      <c r="N5658">
        <v>1.1169849999999999</v>
      </c>
      <c r="O5658">
        <v>1.1571499000000001</v>
      </c>
      <c r="P5658">
        <v>83.92307692</v>
      </c>
      <c r="Q5658">
        <v>44.319135699999997</v>
      </c>
      <c r="R5658">
        <v>5.9548609999999997E-3</v>
      </c>
      <c r="S5658">
        <v>0.18017928</v>
      </c>
      <c r="T5658" t="s">
        <v>1041</v>
      </c>
      <c r="U5658">
        <v>0.97697062000000012</v>
      </c>
    </row>
    <row r="5659" spans="1:21" x14ac:dyDescent="0.25">
      <c r="A5659" t="s">
        <v>84</v>
      </c>
      <c r="B5659" t="s">
        <v>995</v>
      </c>
      <c r="C5659">
        <v>6</v>
      </c>
      <c r="D5659" t="s">
        <v>23</v>
      </c>
      <c r="E5659" t="s">
        <v>95</v>
      </c>
      <c r="F5659" t="s">
        <v>102</v>
      </c>
      <c r="G5659" t="s">
        <v>121</v>
      </c>
      <c r="H5659" t="s">
        <v>233</v>
      </c>
      <c r="J5659">
        <v>0</v>
      </c>
      <c r="K5659">
        <v>1</v>
      </c>
      <c r="L5659">
        <v>84.740740740000007</v>
      </c>
      <c r="M5659">
        <v>29.167014049999999</v>
      </c>
      <c r="N5659">
        <v>1.1169849999999999</v>
      </c>
      <c r="O5659">
        <v>1.1571499000000001</v>
      </c>
      <c r="P5659">
        <v>106.0540541</v>
      </c>
      <c r="Q5659">
        <v>52.690533369999997</v>
      </c>
      <c r="R5659">
        <v>7.6058968000000005E-2</v>
      </c>
      <c r="S5659">
        <v>0.44888888999999998</v>
      </c>
      <c r="T5659" t="s">
        <v>1041</v>
      </c>
      <c r="U5659">
        <v>0.70826101000000008</v>
      </c>
    </row>
    <row r="5660" spans="1:21" x14ac:dyDescent="0.25">
      <c r="A5660" t="s">
        <v>84</v>
      </c>
      <c r="B5660" t="s">
        <v>995</v>
      </c>
      <c r="C5660">
        <v>6</v>
      </c>
      <c r="D5660" t="s">
        <v>23</v>
      </c>
      <c r="E5660" t="s">
        <v>95</v>
      </c>
      <c r="F5660" t="s">
        <v>102</v>
      </c>
      <c r="G5660" t="s">
        <v>121</v>
      </c>
      <c r="H5660" t="s">
        <v>103</v>
      </c>
      <c r="J5660">
        <v>0</v>
      </c>
      <c r="K5660">
        <v>5</v>
      </c>
      <c r="L5660">
        <v>84.740740740000007</v>
      </c>
      <c r="M5660">
        <v>29.167014049999999</v>
      </c>
      <c r="N5660">
        <v>1.1169849999999999</v>
      </c>
      <c r="O5660">
        <v>1.1571499000000001</v>
      </c>
      <c r="P5660">
        <v>98.291666669999998</v>
      </c>
      <c r="Q5660">
        <v>30.315130790000001</v>
      </c>
      <c r="R5660">
        <v>5.0803484000000003E-2</v>
      </c>
      <c r="S5660">
        <v>0.42866070000000001</v>
      </c>
      <c r="T5660" t="s">
        <v>1041</v>
      </c>
      <c r="U5660">
        <v>0.72848920000000006</v>
      </c>
    </row>
    <row r="5661" spans="1:21" x14ac:dyDescent="0.25">
      <c r="A5661" t="s">
        <v>84</v>
      </c>
      <c r="B5661" t="s">
        <v>995</v>
      </c>
      <c r="C5661">
        <v>6</v>
      </c>
      <c r="D5661" t="s">
        <v>23</v>
      </c>
      <c r="E5661" t="s">
        <v>95</v>
      </c>
      <c r="F5661" t="s">
        <v>102</v>
      </c>
      <c r="G5661" t="s">
        <v>121</v>
      </c>
      <c r="H5661" t="s">
        <v>103</v>
      </c>
      <c r="J5661">
        <v>0</v>
      </c>
      <c r="K5661">
        <v>5</v>
      </c>
      <c r="L5661">
        <v>84.740740740000007</v>
      </c>
      <c r="M5661">
        <v>29.167014049999999</v>
      </c>
      <c r="N5661">
        <v>1.1169849999999999</v>
      </c>
      <c r="O5661">
        <v>1.1571499000000001</v>
      </c>
      <c r="P5661">
        <v>98.291666669999998</v>
      </c>
      <c r="Q5661">
        <v>30.315130790000001</v>
      </c>
      <c r="R5661">
        <v>5.0803484000000003E-2</v>
      </c>
      <c r="S5661">
        <v>0.42866070000000001</v>
      </c>
      <c r="T5661" t="s">
        <v>1041</v>
      </c>
      <c r="U5661">
        <v>0.72848920000000006</v>
      </c>
    </row>
    <row r="5662" spans="1:21" x14ac:dyDescent="0.25">
      <c r="A5662" t="s">
        <v>84</v>
      </c>
      <c r="B5662" t="s">
        <v>995</v>
      </c>
      <c r="C5662">
        <v>6</v>
      </c>
      <c r="D5662" t="s">
        <v>23</v>
      </c>
      <c r="E5662" t="s">
        <v>95</v>
      </c>
      <c r="F5662" t="s">
        <v>102</v>
      </c>
      <c r="G5662" t="s">
        <v>121</v>
      </c>
      <c r="H5662" t="s">
        <v>103</v>
      </c>
      <c r="J5662">
        <v>0</v>
      </c>
      <c r="K5662">
        <v>5</v>
      </c>
      <c r="L5662">
        <v>84.740740740000007</v>
      </c>
      <c r="M5662">
        <v>29.167014049999999</v>
      </c>
      <c r="N5662">
        <v>1.1169849999999999</v>
      </c>
      <c r="O5662">
        <v>1.1571499000000001</v>
      </c>
      <c r="P5662">
        <v>98.291666669999998</v>
      </c>
      <c r="Q5662">
        <v>30.315130790000001</v>
      </c>
      <c r="R5662">
        <v>5.0803484000000003E-2</v>
      </c>
      <c r="S5662">
        <v>0.42866070000000001</v>
      </c>
      <c r="T5662" t="s">
        <v>1041</v>
      </c>
      <c r="U5662">
        <v>0.72848920000000006</v>
      </c>
    </row>
    <row r="5663" spans="1:21" x14ac:dyDescent="0.25">
      <c r="A5663" t="s">
        <v>84</v>
      </c>
      <c r="B5663" t="s">
        <v>995</v>
      </c>
      <c r="C5663">
        <v>6</v>
      </c>
      <c r="D5663" t="s">
        <v>23</v>
      </c>
      <c r="E5663" t="s">
        <v>95</v>
      </c>
      <c r="F5663" t="s">
        <v>102</v>
      </c>
      <c r="G5663" t="s">
        <v>121</v>
      </c>
      <c r="H5663" t="s">
        <v>103</v>
      </c>
      <c r="J5663">
        <v>0</v>
      </c>
      <c r="K5663">
        <v>5</v>
      </c>
      <c r="L5663">
        <v>84.740740740000007</v>
      </c>
      <c r="M5663">
        <v>29.167014049999999</v>
      </c>
      <c r="N5663">
        <v>1.1169849999999999</v>
      </c>
      <c r="O5663">
        <v>1.1571499000000001</v>
      </c>
      <c r="P5663">
        <v>98.291666669999998</v>
      </c>
      <c r="Q5663">
        <v>30.315130790000001</v>
      </c>
      <c r="R5663">
        <v>5.0803484000000003E-2</v>
      </c>
      <c r="S5663">
        <v>0.42866070000000001</v>
      </c>
      <c r="T5663" t="s">
        <v>1041</v>
      </c>
      <c r="U5663">
        <v>0.72848920000000006</v>
      </c>
    </row>
    <row r="5664" spans="1:21" x14ac:dyDescent="0.25">
      <c r="A5664" t="s">
        <v>84</v>
      </c>
      <c r="B5664" t="s">
        <v>995</v>
      </c>
      <c r="C5664">
        <v>6</v>
      </c>
      <c r="D5664" t="s">
        <v>23</v>
      </c>
      <c r="E5664" t="s">
        <v>95</v>
      </c>
      <c r="F5664" t="s">
        <v>102</v>
      </c>
      <c r="G5664" t="s">
        <v>121</v>
      </c>
      <c r="H5664" t="s">
        <v>103</v>
      </c>
      <c r="J5664">
        <v>0</v>
      </c>
      <c r="K5664">
        <v>5</v>
      </c>
      <c r="L5664">
        <v>84.740740740000007</v>
      </c>
      <c r="M5664">
        <v>29.167014049999999</v>
      </c>
      <c r="N5664">
        <v>1.1169849999999999</v>
      </c>
      <c r="O5664">
        <v>1.1571499000000001</v>
      </c>
      <c r="P5664">
        <v>98.291666669999998</v>
      </c>
      <c r="Q5664">
        <v>30.315130790000001</v>
      </c>
      <c r="R5664">
        <v>5.0803484000000003E-2</v>
      </c>
      <c r="S5664">
        <v>0.42866070000000001</v>
      </c>
      <c r="T5664" t="s">
        <v>1041</v>
      </c>
      <c r="U5664">
        <v>0.72848920000000006</v>
      </c>
    </row>
    <row r="5665" spans="1:21" x14ac:dyDescent="0.25">
      <c r="A5665" t="s">
        <v>84</v>
      </c>
      <c r="B5665" t="s">
        <v>996</v>
      </c>
      <c r="C5665">
        <v>6</v>
      </c>
      <c r="D5665" t="s">
        <v>23</v>
      </c>
      <c r="E5665" t="s">
        <v>95</v>
      </c>
      <c r="F5665" t="s">
        <v>105</v>
      </c>
      <c r="G5665" t="s">
        <v>103</v>
      </c>
      <c r="H5665" t="s">
        <v>114</v>
      </c>
      <c r="J5665">
        <v>0</v>
      </c>
      <c r="K5665" t="s">
        <v>114</v>
      </c>
      <c r="L5665">
        <v>67.5</v>
      </c>
      <c r="M5665">
        <v>47.937235809999997</v>
      </c>
      <c r="N5665">
        <v>0.41599678000000001</v>
      </c>
      <c r="O5665">
        <v>2.0950346999999998</v>
      </c>
      <c r="P5665" t="s">
        <v>114</v>
      </c>
      <c r="Q5665" t="s">
        <v>114</v>
      </c>
      <c r="R5665" t="s">
        <v>114</v>
      </c>
      <c r="S5665" t="s">
        <v>114</v>
      </c>
      <c r="T5665" t="s">
        <v>1041</v>
      </c>
      <c r="U5665" t="s">
        <v>114</v>
      </c>
    </row>
    <row r="5666" spans="1:21" x14ac:dyDescent="0.25">
      <c r="A5666" t="s">
        <v>84</v>
      </c>
      <c r="B5666" t="s">
        <v>997</v>
      </c>
      <c r="C5666">
        <v>6</v>
      </c>
      <c r="D5666" t="s">
        <v>23</v>
      </c>
      <c r="E5666" t="s">
        <v>95</v>
      </c>
      <c r="F5666" t="s">
        <v>111</v>
      </c>
      <c r="G5666" t="s">
        <v>103</v>
      </c>
      <c r="H5666" t="s">
        <v>103</v>
      </c>
      <c r="J5666">
        <v>0</v>
      </c>
      <c r="K5666">
        <v>2</v>
      </c>
      <c r="L5666">
        <v>94.97142857</v>
      </c>
      <c r="M5666">
        <v>24.31591813</v>
      </c>
      <c r="N5666">
        <v>0.122951111</v>
      </c>
      <c r="O5666">
        <v>0.39050790000000002</v>
      </c>
      <c r="P5666">
        <v>98.291666669999998</v>
      </c>
      <c r="Q5666">
        <v>30.315130790000001</v>
      </c>
      <c r="R5666">
        <v>5.0803484000000003E-2</v>
      </c>
      <c r="S5666">
        <v>0.42866070000000001</v>
      </c>
      <c r="T5666" t="s">
        <v>1041</v>
      </c>
      <c r="U5666">
        <v>3.8152799999999987E-2</v>
      </c>
    </row>
    <row r="5667" spans="1:21" x14ac:dyDescent="0.25">
      <c r="A5667" t="s">
        <v>84</v>
      </c>
      <c r="B5667" t="s">
        <v>997</v>
      </c>
      <c r="C5667">
        <v>6</v>
      </c>
      <c r="D5667" t="s">
        <v>23</v>
      </c>
      <c r="E5667" t="s">
        <v>95</v>
      </c>
      <c r="F5667" t="s">
        <v>111</v>
      </c>
      <c r="G5667" t="s">
        <v>103</v>
      </c>
      <c r="H5667" t="s">
        <v>103</v>
      </c>
      <c r="J5667">
        <v>0</v>
      </c>
      <c r="K5667">
        <v>2</v>
      </c>
      <c r="L5667">
        <v>94.97142857</v>
      </c>
      <c r="M5667">
        <v>24.31591813</v>
      </c>
      <c r="N5667">
        <v>0.122951111</v>
      </c>
      <c r="O5667">
        <v>0.39050790000000002</v>
      </c>
      <c r="P5667">
        <v>98.291666669999998</v>
      </c>
      <c r="Q5667">
        <v>30.315130790000001</v>
      </c>
      <c r="R5667">
        <v>5.0803484000000003E-2</v>
      </c>
      <c r="S5667">
        <v>0.42866070000000001</v>
      </c>
      <c r="T5667" t="s">
        <v>1041</v>
      </c>
      <c r="U5667">
        <v>3.8152799999999987E-2</v>
      </c>
    </row>
    <row r="5668" spans="1:21" x14ac:dyDescent="0.25">
      <c r="A5668" t="s">
        <v>84</v>
      </c>
      <c r="B5668" t="s">
        <v>997</v>
      </c>
      <c r="C5668">
        <v>6</v>
      </c>
      <c r="D5668" t="s">
        <v>23</v>
      </c>
      <c r="E5668" t="s">
        <v>95</v>
      </c>
      <c r="F5668" t="s">
        <v>111</v>
      </c>
      <c r="G5668" t="s">
        <v>103</v>
      </c>
      <c r="H5668" t="s">
        <v>247</v>
      </c>
      <c r="J5668">
        <v>0</v>
      </c>
      <c r="K5668">
        <v>1</v>
      </c>
      <c r="L5668">
        <v>94.97142857</v>
      </c>
      <c r="M5668">
        <v>24.31591813</v>
      </c>
      <c r="N5668">
        <v>0.122951111</v>
      </c>
      <c r="O5668">
        <v>0.39050790000000002</v>
      </c>
      <c r="P5668">
        <v>65.791044779999993</v>
      </c>
      <c r="Q5668">
        <v>22.94519201</v>
      </c>
      <c r="R5668">
        <v>8.1320334999999994E-2</v>
      </c>
      <c r="S5668">
        <v>0.17285655</v>
      </c>
      <c r="T5668" t="s">
        <v>1041</v>
      </c>
      <c r="U5668">
        <v>0.21765135000000002</v>
      </c>
    </row>
    <row r="5669" spans="1:21" x14ac:dyDescent="0.25">
      <c r="A5669" t="s">
        <v>84</v>
      </c>
      <c r="B5669" t="s">
        <v>997</v>
      </c>
      <c r="C5669">
        <v>6</v>
      </c>
      <c r="D5669" t="s">
        <v>23</v>
      </c>
      <c r="E5669" t="s">
        <v>95</v>
      </c>
      <c r="F5669" t="s">
        <v>111</v>
      </c>
      <c r="G5669" t="s">
        <v>103</v>
      </c>
      <c r="H5669" t="s">
        <v>233</v>
      </c>
      <c r="J5669">
        <v>0</v>
      </c>
      <c r="K5669">
        <v>1</v>
      </c>
      <c r="L5669">
        <v>94.97142857</v>
      </c>
      <c r="M5669">
        <v>24.31591813</v>
      </c>
      <c r="N5669">
        <v>0.122951111</v>
      </c>
      <c r="O5669">
        <v>0.39050790000000002</v>
      </c>
      <c r="P5669">
        <v>106.0540541</v>
      </c>
      <c r="Q5669">
        <v>52.690533369999997</v>
      </c>
      <c r="R5669">
        <v>7.6058968000000005E-2</v>
      </c>
      <c r="S5669">
        <v>0.44888888999999998</v>
      </c>
      <c r="T5669" t="s">
        <v>1041</v>
      </c>
      <c r="U5669">
        <v>5.8380989999999966E-2</v>
      </c>
    </row>
    <row r="5670" spans="1:21" x14ac:dyDescent="0.25">
      <c r="A5670" t="s">
        <v>84</v>
      </c>
      <c r="B5670" t="s">
        <v>997</v>
      </c>
      <c r="C5670">
        <v>6</v>
      </c>
      <c r="D5670" t="s">
        <v>23</v>
      </c>
      <c r="E5670" t="s">
        <v>95</v>
      </c>
      <c r="F5670" t="s">
        <v>111</v>
      </c>
      <c r="G5670" t="s">
        <v>103</v>
      </c>
      <c r="H5670" t="s">
        <v>808</v>
      </c>
      <c r="J5670">
        <v>0</v>
      </c>
      <c r="K5670">
        <v>1</v>
      </c>
      <c r="L5670">
        <v>94.97142857</v>
      </c>
      <c r="M5670">
        <v>24.31591813</v>
      </c>
      <c r="N5670">
        <v>0.122951111</v>
      </c>
      <c r="O5670">
        <v>0.39050790000000002</v>
      </c>
      <c r="P5670">
        <v>102.79166669999999</v>
      </c>
      <c r="Q5670">
        <v>27.057373470000002</v>
      </c>
      <c r="R5670">
        <v>6.3567849939999999</v>
      </c>
      <c r="S5670" t="s">
        <v>114</v>
      </c>
      <c r="T5670" t="s">
        <v>1041</v>
      </c>
      <c r="U5670" t="s">
        <v>114</v>
      </c>
    </row>
    <row r="5671" spans="1:21" x14ac:dyDescent="0.25">
      <c r="A5671" t="s">
        <v>84</v>
      </c>
      <c r="B5671" t="s">
        <v>998</v>
      </c>
      <c r="C5671">
        <v>6</v>
      </c>
      <c r="D5671" t="s">
        <v>23</v>
      </c>
      <c r="E5671" t="s">
        <v>95</v>
      </c>
      <c r="F5671" t="s">
        <v>112</v>
      </c>
      <c r="G5671" t="s">
        <v>103</v>
      </c>
      <c r="H5671" t="s">
        <v>236</v>
      </c>
      <c r="J5671">
        <v>0</v>
      </c>
      <c r="K5671">
        <v>1</v>
      </c>
      <c r="L5671">
        <v>65.09375</v>
      </c>
      <c r="M5671">
        <v>37.895352600000002</v>
      </c>
      <c r="N5671">
        <v>2.2882677779999998</v>
      </c>
      <c r="O5671">
        <v>2.2111774</v>
      </c>
      <c r="P5671">
        <v>113.33333330000001</v>
      </c>
      <c r="Q5671">
        <v>26.41632581</v>
      </c>
      <c r="R5671">
        <v>1.6844570160000001</v>
      </c>
      <c r="S5671">
        <v>8.9285710000000004E-2</v>
      </c>
      <c r="T5671" t="s">
        <v>1041</v>
      </c>
      <c r="U5671">
        <v>2.12189169</v>
      </c>
    </row>
    <row r="5672" spans="1:21" x14ac:dyDescent="0.25">
      <c r="A5672" t="s">
        <v>84</v>
      </c>
      <c r="B5672" t="s">
        <v>998</v>
      </c>
      <c r="C5672">
        <v>6</v>
      </c>
      <c r="D5672" t="s">
        <v>23</v>
      </c>
      <c r="E5672" t="s">
        <v>95</v>
      </c>
      <c r="F5672" t="s">
        <v>112</v>
      </c>
      <c r="G5672" t="s">
        <v>103</v>
      </c>
      <c r="H5672" t="s">
        <v>103</v>
      </c>
      <c r="J5672">
        <v>0</v>
      </c>
      <c r="K5672">
        <v>2</v>
      </c>
      <c r="L5672">
        <v>65.09375</v>
      </c>
      <c r="M5672">
        <v>37.895352600000002</v>
      </c>
      <c r="N5672">
        <v>2.2882677779999998</v>
      </c>
      <c r="O5672">
        <v>2.2111774</v>
      </c>
      <c r="P5672">
        <v>98.291666669999998</v>
      </c>
      <c r="Q5672">
        <v>30.315130790000001</v>
      </c>
      <c r="R5672">
        <v>5.0803484000000003E-2</v>
      </c>
      <c r="S5672">
        <v>0.42866070000000001</v>
      </c>
      <c r="T5672" t="s">
        <v>1041</v>
      </c>
      <c r="U5672">
        <v>1.7825167</v>
      </c>
    </row>
    <row r="5673" spans="1:21" x14ac:dyDescent="0.25">
      <c r="A5673" t="s">
        <v>84</v>
      </c>
      <c r="B5673" t="s">
        <v>998</v>
      </c>
      <c r="C5673">
        <v>6</v>
      </c>
      <c r="D5673" t="s">
        <v>23</v>
      </c>
      <c r="E5673" t="s">
        <v>95</v>
      </c>
      <c r="F5673" t="s">
        <v>112</v>
      </c>
      <c r="G5673" t="s">
        <v>103</v>
      </c>
      <c r="H5673" t="s">
        <v>103</v>
      </c>
      <c r="J5673">
        <v>0</v>
      </c>
      <c r="K5673">
        <v>2</v>
      </c>
      <c r="L5673">
        <v>65.09375</v>
      </c>
      <c r="M5673">
        <v>37.895352600000002</v>
      </c>
      <c r="N5673">
        <v>2.2882677779999998</v>
      </c>
      <c r="O5673">
        <v>2.2111774</v>
      </c>
      <c r="P5673">
        <v>98.291666669999998</v>
      </c>
      <c r="Q5673">
        <v>30.315130790000001</v>
      </c>
      <c r="R5673">
        <v>5.0803484000000003E-2</v>
      </c>
      <c r="S5673">
        <v>0.42866070000000001</v>
      </c>
      <c r="T5673" t="s">
        <v>1041</v>
      </c>
      <c r="U5673">
        <v>1.7825167</v>
      </c>
    </row>
    <row r="5674" spans="1:21" x14ac:dyDescent="0.25">
      <c r="A5674" t="s">
        <v>84</v>
      </c>
      <c r="B5674" t="s">
        <v>998</v>
      </c>
      <c r="C5674">
        <v>6</v>
      </c>
      <c r="D5674" t="s">
        <v>23</v>
      </c>
      <c r="E5674" t="s">
        <v>95</v>
      </c>
      <c r="F5674" t="s">
        <v>112</v>
      </c>
      <c r="G5674" t="s">
        <v>103</v>
      </c>
      <c r="H5674" t="s">
        <v>808</v>
      </c>
      <c r="J5674">
        <v>0</v>
      </c>
      <c r="K5674">
        <v>1</v>
      </c>
      <c r="L5674">
        <v>65.09375</v>
      </c>
      <c r="M5674">
        <v>37.895352600000002</v>
      </c>
      <c r="N5674">
        <v>2.2882677779999998</v>
      </c>
      <c r="O5674">
        <v>2.2111774</v>
      </c>
      <c r="P5674">
        <v>102.79166669999999</v>
      </c>
      <c r="Q5674">
        <v>27.057373470000002</v>
      </c>
      <c r="R5674">
        <v>6.3567849939999999</v>
      </c>
      <c r="S5674" t="s">
        <v>114</v>
      </c>
      <c r="T5674" t="s">
        <v>1041</v>
      </c>
      <c r="U5674" t="s">
        <v>114</v>
      </c>
    </row>
    <row r="5675" spans="1:21" x14ac:dyDescent="0.25">
      <c r="A5675" t="s">
        <v>84</v>
      </c>
      <c r="B5675" t="s">
        <v>998</v>
      </c>
      <c r="C5675">
        <v>6</v>
      </c>
      <c r="D5675" t="s">
        <v>23</v>
      </c>
      <c r="E5675" t="s">
        <v>95</v>
      </c>
      <c r="F5675" t="s">
        <v>112</v>
      </c>
      <c r="G5675" t="s">
        <v>103</v>
      </c>
      <c r="H5675" t="s">
        <v>239</v>
      </c>
      <c r="J5675">
        <v>0</v>
      </c>
      <c r="K5675">
        <v>2</v>
      </c>
      <c r="L5675">
        <v>65.09375</v>
      </c>
      <c r="M5675">
        <v>37.895352600000002</v>
      </c>
      <c r="N5675">
        <v>2.2882677779999998</v>
      </c>
      <c r="O5675">
        <v>2.2111774</v>
      </c>
      <c r="P5675">
        <v>100.45454549999999</v>
      </c>
      <c r="Q5675">
        <v>26.754810689999999</v>
      </c>
      <c r="R5675">
        <v>0.75829999999999997</v>
      </c>
      <c r="S5675">
        <v>0.40907861000000001</v>
      </c>
      <c r="T5675" t="s">
        <v>1041</v>
      </c>
      <c r="U5675">
        <v>1.8020987900000001</v>
      </c>
    </row>
    <row r="5676" spans="1:21" x14ac:dyDescent="0.25">
      <c r="A5676" t="s">
        <v>84</v>
      </c>
      <c r="B5676" t="s">
        <v>998</v>
      </c>
      <c r="C5676">
        <v>6</v>
      </c>
      <c r="D5676" t="s">
        <v>23</v>
      </c>
      <c r="E5676" t="s">
        <v>95</v>
      </c>
      <c r="F5676" t="s">
        <v>112</v>
      </c>
      <c r="G5676" t="s">
        <v>103</v>
      </c>
      <c r="H5676" t="s">
        <v>239</v>
      </c>
      <c r="J5676">
        <v>0</v>
      </c>
      <c r="K5676">
        <v>2</v>
      </c>
      <c r="L5676">
        <v>65.09375</v>
      </c>
      <c r="M5676">
        <v>37.895352600000002</v>
      </c>
      <c r="N5676">
        <v>2.2882677779999998</v>
      </c>
      <c r="O5676">
        <v>2.2111774</v>
      </c>
      <c r="P5676">
        <v>100.45454549999999</v>
      </c>
      <c r="Q5676">
        <v>26.754810689999999</v>
      </c>
      <c r="R5676">
        <v>0.75829999999999997</v>
      </c>
      <c r="S5676">
        <v>0.40907861000000001</v>
      </c>
      <c r="T5676" t="s">
        <v>1041</v>
      </c>
      <c r="U5676">
        <v>1.8020987900000001</v>
      </c>
    </row>
    <row r="5677" spans="1:21" x14ac:dyDescent="0.25">
      <c r="A5677" t="s">
        <v>85</v>
      </c>
      <c r="B5677" t="s">
        <v>999</v>
      </c>
      <c r="C5677">
        <v>6</v>
      </c>
      <c r="D5677" t="s">
        <v>25</v>
      </c>
      <c r="E5677" t="s">
        <v>94</v>
      </c>
      <c r="F5677" t="s">
        <v>105</v>
      </c>
      <c r="G5677" t="s">
        <v>103</v>
      </c>
      <c r="H5677" t="s">
        <v>810</v>
      </c>
      <c r="J5677">
        <v>0</v>
      </c>
      <c r="K5677">
        <v>1</v>
      </c>
      <c r="L5677">
        <v>67.5</v>
      </c>
      <c r="M5677">
        <v>47.937235809999997</v>
      </c>
      <c r="N5677">
        <v>0.41599678000000001</v>
      </c>
      <c r="O5677">
        <v>2.0950346999999998</v>
      </c>
      <c r="P5677">
        <v>77.055555560000002</v>
      </c>
      <c r="Q5677">
        <v>18.389110710000001</v>
      </c>
      <c r="R5677">
        <v>1.5559800079999999</v>
      </c>
      <c r="S5677" t="s">
        <v>114</v>
      </c>
      <c r="T5677" t="s">
        <v>1041</v>
      </c>
      <c r="U5677" t="s">
        <v>114</v>
      </c>
    </row>
    <row r="5678" spans="1:21" x14ac:dyDescent="0.25">
      <c r="A5678" t="s">
        <v>85</v>
      </c>
      <c r="B5678" t="s">
        <v>999</v>
      </c>
      <c r="C5678">
        <v>6</v>
      </c>
      <c r="D5678" t="s">
        <v>25</v>
      </c>
      <c r="E5678" t="s">
        <v>94</v>
      </c>
      <c r="F5678" t="s">
        <v>105</v>
      </c>
      <c r="G5678" t="s">
        <v>103</v>
      </c>
      <c r="H5678" t="s">
        <v>104</v>
      </c>
      <c r="J5678">
        <v>0</v>
      </c>
      <c r="K5678">
        <v>1</v>
      </c>
      <c r="L5678">
        <v>67.5</v>
      </c>
      <c r="M5678">
        <v>47.937235809999997</v>
      </c>
      <c r="N5678">
        <v>0.41599678000000001</v>
      </c>
      <c r="O5678">
        <v>2.0950346999999998</v>
      </c>
      <c r="P5678">
        <v>113.9375</v>
      </c>
      <c r="Q5678">
        <v>33.375507550000002</v>
      </c>
      <c r="R5678">
        <v>2.4262999999999999</v>
      </c>
      <c r="S5678">
        <v>0.40692159999999999</v>
      </c>
      <c r="T5678" t="s">
        <v>1041</v>
      </c>
      <c r="U5678">
        <v>1.6881130999999998</v>
      </c>
    </row>
    <row r="5679" spans="1:21" x14ac:dyDescent="0.25">
      <c r="A5679" t="s">
        <v>85</v>
      </c>
      <c r="B5679" t="s">
        <v>999</v>
      </c>
      <c r="C5679">
        <v>6</v>
      </c>
      <c r="D5679" t="s">
        <v>25</v>
      </c>
      <c r="E5679" t="s">
        <v>94</v>
      </c>
      <c r="F5679" t="s">
        <v>105</v>
      </c>
      <c r="G5679" t="s">
        <v>103</v>
      </c>
      <c r="H5679" t="s">
        <v>110</v>
      </c>
      <c r="J5679">
        <v>0</v>
      </c>
      <c r="K5679">
        <v>1</v>
      </c>
      <c r="L5679">
        <v>67.5</v>
      </c>
      <c r="M5679">
        <v>47.937235809999997</v>
      </c>
      <c r="N5679">
        <v>0.41599678000000001</v>
      </c>
      <c r="O5679">
        <v>2.0950346999999998</v>
      </c>
      <c r="P5679">
        <v>73.260869569999997</v>
      </c>
      <c r="Q5679">
        <v>34.453830549999999</v>
      </c>
      <c r="R5679">
        <v>1.058333333</v>
      </c>
      <c r="S5679">
        <v>0.90897070000000002</v>
      </c>
      <c r="T5679" t="s">
        <v>1041</v>
      </c>
      <c r="U5679">
        <v>1.1860639999999998</v>
      </c>
    </row>
    <row r="5680" spans="1:21" x14ac:dyDescent="0.25">
      <c r="A5680" t="s">
        <v>85</v>
      </c>
      <c r="B5680" t="s">
        <v>999</v>
      </c>
      <c r="C5680">
        <v>6</v>
      </c>
      <c r="D5680" t="s">
        <v>25</v>
      </c>
      <c r="E5680" t="s">
        <v>94</v>
      </c>
      <c r="F5680" t="s">
        <v>105</v>
      </c>
      <c r="G5680" t="s">
        <v>103</v>
      </c>
      <c r="H5680" t="s">
        <v>103</v>
      </c>
      <c r="J5680">
        <v>0</v>
      </c>
      <c r="K5680">
        <v>4</v>
      </c>
      <c r="L5680">
        <v>67.5</v>
      </c>
      <c r="M5680">
        <v>47.937235809999997</v>
      </c>
      <c r="N5680">
        <v>0.41599678000000001</v>
      </c>
      <c r="O5680">
        <v>2.0950346999999998</v>
      </c>
      <c r="P5680">
        <v>98.291666669999998</v>
      </c>
      <c r="Q5680">
        <v>30.315130790000001</v>
      </c>
      <c r="R5680">
        <v>5.0803484000000003E-2</v>
      </c>
      <c r="S5680">
        <v>0.42866070000000001</v>
      </c>
      <c r="T5680" t="s">
        <v>1041</v>
      </c>
      <c r="U5680">
        <v>1.6663739999999998</v>
      </c>
    </row>
    <row r="5681" spans="1:21" x14ac:dyDescent="0.25">
      <c r="A5681" t="s">
        <v>85</v>
      </c>
      <c r="B5681" t="s">
        <v>999</v>
      </c>
      <c r="C5681">
        <v>6</v>
      </c>
      <c r="D5681" t="s">
        <v>25</v>
      </c>
      <c r="E5681" t="s">
        <v>94</v>
      </c>
      <c r="F5681" t="s">
        <v>105</v>
      </c>
      <c r="G5681" t="s">
        <v>103</v>
      </c>
      <c r="H5681" t="s">
        <v>103</v>
      </c>
      <c r="J5681">
        <v>0</v>
      </c>
      <c r="K5681">
        <v>4</v>
      </c>
      <c r="L5681">
        <v>67.5</v>
      </c>
      <c r="M5681">
        <v>47.937235809999997</v>
      </c>
      <c r="N5681">
        <v>0.41599678000000001</v>
      </c>
      <c r="O5681">
        <v>2.0950346999999998</v>
      </c>
      <c r="P5681">
        <v>98.291666669999998</v>
      </c>
      <c r="Q5681">
        <v>30.315130790000001</v>
      </c>
      <c r="R5681">
        <v>5.0803484000000003E-2</v>
      </c>
      <c r="S5681">
        <v>0.42866070000000001</v>
      </c>
      <c r="T5681" t="s">
        <v>1041</v>
      </c>
      <c r="U5681">
        <v>1.6663739999999998</v>
      </c>
    </row>
    <row r="5682" spans="1:21" x14ac:dyDescent="0.25">
      <c r="A5682" t="s">
        <v>85</v>
      </c>
      <c r="B5682" t="s">
        <v>999</v>
      </c>
      <c r="C5682">
        <v>6</v>
      </c>
      <c r="D5682" t="s">
        <v>25</v>
      </c>
      <c r="E5682" t="s">
        <v>94</v>
      </c>
      <c r="F5682" t="s">
        <v>105</v>
      </c>
      <c r="G5682" t="s">
        <v>103</v>
      </c>
      <c r="H5682" t="s">
        <v>103</v>
      </c>
      <c r="J5682">
        <v>0</v>
      </c>
      <c r="K5682">
        <v>4</v>
      </c>
      <c r="L5682">
        <v>67.5</v>
      </c>
      <c r="M5682">
        <v>47.937235809999997</v>
      </c>
      <c r="N5682">
        <v>0.41599678000000001</v>
      </c>
      <c r="O5682">
        <v>2.0950346999999998</v>
      </c>
      <c r="P5682">
        <v>98.291666669999998</v>
      </c>
      <c r="Q5682">
        <v>30.315130790000001</v>
      </c>
      <c r="R5682">
        <v>5.0803484000000003E-2</v>
      </c>
      <c r="S5682">
        <v>0.42866070000000001</v>
      </c>
      <c r="T5682" t="s">
        <v>1041</v>
      </c>
      <c r="U5682">
        <v>1.6663739999999998</v>
      </c>
    </row>
    <row r="5683" spans="1:21" x14ac:dyDescent="0.25">
      <c r="A5683" t="s">
        <v>85</v>
      </c>
      <c r="B5683" t="s">
        <v>999</v>
      </c>
      <c r="C5683">
        <v>6</v>
      </c>
      <c r="D5683" t="s">
        <v>25</v>
      </c>
      <c r="E5683" t="s">
        <v>94</v>
      </c>
      <c r="F5683" t="s">
        <v>105</v>
      </c>
      <c r="G5683" t="s">
        <v>103</v>
      </c>
      <c r="H5683" t="s">
        <v>103</v>
      </c>
      <c r="J5683">
        <v>0</v>
      </c>
      <c r="K5683">
        <v>4</v>
      </c>
      <c r="L5683">
        <v>67.5</v>
      </c>
      <c r="M5683">
        <v>47.937235809999997</v>
      </c>
      <c r="N5683">
        <v>0.41599678000000001</v>
      </c>
      <c r="O5683">
        <v>2.0950346999999998</v>
      </c>
      <c r="P5683">
        <v>98.291666669999998</v>
      </c>
      <c r="Q5683">
        <v>30.315130790000001</v>
      </c>
      <c r="R5683">
        <v>5.0803484000000003E-2</v>
      </c>
      <c r="S5683">
        <v>0.42866070000000001</v>
      </c>
      <c r="T5683" t="s">
        <v>1041</v>
      </c>
      <c r="U5683">
        <v>1.6663739999999998</v>
      </c>
    </row>
    <row r="5684" spans="1:21" x14ac:dyDescent="0.25">
      <c r="A5684" t="s">
        <v>85</v>
      </c>
      <c r="B5684" t="s">
        <v>1000</v>
      </c>
      <c r="C5684">
        <v>6</v>
      </c>
      <c r="D5684" t="s">
        <v>25</v>
      </c>
      <c r="E5684" t="s">
        <v>94</v>
      </c>
      <c r="F5684" t="s">
        <v>110</v>
      </c>
      <c r="G5684" t="s">
        <v>103</v>
      </c>
      <c r="H5684" t="s">
        <v>103</v>
      </c>
      <c r="J5684">
        <v>0</v>
      </c>
      <c r="K5684">
        <v>9</v>
      </c>
      <c r="L5684">
        <v>73.260869569999997</v>
      </c>
      <c r="M5684">
        <v>34.453830549999999</v>
      </c>
      <c r="N5684">
        <v>1.058333333</v>
      </c>
      <c r="O5684">
        <v>0.90897070000000002</v>
      </c>
      <c r="P5684">
        <v>98.291666669999998</v>
      </c>
      <c r="Q5684">
        <v>30.315130790000001</v>
      </c>
      <c r="R5684">
        <v>5.0803484000000003E-2</v>
      </c>
      <c r="S5684">
        <v>0.42866070000000001</v>
      </c>
      <c r="T5684" t="s">
        <v>1041</v>
      </c>
      <c r="U5684">
        <v>0.48031000000000001</v>
      </c>
    </row>
    <row r="5685" spans="1:21" x14ac:dyDescent="0.25">
      <c r="A5685" t="s">
        <v>85</v>
      </c>
      <c r="B5685" t="s">
        <v>1000</v>
      </c>
      <c r="C5685">
        <v>6</v>
      </c>
      <c r="D5685" t="s">
        <v>25</v>
      </c>
      <c r="E5685" t="s">
        <v>94</v>
      </c>
      <c r="F5685" t="s">
        <v>110</v>
      </c>
      <c r="G5685" t="s">
        <v>103</v>
      </c>
      <c r="H5685" t="s">
        <v>103</v>
      </c>
      <c r="J5685">
        <v>0</v>
      </c>
      <c r="K5685">
        <v>9</v>
      </c>
      <c r="L5685">
        <v>73.260869569999997</v>
      </c>
      <c r="M5685">
        <v>34.453830549999999</v>
      </c>
      <c r="N5685">
        <v>1.058333333</v>
      </c>
      <c r="O5685">
        <v>0.90897070000000002</v>
      </c>
      <c r="P5685">
        <v>98.291666669999998</v>
      </c>
      <c r="Q5685">
        <v>30.315130790000001</v>
      </c>
      <c r="R5685">
        <v>5.0803484000000003E-2</v>
      </c>
      <c r="S5685">
        <v>0.42866070000000001</v>
      </c>
      <c r="T5685" t="s">
        <v>1041</v>
      </c>
      <c r="U5685">
        <v>0.48031000000000001</v>
      </c>
    </row>
    <row r="5686" spans="1:21" x14ac:dyDescent="0.25">
      <c r="A5686" t="s">
        <v>85</v>
      </c>
      <c r="B5686" t="s">
        <v>1000</v>
      </c>
      <c r="C5686">
        <v>6</v>
      </c>
      <c r="D5686" t="s">
        <v>25</v>
      </c>
      <c r="E5686" t="s">
        <v>94</v>
      </c>
      <c r="F5686" t="s">
        <v>110</v>
      </c>
      <c r="G5686" t="s">
        <v>103</v>
      </c>
      <c r="H5686" t="s">
        <v>103</v>
      </c>
      <c r="J5686">
        <v>0</v>
      </c>
      <c r="K5686">
        <v>9</v>
      </c>
      <c r="L5686">
        <v>73.260869569999997</v>
      </c>
      <c r="M5686">
        <v>34.453830549999999</v>
      </c>
      <c r="N5686">
        <v>1.058333333</v>
      </c>
      <c r="O5686">
        <v>0.90897070000000002</v>
      </c>
      <c r="P5686">
        <v>98.291666669999998</v>
      </c>
      <c r="Q5686">
        <v>30.315130790000001</v>
      </c>
      <c r="R5686">
        <v>5.0803484000000003E-2</v>
      </c>
      <c r="S5686">
        <v>0.42866070000000001</v>
      </c>
      <c r="T5686" t="s">
        <v>1041</v>
      </c>
      <c r="U5686">
        <v>0.48031000000000001</v>
      </c>
    </row>
    <row r="5687" spans="1:21" x14ac:dyDescent="0.25">
      <c r="A5687" t="s">
        <v>85</v>
      </c>
      <c r="B5687" t="s">
        <v>1000</v>
      </c>
      <c r="C5687">
        <v>6</v>
      </c>
      <c r="D5687" t="s">
        <v>25</v>
      </c>
      <c r="E5687" t="s">
        <v>94</v>
      </c>
      <c r="F5687" t="s">
        <v>110</v>
      </c>
      <c r="G5687" t="s">
        <v>103</v>
      </c>
      <c r="H5687" t="s">
        <v>103</v>
      </c>
      <c r="J5687">
        <v>0</v>
      </c>
      <c r="K5687">
        <v>9</v>
      </c>
      <c r="L5687">
        <v>73.260869569999997</v>
      </c>
      <c r="M5687">
        <v>34.453830549999999</v>
      </c>
      <c r="N5687">
        <v>1.058333333</v>
      </c>
      <c r="O5687">
        <v>0.90897070000000002</v>
      </c>
      <c r="P5687">
        <v>98.291666669999998</v>
      </c>
      <c r="Q5687">
        <v>30.315130790000001</v>
      </c>
      <c r="R5687">
        <v>5.0803484000000003E-2</v>
      </c>
      <c r="S5687">
        <v>0.42866070000000001</v>
      </c>
      <c r="T5687" t="s">
        <v>1041</v>
      </c>
      <c r="U5687">
        <v>0.48031000000000001</v>
      </c>
    </row>
    <row r="5688" spans="1:21" x14ac:dyDescent="0.25">
      <c r="A5688" t="s">
        <v>85</v>
      </c>
      <c r="B5688" t="s">
        <v>1000</v>
      </c>
      <c r="C5688">
        <v>6</v>
      </c>
      <c r="D5688" t="s">
        <v>25</v>
      </c>
      <c r="E5688" t="s">
        <v>94</v>
      </c>
      <c r="F5688" t="s">
        <v>110</v>
      </c>
      <c r="G5688" t="s">
        <v>103</v>
      </c>
      <c r="H5688" t="s">
        <v>103</v>
      </c>
      <c r="J5688">
        <v>0</v>
      </c>
      <c r="K5688">
        <v>9</v>
      </c>
      <c r="L5688">
        <v>73.260869569999997</v>
      </c>
      <c r="M5688">
        <v>34.453830549999999</v>
      </c>
      <c r="N5688">
        <v>1.058333333</v>
      </c>
      <c r="O5688">
        <v>0.90897070000000002</v>
      </c>
      <c r="P5688">
        <v>98.291666669999998</v>
      </c>
      <c r="Q5688">
        <v>30.315130790000001</v>
      </c>
      <c r="R5688">
        <v>5.0803484000000003E-2</v>
      </c>
      <c r="S5688">
        <v>0.42866070000000001</v>
      </c>
      <c r="T5688" t="s">
        <v>1041</v>
      </c>
      <c r="U5688">
        <v>0.48031000000000001</v>
      </c>
    </row>
    <row r="5689" spans="1:21" x14ac:dyDescent="0.25">
      <c r="A5689" t="s">
        <v>85</v>
      </c>
      <c r="B5689" t="s">
        <v>1000</v>
      </c>
      <c r="C5689">
        <v>6</v>
      </c>
      <c r="D5689" t="s">
        <v>25</v>
      </c>
      <c r="E5689" t="s">
        <v>94</v>
      </c>
      <c r="F5689" t="s">
        <v>110</v>
      </c>
      <c r="G5689" t="s">
        <v>103</v>
      </c>
      <c r="H5689" t="s">
        <v>103</v>
      </c>
      <c r="J5689">
        <v>0</v>
      </c>
      <c r="K5689">
        <v>9</v>
      </c>
      <c r="L5689">
        <v>73.260869569999997</v>
      </c>
      <c r="M5689">
        <v>34.453830549999999</v>
      </c>
      <c r="N5689">
        <v>1.058333333</v>
      </c>
      <c r="O5689">
        <v>0.90897070000000002</v>
      </c>
      <c r="P5689">
        <v>98.291666669999998</v>
      </c>
      <c r="Q5689">
        <v>30.315130790000001</v>
      </c>
      <c r="R5689">
        <v>5.0803484000000003E-2</v>
      </c>
      <c r="S5689">
        <v>0.42866070000000001</v>
      </c>
      <c r="T5689" t="s">
        <v>1041</v>
      </c>
      <c r="U5689">
        <v>0.48031000000000001</v>
      </c>
    </row>
    <row r="5690" spans="1:21" x14ac:dyDescent="0.25">
      <c r="A5690" t="s">
        <v>85</v>
      </c>
      <c r="B5690" t="s">
        <v>1000</v>
      </c>
      <c r="C5690">
        <v>6</v>
      </c>
      <c r="D5690" t="s">
        <v>25</v>
      </c>
      <c r="E5690" t="s">
        <v>94</v>
      </c>
      <c r="F5690" t="s">
        <v>110</v>
      </c>
      <c r="G5690" t="s">
        <v>103</v>
      </c>
      <c r="H5690" t="s">
        <v>103</v>
      </c>
      <c r="J5690">
        <v>0</v>
      </c>
      <c r="K5690">
        <v>9</v>
      </c>
      <c r="L5690">
        <v>73.260869569999997</v>
      </c>
      <c r="M5690">
        <v>34.453830549999999</v>
      </c>
      <c r="N5690">
        <v>1.058333333</v>
      </c>
      <c r="O5690">
        <v>0.90897070000000002</v>
      </c>
      <c r="P5690">
        <v>98.291666669999998</v>
      </c>
      <c r="Q5690">
        <v>30.315130790000001</v>
      </c>
      <c r="R5690">
        <v>5.0803484000000003E-2</v>
      </c>
      <c r="S5690">
        <v>0.42866070000000001</v>
      </c>
      <c r="T5690" t="s">
        <v>1041</v>
      </c>
      <c r="U5690">
        <v>0.48031000000000001</v>
      </c>
    </row>
    <row r="5691" spans="1:21" x14ac:dyDescent="0.25">
      <c r="A5691" t="s">
        <v>85</v>
      </c>
      <c r="B5691" t="s">
        <v>1000</v>
      </c>
      <c r="C5691">
        <v>6</v>
      </c>
      <c r="D5691" t="s">
        <v>25</v>
      </c>
      <c r="E5691" t="s">
        <v>94</v>
      </c>
      <c r="F5691" t="s">
        <v>110</v>
      </c>
      <c r="G5691" t="s">
        <v>103</v>
      </c>
      <c r="H5691" t="s">
        <v>103</v>
      </c>
      <c r="J5691">
        <v>0</v>
      </c>
      <c r="K5691">
        <v>9</v>
      </c>
      <c r="L5691">
        <v>73.260869569999997</v>
      </c>
      <c r="M5691">
        <v>34.453830549999999</v>
      </c>
      <c r="N5691">
        <v>1.058333333</v>
      </c>
      <c r="O5691">
        <v>0.90897070000000002</v>
      </c>
      <c r="P5691">
        <v>98.291666669999998</v>
      </c>
      <c r="Q5691">
        <v>30.315130790000001</v>
      </c>
      <c r="R5691">
        <v>5.0803484000000003E-2</v>
      </c>
      <c r="S5691">
        <v>0.42866070000000001</v>
      </c>
      <c r="T5691" t="s">
        <v>1041</v>
      </c>
      <c r="U5691">
        <v>0.48031000000000001</v>
      </c>
    </row>
    <row r="5692" spans="1:21" x14ac:dyDescent="0.25">
      <c r="A5692" t="s">
        <v>85</v>
      </c>
      <c r="B5692" t="s">
        <v>1000</v>
      </c>
      <c r="C5692">
        <v>6</v>
      </c>
      <c r="D5692" t="s">
        <v>25</v>
      </c>
      <c r="E5692" t="s">
        <v>94</v>
      </c>
      <c r="F5692" t="s">
        <v>110</v>
      </c>
      <c r="G5692" t="s">
        <v>103</v>
      </c>
      <c r="H5692" t="s">
        <v>103</v>
      </c>
      <c r="J5692">
        <v>0</v>
      </c>
      <c r="K5692">
        <v>9</v>
      </c>
      <c r="L5692">
        <v>73.260869569999997</v>
      </c>
      <c r="M5692">
        <v>34.453830549999999</v>
      </c>
      <c r="N5692">
        <v>1.058333333</v>
      </c>
      <c r="O5692">
        <v>0.90897070000000002</v>
      </c>
      <c r="P5692">
        <v>98.291666669999998</v>
      </c>
      <c r="Q5692">
        <v>30.315130790000001</v>
      </c>
      <c r="R5692">
        <v>5.0803484000000003E-2</v>
      </c>
      <c r="S5692">
        <v>0.42866070000000001</v>
      </c>
      <c r="T5692" t="s">
        <v>1041</v>
      </c>
      <c r="U5692">
        <v>0.48031000000000001</v>
      </c>
    </row>
    <row r="5693" spans="1:21" x14ac:dyDescent="0.25">
      <c r="A5693" t="s">
        <v>85</v>
      </c>
      <c r="B5693" t="s">
        <v>1000</v>
      </c>
      <c r="C5693">
        <v>6</v>
      </c>
      <c r="D5693" t="s">
        <v>25</v>
      </c>
      <c r="E5693" t="s">
        <v>94</v>
      </c>
      <c r="F5693" t="s">
        <v>110</v>
      </c>
      <c r="G5693" t="s">
        <v>103</v>
      </c>
      <c r="H5693" t="s">
        <v>248</v>
      </c>
      <c r="J5693">
        <v>0</v>
      </c>
      <c r="K5693">
        <v>4</v>
      </c>
      <c r="L5693">
        <v>73.260869569999997</v>
      </c>
      <c r="M5693">
        <v>34.453830549999999</v>
      </c>
      <c r="N5693">
        <v>1.058333333</v>
      </c>
      <c r="O5693">
        <v>0.90897070000000002</v>
      </c>
      <c r="P5693">
        <v>83.92307692</v>
      </c>
      <c r="Q5693">
        <v>44.319135699999997</v>
      </c>
      <c r="R5693">
        <v>5.9548609999999997E-3</v>
      </c>
      <c r="S5693">
        <v>0.18017928</v>
      </c>
      <c r="T5693" t="s">
        <v>1041</v>
      </c>
      <c r="U5693">
        <v>0.72879142000000008</v>
      </c>
    </row>
    <row r="5694" spans="1:21" x14ac:dyDescent="0.25">
      <c r="A5694" t="s">
        <v>85</v>
      </c>
      <c r="B5694" t="s">
        <v>1000</v>
      </c>
      <c r="C5694">
        <v>6</v>
      </c>
      <c r="D5694" t="s">
        <v>25</v>
      </c>
      <c r="E5694" t="s">
        <v>94</v>
      </c>
      <c r="F5694" t="s">
        <v>110</v>
      </c>
      <c r="G5694" t="s">
        <v>103</v>
      </c>
      <c r="H5694" t="s">
        <v>248</v>
      </c>
      <c r="J5694">
        <v>0</v>
      </c>
      <c r="K5694">
        <v>4</v>
      </c>
      <c r="L5694">
        <v>73.260869569999997</v>
      </c>
      <c r="M5694">
        <v>34.453830549999999</v>
      </c>
      <c r="N5694">
        <v>1.058333333</v>
      </c>
      <c r="O5694">
        <v>0.90897070000000002</v>
      </c>
      <c r="P5694">
        <v>83.92307692</v>
      </c>
      <c r="Q5694">
        <v>44.319135699999997</v>
      </c>
      <c r="R5694">
        <v>5.9548609999999997E-3</v>
      </c>
      <c r="S5694">
        <v>0.18017928</v>
      </c>
      <c r="T5694" t="s">
        <v>1041</v>
      </c>
      <c r="U5694">
        <v>0.72879142000000008</v>
      </c>
    </row>
    <row r="5695" spans="1:21" x14ac:dyDescent="0.25">
      <c r="A5695" t="s">
        <v>85</v>
      </c>
      <c r="B5695" t="s">
        <v>1000</v>
      </c>
      <c r="C5695">
        <v>6</v>
      </c>
      <c r="D5695" t="s">
        <v>25</v>
      </c>
      <c r="E5695" t="s">
        <v>94</v>
      </c>
      <c r="F5695" t="s">
        <v>110</v>
      </c>
      <c r="G5695" t="s">
        <v>103</v>
      </c>
      <c r="H5695" t="s">
        <v>248</v>
      </c>
      <c r="J5695">
        <v>0</v>
      </c>
      <c r="K5695">
        <v>4</v>
      </c>
      <c r="L5695">
        <v>73.260869569999997</v>
      </c>
      <c r="M5695">
        <v>34.453830549999999</v>
      </c>
      <c r="N5695">
        <v>1.058333333</v>
      </c>
      <c r="O5695">
        <v>0.90897070000000002</v>
      </c>
      <c r="P5695">
        <v>83.92307692</v>
      </c>
      <c r="Q5695">
        <v>44.319135699999997</v>
      </c>
      <c r="R5695">
        <v>5.9548609999999997E-3</v>
      </c>
      <c r="S5695">
        <v>0.18017928</v>
      </c>
      <c r="T5695" t="s">
        <v>1041</v>
      </c>
      <c r="U5695">
        <v>0.72879142000000008</v>
      </c>
    </row>
    <row r="5696" spans="1:21" x14ac:dyDescent="0.25">
      <c r="A5696" t="s">
        <v>85</v>
      </c>
      <c r="B5696" t="s">
        <v>1000</v>
      </c>
      <c r="C5696">
        <v>6</v>
      </c>
      <c r="D5696" t="s">
        <v>25</v>
      </c>
      <c r="E5696" t="s">
        <v>94</v>
      </c>
      <c r="F5696" t="s">
        <v>110</v>
      </c>
      <c r="G5696" t="s">
        <v>103</v>
      </c>
      <c r="H5696" t="s">
        <v>248</v>
      </c>
      <c r="J5696">
        <v>0</v>
      </c>
      <c r="K5696">
        <v>4</v>
      </c>
      <c r="L5696">
        <v>73.260869569999997</v>
      </c>
      <c r="M5696">
        <v>34.453830549999999</v>
      </c>
      <c r="N5696">
        <v>1.058333333</v>
      </c>
      <c r="O5696">
        <v>0.90897070000000002</v>
      </c>
      <c r="P5696">
        <v>83.92307692</v>
      </c>
      <c r="Q5696">
        <v>44.319135699999997</v>
      </c>
      <c r="R5696">
        <v>5.9548609999999997E-3</v>
      </c>
      <c r="S5696">
        <v>0.18017928</v>
      </c>
      <c r="T5696" t="s">
        <v>1041</v>
      </c>
      <c r="U5696">
        <v>0.72879142000000008</v>
      </c>
    </row>
    <row r="5697" spans="1:21" x14ac:dyDescent="0.25">
      <c r="A5697" t="s">
        <v>85</v>
      </c>
      <c r="B5697" t="s">
        <v>1000</v>
      </c>
      <c r="C5697">
        <v>6</v>
      </c>
      <c r="D5697" t="s">
        <v>25</v>
      </c>
      <c r="E5697" t="s">
        <v>94</v>
      </c>
      <c r="F5697" t="s">
        <v>110</v>
      </c>
      <c r="G5697" t="s">
        <v>103</v>
      </c>
      <c r="H5697" t="s">
        <v>233</v>
      </c>
      <c r="J5697">
        <v>0</v>
      </c>
      <c r="K5697">
        <v>3</v>
      </c>
      <c r="L5697">
        <v>73.260869569999997</v>
      </c>
      <c r="M5697">
        <v>34.453830549999999</v>
      </c>
      <c r="N5697">
        <v>1.058333333</v>
      </c>
      <c r="O5697">
        <v>0.90897070000000002</v>
      </c>
      <c r="P5697">
        <v>106.0540541</v>
      </c>
      <c r="Q5697">
        <v>52.690533369999997</v>
      </c>
      <c r="R5697">
        <v>7.6058968000000005E-2</v>
      </c>
      <c r="S5697">
        <v>0.44888888999999998</v>
      </c>
      <c r="T5697" t="s">
        <v>1041</v>
      </c>
      <c r="U5697">
        <v>0.46008181000000004</v>
      </c>
    </row>
    <row r="5698" spans="1:21" x14ac:dyDescent="0.25">
      <c r="A5698" t="s">
        <v>85</v>
      </c>
      <c r="B5698" t="s">
        <v>1000</v>
      </c>
      <c r="C5698">
        <v>6</v>
      </c>
      <c r="D5698" t="s">
        <v>25</v>
      </c>
      <c r="E5698" t="s">
        <v>94</v>
      </c>
      <c r="F5698" t="s">
        <v>110</v>
      </c>
      <c r="G5698" t="s">
        <v>103</v>
      </c>
      <c r="H5698" t="s">
        <v>233</v>
      </c>
      <c r="J5698">
        <v>0</v>
      </c>
      <c r="K5698">
        <v>3</v>
      </c>
      <c r="L5698">
        <v>73.260869569999997</v>
      </c>
      <c r="M5698">
        <v>34.453830549999999</v>
      </c>
      <c r="N5698">
        <v>1.058333333</v>
      </c>
      <c r="O5698">
        <v>0.90897070000000002</v>
      </c>
      <c r="P5698">
        <v>106.0540541</v>
      </c>
      <c r="Q5698">
        <v>52.690533369999997</v>
      </c>
      <c r="R5698">
        <v>7.6058968000000005E-2</v>
      </c>
      <c r="S5698">
        <v>0.44888888999999998</v>
      </c>
      <c r="T5698" t="s">
        <v>1041</v>
      </c>
      <c r="U5698">
        <v>0.46008181000000004</v>
      </c>
    </row>
    <row r="5699" spans="1:21" x14ac:dyDescent="0.25">
      <c r="A5699" t="s">
        <v>85</v>
      </c>
      <c r="B5699" t="s">
        <v>1000</v>
      </c>
      <c r="C5699">
        <v>6</v>
      </c>
      <c r="D5699" t="s">
        <v>25</v>
      </c>
      <c r="E5699" t="s">
        <v>94</v>
      </c>
      <c r="F5699" t="s">
        <v>110</v>
      </c>
      <c r="G5699" t="s">
        <v>103</v>
      </c>
      <c r="H5699" t="s">
        <v>233</v>
      </c>
      <c r="J5699">
        <v>0</v>
      </c>
      <c r="K5699">
        <v>3</v>
      </c>
      <c r="L5699">
        <v>73.260869569999997</v>
      </c>
      <c r="M5699">
        <v>34.453830549999999</v>
      </c>
      <c r="N5699">
        <v>1.058333333</v>
      </c>
      <c r="O5699">
        <v>0.90897070000000002</v>
      </c>
      <c r="P5699">
        <v>106.0540541</v>
      </c>
      <c r="Q5699">
        <v>52.690533369999997</v>
      </c>
      <c r="R5699">
        <v>7.6058968000000005E-2</v>
      </c>
      <c r="S5699">
        <v>0.44888888999999998</v>
      </c>
      <c r="T5699" t="s">
        <v>1041</v>
      </c>
      <c r="U5699">
        <v>0.46008181000000004</v>
      </c>
    </row>
    <row r="5700" spans="1:21" x14ac:dyDescent="0.25">
      <c r="A5700" t="s">
        <v>85</v>
      </c>
      <c r="B5700" t="s">
        <v>1000</v>
      </c>
      <c r="C5700">
        <v>6</v>
      </c>
      <c r="D5700" t="s">
        <v>25</v>
      </c>
      <c r="E5700" t="s">
        <v>94</v>
      </c>
      <c r="F5700" t="s">
        <v>110</v>
      </c>
      <c r="G5700" t="s">
        <v>103</v>
      </c>
      <c r="H5700" t="s">
        <v>110</v>
      </c>
      <c r="J5700">
        <v>0</v>
      </c>
      <c r="K5700">
        <v>1</v>
      </c>
      <c r="L5700">
        <v>73.260869569999997</v>
      </c>
      <c r="M5700">
        <v>34.453830549999999</v>
      </c>
      <c r="N5700">
        <v>1.058333333</v>
      </c>
      <c r="O5700">
        <v>0.90897070000000002</v>
      </c>
      <c r="P5700">
        <v>73.260869569999997</v>
      </c>
      <c r="Q5700">
        <v>34.453830549999999</v>
      </c>
      <c r="R5700">
        <v>1.058333333</v>
      </c>
      <c r="S5700">
        <v>0.90897070000000002</v>
      </c>
      <c r="T5700" t="s">
        <v>1041</v>
      </c>
      <c r="U5700">
        <v>0</v>
      </c>
    </row>
    <row r="5701" spans="1:21" x14ac:dyDescent="0.25">
      <c r="A5701" t="s">
        <v>86</v>
      </c>
      <c r="B5701" t="s">
        <v>1001</v>
      </c>
      <c r="C5701">
        <v>6</v>
      </c>
      <c r="D5701" t="s">
        <v>27</v>
      </c>
      <c r="E5701" t="s">
        <v>94</v>
      </c>
      <c r="F5701" t="s">
        <v>110</v>
      </c>
      <c r="G5701" t="s">
        <v>121</v>
      </c>
      <c r="H5701" t="s">
        <v>246</v>
      </c>
      <c r="J5701">
        <v>0</v>
      </c>
      <c r="K5701">
        <v>1</v>
      </c>
      <c r="L5701">
        <v>73.260869569999997</v>
      </c>
      <c r="M5701">
        <v>34.453830549999999</v>
      </c>
      <c r="N5701">
        <v>1.058333333</v>
      </c>
      <c r="O5701">
        <v>0.90897070000000002</v>
      </c>
      <c r="P5701">
        <v>120.25</v>
      </c>
      <c r="Q5701">
        <v>30.670450110000001</v>
      </c>
      <c r="R5701">
        <v>0.91037498500000003</v>
      </c>
      <c r="S5701" t="s">
        <v>114</v>
      </c>
      <c r="T5701" t="s">
        <v>1041</v>
      </c>
      <c r="U5701" t="s">
        <v>114</v>
      </c>
    </row>
    <row r="5702" spans="1:21" x14ac:dyDescent="0.25">
      <c r="A5702" t="s">
        <v>86</v>
      </c>
      <c r="B5702" t="s">
        <v>1001</v>
      </c>
      <c r="C5702">
        <v>6</v>
      </c>
      <c r="D5702" t="s">
        <v>27</v>
      </c>
      <c r="E5702" t="s">
        <v>94</v>
      </c>
      <c r="F5702" t="s">
        <v>110</v>
      </c>
      <c r="G5702" t="s">
        <v>121</v>
      </c>
      <c r="H5702" t="s">
        <v>242</v>
      </c>
      <c r="J5702">
        <v>0</v>
      </c>
      <c r="K5702">
        <v>2</v>
      </c>
      <c r="L5702">
        <v>73.260869569999997</v>
      </c>
      <c r="M5702">
        <v>34.453830549999999</v>
      </c>
      <c r="N5702">
        <v>1.058333333</v>
      </c>
      <c r="O5702">
        <v>0.90897070000000002</v>
      </c>
      <c r="P5702">
        <v>139.375</v>
      </c>
      <c r="Q5702">
        <v>23.713465920000001</v>
      </c>
      <c r="R5702" t="s">
        <v>114</v>
      </c>
      <c r="S5702" t="s">
        <v>114</v>
      </c>
      <c r="T5702" t="s">
        <v>1041</v>
      </c>
      <c r="U5702" t="s">
        <v>114</v>
      </c>
    </row>
    <row r="5703" spans="1:21" x14ac:dyDescent="0.25">
      <c r="A5703" t="s">
        <v>86</v>
      </c>
      <c r="B5703" t="s">
        <v>1001</v>
      </c>
      <c r="C5703">
        <v>6</v>
      </c>
      <c r="D5703" t="s">
        <v>27</v>
      </c>
      <c r="E5703" t="s">
        <v>94</v>
      </c>
      <c r="F5703" t="s">
        <v>110</v>
      </c>
      <c r="G5703" t="s">
        <v>121</v>
      </c>
      <c r="H5703" t="s">
        <v>242</v>
      </c>
      <c r="J5703">
        <v>0</v>
      </c>
      <c r="K5703">
        <v>2</v>
      </c>
      <c r="L5703">
        <v>73.260869569999997</v>
      </c>
      <c r="M5703">
        <v>34.453830549999999</v>
      </c>
      <c r="N5703">
        <v>1.058333333</v>
      </c>
      <c r="O5703">
        <v>0.90897070000000002</v>
      </c>
      <c r="P5703">
        <v>139.375</v>
      </c>
      <c r="Q5703">
        <v>23.713465920000001</v>
      </c>
      <c r="R5703" t="s">
        <v>114</v>
      </c>
      <c r="S5703" t="s">
        <v>114</v>
      </c>
      <c r="T5703" t="s">
        <v>1041</v>
      </c>
      <c r="U5703" t="s">
        <v>114</v>
      </c>
    </row>
    <row r="5704" spans="1:21" x14ac:dyDescent="0.25">
      <c r="A5704" t="s">
        <v>86</v>
      </c>
      <c r="B5704" t="s">
        <v>1002</v>
      </c>
      <c r="C5704">
        <v>6</v>
      </c>
      <c r="D5704" t="s">
        <v>27</v>
      </c>
      <c r="E5704" t="s">
        <v>94</v>
      </c>
      <c r="F5704" t="s">
        <v>112</v>
      </c>
      <c r="G5704" t="s">
        <v>110</v>
      </c>
      <c r="H5704" t="s">
        <v>110</v>
      </c>
      <c r="J5704">
        <v>0</v>
      </c>
      <c r="K5704">
        <v>1</v>
      </c>
      <c r="L5704">
        <v>65.09375</v>
      </c>
      <c r="M5704">
        <v>37.895352600000002</v>
      </c>
      <c r="N5704">
        <v>2.2882677779999998</v>
      </c>
      <c r="O5704">
        <v>2.2111774</v>
      </c>
      <c r="P5704">
        <v>73.260869569999997</v>
      </c>
      <c r="Q5704">
        <v>34.453830549999999</v>
      </c>
      <c r="R5704">
        <v>1.058333333</v>
      </c>
      <c r="S5704">
        <v>0.90897070000000002</v>
      </c>
      <c r="T5704" t="s">
        <v>1041</v>
      </c>
      <c r="U5704">
        <v>1.3022066999999999</v>
      </c>
    </row>
    <row r="5705" spans="1:21" x14ac:dyDescent="0.25">
      <c r="A5705" t="s">
        <v>86</v>
      </c>
      <c r="B5705" t="s">
        <v>1002</v>
      </c>
      <c r="C5705">
        <v>6</v>
      </c>
      <c r="D5705" t="s">
        <v>27</v>
      </c>
      <c r="E5705" t="s">
        <v>94</v>
      </c>
      <c r="F5705" t="s">
        <v>112</v>
      </c>
      <c r="G5705" t="s">
        <v>110</v>
      </c>
      <c r="H5705" t="s">
        <v>246</v>
      </c>
      <c r="J5705">
        <v>0</v>
      </c>
      <c r="K5705">
        <v>1</v>
      </c>
      <c r="L5705">
        <v>65.09375</v>
      </c>
      <c r="M5705">
        <v>37.895352600000002</v>
      </c>
      <c r="N5705">
        <v>2.2882677779999998</v>
      </c>
      <c r="O5705">
        <v>2.2111774</v>
      </c>
      <c r="P5705">
        <v>120.25</v>
      </c>
      <c r="Q5705">
        <v>30.670450110000001</v>
      </c>
      <c r="R5705">
        <v>0.91037498500000003</v>
      </c>
      <c r="S5705" t="s">
        <v>114</v>
      </c>
      <c r="T5705" t="s">
        <v>1041</v>
      </c>
      <c r="U5705" t="s">
        <v>114</v>
      </c>
    </row>
    <row r="5706" spans="1:21" x14ac:dyDescent="0.25">
      <c r="A5706" t="s">
        <v>87</v>
      </c>
      <c r="B5706" t="s">
        <v>1003</v>
      </c>
      <c r="C5706">
        <v>6</v>
      </c>
      <c r="D5706" t="s">
        <v>29</v>
      </c>
      <c r="E5706" t="s">
        <v>95</v>
      </c>
      <c r="F5706" t="s">
        <v>102</v>
      </c>
      <c r="G5706" t="s">
        <v>110</v>
      </c>
      <c r="H5706" t="s">
        <v>110</v>
      </c>
      <c r="J5706">
        <v>0</v>
      </c>
      <c r="K5706">
        <v>3</v>
      </c>
      <c r="L5706">
        <v>84.740740740000007</v>
      </c>
      <c r="M5706">
        <v>29.167014049999999</v>
      </c>
      <c r="N5706">
        <v>1.1169849999999999</v>
      </c>
      <c r="O5706">
        <v>1.1571499000000001</v>
      </c>
      <c r="P5706">
        <v>73.260869569999997</v>
      </c>
      <c r="Q5706">
        <v>34.453830549999999</v>
      </c>
      <c r="R5706">
        <v>1.058333333</v>
      </c>
      <c r="S5706">
        <v>0.90897070000000002</v>
      </c>
      <c r="T5706" t="s">
        <v>1041</v>
      </c>
      <c r="U5706">
        <v>0.24817920000000004</v>
      </c>
    </row>
    <row r="5707" spans="1:21" x14ac:dyDescent="0.25">
      <c r="A5707" t="s">
        <v>87</v>
      </c>
      <c r="B5707" t="s">
        <v>1003</v>
      </c>
      <c r="C5707">
        <v>6</v>
      </c>
      <c r="D5707" t="s">
        <v>29</v>
      </c>
      <c r="E5707" t="s">
        <v>95</v>
      </c>
      <c r="F5707" t="s">
        <v>102</v>
      </c>
      <c r="G5707" t="s">
        <v>110</v>
      </c>
      <c r="H5707" t="s">
        <v>110</v>
      </c>
      <c r="J5707">
        <v>0</v>
      </c>
      <c r="K5707">
        <v>3</v>
      </c>
      <c r="L5707">
        <v>84.740740740000007</v>
      </c>
      <c r="M5707">
        <v>29.167014049999999</v>
      </c>
      <c r="N5707">
        <v>1.1169849999999999</v>
      </c>
      <c r="O5707">
        <v>1.1571499000000001</v>
      </c>
      <c r="P5707">
        <v>73.260869569999997</v>
      </c>
      <c r="Q5707">
        <v>34.453830549999999</v>
      </c>
      <c r="R5707">
        <v>1.058333333</v>
      </c>
      <c r="S5707">
        <v>0.90897070000000002</v>
      </c>
      <c r="T5707" t="s">
        <v>1041</v>
      </c>
      <c r="U5707">
        <v>0.24817920000000004</v>
      </c>
    </row>
    <row r="5708" spans="1:21" x14ac:dyDescent="0.25">
      <c r="A5708" t="s">
        <v>87</v>
      </c>
      <c r="B5708" t="s">
        <v>1003</v>
      </c>
      <c r="C5708">
        <v>6</v>
      </c>
      <c r="D5708" t="s">
        <v>29</v>
      </c>
      <c r="E5708" t="s">
        <v>95</v>
      </c>
      <c r="F5708" t="s">
        <v>102</v>
      </c>
      <c r="G5708" t="s">
        <v>110</v>
      </c>
      <c r="H5708" t="s">
        <v>110</v>
      </c>
      <c r="J5708">
        <v>0</v>
      </c>
      <c r="K5708">
        <v>3</v>
      </c>
      <c r="L5708">
        <v>84.740740740000007</v>
      </c>
      <c r="M5708">
        <v>29.167014049999999</v>
      </c>
      <c r="N5708">
        <v>1.1169849999999999</v>
      </c>
      <c r="O5708">
        <v>1.1571499000000001</v>
      </c>
      <c r="P5708">
        <v>73.260869569999997</v>
      </c>
      <c r="Q5708">
        <v>34.453830549999999</v>
      </c>
      <c r="R5708">
        <v>1.058333333</v>
      </c>
      <c r="S5708">
        <v>0.90897070000000002</v>
      </c>
      <c r="T5708" t="s">
        <v>1041</v>
      </c>
      <c r="U5708">
        <v>0.24817920000000004</v>
      </c>
    </row>
    <row r="5709" spans="1:21" x14ac:dyDescent="0.25">
      <c r="A5709" t="s">
        <v>87</v>
      </c>
      <c r="B5709" t="s">
        <v>1003</v>
      </c>
      <c r="C5709">
        <v>6</v>
      </c>
      <c r="D5709" t="s">
        <v>29</v>
      </c>
      <c r="E5709" t="s">
        <v>95</v>
      </c>
      <c r="F5709" t="s">
        <v>102</v>
      </c>
      <c r="G5709" t="s">
        <v>110</v>
      </c>
      <c r="H5709" t="s">
        <v>246</v>
      </c>
      <c r="J5709">
        <v>0</v>
      </c>
      <c r="K5709">
        <v>1</v>
      </c>
      <c r="L5709">
        <v>84.740740740000007</v>
      </c>
      <c r="M5709">
        <v>29.167014049999999</v>
      </c>
      <c r="N5709">
        <v>1.1169849999999999</v>
      </c>
      <c r="O5709">
        <v>1.1571499000000001</v>
      </c>
      <c r="P5709">
        <v>120.25</v>
      </c>
      <c r="Q5709">
        <v>30.670450110000001</v>
      </c>
      <c r="R5709">
        <v>0.91037498500000003</v>
      </c>
      <c r="S5709" t="s">
        <v>114</v>
      </c>
      <c r="T5709" t="s">
        <v>1041</v>
      </c>
      <c r="U5709" t="s">
        <v>114</v>
      </c>
    </row>
    <row r="5710" spans="1:21" x14ac:dyDescent="0.25">
      <c r="A5710" t="s">
        <v>87</v>
      </c>
      <c r="B5710" t="s">
        <v>1003</v>
      </c>
      <c r="C5710">
        <v>6</v>
      </c>
      <c r="D5710" t="s">
        <v>29</v>
      </c>
      <c r="E5710" t="s">
        <v>95</v>
      </c>
      <c r="F5710" t="s">
        <v>102</v>
      </c>
      <c r="G5710" t="s">
        <v>110</v>
      </c>
      <c r="H5710" t="s">
        <v>242</v>
      </c>
      <c r="J5710">
        <v>0</v>
      </c>
      <c r="K5710">
        <v>2</v>
      </c>
      <c r="L5710">
        <v>84.740740740000007</v>
      </c>
      <c r="M5710">
        <v>29.167014049999999</v>
      </c>
      <c r="N5710">
        <v>1.1169849999999999</v>
      </c>
      <c r="O5710">
        <v>1.1571499000000001</v>
      </c>
      <c r="P5710">
        <v>139.375</v>
      </c>
      <c r="Q5710">
        <v>23.713465920000001</v>
      </c>
      <c r="R5710" t="s">
        <v>114</v>
      </c>
      <c r="S5710" t="s">
        <v>114</v>
      </c>
      <c r="T5710" t="s">
        <v>1041</v>
      </c>
      <c r="U5710" t="s">
        <v>114</v>
      </c>
    </row>
    <row r="5711" spans="1:21" x14ac:dyDescent="0.25">
      <c r="A5711" t="s">
        <v>87</v>
      </c>
      <c r="B5711" t="s">
        <v>1003</v>
      </c>
      <c r="C5711">
        <v>6</v>
      </c>
      <c r="D5711" t="s">
        <v>29</v>
      </c>
      <c r="E5711" t="s">
        <v>95</v>
      </c>
      <c r="F5711" t="s">
        <v>102</v>
      </c>
      <c r="G5711" t="s">
        <v>110</v>
      </c>
      <c r="H5711" t="s">
        <v>242</v>
      </c>
      <c r="J5711">
        <v>0</v>
      </c>
      <c r="K5711">
        <v>2</v>
      </c>
      <c r="L5711">
        <v>84.740740740000007</v>
      </c>
      <c r="M5711">
        <v>29.167014049999999</v>
      </c>
      <c r="N5711">
        <v>1.1169849999999999</v>
      </c>
      <c r="O5711">
        <v>1.1571499000000001</v>
      </c>
      <c r="P5711">
        <v>139.375</v>
      </c>
      <c r="Q5711">
        <v>23.713465920000001</v>
      </c>
      <c r="R5711" t="s">
        <v>114</v>
      </c>
      <c r="S5711" t="s">
        <v>114</v>
      </c>
      <c r="T5711" t="s">
        <v>1041</v>
      </c>
      <c r="U5711" t="s">
        <v>114</v>
      </c>
    </row>
    <row r="5712" spans="1:21" x14ac:dyDescent="0.25">
      <c r="A5712" t="s">
        <v>87</v>
      </c>
      <c r="B5712" t="s">
        <v>1004</v>
      </c>
      <c r="C5712">
        <v>6</v>
      </c>
      <c r="D5712" t="s">
        <v>29</v>
      </c>
      <c r="E5712" t="s">
        <v>95</v>
      </c>
      <c r="F5712" t="s">
        <v>110</v>
      </c>
      <c r="G5712" t="s">
        <v>110</v>
      </c>
      <c r="H5712" t="s">
        <v>110</v>
      </c>
      <c r="J5712">
        <v>0</v>
      </c>
      <c r="K5712">
        <v>1</v>
      </c>
      <c r="L5712">
        <v>73.260869569999997</v>
      </c>
      <c r="M5712">
        <v>34.453830549999999</v>
      </c>
      <c r="N5712">
        <v>1.058333333</v>
      </c>
      <c r="O5712">
        <v>0.90897070000000002</v>
      </c>
      <c r="P5712">
        <v>73.260869569999997</v>
      </c>
      <c r="Q5712">
        <v>34.453830549999999</v>
      </c>
      <c r="R5712">
        <v>1.058333333</v>
      </c>
      <c r="S5712">
        <v>0.90897070000000002</v>
      </c>
      <c r="T5712" t="s">
        <v>1041</v>
      </c>
      <c r="U5712">
        <v>0</v>
      </c>
    </row>
    <row r="5713" spans="1:21" x14ac:dyDescent="0.25">
      <c r="A5713" t="s">
        <v>88</v>
      </c>
      <c r="B5713" t="s">
        <v>1005</v>
      </c>
      <c r="C5713">
        <v>6</v>
      </c>
      <c r="D5713" t="s">
        <v>31</v>
      </c>
      <c r="E5713" t="s">
        <v>95</v>
      </c>
      <c r="F5713" t="s">
        <v>110</v>
      </c>
      <c r="G5713" t="s">
        <v>113</v>
      </c>
      <c r="H5713" t="s">
        <v>113</v>
      </c>
      <c r="J5713">
        <v>0</v>
      </c>
      <c r="K5713">
        <v>3</v>
      </c>
      <c r="L5713">
        <v>73.260869569999997</v>
      </c>
      <c r="M5713">
        <v>34.453830549999999</v>
      </c>
      <c r="N5713">
        <v>1.058333333</v>
      </c>
      <c r="O5713">
        <v>0.90897070000000002</v>
      </c>
      <c r="P5713">
        <v>83.757575759999995</v>
      </c>
      <c r="Q5713">
        <v>22.60997987</v>
      </c>
      <c r="R5713">
        <v>0.72884000000000004</v>
      </c>
      <c r="S5713">
        <v>0.21301339999999999</v>
      </c>
      <c r="T5713" t="s">
        <v>1041</v>
      </c>
      <c r="U5713">
        <v>0.6959573</v>
      </c>
    </row>
    <row r="5714" spans="1:21" x14ac:dyDescent="0.25">
      <c r="A5714" t="s">
        <v>88</v>
      </c>
      <c r="B5714" t="s">
        <v>1005</v>
      </c>
      <c r="C5714">
        <v>6</v>
      </c>
      <c r="D5714" t="s">
        <v>31</v>
      </c>
      <c r="E5714" t="s">
        <v>95</v>
      </c>
      <c r="F5714" t="s">
        <v>110</v>
      </c>
      <c r="G5714" t="s">
        <v>113</v>
      </c>
      <c r="H5714" t="s">
        <v>113</v>
      </c>
      <c r="J5714">
        <v>0</v>
      </c>
      <c r="K5714">
        <v>3</v>
      </c>
      <c r="L5714">
        <v>73.260869569999997</v>
      </c>
      <c r="M5714">
        <v>34.453830549999999</v>
      </c>
      <c r="N5714">
        <v>1.058333333</v>
      </c>
      <c r="O5714">
        <v>0.90897070000000002</v>
      </c>
      <c r="P5714">
        <v>83.757575759999995</v>
      </c>
      <c r="Q5714">
        <v>22.60997987</v>
      </c>
      <c r="R5714">
        <v>0.72884000000000004</v>
      </c>
      <c r="S5714">
        <v>0.21301339999999999</v>
      </c>
      <c r="T5714" t="s">
        <v>1041</v>
      </c>
      <c r="U5714">
        <v>0.6959573</v>
      </c>
    </row>
    <row r="5715" spans="1:21" x14ac:dyDescent="0.25">
      <c r="A5715" t="s">
        <v>88</v>
      </c>
      <c r="B5715" t="s">
        <v>1005</v>
      </c>
      <c r="C5715">
        <v>6</v>
      </c>
      <c r="D5715" t="s">
        <v>31</v>
      </c>
      <c r="E5715" t="s">
        <v>95</v>
      </c>
      <c r="F5715" t="s">
        <v>110</v>
      </c>
      <c r="G5715" t="s">
        <v>113</v>
      </c>
      <c r="H5715" t="s">
        <v>113</v>
      </c>
      <c r="J5715">
        <v>0</v>
      </c>
      <c r="K5715">
        <v>3</v>
      </c>
      <c r="L5715">
        <v>73.260869569999997</v>
      </c>
      <c r="M5715">
        <v>34.453830549999999</v>
      </c>
      <c r="N5715">
        <v>1.058333333</v>
      </c>
      <c r="O5715">
        <v>0.90897070000000002</v>
      </c>
      <c r="P5715">
        <v>83.757575759999995</v>
      </c>
      <c r="Q5715">
        <v>22.60997987</v>
      </c>
      <c r="R5715">
        <v>0.72884000000000004</v>
      </c>
      <c r="S5715">
        <v>0.21301339999999999</v>
      </c>
      <c r="T5715" t="s">
        <v>1041</v>
      </c>
      <c r="U5715">
        <v>0.6959573</v>
      </c>
    </row>
    <row r="5716" spans="1:21" x14ac:dyDescent="0.25">
      <c r="A5716" t="s">
        <v>88</v>
      </c>
      <c r="B5716" t="s">
        <v>1005</v>
      </c>
      <c r="C5716">
        <v>6</v>
      </c>
      <c r="D5716" t="s">
        <v>31</v>
      </c>
      <c r="E5716" t="s">
        <v>95</v>
      </c>
      <c r="F5716" t="s">
        <v>110</v>
      </c>
      <c r="G5716" t="s">
        <v>113</v>
      </c>
      <c r="H5716" t="s">
        <v>103</v>
      </c>
      <c r="J5716">
        <v>0</v>
      </c>
      <c r="K5716">
        <v>1</v>
      </c>
      <c r="L5716">
        <v>73.260869569999997</v>
      </c>
      <c r="M5716">
        <v>34.453830549999999</v>
      </c>
      <c r="N5716">
        <v>1.058333333</v>
      </c>
      <c r="O5716">
        <v>0.90897070000000002</v>
      </c>
      <c r="P5716">
        <v>98.291666669999998</v>
      </c>
      <c r="Q5716">
        <v>30.315130790000001</v>
      </c>
      <c r="R5716">
        <v>5.0803484000000003E-2</v>
      </c>
      <c r="S5716">
        <v>0.42866070000000001</v>
      </c>
      <c r="T5716" t="s">
        <v>1041</v>
      </c>
      <c r="U5716">
        <v>0.48031000000000001</v>
      </c>
    </row>
    <row r="5717" spans="1:21" x14ac:dyDescent="0.25">
      <c r="A5717" t="s">
        <v>88</v>
      </c>
      <c r="B5717" t="s">
        <v>1006</v>
      </c>
      <c r="C5717">
        <v>6</v>
      </c>
      <c r="D5717" t="s">
        <v>31</v>
      </c>
      <c r="E5717" t="s">
        <v>95</v>
      </c>
      <c r="F5717" t="s">
        <v>112</v>
      </c>
      <c r="G5717" t="s">
        <v>113</v>
      </c>
      <c r="H5717" t="s">
        <v>113</v>
      </c>
      <c r="J5717">
        <v>0</v>
      </c>
      <c r="K5717">
        <v>2</v>
      </c>
      <c r="L5717">
        <v>65.09375</v>
      </c>
      <c r="M5717">
        <v>37.895352600000002</v>
      </c>
      <c r="N5717">
        <v>2.2882677779999998</v>
      </c>
      <c r="O5717">
        <v>2.2111774</v>
      </c>
      <c r="P5717">
        <v>83.757575759999995</v>
      </c>
      <c r="Q5717">
        <v>22.60997987</v>
      </c>
      <c r="R5717">
        <v>0.72884000000000004</v>
      </c>
      <c r="S5717">
        <v>0.21301339999999999</v>
      </c>
      <c r="T5717" t="s">
        <v>1041</v>
      </c>
      <c r="U5717">
        <v>1.9981640000000001</v>
      </c>
    </row>
    <row r="5718" spans="1:21" x14ac:dyDescent="0.25">
      <c r="A5718" t="s">
        <v>88</v>
      </c>
      <c r="B5718" t="s">
        <v>1006</v>
      </c>
      <c r="C5718">
        <v>6</v>
      </c>
      <c r="D5718" t="s">
        <v>31</v>
      </c>
      <c r="E5718" t="s">
        <v>95</v>
      </c>
      <c r="F5718" t="s">
        <v>112</v>
      </c>
      <c r="G5718" t="s">
        <v>113</v>
      </c>
      <c r="H5718" t="s">
        <v>113</v>
      </c>
      <c r="J5718">
        <v>0</v>
      </c>
      <c r="K5718">
        <v>2</v>
      </c>
      <c r="L5718">
        <v>65.09375</v>
      </c>
      <c r="M5718">
        <v>37.895352600000002</v>
      </c>
      <c r="N5718">
        <v>2.2882677779999998</v>
      </c>
      <c r="O5718">
        <v>2.2111774</v>
      </c>
      <c r="P5718">
        <v>83.757575759999995</v>
      </c>
      <c r="Q5718">
        <v>22.60997987</v>
      </c>
      <c r="R5718">
        <v>0.72884000000000004</v>
      </c>
      <c r="S5718">
        <v>0.21301339999999999</v>
      </c>
      <c r="T5718" t="s">
        <v>1041</v>
      </c>
      <c r="U5718">
        <v>1.9981640000000001</v>
      </c>
    </row>
    <row r="5719" spans="1:21" x14ac:dyDescent="0.25">
      <c r="A5719" t="s">
        <v>89</v>
      </c>
      <c r="B5719" t="s">
        <v>1007</v>
      </c>
      <c r="C5719">
        <v>6</v>
      </c>
      <c r="D5719" t="s">
        <v>33</v>
      </c>
      <c r="E5719" t="s">
        <v>95</v>
      </c>
      <c r="F5719" t="s">
        <v>104</v>
      </c>
      <c r="G5719" t="s">
        <v>104</v>
      </c>
      <c r="H5719" t="s">
        <v>104</v>
      </c>
      <c r="J5719">
        <v>1</v>
      </c>
      <c r="K5719">
        <v>1</v>
      </c>
      <c r="L5719">
        <v>113.9375</v>
      </c>
      <c r="M5719">
        <v>33.375507550000002</v>
      </c>
      <c r="N5719">
        <v>2.4262999999999999</v>
      </c>
      <c r="O5719">
        <v>0.40692159999999999</v>
      </c>
      <c r="P5719">
        <v>113.9375</v>
      </c>
      <c r="Q5719">
        <v>33.375507550000002</v>
      </c>
      <c r="R5719">
        <v>2.4262999999999999</v>
      </c>
      <c r="S5719">
        <v>0.40692159999999999</v>
      </c>
      <c r="T5719" t="s">
        <v>1041</v>
      </c>
      <c r="U5719">
        <v>0</v>
      </c>
    </row>
    <row r="5720" spans="1:21" x14ac:dyDescent="0.25">
      <c r="A5720" t="s">
        <v>89</v>
      </c>
      <c r="B5720" t="s">
        <v>1007</v>
      </c>
      <c r="C5720">
        <v>6</v>
      </c>
      <c r="D5720" t="s">
        <v>33</v>
      </c>
      <c r="E5720" t="s">
        <v>95</v>
      </c>
      <c r="F5720" t="s">
        <v>104</v>
      </c>
      <c r="G5720" t="s">
        <v>104</v>
      </c>
      <c r="H5720" t="s">
        <v>103</v>
      </c>
      <c r="J5720">
        <v>1</v>
      </c>
      <c r="K5720">
        <v>1</v>
      </c>
      <c r="L5720">
        <v>113.9375</v>
      </c>
      <c r="M5720">
        <v>33.375507550000002</v>
      </c>
      <c r="N5720">
        <v>2.4262999999999999</v>
      </c>
      <c r="O5720">
        <v>0.40692159999999999</v>
      </c>
      <c r="P5720">
        <v>98.291666669999998</v>
      </c>
      <c r="Q5720">
        <v>30.315130790000001</v>
      </c>
      <c r="R5720">
        <v>5.0803484000000003E-2</v>
      </c>
      <c r="S5720">
        <v>0.42866070000000001</v>
      </c>
      <c r="T5720" t="s">
        <v>1041</v>
      </c>
      <c r="U5720">
        <v>2.1739100000000011E-2</v>
      </c>
    </row>
    <row r="5721" spans="1:21" x14ac:dyDescent="0.25">
      <c r="A5721" t="s">
        <v>89</v>
      </c>
      <c r="B5721" t="s">
        <v>1007</v>
      </c>
      <c r="C5721">
        <v>6</v>
      </c>
      <c r="D5721" t="s">
        <v>33</v>
      </c>
      <c r="E5721" t="s">
        <v>95</v>
      </c>
      <c r="F5721" t="s">
        <v>104</v>
      </c>
      <c r="G5721" t="s">
        <v>104</v>
      </c>
      <c r="H5721" t="s">
        <v>246</v>
      </c>
      <c r="J5721">
        <v>1</v>
      </c>
      <c r="K5721">
        <v>1</v>
      </c>
      <c r="L5721">
        <v>113.9375</v>
      </c>
      <c r="M5721">
        <v>33.375507550000002</v>
      </c>
      <c r="N5721">
        <v>2.4262999999999999</v>
      </c>
      <c r="O5721">
        <v>0.40692159999999999</v>
      </c>
      <c r="P5721">
        <v>120.25</v>
      </c>
      <c r="Q5721">
        <v>30.670450110000001</v>
      </c>
      <c r="R5721">
        <v>0.91037498500000003</v>
      </c>
      <c r="S5721" t="s">
        <v>114</v>
      </c>
      <c r="T5721" t="s">
        <v>1041</v>
      </c>
      <c r="U5721" t="s">
        <v>114</v>
      </c>
    </row>
    <row r="5722" spans="1:21" x14ac:dyDescent="0.25">
      <c r="A5722" t="s">
        <v>89</v>
      </c>
      <c r="B5722" t="s">
        <v>1008</v>
      </c>
      <c r="C5722">
        <v>6</v>
      </c>
      <c r="D5722" t="s">
        <v>33</v>
      </c>
      <c r="E5722" t="s">
        <v>95</v>
      </c>
      <c r="F5722" t="s">
        <v>112</v>
      </c>
      <c r="G5722" t="s">
        <v>113</v>
      </c>
      <c r="H5722" t="s">
        <v>113</v>
      </c>
      <c r="I5722" t="s">
        <v>255</v>
      </c>
      <c r="J5722">
        <v>0</v>
      </c>
      <c r="K5722">
        <v>4</v>
      </c>
      <c r="L5722">
        <v>65.09375</v>
      </c>
      <c r="M5722">
        <v>37.895352600000002</v>
      </c>
      <c r="N5722">
        <v>2.2882677779999998</v>
      </c>
      <c r="O5722">
        <v>2.2111774</v>
      </c>
      <c r="P5722">
        <v>83.757575759999995</v>
      </c>
      <c r="Q5722">
        <v>22.60997987</v>
      </c>
      <c r="R5722">
        <v>0.72884000000000004</v>
      </c>
      <c r="S5722">
        <v>0.21301339999999999</v>
      </c>
      <c r="T5722" t="s">
        <v>1041</v>
      </c>
      <c r="U5722">
        <v>1.9981640000000001</v>
      </c>
    </row>
    <row r="5723" spans="1:21" x14ac:dyDescent="0.25">
      <c r="A5723" t="s">
        <v>89</v>
      </c>
      <c r="B5723" t="s">
        <v>1008</v>
      </c>
      <c r="C5723">
        <v>6</v>
      </c>
      <c r="D5723" t="s">
        <v>33</v>
      </c>
      <c r="E5723" t="s">
        <v>95</v>
      </c>
      <c r="F5723" t="s">
        <v>112</v>
      </c>
      <c r="G5723" t="s">
        <v>113</v>
      </c>
      <c r="H5723" t="s">
        <v>113</v>
      </c>
      <c r="I5723" t="s">
        <v>255</v>
      </c>
      <c r="J5723">
        <v>0</v>
      </c>
      <c r="K5723">
        <v>4</v>
      </c>
      <c r="L5723">
        <v>65.09375</v>
      </c>
      <c r="M5723">
        <v>37.895352600000002</v>
      </c>
      <c r="N5723">
        <v>2.2882677779999998</v>
      </c>
      <c r="O5723">
        <v>2.2111774</v>
      </c>
      <c r="P5723">
        <v>83.757575759999995</v>
      </c>
      <c r="Q5723">
        <v>22.60997987</v>
      </c>
      <c r="R5723">
        <v>0.72884000000000004</v>
      </c>
      <c r="S5723">
        <v>0.21301339999999999</v>
      </c>
      <c r="T5723" t="s">
        <v>1041</v>
      </c>
      <c r="U5723">
        <v>1.9981640000000001</v>
      </c>
    </row>
    <row r="5724" spans="1:21" x14ac:dyDescent="0.25">
      <c r="A5724" t="s">
        <v>89</v>
      </c>
      <c r="B5724" t="s">
        <v>1008</v>
      </c>
      <c r="C5724">
        <v>6</v>
      </c>
      <c r="D5724" t="s">
        <v>33</v>
      </c>
      <c r="E5724" t="s">
        <v>95</v>
      </c>
      <c r="F5724" t="s">
        <v>112</v>
      </c>
      <c r="G5724" t="s">
        <v>113</v>
      </c>
      <c r="H5724" t="s">
        <v>113</v>
      </c>
      <c r="I5724" t="s">
        <v>255</v>
      </c>
      <c r="J5724">
        <v>0</v>
      </c>
      <c r="K5724">
        <v>4</v>
      </c>
      <c r="L5724">
        <v>65.09375</v>
      </c>
      <c r="M5724">
        <v>37.895352600000002</v>
      </c>
      <c r="N5724">
        <v>2.2882677779999998</v>
      </c>
      <c r="O5724">
        <v>2.2111774</v>
      </c>
      <c r="P5724">
        <v>83.757575759999995</v>
      </c>
      <c r="Q5724">
        <v>22.60997987</v>
      </c>
      <c r="R5724">
        <v>0.72884000000000004</v>
      </c>
      <c r="S5724">
        <v>0.21301339999999999</v>
      </c>
      <c r="T5724" t="s">
        <v>1041</v>
      </c>
      <c r="U5724">
        <v>1.9981640000000001</v>
      </c>
    </row>
    <row r="5725" spans="1:21" x14ac:dyDescent="0.25">
      <c r="A5725" t="s">
        <v>89</v>
      </c>
      <c r="B5725" t="s">
        <v>1008</v>
      </c>
      <c r="C5725">
        <v>6</v>
      </c>
      <c r="D5725" t="s">
        <v>33</v>
      </c>
      <c r="E5725" t="s">
        <v>95</v>
      </c>
      <c r="F5725" t="s">
        <v>112</v>
      </c>
      <c r="G5725" t="s">
        <v>113</v>
      </c>
      <c r="H5725" t="s">
        <v>113</v>
      </c>
      <c r="I5725" t="s">
        <v>255</v>
      </c>
      <c r="J5725">
        <v>0</v>
      </c>
      <c r="K5725">
        <v>4</v>
      </c>
      <c r="L5725">
        <v>65.09375</v>
      </c>
      <c r="M5725">
        <v>37.895352600000002</v>
      </c>
      <c r="N5725">
        <v>2.2882677779999998</v>
      </c>
      <c r="O5725">
        <v>2.2111774</v>
      </c>
      <c r="P5725">
        <v>83.757575759999995</v>
      </c>
      <c r="Q5725">
        <v>22.60997987</v>
      </c>
      <c r="R5725">
        <v>0.72884000000000004</v>
      </c>
      <c r="S5725">
        <v>0.21301339999999999</v>
      </c>
      <c r="T5725" t="s">
        <v>1041</v>
      </c>
      <c r="U5725">
        <v>1.9981640000000001</v>
      </c>
    </row>
    <row r="5726" spans="1:21" x14ac:dyDescent="0.25">
      <c r="A5726" t="s">
        <v>90</v>
      </c>
      <c r="B5726" t="s">
        <v>1009</v>
      </c>
      <c r="C5726">
        <v>6</v>
      </c>
      <c r="D5726" t="s">
        <v>35</v>
      </c>
      <c r="E5726" t="s">
        <v>94</v>
      </c>
      <c r="F5726" t="s">
        <v>111</v>
      </c>
      <c r="G5726" t="s">
        <v>121</v>
      </c>
      <c r="H5726" t="s">
        <v>253</v>
      </c>
      <c r="J5726">
        <v>0</v>
      </c>
      <c r="K5726">
        <v>3</v>
      </c>
      <c r="L5726">
        <v>94.97142857</v>
      </c>
      <c r="M5726">
        <v>24.31591813</v>
      </c>
      <c r="N5726">
        <v>0.122951111</v>
      </c>
      <c r="O5726">
        <v>0.39050790000000002</v>
      </c>
      <c r="P5726">
        <v>172.08823530000001</v>
      </c>
      <c r="Q5726">
        <v>29.581605960000001</v>
      </c>
      <c r="R5726">
        <v>0.24280444400000001</v>
      </c>
      <c r="S5726" t="s">
        <v>114</v>
      </c>
      <c r="T5726" t="s">
        <v>1041</v>
      </c>
      <c r="U5726" t="s">
        <v>114</v>
      </c>
    </row>
    <row r="5727" spans="1:21" x14ac:dyDescent="0.25">
      <c r="A5727" t="s">
        <v>90</v>
      </c>
      <c r="B5727" t="s">
        <v>1009</v>
      </c>
      <c r="C5727">
        <v>6</v>
      </c>
      <c r="D5727" t="s">
        <v>35</v>
      </c>
      <c r="E5727" t="s">
        <v>94</v>
      </c>
      <c r="F5727" t="s">
        <v>111</v>
      </c>
      <c r="G5727" t="s">
        <v>121</v>
      </c>
      <c r="H5727" t="s">
        <v>253</v>
      </c>
      <c r="J5727">
        <v>0</v>
      </c>
      <c r="K5727">
        <v>3</v>
      </c>
      <c r="L5727">
        <v>94.97142857</v>
      </c>
      <c r="M5727">
        <v>24.31591813</v>
      </c>
      <c r="N5727">
        <v>0.122951111</v>
      </c>
      <c r="O5727">
        <v>0.39050790000000002</v>
      </c>
      <c r="P5727">
        <v>172.08823530000001</v>
      </c>
      <c r="Q5727">
        <v>29.581605960000001</v>
      </c>
      <c r="R5727">
        <v>0.24280444400000001</v>
      </c>
      <c r="S5727" t="s">
        <v>114</v>
      </c>
      <c r="T5727" t="s">
        <v>1041</v>
      </c>
      <c r="U5727" t="s">
        <v>114</v>
      </c>
    </row>
    <row r="5728" spans="1:21" x14ac:dyDescent="0.25">
      <c r="A5728" t="s">
        <v>90</v>
      </c>
      <c r="B5728" t="s">
        <v>1009</v>
      </c>
      <c r="C5728">
        <v>6</v>
      </c>
      <c r="D5728" t="s">
        <v>35</v>
      </c>
      <c r="E5728" t="s">
        <v>94</v>
      </c>
      <c r="F5728" t="s">
        <v>111</v>
      </c>
      <c r="G5728" t="s">
        <v>121</v>
      </c>
      <c r="H5728" t="s">
        <v>253</v>
      </c>
      <c r="J5728">
        <v>0</v>
      </c>
      <c r="K5728">
        <v>3</v>
      </c>
      <c r="L5728">
        <v>94.97142857</v>
      </c>
      <c r="M5728">
        <v>24.31591813</v>
      </c>
      <c r="N5728">
        <v>0.122951111</v>
      </c>
      <c r="O5728">
        <v>0.39050790000000002</v>
      </c>
      <c r="P5728">
        <v>172.08823530000001</v>
      </c>
      <c r="Q5728">
        <v>29.581605960000001</v>
      </c>
      <c r="R5728">
        <v>0.24280444400000001</v>
      </c>
      <c r="S5728" t="s">
        <v>114</v>
      </c>
      <c r="T5728" t="s">
        <v>1041</v>
      </c>
      <c r="U5728" t="s">
        <v>114</v>
      </c>
    </row>
    <row r="5729" spans="1:21" x14ac:dyDescent="0.25">
      <c r="A5729" t="s">
        <v>90</v>
      </c>
      <c r="B5729" t="s">
        <v>1009</v>
      </c>
      <c r="C5729">
        <v>6</v>
      </c>
      <c r="D5729" t="s">
        <v>35</v>
      </c>
      <c r="E5729" t="s">
        <v>94</v>
      </c>
      <c r="F5729" t="s">
        <v>111</v>
      </c>
      <c r="G5729" t="s">
        <v>121</v>
      </c>
      <c r="H5729" t="s">
        <v>162</v>
      </c>
      <c r="J5729">
        <v>0</v>
      </c>
      <c r="K5729">
        <v>1</v>
      </c>
      <c r="L5729">
        <v>94.97142857</v>
      </c>
      <c r="M5729">
        <v>24.31591813</v>
      </c>
      <c r="N5729">
        <v>0.122951111</v>
      </c>
      <c r="O5729">
        <v>0.39050790000000002</v>
      </c>
      <c r="P5729">
        <v>82.53846154</v>
      </c>
      <c r="Q5729">
        <v>35.660530039999998</v>
      </c>
      <c r="R5729">
        <v>3.3754499999999998</v>
      </c>
      <c r="S5729" t="s">
        <v>114</v>
      </c>
      <c r="T5729" t="s">
        <v>1041</v>
      </c>
      <c r="U5729" t="s">
        <v>114</v>
      </c>
    </row>
    <row r="5730" spans="1:21" x14ac:dyDescent="0.25">
      <c r="A5730" t="s">
        <v>90</v>
      </c>
      <c r="B5730" t="s">
        <v>1010</v>
      </c>
      <c r="C5730">
        <v>6</v>
      </c>
      <c r="D5730" t="s">
        <v>35</v>
      </c>
      <c r="E5730" t="s">
        <v>94</v>
      </c>
      <c r="F5730" t="s">
        <v>104</v>
      </c>
      <c r="G5730" t="s">
        <v>111</v>
      </c>
      <c r="H5730" t="s">
        <v>111</v>
      </c>
      <c r="J5730">
        <v>1</v>
      </c>
      <c r="K5730">
        <v>1</v>
      </c>
      <c r="L5730">
        <v>113.9375</v>
      </c>
      <c r="M5730">
        <v>33.375507550000002</v>
      </c>
      <c r="N5730">
        <v>2.4262999999999999</v>
      </c>
      <c r="O5730">
        <v>0.40692159999999999</v>
      </c>
      <c r="P5730">
        <v>94.97142857</v>
      </c>
      <c r="Q5730">
        <v>24.31591813</v>
      </c>
      <c r="R5730">
        <v>0.122951111</v>
      </c>
      <c r="S5730">
        <v>0.39050790000000002</v>
      </c>
      <c r="T5730" t="s">
        <v>1041</v>
      </c>
      <c r="U5730">
        <v>1.6413699999999976E-2</v>
      </c>
    </row>
    <row r="5731" spans="1:21" x14ac:dyDescent="0.25">
      <c r="A5731" t="s">
        <v>90</v>
      </c>
      <c r="B5731" t="s">
        <v>1010</v>
      </c>
      <c r="C5731">
        <v>6</v>
      </c>
      <c r="D5731" t="s">
        <v>35</v>
      </c>
      <c r="E5731" t="s">
        <v>94</v>
      </c>
      <c r="F5731" t="s">
        <v>104</v>
      </c>
      <c r="G5731" t="s">
        <v>111</v>
      </c>
      <c r="H5731" t="s">
        <v>253</v>
      </c>
      <c r="J5731">
        <v>1</v>
      </c>
      <c r="K5731">
        <v>2</v>
      </c>
      <c r="L5731">
        <v>113.9375</v>
      </c>
      <c r="M5731">
        <v>33.375507550000002</v>
      </c>
      <c r="N5731">
        <v>2.4262999999999999</v>
      </c>
      <c r="O5731">
        <v>0.40692159999999999</v>
      </c>
      <c r="P5731">
        <v>172.08823530000001</v>
      </c>
      <c r="Q5731">
        <v>29.581605960000001</v>
      </c>
      <c r="R5731">
        <v>0.24280444400000001</v>
      </c>
      <c r="S5731" t="s">
        <v>114</v>
      </c>
      <c r="T5731" t="s">
        <v>1041</v>
      </c>
      <c r="U5731" t="s">
        <v>114</v>
      </c>
    </row>
    <row r="5732" spans="1:21" x14ac:dyDescent="0.25">
      <c r="A5732" t="s">
        <v>90</v>
      </c>
      <c r="B5732" t="s">
        <v>1010</v>
      </c>
      <c r="C5732">
        <v>6</v>
      </c>
      <c r="D5732" t="s">
        <v>35</v>
      </c>
      <c r="E5732" t="s">
        <v>94</v>
      </c>
      <c r="F5732" t="s">
        <v>104</v>
      </c>
      <c r="G5732" t="s">
        <v>111</v>
      </c>
      <c r="H5732" t="s">
        <v>253</v>
      </c>
      <c r="J5732">
        <v>1</v>
      </c>
      <c r="K5732">
        <v>2</v>
      </c>
      <c r="L5732">
        <v>113.9375</v>
      </c>
      <c r="M5732">
        <v>33.375507550000002</v>
      </c>
      <c r="N5732">
        <v>2.4262999999999999</v>
      </c>
      <c r="O5732">
        <v>0.40692159999999999</v>
      </c>
      <c r="P5732">
        <v>172.08823530000001</v>
      </c>
      <c r="Q5732">
        <v>29.581605960000001</v>
      </c>
      <c r="R5732">
        <v>0.24280444400000001</v>
      </c>
      <c r="S5732" t="s">
        <v>114</v>
      </c>
      <c r="T5732" t="s">
        <v>1041</v>
      </c>
      <c r="U5732" t="s">
        <v>114</v>
      </c>
    </row>
    <row r="5733" spans="1:21" x14ac:dyDescent="0.25">
      <c r="A5733" t="s">
        <v>91</v>
      </c>
      <c r="B5733" t="s">
        <v>1011</v>
      </c>
      <c r="C5733">
        <v>6</v>
      </c>
      <c r="D5733" t="s">
        <v>37</v>
      </c>
      <c r="E5733" t="s">
        <v>94</v>
      </c>
      <c r="F5733" t="s">
        <v>112</v>
      </c>
      <c r="G5733" t="s">
        <v>112</v>
      </c>
      <c r="H5733" t="s">
        <v>112</v>
      </c>
      <c r="J5733">
        <v>0</v>
      </c>
      <c r="K5733">
        <v>1</v>
      </c>
      <c r="L5733">
        <v>65.09375</v>
      </c>
      <c r="M5733">
        <v>37.895352600000002</v>
      </c>
      <c r="N5733">
        <v>2.2882677779999998</v>
      </c>
      <c r="O5733">
        <v>2.2111774</v>
      </c>
      <c r="P5733">
        <v>65.09375</v>
      </c>
      <c r="Q5733">
        <v>37.895352600000002</v>
      </c>
      <c r="R5733">
        <v>2.2882677779999998</v>
      </c>
      <c r="S5733">
        <v>2.2111774</v>
      </c>
      <c r="T5733" t="s">
        <v>1041</v>
      </c>
      <c r="U5733">
        <v>0</v>
      </c>
    </row>
    <row r="5734" spans="1:21" x14ac:dyDescent="0.25">
      <c r="A5734" t="s">
        <v>92</v>
      </c>
      <c r="B5734" t="s">
        <v>1012</v>
      </c>
      <c r="C5734">
        <v>6</v>
      </c>
      <c r="D5734" t="s">
        <v>64</v>
      </c>
      <c r="E5734" t="s">
        <v>94</v>
      </c>
      <c r="F5734" t="s">
        <v>112</v>
      </c>
      <c r="G5734" t="s">
        <v>102</v>
      </c>
      <c r="H5734" t="s">
        <v>102</v>
      </c>
      <c r="J5734">
        <v>0</v>
      </c>
      <c r="K5734">
        <v>2</v>
      </c>
      <c r="L5734">
        <v>65.09375</v>
      </c>
      <c r="M5734">
        <v>37.895352600000002</v>
      </c>
      <c r="N5734">
        <v>2.2882677779999998</v>
      </c>
      <c r="O5734">
        <v>2.2111774</v>
      </c>
      <c r="P5734">
        <v>84.740740740000007</v>
      </c>
      <c r="Q5734">
        <v>29.167014049999999</v>
      </c>
      <c r="R5734">
        <v>1.1169849999999999</v>
      </c>
      <c r="S5734">
        <v>1.1571499000000001</v>
      </c>
      <c r="T5734" t="s">
        <v>1041</v>
      </c>
      <c r="U5734">
        <v>1.0540274999999999</v>
      </c>
    </row>
    <row r="5735" spans="1:21" x14ac:dyDescent="0.25">
      <c r="A5735" t="s">
        <v>92</v>
      </c>
      <c r="B5735" t="s">
        <v>1012</v>
      </c>
      <c r="C5735">
        <v>6</v>
      </c>
      <c r="D5735" t="s">
        <v>64</v>
      </c>
      <c r="E5735" t="s">
        <v>94</v>
      </c>
      <c r="F5735" t="s">
        <v>112</v>
      </c>
      <c r="G5735" t="s">
        <v>102</v>
      </c>
      <c r="H5735" t="s">
        <v>102</v>
      </c>
      <c r="J5735">
        <v>0</v>
      </c>
      <c r="K5735">
        <v>2</v>
      </c>
      <c r="L5735">
        <v>65.09375</v>
      </c>
      <c r="M5735">
        <v>37.895352600000002</v>
      </c>
      <c r="N5735">
        <v>2.2882677779999998</v>
      </c>
      <c r="O5735">
        <v>2.2111774</v>
      </c>
      <c r="P5735">
        <v>84.740740740000007</v>
      </c>
      <c r="Q5735">
        <v>29.167014049999999</v>
      </c>
      <c r="R5735">
        <v>1.1169849999999999</v>
      </c>
      <c r="S5735">
        <v>1.1571499000000001</v>
      </c>
      <c r="T5735" t="s">
        <v>1041</v>
      </c>
      <c r="U5735">
        <v>1.0540274999999999</v>
      </c>
    </row>
    <row r="5736" spans="1:21" x14ac:dyDescent="0.25">
      <c r="A5736" t="s">
        <v>92</v>
      </c>
      <c r="B5736" t="s">
        <v>1012</v>
      </c>
      <c r="C5736">
        <v>6</v>
      </c>
      <c r="D5736" t="s">
        <v>64</v>
      </c>
      <c r="E5736" t="s">
        <v>94</v>
      </c>
      <c r="F5736" t="s">
        <v>112</v>
      </c>
      <c r="G5736" t="s">
        <v>102</v>
      </c>
      <c r="H5736" t="s">
        <v>241</v>
      </c>
      <c r="J5736">
        <v>0</v>
      </c>
      <c r="K5736">
        <v>1</v>
      </c>
      <c r="L5736">
        <v>65.09375</v>
      </c>
      <c r="M5736">
        <v>37.895352600000002</v>
      </c>
      <c r="N5736">
        <v>2.2882677779999998</v>
      </c>
      <c r="O5736">
        <v>2.2111774</v>
      </c>
      <c r="P5736">
        <v>114</v>
      </c>
      <c r="Q5736">
        <v>30.43077242</v>
      </c>
      <c r="R5736">
        <v>0.53383111100000002</v>
      </c>
      <c r="S5736">
        <v>0.28333332999999999</v>
      </c>
      <c r="T5736" t="s">
        <v>1041</v>
      </c>
      <c r="U5736">
        <v>1.9278440699999999</v>
      </c>
    </row>
    <row r="5737" spans="1:21" x14ac:dyDescent="0.25">
      <c r="A5737" t="s">
        <v>93</v>
      </c>
      <c r="B5737" t="s">
        <v>1013</v>
      </c>
      <c r="C5737">
        <v>6</v>
      </c>
      <c r="D5737" t="s">
        <v>66</v>
      </c>
      <c r="E5737" t="s">
        <v>95</v>
      </c>
      <c r="F5737" t="s">
        <v>104</v>
      </c>
      <c r="G5737" t="s">
        <v>103</v>
      </c>
      <c r="H5737" t="s">
        <v>104</v>
      </c>
      <c r="J5737">
        <v>0</v>
      </c>
      <c r="K5737">
        <v>1</v>
      </c>
      <c r="L5737">
        <v>113.9375</v>
      </c>
      <c r="M5737">
        <v>33.375507550000002</v>
      </c>
      <c r="N5737">
        <v>2.4262999999999999</v>
      </c>
      <c r="O5737">
        <v>0.40692159999999999</v>
      </c>
      <c r="P5737">
        <v>113.9375</v>
      </c>
      <c r="Q5737">
        <v>33.375507550000002</v>
      </c>
      <c r="R5737">
        <v>2.4262999999999999</v>
      </c>
      <c r="S5737">
        <v>0.40692159999999999</v>
      </c>
      <c r="T5737" t="s">
        <v>1041</v>
      </c>
      <c r="U5737">
        <v>0</v>
      </c>
    </row>
    <row r="5738" spans="1:21" x14ac:dyDescent="0.25">
      <c r="A5738" t="s">
        <v>93</v>
      </c>
      <c r="B5738" t="s">
        <v>1013</v>
      </c>
      <c r="C5738">
        <v>6</v>
      </c>
      <c r="D5738" t="s">
        <v>66</v>
      </c>
      <c r="E5738" t="s">
        <v>95</v>
      </c>
      <c r="F5738" t="s">
        <v>104</v>
      </c>
      <c r="G5738" t="s">
        <v>103</v>
      </c>
      <c r="H5738" t="s">
        <v>111</v>
      </c>
      <c r="J5738">
        <v>0</v>
      </c>
      <c r="K5738">
        <v>1</v>
      </c>
      <c r="L5738">
        <v>113.9375</v>
      </c>
      <c r="M5738">
        <v>33.375507550000002</v>
      </c>
      <c r="N5738">
        <v>2.4262999999999999</v>
      </c>
      <c r="O5738">
        <v>0.40692159999999999</v>
      </c>
      <c r="P5738">
        <v>94.97142857</v>
      </c>
      <c r="Q5738">
        <v>24.31591813</v>
      </c>
      <c r="R5738">
        <v>0.122951111</v>
      </c>
      <c r="S5738">
        <v>0.39050790000000002</v>
      </c>
      <c r="T5738" t="s">
        <v>1041</v>
      </c>
      <c r="U5738">
        <v>1.6413699999999976E-2</v>
      </c>
    </row>
    <row r="5739" spans="1:21" x14ac:dyDescent="0.25">
      <c r="A5739" t="s">
        <v>93</v>
      </c>
      <c r="B5739" t="s">
        <v>1013</v>
      </c>
      <c r="C5739">
        <v>6</v>
      </c>
      <c r="D5739" t="s">
        <v>66</v>
      </c>
      <c r="E5739" t="s">
        <v>95</v>
      </c>
      <c r="F5739" t="s">
        <v>104</v>
      </c>
      <c r="G5739" t="s">
        <v>103</v>
      </c>
      <c r="H5739" t="s">
        <v>103</v>
      </c>
      <c r="J5739">
        <v>0</v>
      </c>
      <c r="K5739">
        <v>4</v>
      </c>
      <c r="L5739">
        <v>113.9375</v>
      </c>
      <c r="M5739">
        <v>33.375507550000002</v>
      </c>
      <c r="N5739">
        <v>2.4262999999999999</v>
      </c>
      <c r="O5739">
        <v>0.40692159999999999</v>
      </c>
      <c r="P5739">
        <v>98.291666669999998</v>
      </c>
      <c r="Q5739">
        <v>30.315130790000001</v>
      </c>
      <c r="R5739">
        <v>5.0803484000000003E-2</v>
      </c>
      <c r="S5739">
        <v>0.42866070000000001</v>
      </c>
      <c r="T5739" t="s">
        <v>1041</v>
      </c>
      <c r="U5739">
        <v>2.1739100000000011E-2</v>
      </c>
    </row>
    <row r="5740" spans="1:21" x14ac:dyDescent="0.25">
      <c r="A5740" t="s">
        <v>93</v>
      </c>
      <c r="B5740" t="s">
        <v>1013</v>
      </c>
      <c r="C5740">
        <v>6</v>
      </c>
      <c r="D5740" t="s">
        <v>66</v>
      </c>
      <c r="E5740" t="s">
        <v>95</v>
      </c>
      <c r="F5740" t="s">
        <v>104</v>
      </c>
      <c r="G5740" t="s">
        <v>103</v>
      </c>
      <c r="H5740" t="s">
        <v>103</v>
      </c>
      <c r="J5740">
        <v>0</v>
      </c>
      <c r="K5740">
        <v>4</v>
      </c>
      <c r="L5740">
        <v>113.9375</v>
      </c>
      <c r="M5740">
        <v>33.375507550000002</v>
      </c>
      <c r="N5740">
        <v>2.4262999999999999</v>
      </c>
      <c r="O5740">
        <v>0.40692159999999999</v>
      </c>
      <c r="P5740">
        <v>98.291666669999998</v>
      </c>
      <c r="Q5740">
        <v>30.315130790000001</v>
      </c>
      <c r="R5740">
        <v>5.0803484000000003E-2</v>
      </c>
      <c r="S5740">
        <v>0.42866070000000001</v>
      </c>
      <c r="T5740" t="s">
        <v>1041</v>
      </c>
      <c r="U5740">
        <v>2.1739100000000011E-2</v>
      </c>
    </row>
    <row r="5741" spans="1:21" x14ac:dyDescent="0.25">
      <c r="A5741" t="s">
        <v>93</v>
      </c>
      <c r="B5741" t="s">
        <v>1013</v>
      </c>
      <c r="C5741">
        <v>6</v>
      </c>
      <c r="D5741" t="s">
        <v>66</v>
      </c>
      <c r="E5741" t="s">
        <v>95</v>
      </c>
      <c r="F5741" t="s">
        <v>104</v>
      </c>
      <c r="G5741" t="s">
        <v>103</v>
      </c>
      <c r="H5741" t="s">
        <v>103</v>
      </c>
      <c r="J5741">
        <v>0</v>
      </c>
      <c r="K5741">
        <v>4</v>
      </c>
      <c r="L5741">
        <v>113.9375</v>
      </c>
      <c r="M5741">
        <v>33.375507550000002</v>
      </c>
      <c r="N5741">
        <v>2.4262999999999999</v>
      </c>
      <c r="O5741">
        <v>0.40692159999999999</v>
      </c>
      <c r="P5741">
        <v>98.291666669999998</v>
      </c>
      <c r="Q5741">
        <v>30.315130790000001</v>
      </c>
      <c r="R5741">
        <v>5.0803484000000003E-2</v>
      </c>
      <c r="S5741">
        <v>0.42866070000000001</v>
      </c>
      <c r="T5741" t="s">
        <v>1041</v>
      </c>
      <c r="U5741">
        <v>2.1739100000000011E-2</v>
      </c>
    </row>
    <row r="5742" spans="1:21" x14ac:dyDescent="0.25">
      <c r="A5742" t="s">
        <v>93</v>
      </c>
      <c r="B5742" t="s">
        <v>1013</v>
      </c>
      <c r="C5742">
        <v>6</v>
      </c>
      <c r="D5742" t="s">
        <v>66</v>
      </c>
      <c r="E5742" t="s">
        <v>95</v>
      </c>
      <c r="F5742" t="s">
        <v>104</v>
      </c>
      <c r="G5742" t="s">
        <v>103</v>
      </c>
      <c r="H5742" t="s">
        <v>103</v>
      </c>
      <c r="J5742">
        <v>0</v>
      </c>
      <c r="K5742">
        <v>4</v>
      </c>
      <c r="L5742">
        <v>113.9375</v>
      </c>
      <c r="M5742">
        <v>33.375507550000002</v>
      </c>
      <c r="N5742">
        <v>2.4262999999999999</v>
      </c>
      <c r="O5742">
        <v>0.40692159999999999</v>
      </c>
      <c r="P5742">
        <v>98.291666669999998</v>
      </c>
      <c r="Q5742">
        <v>30.315130790000001</v>
      </c>
      <c r="R5742">
        <v>5.0803484000000003E-2</v>
      </c>
      <c r="S5742">
        <v>0.42866070000000001</v>
      </c>
      <c r="T5742" t="s">
        <v>1041</v>
      </c>
      <c r="U5742">
        <v>2.1739100000000011E-2</v>
      </c>
    </row>
    <row r="5743" spans="1:21" x14ac:dyDescent="0.25">
      <c r="A5743" t="s">
        <v>93</v>
      </c>
      <c r="B5743" t="s">
        <v>1013</v>
      </c>
      <c r="C5743">
        <v>6</v>
      </c>
      <c r="D5743" t="s">
        <v>66</v>
      </c>
      <c r="E5743" t="s">
        <v>95</v>
      </c>
      <c r="F5743" t="s">
        <v>104</v>
      </c>
      <c r="G5743" t="s">
        <v>103</v>
      </c>
      <c r="H5743" t="s">
        <v>238</v>
      </c>
      <c r="J5743">
        <v>0</v>
      </c>
      <c r="K5743">
        <v>2</v>
      </c>
      <c r="L5743">
        <v>113.9375</v>
      </c>
      <c r="M5743">
        <v>33.375507550000002</v>
      </c>
      <c r="N5743">
        <v>2.4262999999999999</v>
      </c>
      <c r="O5743">
        <v>0.40692159999999999</v>
      </c>
      <c r="P5743">
        <v>87.5</v>
      </c>
      <c r="Q5743">
        <v>29.478311600000001</v>
      </c>
      <c r="R5743">
        <v>3.0797751000000002E-2</v>
      </c>
      <c r="S5743">
        <v>0.12931835</v>
      </c>
      <c r="T5743" t="s">
        <v>1041</v>
      </c>
      <c r="U5743">
        <v>0.27760324999999997</v>
      </c>
    </row>
    <row r="5744" spans="1:21" x14ac:dyDescent="0.25">
      <c r="A5744" t="s">
        <v>93</v>
      </c>
      <c r="B5744" t="s">
        <v>1013</v>
      </c>
      <c r="C5744">
        <v>6</v>
      </c>
      <c r="D5744" t="s">
        <v>66</v>
      </c>
      <c r="E5744" t="s">
        <v>95</v>
      </c>
      <c r="F5744" t="s">
        <v>104</v>
      </c>
      <c r="G5744" t="s">
        <v>103</v>
      </c>
      <c r="H5744" t="s">
        <v>238</v>
      </c>
      <c r="J5744">
        <v>0</v>
      </c>
      <c r="K5744">
        <v>2</v>
      </c>
      <c r="L5744">
        <v>113.9375</v>
      </c>
      <c r="M5744">
        <v>33.375507550000002</v>
      </c>
      <c r="N5744">
        <v>2.4262999999999999</v>
      </c>
      <c r="O5744">
        <v>0.40692159999999999</v>
      </c>
      <c r="P5744">
        <v>87.5</v>
      </c>
      <c r="Q5744">
        <v>29.478311600000001</v>
      </c>
      <c r="R5744">
        <v>3.0797751000000002E-2</v>
      </c>
      <c r="S5744">
        <v>0.12931835</v>
      </c>
      <c r="T5744" t="s">
        <v>1041</v>
      </c>
      <c r="U5744">
        <v>0.27760324999999997</v>
      </c>
    </row>
    <row r="5745" spans="1:21" x14ac:dyDescent="0.25">
      <c r="A5745" t="s">
        <v>93</v>
      </c>
      <c r="B5745" t="s">
        <v>1013</v>
      </c>
      <c r="C5745">
        <v>6</v>
      </c>
      <c r="D5745" t="s">
        <v>66</v>
      </c>
      <c r="E5745" t="s">
        <v>95</v>
      </c>
      <c r="F5745" t="s">
        <v>104</v>
      </c>
      <c r="G5745" t="s">
        <v>103</v>
      </c>
      <c r="H5745" t="s">
        <v>246</v>
      </c>
      <c r="J5745">
        <v>0</v>
      </c>
      <c r="K5745">
        <v>1</v>
      </c>
      <c r="L5745">
        <v>113.9375</v>
      </c>
      <c r="M5745">
        <v>33.375507550000002</v>
      </c>
      <c r="N5745">
        <v>2.4262999999999999</v>
      </c>
      <c r="O5745">
        <v>0.40692159999999999</v>
      </c>
      <c r="P5745">
        <v>120.25</v>
      </c>
      <c r="Q5745">
        <v>30.670450110000001</v>
      </c>
      <c r="R5745">
        <v>0.91037498500000003</v>
      </c>
      <c r="S5745" t="s">
        <v>114</v>
      </c>
      <c r="T5745" t="s">
        <v>1041</v>
      </c>
      <c r="U5745" t="s">
        <v>114</v>
      </c>
    </row>
  </sheetData>
  <pageMargins left="0.7" right="0.7" top="0.75" bottom="0.75" header="0.3" footer="0.3"/>
  <pageSetup paperSize="9"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95"/>
  <sheetViews>
    <sheetView topLeftCell="G160" workbookViewId="0">
      <selection activeCell="B1" sqref="B1:Q195"/>
    </sheetView>
  </sheetViews>
  <sheetFormatPr defaultRowHeight="15" x14ac:dyDescent="0.25"/>
  <cols>
    <col min="1" max="1" width="25.28515625" bestFit="1" customWidth="1"/>
    <col min="2" max="2" width="19.28515625" bestFit="1" customWidth="1"/>
    <col min="3" max="3" width="22.42578125" bestFit="1" customWidth="1"/>
    <col min="4" max="4" width="16.5703125" bestFit="1" customWidth="1"/>
    <col min="5" max="5" width="26.28515625" bestFit="1" customWidth="1"/>
    <col min="6" max="6" width="20.140625" bestFit="1" customWidth="1"/>
    <col min="7" max="7" width="23.28515625" bestFit="1" customWidth="1"/>
    <col min="8" max="8" width="17.5703125" bestFit="1" customWidth="1"/>
    <col min="9" max="9" width="12.7109375" bestFit="1" customWidth="1"/>
    <col min="10" max="10" width="19.28515625" bestFit="1" customWidth="1"/>
    <col min="11" max="11" width="22.42578125" bestFit="1" customWidth="1"/>
    <col min="12" max="12" width="16.5703125" bestFit="1" customWidth="1"/>
    <col min="13" max="13" width="26.28515625" bestFit="1" customWidth="1"/>
    <col min="14" max="14" width="20.140625" bestFit="1" customWidth="1"/>
    <col min="15" max="15" width="23.28515625" bestFit="1" customWidth="1"/>
    <col min="16" max="16" width="17.5703125" bestFit="1" customWidth="1"/>
    <col min="17" max="17" width="12" bestFit="1" customWidth="1"/>
  </cols>
  <sheetData>
    <row r="1" spans="1:17" x14ac:dyDescent="0.25">
      <c r="A1" t="s">
        <v>796</v>
      </c>
      <c r="B1" t="s">
        <v>1042</v>
      </c>
      <c r="C1" t="s">
        <v>1028</v>
      </c>
      <c r="D1" t="s">
        <v>1029</v>
      </c>
      <c r="E1" t="s">
        <v>1030</v>
      </c>
      <c r="F1" t="s">
        <v>1043</v>
      </c>
      <c r="G1" t="s">
        <v>1031</v>
      </c>
      <c r="H1" t="s">
        <v>1032</v>
      </c>
      <c r="I1" t="s">
        <v>1033</v>
      </c>
      <c r="J1" t="s">
        <v>1044</v>
      </c>
      <c r="K1" t="s">
        <v>1022</v>
      </c>
      <c r="L1" t="s">
        <v>1023</v>
      </c>
      <c r="M1" t="s">
        <v>1024</v>
      </c>
      <c r="N1" t="s">
        <v>1045</v>
      </c>
      <c r="O1" t="s">
        <v>1025</v>
      </c>
      <c r="P1" t="s">
        <v>1026</v>
      </c>
      <c r="Q1" t="s">
        <v>1027</v>
      </c>
    </row>
    <row r="2" spans="1:17" x14ac:dyDescent="0.25">
      <c r="A2" t="s">
        <v>820</v>
      </c>
      <c r="B2">
        <v>1.09447066666667E-2</v>
      </c>
      <c r="C2">
        <v>5.5167053333333299E-2</v>
      </c>
      <c r="D2">
        <v>0.24096171299999999</v>
      </c>
      <c r="E2">
        <v>7.2363852766666703</v>
      </c>
      <c r="F2">
        <v>1.09447066666667E-2</v>
      </c>
      <c r="G2">
        <v>-5.5167053333333299E-2</v>
      </c>
      <c r="H2">
        <v>0.24096171299999999</v>
      </c>
      <c r="I2">
        <v>-7.2363852766666703</v>
      </c>
      <c r="J2">
        <v>3.5935981205813299E-4</v>
      </c>
      <c r="K2">
        <v>9.1302113204485297E-3</v>
      </c>
      <c r="L2">
        <v>0.17418764139568299</v>
      </c>
      <c r="M2">
        <v>157.09581561707401</v>
      </c>
      <c r="N2">
        <v>3.5935981205813299E-4</v>
      </c>
      <c r="O2">
        <v>9.1302113204485297E-3</v>
      </c>
      <c r="P2">
        <v>0.17418764139568299</v>
      </c>
      <c r="Q2">
        <v>157.09581561707401</v>
      </c>
    </row>
    <row r="3" spans="1:17" x14ac:dyDescent="0.25">
      <c r="A3" t="s">
        <v>821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 t="s">
        <v>114</v>
      </c>
      <c r="K3" t="s">
        <v>114</v>
      </c>
      <c r="L3" t="s">
        <v>114</v>
      </c>
      <c r="M3" t="s">
        <v>114</v>
      </c>
      <c r="N3" t="s">
        <v>114</v>
      </c>
      <c r="O3" t="s">
        <v>114</v>
      </c>
      <c r="P3" t="s">
        <v>114</v>
      </c>
      <c r="Q3" t="s">
        <v>114</v>
      </c>
    </row>
    <row r="4" spans="1:17" x14ac:dyDescent="0.25">
      <c r="A4" t="s">
        <v>822</v>
      </c>
      <c r="B4">
        <v>1.9530432099999999</v>
      </c>
      <c r="C4">
        <v>34.945877046666702</v>
      </c>
      <c r="D4">
        <v>2.2716933866666702</v>
      </c>
      <c r="E4">
        <v>10.187490070000001</v>
      </c>
      <c r="F4">
        <v>1.9530432099999999</v>
      </c>
      <c r="G4">
        <v>-34.945877046666702</v>
      </c>
      <c r="H4">
        <v>2.2716933866666702</v>
      </c>
      <c r="I4">
        <v>1.6224459366666699</v>
      </c>
      <c r="J4">
        <v>1.8230903979324298E-2</v>
      </c>
      <c r="K4">
        <v>779.22956395607798</v>
      </c>
      <c r="L4">
        <v>3.3832327350176498E-4</v>
      </c>
      <c r="M4">
        <v>42.496470468079799</v>
      </c>
      <c r="N4">
        <v>1.8230903979324298E-2</v>
      </c>
      <c r="O4">
        <v>779.22956395607798</v>
      </c>
      <c r="P4">
        <v>3.3832327350176498E-4</v>
      </c>
      <c r="Q4">
        <v>194.22540513149301</v>
      </c>
    </row>
    <row r="5" spans="1:17" x14ac:dyDescent="0.25">
      <c r="A5" t="s">
        <v>823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 t="s">
        <v>114</v>
      </c>
      <c r="K5" t="s">
        <v>114</v>
      </c>
      <c r="L5" t="s">
        <v>114</v>
      </c>
      <c r="M5" t="s">
        <v>114</v>
      </c>
      <c r="N5" t="s">
        <v>114</v>
      </c>
      <c r="O5" t="s">
        <v>114</v>
      </c>
      <c r="P5" t="s">
        <v>114</v>
      </c>
      <c r="Q5" t="s">
        <v>114</v>
      </c>
    </row>
    <row r="6" spans="1:17" x14ac:dyDescent="0.25">
      <c r="A6" t="s">
        <v>824</v>
      </c>
      <c r="B6">
        <v>0.6959573</v>
      </c>
      <c r="C6">
        <v>10.496706189999999</v>
      </c>
      <c r="D6">
        <v>0.329493333</v>
      </c>
      <c r="E6">
        <v>11.843850679999999</v>
      </c>
      <c r="F6">
        <v>0.6959573</v>
      </c>
      <c r="G6">
        <v>-10.496706189999999</v>
      </c>
      <c r="H6">
        <v>0.329493333</v>
      </c>
      <c r="I6">
        <v>11.843850679999999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</row>
    <row r="7" spans="1:17" x14ac:dyDescent="0.25">
      <c r="A7" t="s">
        <v>825</v>
      </c>
      <c r="B7">
        <v>1.8570710000000001E-2</v>
      </c>
      <c r="C7">
        <v>5.4831169299999996</v>
      </c>
      <c r="D7">
        <v>0.63534888899999997</v>
      </c>
      <c r="E7">
        <v>2.4388925600000002</v>
      </c>
      <c r="F7">
        <v>-1.8570710000000001E-2</v>
      </c>
      <c r="G7">
        <v>-5.4831169299999996</v>
      </c>
      <c r="H7">
        <v>-0.63534888899999997</v>
      </c>
      <c r="I7">
        <v>-2.4388925600000002</v>
      </c>
      <c r="J7" t="s">
        <v>114</v>
      </c>
      <c r="K7" t="s">
        <v>114</v>
      </c>
      <c r="L7" t="s">
        <v>114</v>
      </c>
      <c r="M7" t="s">
        <v>114</v>
      </c>
      <c r="N7" t="s">
        <v>114</v>
      </c>
      <c r="O7" t="s">
        <v>114</v>
      </c>
      <c r="P7" t="s">
        <v>114</v>
      </c>
      <c r="Q7" t="s">
        <v>114</v>
      </c>
    </row>
    <row r="8" spans="1:17" x14ac:dyDescent="0.25">
      <c r="A8" t="s">
        <v>826</v>
      </c>
      <c r="B8" t="s">
        <v>114</v>
      </c>
      <c r="C8" t="s">
        <v>114</v>
      </c>
      <c r="D8" t="s">
        <v>114</v>
      </c>
      <c r="E8" t="s">
        <v>114</v>
      </c>
      <c r="F8" t="s">
        <v>114</v>
      </c>
      <c r="G8" t="s">
        <v>114</v>
      </c>
      <c r="H8" t="s">
        <v>114</v>
      </c>
      <c r="I8" t="s">
        <v>114</v>
      </c>
      <c r="J8" t="s">
        <v>114</v>
      </c>
      <c r="K8" t="s">
        <v>114</v>
      </c>
      <c r="L8" t="s">
        <v>114</v>
      </c>
      <c r="M8" t="s">
        <v>114</v>
      </c>
      <c r="N8" t="s">
        <v>114</v>
      </c>
      <c r="O8" t="s">
        <v>114</v>
      </c>
      <c r="P8" t="s">
        <v>114</v>
      </c>
      <c r="Q8" t="s">
        <v>114</v>
      </c>
    </row>
    <row r="9" spans="1:17" x14ac:dyDescent="0.25">
      <c r="A9" t="s">
        <v>827</v>
      </c>
      <c r="B9">
        <v>0.49540392666666699</v>
      </c>
      <c r="C9">
        <v>31.68799104</v>
      </c>
      <c r="D9">
        <v>0.71944769866666702</v>
      </c>
      <c r="E9">
        <v>5.99104364</v>
      </c>
      <c r="F9">
        <v>0.49540392666666699</v>
      </c>
      <c r="G9">
        <v>-31.68799104</v>
      </c>
      <c r="H9">
        <v>0.71944769866666702</v>
      </c>
      <c r="I9">
        <v>5.99104364</v>
      </c>
      <c r="J9">
        <v>0.18406878791756401</v>
      </c>
      <c r="K9">
        <v>753.09658211333999</v>
      </c>
      <c r="L9">
        <v>0.38820374333757202</v>
      </c>
      <c r="M9">
        <v>26.919452922288301</v>
      </c>
      <c r="N9">
        <v>0.18406878791756401</v>
      </c>
      <c r="O9">
        <v>753.09658211333999</v>
      </c>
      <c r="P9">
        <v>0.38820374333757202</v>
      </c>
      <c r="Q9">
        <v>26.919452922288301</v>
      </c>
    </row>
    <row r="10" spans="1:17" x14ac:dyDescent="0.25">
      <c r="A10" t="s">
        <v>828</v>
      </c>
      <c r="B10">
        <v>0.13402040666666701</v>
      </c>
      <c r="C10">
        <v>32.343434360000003</v>
      </c>
      <c r="D10">
        <v>0.46068436533333301</v>
      </c>
      <c r="E10">
        <v>1.61968752</v>
      </c>
      <c r="F10">
        <v>-0.13402040666666701</v>
      </c>
      <c r="G10">
        <v>-32.343434360000003</v>
      </c>
      <c r="H10">
        <v>0.46068436533333301</v>
      </c>
      <c r="I10">
        <v>1.61968752</v>
      </c>
      <c r="J10">
        <v>1.3471102052324E-2</v>
      </c>
      <c r="K10">
        <v>784.57330964972095</v>
      </c>
      <c r="L10">
        <v>0.159172563346932</v>
      </c>
      <c r="M10">
        <v>1.9675407468328101</v>
      </c>
      <c r="N10">
        <v>1.3471102052324E-2</v>
      </c>
      <c r="O10">
        <v>784.57330964972095</v>
      </c>
      <c r="P10">
        <v>0.159172563346932</v>
      </c>
      <c r="Q10">
        <v>1.9675407468328101</v>
      </c>
    </row>
    <row r="11" spans="1:17" x14ac:dyDescent="0.25">
      <c r="A11" t="s">
        <v>829</v>
      </c>
      <c r="B11">
        <v>5.3314686666666701E-2</v>
      </c>
      <c r="C11">
        <v>16.56313132</v>
      </c>
      <c r="D11">
        <v>0.16533921966666701</v>
      </c>
      <c r="E11">
        <v>3.41677461</v>
      </c>
      <c r="F11">
        <v>5.3314686666666701E-2</v>
      </c>
      <c r="G11">
        <v>-16.56313132</v>
      </c>
      <c r="H11">
        <v>-0.15667919833333299</v>
      </c>
      <c r="I11">
        <v>3.3396801900000002</v>
      </c>
      <c r="J11">
        <v>6.40316232728923E-3</v>
      </c>
      <c r="K11">
        <v>289.22613008771498</v>
      </c>
      <c r="L11">
        <v>7.5736628348332696E-2</v>
      </c>
      <c r="M11">
        <v>33.851055037481999</v>
      </c>
      <c r="N11">
        <v>6.40316232728923E-3</v>
      </c>
      <c r="O11">
        <v>289.22613008771498</v>
      </c>
      <c r="P11">
        <v>7.9919657902742094E-2</v>
      </c>
      <c r="Q11">
        <v>34.632382483575299</v>
      </c>
    </row>
    <row r="12" spans="1:17" x14ac:dyDescent="0.25">
      <c r="A12" t="s">
        <v>830</v>
      </c>
      <c r="B12">
        <v>2.3536109999999999E-2</v>
      </c>
      <c r="C12">
        <v>37.301298729999999</v>
      </c>
      <c r="D12">
        <v>8.5137659000000004E-2</v>
      </c>
      <c r="E12">
        <v>4.1354695399999999</v>
      </c>
      <c r="F12">
        <v>-2.3536109999999999E-2</v>
      </c>
      <c r="G12">
        <v>-37.301298729999999</v>
      </c>
      <c r="H12">
        <v>8.5137659000000004E-2</v>
      </c>
      <c r="I12">
        <v>4.1354695399999999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</row>
    <row r="13" spans="1:17" x14ac:dyDescent="0.25">
      <c r="A13" t="s">
        <v>831</v>
      </c>
      <c r="B13">
        <v>1.7971333899999999</v>
      </c>
      <c r="C13">
        <v>67.1789773</v>
      </c>
      <c r="D13">
        <v>2.2504543259999998</v>
      </c>
      <c r="E13">
        <v>17.714904010000001</v>
      </c>
      <c r="F13">
        <v>1.7971333899999999</v>
      </c>
      <c r="G13">
        <v>-67.1789773</v>
      </c>
      <c r="H13">
        <v>2.2504543259999998</v>
      </c>
      <c r="I13">
        <v>17.714904010000001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</row>
    <row r="14" spans="1:17" x14ac:dyDescent="0.25">
      <c r="A14" t="s">
        <v>832</v>
      </c>
      <c r="B14">
        <v>0.53393209500000005</v>
      </c>
      <c r="C14">
        <v>14.29629628</v>
      </c>
      <c r="D14">
        <v>0.28373600799999998</v>
      </c>
      <c r="E14">
        <v>1.3753441200000001</v>
      </c>
      <c r="F14">
        <v>0.53393209500000005</v>
      </c>
      <c r="G14">
        <v>-14.29629628</v>
      </c>
      <c r="H14">
        <v>-0.28373600799999998</v>
      </c>
      <c r="I14">
        <v>1.3753441200000001</v>
      </c>
      <c r="J14">
        <v>0.57016696414217805</v>
      </c>
      <c r="K14">
        <v>408.768174651084</v>
      </c>
      <c r="L14">
        <v>0.16101224447155199</v>
      </c>
      <c r="M14">
        <v>3.7831428968371501</v>
      </c>
      <c r="N14">
        <v>0.57016696414217805</v>
      </c>
      <c r="O14">
        <v>408.768174651084</v>
      </c>
      <c r="P14">
        <v>0.16101224447155199</v>
      </c>
      <c r="Q14">
        <v>3.7831428968371501</v>
      </c>
    </row>
    <row r="15" spans="1:17" x14ac:dyDescent="0.25">
      <c r="A15" t="s">
        <v>833</v>
      </c>
      <c r="B15" t="s">
        <v>114</v>
      </c>
      <c r="C15">
        <v>42.869463860000003</v>
      </c>
      <c r="D15">
        <v>1.468639255</v>
      </c>
      <c r="E15">
        <v>20.7688282475</v>
      </c>
      <c r="F15" t="s">
        <v>114</v>
      </c>
      <c r="G15">
        <v>-42.869463860000003</v>
      </c>
      <c r="H15">
        <v>-1.279547591</v>
      </c>
      <c r="I15">
        <v>20.7688282475</v>
      </c>
      <c r="J15" t="s">
        <v>114</v>
      </c>
      <c r="K15">
        <v>423.96222785753901</v>
      </c>
      <c r="L15">
        <v>1.1639212287546801</v>
      </c>
      <c r="M15">
        <v>40.6929895663637</v>
      </c>
      <c r="N15" t="s">
        <v>114</v>
      </c>
      <c r="O15">
        <v>423.96222785753901</v>
      </c>
      <c r="P15">
        <v>1.8568001936787499</v>
      </c>
      <c r="Q15">
        <v>40.6929895663637</v>
      </c>
    </row>
    <row r="16" spans="1:17" x14ac:dyDescent="0.25">
      <c r="A16" t="s">
        <v>834</v>
      </c>
      <c r="B16">
        <v>2.3536109999999999E-2</v>
      </c>
      <c r="C16">
        <v>37.301298729999999</v>
      </c>
      <c r="D16">
        <v>8.5137659000000004E-2</v>
      </c>
      <c r="E16">
        <v>4.1354695399999999</v>
      </c>
      <c r="F16">
        <v>-2.3536109999999999E-2</v>
      </c>
      <c r="G16">
        <v>-37.301298729999999</v>
      </c>
      <c r="H16">
        <v>8.5137659000000004E-2</v>
      </c>
      <c r="I16">
        <v>4.1354695399999999</v>
      </c>
      <c r="J16" t="s">
        <v>114</v>
      </c>
      <c r="K16" t="s">
        <v>114</v>
      </c>
      <c r="L16" t="s">
        <v>114</v>
      </c>
      <c r="M16" t="s">
        <v>114</v>
      </c>
      <c r="N16" t="s">
        <v>114</v>
      </c>
      <c r="O16" t="s">
        <v>114</v>
      </c>
      <c r="P16" t="s">
        <v>114</v>
      </c>
      <c r="Q16" t="s">
        <v>114</v>
      </c>
    </row>
    <row r="17" spans="1:17" x14ac:dyDescent="0.25">
      <c r="A17" t="s">
        <v>835</v>
      </c>
      <c r="B17" t="s">
        <v>114</v>
      </c>
      <c r="C17" t="s">
        <v>114</v>
      </c>
      <c r="D17" t="s">
        <v>114</v>
      </c>
      <c r="E17" t="s">
        <v>114</v>
      </c>
      <c r="F17" t="s">
        <v>114</v>
      </c>
      <c r="G17" t="s">
        <v>114</v>
      </c>
      <c r="H17" t="s">
        <v>114</v>
      </c>
      <c r="I17" t="s">
        <v>114</v>
      </c>
      <c r="J17" t="s">
        <v>114</v>
      </c>
      <c r="K17" t="s">
        <v>114</v>
      </c>
      <c r="L17" t="s">
        <v>114</v>
      </c>
      <c r="M17" t="s">
        <v>114</v>
      </c>
      <c r="N17" t="s">
        <v>114</v>
      </c>
      <c r="O17" t="s">
        <v>114</v>
      </c>
      <c r="P17" t="s">
        <v>114</v>
      </c>
      <c r="Q17" t="s">
        <v>114</v>
      </c>
    </row>
    <row r="18" spans="1:17" x14ac:dyDescent="0.25">
      <c r="A18" t="s">
        <v>836</v>
      </c>
      <c r="B18" t="s">
        <v>114</v>
      </c>
      <c r="C18">
        <v>31.085714265</v>
      </c>
      <c r="D18">
        <v>0.21434500000000001</v>
      </c>
      <c r="E18">
        <v>2.3265815949999999</v>
      </c>
      <c r="F18" t="s">
        <v>114</v>
      </c>
      <c r="G18">
        <v>-31.085714265</v>
      </c>
      <c r="H18">
        <v>-0.21434500000000001</v>
      </c>
      <c r="I18">
        <v>-2.3265815949999999</v>
      </c>
      <c r="J18" t="s">
        <v>114</v>
      </c>
      <c r="K18">
        <v>1932.64326273045</v>
      </c>
      <c r="L18">
        <v>9.1887558049999998E-2</v>
      </c>
      <c r="M18">
        <v>10.825963836385499</v>
      </c>
      <c r="N18" t="s">
        <v>114</v>
      </c>
      <c r="O18">
        <v>1932.64326273045</v>
      </c>
      <c r="P18">
        <v>9.1887558049999998E-2</v>
      </c>
      <c r="Q18">
        <v>10.825963836385499</v>
      </c>
    </row>
    <row r="19" spans="1:17" x14ac:dyDescent="0.25">
      <c r="A19" t="s">
        <v>837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 t="s">
        <v>114</v>
      </c>
      <c r="K19" t="s">
        <v>114</v>
      </c>
      <c r="L19" t="s">
        <v>114</v>
      </c>
      <c r="M19" t="s">
        <v>114</v>
      </c>
      <c r="N19" t="s">
        <v>114</v>
      </c>
      <c r="O19" t="s">
        <v>114</v>
      </c>
      <c r="P19" t="s">
        <v>114</v>
      </c>
      <c r="Q19" t="s">
        <v>114</v>
      </c>
    </row>
    <row r="20" spans="1:17" x14ac:dyDescent="0.25">
      <c r="A20" t="s">
        <v>838</v>
      </c>
      <c r="B20">
        <v>1.9657163499999999</v>
      </c>
      <c r="C20">
        <v>20</v>
      </c>
      <c r="D20">
        <v>0.38519902900000003</v>
      </c>
      <c r="E20">
        <v>18.458924209999999</v>
      </c>
      <c r="F20">
        <v>1.9657163499999999</v>
      </c>
      <c r="G20">
        <v>-20</v>
      </c>
      <c r="H20">
        <v>0.38519902900000003</v>
      </c>
      <c r="I20">
        <v>18.458924209999999</v>
      </c>
      <c r="J20" t="s">
        <v>114</v>
      </c>
      <c r="K20" t="s">
        <v>114</v>
      </c>
      <c r="L20" t="s">
        <v>114</v>
      </c>
      <c r="M20" t="s">
        <v>114</v>
      </c>
      <c r="N20" t="s">
        <v>114</v>
      </c>
      <c r="O20" t="s">
        <v>114</v>
      </c>
      <c r="P20" t="s">
        <v>114</v>
      </c>
      <c r="Q20" t="s">
        <v>114</v>
      </c>
    </row>
    <row r="21" spans="1:17" x14ac:dyDescent="0.25">
      <c r="A21" t="s">
        <v>839</v>
      </c>
      <c r="B21" t="s">
        <v>114</v>
      </c>
      <c r="C21" t="s">
        <v>114</v>
      </c>
      <c r="D21" t="s">
        <v>114</v>
      </c>
      <c r="E21" t="s">
        <v>114</v>
      </c>
      <c r="F21" t="s">
        <v>114</v>
      </c>
      <c r="G21" t="s">
        <v>114</v>
      </c>
      <c r="H21" t="s">
        <v>114</v>
      </c>
      <c r="I21" t="s">
        <v>114</v>
      </c>
      <c r="J21" t="s">
        <v>114</v>
      </c>
      <c r="K21" t="s">
        <v>114</v>
      </c>
      <c r="L21" t="s">
        <v>114</v>
      </c>
      <c r="M21" t="s">
        <v>114</v>
      </c>
      <c r="N21" t="s">
        <v>114</v>
      </c>
      <c r="O21" t="s">
        <v>114</v>
      </c>
      <c r="P21" t="s">
        <v>114</v>
      </c>
      <c r="Q21" t="s">
        <v>114</v>
      </c>
    </row>
    <row r="22" spans="1:17" x14ac:dyDescent="0.25">
      <c r="A22" t="s">
        <v>840</v>
      </c>
      <c r="B22">
        <v>7.1456640000000002E-2</v>
      </c>
      <c r="C22">
        <v>19.46875</v>
      </c>
      <c r="D22">
        <v>2.0128571500000001E-2</v>
      </c>
      <c r="E22">
        <v>2.28468128</v>
      </c>
      <c r="F22">
        <v>7.1456640000000002E-2</v>
      </c>
      <c r="G22">
        <v>19.46875</v>
      </c>
      <c r="H22">
        <v>2.0128571500000001E-2</v>
      </c>
      <c r="I22">
        <v>2.28468128</v>
      </c>
      <c r="J22">
        <v>1.02121028001792E-2</v>
      </c>
      <c r="K22">
        <v>758.064453125</v>
      </c>
      <c r="L22">
        <v>8.1031878126122496E-4</v>
      </c>
      <c r="M22">
        <v>10.4395371023649</v>
      </c>
      <c r="N22">
        <v>1.02121028001792E-2</v>
      </c>
      <c r="O22">
        <v>758.064453125</v>
      </c>
      <c r="P22">
        <v>8.1031878126122496E-4</v>
      </c>
      <c r="Q22">
        <v>10.4395371023649</v>
      </c>
    </row>
    <row r="23" spans="1:17" x14ac:dyDescent="0.25">
      <c r="A23" t="s">
        <v>841</v>
      </c>
      <c r="B23">
        <v>2.0818590499999998</v>
      </c>
      <c r="C23">
        <v>22.40625</v>
      </c>
      <c r="D23">
        <v>2.2574700270000001</v>
      </c>
      <c r="E23">
        <v>8.4170409999999993</v>
      </c>
      <c r="F23">
        <v>2.0818590499999998</v>
      </c>
      <c r="G23">
        <v>-22.40625</v>
      </c>
      <c r="H23">
        <v>2.2574700270000001</v>
      </c>
      <c r="I23">
        <v>8.4170409999999993</v>
      </c>
      <c r="J23" t="s">
        <v>114</v>
      </c>
      <c r="K23" t="s">
        <v>114</v>
      </c>
      <c r="L23" t="s">
        <v>114</v>
      </c>
      <c r="M23" t="s">
        <v>114</v>
      </c>
      <c r="N23" t="s">
        <v>114</v>
      </c>
      <c r="O23" t="s">
        <v>114</v>
      </c>
      <c r="P23" t="s">
        <v>114</v>
      </c>
      <c r="Q23" t="s">
        <v>114</v>
      </c>
    </row>
    <row r="24" spans="1:17" x14ac:dyDescent="0.25">
      <c r="A24" t="s">
        <v>842</v>
      </c>
      <c r="B24">
        <v>0.1161427</v>
      </c>
      <c r="C24">
        <v>2.40625</v>
      </c>
      <c r="D24">
        <v>1.8722709980000001</v>
      </c>
      <c r="E24">
        <v>10.04188321</v>
      </c>
      <c r="F24">
        <v>-0.1161427</v>
      </c>
      <c r="G24">
        <v>2.40625</v>
      </c>
      <c r="H24">
        <v>-1.8722709980000001</v>
      </c>
      <c r="I24">
        <v>10.04188321</v>
      </c>
      <c r="J24" t="s">
        <v>114</v>
      </c>
      <c r="K24" t="s">
        <v>114</v>
      </c>
      <c r="L24" t="s">
        <v>114</v>
      </c>
      <c r="M24" t="s">
        <v>114</v>
      </c>
      <c r="N24" t="s">
        <v>114</v>
      </c>
      <c r="O24" t="s">
        <v>114</v>
      </c>
      <c r="P24" t="s">
        <v>114</v>
      </c>
      <c r="Q24" t="s">
        <v>114</v>
      </c>
    </row>
    <row r="25" spans="1:17" x14ac:dyDescent="0.25">
      <c r="A25" t="s">
        <v>843</v>
      </c>
      <c r="B25" t="s">
        <v>114</v>
      </c>
      <c r="C25">
        <v>11.745652172</v>
      </c>
      <c r="D25">
        <v>0.1106745584</v>
      </c>
      <c r="E25">
        <v>1.285741512</v>
      </c>
      <c r="F25" t="s">
        <v>114</v>
      </c>
      <c r="G25">
        <v>-11.745652172</v>
      </c>
      <c r="H25">
        <v>0.1106745584</v>
      </c>
      <c r="I25">
        <v>0.22761066399999999</v>
      </c>
      <c r="J25" t="s">
        <v>114</v>
      </c>
      <c r="K25">
        <v>413.99595927301601</v>
      </c>
      <c r="L25">
        <v>3.1252063690385801E-2</v>
      </c>
      <c r="M25">
        <v>3.2615167367954601</v>
      </c>
      <c r="N25" t="s">
        <v>114</v>
      </c>
      <c r="O25">
        <v>413.99595927301601</v>
      </c>
      <c r="P25">
        <v>3.1252063690385801E-2</v>
      </c>
      <c r="Q25">
        <v>5.2631725134373699</v>
      </c>
    </row>
    <row r="26" spans="1:17" x14ac:dyDescent="0.25">
      <c r="A26" t="s">
        <v>844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 t="s">
        <v>114</v>
      </c>
      <c r="K26" t="s">
        <v>114</v>
      </c>
      <c r="L26" t="s">
        <v>114</v>
      </c>
      <c r="M26" t="s">
        <v>114</v>
      </c>
      <c r="N26" t="s">
        <v>114</v>
      </c>
      <c r="O26" t="s">
        <v>114</v>
      </c>
      <c r="P26" t="s">
        <v>114</v>
      </c>
      <c r="Q26" t="s">
        <v>114</v>
      </c>
    </row>
    <row r="27" spans="1:17" x14ac:dyDescent="0.25">
      <c r="A27" t="s">
        <v>845</v>
      </c>
      <c r="B27" t="s">
        <v>114</v>
      </c>
      <c r="C27" t="s">
        <v>114</v>
      </c>
      <c r="D27" t="s">
        <v>114</v>
      </c>
      <c r="E27" t="s">
        <v>114</v>
      </c>
      <c r="F27" t="s">
        <v>114</v>
      </c>
      <c r="G27" t="s">
        <v>114</v>
      </c>
      <c r="H27" t="s">
        <v>114</v>
      </c>
      <c r="I27" t="s">
        <v>114</v>
      </c>
      <c r="J27" t="s">
        <v>114</v>
      </c>
      <c r="K27" t="s">
        <v>114</v>
      </c>
      <c r="L27" t="s">
        <v>114</v>
      </c>
      <c r="M27" t="s">
        <v>114</v>
      </c>
      <c r="N27" t="s">
        <v>114</v>
      </c>
      <c r="O27" t="s">
        <v>114</v>
      </c>
      <c r="P27" t="s">
        <v>114</v>
      </c>
      <c r="Q27" t="s">
        <v>114</v>
      </c>
    </row>
    <row r="28" spans="1:17" x14ac:dyDescent="0.25">
      <c r="A28" t="s">
        <v>846</v>
      </c>
      <c r="B28">
        <v>0.89022467500000002</v>
      </c>
      <c r="C28">
        <v>4.1251052174999998</v>
      </c>
      <c r="D28">
        <v>0.557654129</v>
      </c>
      <c r="E28">
        <v>5.2048048199999997</v>
      </c>
      <c r="F28">
        <v>0.89022467500000002</v>
      </c>
      <c r="G28">
        <v>-2.6503577475000002</v>
      </c>
      <c r="H28">
        <v>0.557654129</v>
      </c>
      <c r="I28">
        <v>4.6307464500000002</v>
      </c>
      <c r="J28">
        <v>1.16259394993225E-2</v>
      </c>
      <c r="K28">
        <v>39.487153824086199</v>
      </c>
      <c r="L28">
        <v>0.114933379257355</v>
      </c>
      <c r="M28">
        <v>7.3140969681840398</v>
      </c>
      <c r="N28">
        <v>1.16259394993225E-2</v>
      </c>
      <c r="O28">
        <v>52.809949645036198</v>
      </c>
      <c r="P28">
        <v>0.114933379257355</v>
      </c>
      <c r="Q28">
        <v>14.8423376749942</v>
      </c>
    </row>
    <row r="29" spans="1:17" x14ac:dyDescent="0.25">
      <c r="A29" t="s">
        <v>847</v>
      </c>
      <c r="B29">
        <v>2.1889413333333298E-2</v>
      </c>
      <c r="C29">
        <v>0.110334106666667</v>
      </c>
      <c r="D29">
        <v>0.48192342599999999</v>
      </c>
      <c r="E29">
        <v>14.4727705533333</v>
      </c>
      <c r="F29">
        <v>2.1889413333333298E-2</v>
      </c>
      <c r="G29">
        <v>-0.110334106666667</v>
      </c>
      <c r="H29">
        <v>0.48192342599999999</v>
      </c>
      <c r="I29">
        <v>-14.4727705533333</v>
      </c>
      <c r="J29">
        <v>3.5935981205813299E-4</v>
      </c>
      <c r="K29">
        <v>9.1302113204485297E-3</v>
      </c>
      <c r="L29">
        <v>0.17418764139568299</v>
      </c>
      <c r="M29">
        <v>157.09581561707401</v>
      </c>
      <c r="N29">
        <v>3.5935981205813299E-4</v>
      </c>
      <c r="O29">
        <v>9.1302113204485297E-3</v>
      </c>
      <c r="P29">
        <v>0.17418764139568299</v>
      </c>
      <c r="Q29">
        <v>157.09581561707401</v>
      </c>
    </row>
    <row r="30" spans="1:17" x14ac:dyDescent="0.25">
      <c r="A30" t="s">
        <v>848</v>
      </c>
      <c r="B30">
        <v>0.21564729999999999</v>
      </c>
      <c r="C30">
        <v>14.53409091</v>
      </c>
      <c r="D30">
        <v>0.67803651600000003</v>
      </c>
      <c r="E30">
        <v>7.7051509200000003</v>
      </c>
      <c r="F30">
        <v>0.21564729999999999</v>
      </c>
      <c r="G30">
        <v>14.53409091</v>
      </c>
      <c r="H30">
        <v>-0.67803651600000003</v>
      </c>
      <c r="I30">
        <v>7.7051509200000003</v>
      </c>
      <c r="J30" t="s">
        <v>114</v>
      </c>
      <c r="K30" t="s">
        <v>114</v>
      </c>
      <c r="L30" t="s">
        <v>114</v>
      </c>
      <c r="M30" t="s">
        <v>114</v>
      </c>
      <c r="N30" t="s">
        <v>114</v>
      </c>
      <c r="O30" t="s">
        <v>114</v>
      </c>
      <c r="P30" t="s">
        <v>114</v>
      </c>
      <c r="Q30" t="s">
        <v>114</v>
      </c>
    </row>
    <row r="31" spans="1:17" x14ac:dyDescent="0.25">
      <c r="A31" t="s">
        <v>849</v>
      </c>
      <c r="B31" t="s">
        <v>114</v>
      </c>
      <c r="C31">
        <v>12.5</v>
      </c>
      <c r="D31">
        <v>1.1034840930000001</v>
      </c>
      <c r="E31">
        <v>14.984584480000001</v>
      </c>
      <c r="F31" t="s">
        <v>114</v>
      </c>
      <c r="G31">
        <v>-12.5</v>
      </c>
      <c r="H31">
        <v>-1.1034840930000001</v>
      </c>
      <c r="I31">
        <v>14.984584480000001</v>
      </c>
      <c r="J31" t="s">
        <v>114</v>
      </c>
      <c r="K31">
        <v>50</v>
      </c>
      <c r="L31">
        <v>1.5018593442280299</v>
      </c>
      <c r="M31">
        <v>34.387029655320397</v>
      </c>
      <c r="N31" t="s">
        <v>114</v>
      </c>
      <c r="O31">
        <v>50</v>
      </c>
      <c r="P31">
        <v>1.5018593442280299</v>
      </c>
      <c r="Q31">
        <v>34.387029655320397</v>
      </c>
    </row>
    <row r="32" spans="1:17" x14ac:dyDescent="0.25">
      <c r="A32" t="s">
        <v>850</v>
      </c>
      <c r="B32">
        <v>0.50204910000000003</v>
      </c>
      <c r="C32">
        <v>40.676630430000003</v>
      </c>
      <c r="D32">
        <v>1.3679666669999999</v>
      </c>
      <c r="E32">
        <v>1.0783229999999999</v>
      </c>
      <c r="F32">
        <v>0.50204910000000003</v>
      </c>
      <c r="G32">
        <v>-40.676630430000003</v>
      </c>
      <c r="H32">
        <v>-1.3679666669999999</v>
      </c>
      <c r="I32">
        <v>1.0783229999999999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</row>
    <row r="33" spans="1:17" x14ac:dyDescent="0.25">
      <c r="A33" t="s">
        <v>851</v>
      </c>
      <c r="B33" t="s">
        <v>114</v>
      </c>
      <c r="C33">
        <v>17.281906923333299</v>
      </c>
      <c r="D33">
        <v>0.33085472833333301</v>
      </c>
      <c r="E33">
        <v>15.5938448266667</v>
      </c>
      <c r="F33" t="s">
        <v>114</v>
      </c>
      <c r="G33">
        <v>12.10698197</v>
      </c>
      <c r="H33">
        <v>-0.33085472833333301</v>
      </c>
      <c r="I33">
        <v>-15.5938448266667</v>
      </c>
      <c r="J33" t="s">
        <v>114</v>
      </c>
      <c r="K33">
        <v>144.528438537965</v>
      </c>
      <c r="L33">
        <v>8.4076195036080298E-2</v>
      </c>
      <c r="M33">
        <v>63.858128613532998</v>
      </c>
      <c r="N33" t="s">
        <v>114</v>
      </c>
      <c r="O33">
        <v>372.65638026524198</v>
      </c>
      <c r="P33">
        <v>8.4076195036080298E-2</v>
      </c>
      <c r="Q33">
        <v>63.858128613532998</v>
      </c>
    </row>
    <row r="34" spans="1:17" x14ac:dyDescent="0.25">
      <c r="A34" t="s">
        <v>852</v>
      </c>
      <c r="B34">
        <v>0.13610601250000001</v>
      </c>
      <c r="C34">
        <v>30.789772742499999</v>
      </c>
      <c r="D34">
        <v>0.519146873625</v>
      </c>
      <c r="E34">
        <v>2.37699851625</v>
      </c>
      <c r="F34">
        <v>-0.11518225</v>
      </c>
      <c r="G34">
        <v>-30.789772742499999</v>
      </c>
      <c r="H34">
        <v>0.519146873625</v>
      </c>
      <c r="I34">
        <v>0.65991558375000003</v>
      </c>
      <c r="J34">
        <v>8.6960884385945403E-3</v>
      </c>
      <c r="K34">
        <v>599.78921995137</v>
      </c>
      <c r="L34">
        <v>0.10267766006229501</v>
      </c>
      <c r="M34">
        <v>4.4980166265399104</v>
      </c>
      <c r="N34">
        <v>1.4705112351266101E-2</v>
      </c>
      <c r="O34">
        <v>599.78921995137</v>
      </c>
      <c r="P34">
        <v>0.10267766006229501</v>
      </c>
      <c r="Q34">
        <v>10.4575976192012</v>
      </c>
    </row>
    <row r="35" spans="1:17" x14ac:dyDescent="0.25">
      <c r="A35" t="s">
        <v>853</v>
      </c>
      <c r="B35" t="s">
        <v>114</v>
      </c>
      <c r="C35">
        <v>6.8410751850000002</v>
      </c>
      <c r="D35">
        <v>1.1585583335</v>
      </c>
      <c r="E35">
        <v>5.8901662449999996</v>
      </c>
      <c r="F35" t="s">
        <v>114</v>
      </c>
      <c r="G35">
        <v>6.8410751850000002</v>
      </c>
      <c r="H35">
        <v>-1.0999066664999999</v>
      </c>
      <c r="I35">
        <v>-5.8901662449999996</v>
      </c>
      <c r="J35" t="s">
        <v>114</v>
      </c>
      <c r="K35">
        <v>43.036856380904197</v>
      </c>
      <c r="L35">
        <v>2.4195893500222798</v>
      </c>
      <c r="M35">
        <v>0.72806182958313004</v>
      </c>
      <c r="N35" t="s">
        <v>114</v>
      </c>
      <c r="O35">
        <v>43.036856380904197</v>
      </c>
      <c r="P35">
        <v>2.68451482424459</v>
      </c>
      <c r="Q35">
        <v>0.72806182958313004</v>
      </c>
    </row>
    <row r="36" spans="1:17" x14ac:dyDescent="0.25">
      <c r="A36" t="s">
        <v>854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</row>
    <row r="37" spans="1:17" x14ac:dyDescent="0.25">
      <c r="A37" t="s">
        <v>855</v>
      </c>
      <c r="B37" t="s">
        <v>114</v>
      </c>
      <c r="C37" t="s">
        <v>114</v>
      </c>
      <c r="D37" t="s">
        <v>114</v>
      </c>
      <c r="E37" t="s">
        <v>114</v>
      </c>
      <c r="F37" t="s">
        <v>114</v>
      </c>
      <c r="G37" t="s">
        <v>114</v>
      </c>
      <c r="H37" t="s">
        <v>114</v>
      </c>
      <c r="I37" t="s">
        <v>114</v>
      </c>
      <c r="J37" t="s">
        <v>114</v>
      </c>
      <c r="K37" t="s">
        <v>114</v>
      </c>
      <c r="L37" t="s">
        <v>114</v>
      </c>
      <c r="M37" t="s">
        <v>114</v>
      </c>
      <c r="N37" t="s">
        <v>114</v>
      </c>
      <c r="O37" t="s">
        <v>114</v>
      </c>
      <c r="P37" t="s">
        <v>114</v>
      </c>
      <c r="Q37" t="s">
        <v>114</v>
      </c>
    </row>
    <row r="38" spans="1:17" x14ac:dyDescent="0.25">
      <c r="A38" t="s">
        <v>856</v>
      </c>
      <c r="B38">
        <v>1.19564357142857E-2</v>
      </c>
      <c r="C38">
        <v>0.53463203428571404</v>
      </c>
      <c r="D38">
        <v>9.97203212857143E-2</v>
      </c>
      <c r="E38">
        <v>0.98119024714285696</v>
      </c>
      <c r="F38">
        <v>1.19564357142857E-2</v>
      </c>
      <c r="G38">
        <v>-0.53463203428571404</v>
      </c>
      <c r="H38">
        <v>9.97203212857143E-2</v>
      </c>
      <c r="I38">
        <v>-0.98119024714285696</v>
      </c>
      <c r="J38">
        <v>1.00069448492893E-3</v>
      </c>
      <c r="K38">
        <v>2.0008198845913698</v>
      </c>
      <c r="L38">
        <v>6.9608997341282605E-2</v>
      </c>
      <c r="M38">
        <v>6.7391401076178301</v>
      </c>
      <c r="N38">
        <v>1.00069448492893E-3</v>
      </c>
      <c r="O38">
        <v>2.0008198845913698</v>
      </c>
      <c r="P38">
        <v>6.9608997341282605E-2</v>
      </c>
      <c r="Q38">
        <v>6.7391401076178301</v>
      </c>
    </row>
    <row r="39" spans="1:17" x14ac:dyDescent="0.25">
      <c r="A39" t="s">
        <v>857</v>
      </c>
      <c r="B39" t="s">
        <v>114</v>
      </c>
      <c r="C39">
        <v>25.912337661428602</v>
      </c>
      <c r="D39" t="s">
        <v>114</v>
      </c>
      <c r="E39">
        <v>7.2322283271428596</v>
      </c>
      <c r="F39" t="s">
        <v>114</v>
      </c>
      <c r="G39">
        <v>-9.30194805</v>
      </c>
      <c r="H39" t="s">
        <v>114</v>
      </c>
      <c r="I39">
        <v>7.2322283271428596</v>
      </c>
      <c r="J39" t="s">
        <v>114</v>
      </c>
      <c r="K39">
        <v>201.389220878836</v>
      </c>
      <c r="L39" t="s">
        <v>114</v>
      </c>
      <c r="M39">
        <v>0.34790898929845798</v>
      </c>
      <c r="N39" t="s">
        <v>114</v>
      </c>
      <c r="O39">
        <v>883.79939402632601</v>
      </c>
      <c r="P39" t="s">
        <v>114</v>
      </c>
      <c r="Q39">
        <v>0.34790898929845798</v>
      </c>
    </row>
    <row r="40" spans="1:17" x14ac:dyDescent="0.25">
      <c r="A40" t="s">
        <v>858</v>
      </c>
      <c r="B40" t="s">
        <v>114</v>
      </c>
      <c r="C40">
        <v>24.489740258000001</v>
      </c>
      <c r="D40" t="s">
        <v>114</v>
      </c>
      <c r="E40">
        <v>1.26454384</v>
      </c>
      <c r="F40" t="s">
        <v>114</v>
      </c>
      <c r="G40">
        <v>-11.033116886</v>
      </c>
      <c r="H40" t="s">
        <v>114</v>
      </c>
      <c r="I40">
        <v>1.26454384</v>
      </c>
      <c r="J40" t="s">
        <v>114</v>
      </c>
      <c r="K40">
        <v>330.46722662243201</v>
      </c>
      <c r="L40" t="s">
        <v>114</v>
      </c>
      <c r="M40">
        <v>0.36530443876338098</v>
      </c>
      <c r="N40" t="s">
        <v>114</v>
      </c>
      <c r="O40">
        <v>927.98936372764194</v>
      </c>
      <c r="P40" t="s">
        <v>114</v>
      </c>
      <c r="Q40">
        <v>0.36530443876338098</v>
      </c>
    </row>
    <row r="41" spans="1:17" x14ac:dyDescent="0.25">
      <c r="A41" t="s">
        <v>859</v>
      </c>
      <c r="B41">
        <v>0.14967117499999999</v>
      </c>
      <c r="C41">
        <v>21.041666665000001</v>
      </c>
      <c r="D41">
        <v>2.3854993824999999</v>
      </c>
      <c r="E41">
        <v>3.478786355</v>
      </c>
      <c r="F41">
        <v>0.12793207500000001</v>
      </c>
      <c r="G41">
        <v>21.041666665000001</v>
      </c>
      <c r="H41">
        <v>2.3854993824999999</v>
      </c>
      <c r="I41">
        <v>3.478786355</v>
      </c>
      <c r="J41">
        <v>3.2733231627611298E-2</v>
      </c>
      <c r="K41">
        <v>58.2300347581944</v>
      </c>
      <c r="L41">
        <v>2.0011467643364601E-4</v>
      </c>
      <c r="M41">
        <v>0.35013317837612801</v>
      </c>
      <c r="N41">
        <v>4.4802921251761302E-2</v>
      </c>
      <c r="O41">
        <v>58.2300347581944</v>
      </c>
      <c r="P41">
        <v>2.0011467643364601E-4</v>
      </c>
      <c r="Q41">
        <v>0.35013317837612801</v>
      </c>
    </row>
    <row r="42" spans="1:17" x14ac:dyDescent="0.25">
      <c r="A42" t="s">
        <v>860</v>
      </c>
      <c r="B42">
        <v>1.6881131</v>
      </c>
      <c r="C42">
        <v>46.4375</v>
      </c>
      <c r="D42">
        <v>2.0103032199999999</v>
      </c>
      <c r="E42">
        <v>14.561728260000001</v>
      </c>
      <c r="F42">
        <v>1.6881131</v>
      </c>
      <c r="G42">
        <v>-46.4375</v>
      </c>
      <c r="H42">
        <v>-2.0103032199999999</v>
      </c>
      <c r="I42">
        <v>14.561728260000001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</row>
    <row r="43" spans="1:17" x14ac:dyDescent="0.25">
      <c r="A43" t="s">
        <v>861</v>
      </c>
      <c r="B43">
        <v>0.10717457</v>
      </c>
      <c r="C43">
        <v>19.02857143</v>
      </c>
      <c r="D43">
        <v>0.41088000000000002</v>
      </c>
      <c r="E43">
        <v>6.1148542900000002</v>
      </c>
      <c r="F43">
        <v>0.10717457</v>
      </c>
      <c r="G43">
        <v>-19.02857143</v>
      </c>
      <c r="H43">
        <v>-0.41088000000000002</v>
      </c>
      <c r="I43">
        <v>-6.1148542900000002</v>
      </c>
      <c r="J43" t="s">
        <v>114</v>
      </c>
      <c r="K43" t="s">
        <v>114</v>
      </c>
      <c r="L43" t="s">
        <v>114</v>
      </c>
      <c r="M43" t="s">
        <v>114</v>
      </c>
      <c r="N43" t="s">
        <v>114</v>
      </c>
      <c r="O43" t="s">
        <v>114</v>
      </c>
      <c r="P43" t="s">
        <v>114</v>
      </c>
      <c r="Q43" t="s">
        <v>114</v>
      </c>
    </row>
    <row r="44" spans="1:17" x14ac:dyDescent="0.25">
      <c r="A44" t="s">
        <v>862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</row>
    <row r="45" spans="1:17" x14ac:dyDescent="0.25">
      <c r="A45" t="s">
        <v>863</v>
      </c>
      <c r="B45">
        <v>0.98598402500000004</v>
      </c>
      <c r="C45">
        <v>1.87121212</v>
      </c>
      <c r="D45">
        <v>0.73716612449999996</v>
      </c>
      <c r="E45">
        <v>3.4341658650000002</v>
      </c>
      <c r="F45">
        <v>0.98598402500000004</v>
      </c>
      <c r="G45">
        <v>-0.88804713999999996</v>
      </c>
      <c r="H45">
        <v>0.73716612449999996</v>
      </c>
      <c r="I45">
        <v>3.1228683149999998</v>
      </c>
      <c r="J45">
        <v>3.5024306972512402E-3</v>
      </c>
      <c r="K45">
        <v>1.5772554457243599</v>
      </c>
      <c r="L45">
        <v>0.243631490694489</v>
      </c>
      <c r="M45">
        <v>19.5046130256619</v>
      </c>
      <c r="N45">
        <v>3.5024306972512402E-3</v>
      </c>
      <c r="O45">
        <v>7.0028695960697904</v>
      </c>
      <c r="P45">
        <v>0.243631490694489</v>
      </c>
      <c r="Q45">
        <v>23.586990376662399</v>
      </c>
    </row>
    <row r="46" spans="1:17" x14ac:dyDescent="0.25">
      <c r="A46" t="s">
        <v>864</v>
      </c>
      <c r="B46">
        <v>2.0505059700000001</v>
      </c>
      <c r="C46">
        <v>8.4791666699999997</v>
      </c>
      <c r="D46">
        <v>2.7738405000000001E-2</v>
      </c>
      <c r="E46">
        <v>4.4395758599999997</v>
      </c>
      <c r="F46">
        <v>-2.0505059700000001</v>
      </c>
      <c r="G46">
        <v>8.4791666699999997</v>
      </c>
      <c r="H46">
        <v>2.7738405000000001E-2</v>
      </c>
      <c r="I46">
        <v>-4.4395758599999997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</row>
    <row r="47" spans="1:17" x14ac:dyDescent="0.25">
      <c r="A47" t="s">
        <v>865</v>
      </c>
      <c r="B47">
        <v>3.8152800000000001E-2</v>
      </c>
      <c r="C47">
        <v>3.3202381000000001</v>
      </c>
      <c r="D47">
        <v>7.2147627000000006E-2</v>
      </c>
      <c r="E47">
        <v>5.9992126600000004</v>
      </c>
      <c r="F47">
        <v>-3.8152800000000001E-2</v>
      </c>
      <c r="G47">
        <v>-3.3202381000000001</v>
      </c>
      <c r="H47">
        <v>7.2147627000000006E-2</v>
      </c>
      <c r="I47">
        <v>-5.9992126600000004</v>
      </c>
      <c r="J47" t="s">
        <v>114</v>
      </c>
      <c r="K47" t="s">
        <v>114</v>
      </c>
      <c r="L47" t="s">
        <v>114</v>
      </c>
      <c r="M47" t="s">
        <v>114</v>
      </c>
      <c r="N47" t="s">
        <v>114</v>
      </c>
      <c r="O47" t="s">
        <v>114</v>
      </c>
      <c r="P47" t="s">
        <v>114</v>
      </c>
      <c r="Q47" t="s">
        <v>114</v>
      </c>
    </row>
    <row r="48" spans="1:17" x14ac:dyDescent="0.25">
      <c r="A48" t="s">
        <v>866</v>
      </c>
      <c r="B48">
        <v>1.7971333899999999</v>
      </c>
      <c r="C48">
        <v>67.1789773</v>
      </c>
      <c r="D48">
        <v>2.2504543259999998</v>
      </c>
      <c r="E48">
        <v>17.714904010000001</v>
      </c>
      <c r="F48">
        <v>1.7971333899999999</v>
      </c>
      <c r="G48">
        <v>-67.1789773</v>
      </c>
      <c r="H48">
        <v>2.2504543259999998</v>
      </c>
      <c r="I48">
        <v>17.714904010000001</v>
      </c>
      <c r="J48" t="s">
        <v>114</v>
      </c>
      <c r="K48" t="s">
        <v>114</v>
      </c>
      <c r="L48" t="s">
        <v>114</v>
      </c>
      <c r="M48" t="s">
        <v>114</v>
      </c>
      <c r="N48" t="s">
        <v>114</v>
      </c>
      <c r="O48" t="s">
        <v>114</v>
      </c>
      <c r="P48" t="s">
        <v>114</v>
      </c>
      <c r="Q48" t="s">
        <v>114</v>
      </c>
    </row>
    <row r="49" spans="1:17" x14ac:dyDescent="0.25">
      <c r="A49" t="s">
        <v>867</v>
      </c>
      <c r="B49" t="s">
        <v>114</v>
      </c>
      <c r="C49">
        <v>23.655092610000001</v>
      </c>
      <c r="D49">
        <v>2.9114769415000001</v>
      </c>
      <c r="E49">
        <v>1.6866994749999999</v>
      </c>
      <c r="F49" t="s">
        <v>114</v>
      </c>
      <c r="G49">
        <v>-23.655092610000001</v>
      </c>
      <c r="H49">
        <v>-2.3283230525</v>
      </c>
      <c r="I49">
        <v>0.42294110499999998</v>
      </c>
      <c r="J49" t="s">
        <v>114</v>
      </c>
      <c r="K49">
        <v>62.813367681944399</v>
      </c>
      <c r="L49">
        <v>10.8421764736058</v>
      </c>
      <c r="M49">
        <v>0.35775835659724198</v>
      </c>
      <c r="N49" t="s">
        <v>114</v>
      </c>
      <c r="O49">
        <v>62.813367681944399</v>
      </c>
      <c r="P49">
        <v>16.953395961772401</v>
      </c>
      <c r="Q49">
        <v>5.6899102379305502</v>
      </c>
    </row>
    <row r="50" spans="1:17" x14ac:dyDescent="0.25">
      <c r="A50" t="s">
        <v>868</v>
      </c>
      <c r="B50" t="s">
        <v>114</v>
      </c>
      <c r="C50">
        <v>28.793966452857099</v>
      </c>
      <c r="D50" t="s">
        <v>114</v>
      </c>
      <c r="E50">
        <v>7.00477968714286</v>
      </c>
      <c r="F50" t="s">
        <v>114</v>
      </c>
      <c r="G50">
        <v>-23.4614448071429</v>
      </c>
      <c r="H50" t="s">
        <v>114</v>
      </c>
      <c r="I50">
        <v>-6.3106278928571404</v>
      </c>
      <c r="J50" t="s">
        <v>114</v>
      </c>
      <c r="K50">
        <v>341.02710950327798</v>
      </c>
      <c r="L50" t="s">
        <v>114</v>
      </c>
      <c r="M50">
        <v>21.027879602296501</v>
      </c>
      <c r="N50" t="s">
        <v>114</v>
      </c>
      <c r="O50">
        <v>666.12240642787197</v>
      </c>
      <c r="P50" t="s">
        <v>114</v>
      </c>
      <c r="Q50">
        <v>31.811279342816199</v>
      </c>
    </row>
    <row r="51" spans="1:17" x14ac:dyDescent="0.25">
      <c r="A51" t="s">
        <v>869</v>
      </c>
      <c r="B51">
        <v>7.2663685000000006E-2</v>
      </c>
      <c r="C51">
        <v>7.8541666650000002</v>
      </c>
      <c r="D51">
        <v>0.24151381350000001</v>
      </c>
      <c r="E51">
        <v>5.7820814999999998E-2</v>
      </c>
      <c r="F51">
        <v>7.2663685000000006E-2</v>
      </c>
      <c r="G51">
        <v>-7.8541666650000002</v>
      </c>
      <c r="H51">
        <v>-0.24151381350000001</v>
      </c>
      <c r="I51">
        <v>-5.7820814999999998E-2</v>
      </c>
      <c r="J51">
        <v>1.05600222355585E-2</v>
      </c>
      <c r="K51">
        <v>123.375868003194</v>
      </c>
      <c r="L51">
        <v>0.116657844222626</v>
      </c>
      <c r="M51">
        <v>6.6864932945284502E-3</v>
      </c>
      <c r="N51">
        <v>1.05600222355585E-2</v>
      </c>
      <c r="O51">
        <v>123.375868003194</v>
      </c>
      <c r="P51">
        <v>0.116657844222626</v>
      </c>
      <c r="Q51">
        <v>6.6864932945284502E-3</v>
      </c>
    </row>
    <row r="52" spans="1:17" x14ac:dyDescent="0.25">
      <c r="A52" t="s">
        <v>870</v>
      </c>
      <c r="B52" t="s">
        <v>114</v>
      </c>
      <c r="C52" t="s">
        <v>114</v>
      </c>
      <c r="D52" t="s">
        <v>114</v>
      </c>
      <c r="E52" t="s">
        <v>114</v>
      </c>
      <c r="F52" t="s">
        <v>114</v>
      </c>
      <c r="G52" t="s">
        <v>114</v>
      </c>
      <c r="H52" t="s">
        <v>114</v>
      </c>
      <c r="I52" t="s">
        <v>114</v>
      </c>
      <c r="J52" t="s">
        <v>114</v>
      </c>
      <c r="K52" t="s">
        <v>114</v>
      </c>
      <c r="L52" t="s">
        <v>114</v>
      </c>
      <c r="M52" t="s">
        <v>114</v>
      </c>
      <c r="N52" t="s">
        <v>114</v>
      </c>
      <c r="O52" t="s">
        <v>114</v>
      </c>
      <c r="P52" t="s">
        <v>114</v>
      </c>
      <c r="Q52" t="s">
        <v>114</v>
      </c>
    </row>
    <row r="53" spans="1:17" x14ac:dyDescent="0.25">
      <c r="A53" t="s">
        <v>871</v>
      </c>
      <c r="B53">
        <v>7.0319930000000003E-2</v>
      </c>
      <c r="C53">
        <v>30.242424239999998</v>
      </c>
      <c r="D53">
        <v>0.19500888899999999</v>
      </c>
      <c r="E53">
        <v>7.8207925500000002</v>
      </c>
      <c r="F53">
        <v>-7.0319930000000003E-2</v>
      </c>
      <c r="G53">
        <v>-30.242424239999998</v>
      </c>
      <c r="H53">
        <v>0.19500888899999999</v>
      </c>
      <c r="I53">
        <v>-7.8207925500000002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</row>
    <row r="54" spans="1:17" x14ac:dyDescent="0.25">
      <c r="A54" t="s">
        <v>872</v>
      </c>
      <c r="B54">
        <v>0.62563736999999997</v>
      </c>
      <c r="C54">
        <v>40.739130430000003</v>
      </c>
      <c r="D54">
        <v>0.52450222199999996</v>
      </c>
      <c r="E54">
        <v>4.0230581299999999</v>
      </c>
      <c r="F54">
        <v>0.62563736999999997</v>
      </c>
      <c r="G54">
        <v>-40.739130430000003</v>
      </c>
      <c r="H54">
        <v>0.52450222199999996</v>
      </c>
      <c r="I54">
        <v>4.0230581299999999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</row>
    <row r="55" spans="1:17" x14ac:dyDescent="0.25">
      <c r="A55" t="s">
        <v>873</v>
      </c>
      <c r="B55" t="s">
        <v>114</v>
      </c>
      <c r="C55">
        <v>12.43296703</v>
      </c>
      <c r="D55">
        <v>3.2524988889999999</v>
      </c>
      <c r="E55">
        <v>11.344611909999999</v>
      </c>
      <c r="F55" t="s">
        <v>114</v>
      </c>
      <c r="G55">
        <v>12.43296703</v>
      </c>
      <c r="H55">
        <v>-3.2524988889999999</v>
      </c>
      <c r="I55">
        <v>-11.344611909999999</v>
      </c>
      <c r="J55" t="s">
        <v>114</v>
      </c>
      <c r="K55" t="s">
        <v>114</v>
      </c>
      <c r="L55" t="s">
        <v>114</v>
      </c>
      <c r="M55" t="s">
        <v>114</v>
      </c>
      <c r="N55" t="s">
        <v>114</v>
      </c>
      <c r="O55" t="s">
        <v>114</v>
      </c>
      <c r="P55" t="s">
        <v>114</v>
      </c>
      <c r="Q55" t="s">
        <v>114</v>
      </c>
    </row>
    <row r="56" spans="1:17" x14ac:dyDescent="0.25">
      <c r="A56" t="s">
        <v>874</v>
      </c>
      <c r="B56" t="s">
        <v>114</v>
      </c>
      <c r="C56">
        <v>9.3276515225000001</v>
      </c>
      <c r="D56">
        <v>1.75100593975</v>
      </c>
      <c r="E56">
        <v>4.7552190625000001</v>
      </c>
      <c r="F56" t="s">
        <v>114</v>
      </c>
      <c r="G56">
        <v>-9.3276515225000001</v>
      </c>
      <c r="H56">
        <v>-1.06296655725</v>
      </c>
      <c r="I56">
        <v>-4.7552190625000001</v>
      </c>
      <c r="J56" t="s">
        <v>114</v>
      </c>
      <c r="K56">
        <v>79.840607994562703</v>
      </c>
      <c r="L56">
        <v>6.7855580499163102</v>
      </c>
      <c r="M56">
        <v>11.958069319056399</v>
      </c>
      <c r="N56" t="s">
        <v>114</v>
      </c>
      <c r="O56">
        <v>79.840607994562703</v>
      </c>
      <c r="P56">
        <v>9.3670565821934595</v>
      </c>
      <c r="Q56">
        <v>11.958069319056399</v>
      </c>
    </row>
    <row r="57" spans="1:17" x14ac:dyDescent="0.25">
      <c r="A57" t="s">
        <v>875</v>
      </c>
      <c r="B57" t="s">
        <v>114</v>
      </c>
      <c r="C57" t="s">
        <v>114</v>
      </c>
      <c r="D57" t="s">
        <v>114</v>
      </c>
      <c r="E57" t="s">
        <v>114</v>
      </c>
      <c r="F57" t="s">
        <v>114</v>
      </c>
      <c r="G57" t="s">
        <v>114</v>
      </c>
      <c r="H57" t="s">
        <v>114</v>
      </c>
      <c r="I57" t="s">
        <v>114</v>
      </c>
      <c r="J57" t="s">
        <v>114</v>
      </c>
      <c r="K57" t="s">
        <v>114</v>
      </c>
      <c r="L57" t="s">
        <v>114</v>
      </c>
      <c r="M57" t="s">
        <v>114</v>
      </c>
      <c r="N57" t="s">
        <v>114</v>
      </c>
      <c r="O57" t="s">
        <v>114</v>
      </c>
      <c r="P57" t="s">
        <v>114</v>
      </c>
      <c r="Q57" t="s">
        <v>114</v>
      </c>
    </row>
    <row r="58" spans="1:17" x14ac:dyDescent="0.25">
      <c r="A58" t="s">
        <v>876</v>
      </c>
      <c r="B58" t="s">
        <v>114</v>
      </c>
      <c r="C58" t="s">
        <v>114</v>
      </c>
      <c r="D58" t="s">
        <v>114</v>
      </c>
      <c r="E58" t="s">
        <v>114</v>
      </c>
      <c r="F58" t="s">
        <v>114</v>
      </c>
      <c r="G58" t="s">
        <v>114</v>
      </c>
      <c r="H58" t="s">
        <v>114</v>
      </c>
      <c r="I58" t="s">
        <v>114</v>
      </c>
      <c r="J58" t="s">
        <v>114</v>
      </c>
      <c r="K58" t="s">
        <v>114</v>
      </c>
      <c r="L58" t="s">
        <v>114</v>
      </c>
      <c r="M58" t="s">
        <v>114</v>
      </c>
      <c r="N58" t="s">
        <v>114</v>
      </c>
      <c r="O58" t="s">
        <v>114</v>
      </c>
      <c r="P58" t="s">
        <v>114</v>
      </c>
      <c r="Q58" t="s">
        <v>114</v>
      </c>
    </row>
    <row r="59" spans="1:17" x14ac:dyDescent="0.25">
      <c r="A59" t="s">
        <v>877</v>
      </c>
      <c r="B59">
        <v>0.18572191333333299</v>
      </c>
      <c r="C59">
        <v>35.636940850000002</v>
      </c>
      <c r="D59">
        <v>1.14481204366667</v>
      </c>
      <c r="E59">
        <v>1.8076093333333301</v>
      </c>
      <c r="F59">
        <v>0.18572191333333299</v>
      </c>
      <c r="G59">
        <v>-20.6851371033333</v>
      </c>
      <c r="H59">
        <v>-1.14481204366667</v>
      </c>
      <c r="I59">
        <v>0.46697501333333302</v>
      </c>
      <c r="J59">
        <v>2.03070990472533E-4</v>
      </c>
      <c r="K59">
        <v>1789.4616882287701</v>
      </c>
      <c r="L59">
        <v>0.871314499907616</v>
      </c>
      <c r="M59">
        <v>3.10110214582562E-2</v>
      </c>
      <c r="N59">
        <v>2.03070990472533E-4</v>
      </c>
      <c r="O59">
        <v>3052.63667247283</v>
      </c>
      <c r="P59">
        <v>0.871314499907616</v>
      </c>
      <c r="Q59">
        <v>4.6050897797724204</v>
      </c>
    </row>
    <row r="60" spans="1:17" x14ac:dyDescent="0.25">
      <c r="A60" t="s">
        <v>878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</row>
    <row r="61" spans="1:17" x14ac:dyDescent="0.25">
      <c r="A61" t="s">
        <v>879</v>
      </c>
      <c r="B61">
        <v>1.8206694999999999</v>
      </c>
      <c r="C61">
        <v>29.87767857</v>
      </c>
      <c r="D61">
        <v>2.1653166669999999</v>
      </c>
      <c r="E61">
        <v>13.579434470000001</v>
      </c>
      <c r="F61">
        <v>-1.8206694999999999</v>
      </c>
      <c r="G61">
        <v>29.87767857</v>
      </c>
      <c r="H61">
        <v>-2.1653166669999999</v>
      </c>
      <c r="I61">
        <v>-13.579434470000001</v>
      </c>
      <c r="J61" t="s">
        <v>114</v>
      </c>
      <c r="K61" t="s">
        <v>114</v>
      </c>
      <c r="L61" t="s">
        <v>114</v>
      </c>
      <c r="M61" t="s">
        <v>114</v>
      </c>
      <c r="N61" t="s">
        <v>114</v>
      </c>
      <c r="O61" t="s">
        <v>114</v>
      </c>
      <c r="P61" t="s">
        <v>114</v>
      </c>
      <c r="Q61" t="s">
        <v>114</v>
      </c>
    </row>
    <row r="62" spans="1:17" x14ac:dyDescent="0.25">
      <c r="A62" t="s">
        <v>880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 t="s">
        <v>114</v>
      </c>
      <c r="K62" t="s">
        <v>114</v>
      </c>
      <c r="L62" t="s">
        <v>114</v>
      </c>
      <c r="M62" t="s">
        <v>114</v>
      </c>
      <c r="N62" t="s">
        <v>114</v>
      </c>
      <c r="O62" t="s">
        <v>114</v>
      </c>
      <c r="P62" t="s">
        <v>114</v>
      </c>
      <c r="Q62" t="s">
        <v>114</v>
      </c>
    </row>
    <row r="63" spans="1:17" x14ac:dyDescent="0.25">
      <c r="A63" t="s">
        <v>881</v>
      </c>
      <c r="B63">
        <v>1.9278440699999999</v>
      </c>
      <c r="C63">
        <v>48.90625</v>
      </c>
      <c r="D63">
        <v>1.754436667</v>
      </c>
      <c r="E63">
        <v>7.4645801799999996</v>
      </c>
      <c r="F63">
        <v>1.9278440699999999</v>
      </c>
      <c r="G63">
        <v>-48.90625</v>
      </c>
      <c r="H63">
        <v>1.754436667</v>
      </c>
      <c r="I63">
        <v>7.4645801799999996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</row>
    <row r="64" spans="1:17" x14ac:dyDescent="0.25">
      <c r="A64" t="s">
        <v>882</v>
      </c>
      <c r="B64">
        <v>1.6831783762500001</v>
      </c>
      <c r="C64">
        <v>32.97811831125</v>
      </c>
      <c r="D64">
        <v>0.342437076625</v>
      </c>
      <c r="E64">
        <v>8.8917417724999996</v>
      </c>
      <c r="F64">
        <v>1.6831783762500001</v>
      </c>
      <c r="G64">
        <v>-32.550879506249998</v>
      </c>
      <c r="H64">
        <v>0.342437076625</v>
      </c>
      <c r="I64">
        <v>1.7617954325</v>
      </c>
      <c r="J64">
        <v>9.3759635274380804E-3</v>
      </c>
      <c r="K64">
        <v>167.01249867547099</v>
      </c>
      <c r="L64" s="4">
        <v>8.7935837922390603E-5</v>
      </c>
      <c r="M64">
        <v>62.599898687124004</v>
      </c>
      <c r="N64">
        <v>9.3759635274380804E-3</v>
      </c>
      <c r="O64">
        <v>199.008533784495</v>
      </c>
      <c r="P64" s="4">
        <v>8.7935837922390603E-5</v>
      </c>
      <c r="Q64">
        <v>149.410354233231</v>
      </c>
    </row>
    <row r="65" spans="1:17" x14ac:dyDescent="0.25">
      <c r="A65" t="s">
        <v>883</v>
      </c>
      <c r="B65" t="s">
        <v>114</v>
      </c>
      <c r="C65" t="s">
        <v>114</v>
      </c>
      <c r="D65" t="s">
        <v>114</v>
      </c>
      <c r="E65" t="s">
        <v>114</v>
      </c>
      <c r="F65" t="s">
        <v>114</v>
      </c>
      <c r="G65" t="s">
        <v>114</v>
      </c>
      <c r="H65" t="s">
        <v>114</v>
      </c>
      <c r="I65" t="s">
        <v>114</v>
      </c>
      <c r="J65" t="s">
        <v>114</v>
      </c>
      <c r="K65" t="s">
        <v>114</v>
      </c>
      <c r="L65" t="s">
        <v>114</v>
      </c>
      <c r="M65" t="s">
        <v>114</v>
      </c>
      <c r="N65" t="s">
        <v>114</v>
      </c>
      <c r="O65" t="s">
        <v>114</v>
      </c>
      <c r="P65" t="s">
        <v>114</v>
      </c>
      <c r="Q65" t="s">
        <v>114</v>
      </c>
    </row>
    <row r="66" spans="1:17" x14ac:dyDescent="0.25">
      <c r="A66" t="s">
        <v>884</v>
      </c>
      <c r="B66">
        <v>0.67944028333333295</v>
      </c>
      <c r="C66">
        <v>0.23243159333333299</v>
      </c>
      <c r="D66">
        <v>0.735649147666667</v>
      </c>
      <c r="E66">
        <v>4.9833868633333296</v>
      </c>
      <c r="F66">
        <v>0.67944028333333295</v>
      </c>
      <c r="G66">
        <v>-0.23243159333333299</v>
      </c>
      <c r="H66">
        <v>0.735649147666667</v>
      </c>
      <c r="I66">
        <v>4.9833868633333296</v>
      </c>
      <c r="J66">
        <v>1.3849172958482401</v>
      </c>
      <c r="K66">
        <v>0.16207333673841601</v>
      </c>
      <c r="L66">
        <v>1.62353900538808</v>
      </c>
      <c r="M66">
        <v>74.502433888929701</v>
      </c>
      <c r="N66">
        <v>1.3849172958482401</v>
      </c>
      <c r="O66">
        <v>0.16207333673841601</v>
      </c>
      <c r="P66">
        <v>1.62353900538808</v>
      </c>
      <c r="Q66">
        <v>74.502433888929701</v>
      </c>
    </row>
    <row r="67" spans="1:17" x14ac:dyDescent="0.25">
      <c r="A67" t="s">
        <v>885</v>
      </c>
      <c r="B67" t="s">
        <v>114</v>
      </c>
      <c r="C67">
        <v>32.35300926</v>
      </c>
      <c r="D67">
        <v>0.75796250750000005</v>
      </c>
      <c r="E67">
        <v>2.8559647799999999</v>
      </c>
      <c r="F67" t="s">
        <v>114</v>
      </c>
      <c r="G67">
        <v>-32.35300926</v>
      </c>
      <c r="H67">
        <v>-0.55135249249999996</v>
      </c>
      <c r="I67">
        <v>-2.8559647799999999</v>
      </c>
      <c r="J67" t="s">
        <v>114</v>
      </c>
      <c r="K67">
        <v>19.923828125</v>
      </c>
      <c r="L67">
        <v>0.60797914197192504</v>
      </c>
      <c r="M67">
        <v>3.6586678768496799</v>
      </c>
      <c r="N67" t="s">
        <v>114</v>
      </c>
      <c r="O67">
        <v>19.923828125</v>
      </c>
      <c r="P67">
        <v>1.1490143255513801</v>
      </c>
      <c r="Q67">
        <v>3.6586678768496799</v>
      </c>
    </row>
    <row r="68" spans="1:17" x14ac:dyDescent="0.25">
      <c r="A68" t="s">
        <v>886</v>
      </c>
      <c r="B68" t="s">
        <v>114</v>
      </c>
      <c r="C68">
        <v>37.09140318</v>
      </c>
      <c r="D68">
        <v>0.22399584049999999</v>
      </c>
      <c r="E68">
        <v>5.7412001500000001</v>
      </c>
      <c r="F68" t="s">
        <v>114</v>
      </c>
      <c r="G68">
        <v>-37.09140318</v>
      </c>
      <c r="H68">
        <v>0.22399584049999999</v>
      </c>
      <c r="I68">
        <v>5.7412001500000001</v>
      </c>
      <c r="J68" t="s">
        <v>114</v>
      </c>
      <c r="K68">
        <v>195.93000943078499</v>
      </c>
      <c r="L68">
        <v>1.15634005313751E-2</v>
      </c>
      <c r="M68">
        <v>7.6661160337289704</v>
      </c>
      <c r="N68" t="s">
        <v>114</v>
      </c>
      <c r="O68">
        <v>195.93000943078499</v>
      </c>
      <c r="P68">
        <v>1.15634005313751E-2</v>
      </c>
      <c r="Q68">
        <v>7.6661160337289704</v>
      </c>
    </row>
    <row r="69" spans="1:17" x14ac:dyDescent="0.25">
      <c r="A69" t="s">
        <v>887</v>
      </c>
      <c r="B69" t="s">
        <v>114</v>
      </c>
      <c r="C69">
        <v>13.708333335000001</v>
      </c>
      <c r="D69">
        <v>4.47468065E-2</v>
      </c>
      <c r="E69">
        <v>9.2889784300000002</v>
      </c>
      <c r="F69" t="s">
        <v>114</v>
      </c>
      <c r="G69">
        <v>13.708333335000001</v>
      </c>
      <c r="H69">
        <v>-2.4741073499999999E-2</v>
      </c>
      <c r="I69">
        <v>-8.4521592400000003</v>
      </c>
      <c r="J69" t="s">
        <v>114</v>
      </c>
      <c r="K69">
        <v>17.013888869444401</v>
      </c>
      <c r="L69">
        <v>1.2242414358648E-3</v>
      </c>
      <c r="M69">
        <v>142.87799163663499</v>
      </c>
      <c r="N69" t="s">
        <v>114</v>
      </c>
      <c r="O69">
        <v>17.013888869444401</v>
      </c>
      <c r="P69">
        <v>4.0045533838968797E-3</v>
      </c>
      <c r="Q69">
        <v>172.57024054601101</v>
      </c>
    </row>
    <row r="70" spans="1:17" x14ac:dyDescent="0.25">
      <c r="A70" t="s">
        <v>888</v>
      </c>
      <c r="B70">
        <v>1.81170137</v>
      </c>
      <c r="C70">
        <v>46.5</v>
      </c>
      <c r="D70">
        <v>0.117834331</v>
      </c>
      <c r="E70">
        <v>17.50646339</v>
      </c>
      <c r="F70">
        <v>1.81170137</v>
      </c>
      <c r="G70">
        <v>-46.5</v>
      </c>
      <c r="H70">
        <v>-0.117834331</v>
      </c>
      <c r="I70">
        <v>17.50646339</v>
      </c>
      <c r="J70" t="s">
        <v>114</v>
      </c>
      <c r="K70" t="s">
        <v>114</v>
      </c>
      <c r="L70" t="s">
        <v>114</v>
      </c>
      <c r="M70" t="s">
        <v>114</v>
      </c>
      <c r="N70" t="s">
        <v>114</v>
      </c>
      <c r="O70" t="s">
        <v>114</v>
      </c>
      <c r="P70" t="s">
        <v>114</v>
      </c>
      <c r="Q70" t="s">
        <v>114</v>
      </c>
    </row>
    <row r="71" spans="1:17" x14ac:dyDescent="0.25">
      <c r="A71" t="s">
        <v>889</v>
      </c>
      <c r="B71">
        <v>0.62563736999999997</v>
      </c>
      <c r="C71">
        <v>40.739130430000003</v>
      </c>
      <c r="D71">
        <v>0.52450222199999996</v>
      </c>
      <c r="E71">
        <v>4.0230581299999999</v>
      </c>
      <c r="F71">
        <v>0.62563736999999997</v>
      </c>
      <c r="G71">
        <v>-40.739130430000003</v>
      </c>
      <c r="H71">
        <v>0.52450222199999996</v>
      </c>
      <c r="I71">
        <v>4.0230581299999999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</row>
    <row r="72" spans="1:17" x14ac:dyDescent="0.25">
      <c r="A72" t="s">
        <v>890</v>
      </c>
      <c r="B72">
        <v>0.75022829999999996</v>
      </c>
      <c r="C72">
        <v>29.19675926</v>
      </c>
      <c r="D72">
        <v>1.309315</v>
      </c>
      <c r="E72">
        <v>4.2084935000000003</v>
      </c>
      <c r="F72">
        <v>0.75022829999999996</v>
      </c>
      <c r="G72">
        <v>-29.19675926</v>
      </c>
      <c r="H72">
        <v>-1.309315</v>
      </c>
      <c r="I72">
        <v>-4.2084935000000003</v>
      </c>
      <c r="J72" t="s">
        <v>114</v>
      </c>
      <c r="K72" t="s">
        <v>114</v>
      </c>
      <c r="L72" t="s">
        <v>114</v>
      </c>
      <c r="M72" t="s">
        <v>114</v>
      </c>
      <c r="N72" t="s">
        <v>114</v>
      </c>
      <c r="O72" t="s">
        <v>114</v>
      </c>
      <c r="P72" t="s">
        <v>114</v>
      </c>
      <c r="Q72" t="s">
        <v>114</v>
      </c>
    </row>
    <row r="73" spans="1:17" x14ac:dyDescent="0.25">
      <c r="A73" t="s">
        <v>891</v>
      </c>
      <c r="B73" t="s">
        <v>114</v>
      </c>
      <c r="C73">
        <v>43.864130430000003</v>
      </c>
      <c r="D73">
        <v>0.33623028500000002</v>
      </c>
      <c r="E73">
        <v>3.903219285</v>
      </c>
      <c r="F73" t="s">
        <v>114</v>
      </c>
      <c r="G73">
        <v>-43.864130430000003</v>
      </c>
      <c r="H73">
        <v>0.33623028500000002</v>
      </c>
      <c r="I73">
        <v>3.903219285</v>
      </c>
      <c r="J73" t="s">
        <v>114</v>
      </c>
      <c r="K73">
        <v>13.0208333333333</v>
      </c>
      <c r="L73">
        <v>4.7261763015642597E-2</v>
      </c>
      <c r="M73">
        <v>1.9148465027911999E-2</v>
      </c>
      <c r="N73" t="s">
        <v>114</v>
      </c>
      <c r="O73">
        <v>13.0208333333333</v>
      </c>
      <c r="P73">
        <v>4.7261763015642597E-2</v>
      </c>
      <c r="Q73">
        <v>1.9148465027911999E-2</v>
      </c>
    </row>
    <row r="74" spans="1:17" x14ac:dyDescent="0.25">
      <c r="A74" t="s">
        <v>892</v>
      </c>
      <c r="B74" t="s">
        <v>114</v>
      </c>
      <c r="C74">
        <v>25.257700144000001</v>
      </c>
      <c r="D74">
        <v>1.0915040462000001</v>
      </c>
      <c r="E74">
        <v>4.5778136719999996</v>
      </c>
      <c r="F74" t="s">
        <v>114</v>
      </c>
      <c r="G74">
        <v>-5.9991180560000004</v>
      </c>
      <c r="H74">
        <v>1.0915040462000001</v>
      </c>
      <c r="I74">
        <v>4.5778136719999996</v>
      </c>
      <c r="J74" t="s">
        <v>114</v>
      </c>
      <c r="K74">
        <v>875.125657744862</v>
      </c>
      <c r="L74">
        <v>1.0361481199285301</v>
      </c>
      <c r="M74">
        <v>17.0818901257053</v>
      </c>
      <c r="N74" t="s">
        <v>114</v>
      </c>
      <c r="O74">
        <v>1627.57815663785</v>
      </c>
      <c r="P74">
        <v>1.0361481199285301</v>
      </c>
      <c r="Q74">
        <v>17.0818901257053</v>
      </c>
    </row>
    <row r="75" spans="1:17" x14ac:dyDescent="0.25">
      <c r="A75" t="s">
        <v>893</v>
      </c>
      <c r="B75" t="s">
        <v>114</v>
      </c>
      <c r="C75" t="s">
        <v>114</v>
      </c>
      <c r="D75" t="s">
        <v>114</v>
      </c>
      <c r="E75" t="s">
        <v>114</v>
      </c>
      <c r="F75" t="s">
        <v>114</v>
      </c>
      <c r="G75" t="s">
        <v>114</v>
      </c>
      <c r="H75" t="s">
        <v>114</v>
      </c>
      <c r="I75" t="s">
        <v>114</v>
      </c>
      <c r="J75" t="s">
        <v>114</v>
      </c>
      <c r="K75" t="s">
        <v>114</v>
      </c>
      <c r="L75" t="s">
        <v>114</v>
      </c>
      <c r="M75" t="s">
        <v>114</v>
      </c>
      <c r="N75" t="s">
        <v>114</v>
      </c>
      <c r="O75" t="s">
        <v>114</v>
      </c>
      <c r="P75" t="s">
        <v>114</v>
      </c>
      <c r="Q75" t="s">
        <v>114</v>
      </c>
    </row>
    <row r="76" spans="1:17" x14ac:dyDescent="0.25">
      <c r="A76" t="s">
        <v>894</v>
      </c>
      <c r="B76" t="s">
        <v>114</v>
      </c>
      <c r="C76">
        <v>2.2022792</v>
      </c>
      <c r="D76">
        <v>2.2584650000000002</v>
      </c>
      <c r="E76">
        <v>6.4935159899999997</v>
      </c>
      <c r="F76" t="s">
        <v>114</v>
      </c>
      <c r="G76">
        <v>2.2022792</v>
      </c>
      <c r="H76">
        <v>-2.2584650000000002</v>
      </c>
      <c r="I76">
        <v>-6.4935159899999997</v>
      </c>
      <c r="J76" t="s">
        <v>114</v>
      </c>
      <c r="K76" t="s">
        <v>114</v>
      </c>
      <c r="L76" t="s">
        <v>114</v>
      </c>
      <c r="M76" t="s">
        <v>114</v>
      </c>
      <c r="N76" t="s">
        <v>114</v>
      </c>
      <c r="O76" t="s">
        <v>114</v>
      </c>
      <c r="P76" t="s">
        <v>114</v>
      </c>
      <c r="Q76" t="s">
        <v>114</v>
      </c>
    </row>
    <row r="77" spans="1:17" x14ac:dyDescent="0.25">
      <c r="A77" t="s">
        <v>895</v>
      </c>
      <c r="B77" t="s">
        <v>114</v>
      </c>
      <c r="C77">
        <v>10.378731569999999</v>
      </c>
      <c r="D77">
        <v>1.187884167</v>
      </c>
      <c r="E77">
        <v>3.2467579949999998</v>
      </c>
      <c r="F77" t="s">
        <v>114</v>
      </c>
      <c r="G77">
        <v>-10.378731569999999</v>
      </c>
      <c r="H77">
        <v>-1.187884167</v>
      </c>
      <c r="I77">
        <v>2.0400585050000002</v>
      </c>
      <c r="J77" t="s">
        <v>114</v>
      </c>
      <c r="K77">
        <v>2.4250168373763201</v>
      </c>
      <c r="L77">
        <v>2.5503320781125001</v>
      </c>
      <c r="M77">
        <v>8.3236774076456701</v>
      </c>
      <c r="N77" t="s">
        <v>114</v>
      </c>
      <c r="O77">
        <v>2.4250168373763201</v>
      </c>
      <c r="P77">
        <v>2.5503320781125001</v>
      </c>
      <c r="Q77">
        <v>21.0828749561928</v>
      </c>
    </row>
    <row r="78" spans="1:17" x14ac:dyDescent="0.25">
      <c r="A78" t="s">
        <v>896</v>
      </c>
      <c r="B78" t="s">
        <v>114</v>
      </c>
      <c r="C78">
        <v>17.44471154</v>
      </c>
      <c r="D78">
        <v>1.087182222</v>
      </c>
      <c r="E78">
        <v>2.23482256</v>
      </c>
      <c r="F78" t="s">
        <v>114</v>
      </c>
      <c r="G78">
        <v>-17.44471154</v>
      </c>
      <c r="H78">
        <v>-1.087182222</v>
      </c>
      <c r="I78">
        <v>2.23482256</v>
      </c>
      <c r="J78" t="s">
        <v>114</v>
      </c>
      <c r="K78" t="s">
        <v>114</v>
      </c>
      <c r="L78" t="s">
        <v>114</v>
      </c>
      <c r="M78" t="s">
        <v>114</v>
      </c>
      <c r="N78" t="s">
        <v>114</v>
      </c>
      <c r="O78" t="s">
        <v>114</v>
      </c>
      <c r="P78" t="s">
        <v>114</v>
      </c>
      <c r="Q78" t="s">
        <v>114</v>
      </c>
    </row>
    <row r="79" spans="1:17" x14ac:dyDescent="0.25">
      <c r="A79" t="s">
        <v>897</v>
      </c>
      <c r="B79" t="s">
        <v>114</v>
      </c>
      <c r="C79" t="s">
        <v>114</v>
      </c>
      <c r="D79" t="s">
        <v>114</v>
      </c>
      <c r="E79" t="s">
        <v>114</v>
      </c>
      <c r="F79" t="s">
        <v>114</v>
      </c>
      <c r="G79" t="s">
        <v>114</v>
      </c>
      <c r="H79" t="s">
        <v>114</v>
      </c>
      <c r="I79" t="s">
        <v>114</v>
      </c>
      <c r="J79" t="s">
        <v>114</v>
      </c>
      <c r="K79" t="s">
        <v>114</v>
      </c>
      <c r="L79" t="s">
        <v>114</v>
      </c>
      <c r="M79" t="s">
        <v>114</v>
      </c>
      <c r="N79" t="s">
        <v>114</v>
      </c>
      <c r="O79" t="s">
        <v>114</v>
      </c>
      <c r="P79" t="s">
        <v>114</v>
      </c>
      <c r="Q79" t="s">
        <v>114</v>
      </c>
    </row>
    <row r="80" spans="1:17" x14ac:dyDescent="0.25">
      <c r="A80" t="s">
        <v>898</v>
      </c>
      <c r="B80">
        <v>0.73868717666666694</v>
      </c>
      <c r="C80">
        <v>10.649962476666699</v>
      </c>
      <c r="D80">
        <v>0.178673838666667</v>
      </c>
      <c r="E80">
        <v>8.9768733566666707</v>
      </c>
      <c r="F80">
        <v>-0.64180226333333301</v>
      </c>
      <c r="G80">
        <v>-4.99718469666667</v>
      </c>
      <c r="H80">
        <v>-0.160181568666667</v>
      </c>
      <c r="I80">
        <v>-8.9768733566666707</v>
      </c>
      <c r="J80">
        <v>1.2945638611160599</v>
      </c>
      <c r="K80">
        <v>19.3187798871129</v>
      </c>
      <c r="L80">
        <v>6.9474962578811694E-2</v>
      </c>
      <c r="M80">
        <v>139.31454081772901</v>
      </c>
      <c r="N80">
        <v>1.4951867607440299</v>
      </c>
      <c r="O80">
        <v>151.99354867982601</v>
      </c>
      <c r="P80">
        <v>7.8874271103863594E-2</v>
      </c>
      <c r="Q80">
        <v>139.31454081772901</v>
      </c>
    </row>
    <row r="81" spans="1:17" x14ac:dyDescent="0.25">
      <c r="A81" t="s">
        <v>899</v>
      </c>
      <c r="B81">
        <v>0.20608604799999999</v>
      </c>
      <c r="C81">
        <v>25.709935898000001</v>
      </c>
      <c r="D81">
        <v>2.4014382583999998</v>
      </c>
      <c r="E81">
        <v>6.548404992</v>
      </c>
      <c r="F81">
        <v>0.19739040799999999</v>
      </c>
      <c r="G81">
        <v>25.709935898000001</v>
      </c>
      <c r="H81">
        <v>2.4014382583999998</v>
      </c>
      <c r="I81">
        <v>-2.2064975279999999</v>
      </c>
      <c r="J81">
        <v>1.1266645186652101E-2</v>
      </c>
      <c r="K81">
        <v>34.850519836066702</v>
      </c>
      <c r="L81">
        <v>3.6459667049676202E-4</v>
      </c>
      <c r="M81">
        <v>16.215033233308301</v>
      </c>
      <c r="N81">
        <v>1.56522526989669E-2</v>
      </c>
      <c r="O81">
        <v>34.850519836066702</v>
      </c>
      <c r="P81">
        <v>3.6459667049676202E-4</v>
      </c>
      <c r="Q81">
        <v>63.731253981033802</v>
      </c>
    </row>
    <row r="82" spans="1:17" x14ac:dyDescent="0.25">
      <c r="A82" t="s">
        <v>900</v>
      </c>
      <c r="B82" t="s">
        <v>114</v>
      </c>
      <c r="C82">
        <v>19.463640865999999</v>
      </c>
      <c r="D82">
        <v>1.4777188332</v>
      </c>
      <c r="E82">
        <v>15.345884807999999</v>
      </c>
      <c r="F82" t="s">
        <v>114</v>
      </c>
      <c r="G82">
        <v>-18.780058778000001</v>
      </c>
      <c r="H82">
        <v>-0.89859645239999997</v>
      </c>
      <c r="I82">
        <v>15.345884807999999</v>
      </c>
      <c r="J82" t="s">
        <v>114</v>
      </c>
      <c r="K82">
        <v>162.092496580453</v>
      </c>
      <c r="L82">
        <v>6.2272131728158397</v>
      </c>
      <c r="M82">
        <v>116.809486921972</v>
      </c>
      <c r="N82" t="s">
        <v>114</v>
      </c>
      <c r="O82">
        <v>194.770881649816</v>
      </c>
      <c r="P82">
        <v>7.9474348799759698</v>
      </c>
      <c r="Q82">
        <v>116.809486921972</v>
      </c>
    </row>
    <row r="83" spans="1:17" x14ac:dyDescent="0.25">
      <c r="A83" t="s">
        <v>901</v>
      </c>
      <c r="B83">
        <v>0.38332100000000002</v>
      </c>
      <c r="C83">
        <v>5.1153439150000004</v>
      </c>
      <c r="D83">
        <v>0.4970169445</v>
      </c>
      <c r="E83">
        <v>2.4255479599999998</v>
      </c>
      <c r="F83">
        <v>0.38332100000000002</v>
      </c>
      <c r="G83">
        <v>-5.1153439150000004</v>
      </c>
      <c r="H83">
        <v>0.4970169445</v>
      </c>
      <c r="I83">
        <v>2.4255479599999998</v>
      </c>
      <c r="J83">
        <v>0.29386997808199999</v>
      </c>
      <c r="K83">
        <v>52.333486737455097</v>
      </c>
      <c r="L83">
        <v>0.49405168624023199</v>
      </c>
      <c r="M83">
        <v>11.7665658125203</v>
      </c>
      <c r="N83">
        <v>0.29386997808199999</v>
      </c>
      <c r="O83">
        <v>52.333486737455097</v>
      </c>
      <c r="P83">
        <v>0.49405168624023199</v>
      </c>
      <c r="Q83">
        <v>11.7665658125203</v>
      </c>
    </row>
    <row r="84" spans="1:17" x14ac:dyDescent="0.25">
      <c r="A84" t="s">
        <v>902</v>
      </c>
      <c r="B84">
        <v>1.78338862</v>
      </c>
      <c r="C84">
        <v>20.4791666666667</v>
      </c>
      <c r="D84">
        <v>1.9834651246666699</v>
      </c>
      <c r="E84">
        <v>17.607969966666701</v>
      </c>
      <c r="F84">
        <v>1.78338862</v>
      </c>
      <c r="G84">
        <v>-20.4791666666667</v>
      </c>
      <c r="H84">
        <v>-1.9834651246666699</v>
      </c>
      <c r="I84">
        <v>17.607969966666701</v>
      </c>
      <c r="J84">
        <v>6.8080685334527902E-3</v>
      </c>
      <c r="K84">
        <v>505.37630208333297</v>
      </c>
      <c r="L84">
        <v>5.4021252084081805E-4</v>
      </c>
      <c r="M84">
        <v>6.9596914015765803</v>
      </c>
      <c r="N84">
        <v>6.8080685334527902E-3</v>
      </c>
      <c r="O84">
        <v>505.37630208333297</v>
      </c>
      <c r="P84">
        <v>5.4021252084081805E-4</v>
      </c>
      <c r="Q84">
        <v>6.9596914015765803</v>
      </c>
    </row>
    <row r="85" spans="1:17" x14ac:dyDescent="0.25">
      <c r="A85" t="s">
        <v>903</v>
      </c>
      <c r="B85" t="s">
        <v>114</v>
      </c>
      <c r="C85" t="s">
        <v>114</v>
      </c>
      <c r="D85" t="s">
        <v>114</v>
      </c>
      <c r="E85" t="s">
        <v>114</v>
      </c>
      <c r="F85" t="s">
        <v>114</v>
      </c>
      <c r="G85" t="s">
        <v>114</v>
      </c>
      <c r="H85" t="s">
        <v>114</v>
      </c>
      <c r="I85" t="s">
        <v>114</v>
      </c>
      <c r="J85" t="s">
        <v>114</v>
      </c>
      <c r="K85" t="s">
        <v>114</v>
      </c>
      <c r="L85" t="s">
        <v>114</v>
      </c>
      <c r="M85" t="s">
        <v>114</v>
      </c>
      <c r="N85" t="s">
        <v>114</v>
      </c>
      <c r="O85" t="s">
        <v>114</v>
      </c>
      <c r="P85" t="s">
        <v>114</v>
      </c>
      <c r="Q85" t="s">
        <v>114</v>
      </c>
    </row>
    <row r="86" spans="1:17" x14ac:dyDescent="0.25">
      <c r="A86" t="s">
        <v>904</v>
      </c>
      <c r="B86" t="s">
        <v>114</v>
      </c>
      <c r="C86">
        <v>25.4375</v>
      </c>
      <c r="D86" t="s">
        <v>114</v>
      </c>
      <c r="E86">
        <v>9.6620416299999992</v>
      </c>
      <c r="F86" t="s">
        <v>114</v>
      </c>
      <c r="G86">
        <v>-25.4375</v>
      </c>
      <c r="H86" t="s">
        <v>114</v>
      </c>
      <c r="I86">
        <v>9.6620416299999992</v>
      </c>
      <c r="J86" t="s">
        <v>114</v>
      </c>
      <c r="K86">
        <v>0</v>
      </c>
      <c r="L86" t="s">
        <v>114</v>
      </c>
      <c r="M86">
        <v>0</v>
      </c>
      <c r="N86" t="s">
        <v>114</v>
      </c>
      <c r="O86">
        <v>0</v>
      </c>
      <c r="P86" t="s">
        <v>114</v>
      </c>
      <c r="Q86">
        <v>0</v>
      </c>
    </row>
    <row r="87" spans="1:17" x14ac:dyDescent="0.25">
      <c r="A87" t="s">
        <v>905</v>
      </c>
      <c r="B87" t="s">
        <v>114</v>
      </c>
      <c r="C87" t="s">
        <v>114</v>
      </c>
      <c r="D87" t="s">
        <v>114</v>
      </c>
      <c r="E87" t="s">
        <v>114</v>
      </c>
      <c r="F87" t="s">
        <v>114</v>
      </c>
      <c r="G87" t="s">
        <v>114</v>
      </c>
      <c r="H87" t="s">
        <v>114</v>
      </c>
      <c r="I87" t="s">
        <v>114</v>
      </c>
      <c r="J87" t="s">
        <v>114</v>
      </c>
      <c r="K87" t="s">
        <v>114</v>
      </c>
      <c r="L87" t="s">
        <v>114</v>
      </c>
      <c r="M87" t="s">
        <v>114</v>
      </c>
      <c r="N87" t="s">
        <v>114</v>
      </c>
      <c r="O87" t="s">
        <v>114</v>
      </c>
      <c r="P87" t="s">
        <v>114</v>
      </c>
      <c r="Q87" t="s">
        <v>114</v>
      </c>
    </row>
    <row r="88" spans="1:17" x14ac:dyDescent="0.25">
      <c r="A88" t="s">
        <v>906</v>
      </c>
      <c r="B88" t="s">
        <v>114</v>
      </c>
      <c r="C88" t="s">
        <v>114</v>
      </c>
      <c r="D88" t="s">
        <v>114</v>
      </c>
      <c r="E88" t="s">
        <v>114</v>
      </c>
      <c r="F88" t="s">
        <v>114</v>
      </c>
      <c r="G88" t="s">
        <v>114</v>
      </c>
      <c r="H88" t="s">
        <v>114</v>
      </c>
      <c r="I88" t="s">
        <v>114</v>
      </c>
      <c r="J88" t="s">
        <v>114</v>
      </c>
      <c r="K88" t="s">
        <v>114</v>
      </c>
      <c r="L88" t="s">
        <v>114</v>
      </c>
      <c r="M88" t="s">
        <v>114</v>
      </c>
      <c r="N88" t="s">
        <v>114</v>
      </c>
      <c r="O88" t="s">
        <v>114</v>
      </c>
      <c r="P88" t="s">
        <v>114</v>
      </c>
      <c r="Q88" t="s">
        <v>114</v>
      </c>
    </row>
    <row r="89" spans="1:17" x14ac:dyDescent="0.25">
      <c r="A89" t="s">
        <v>907</v>
      </c>
      <c r="B89">
        <v>0.5184628</v>
      </c>
      <c r="C89">
        <v>21.710559</v>
      </c>
      <c r="D89">
        <v>0.93538222199999999</v>
      </c>
      <c r="E89">
        <v>10.137912419999999</v>
      </c>
      <c r="F89">
        <v>-0.5184628</v>
      </c>
      <c r="G89">
        <v>21.710559</v>
      </c>
      <c r="H89">
        <v>-0.93538222199999999</v>
      </c>
      <c r="I89">
        <v>-10.137912419999999</v>
      </c>
      <c r="J89" t="s">
        <v>114</v>
      </c>
      <c r="K89" t="s">
        <v>114</v>
      </c>
      <c r="L89" t="s">
        <v>114</v>
      </c>
      <c r="M89" t="s">
        <v>114</v>
      </c>
      <c r="N89" t="s">
        <v>114</v>
      </c>
      <c r="O89" t="s">
        <v>114</v>
      </c>
      <c r="P89" t="s">
        <v>114</v>
      </c>
      <c r="Q89" t="s">
        <v>114</v>
      </c>
    </row>
    <row r="90" spans="1:17" x14ac:dyDescent="0.25">
      <c r="A90" t="s">
        <v>908</v>
      </c>
      <c r="B90">
        <v>0.16734969999999999</v>
      </c>
      <c r="C90">
        <v>13.558876809999999</v>
      </c>
      <c r="D90">
        <v>0.45598888900000001</v>
      </c>
      <c r="E90">
        <v>0.35944100000000001</v>
      </c>
      <c r="F90">
        <v>-0.16734969999999999</v>
      </c>
      <c r="G90">
        <v>13.558876809999999</v>
      </c>
      <c r="H90">
        <v>0.45598888900000001</v>
      </c>
      <c r="I90">
        <v>-0.35944100000000001</v>
      </c>
      <c r="J90">
        <v>8.4017766270269995E-2</v>
      </c>
      <c r="K90">
        <v>551.52942104626698</v>
      </c>
      <c r="L90">
        <v>0.62377760067436305</v>
      </c>
      <c r="M90">
        <v>0.38759349744299998</v>
      </c>
      <c r="N90">
        <v>8.4017766270269995E-2</v>
      </c>
      <c r="O90">
        <v>551.52942104626698</v>
      </c>
      <c r="P90">
        <v>0.62377760067436305</v>
      </c>
      <c r="Q90">
        <v>0.38759349744299998</v>
      </c>
    </row>
    <row r="91" spans="1:17" x14ac:dyDescent="0.25">
      <c r="A91" t="s">
        <v>909</v>
      </c>
      <c r="B91">
        <v>4.8477050000000001E-2</v>
      </c>
      <c r="C91">
        <v>7.5449810599999996</v>
      </c>
      <c r="D91">
        <v>0.42436499999999999</v>
      </c>
      <c r="E91">
        <v>2.69138192</v>
      </c>
      <c r="F91">
        <v>-4.8477050000000001E-2</v>
      </c>
      <c r="G91">
        <v>-7.5449810599999996</v>
      </c>
      <c r="H91">
        <v>-0.42436499999999999</v>
      </c>
      <c r="I91">
        <v>-2.69138192</v>
      </c>
      <c r="J91">
        <v>9.4000975068099998E-3</v>
      </c>
      <c r="K91">
        <v>227.706956783035</v>
      </c>
      <c r="L91">
        <v>0.72034261290000001</v>
      </c>
      <c r="M91">
        <v>28.974146557211501</v>
      </c>
      <c r="N91">
        <v>9.4000975068099998E-3</v>
      </c>
      <c r="O91">
        <v>227.706956783035</v>
      </c>
      <c r="P91">
        <v>0.72034261290000001</v>
      </c>
      <c r="Q91">
        <v>28.974146557211501</v>
      </c>
    </row>
    <row r="92" spans="1:17" x14ac:dyDescent="0.25">
      <c r="A92" t="s">
        <v>910</v>
      </c>
      <c r="B92">
        <v>0.563843235</v>
      </c>
      <c r="C92">
        <v>40.707880430000003</v>
      </c>
      <c r="D92">
        <v>0.94623444450000005</v>
      </c>
      <c r="E92">
        <v>2.550690565</v>
      </c>
      <c r="F92">
        <v>0.563843235</v>
      </c>
      <c r="G92">
        <v>-40.707880430000003</v>
      </c>
      <c r="H92">
        <v>-0.42173222249999998</v>
      </c>
      <c r="I92">
        <v>2.550690565</v>
      </c>
      <c r="J92">
        <v>7.6370302407964396E-3</v>
      </c>
      <c r="K92">
        <v>1.953125E-3</v>
      </c>
      <c r="L92">
        <v>0.35571613498957899</v>
      </c>
      <c r="M92">
        <v>4.3357324929280603</v>
      </c>
      <c r="N92">
        <v>7.6370302407964396E-3</v>
      </c>
      <c r="O92">
        <v>1.953125E-3</v>
      </c>
      <c r="P92">
        <v>1.79071924791645</v>
      </c>
      <c r="Q92">
        <v>4.3357324929280603</v>
      </c>
    </row>
    <row r="93" spans="1:17" x14ac:dyDescent="0.25">
      <c r="A93" t="s">
        <v>911</v>
      </c>
      <c r="B93">
        <v>0.20158861</v>
      </c>
      <c r="C93">
        <v>21.993771398</v>
      </c>
      <c r="D93">
        <v>0.26733402119999999</v>
      </c>
      <c r="E93">
        <v>1.5048109759999999</v>
      </c>
      <c r="F93">
        <v>0.20158861</v>
      </c>
      <c r="G93">
        <v>21.993771398</v>
      </c>
      <c r="H93">
        <v>-0.21737709</v>
      </c>
      <c r="I93">
        <v>1.5048109759999999</v>
      </c>
      <c r="J93">
        <v>4.8377178057675002E-4</v>
      </c>
      <c r="K93">
        <v>96.838870636589903</v>
      </c>
      <c r="L93">
        <v>9.5516165425896193E-2</v>
      </c>
      <c r="M93">
        <v>3.3710153641013901E-2</v>
      </c>
      <c r="N93">
        <v>4.8377178057675002E-4</v>
      </c>
      <c r="O93">
        <v>96.838870636589903</v>
      </c>
      <c r="P93">
        <v>0.12578451496851401</v>
      </c>
      <c r="Q93">
        <v>3.3710153641013901E-2</v>
      </c>
    </row>
    <row r="94" spans="1:17" x14ac:dyDescent="0.25">
      <c r="A94" t="s">
        <v>912</v>
      </c>
      <c r="B94">
        <v>0.12523937499999999</v>
      </c>
      <c r="C94">
        <v>33.556263325000003</v>
      </c>
      <c r="D94">
        <v>2.3241642769999999</v>
      </c>
      <c r="E94">
        <v>9.7449524800000003</v>
      </c>
      <c r="F94">
        <v>0.12523937499999999</v>
      </c>
      <c r="G94">
        <v>33.556263325000003</v>
      </c>
      <c r="H94">
        <v>2.3241642769999999</v>
      </c>
      <c r="I94">
        <v>9.7449524800000003</v>
      </c>
      <c r="J94">
        <v>2.3686055078411299E-2</v>
      </c>
      <c r="K94">
        <v>425.74739906584699</v>
      </c>
      <c r="L94">
        <v>8.6656075518108298E-4</v>
      </c>
      <c r="M94">
        <v>0.93944504802512796</v>
      </c>
      <c r="N94">
        <v>2.3686055078411299E-2</v>
      </c>
      <c r="O94">
        <v>425.74739906584699</v>
      </c>
      <c r="P94">
        <v>8.6656075518108298E-4</v>
      </c>
      <c r="Q94">
        <v>0.93944504802512796</v>
      </c>
    </row>
    <row r="95" spans="1:17" x14ac:dyDescent="0.25">
      <c r="A95" t="s">
        <v>913</v>
      </c>
      <c r="B95" t="s">
        <v>114</v>
      </c>
      <c r="C95">
        <v>44.910287081052601</v>
      </c>
      <c r="D95" t="s">
        <v>114</v>
      </c>
      <c r="E95">
        <v>1.10524654473684</v>
      </c>
      <c r="F95" t="s">
        <v>114</v>
      </c>
      <c r="G95">
        <v>-44.910287081052601</v>
      </c>
      <c r="H95" t="s">
        <v>114</v>
      </c>
      <c r="I95">
        <v>-1.10524654473684</v>
      </c>
      <c r="J95" t="s">
        <v>114</v>
      </c>
      <c r="K95">
        <v>468.89005421919899</v>
      </c>
      <c r="L95" t="s">
        <v>114</v>
      </c>
      <c r="M95">
        <v>0.82415017794934198</v>
      </c>
      <c r="N95" t="s">
        <v>114</v>
      </c>
      <c r="O95">
        <v>468.89005421919899</v>
      </c>
      <c r="P95" t="s">
        <v>114</v>
      </c>
      <c r="Q95">
        <v>0.82415017794934198</v>
      </c>
    </row>
    <row r="96" spans="1:17" x14ac:dyDescent="0.25">
      <c r="A96" t="s">
        <v>914</v>
      </c>
      <c r="B96" t="s">
        <v>114</v>
      </c>
      <c r="C96">
        <v>27.808712119999999</v>
      </c>
      <c r="D96" t="s">
        <v>114</v>
      </c>
      <c r="E96">
        <v>1.154195235</v>
      </c>
      <c r="F96" t="s">
        <v>114</v>
      </c>
      <c r="G96">
        <v>-16.59485931</v>
      </c>
      <c r="H96" t="s">
        <v>114</v>
      </c>
      <c r="I96">
        <v>1.154195235</v>
      </c>
      <c r="J96" t="s">
        <v>114</v>
      </c>
      <c r="K96">
        <v>367.18580735825799</v>
      </c>
      <c r="L96" t="s">
        <v>114</v>
      </c>
      <c r="M96">
        <v>0.40589382084820103</v>
      </c>
      <c r="N96" t="s">
        <v>114</v>
      </c>
      <c r="O96">
        <v>1031.09929303071</v>
      </c>
      <c r="P96" t="s">
        <v>114</v>
      </c>
      <c r="Q96">
        <v>0.40589382084820103</v>
      </c>
    </row>
    <row r="97" spans="1:17" x14ac:dyDescent="0.25">
      <c r="A97" t="s">
        <v>915</v>
      </c>
      <c r="B97">
        <v>0.20394741250000001</v>
      </c>
      <c r="C97">
        <v>34.671556985000002</v>
      </c>
      <c r="D97">
        <v>1.8593399162499999</v>
      </c>
      <c r="E97">
        <v>10.681724644999999</v>
      </c>
      <c r="F97">
        <v>0.20394741250000001</v>
      </c>
      <c r="G97">
        <v>34.671556985000002</v>
      </c>
      <c r="H97">
        <v>1.8593399162499999</v>
      </c>
      <c r="I97">
        <v>10.681724644999999</v>
      </c>
      <c r="J97">
        <v>4.0314315048062499E-4</v>
      </c>
      <c r="K97">
        <v>80.699058863825002</v>
      </c>
      <c r="L97">
        <v>0.104820429140428</v>
      </c>
      <c r="M97">
        <v>2.8091794700844799E-2</v>
      </c>
      <c r="N97">
        <v>4.0314315048062499E-4</v>
      </c>
      <c r="O97">
        <v>80.699058863825002</v>
      </c>
      <c r="P97">
        <v>0.104820429140428</v>
      </c>
      <c r="Q97">
        <v>2.8091794700844799E-2</v>
      </c>
    </row>
    <row r="98" spans="1:17" x14ac:dyDescent="0.25">
      <c r="A98" t="s">
        <v>916</v>
      </c>
      <c r="B98">
        <v>1.9981640000000001</v>
      </c>
      <c r="C98">
        <v>18.663825760000002</v>
      </c>
      <c r="D98">
        <v>1.5594277780000001</v>
      </c>
      <c r="E98">
        <v>15.285372730000001</v>
      </c>
      <c r="F98">
        <v>1.9981640000000001</v>
      </c>
      <c r="G98">
        <v>-18.663825760000002</v>
      </c>
      <c r="H98">
        <v>1.5594277780000001</v>
      </c>
      <c r="I98">
        <v>15.285372730000001</v>
      </c>
      <c r="J98" t="s">
        <v>114</v>
      </c>
      <c r="K98" t="s">
        <v>114</v>
      </c>
      <c r="L98" t="s">
        <v>114</v>
      </c>
      <c r="M98" t="s">
        <v>114</v>
      </c>
      <c r="N98" t="s">
        <v>114</v>
      </c>
      <c r="O98" t="s">
        <v>114</v>
      </c>
      <c r="P98" t="s">
        <v>114</v>
      </c>
      <c r="Q98" t="s">
        <v>114</v>
      </c>
    </row>
    <row r="99" spans="1:17" x14ac:dyDescent="0.25">
      <c r="A99" t="s">
        <v>917</v>
      </c>
      <c r="B99" t="s">
        <v>114</v>
      </c>
      <c r="C99">
        <v>35.50925926</v>
      </c>
      <c r="D99">
        <v>0.20661001500000001</v>
      </c>
      <c r="E99">
        <v>1.5034360600000001</v>
      </c>
      <c r="F99" t="s">
        <v>114</v>
      </c>
      <c r="G99">
        <v>-35.50925926</v>
      </c>
      <c r="H99">
        <v>0.20661001500000001</v>
      </c>
      <c r="I99">
        <v>-1.5034360600000001</v>
      </c>
      <c r="J99" t="s">
        <v>114</v>
      </c>
      <c r="K99" t="s">
        <v>114</v>
      </c>
      <c r="L99" t="s">
        <v>114</v>
      </c>
      <c r="M99" t="s">
        <v>114</v>
      </c>
      <c r="N99" t="s">
        <v>114</v>
      </c>
      <c r="O99" t="s">
        <v>114</v>
      </c>
      <c r="P99" t="s">
        <v>114</v>
      </c>
      <c r="Q99" t="s">
        <v>114</v>
      </c>
    </row>
    <row r="100" spans="1:17" x14ac:dyDescent="0.25">
      <c r="A100" t="s">
        <v>918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 t="s">
        <v>114</v>
      </c>
      <c r="K100" t="s">
        <v>114</v>
      </c>
      <c r="L100" t="s">
        <v>114</v>
      </c>
      <c r="M100" t="s">
        <v>114</v>
      </c>
      <c r="N100" t="s">
        <v>114</v>
      </c>
      <c r="O100" t="s">
        <v>114</v>
      </c>
      <c r="P100" t="s">
        <v>114</v>
      </c>
      <c r="Q100" t="s">
        <v>114</v>
      </c>
    </row>
    <row r="101" spans="1:17" x14ac:dyDescent="0.25">
      <c r="A101" t="s">
        <v>919</v>
      </c>
      <c r="B101">
        <v>0.54669793333333305</v>
      </c>
      <c r="C101">
        <v>10.824427849999999</v>
      </c>
      <c r="D101">
        <v>0.23921277766666699</v>
      </c>
      <c r="E101">
        <v>9.6581726200000002</v>
      </c>
      <c r="F101">
        <v>0.38124513333333299</v>
      </c>
      <c r="G101">
        <v>-10.824427849999999</v>
      </c>
      <c r="H101">
        <v>0.20011166633333299</v>
      </c>
      <c r="I101">
        <v>9.6581726200000002</v>
      </c>
      <c r="J101">
        <v>6.6835075613203301E-2</v>
      </c>
      <c r="K101">
        <v>0.32220445929946701</v>
      </c>
      <c r="L101">
        <v>2.44517360138852E-2</v>
      </c>
      <c r="M101">
        <v>14.3315657458961</v>
      </c>
      <c r="N101">
        <v>0.29713124354408299</v>
      </c>
      <c r="O101">
        <v>0.32220445929946701</v>
      </c>
      <c r="P101">
        <v>5.0218847008333303E-2</v>
      </c>
      <c r="Q101">
        <v>14.3315657458961</v>
      </c>
    </row>
    <row r="102" spans="1:17" x14ac:dyDescent="0.25">
      <c r="A102" t="s">
        <v>920</v>
      </c>
      <c r="B102">
        <v>0.5184628</v>
      </c>
      <c r="C102">
        <v>21.710559</v>
      </c>
      <c r="D102">
        <v>0.93538222199999999</v>
      </c>
      <c r="E102">
        <v>10.137912419999999</v>
      </c>
      <c r="F102">
        <v>-0.5184628</v>
      </c>
      <c r="G102">
        <v>21.710559</v>
      </c>
      <c r="H102">
        <v>-0.93538222199999999</v>
      </c>
      <c r="I102">
        <v>-10.137912419999999</v>
      </c>
      <c r="J102" t="s">
        <v>114</v>
      </c>
      <c r="K102" t="s">
        <v>114</v>
      </c>
      <c r="L102" t="s">
        <v>114</v>
      </c>
      <c r="M102" t="s">
        <v>114</v>
      </c>
      <c r="N102" t="s">
        <v>114</v>
      </c>
      <c r="O102" t="s">
        <v>114</v>
      </c>
      <c r="P102" t="s">
        <v>114</v>
      </c>
      <c r="Q102" t="s">
        <v>114</v>
      </c>
    </row>
    <row r="103" spans="1:17" x14ac:dyDescent="0.25">
      <c r="A103" t="s">
        <v>921</v>
      </c>
      <c r="B103">
        <v>1.0678641900000001</v>
      </c>
      <c r="C103">
        <v>28.59259256</v>
      </c>
      <c r="D103">
        <v>0.56747201599999997</v>
      </c>
      <c r="E103">
        <v>2.7506882400000001</v>
      </c>
      <c r="F103">
        <v>1.0678641900000001</v>
      </c>
      <c r="G103">
        <v>-28.59259256</v>
      </c>
      <c r="H103">
        <v>-0.56747201599999997</v>
      </c>
      <c r="I103">
        <v>2.7506882400000001</v>
      </c>
      <c r="J103" t="s">
        <v>114</v>
      </c>
      <c r="K103" t="s">
        <v>114</v>
      </c>
      <c r="L103" t="s">
        <v>114</v>
      </c>
      <c r="M103" t="s">
        <v>114</v>
      </c>
      <c r="N103" t="s">
        <v>114</v>
      </c>
      <c r="O103" t="s">
        <v>114</v>
      </c>
      <c r="P103" t="s">
        <v>114</v>
      </c>
      <c r="Q103" t="s">
        <v>114</v>
      </c>
    </row>
    <row r="104" spans="1:17" x14ac:dyDescent="0.25">
      <c r="A104" t="s">
        <v>922</v>
      </c>
      <c r="B104">
        <v>1.5964318616666699</v>
      </c>
      <c r="C104">
        <v>19.689078285000001</v>
      </c>
      <c r="D104">
        <v>0.33491631283333301</v>
      </c>
      <c r="E104">
        <v>22.018942989999999</v>
      </c>
      <c r="F104">
        <v>1.4683878716666701</v>
      </c>
      <c r="G104">
        <v>-19.689078285000001</v>
      </c>
      <c r="H104">
        <v>-8.22079805E-2</v>
      </c>
      <c r="I104">
        <v>22.018942989999999</v>
      </c>
      <c r="J104">
        <v>0.36016164783996901</v>
      </c>
      <c r="K104">
        <v>35.450129731559201</v>
      </c>
      <c r="L104">
        <v>1.24627333654389E-3</v>
      </c>
      <c r="M104">
        <v>28.238826362000001</v>
      </c>
      <c r="N104">
        <v>0.83107974458405198</v>
      </c>
      <c r="O104">
        <v>35.450129731559201</v>
      </c>
      <c r="P104">
        <v>0.12773921478932801</v>
      </c>
      <c r="Q104">
        <v>28.238826362000001</v>
      </c>
    </row>
    <row r="105" spans="1:17" x14ac:dyDescent="0.25">
      <c r="A105" t="s">
        <v>923</v>
      </c>
      <c r="B105">
        <v>9.9392568000000001E-2</v>
      </c>
      <c r="C105">
        <v>5.7474359000000002</v>
      </c>
      <c r="D105">
        <v>1.7939449199999999E-2</v>
      </c>
      <c r="E105">
        <v>5.6016019640000003</v>
      </c>
      <c r="F105">
        <v>9.9392568000000001E-2</v>
      </c>
      <c r="G105">
        <v>5.7474359000000002</v>
      </c>
      <c r="H105">
        <v>1.7939449199999999E-2</v>
      </c>
      <c r="I105">
        <v>-5.6016019640000003</v>
      </c>
      <c r="J105">
        <v>1.6464804289391E-2</v>
      </c>
      <c r="K105">
        <v>55.055032374348002</v>
      </c>
      <c r="L105">
        <v>5.36373062665634E-4</v>
      </c>
      <c r="M105">
        <v>52.2965742718144</v>
      </c>
      <c r="N105">
        <v>1.6464804289391E-2</v>
      </c>
      <c r="O105">
        <v>55.055032374348002</v>
      </c>
      <c r="P105">
        <v>5.36373062665634E-4</v>
      </c>
      <c r="Q105">
        <v>52.2965742718144</v>
      </c>
    </row>
    <row r="106" spans="1:17" x14ac:dyDescent="0.25">
      <c r="A106" t="s">
        <v>924</v>
      </c>
      <c r="B106">
        <v>0.41298332999999998</v>
      </c>
      <c r="C106">
        <v>12.9432219642857</v>
      </c>
      <c r="D106">
        <v>0.483663829428571</v>
      </c>
      <c r="E106">
        <v>16.576344982857101</v>
      </c>
      <c r="F106">
        <v>-0.112513872857143</v>
      </c>
      <c r="G106">
        <v>11.3766171271429</v>
      </c>
      <c r="H106">
        <v>-0.31652632942857101</v>
      </c>
      <c r="I106">
        <v>-16.576344982857101</v>
      </c>
      <c r="J106">
        <v>0.39041438757507602</v>
      </c>
      <c r="K106">
        <v>60.063609198866899</v>
      </c>
      <c r="L106">
        <v>0.58719836540487702</v>
      </c>
      <c r="M106">
        <v>44.594385378863102</v>
      </c>
      <c r="N106">
        <v>0.57462622339308</v>
      </c>
      <c r="O106">
        <v>104.51311635123</v>
      </c>
      <c r="P106">
        <v>0.74323044519352699</v>
      </c>
      <c r="Q106">
        <v>44.594385378863102</v>
      </c>
    </row>
    <row r="107" spans="1:17" x14ac:dyDescent="0.25">
      <c r="A107" t="s">
        <v>925</v>
      </c>
      <c r="B107">
        <v>1.9416881455555599</v>
      </c>
      <c r="C107">
        <v>21.567408563333299</v>
      </c>
      <c r="D107">
        <v>2.0983482924444399</v>
      </c>
      <c r="E107">
        <v>9.7258800866666704</v>
      </c>
      <c r="F107">
        <v>1.9416881455555599</v>
      </c>
      <c r="G107">
        <v>-21.567408563333299</v>
      </c>
      <c r="H107">
        <v>2.0983482924444399</v>
      </c>
      <c r="I107">
        <v>5.4433580199999998</v>
      </c>
      <c r="J107">
        <v>1.44565482106556E-2</v>
      </c>
      <c r="K107">
        <v>110.090083154412</v>
      </c>
      <c r="L107">
        <v>9.4031644026191602E-2</v>
      </c>
      <c r="M107">
        <v>16.954013191100898</v>
      </c>
      <c r="N107">
        <v>1.44565482106556E-2</v>
      </c>
      <c r="O107">
        <v>110.090083154412</v>
      </c>
      <c r="P107">
        <v>9.4031644026191602E-2</v>
      </c>
      <c r="Q107">
        <v>90.036934733211893</v>
      </c>
    </row>
    <row r="108" spans="1:17" x14ac:dyDescent="0.25">
      <c r="A108" t="s">
        <v>926</v>
      </c>
      <c r="B108">
        <v>1.6963199499999999</v>
      </c>
      <c r="C108">
        <v>36.954464285</v>
      </c>
      <c r="D108">
        <v>1.1516744445</v>
      </c>
      <c r="E108">
        <v>19.09152297</v>
      </c>
      <c r="F108">
        <v>1.6963199499999999</v>
      </c>
      <c r="G108">
        <v>-36.954464285</v>
      </c>
      <c r="H108">
        <v>-0.85862877550000005</v>
      </c>
      <c r="I108">
        <v>19.09152297</v>
      </c>
      <c r="J108">
        <v>1.3470477384499999E-4</v>
      </c>
      <c r="K108">
        <v>179.85593274393099</v>
      </c>
      <c r="L108">
        <v>1.47448674823326</v>
      </c>
      <c r="M108">
        <v>41.038080229488003</v>
      </c>
      <c r="N108">
        <v>1.3470477384499999E-4</v>
      </c>
      <c r="O108">
        <v>179.85593274393099</v>
      </c>
      <c r="P108">
        <v>2.6527080522287698</v>
      </c>
      <c r="Q108">
        <v>41.038080229488003</v>
      </c>
    </row>
    <row r="109" spans="1:17" x14ac:dyDescent="0.25">
      <c r="A109" t="s">
        <v>927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 t="s">
        <v>114</v>
      </c>
      <c r="K109" t="s">
        <v>114</v>
      </c>
      <c r="L109" t="s">
        <v>114</v>
      </c>
      <c r="M109" t="s">
        <v>114</v>
      </c>
      <c r="N109" t="s">
        <v>114</v>
      </c>
      <c r="O109" t="s">
        <v>114</v>
      </c>
      <c r="P109" t="s">
        <v>114</v>
      </c>
      <c r="Q109" t="s">
        <v>114</v>
      </c>
    </row>
    <row r="110" spans="1:17" x14ac:dyDescent="0.25">
      <c r="A110" t="s">
        <v>928</v>
      </c>
      <c r="B110" t="s">
        <v>114</v>
      </c>
      <c r="C110">
        <v>38.86238977</v>
      </c>
      <c r="D110" t="s">
        <v>114</v>
      </c>
      <c r="E110">
        <v>22.20510311</v>
      </c>
      <c r="F110" t="s">
        <v>114</v>
      </c>
      <c r="G110">
        <v>-38.86238977</v>
      </c>
      <c r="H110" t="s">
        <v>114</v>
      </c>
      <c r="I110">
        <v>22.20510311</v>
      </c>
      <c r="J110" t="s">
        <v>114</v>
      </c>
      <c r="K110">
        <v>843.54106901715295</v>
      </c>
      <c r="L110" t="s">
        <v>114</v>
      </c>
      <c r="M110">
        <v>8.9395445827668407</v>
      </c>
      <c r="N110" t="s">
        <v>114</v>
      </c>
      <c r="O110">
        <v>843.54106901715295</v>
      </c>
      <c r="P110" t="s">
        <v>114</v>
      </c>
      <c r="Q110">
        <v>8.9395445827668407</v>
      </c>
    </row>
    <row r="111" spans="1:17" x14ac:dyDescent="0.25">
      <c r="A111" t="s">
        <v>929</v>
      </c>
      <c r="B111" t="s">
        <v>114</v>
      </c>
      <c r="C111">
        <v>61.180400271111097</v>
      </c>
      <c r="D111" t="s">
        <v>114</v>
      </c>
      <c r="E111">
        <v>10.6734254955556</v>
      </c>
      <c r="F111" t="s">
        <v>114</v>
      </c>
      <c r="G111">
        <v>-61.180400271111097</v>
      </c>
      <c r="H111" t="s">
        <v>114</v>
      </c>
      <c r="I111">
        <v>10.6734254955556</v>
      </c>
      <c r="J111" t="s">
        <v>114</v>
      </c>
      <c r="K111">
        <v>219.075239526568</v>
      </c>
      <c r="L111" t="s">
        <v>114</v>
      </c>
      <c r="M111">
        <v>4.0327629481542802E-2</v>
      </c>
      <c r="N111" t="s">
        <v>114</v>
      </c>
      <c r="O111">
        <v>219.075239526568</v>
      </c>
      <c r="P111" t="s">
        <v>114</v>
      </c>
      <c r="Q111">
        <v>4.0327629481542802E-2</v>
      </c>
    </row>
    <row r="112" spans="1:17" x14ac:dyDescent="0.25">
      <c r="A112" t="s">
        <v>930</v>
      </c>
      <c r="B112" t="s">
        <v>114</v>
      </c>
      <c r="C112">
        <v>30.2957892366667</v>
      </c>
      <c r="D112" t="s">
        <v>114</v>
      </c>
      <c r="E112">
        <v>2.2081811816666699</v>
      </c>
      <c r="F112" t="s">
        <v>114</v>
      </c>
      <c r="G112">
        <v>-20.2284171033333</v>
      </c>
      <c r="H112" t="s">
        <v>114</v>
      </c>
      <c r="I112">
        <v>-1.6057289716666701</v>
      </c>
      <c r="J112" t="s">
        <v>114</v>
      </c>
      <c r="K112">
        <v>249.741374459458</v>
      </c>
      <c r="L112" t="s">
        <v>114</v>
      </c>
      <c r="M112">
        <v>3.9878885022219901</v>
      </c>
      <c r="N112" t="s">
        <v>114</v>
      </c>
      <c r="O112">
        <v>860.11655881877698</v>
      </c>
      <c r="P112" t="s">
        <v>114</v>
      </c>
      <c r="Q112">
        <v>6.7451268229625203</v>
      </c>
    </row>
    <row r="113" spans="1:17" x14ac:dyDescent="0.25">
      <c r="A113" t="s">
        <v>931</v>
      </c>
      <c r="B113">
        <v>3.9389468749999997E-2</v>
      </c>
      <c r="C113">
        <v>2.290594665</v>
      </c>
      <c r="D113">
        <v>0.58447508331249998</v>
      </c>
      <c r="E113">
        <v>16.5618695575</v>
      </c>
      <c r="F113">
        <v>1.48813175E-2</v>
      </c>
      <c r="G113">
        <v>-4.47782924999999E-2</v>
      </c>
      <c r="H113">
        <v>0.58079258331250005</v>
      </c>
      <c r="I113">
        <v>-16.5618695575</v>
      </c>
      <c r="J113">
        <v>1.87777389558958E-3</v>
      </c>
      <c r="K113">
        <v>34.530969256805903</v>
      </c>
      <c r="L113">
        <v>8.1675115346389507E-2</v>
      </c>
      <c r="M113">
        <v>85.600865339038506</v>
      </c>
      <c r="N113">
        <v>3.2965223093190999E-3</v>
      </c>
      <c r="O113">
        <v>40.125442668909599</v>
      </c>
      <c r="P113">
        <v>8.6252286740892498E-2</v>
      </c>
      <c r="Q113">
        <v>85.600865339038506</v>
      </c>
    </row>
    <row r="114" spans="1:17" x14ac:dyDescent="0.25">
      <c r="A114" t="s">
        <v>932</v>
      </c>
      <c r="B114">
        <v>0.24282973333333299</v>
      </c>
      <c r="C114">
        <v>4.5169753100000003</v>
      </c>
      <c r="D114">
        <v>0.35539383866666702</v>
      </c>
      <c r="E114">
        <v>0.38270557999999999</v>
      </c>
      <c r="F114">
        <v>-0.24282973333333299</v>
      </c>
      <c r="G114">
        <v>4.5169753100000003</v>
      </c>
      <c r="H114">
        <v>-0.35539383866666702</v>
      </c>
      <c r="I114">
        <v>0.38270557999999999</v>
      </c>
      <c r="J114">
        <v>0.176898838172213</v>
      </c>
      <c r="K114">
        <v>61.209197853448799</v>
      </c>
      <c r="L114">
        <v>0.37891434168668597</v>
      </c>
      <c r="M114">
        <v>0.43939068288940902</v>
      </c>
      <c r="N114">
        <v>0.176898838172213</v>
      </c>
      <c r="O114">
        <v>61.209197853448799</v>
      </c>
      <c r="P114">
        <v>0.37891434168668597</v>
      </c>
      <c r="Q114">
        <v>0.43939068288940902</v>
      </c>
    </row>
    <row r="115" spans="1:17" x14ac:dyDescent="0.25">
      <c r="A115" t="s">
        <v>933</v>
      </c>
      <c r="B115">
        <v>0.19209269400000001</v>
      </c>
      <c r="C115">
        <v>14.774058774</v>
      </c>
      <c r="D115">
        <v>0.39525873859999999</v>
      </c>
      <c r="E115">
        <v>5.2983516939999999</v>
      </c>
      <c r="F115">
        <v>0.19209269400000001</v>
      </c>
      <c r="G115">
        <v>14.774058774</v>
      </c>
      <c r="H115">
        <v>-0.33180792819999999</v>
      </c>
      <c r="I115">
        <v>-2.7029353340000002</v>
      </c>
      <c r="J115">
        <v>4.0627892444717998E-4</v>
      </c>
      <c r="K115">
        <v>64.862073389688803</v>
      </c>
      <c r="L115">
        <v>8.3894482316767993E-2</v>
      </c>
      <c r="M115">
        <v>67.593906480759799</v>
      </c>
      <c r="N115">
        <v>4.0627892444717998E-4</v>
      </c>
      <c r="O115">
        <v>64.862073389688803</v>
      </c>
      <c r="P115">
        <v>0.141560693845876</v>
      </c>
      <c r="Q115">
        <v>93.552245547668505</v>
      </c>
    </row>
    <row r="116" spans="1:17" x14ac:dyDescent="0.25">
      <c r="A116" t="s">
        <v>934</v>
      </c>
      <c r="B116">
        <v>1.93938808923077</v>
      </c>
      <c r="C116">
        <v>23.174046307692301</v>
      </c>
      <c r="D116">
        <v>1.9348740457692299</v>
      </c>
      <c r="E116">
        <v>10.86957484</v>
      </c>
      <c r="F116">
        <v>1.93938808923077</v>
      </c>
      <c r="G116">
        <v>-23.174046307692301</v>
      </c>
      <c r="H116">
        <v>1.9348740457692299</v>
      </c>
      <c r="I116">
        <v>7.9047518707692301</v>
      </c>
      <c r="J116">
        <v>1.2028280864158299E-2</v>
      </c>
      <c r="K116">
        <v>48.382850347310502</v>
      </c>
      <c r="L116">
        <v>0.13117867840957001</v>
      </c>
      <c r="M116">
        <v>18.297516003517298</v>
      </c>
      <c r="N116">
        <v>1.2028280864158299E-2</v>
      </c>
      <c r="O116">
        <v>48.382850347310502</v>
      </c>
      <c r="P116">
        <v>0.13117867840957001</v>
      </c>
      <c r="Q116">
        <v>78.598617322776306</v>
      </c>
    </row>
    <row r="117" spans="1:17" x14ac:dyDescent="0.25">
      <c r="A117" t="s">
        <v>935</v>
      </c>
      <c r="B117">
        <v>6.9561244615384599E-2</v>
      </c>
      <c r="C117">
        <v>3.2131957746153801</v>
      </c>
      <c r="D117">
        <v>0.65137909015384599</v>
      </c>
      <c r="E117">
        <v>16.346049428461502</v>
      </c>
      <c r="F117">
        <v>-2.4098616923076899E-2</v>
      </c>
      <c r="G117">
        <v>-3.2131957746153801</v>
      </c>
      <c r="H117">
        <v>0.65137909015384599</v>
      </c>
      <c r="I117">
        <v>-16.346049428461502</v>
      </c>
      <c r="J117">
        <v>5.9425467223884797E-3</v>
      </c>
      <c r="K117">
        <v>34.521371299350498</v>
      </c>
      <c r="L117">
        <v>3.9483612449204397E-2</v>
      </c>
      <c r="M117">
        <v>74.1435527898076</v>
      </c>
      <c r="N117">
        <v>1.0555405421794299E-2</v>
      </c>
      <c r="O117">
        <v>34.521371299350498</v>
      </c>
      <c r="P117">
        <v>3.9483612449204397E-2</v>
      </c>
      <c r="Q117">
        <v>74.1435527898076</v>
      </c>
    </row>
    <row r="118" spans="1:17" x14ac:dyDescent="0.25">
      <c r="A118" t="s">
        <v>936</v>
      </c>
      <c r="B118">
        <v>0.44810459857142898</v>
      </c>
      <c r="C118">
        <v>14.801518959999999</v>
      </c>
      <c r="D118">
        <v>0.378220008285714</v>
      </c>
      <c r="E118">
        <v>5.8628316700000003</v>
      </c>
      <c r="F118">
        <v>-0.13775424999999999</v>
      </c>
      <c r="G118">
        <v>10.313423722857101</v>
      </c>
      <c r="H118">
        <v>-0.370294749714286</v>
      </c>
      <c r="I118">
        <v>4.5613409585714297</v>
      </c>
      <c r="J118">
        <v>0.50441888865794404</v>
      </c>
      <c r="K118">
        <v>81.014509796537297</v>
      </c>
      <c r="L118">
        <v>0.103011599041436</v>
      </c>
      <c r="M118">
        <v>7.9213737881302597</v>
      </c>
      <c r="N118">
        <v>0.71654396950370902</v>
      </c>
      <c r="O118">
        <v>212.51914020525899</v>
      </c>
      <c r="P118">
        <v>0.109932467543396</v>
      </c>
      <c r="Q118">
        <v>23.7494982802795</v>
      </c>
    </row>
    <row r="119" spans="1:17" x14ac:dyDescent="0.25">
      <c r="A119" t="s">
        <v>937</v>
      </c>
      <c r="B119" t="s">
        <v>114</v>
      </c>
      <c r="C119" t="s">
        <v>114</v>
      </c>
      <c r="D119" t="s">
        <v>114</v>
      </c>
      <c r="E119" t="s">
        <v>114</v>
      </c>
      <c r="F119" t="s">
        <v>114</v>
      </c>
      <c r="G119" t="s">
        <v>114</v>
      </c>
      <c r="H119" t="s">
        <v>114</v>
      </c>
      <c r="I119" t="s">
        <v>114</v>
      </c>
      <c r="J119" t="s">
        <v>114</v>
      </c>
      <c r="K119" t="s">
        <v>114</v>
      </c>
      <c r="L119" t="s">
        <v>114</v>
      </c>
      <c r="M119" t="s">
        <v>114</v>
      </c>
      <c r="N119" t="s">
        <v>114</v>
      </c>
      <c r="O119" t="s">
        <v>114</v>
      </c>
      <c r="P119" t="s">
        <v>114</v>
      </c>
      <c r="Q119" t="s">
        <v>114</v>
      </c>
    </row>
    <row r="120" spans="1:17" x14ac:dyDescent="0.25">
      <c r="A120" t="s">
        <v>938</v>
      </c>
      <c r="B120" t="s">
        <v>114</v>
      </c>
      <c r="C120">
        <v>5.8615257033333297</v>
      </c>
      <c r="D120">
        <v>0.32168610199999997</v>
      </c>
      <c r="E120">
        <v>16.7010400833333</v>
      </c>
      <c r="F120" t="s">
        <v>114</v>
      </c>
      <c r="G120">
        <v>-3.5829187433333298</v>
      </c>
      <c r="H120">
        <v>0.32168610199999997</v>
      </c>
      <c r="I120">
        <v>16.621684983333299</v>
      </c>
      <c r="J120" t="s">
        <v>114</v>
      </c>
      <c r="K120">
        <v>51.731524857153701</v>
      </c>
      <c r="L120">
        <v>5.0624703377294704E-4</v>
      </c>
      <c r="M120">
        <v>206.22222788934101</v>
      </c>
      <c r="N120" t="s">
        <v>114</v>
      </c>
      <c r="O120">
        <v>84.011790131415694</v>
      </c>
      <c r="P120">
        <v>5.0624703377294704E-4</v>
      </c>
      <c r="Q120">
        <v>210.18872015924799</v>
      </c>
    </row>
    <row r="121" spans="1:17" x14ac:dyDescent="0.25">
      <c r="A121" t="s">
        <v>939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 t="s">
        <v>114</v>
      </c>
      <c r="K121" t="s">
        <v>114</v>
      </c>
      <c r="L121" t="s">
        <v>114</v>
      </c>
      <c r="M121" t="s">
        <v>114</v>
      </c>
      <c r="N121" t="s">
        <v>114</v>
      </c>
      <c r="O121" t="s">
        <v>114</v>
      </c>
      <c r="P121" t="s">
        <v>114</v>
      </c>
      <c r="Q121" t="s">
        <v>114</v>
      </c>
    </row>
    <row r="122" spans="1:17" x14ac:dyDescent="0.25">
      <c r="A122" t="s">
        <v>940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 t="s">
        <v>114</v>
      </c>
      <c r="K122" t="s">
        <v>114</v>
      </c>
      <c r="L122" t="s">
        <v>114</v>
      </c>
      <c r="M122" t="s">
        <v>114</v>
      </c>
      <c r="N122" t="s">
        <v>114</v>
      </c>
      <c r="O122" t="s">
        <v>114</v>
      </c>
      <c r="P122" t="s">
        <v>114</v>
      </c>
      <c r="Q122" t="s">
        <v>114</v>
      </c>
    </row>
    <row r="123" spans="1:17" x14ac:dyDescent="0.25">
      <c r="A123" t="s">
        <v>941</v>
      </c>
      <c r="B123" t="s">
        <v>114</v>
      </c>
      <c r="C123">
        <v>16.788369963333299</v>
      </c>
      <c r="D123">
        <v>1.0841662963333301</v>
      </c>
      <c r="E123">
        <v>3.7815373033333302</v>
      </c>
      <c r="F123" t="s">
        <v>114</v>
      </c>
      <c r="G123">
        <v>16.788369963333299</v>
      </c>
      <c r="H123">
        <v>0.45139962966666702</v>
      </c>
      <c r="I123">
        <v>2.2581889766666698</v>
      </c>
      <c r="J123" t="s">
        <v>114</v>
      </c>
      <c r="K123">
        <v>250.031691811581</v>
      </c>
      <c r="L123">
        <v>1.3400260763210601</v>
      </c>
      <c r="M123">
        <v>22.198707554638599</v>
      </c>
      <c r="N123" t="s">
        <v>114</v>
      </c>
      <c r="O123">
        <v>250.031691811581</v>
      </c>
      <c r="P123">
        <v>2.7975084749839598</v>
      </c>
      <c r="Q123">
        <v>35.999617937882597</v>
      </c>
    </row>
    <row r="124" spans="1:17" x14ac:dyDescent="0.25">
      <c r="A124" t="s">
        <v>942</v>
      </c>
      <c r="B124">
        <v>0.21564729999999999</v>
      </c>
      <c r="C124">
        <v>14.53409091</v>
      </c>
      <c r="D124">
        <v>0.67803651600000003</v>
      </c>
      <c r="E124">
        <v>7.7051509200000003</v>
      </c>
      <c r="F124">
        <v>-0.21564729999999999</v>
      </c>
      <c r="G124">
        <v>-14.53409091</v>
      </c>
      <c r="H124">
        <v>0.67803651600000003</v>
      </c>
      <c r="I124">
        <v>-7.7051509200000003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</row>
    <row r="125" spans="1:17" x14ac:dyDescent="0.25">
      <c r="A125" t="s">
        <v>943</v>
      </c>
      <c r="B125">
        <v>4.7921622222222203E-2</v>
      </c>
      <c r="C125">
        <v>3.2297979799999998</v>
      </c>
      <c r="D125">
        <v>0.15067478133333301</v>
      </c>
      <c r="E125">
        <v>1.7122557599999999</v>
      </c>
      <c r="F125">
        <v>4.7921622222222203E-2</v>
      </c>
      <c r="G125">
        <v>3.2297979799999998</v>
      </c>
      <c r="H125">
        <v>-0.15067478133333301</v>
      </c>
      <c r="I125">
        <v>1.7122557599999999</v>
      </c>
      <c r="J125">
        <v>9.0423973883619405E-3</v>
      </c>
      <c r="K125">
        <v>41.0744052794726</v>
      </c>
      <c r="L125">
        <v>8.9392628311275799E-2</v>
      </c>
      <c r="M125">
        <v>11.544040413884399</v>
      </c>
      <c r="N125">
        <v>9.0423973883619405E-3</v>
      </c>
      <c r="O125">
        <v>41.0744052794726</v>
      </c>
      <c r="P125">
        <v>8.9392628311275799E-2</v>
      </c>
      <c r="Q125">
        <v>11.544040413884399</v>
      </c>
    </row>
    <row r="126" spans="1:17" x14ac:dyDescent="0.25">
      <c r="A126" t="s">
        <v>944</v>
      </c>
      <c r="B126">
        <v>3.8152800000000001E-2</v>
      </c>
      <c r="C126">
        <v>3.3202381000000001</v>
      </c>
      <c r="D126">
        <v>7.2147627000000006E-2</v>
      </c>
      <c r="E126">
        <v>5.9992126600000004</v>
      </c>
      <c r="F126">
        <v>-3.8152800000000001E-2</v>
      </c>
      <c r="G126">
        <v>-3.3202381000000001</v>
      </c>
      <c r="H126">
        <v>7.2147627000000006E-2</v>
      </c>
      <c r="I126">
        <v>-5.9992126600000004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</row>
    <row r="127" spans="1:17" x14ac:dyDescent="0.25">
      <c r="A127" t="s">
        <v>945</v>
      </c>
      <c r="B127">
        <v>0.78441697499999996</v>
      </c>
      <c r="C127">
        <v>17.582645866250001</v>
      </c>
      <c r="D127">
        <v>0.92553089099999997</v>
      </c>
      <c r="E127">
        <v>6.6596246074999996</v>
      </c>
      <c r="F127">
        <v>0.78441697499999996</v>
      </c>
      <c r="G127">
        <v>-17.091063376249998</v>
      </c>
      <c r="H127">
        <v>0.59820214100000002</v>
      </c>
      <c r="I127">
        <v>-1.1344661524999999</v>
      </c>
      <c r="J127">
        <v>9.8685148041453199E-3</v>
      </c>
      <c r="K127">
        <v>235.08833516873401</v>
      </c>
      <c r="L127">
        <v>0.117303817000161</v>
      </c>
      <c r="M127">
        <v>55.280692689092199</v>
      </c>
      <c r="N127">
        <v>9.8685148041453199E-3</v>
      </c>
      <c r="O127">
        <v>254.56832182812201</v>
      </c>
      <c r="P127">
        <v>0.68731710694104098</v>
      </c>
      <c r="Q127">
        <v>104.49622007383699</v>
      </c>
    </row>
    <row r="128" spans="1:17" x14ac:dyDescent="0.25">
      <c r="A128" t="s">
        <v>946</v>
      </c>
      <c r="B128">
        <v>0.32096552299999997</v>
      </c>
      <c r="C128">
        <v>9.5240837599999999</v>
      </c>
      <c r="D128">
        <v>0.3316899049</v>
      </c>
      <c r="E128">
        <v>13.246694078000001</v>
      </c>
      <c r="F128">
        <v>-0.32096552299999997</v>
      </c>
      <c r="G128">
        <v>-9.5240837599999999</v>
      </c>
      <c r="H128">
        <v>0.3316899049</v>
      </c>
      <c r="I128">
        <v>-13.246694078000001</v>
      </c>
      <c r="J128">
        <v>0.48086788452400198</v>
      </c>
      <c r="K128">
        <v>124.234686482393</v>
      </c>
      <c r="L128">
        <v>0.122492067993643</v>
      </c>
      <c r="M128">
        <v>223.56712711834399</v>
      </c>
      <c r="N128">
        <v>0.48086788452400198</v>
      </c>
      <c r="O128">
        <v>124.234686482393</v>
      </c>
      <c r="P128">
        <v>0.122492067993643</v>
      </c>
      <c r="Q128">
        <v>223.56712711834399</v>
      </c>
    </row>
    <row r="129" spans="1:17" x14ac:dyDescent="0.25">
      <c r="A129" t="s">
        <v>947</v>
      </c>
      <c r="B129">
        <v>0.11054103749999999</v>
      </c>
      <c r="C129">
        <v>9.2227746212500001</v>
      </c>
      <c r="D129">
        <v>0.63595532249999998</v>
      </c>
      <c r="E129">
        <v>4.2351225550000002</v>
      </c>
      <c r="F129">
        <v>0.11054103749999999</v>
      </c>
      <c r="G129">
        <v>5.3113162887499996</v>
      </c>
      <c r="H129">
        <v>-0.63595532249999998</v>
      </c>
      <c r="I129">
        <v>3.4700283650000001</v>
      </c>
      <c r="J129">
        <v>1.26761503836227E-2</v>
      </c>
      <c r="K129">
        <v>58.4678173136761</v>
      </c>
      <c r="L129">
        <v>0.60662919827388295</v>
      </c>
      <c r="M129">
        <v>14.764743466585401</v>
      </c>
      <c r="N129">
        <v>1.26761503836227E-2</v>
      </c>
      <c r="O129">
        <v>123.43866416537</v>
      </c>
      <c r="P129">
        <v>0.60662919827388295</v>
      </c>
      <c r="Q129">
        <v>21.502076268831299</v>
      </c>
    </row>
    <row r="130" spans="1:17" x14ac:dyDescent="0.25">
      <c r="A130" t="s">
        <v>948</v>
      </c>
      <c r="B130">
        <v>0.11859623</v>
      </c>
      <c r="C130">
        <v>13.549404753333301</v>
      </c>
      <c r="D130">
        <v>1.31233414033333</v>
      </c>
      <c r="E130">
        <v>5.7197365866666701</v>
      </c>
      <c r="F130">
        <v>8.22185633333333E-2</v>
      </c>
      <c r="G130">
        <v>-13.549404753333301</v>
      </c>
      <c r="H130">
        <v>-1.26423572233333</v>
      </c>
      <c r="I130">
        <v>-5.7197365866666701</v>
      </c>
      <c r="J130">
        <v>2.51323280666437E-2</v>
      </c>
      <c r="K130">
        <v>78.568142166597198</v>
      </c>
      <c r="L130">
        <v>1.29112969411792</v>
      </c>
      <c r="M130">
        <v>12.1661327792617</v>
      </c>
      <c r="N130">
        <v>3.6090088487066997E-2</v>
      </c>
      <c r="O130">
        <v>78.568142166597198</v>
      </c>
      <c r="P130">
        <v>1.47702309550904</v>
      </c>
      <c r="Q130">
        <v>12.1661327792617</v>
      </c>
    </row>
    <row r="131" spans="1:17" x14ac:dyDescent="0.25">
      <c r="A131" t="s">
        <v>949</v>
      </c>
      <c r="B131">
        <v>4.8477050000000001E-2</v>
      </c>
      <c r="C131">
        <v>7.5449810599999996</v>
      </c>
      <c r="D131">
        <v>0.42436499999999999</v>
      </c>
      <c r="E131">
        <v>2.69138192</v>
      </c>
      <c r="F131">
        <v>4.8477050000000001E-2</v>
      </c>
      <c r="G131">
        <v>7.5449810599999996</v>
      </c>
      <c r="H131">
        <v>0.42436499999999999</v>
      </c>
      <c r="I131">
        <v>2.69138192</v>
      </c>
      <c r="J131">
        <v>9.4000975068099998E-3</v>
      </c>
      <c r="K131">
        <v>227.706956783035</v>
      </c>
      <c r="L131">
        <v>0.72034261290000001</v>
      </c>
      <c r="M131">
        <v>28.974146557211501</v>
      </c>
      <c r="N131">
        <v>9.4000975068099998E-3</v>
      </c>
      <c r="O131">
        <v>227.706956783035</v>
      </c>
      <c r="P131">
        <v>0.72034261290000001</v>
      </c>
      <c r="Q131">
        <v>28.974146557211501</v>
      </c>
    </row>
    <row r="132" spans="1:17" x14ac:dyDescent="0.25">
      <c r="A132" t="s">
        <v>950</v>
      </c>
      <c r="B132">
        <v>0.14376486666666699</v>
      </c>
      <c r="C132">
        <v>9.6893939400000004</v>
      </c>
      <c r="D132">
        <v>0.45202434400000002</v>
      </c>
      <c r="E132">
        <v>5.1367672799999999</v>
      </c>
      <c r="F132">
        <v>-0.14376486666666699</v>
      </c>
      <c r="G132">
        <v>-9.6893939400000004</v>
      </c>
      <c r="H132">
        <v>0.45202434400000002</v>
      </c>
      <c r="I132">
        <v>-5.1367672799999999</v>
      </c>
      <c r="J132">
        <v>1.55012526657633E-2</v>
      </c>
      <c r="K132">
        <v>70.413266193381503</v>
      </c>
      <c r="L132">
        <v>0.15324450567647299</v>
      </c>
      <c r="M132">
        <v>19.789783566659001</v>
      </c>
      <c r="N132">
        <v>1.55012526657633E-2</v>
      </c>
      <c r="O132">
        <v>70.413266193381503</v>
      </c>
      <c r="P132">
        <v>0.15324450567647299</v>
      </c>
      <c r="Q132">
        <v>19.789783566659001</v>
      </c>
    </row>
    <row r="133" spans="1:17" x14ac:dyDescent="0.25">
      <c r="A133" t="s">
        <v>951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</row>
    <row r="134" spans="1:17" x14ac:dyDescent="0.25">
      <c r="A134" t="s">
        <v>952</v>
      </c>
      <c r="B134">
        <v>1.87236974166667</v>
      </c>
      <c r="C134">
        <v>27.1420454575</v>
      </c>
      <c r="D134">
        <v>1.9549490789999999</v>
      </c>
      <c r="E134">
        <v>10.79070136</v>
      </c>
      <c r="F134">
        <v>1.87236974166667</v>
      </c>
      <c r="G134">
        <v>-27.1420454575</v>
      </c>
      <c r="H134">
        <v>1.9549490789999999</v>
      </c>
      <c r="I134">
        <v>10.79070136</v>
      </c>
      <c r="J134">
        <v>1.23305418932208E-2</v>
      </c>
      <c r="K134">
        <v>56.010552653826203</v>
      </c>
      <c r="L134">
        <v>0.121899038606285</v>
      </c>
      <c r="M134">
        <v>15.7418732916605</v>
      </c>
      <c r="N134">
        <v>1.23305418932208E-2</v>
      </c>
      <c r="O134">
        <v>56.010552653826203</v>
      </c>
      <c r="P134">
        <v>0.121899038606285</v>
      </c>
      <c r="Q134">
        <v>15.7418732916605</v>
      </c>
    </row>
    <row r="135" spans="1:17" x14ac:dyDescent="0.25">
      <c r="A135" t="s">
        <v>953</v>
      </c>
      <c r="B135">
        <v>1.7464828666666701</v>
      </c>
      <c r="C135">
        <v>34.152251691666699</v>
      </c>
      <c r="D135">
        <v>1.13348322</v>
      </c>
      <c r="E135">
        <v>17.850859728333301</v>
      </c>
      <c r="F135">
        <v>1.7464828666666701</v>
      </c>
      <c r="G135">
        <v>-34.152251691666699</v>
      </c>
      <c r="H135">
        <v>-1.13348322</v>
      </c>
      <c r="I135">
        <v>17.850859728333301</v>
      </c>
      <c r="J135">
        <v>8.4549569574322997E-3</v>
      </c>
      <c r="K135">
        <v>217.99459256735699</v>
      </c>
      <c r="L135">
        <v>0.92869663776</v>
      </c>
      <c r="M135">
        <v>20.0671304750594</v>
      </c>
      <c r="N135">
        <v>8.4549569574322997E-3</v>
      </c>
      <c r="O135">
        <v>217.99459256735699</v>
      </c>
      <c r="P135">
        <v>0.92869663776</v>
      </c>
      <c r="Q135">
        <v>20.0671304750594</v>
      </c>
    </row>
    <row r="136" spans="1:17" x14ac:dyDescent="0.25">
      <c r="A136" t="s">
        <v>954</v>
      </c>
      <c r="B136">
        <v>3.1304404000000001E-2</v>
      </c>
      <c r="C136">
        <v>3.4053661609999999</v>
      </c>
      <c r="D136">
        <v>0.25935022489999998</v>
      </c>
      <c r="E136">
        <v>2.6050822820000001</v>
      </c>
      <c r="F136">
        <v>-1.4565394000000001E-2</v>
      </c>
      <c r="G136">
        <v>-3.4053661609999999</v>
      </c>
      <c r="H136">
        <v>-8.0141775100000007E-2</v>
      </c>
      <c r="I136">
        <v>-2.6050822820000001</v>
      </c>
      <c r="J136">
        <v>4.0068493244016E-3</v>
      </c>
      <c r="K136">
        <v>89.876180284172307</v>
      </c>
      <c r="L136">
        <v>0.30391244904801901</v>
      </c>
      <c r="M136">
        <v>18.450144785282902</v>
      </c>
      <c r="N136">
        <v>4.8599771104238E-3</v>
      </c>
      <c r="O136">
        <v>89.876180284172307</v>
      </c>
      <c r="P136">
        <v>0.37151226575857599</v>
      </c>
      <c r="Q136">
        <v>18.450144785282902</v>
      </c>
    </row>
    <row r="137" spans="1:17" x14ac:dyDescent="0.25">
      <c r="A137" t="s">
        <v>955</v>
      </c>
      <c r="B137">
        <v>0.12938838</v>
      </c>
      <c r="C137">
        <v>8.7204545459999991</v>
      </c>
      <c r="D137">
        <v>0.40682190959999998</v>
      </c>
      <c r="E137">
        <v>4.6230905519999999</v>
      </c>
      <c r="F137">
        <v>0.12938838</v>
      </c>
      <c r="G137">
        <v>8.7204545459999991</v>
      </c>
      <c r="H137">
        <v>-0.40682190959999998</v>
      </c>
      <c r="I137">
        <v>4.6230905519999999</v>
      </c>
      <c r="J137">
        <v>1.3951127399187E-2</v>
      </c>
      <c r="K137">
        <v>63.371939574043402</v>
      </c>
      <c r="L137">
        <v>0.13792005510882499</v>
      </c>
      <c r="M137">
        <v>17.810805209993099</v>
      </c>
      <c r="N137">
        <v>1.3951127399187E-2</v>
      </c>
      <c r="O137">
        <v>63.371939574043402</v>
      </c>
      <c r="P137">
        <v>0.13792005510882499</v>
      </c>
      <c r="Q137">
        <v>17.810805209993099</v>
      </c>
    </row>
    <row r="138" spans="1:17" x14ac:dyDescent="0.25">
      <c r="A138" t="s">
        <v>956</v>
      </c>
      <c r="B138" t="s">
        <v>114</v>
      </c>
      <c r="C138">
        <v>71.875</v>
      </c>
      <c r="D138" t="s">
        <v>114</v>
      </c>
      <c r="E138">
        <v>24.22376989</v>
      </c>
      <c r="F138" t="s">
        <v>114</v>
      </c>
      <c r="G138">
        <v>-71.875</v>
      </c>
      <c r="H138" t="s">
        <v>114</v>
      </c>
      <c r="I138">
        <v>24.22376989</v>
      </c>
      <c r="J138" t="s">
        <v>114</v>
      </c>
      <c r="K138">
        <v>0</v>
      </c>
      <c r="L138" t="s">
        <v>114</v>
      </c>
      <c r="M138">
        <v>0</v>
      </c>
      <c r="N138" t="s">
        <v>114</v>
      </c>
      <c r="O138">
        <v>0</v>
      </c>
      <c r="P138" t="s">
        <v>114</v>
      </c>
      <c r="Q138">
        <v>0</v>
      </c>
    </row>
    <row r="139" spans="1:17" x14ac:dyDescent="0.25">
      <c r="A139" t="s">
        <v>957</v>
      </c>
      <c r="B139" t="s">
        <v>114</v>
      </c>
      <c r="C139">
        <v>48.101925043333303</v>
      </c>
      <c r="D139" t="s">
        <v>114</v>
      </c>
      <c r="E139">
        <v>8.8384633899999994</v>
      </c>
      <c r="F139" t="s">
        <v>114</v>
      </c>
      <c r="G139">
        <v>-48.101925043333303</v>
      </c>
      <c r="H139" t="s">
        <v>114</v>
      </c>
      <c r="I139">
        <v>8.8384633899999994</v>
      </c>
      <c r="J139" t="s">
        <v>114</v>
      </c>
      <c r="K139">
        <v>570.096585582638</v>
      </c>
      <c r="L139" t="s">
        <v>114</v>
      </c>
      <c r="M139">
        <v>19.5738006130467</v>
      </c>
      <c r="N139" t="s">
        <v>114</v>
      </c>
      <c r="O139">
        <v>570.096585582638</v>
      </c>
      <c r="P139" t="s">
        <v>114</v>
      </c>
      <c r="Q139">
        <v>19.5738006130467</v>
      </c>
    </row>
    <row r="140" spans="1:17" x14ac:dyDescent="0.25">
      <c r="A140" t="s">
        <v>958</v>
      </c>
      <c r="B140">
        <v>0.34797865</v>
      </c>
      <c r="C140">
        <v>16.462205905000001</v>
      </c>
      <c r="D140">
        <v>0.77063555549999996</v>
      </c>
      <c r="E140">
        <v>5.9219253399999996</v>
      </c>
      <c r="F140">
        <v>-0.17048415</v>
      </c>
      <c r="G140">
        <v>16.462205905000001</v>
      </c>
      <c r="H140">
        <v>-0.77063555549999996</v>
      </c>
      <c r="I140">
        <v>-4.2159870799999997</v>
      </c>
      <c r="J140">
        <v>5.8129690802444997E-2</v>
      </c>
      <c r="K140">
        <v>55.0904204195921</v>
      </c>
      <c r="L140">
        <v>5.42829282457244E-2</v>
      </c>
      <c r="M140">
        <v>35.549094117453798</v>
      </c>
      <c r="N140">
        <v>0.24217828171164499</v>
      </c>
      <c r="O140">
        <v>55.0904204195921</v>
      </c>
      <c r="P140">
        <v>5.42829282457244E-2</v>
      </c>
      <c r="Q140">
        <v>70.138399465068204</v>
      </c>
    </row>
    <row r="141" spans="1:17" x14ac:dyDescent="0.25">
      <c r="A141" t="s">
        <v>959</v>
      </c>
      <c r="B141" t="s">
        <v>114</v>
      </c>
      <c r="C141">
        <v>19.924818852000001</v>
      </c>
      <c r="D141">
        <v>1.8930907669999999</v>
      </c>
      <c r="E141">
        <v>5.1895322779999997</v>
      </c>
      <c r="F141" t="s">
        <v>114</v>
      </c>
      <c r="G141">
        <v>19.899818851999999</v>
      </c>
      <c r="H141">
        <v>1.8930907669999999</v>
      </c>
      <c r="I141">
        <v>-4.0116382259999996</v>
      </c>
      <c r="J141" t="s">
        <v>114</v>
      </c>
      <c r="K141">
        <v>372.49002592632701</v>
      </c>
      <c r="L141">
        <v>0.27591874698793201</v>
      </c>
      <c r="M141">
        <v>23.406124996931901</v>
      </c>
      <c r="N141" t="s">
        <v>114</v>
      </c>
      <c r="O141">
        <v>373.73454585457699</v>
      </c>
      <c r="P141">
        <v>0.27591874698793201</v>
      </c>
      <c r="Q141">
        <v>36.953630007056198</v>
      </c>
    </row>
    <row r="142" spans="1:17" x14ac:dyDescent="0.25">
      <c r="A142" t="s">
        <v>960</v>
      </c>
      <c r="B142">
        <v>1.6881131</v>
      </c>
      <c r="C142">
        <v>46.4375</v>
      </c>
      <c r="D142">
        <v>2.0103032199999999</v>
      </c>
      <c r="E142">
        <v>14.561728260000001</v>
      </c>
      <c r="F142">
        <v>1.6881131</v>
      </c>
      <c r="G142">
        <v>-46.4375</v>
      </c>
      <c r="H142">
        <v>-2.0103032199999999</v>
      </c>
      <c r="I142">
        <v>14.561728260000001</v>
      </c>
      <c r="J142" t="s">
        <v>114</v>
      </c>
      <c r="K142" t="s">
        <v>114</v>
      </c>
      <c r="L142" t="s">
        <v>114</v>
      </c>
      <c r="M142" t="s">
        <v>114</v>
      </c>
      <c r="N142" t="s">
        <v>114</v>
      </c>
      <c r="O142" t="s">
        <v>114</v>
      </c>
      <c r="P142" t="s">
        <v>114</v>
      </c>
      <c r="Q142" t="s">
        <v>114</v>
      </c>
    </row>
    <row r="143" spans="1:17" x14ac:dyDescent="0.25">
      <c r="A143" t="s">
        <v>961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 t="s">
        <v>114</v>
      </c>
      <c r="K143" t="s">
        <v>114</v>
      </c>
      <c r="L143" t="s">
        <v>114</v>
      </c>
      <c r="M143" t="s">
        <v>114</v>
      </c>
      <c r="N143" t="s">
        <v>114</v>
      </c>
      <c r="O143" t="s">
        <v>114</v>
      </c>
      <c r="P143" t="s">
        <v>114</v>
      </c>
      <c r="Q143" t="s">
        <v>114</v>
      </c>
    </row>
    <row r="144" spans="1:17" x14ac:dyDescent="0.25">
      <c r="A144" t="s">
        <v>962</v>
      </c>
      <c r="B144" t="s">
        <v>114</v>
      </c>
      <c r="C144" t="s">
        <v>114</v>
      </c>
      <c r="D144" t="s">
        <v>114</v>
      </c>
      <c r="E144" t="s">
        <v>114</v>
      </c>
      <c r="F144" t="s">
        <v>114</v>
      </c>
      <c r="G144" t="s">
        <v>114</v>
      </c>
      <c r="H144" t="s">
        <v>114</v>
      </c>
      <c r="I144" t="s">
        <v>114</v>
      </c>
      <c r="J144" t="s">
        <v>114</v>
      </c>
      <c r="K144" t="s">
        <v>114</v>
      </c>
      <c r="L144" t="s">
        <v>114</v>
      </c>
      <c r="M144" t="s">
        <v>114</v>
      </c>
      <c r="N144" t="s">
        <v>114</v>
      </c>
      <c r="O144" t="s">
        <v>114</v>
      </c>
      <c r="P144" t="s">
        <v>114</v>
      </c>
      <c r="Q144" t="s">
        <v>114</v>
      </c>
    </row>
    <row r="145" spans="1:17" x14ac:dyDescent="0.25">
      <c r="A145" t="s">
        <v>963</v>
      </c>
      <c r="B145" t="s">
        <v>114</v>
      </c>
      <c r="C145">
        <v>5.5729166499999998</v>
      </c>
      <c r="D145">
        <v>1.965242497</v>
      </c>
      <c r="E145">
        <v>3.15906704</v>
      </c>
      <c r="F145" t="s">
        <v>114</v>
      </c>
      <c r="G145">
        <v>5.5729166499999998</v>
      </c>
      <c r="H145">
        <v>-1.965242497</v>
      </c>
      <c r="I145">
        <v>3.15906704</v>
      </c>
      <c r="J145" t="s">
        <v>114</v>
      </c>
      <c r="K145">
        <v>62.114799975694403</v>
      </c>
      <c r="L145">
        <v>7.7243561440295903</v>
      </c>
      <c r="M145">
        <v>19.959409126428699</v>
      </c>
      <c r="N145" t="s">
        <v>114</v>
      </c>
      <c r="O145">
        <v>62.114799975694403</v>
      </c>
      <c r="P145">
        <v>7.7243561440295903</v>
      </c>
      <c r="Q145">
        <v>19.959409126428699</v>
      </c>
    </row>
    <row r="146" spans="1:17" x14ac:dyDescent="0.25">
      <c r="A146" t="s">
        <v>964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 t="s">
        <v>114</v>
      </c>
      <c r="K146" t="s">
        <v>114</v>
      </c>
      <c r="L146" t="s">
        <v>114</v>
      </c>
      <c r="M146" t="s">
        <v>114</v>
      </c>
      <c r="N146" t="s">
        <v>114</v>
      </c>
      <c r="O146" t="s">
        <v>114</v>
      </c>
      <c r="P146" t="s">
        <v>114</v>
      </c>
      <c r="Q146" t="s">
        <v>114</v>
      </c>
    </row>
    <row r="147" spans="1:17" x14ac:dyDescent="0.25">
      <c r="A147" t="s">
        <v>965</v>
      </c>
      <c r="B147" t="s">
        <v>114</v>
      </c>
      <c r="C147" t="s">
        <v>114</v>
      </c>
      <c r="D147" t="s">
        <v>114</v>
      </c>
      <c r="E147" t="s">
        <v>114</v>
      </c>
      <c r="F147" t="s">
        <v>114</v>
      </c>
      <c r="G147" t="s">
        <v>114</v>
      </c>
      <c r="H147" t="s">
        <v>114</v>
      </c>
      <c r="I147" t="s">
        <v>114</v>
      </c>
      <c r="J147" t="s">
        <v>114</v>
      </c>
      <c r="K147" t="s">
        <v>114</v>
      </c>
      <c r="L147" t="s">
        <v>114</v>
      </c>
      <c r="M147" t="s">
        <v>114</v>
      </c>
      <c r="N147" t="s">
        <v>114</v>
      </c>
      <c r="O147" t="s">
        <v>114</v>
      </c>
      <c r="P147" t="s">
        <v>114</v>
      </c>
      <c r="Q147" t="s">
        <v>114</v>
      </c>
    </row>
    <row r="148" spans="1:17" x14ac:dyDescent="0.25">
      <c r="A148" t="s">
        <v>966</v>
      </c>
      <c r="B148" t="s">
        <v>114</v>
      </c>
      <c r="C148">
        <v>36.807570900000002</v>
      </c>
      <c r="D148">
        <v>0.928214074</v>
      </c>
      <c r="E148">
        <v>5.8567984066666696</v>
      </c>
      <c r="F148" t="s">
        <v>114</v>
      </c>
      <c r="G148">
        <v>36.807570900000002</v>
      </c>
      <c r="H148">
        <v>0.29544740733333302</v>
      </c>
      <c r="I148">
        <v>1.32022004666667</v>
      </c>
      <c r="J148" t="s">
        <v>114</v>
      </c>
      <c r="K148">
        <v>109.023765365809</v>
      </c>
      <c r="L148">
        <v>0.60828248344761204</v>
      </c>
      <c r="M148">
        <v>19.3203252778309</v>
      </c>
      <c r="N148" t="s">
        <v>114</v>
      </c>
      <c r="O148">
        <v>109.023765365809</v>
      </c>
      <c r="P148">
        <v>1.7697207784551501</v>
      </c>
      <c r="Q148">
        <v>68.158985184899905</v>
      </c>
    </row>
    <row r="149" spans="1:17" x14ac:dyDescent="0.25">
      <c r="A149" t="s">
        <v>967</v>
      </c>
      <c r="B149" t="s">
        <v>114</v>
      </c>
      <c r="C149" t="s">
        <v>114</v>
      </c>
      <c r="D149" t="s">
        <v>114</v>
      </c>
      <c r="E149" t="s">
        <v>114</v>
      </c>
      <c r="F149" t="s">
        <v>114</v>
      </c>
      <c r="G149" t="s">
        <v>114</v>
      </c>
      <c r="H149" t="s">
        <v>114</v>
      </c>
      <c r="I149" t="s">
        <v>114</v>
      </c>
      <c r="J149" t="s">
        <v>114</v>
      </c>
      <c r="K149" t="s">
        <v>114</v>
      </c>
      <c r="L149" t="s">
        <v>114</v>
      </c>
      <c r="M149" t="s">
        <v>114</v>
      </c>
      <c r="N149" t="s">
        <v>114</v>
      </c>
      <c r="O149" t="s">
        <v>114</v>
      </c>
      <c r="P149" t="s">
        <v>114</v>
      </c>
      <c r="Q149" t="s">
        <v>114</v>
      </c>
    </row>
    <row r="150" spans="1:17" x14ac:dyDescent="0.25">
      <c r="A150" t="s">
        <v>968</v>
      </c>
      <c r="B150">
        <v>0.94413650000000005</v>
      </c>
      <c r="C150">
        <v>0.98316497999999997</v>
      </c>
      <c r="D150">
        <v>0.38814500000000002</v>
      </c>
      <c r="E150">
        <v>6.5570341799999996</v>
      </c>
      <c r="F150">
        <v>0.94413650000000005</v>
      </c>
      <c r="G150">
        <v>0.98316497999999997</v>
      </c>
      <c r="H150">
        <v>0.38814500000000002</v>
      </c>
      <c r="I150">
        <v>6.5570341799999996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</row>
    <row r="151" spans="1:17" x14ac:dyDescent="0.25">
      <c r="A151" t="s">
        <v>969</v>
      </c>
      <c r="B151">
        <v>1.8820212999999999</v>
      </c>
      <c r="C151">
        <v>16.257575760000002</v>
      </c>
      <c r="D151">
        <v>0.31284321999999998</v>
      </c>
      <c r="E151">
        <v>25.327255940000001</v>
      </c>
      <c r="F151">
        <v>1.8820212999999999</v>
      </c>
      <c r="G151">
        <v>-16.257575760000002</v>
      </c>
      <c r="H151">
        <v>-0.31284321999999998</v>
      </c>
      <c r="I151">
        <v>25.327255940000001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</row>
    <row r="152" spans="1:17" x14ac:dyDescent="0.25">
      <c r="A152" t="s">
        <v>970</v>
      </c>
      <c r="B152">
        <v>1.97420318888889</v>
      </c>
      <c r="C152">
        <v>20.278724749999999</v>
      </c>
      <c r="D152">
        <v>1.63476516866667</v>
      </c>
      <c r="E152">
        <v>14.42924485</v>
      </c>
      <c r="F152">
        <v>1.97420318888889</v>
      </c>
      <c r="G152">
        <v>-20.278724749999999</v>
      </c>
      <c r="H152">
        <v>1.63476516866667</v>
      </c>
      <c r="I152">
        <v>14.42924485</v>
      </c>
      <c r="J152">
        <v>5.1670842219211201E-3</v>
      </c>
      <c r="K152">
        <v>23.4710887311272</v>
      </c>
      <c r="L152">
        <v>5.1081501892157599E-2</v>
      </c>
      <c r="M152">
        <v>6.5965945222196503</v>
      </c>
      <c r="N152">
        <v>5.1670842219211201E-3</v>
      </c>
      <c r="O152">
        <v>23.4710887311272</v>
      </c>
      <c r="P152">
        <v>5.1081501892157599E-2</v>
      </c>
      <c r="Q152">
        <v>6.5965945222196503</v>
      </c>
    </row>
    <row r="153" spans="1:17" x14ac:dyDescent="0.25">
      <c r="A153" t="s">
        <v>971</v>
      </c>
      <c r="B153" t="s">
        <v>114</v>
      </c>
      <c r="C153" t="s">
        <v>114</v>
      </c>
      <c r="D153" t="s">
        <v>114</v>
      </c>
      <c r="E153" t="s">
        <v>114</v>
      </c>
      <c r="F153" t="s">
        <v>114</v>
      </c>
      <c r="G153" t="s">
        <v>114</v>
      </c>
      <c r="H153" t="s">
        <v>114</v>
      </c>
      <c r="I153" t="s">
        <v>114</v>
      </c>
      <c r="J153" t="s">
        <v>114</v>
      </c>
      <c r="K153" t="s">
        <v>114</v>
      </c>
      <c r="L153" t="s">
        <v>114</v>
      </c>
      <c r="M153" t="s">
        <v>114</v>
      </c>
      <c r="N153" t="s">
        <v>114</v>
      </c>
      <c r="O153" t="s">
        <v>114</v>
      </c>
      <c r="P153" t="s">
        <v>114</v>
      </c>
      <c r="Q153" t="s">
        <v>114</v>
      </c>
    </row>
    <row r="154" spans="1:17" x14ac:dyDescent="0.25">
      <c r="A154" t="s">
        <v>972</v>
      </c>
      <c r="B154">
        <v>0.6959573</v>
      </c>
      <c r="C154">
        <v>10.496706189999999</v>
      </c>
      <c r="D154">
        <v>0.329493333</v>
      </c>
      <c r="E154">
        <v>11.843850679999999</v>
      </c>
      <c r="F154">
        <v>0.6959573</v>
      </c>
      <c r="G154">
        <v>-10.496706189999999</v>
      </c>
      <c r="H154">
        <v>0.329493333</v>
      </c>
      <c r="I154">
        <v>11.843850679999999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</row>
    <row r="155" spans="1:17" x14ac:dyDescent="0.25">
      <c r="A155" t="s">
        <v>973</v>
      </c>
      <c r="B155" t="s">
        <v>114</v>
      </c>
      <c r="C155" t="s">
        <v>114</v>
      </c>
      <c r="D155" t="s">
        <v>114</v>
      </c>
      <c r="E155" t="s">
        <v>114</v>
      </c>
      <c r="F155" t="s">
        <v>114</v>
      </c>
      <c r="G155" t="s">
        <v>114</v>
      </c>
      <c r="H155" t="s">
        <v>114</v>
      </c>
      <c r="I155" t="s">
        <v>114</v>
      </c>
      <c r="J155" t="s">
        <v>114</v>
      </c>
      <c r="K155" t="s">
        <v>114</v>
      </c>
      <c r="L155" t="s">
        <v>114</v>
      </c>
      <c r="M155" t="s">
        <v>114</v>
      </c>
      <c r="N155" t="s">
        <v>114</v>
      </c>
      <c r="O155" t="s">
        <v>114</v>
      </c>
      <c r="P155" t="s">
        <v>114</v>
      </c>
      <c r="Q155" t="s">
        <v>114</v>
      </c>
    </row>
    <row r="156" spans="1:17" x14ac:dyDescent="0.25">
      <c r="A156" t="s">
        <v>974</v>
      </c>
      <c r="B156">
        <v>0.99908200000000003</v>
      </c>
      <c r="C156">
        <v>9.3319128800000009</v>
      </c>
      <c r="D156">
        <v>0.77971388900000005</v>
      </c>
      <c r="E156">
        <v>7.6426863650000003</v>
      </c>
      <c r="F156">
        <v>0.99908200000000003</v>
      </c>
      <c r="G156">
        <v>-9.3319128800000009</v>
      </c>
      <c r="H156">
        <v>0.77971388900000005</v>
      </c>
      <c r="I156">
        <v>7.6426863650000003</v>
      </c>
      <c r="J156">
        <v>1.9963296854479999</v>
      </c>
      <c r="K156">
        <v>174.16919599982</v>
      </c>
      <c r="L156">
        <v>1.2159074973990101</v>
      </c>
      <c r="M156">
        <v>116.82130974751399</v>
      </c>
      <c r="N156">
        <v>1.9963296854479999</v>
      </c>
      <c r="O156">
        <v>174.16919599982</v>
      </c>
      <c r="P156">
        <v>1.2159074973990101</v>
      </c>
      <c r="Q156">
        <v>116.82130974751399</v>
      </c>
    </row>
    <row r="157" spans="1:17" x14ac:dyDescent="0.25">
      <c r="A157" t="s">
        <v>975</v>
      </c>
      <c r="B157">
        <v>1.68086673333333</v>
      </c>
      <c r="C157">
        <v>41.222222223333297</v>
      </c>
      <c r="D157">
        <v>1.46193324533333</v>
      </c>
      <c r="E157">
        <v>15.5818538466667</v>
      </c>
      <c r="F157">
        <v>1.68086673333333</v>
      </c>
      <c r="G157">
        <v>-41.222222223333297</v>
      </c>
      <c r="H157">
        <v>-1.2184710480000001</v>
      </c>
      <c r="I157">
        <v>15.5818538466667</v>
      </c>
      <c r="J157">
        <v>1.57529489603333E-4</v>
      </c>
      <c r="K157">
        <v>81.597366863379605</v>
      </c>
      <c r="L157">
        <v>0.90212888734776198</v>
      </c>
      <c r="M157">
        <v>3.1219686377160301</v>
      </c>
      <c r="N157">
        <v>1.57529489603333E-4</v>
      </c>
      <c r="O157">
        <v>81.597366863379605</v>
      </c>
      <c r="P157">
        <v>1.8809945658427101</v>
      </c>
      <c r="Q157">
        <v>3.1219686377160301</v>
      </c>
    </row>
    <row r="158" spans="1:17" x14ac:dyDescent="0.25">
      <c r="A158" t="s">
        <v>976</v>
      </c>
      <c r="B158">
        <v>0.14233453500000001</v>
      </c>
      <c r="C158">
        <v>15.121212119999999</v>
      </c>
      <c r="D158">
        <v>0.50838444449999998</v>
      </c>
      <c r="E158">
        <v>3.9103962750000001</v>
      </c>
      <c r="F158">
        <v>0.14233453500000001</v>
      </c>
      <c r="G158">
        <v>-3.9073593099999999</v>
      </c>
      <c r="H158">
        <v>-0.50838444449999998</v>
      </c>
      <c r="I158">
        <v>-2.2044580150000002</v>
      </c>
      <c r="J158">
        <v>2.4724462776024498E-3</v>
      </c>
      <c r="K158">
        <v>30.5349135548873</v>
      </c>
      <c r="L158">
        <v>1.90142333945072E-2</v>
      </c>
      <c r="M158">
        <v>9.7192702797954809</v>
      </c>
      <c r="N158">
        <v>2.4724462776024498E-3</v>
      </c>
      <c r="O158">
        <v>457.30211195607001</v>
      </c>
      <c r="P158">
        <v>1.90142333945072E-2</v>
      </c>
      <c r="Q158">
        <v>30.582398055067799</v>
      </c>
    </row>
    <row r="159" spans="1:17" x14ac:dyDescent="0.25">
      <c r="A159" t="s">
        <v>977</v>
      </c>
      <c r="B159">
        <v>0.1239100125</v>
      </c>
      <c r="C159">
        <v>20.81818181625</v>
      </c>
      <c r="D159">
        <v>1.3578495644999999</v>
      </c>
      <c r="E159">
        <v>7.1110018950000002</v>
      </c>
      <c r="F159">
        <v>0.1184752375</v>
      </c>
      <c r="G159">
        <v>20.81818181625</v>
      </c>
      <c r="H159">
        <v>1.3578495644999999</v>
      </c>
      <c r="I159">
        <v>7.1110018950000002</v>
      </c>
      <c r="J159">
        <v>9.3778584318583904E-3</v>
      </c>
      <c r="K159">
        <v>190.251097596471</v>
      </c>
      <c r="L159">
        <v>0.757113205289346</v>
      </c>
      <c r="M159">
        <v>26.331150493118599</v>
      </c>
      <c r="N159">
        <v>1.0883354771365501E-2</v>
      </c>
      <c r="O159">
        <v>190.251097596471</v>
      </c>
      <c r="P159">
        <v>0.757113205289346</v>
      </c>
      <c r="Q159">
        <v>26.331150493118599</v>
      </c>
    </row>
    <row r="160" spans="1:17" x14ac:dyDescent="0.25">
      <c r="A160" t="s">
        <v>978</v>
      </c>
      <c r="B160">
        <v>0.8008615</v>
      </c>
      <c r="C160">
        <v>27.605131173333302</v>
      </c>
      <c r="D160">
        <v>1.2863096296666701</v>
      </c>
      <c r="E160">
        <v>4.9618010083333299</v>
      </c>
      <c r="F160">
        <v>0.449519</v>
      </c>
      <c r="G160">
        <v>-21.05613426</v>
      </c>
      <c r="H160">
        <v>-1.2863096296666701</v>
      </c>
      <c r="I160">
        <v>-4.9618010083333299</v>
      </c>
      <c r="J160">
        <v>1.5382325653440001E-2</v>
      </c>
      <c r="K160">
        <v>15.1996797975972</v>
      </c>
      <c r="L160">
        <v>3.1754823850428898E-3</v>
      </c>
      <c r="M160">
        <v>3.4048332126682501</v>
      </c>
      <c r="N160">
        <v>0.54255649863893995</v>
      </c>
      <c r="O160">
        <v>397.61865234375</v>
      </c>
      <c r="P160">
        <v>3.1754823850428898E-3</v>
      </c>
      <c r="Q160">
        <v>3.4048332126682501</v>
      </c>
    </row>
    <row r="161" spans="1:17" x14ac:dyDescent="0.25">
      <c r="A161" t="s">
        <v>979</v>
      </c>
      <c r="B161">
        <v>0.89125834999999998</v>
      </c>
      <c r="C161">
        <v>16.598958334999999</v>
      </c>
      <c r="D161">
        <v>1.118732147</v>
      </c>
      <c r="E161">
        <v>3.7901109050000001</v>
      </c>
      <c r="F161">
        <v>0.89125834999999998</v>
      </c>
      <c r="G161">
        <v>-16.598958334999999</v>
      </c>
      <c r="H161">
        <v>1.118732147</v>
      </c>
      <c r="I161">
        <v>3.7901109050000001</v>
      </c>
      <c r="J161">
        <v>1.5886828928894401</v>
      </c>
      <c r="K161">
        <v>551.05083561413198</v>
      </c>
      <c r="L161">
        <v>2.50312323346246</v>
      </c>
      <c r="M161">
        <v>28.7298813443998</v>
      </c>
      <c r="N161">
        <v>1.5886828928894401</v>
      </c>
      <c r="O161">
        <v>551.05083561413198</v>
      </c>
      <c r="P161">
        <v>2.50312323346246</v>
      </c>
      <c r="Q161">
        <v>28.7298813443998</v>
      </c>
    </row>
    <row r="162" spans="1:17" x14ac:dyDescent="0.25">
      <c r="A162" t="s">
        <v>980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</row>
    <row r="163" spans="1:17" x14ac:dyDescent="0.25">
      <c r="A163" t="s">
        <v>981</v>
      </c>
      <c r="B163">
        <v>0.13723009999999999</v>
      </c>
      <c r="C163">
        <v>9.2489669427272698</v>
      </c>
      <c r="D163">
        <v>0.431477782909091</v>
      </c>
      <c r="E163">
        <v>4.9032778581818199</v>
      </c>
      <c r="F163">
        <v>0.13723009999999999</v>
      </c>
      <c r="G163">
        <v>9.2489669427272698</v>
      </c>
      <c r="H163">
        <v>-0.431477782909091</v>
      </c>
      <c r="I163">
        <v>4.9032778581818199</v>
      </c>
      <c r="J163">
        <v>1.1837320217492E-2</v>
      </c>
      <c r="K163">
        <v>53.770130547673197</v>
      </c>
      <c r="L163">
        <v>0.11702307706203401</v>
      </c>
      <c r="M163">
        <v>15.1121983599941</v>
      </c>
      <c r="N163">
        <v>1.1837320217492E-2</v>
      </c>
      <c r="O163">
        <v>53.770130547673197</v>
      </c>
      <c r="P163">
        <v>0.11702307706203401</v>
      </c>
      <c r="Q163">
        <v>15.1121983599941</v>
      </c>
    </row>
    <row r="164" spans="1:17" x14ac:dyDescent="0.25">
      <c r="A164" t="s">
        <v>982</v>
      </c>
      <c r="B164">
        <v>0.43061200999999999</v>
      </c>
      <c r="C164">
        <v>9.2212043885714294</v>
      </c>
      <c r="D164">
        <v>0.457354014857143</v>
      </c>
      <c r="E164">
        <v>3.56681321142857</v>
      </c>
      <c r="F164">
        <v>-0.17704843857142899</v>
      </c>
      <c r="G164">
        <v>8.2725649314285707</v>
      </c>
      <c r="H164">
        <v>-0.408201540857143</v>
      </c>
      <c r="I164">
        <v>-1.12975855428571</v>
      </c>
      <c r="J164">
        <v>0.53724760986721998</v>
      </c>
      <c r="K164">
        <v>11.8627877703526</v>
      </c>
      <c r="L164">
        <v>6.4413394032845697E-2</v>
      </c>
      <c r="M164">
        <v>11.742481607216201</v>
      </c>
      <c r="N164">
        <v>0.71700825568215598</v>
      </c>
      <c r="O164">
        <v>31.223947573311001</v>
      </c>
      <c r="P164">
        <v>0.11404829047194801</v>
      </c>
      <c r="Q164">
        <v>25.0959173838292</v>
      </c>
    </row>
    <row r="165" spans="1:17" x14ac:dyDescent="0.25">
      <c r="A165" t="s">
        <v>983</v>
      </c>
      <c r="B165">
        <v>1.6879387299999999</v>
      </c>
      <c r="C165">
        <v>29.338257579</v>
      </c>
      <c r="D165">
        <v>0.35995828839999999</v>
      </c>
      <c r="E165">
        <v>18.392620111999999</v>
      </c>
      <c r="F165">
        <v>1.6879387299999999</v>
      </c>
      <c r="G165">
        <v>-29.338257579</v>
      </c>
      <c r="H165">
        <v>0.29738964439999999</v>
      </c>
      <c r="I165">
        <v>18.392620111999999</v>
      </c>
      <c r="J165">
        <v>4.6503757997289896E-3</v>
      </c>
      <c r="K165">
        <v>21.123979858014501</v>
      </c>
      <c r="L165">
        <v>2.74053045720578E-4</v>
      </c>
      <c r="M165">
        <v>5.9369350699976904</v>
      </c>
      <c r="N165">
        <v>4.6503757997289896E-3</v>
      </c>
      <c r="O165">
        <v>21.123979858014501</v>
      </c>
      <c r="P165">
        <v>4.5973351702941798E-2</v>
      </c>
      <c r="Q165">
        <v>5.9369350699976904</v>
      </c>
    </row>
    <row r="166" spans="1:17" x14ac:dyDescent="0.25">
      <c r="A166" t="s">
        <v>984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</row>
    <row r="167" spans="1:17" x14ac:dyDescent="0.25">
      <c r="A167" t="s">
        <v>985</v>
      </c>
      <c r="B167">
        <v>7.1882433333333301E-2</v>
      </c>
      <c r="C167">
        <v>4.8446969700000002</v>
      </c>
      <c r="D167">
        <v>0.22601217200000001</v>
      </c>
      <c r="E167">
        <v>2.56838364</v>
      </c>
      <c r="F167">
        <v>7.1882433333333301E-2</v>
      </c>
      <c r="G167">
        <v>4.8446969700000002</v>
      </c>
      <c r="H167">
        <v>-0.22601217200000001</v>
      </c>
      <c r="I167">
        <v>2.56838364</v>
      </c>
      <c r="J167">
        <v>1.55012526657633E-2</v>
      </c>
      <c r="K167">
        <v>70.413266193381503</v>
      </c>
      <c r="L167">
        <v>0.15324450567647299</v>
      </c>
      <c r="M167">
        <v>19.789783566659001</v>
      </c>
      <c r="N167">
        <v>1.55012526657633E-2</v>
      </c>
      <c r="O167">
        <v>70.413266193381503</v>
      </c>
      <c r="P167">
        <v>0.15324450567647299</v>
      </c>
      <c r="Q167">
        <v>19.789783566659001</v>
      </c>
    </row>
    <row r="168" spans="1:17" x14ac:dyDescent="0.25">
      <c r="A168" t="s">
        <v>986</v>
      </c>
      <c r="B168">
        <v>1.8820212999999999</v>
      </c>
      <c r="C168">
        <v>16.257575760000002</v>
      </c>
      <c r="D168">
        <v>0.31284321999999998</v>
      </c>
      <c r="E168">
        <v>25.327255940000001</v>
      </c>
      <c r="F168">
        <v>1.8820212999999999</v>
      </c>
      <c r="G168">
        <v>-16.257575760000002</v>
      </c>
      <c r="H168">
        <v>-0.31284321999999998</v>
      </c>
      <c r="I168">
        <v>25.327255940000001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</row>
    <row r="169" spans="1:17" x14ac:dyDescent="0.25">
      <c r="A169" t="s">
        <v>987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</row>
    <row r="170" spans="1:17" x14ac:dyDescent="0.25">
      <c r="A170" t="s">
        <v>988</v>
      </c>
      <c r="B170">
        <v>0.17970608333333299</v>
      </c>
      <c r="C170">
        <v>12.111742424999999</v>
      </c>
      <c r="D170">
        <v>0.56503042999999997</v>
      </c>
      <c r="E170">
        <v>6.4209591000000001</v>
      </c>
      <c r="F170">
        <v>0.17970608333333299</v>
      </c>
      <c r="G170">
        <v>12.111742424999999</v>
      </c>
      <c r="H170">
        <v>-0.56503042999999997</v>
      </c>
      <c r="I170">
        <v>6.4209591000000001</v>
      </c>
      <c r="J170">
        <v>7.7506263328816702E-3</v>
      </c>
      <c r="K170">
        <v>35.206633096690801</v>
      </c>
      <c r="L170">
        <v>7.6622252838236399E-2</v>
      </c>
      <c r="M170">
        <v>9.8948917833294807</v>
      </c>
      <c r="N170">
        <v>7.7506263328816702E-3</v>
      </c>
      <c r="O170">
        <v>35.206633096690801</v>
      </c>
      <c r="P170">
        <v>7.6622252838236399E-2</v>
      </c>
      <c r="Q170">
        <v>9.8948917833294807</v>
      </c>
    </row>
    <row r="171" spans="1:17" x14ac:dyDescent="0.25">
      <c r="A171" t="s">
        <v>989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 t="s">
        <v>114</v>
      </c>
      <c r="K171" t="s">
        <v>114</v>
      </c>
      <c r="L171" t="s">
        <v>114</v>
      </c>
      <c r="M171" t="s">
        <v>114</v>
      </c>
      <c r="N171" t="s">
        <v>114</v>
      </c>
      <c r="O171" t="s">
        <v>114</v>
      </c>
      <c r="P171" t="s">
        <v>114</v>
      </c>
      <c r="Q171" t="s">
        <v>114</v>
      </c>
    </row>
    <row r="172" spans="1:17" x14ac:dyDescent="0.25">
      <c r="A172" t="s">
        <v>990</v>
      </c>
      <c r="B172" t="s">
        <v>114</v>
      </c>
      <c r="C172">
        <v>9.1158008699999993</v>
      </c>
      <c r="D172">
        <v>0.92871291414285695</v>
      </c>
      <c r="E172">
        <v>2.8533338671428599</v>
      </c>
      <c r="F172" t="s">
        <v>114</v>
      </c>
      <c r="G172">
        <v>-9.1158008699999993</v>
      </c>
      <c r="H172">
        <v>-0.67927136985714298</v>
      </c>
      <c r="I172">
        <v>-2.8533338671428599</v>
      </c>
      <c r="J172" t="s">
        <v>114</v>
      </c>
      <c r="K172">
        <v>151.07597698233701</v>
      </c>
      <c r="L172">
        <v>4.3556621835063396</v>
      </c>
      <c r="M172">
        <v>13.887142923623699</v>
      </c>
      <c r="N172" t="s">
        <v>114</v>
      </c>
      <c r="O172">
        <v>151.07597698233701</v>
      </c>
      <c r="P172">
        <v>4.8236099469924802</v>
      </c>
      <c r="Q172">
        <v>13.887142923623699</v>
      </c>
    </row>
    <row r="173" spans="1:17" x14ac:dyDescent="0.25">
      <c r="A173" t="s">
        <v>991</v>
      </c>
      <c r="B173">
        <v>0.1939082</v>
      </c>
      <c r="C173">
        <v>30.179924239999998</v>
      </c>
      <c r="D173">
        <v>1.69746</v>
      </c>
      <c r="E173">
        <v>10.76552768</v>
      </c>
      <c r="F173">
        <v>0.1939082</v>
      </c>
      <c r="G173">
        <v>30.179924239999998</v>
      </c>
      <c r="H173">
        <v>1.69746</v>
      </c>
      <c r="I173">
        <v>10.76552768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</row>
    <row r="174" spans="1:17" x14ac:dyDescent="0.25">
      <c r="A174" t="s">
        <v>992</v>
      </c>
      <c r="B174" t="s">
        <v>114</v>
      </c>
      <c r="C174" t="s">
        <v>114</v>
      </c>
      <c r="D174" t="s">
        <v>114</v>
      </c>
      <c r="E174" t="s">
        <v>114</v>
      </c>
      <c r="F174" t="s">
        <v>114</v>
      </c>
      <c r="G174" t="s">
        <v>114</v>
      </c>
      <c r="H174" t="s">
        <v>114</v>
      </c>
      <c r="I174" t="s">
        <v>114</v>
      </c>
      <c r="J174" t="s">
        <v>114</v>
      </c>
      <c r="K174" t="s">
        <v>114</v>
      </c>
      <c r="L174" t="s">
        <v>114</v>
      </c>
      <c r="M174" t="s">
        <v>114</v>
      </c>
      <c r="N174" t="s">
        <v>114</v>
      </c>
      <c r="O174" t="s">
        <v>114</v>
      </c>
      <c r="P174" t="s">
        <v>114</v>
      </c>
      <c r="Q174" t="s">
        <v>114</v>
      </c>
    </row>
    <row r="175" spans="1:17" x14ac:dyDescent="0.25">
      <c r="A175" t="s">
        <v>993</v>
      </c>
      <c r="B175" t="s">
        <v>114</v>
      </c>
      <c r="C175">
        <v>6.0303030399999997</v>
      </c>
      <c r="D175">
        <v>0.39176700424999999</v>
      </c>
      <c r="E175">
        <v>0.97890985500000005</v>
      </c>
      <c r="F175" t="s">
        <v>114</v>
      </c>
      <c r="G175">
        <v>-6.0303030399999997</v>
      </c>
      <c r="H175">
        <v>-0.39176700424999999</v>
      </c>
      <c r="I175">
        <v>0.80125019500000005</v>
      </c>
      <c r="J175" t="s">
        <v>114</v>
      </c>
      <c r="K175">
        <v>113.796076149239</v>
      </c>
      <c r="L175">
        <v>0.208496314335818</v>
      </c>
      <c r="M175">
        <v>2.9896910055882602</v>
      </c>
      <c r="N175" t="s">
        <v>114</v>
      </c>
      <c r="O175">
        <v>113.796076149239</v>
      </c>
      <c r="P175">
        <v>0.208496314335818</v>
      </c>
      <c r="Q175">
        <v>3.41137451122637</v>
      </c>
    </row>
    <row r="176" spans="1:17" x14ac:dyDescent="0.25">
      <c r="A176" t="s">
        <v>994</v>
      </c>
      <c r="B176" t="s">
        <v>114</v>
      </c>
      <c r="C176" t="s">
        <v>114</v>
      </c>
      <c r="D176" t="s">
        <v>114</v>
      </c>
      <c r="E176" t="s">
        <v>114</v>
      </c>
      <c r="F176" t="s">
        <v>114</v>
      </c>
      <c r="G176" t="s">
        <v>114</v>
      </c>
      <c r="H176" t="s">
        <v>114</v>
      </c>
      <c r="I176" t="s">
        <v>114</v>
      </c>
      <c r="J176" t="s">
        <v>114</v>
      </c>
      <c r="K176" t="s">
        <v>114</v>
      </c>
      <c r="L176" t="s">
        <v>114</v>
      </c>
      <c r="M176" t="s">
        <v>114</v>
      </c>
      <c r="N176" t="s">
        <v>114</v>
      </c>
      <c r="O176" t="s">
        <v>114</v>
      </c>
      <c r="P176" t="s">
        <v>114</v>
      </c>
      <c r="Q176" t="s">
        <v>114</v>
      </c>
    </row>
    <row r="177" spans="1:17" x14ac:dyDescent="0.25">
      <c r="A177" t="s">
        <v>995</v>
      </c>
      <c r="B177" t="s">
        <v>114</v>
      </c>
      <c r="C177" t="s">
        <v>114</v>
      </c>
      <c r="D177" t="s">
        <v>114</v>
      </c>
      <c r="E177" t="s">
        <v>114</v>
      </c>
      <c r="F177" t="s">
        <v>114</v>
      </c>
      <c r="G177" t="s">
        <v>114</v>
      </c>
      <c r="H177" t="s">
        <v>114</v>
      </c>
      <c r="I177" t="s">
        <v>114</v>
      </c>
      <c r="J177" t="s">
        <v>114</v>
      </c>
      <c r="K177" t="s">
        <v>114</v>
      </c>
      <c r="L177" t="s">
        <v>114</v>
      </c>
      <c r="M177" t="s">
        <v>114</v>
      </c>
      <c r="N177" t="s">
        <v>114</v>
      </c>
      <c r="O177" t="s">
        <v>114</v>
      </c>
      <c r="P177" t="s">
        <v>114</v>
      </c>
      <c r="Q177" t="s">
        <v>114</v>
      </c>
    </row>
    <row r="178" spans="1:17" x14ac:dyDescent="0.25">
      <c r="A178" t="s">
        <v>996</v>
      </c>
      <c r="B178" t="s">
        <v>114</v>
      </c>
      <c r="C178" t="s">
        <v>114</v>
      </c>
      <c r="D178" t="s">
        <v>114</v>
      </c>
      <c r="E178" t="s">
        <v>114</v>
      </c>
      <c r="F178" t="s">
        <v>114</v>
      </c>
      <c r="G178" t="s">
        <v>114</v>
      </c>
      <c r="H178" t="s">
        <v>114</v>
      </c>
      <c r="I178" t="s">
        <v>114</v>
      </c>
      <c r="J178" t="s">
        <v>114</v>
      </c>
      <c r="K178" t="s">
        <v>114</v>
      </c>
      <c r="L178" t="s">
        <v>114</v>
      </c>
      <c r="M178" t="s">
        <v>114</v>
      </c>
      <c r="N178" t="s">
        <v>114</v>
      </c>
      <c r="O178" t="s">
        <v>114</v>
      </c>
      <c r="P178" t="s">
        <v>114</v>
      </c>
      <c r="Q178" t="s">
        <v>114</v>
      </c>
    </row>
    <row r="179" spans="1:17" x14ac:dyDescent="0.25">
      <c r="A179" t="s">
        <v>997</v>
      </c>
      <c r="B179" t="s">
        <v>114</v>
      </c>
      <c r="C179">
        <v>10.94474473</v>
      </c>
      <c r="D179">
        <v>1.2933304111999999</v>
      </c>
      <c r="E179">
        <v>8.8970444040000007</v>
      </c>
      <c r="F179" t="s">
        <v>114</v>
      </c>
      <c r="G179">
        <v>0.72740878600000003</v>
      </c>
      <c r="H179">
        <v>-1.2002031419999999</v>
      </c>
      <c r="I179">
        <v>-8.3487539559999995</v>
      </c>
      <c r="J179" t="s">
        <v>114</v>
      </c>
      <c r="K179">
        <v>114.646571809219</v>
      </c>
      <c r="L179">
        <v>7.6278774182284996</v>
      </c>
      <c r="M179">
        <v>122.676841735344</v>
      </c>
      <c r="N179" t="s">
        <v>114</v>
      </c>
      <c r="O179">
        <v>263.71946388786</v>
      </c>
      <c r="P179">
        <v>7.9181473813136103</v>
      </c>
      <c r="Q179">
        <v>134.49647487149599</v>
      </c>
    </row>
    <row r="180" spans="1:17" x14ac:dyDescent="0.25">
      <c r="A180" t="s">
        <v>998</v>
      </c>
      <c r="B180" t="s">
        <v>114</v>
      </c>
      <c r="C180">
        <v>37.175820723333302</v>
      </c>
      <c r="D180">
        <v>2.0345320203333301</v>
      </c>
      <c r="E180">
        <v>9.9597555599999996</v>
      </c>
      <c r="F180" t="s">
        <v>114</v>
      </c>
      <c r="G180">
        <v>-37.175820723333302</v>
      </c>
      <c r="H180">
        <v>0.67835961499999997</v>
      </c>
      <c r="I180">
        <v>9.9597555599999996</v>
      </c>
      <c r="J180" t="s">
        <v>114</v>
      </c>
      <c r="K180">
        <v>32.183100199885097</v>
      </c>
      <c r="L180">
        <v>1.35511845198239</v>
      </c>
      <c r="M180">
        <v>3.4384672505360099</v>
      </c>
      <c r="N180" t="s">
        <v>114</v>
      </c>
      <c r="O180">
        <v>32.183100199885097</v>
      </c>
      <c r="P180">
        <v>5.7700969813808101</v>
      </c>
      <c r="Q180">
        <v>3.4384672505360099</v>
      </c>
    </row>
    <row r="181" spans="1:17" x14ac:dyDescent="0.25">
      <c r="A181" t="s">
        <v>999</v>
      </c>
      <c r="B181" t="s">
        <v>114</v>
      </c>
      <c r="C181">
        <v>26.417227401428601</v>
      </c>
      <c r="D181">
        <v>0.75048516928571396</v>
      </c>
      <c r="E181">
        <v>18.297382671428601</v>
      </c>
      <c r="F181" t="s">
        <v>114</v>
      </c>
      <c r="G181">
        <v>-26.417227401428601</v>
      </c>
      <c r="H181">
        <v>-0.33312140242857102</v>
      </c>
      <c r="I181">
        <v>18.297382671428601</v>
      </c>
      <c r="J181" t="s">
        <v>114</v>
      </c>
      <c r="K181">
        <v>198.059214454472</v>
      </c>
      <c r="L181">
        <v>0.39072428205538601</v>
      </c>
      <c r="M181">
        <v>27.5887828699172</v>
      </c>
      <c r="N181" t="s">
        <v>114</v>
      </c>
      <c r="O181">
        <v>198.059214454472</v>
      </c>
      <c r="P181">
        <v>0.91835875604418604</v>
      </c>
      <c r="Q181">
        <v>27.5887828699172</v>
      </c>
    </row>
    <row r="182" spans="1:17" x14ac:dyDescent="0.25">
      <c r="A182" t="s">
        <v>1000</v>
      </c>
      <c r="B182">
        <v>0.50695300647058805</v>
      </c>
      <c r="C182">
        <v>21.547385699411802</v>
      </c>
      <c r="D182">
        <v>0.95435915435294105</v>
      </c>
      <c r="E182">
        <v>7.7305662882352904</v>
      </c>
      <c r="F182">
        <v>0.50695300647058805</v>
      </c>
      <c r="G182">
        <v>-21.547385699411802</v>
      </c>
      <c r="H182">
        <v>0.95435915435294105</v>
      </c>
      <c r="I182">
        <v>-3.3484136011764698</v>
      </c>
      <c r="J182">
        <v>2.91768658099021E-2</v>
      </c>
      <c r="K182">
        <v>89.178101884946102</v>
      </c>
      <c r="L182">
        <v>6.1063401494056702E-2</v>
      </c>
      <c r="M182">
        <v>32.827522253166897</v>
      </c>
      <c r="N182">
        <v>2.91768658099021E-2</v>
      </c>
      <c r="O182">
        <v>89.178101884946102</v>
      </c>
      <c r="P182">
        <v>6.1063401494056702E-2</v>
      </c>
      <c r="Q182">
        <v>84.411665088689304</v>
      </c>
    </row>
    <row r="183" spans="1:17" x14ac:dyDescent="0.25">
      <c r="A183" t="s">
        <v>1001</v>
      </c>
      <c r="B183" t="s">
        <v>114</v>
      </c>
      <c r="C183">
        <v>59.739130430000003</v>
      </c>
      <c r="D183" t="s">
        <v>114</v>
      </c>
      <c r="E183">
        <v>8.4213699000000002</v>
      </c>
      <c r="F183" t="s">
        <v>114</v>
      </c>
      <c r="G183">
        <v>-59.739130430000003</v>
      </c>
      <c r="H183" t="s">
        <v>114</v>
      </c>
      <c r="I183">
        <v>8.4213699000000002</v>
      </c>
      <c r="J183" t="s">
        <v>114</v>
      </c>
      <c r="K183">
        <v>121.921875</v>
      </c>
      <c r="L183" t="s">
        <v>114</v>
      </c>
      <c r="M183">
        <v>16.133209673303298</v>
      </c>
      <c r="N183" t="s">
        <v>114</v>
      </c>
      <c r="O183">
        <v>121.921875</v>
      </c>
      <c r="P183" t="s">
        <v>114</v>
      </c>
      <c r="Q183">
        <v>16.133209673303298</v>
      </c>
    </row>
    <row r="184" spans="1:17" x14ac:dyDescent="0.25">
      <c r="A184" t="s">
        <v>1002</v>
      </c>
      <c r="B184" t="s">
        <v>114</v>
      </c>
      <c r="C184">
        <v>31.661684784999998</v>
      </c>
      <c r="D184">
        <v>1.303913619</v>
      </c>
      <c r="E184">
        <v>5.3332122699999998</v>
      </c>
      <c r="F184" t="s">
        <v>114</v>
      </c>
      <c r="G184">
        <v>-31.661684784999998</v>
      </c>
      <c r="H184">
        <v>1.303913619</v>
      </c>
      <c r="I184">
        <v>5.3332122699999998</v>
      </c>
      <c r="J184" t="s">
        <v>114</v>
      </c>
      <c r="K184">
        <v>1103.98918928378</v>
      </c>
      <c r="L184">
        <v>1.0945836371444501E-2</v>
      </c>
      <c r="M184">
        <v>7.1569837768872997</v>
      </c>
      <c r="N184" t="s">
        <v>114</v>
      </c>
      <c r="O184">
        <v>1103.98918928378</v>
      </c>
      <c r="P184">
        <v>1.0945836371444501E-2</v>
      </c>
      <c r="Q184">
        <v>7.1569837768872997</v>
      </c>
    </row>
    <row r="185" spans="1:17" x14ac:dyDescent="0.25">
      <c r="A185" t="s">
        <v>1003</v>
      </c>
      <c r="B185" t="s">
        <v>114</v>
      </c>
      <c r="C185">
        <v>29.869565215000002</v>
      </c>
      <c r="D185" t="s">
        <v>114</v>
      </c>
      <c r="E185">
        <v>4.71183030333333</v>
      </c>
      <c r="F185" t="s">
        <v>114</v>
      </c>
      <c r="G185">
        <v>-18.389694044999999</v>
      </c>
      <c r="H185" t="s">
        <v>114</v>
      </c>
      <c r="I185">
        <v>-1.0761315499999999</v>
      </c>
      <c r="J185" t="s">
        <v>114</v>
      </c>
      <c r="K185">
        <v>454.58576648245003</v>
      </c>
      <c r="L185" t="s">
        <v>114</v>
      </c>
      <c r="M185">
        <v>2.4771823337032601</v>
      </c>
      <c r="N185" t="s">
        <v>114</v>
      </c>
      <c r="O185">
        <v>1119.3978613597701</v>
      </c>
      <c r="P185" t="s">
        <v>114</v>
      </c>
      <c r="Q185">
        <v>27.7291251671091</v>
      </c>
    </row>
    <row r="186" spans="1:17" x14ac:dyDescent="0.25">
      <c r="A186" t="s">
        <v>1004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 t="s">
        <v>114</v>
      </c>
      <c r="K186" t="s">
        <v>114</v>
      </c>
      <c r="L186" t="s">
        <v>114</v>
      </c>
      <c r="M186" t="s">
        <v>114</v>
      </c>
      <c r="N186" t="s">
        <v>114</v>
      </c>
      <c r="O186" t="s">
        <v>114</v>
      </c>
      <c r="P186" t="s">
        <v>114</v>
      </c>
      <c r="Q186" t="s">
        <v>114</v>
      </c>
    </row>
    <row r="187" spans="1:17" x14ac:dyDescent="0.25">
      <c r="A187" t="s">
        <v>1005</v>
      </c>
      <c r="B187">
        <v>0.64204547499999998</v>
      </c>
      <c r="C187">
        <v>14.1302289175</v>
      </c>
      <c r="D187">
        <v>0.49900246199999998</v>
      </c>
      <c r="E187">
        <v>9.9175629500000007</v>
      </c>
      <c r="F187">
        <v>0.64204547499999998</v>
      </c>
      <c r="G187">
        <v>-14.1302289175</v>
      </c>
      <c r="H187">
        <v>0.49900246199999998</v>
      </c>
      <c r="I187">
        <v>9.9175629500000007</v>
      </c>
      <c r="J187">
        <v>1.16259394993225E-2</v>
      </c>
      <c r="K187">
        <v>52.809949645036198</v>
      </c>
      <c r="L187">
        <v>0.114933379257355</v>
      </c>
      <c r="M187">
        <v>14.8423376749942</v>
      </c>
      <c r="N187">
        <v>1.16259394993225E-2</v>
      </c>
      <c r="O187">
        <v>52.809949645036198</v>
      </c>
      <c r="P187">
        <v>0.114933379257355</v>
      </c>
      <c r="Q187">
        <v>14.8423376749942</v>
      </c>
    </row>
    <row r="188" spans="1:17" x14ac:dyDescent="0.25">
      <c r="A188" t="s">
        <v>1006</v>
      </c>
      <c r="B188">
        <v>1.9981640000000001</v>
      </c>
      <c r="C188">
        <v>18.663825760000002</v>
      </c>
      <c r="D188">
        <v>1.5594277780000001</v>
      </c>
      <c r="E188">
        <v>15.285372730000001</v>
      </c>
      <c r="F188">
        <v>1.9981640000000001</v>
      </c>
      <c r="G188">
        <v>-18.663825760000002</v>
      </c>
      <c r="H188">
        <v>1.5594277780000001</v>
      </c>
      <c r="I188">
        <v>15.285372730000001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</row>
    <row r="189" spans="1:17" x14ac:dyDescent="0.25">
      <c r="A189" t="s">
        <v>1007</v>
      </c>
      <c r="B189" t="s">
        <v>114</v>
      </c>
      <c r="C189">
        <v>7.3194444433333299</v>
      </c>
      <c r="D189">
        <v>1.29714051033333</v>
      </c>
      <c r="E189">
        <v>1.9218113999999999</v>
      </c>
      <c r="F189" t="s">
        <v>114</v>
      </c>
      <c r="G189">
        <v>3.11111111</v>
      </c>
      <c r="H189">
        <v>1.29714051033333</v>
      </c>
      <c r="I189">
        <v>1.9218113999999999</v>
      </c>
      <c r="J189" t="s">
        <v>114</v>
      </c>
      <c r="K189">
        <v>61.958477981504601</v>
      </c>
      <c r="L189">
        <v>1.44664591899371</v>
      </c>
      <c r="M189">
        <v>2.8015822476687902</v>
      </c>
      <c r="N189" t="s">
        <v>114</v>
      </c>
      <c r="O189">
        <v>127.801359911921</v>
      </c>
      <c r="P189">
        <v>1.44664591899371</v>
      </c>
      <c r="Q189">
        <v>2.8015822476687902</v>
      </c>
    </row>
    <row r="190" spans="1:17" x14ac:dyDescent="0.25">
      <c r="A190" t="s">
        <v>1008</v>
      </c>
      <c r="B190">
        <v>1.9981640000000001</v>
      </c>
      <c r="C190">
        <v>18.663825760000002</v>
      </c>
      <c r="D190">
        <v>1.5594277780000001</v>
      </c>
      <c r="E190">
        <v>15.285372730000001</v>
      </c>
      <c r="F190">
        <v>1.9981640000000001</v>
      </c>
      <c r="G190">
        <v>-18.663825760000002</v>
      </c>
      <c r="H190">
        <v>1.5594277780000001</v>
      </c>
      <c r="I190">
        <v>15.285372730000001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</row>
    <row r="191" spans="1:17" x14ac:dyDescent="0.25">
      <c r="A191" t="s">
        <v>1009</v>
      </c>
      <c r="B191" t="s">
        <v>114</v>
      </c>
      <c r="C191">
        <v>60.945846805000002</v>
      </c>
      <c r="D191">
        <v>0.90301472199999999</v>
      </c>
      <c r="E191">
        <v>6.7854188500000001</v>
      </c>
      <c r="F191" t="s">
        <v>114</v>
      </c>
      <c r="G191">
        <v>-54.729363290000002</v>
      </c>
      <c r="H191">
        <v>-0.90301472199999999</v>
      </c>
      <c r="I191">
        <v>-6.7854188500000001</v>
      </c>
      <c r="J191" t="s">
        <v>114</v>
      </c>
      <c r="K191">
        <v>1045.9997795838201</v>
      </c>
      <c r="L191">
        <v>2.4533670448816398</v>
      </c>
      <c r="M191">
        <v>9.2383294926009594</v>
      </c>
      <c r="N191" t="s">
        <v>114</v>
      </c>
      <c r="O191">
        <v>2004.7904951168</v>
      </c>
      <c r="P191">
        <v>2.4533670448816398</v>
      </c>
      <c r="Q191">
        <v>9.2383294926009594</v>
      </c>
    </row>
    <row r="192" spans="1:17" x14ac:dyDescent="0.25">
      <c r="A192" t="s">
        <v>1010</v>
      </c>
      <c r="B192" t="s">
        <v>114</v>
      </c>
      <c r="C192">
        <v>45.0891806766667</v>
      </c>
      <c r="D192">
        <v>2.2234466670000002</v>
      </c>
      <c r="E192">
        <v>5.5491308666666699</v>
      </c>
      <c r="F192" t="s">
        <v>114</v>
      </c>
      <c r="G192">
        <v>-32.445133056666698</v>
      </c>
      <c r="H192">
        <v>2.2234466670000002</v>
      </c>
      <c r="I192">
        <v>5.5491308666666699</v>
      </c>
      <c r="J192" t="s">
        <v>114</v>
      </c>
      <c r="K192">
        <v>511.812627534961</v>
      </c>
      <c r="L192">
        <v>4.78827381040296E-3</v>
      </c>
      <c r="M192">
        <v>9.2424894410033698</v>
      </c>
      <c r="N192" t="s">
        <v>114</v>
      </c>
      <c r="O192">
        <v>1982.33396007739</v>
      </c>
      <c r="P192">
        <v>4.78827381040296E-3</v>
      </c>
      <c r="Q192">
        <v>9.2424894410033698</v>
      </c>
    </row>
    <row r="193" spans="1:17" x14ac:dyDescent="0.25">
      <c r="A193" t="s">
        <v>1011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 t="s">
        <v>114</v>
      </c>
      <c r="K193" t="s">
        <v>114</v>
      </c>
      <c r="L193" t="s">
        <v>114</v>
      </c>
      <c r="M193" t="s">
        <v>114</v>
      </c>
      <c r="N193" t="s">
        <v>114</v>
      </c>
      <c r="O193" t="s">
        <v>114</v>
      </c>
      <c r="P193" t="s">
        <v>114</v>
      </c>
      <c r="Q193" t="s">
        <v>114</v>
      </c>
    </row>
    <row r="194" spans="1:17" x14ac:dyDescent="0.25">
      <c r="A194" t="s">
        <v>1012</v>
      </c>
      <c r="B194">
        <v>1.34529969</v>
      </c>
      <c r="C194">
        <v>29.400077159999999</v>
      </c>
      <c r="D194">
        <v>1.3656674076666699</v>
      </c>
      <c r="E194">
        <v>8.3070857599999997</v>
      </c>
      <c r="F194">
        <v>1.34529969</v>
      </c>
      <c r="G194">
        <v>-29.400077159999999</v>
      </c>
      <c r="H194">
        <v>1.3656674076666699</v>
      </c>
      <c r="I194">
        <v>8.3070857599999997</v>
      </c>
      <c r="J194">
        <v>0.25451846600218803</v>
      </c>
      <c r="K194">
        <v>285.36808414796502</v>
      </c>
      <c r="L194">
        <v>0.113356152751941</v>
      </c>
      <c r="M194">
        <v>0.53236173924835295</v>
      </c>
      <c r="N194">
        <v>0.25451846600218803</v>
      </c>
      <c r="O194">
        <v>285.36808414796502</v>
      </c>
      <c r="P194">
        <v>0.113356152751941</v>
      </c>
      <c r="Q194">
        <v>0.53236173924835295</v>
      </c>
    </row>
    <row r="195" spans="1:17" x14ac:dyDescent="0.25">
      <c r="A195" t="s">
        <v>1013</v>
      </c>
      <c r="B195" t="s">
        <v>114</v>
      </c>
      <c r="C195">
        <v>15.6374338611111</v>
      </c>
      <c r="D195">
        <v>2.0124738295555602</v>
      </c>
      <c r="E195">
        <v>3.5333939777777799</v>
      </c>
      <c r="F195" t="s">
        <v>114</v>
      </c>
      <c r="G195">
        <v>14.2346560833333</v>
      </c>
      <c r="H195">
        <v>2.0124738295555602</v>
      </c>
      <c r="I195">
        <v>3.5333939777777799</v>
      </c>
      <c r="J195" t="s">
        <v>114</v>
      </c>
      <c r="K195">
        <v>71.980837094099797</v>
      </c>
      <c r="L195">
        <v>0.65022292047336605</v>
      </c>
      <c r="M195">
        <v>5.6086919238617599</v>
      </c>
      <c r="N195" t="s">
        <v>114</v>
      </c>
      <c r="O195">
        <v>119.122729037676</v>
      </c>
      <c r="P195">
        <v>0.65022292047336605</v>
      </c>
      <c r="Q195">
        <v>5.6086919238617599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195"/>
  <sheetViews>
    <sheetView workbookViewId="0">
      <selection activeCell="F24" sqref="F24"/>
    </sheetView>
  </sheetViews>
  <sheetFormatPr defaultRowHeight="15" x14ac:dyDescent="0.25"/>
  <sheetData>
    <row r="1" spans="1:101" x14ac:dyDescent="0.25">
      <c r="A1" t="s">
        <v>96</v>
      </c>
      <c r="B1" t="s">
        <v>146</v>
      </c>
      <c r="C1" t="s">
        <v>1</v>
      </c>
      <c r="D1" t="s">
        <v>2</v>
      </c>
      <c r="E1" t="s">
        <v>97</v>
      </c>
      <c r="F1" t="s">
        <v>144</v>
      </c>
      <c r="G1" t="s">
        <v>143</v>
      </c>
      <c r="H1" t="s">
        <v>754</v>
      </c>
      <c r="I1" t="s">
        <v>664</v>
      </c>
      <c r="J1" t="s">
        <v>275</v>
      </c>
      <c r="K1" t="s">
        <v>232</v>
      </c>
      <c r="L1" t="s">
        <v>98</v>
      </c>
      <c r="M1" t="s">
        <v>99</v>
      </c>
      <c r="N1" t="s">
        <v>122</v>
      </c>
      <c r="O1" t="s">
        <v>1034</v>
      </c>
      <c r="P1" t="s">
        <v>791</v>
      </c>
      <c r="Q1" t="s">
        <v>149</v>
      </c>
      <c r="R1" t="s">
        <v>150</v>
      </c>
      <c r="S1" t="s">
        <v>1035</v>
      </c>
      <c r="T1" t="s">
        <v>1036</v>
      </c>
      <c r="U1" t="s">
        <v>790</v>
      </c>
      <c r="V1" t="s">
        <v>101</v>
      </c>
      <c r="W1" t="s">
        <v>100</v>
      </c>
      <c r="X1" t="s">
        <v>123</v>
      </c>
      <c r="Y1" t="s">
        <v>124</v>
      </c>
      <c r="Z1" t="s">
        <v>125</v>
      </c>
      <c r="AA1" t="s">
        <v>126</v>
      </c>
      <c r="AB1" t="s">
        <v>131</v>
      </c>
      <c r="AC1" t="s">
        <v>106</v>
      </c>
      <c r="AD1" t="s">
        <v>107</v>
      </c>
      <c r="AE1" t="s">
        <v>108</v>
      </c>
      <c r="AF1" t="s">
        <v>109</v>
      </c>
      <c r="AG1" t="s">
        <v>127</v>
      </c>
      <c r="AH1" t="s">
        <v>128</v>
      </c>
      <c r="AI1" t="s">
        <v>129</v>
      </c>
      <c r="AJ1" t="s">
        <v>130</v>
      </c>
      <c r="AK1" t="s">
        <v>115</v>
      </c>
      <c r="AL1" t="s">
        <v>116</v>
      </c>
      <c r="AM1" t="s">
        <v>117</v>
      </c>
      <c r="AN1" t="s">
        <v>118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3</v>
      </c>
      <c r="BA1" t="s">
        <v>4</v>
      </c>
      <c r="BB1" t="s">
        <v>5</v>
      </c>
      <c r="BC1" t="s">
        <v>6</v>
      </c>
      <c r="BD1" t="s">
        <v>7</v>
      </c>
      <c r="BE1" t="s">
        <v>9</v>
      </c>
      <c r="BF1" t="s">
        <v>12</v>
      </c>
      <c r="BG1" t="s">
        <v>13</v>
      </c>
      <c r="BH1" t="s">
        <v>8</v>
      </c>
      <c r="BI1" t="s">
        <v>258</v>
      </c>
      <c r="BJ1" t="s">
        <v>194</v>
      </c>
      <c r="BK1" t="s">
        <v>230</v>
      </c>
      <c r="BL1" t="s">
        <v>184</v>
      </c>
      <c r="BM1" t="s">
        <v>185</v>
      </c>
      <c r="BN1" t="s">
        <v>218</v>
      </c>
      <c r="BO1" t="s">
        <v>665</v>
      </c>
      <c r="BP1" t="s">
        <v>746</v>
      </c>
      <c r="BQ1" t="s">
        <v>787</v>
      </c>
      <c r="BR1" t="s">
        <v>788</v>
      </c>
      <c r="BS1" t="s">
        <v>1028</v>
      </c>
      <c r="BT1" t="s">
        <v>1029</v>
      </c>
      <c r="BU1" t="s">
        <v>1030</v>
      </c>
      <c r="BV1" t="s">
        <v>1031</v>
      </c>
      <c r="BW1" t="s">
        <v>1032</v>
      </c>
      <c r="BX1" t="s">
        <v>1033</v>
      </c>
      <c r="BY1" t="s">
        <v>1022</v>
      </c>
      <c r="BZ1" t="s">
        <v>1023</v>
      </c>
      <c r="CA1" t="s">
        <v>1024</v>
      </c>
      <c r="CB1" t="s">
        <v>1025</v>
      </c>
      <c r="CC1" t="s">
        <v>1026</v>
      </c>
      <c r="CD1" t="s">
        <v>1027</v>
      </c>
      <c r="CE1" t="s">
        <v>1042</v>
      </c>
      <c r="CF1" t="s">
        <v>1045</v>
      </c>
      <c r="CG1" t="s">
        <v>1046</v>
      </c>
      <c r="CH1" t="s">
        <v>1047</v>
      </c>
      <c r="CI1" t="s">
        <v>1048</v>
      </c>
      <c r="CJ1" t="s">
        <v>1049</v>
      </c>
      <c r="CK1" t="s">
        <v>1050</v>
      </c>
      <c r="CL1" t="s">
        <v>1051</v>
      </c>
      <c r="CM1" t="s">
        <v>1052</v>
      </c>
      <c r="CN1" t="s">
        <v>1053</v>
      </c>
      <c r="CO1" t="s">
        <v>1054</v>
      </c>
      <c r="CP1" t="s">
        <v>1055</v>
      </c>
      <c r="CQ1" t="s">
        <v>1056</v>
      </c>
      <c r="CR1" t="s">
        <v>1057</v>
      </c>
      <c r="CS1" t="s">
        <v>1058</v>
      </c>
      <c r="CT1" t="s">
        <v>1059</v>
      </c>
      <c r="CU1" t="s">
        <v>1060</v>
      </c>
      <c r="CV1" t="s">
        <v>1061</v>
      </c>
      <c r="CW1" t="s">
        <v>1043</v>
      </c>
    </row>
    <row r="2" spans="1:101" x14ac:dyDescent="0.25">
      <c r="A2" t="s">
        <v>67</v>
      </c>
      <c r="B2">
        <v>10</v>
      </c>
      <c r="C2" t="s">
        <v>11</v>
      </c>
      <c r="D2" t="s">
        <v>94</v>
      </c>
      <c r="E2" t="s">
        <v>113</v>
      </c>
      <c r="F2" t="s">
        <v>145</v>
      </c>
      <c r="G2" t="s">
        <v>259</v>
      </c>
      <c r="H2" t="s">
        <v>763</v>
      </c>
      <c r="I2" t="s">
        <v>666</v>
      </c>
      <c r="J2" t="s">
        <v>276</v>
      </c>
      <c r="K2">
        <v>3</v>
      </c>
      <c r="L2">
        <v>40</v>
      </c>
      <c r="M2">
        <v>35</v>
      </c>
      <c r="N2">
        <v>40</v>
      </c>
      <c r="O2">
        <v>5</v>
      </c>
      <c r="P2">
        <v>5</v>
      </c>
      <c r="Q2">
        <v>10</v>
      </c>
      <c r="R2">
        <v>5</v>
      </c>
      <c r="S2">
        <v>7.5</v>
      </c>
      <c r="T2">
        <v>0.1875</v>
      </c>
      <c r="V2" t="s">
        <v>121</v>
      </c>
      <c r="W2" t="s">
        <v>114</v>
      </c>
      <c r="X2">
        <v>20.8</v>
      </c>
      <c r="Y2">
        <v>19.8</v>
      </c>
      <c r="Z2">
        <v>21.8</v>
      </c>
      <c r="AA2">
        <v>20.8</v>
      </c>
      <c r="AB2">
        <v>20.8</v>
      </c>
      <c r="AC2">
        <v>19.3</v>
      </c>
      <c r="AD2">
        <v>19.3</v>
      </c>
      <c r="AE2">
        <v>18.399999999999999</v>
      </c>
      <c r="AF2">
        <v>19</v>
      </c>
      <c r="AG2">
        <v>23.3</v>
      </c>
      <c r="AH2">
        <v>21.3</v>
      </c>
      <c r="AI2">
        <v>22.8</v>
      </c>
      <c r="AJ2">
        <v>22.466666669999999</v>
      </c>
      <c r="AK2">
        <v>20.8</v>
      </c>
      <c r="AL2">
        <v>19.8</v>
      </c>
      <c r="AM2">
        <v>20.3</v>
      </c>
      <c r="AN2">
        <v>20.3</v>
      </c>
      <c r="AO2">
        <v>22.466666669999999</v>
      </c>
      <c r="AP2">
        <v>11</v>
      </c>
      <c r="AQ2">
        <v>10</v>
      </c>
      <c r="AR2" t="s">
        <v>114</v>
      </c>
      <c r="AS2">
        <v>10.5</v>
      </c>
      <c r="AT2">
        <v>9</v>
      </c>
      <c r="AU2">
        <v>11</v>
      </c>
      <c r="AV2" t="s">
        <v>114</v>
      </c>
      <c r="AW2">
        <v>10</v>
      </c>
      <c r="AX2">
        <v>10.5</v>
      </c>
      <c r="AY2">
        <v>-10.3</v>
      </c>
      <c r="AZ2">
        <v>20</v>
      </c>
      <c r="BA2">
        <v>10</v>
      </c>
      <c r="BB2">
        <v>15</v>
      </c>
      <c r="BC2">
        <v>0</v>
      </c>
      <c r="BD2">
        <v>1</v>
      </c>
      <c r="BE2">
        <v>0</v>
      </c>
      <c r="BF2">
        <v>1</v>
      </c>
      <c r="BG2">
        <v>0</v>
      </c>
      <c r="BI2">
        <v>7.7</v>
      </c>
      <c r="BJ2">
        <v>0.70399999999999996</v>
      </c>
      <c r="BK2">
        <v>0</v>
      </c>
      <c r="BL2">
        <v>1</v>
      </c>
      <c r="BM2">
        <v>1</v>
      </c>
      <c r="BN2">
        <v>9</v>
      </c>
      <c r="BO2">
        <v>0</v>
      </c>
      <c r="BP2">
        <v>9</v>
      </c>
      <c r="BQ2">
        <v>0</v>
      </c>
      <c r="BR2">
        <v>9</v>
      </c>
      <c r="BS2">
        <v>8.2750580000000004E-2</v>
      </c>
      <c r="BT2">
        <v>0.36144256949999998</v>
      </c>
      <c r="BU2">
        <v>10.854577915</v>
      </c>
      <c r="BV2">
        <v>-8.2750580000000004E-2</v>
      </c>
      <c r="BW2">
        <v>0.36144256949999998</v>
      </c>
      <c r="BX2">
        <v>-10.854577915</v>
      </c>
      <c r="BY2">
        <v>1.3695316980672801E-2</v>
      </c>
      <c r="BZ2">
        <v>0.26128146209352499</v>
      </c>
      <c r="CA2">
        <v>235.643723425612</v>
      </c>
      <c r="CB2">
        <v>1.3695316980672801E-2</v>
      </c>
      <c r="CC2">
        <v>0.26128146209352499</v>
      </c>
      <c r="CD2">
        <v>235.643723425612</v>
      </c>
      <c r="CE2">
        <v>1.6417060000000001E-2</v>
      </c>
      <c r="CF2">
        <v>5.390397180872E-4</v>
      </c>
      <c r="CG2">
        <v>1.09447066666667E-2</v>
      </c>
      <c r="CH2">
        <v>5.5167053333333299E-2</v>
      </c>
      <c r="CI2">
        <v>0.24096171299999999</v>
      </c>
      <c r="CJ2">
        <v>7.2363852766666703</v>
      </c>
      <c r="CK2">
        <v>1.09447066666667E-2</v>
      </c>
      <c r="CL2">
        <v>-5.5167053333333299E-2</v>
      </c>
      <c r="CM2">
        <v>0.24096171299999999</v>
      </c>
      <c r="CN2">
        <v>-7.2363852766666703</v>
      </c>
      <c r="CO2">
        <v>3.5935981205813299E-4</v>
      </c>
      <c r="CP2">
        <v>9.1302113204485297E-3</v>
      </c>
      <c r="CQ2">
        <v>0.17418764139568299</v>
      </c>
      <c r="CR2">
        <v>157.09581561707401</v>
      </c>
      <c r="CS2">
        <v>3.5935981205813299E-4</v>
      </c>
      <c r="CT2">
        <v>9.1302113204485297E-3</v>
      </c>
      <c r="CU2">
        <v>0.17418764139568299</v>
      </c>
      <c r="CV2">
        <v>157.09581561707401</v>
      </c>
      <c r="CW2">
        <v>1.6417060000000001E-2</v>
      </c>
    </row>
    <row r="3" spans="1:101" x14ac:dyDescent="0.25">
      <c r="A3" t="s">
        <v>67</v>
      </c>
      <c r="B3">
        <v>10</v>
      </c>
      <c r="C3" t="s">
        <v>11</v>
      </c>
      <c r="D3" t="s">
        <v>94</v>
      </c>
      <c r="E3" t="s">
        <v>103</v>
      </c>
      <c r="F3" t="s">
        <v>145</v>
      </c>
      <c r="G3" t="s">
        <v>260</v>
      </c>
      <c r="H3" t="s">
        <v>771</v>
      </c>
      <c r="I3" t="s">
        <v>667</v>
      </c>
      <c r="J3" t="s">
        <v>277</v>
      </c>
      <c r="K3">
        <v>1</v>
      </c>
      <c r="L3">
        <v>70</v>
      </c>
      <c r="M3">
        <v>35</v>
      </c>
      <c r="N3">
        <v>70</v>
      </c>
      <c r="O3">
        <v>35</v>
      </c>
      <c r="P3">
        <v>25</v>
      </c>
      <c r="Q3">
        <v>10</v>
      </c>
      <c r="R3">
        <v>0</v>
      </c>
      <c r="S3">
        <v>5</v>
      </c>
      <c r="T3">
        <v>7.1428571428571425E-2</v>
      </c>
      <c r="V3" t="s">
        <v>121</v>
      </c>
      <c r="W3" t="s">
        <v>114</v>
      </c>
      <c r="X3">
        <v>20.8</v>
      </c>
      <c r="Y3">
        <v>19.8</v>
      </c>
      <c r="Z3">
        <v>21.8</v>
      </c>
      <c r="AA3">
        <v>20.8</v>
      </c>
      <c r="AB3">
        <v>20.8</v>
      </c>
      <c r="AC3">
        <v>17.899999999999999</v>
      </c>
      <c r="AD3">
        <v>17.399999999999999</v>
      </c>
      <c r="AE3">
        <v>18.399999999999999</v>
      </c>
      <c r="AF3">
        <v>17.899999999999999</v>
      </c>
      <c r="AG3">
        <v>23.3</v>
      </c>
      <c r="AH3">
        <v>21.3</v>
      </c>
      <c r="AI3">
        <v>22.8</v>
      </c>
      <c r="AJ3">
        <v>22.466666669999999</v>
      </c>
      <c r="AK3">
        <v>21.3</v>
      </c>
      <c r="AL3">
        <v>20.3</v>
      </c>
      <c r="AM3">
        <v>20.3</v>
      </c>
      <c r="AN3">
        <v>20.633333329999999</v>
      </c>
      <c r="AO3">
        <v>22.466666669999999</v>
      </c>
      <c r="AP3">
        <v>11</v>
      </c>
      <c r="AQ3">
        <v>10</v>
      </c>
      <c r="AR3" t="s">
        <v>114</v>
      </c>
      <c r="AS3">
        <v>10.5</v>
      </c>
      <c r="AT3">
        <v>8.5</v>
      </c>
      <c r="AU3">
        <v>9</v>
      </c>
      <c r="AV3" t="s">
        <v>114</v>
      </c>
      <c r="AW3">
        <v>8.75</v>
      </c>
      <c r="AX3">
        <v>10.5</v>
      </c>
      <c r="AY3">
        <v>-10.3</v>
      </c>
      <c r="AZ3">
        <v>20</v>
      </c>
      <c r="BA3">
        <v>10</v>
      </c>
      <c r="BB3">
        <v>15</v>
      </c>
      <c r="BC3">
        <v>0</v>
      </c>
      <c r="BD3">
        <v>1</v>
      </c>
      <c r="BE3">
        <v>0</v>
      </c>
      <c r="BF3">
        <v>1</v>
      </c>
      <c r="BG3">
        <v>0</v>
      </c>
      <c r="BI3">
        <v>7.7</v>
      </c>
      <c r="BJ3">
        <v>0.70399999999999996</v>
      </c>
      <c r="BK3">
        <v>0</v>
      </c>
      <c r="BL3">
        <v>4</v>
      </c>
      <c r="BM3">
        <v>4</v>
      </c>
      <c r="BN3">
        <v>167</v>
      </c>
      <c r="BO3">
        <v>368.5</v>
      </c>
      <c r="BP3">
        <v>-201.5</v>
      </c>
      <c r="BQ3">
        <v>204</v>
      </c>
      <c r="BR3">
        <v>-37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 t="s">
        <v>114</v>
      </c>
      <c r="BZ3" t="s">
        <v>114</v>
      </c>
      <c r="CA3" t="s">
        <v>114</v>
      </c>
      <c r="CB3" t="s">
        <v>114</v>
      </c>
      <c r="CC3" t="s">
        <v>114</v>
      </c>
      <c r="CD3" t="s">
        <v>114</v>
      </c>
      <c r="CE3">
        <v>0</v>
      </c>
      <c r="CF3" t="s">
        <v>114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 t="s">
        <v>114</v>
      </c>
      <c r="CP3" t="s">
        <v>114</v>
      </c>
      <c r="CQ3" t="s">
        <v>114</v>
      </c>
      <c r="CR3" t="s">
        <v>114</v>
      </c>
      <c r="CS3" t="s">
        <v>114</v>
      </c>
      <c r="CT3" t="s">
        <v>114</v>
      </c>
      <c r="CU3" t="s">
        <v>114</v>
      </c>
      <c r="CV3" t="s">
        <v>114</v>
      </c>
      <c r="CW3">
        <v>0</v>
      </c>
    </row>
    <row r="4" spans="1:101" x14ac:dyDescent="0.25">
      <c r="A4" t="s">
        <v>67</v>
      </c>
      <c r="B4">
        <v>10</v>
      </c>
      <c r="C4" t="s">
        <v>11</v>
      </c>
      <c r="D4" t="s">
        <v>94</v>
      </c>
      <c r="E4" t="s">
        <v>112</v>
      </c>
      <c r="F4" t="s">
        <v>145</v>
      </c>
      <c r="G4" t="s">
        <v>261</v>
      </c>
      <c r="H4" t="s">
        <v>783</v>
      </c>
      <c r="I4" t="s">
        <v>668</v>
      </c>
      <c r="J4" t="s">
        <v>278</v>
      </c>
      <c r="K4">
        <v>3</v>
      </c>
      <c r="L4">
        <v>25</v>
      </c>
      <c r="M4">
        <v>70</v>
      </c>
      <c r="N4">
        <v>25</v>
      </c>
      <c r="O4">
        <v>-45</v>
      </c>
      <c r="P4">
        <v>45</v>
      </c>
      <c r="Q4">
        <v>150</v>
      </c>
      <c r="R4">
        <v>40</v>
      </c>
      <c r="S4">
        <v>95</v>
      </c>
      <c r="T4">
        <v>3.8</v>
      </c>
      <c r="V4" t="s">
        <v>121</v>
      </c>
      <c r="W4" t="s">
        <v>114</v>
      </c>
      <c r="X4">
        <v>20.8</v>
      </c>
      <c r="Y4">
        <v>19.8</v>
      </c>
      <c r="Z4">
        <v>21.8</v>
      </c>
      <c r="AA4">
        <v>20.8</v>
      </c>
      <c r="AB4">
        <v>20.8</v>
      </c>
      <c r="AC4">
        <v>18.399999999999999</v>
      </c>
      <c r="AD4">
        <v>18.399999999999999</v>
      </c>
      <c r="AE4">
        <v>19.3</v>
      </c>
      <c r="AF4">
        <v>18.7</v>
      </c>
      <c r="AG4">
        <v>23.3</v>
      </c>
      <c r="AH4">
        <v>21.3</v>
      </c>
      <c r="AI4">
        <v>22.8</v>
      </c>
      <c r="AJ4">
        <v>22.466666669999999</v>
      </c>
      <c r="AK4">
        <v>20.3</v>
      </c>
      <c r="AL4">
        <v>23.3</v>
      </c>
      <c r="AM4">
        <v>19.3</v>
      </c>
      <c r="AN4">
        <v>20.966666669999999</v>
      </c>
      <c r="AO4">
        <v>22.466666669999999</v>
      </c>
      <c r="AP4">
        <v>11</v>
      </c>
      <c r="AQ4">
        <v>10</v>
      </c>
      <c r="AR4" t="s">
        <v>114</v>
      </c>
      <c r="AS4">
        <v>10.5</v>
      </c>
      <c r="AT4">
        <v>7.6</v>
      </c>
      <c r="AU4">
        <v>8.1</v>
      </c>
      <c r="AV4" t="s">
        <v>114</v>
      </c>
      <c r="AW4">
        <v>7.85</v>
      </c>
      <c r="AX4">
        <v>10.5</v>
      </c>
      <c r="AY4">
        <v>-10.3</v>
      </c>
      <c r="AZ4">
        <v>20</v>
      </c>
      <c r="BA4">
        <v>10</v>
      </c>
      <c r="BB4">
        <v>15</v>
      </c>
      <c r="BC4">
        <v>0</v>
      </c>
      <c r="BD4">
        <v>1</v>
      </c>
      <c r="BE4">
        <v>0</v>
      </c>
      <c r="BF4">
        <v>1</v>
      </c>
      <c r="BG4">
        <v>0</v>
      </c>
      <c r="BI4">
        <v>7.7</v>
      </c>
      <c r="BJ4">
        <v>0.70399999999999996</v>
      </c>
      <c r="BK4">
        <v>0</v>
      </c>
      <c r="BL4">
        <v>96</v>
      </c>
      <c r="BM4">
        <v>96</v>
      </c>
      <c r="BN4">
        <v>379</v>
      </c>
      <c r="BO4">
        <v>62</v>
      </c>
      <c r="BP4">
        <v>317</v>
      </c>
      <c r="BQ4">
        <v>44</v>
      </c>
      <c r="BR4">
        <v>335</v>
      </c>
      <c r="BS4">
        <v>43.00415211</v>
      </c>
      <c r="BT4">
        <v>2.2663836215000002</v>
      </c>
      <c r="BU4">
        <v>12.069343555</v>
      </c>
      <c r="BV4">
        <v>-43.00415211</v>
      </c>
      <c r="BW4">
        <v>2.2663836215000002</v>
      </c>
      <c r="BX4">
        <v>5.645560455</v>
      </c>
      <c r="BY4">
        <v>1168.8443459341199</v>
      </c>
      <c r="BZ4">
        <v>5.0748491025264702E-4</v>
      </c>
      <c r="CA4">
        <v>63.744705702119603</v>
      </c>
      <c r="CB4">
        <v>1168.8443459341199</v>
      </c>
      <c r="CC4">
        <v>5.0748491025264702E-4</v>
      </c>
      <c r="CD4">
        <v>291.33810769723999</v>
      </c>
      <c r="CE4">
        <v>1.914065755</v>
      </c>
      <c r="CF4">
        <v>2.7346355968986501E-2</v>
      </c>
      <c r="CG4">
        <v>1.9530432099999999</v>
      </c>
      <c r="CH4">
        <v>34.945877046666702</v>
      </c>
      <c r="CI4">
        <v>2.2716933866666702</v>
      </c>
      <c r="CJ4">
        <v>10.187490070000001</v>
      </c>
      <c r="CK4">
        <v>1.9530432099999999</v>
      </c>
      <c r="CL4">
        <v>-34.945877046666702</v>
      </c>
      <c r="CM4">
        <v>2.2716933866666702</v>
      </c>
      <c r="CN4">
        <v>1.6224459366666699</v>
      </c>
      <c r="CO4">
        <v>1.8230903979324298E-2</v>
      </c>
      <c r="CP4">
        <v>779.22956395607798</v>
      </c>
      <c r="CQ4">
        <v>3.3832327350176498E-4</v>
      </c>
      <c r="CR4">
        <v>42.496470468079799</v>
      </c>
      <c r="CS4">
        <v>1.8230903979324298E-2</v>
      </c>
      <c r="CT4">
        <v>779.22956395607798</v>
      </c>
      <c r="CU4">
        <v>3.3832327350176498E-4</v>
      </c>
      <c r="CV4">
        <v>194.22540513149301</v>
      </c>
      <c r="CW4">
        <v>1.914065755</v>
      </c>
    </row>
    <row r="5" spans="1:101" x14ac:dyDescent="0.25">
      <c r="A5" t="s">
        <v>68</v>
      </c>
      <c r="B5">
        <v>10</v>
      </c>
      <c r="C5" t="s">
        <v>15</v>
      </c>
      <c r="D5" t="s">
        <v>95</v>
      </c>
      <c r="E5" t="s">
        <v>113</v>
      </c>
      <c r="F5" t="s">
        <v>145</v>
      </c>
      <c r="G5" t="s">
        <v>259</v>
      </c>
      <c r="H5" t="s">
        <v>764</v>
      </c>
      <c r="I5" t="s">
        <v>669</v>
      </c>
      <c r="J5" t="s">
        <v>279</v>
      </c>
      <c r="K5">
        <v>1</v>
      </c>
      <c r="L5">
        <v>120</v>
      </c>
      <c r="M5">
        <v>35</v>
      </c>
      <c r="N5">
        <v>120</v>
      </c>
      <c r="O5">
        <v>85</v>
      </c>
      <c r="P5">
        <v>10</v>
      </c>
      <c r="Q5">
        <v>25</v>
      </c>
      <c r="R5">
        <v>15</v>
      </c>
      <c r="S5">
        <v>20</v>
      </c>
      <c r="T5">
        <v>0.16666666666666666</v>
      </c>
      <c r="V5" t="s">
        <v>121</v>
      </c>
      <c r="W5" t="s">
        <v>114</v>
      </c>
      <c r="X5">
        <v>13.5</v>
      </c>
      <c r="Y5">
        <v>12</v>
      </c>
      <c r="Z5">
        <v>16.899999999999999</v>
      </c>
      <c r="AA5">
        <v>14.133333329999999</v>
      </c>
      <c r="AB5">
        <v>14.133333329999999</v>
      </c>
      <c r="AC5">
        <v>17.399999999999999</v>
      </c>
      <c r="AD5">
        <v>18.399999999999999</v>
      </c>
      <c r="AE5">
        <v>18.899999999999999</v>
      </c>
      <c r="AF5">
        <v>18.233333330000001</v>
      </c>
      <c r="AG5">
        <v>20.3</v>
      </c>
      <c r="AH5">
        <v>14.4</v>
      </c>
      <c r="AI5">
        <v>20.3</v>
      </c>
      <c r="AJ5">
        <v>18.333333329999999</v>
      </c>
      <c r="AK5">
        <v>22.8</v>
      </c>
      <c r="AL5">
        <v>23.3</v>
      </c>
      <c r="AM5">
        <v>19.8</v>
      </c>
      <c r="AN5">
        <v>21.966666669999999</v>
      </c>
      <c r="AO5">
        <v>18.333333329999999</v>
      </c>
      <c r="AP5">
        <v>5.6</v>
      </c>
      <c r="AQ5">
        <v>6.6</v>
      </c>
      <c r="AR5">
        <v>7.1</v>
      </c>
      <c r="AS5">
        <v>6.4333333330000002</v>
      </c>
      <c r="AT5">
        <v>8.1</v>
      </c>
      <c r="AU5">
        <v>8.5</v>
      </c>
      <c r="AV5">
        <v>7.6</v>
      </c>
      <c r="AW5">
        <v>8.0666666669999998</v>
      </c>
      <c r="AX5">
        <v>6.4333333330000002</v>
      </c>
      <c r="AY5">
        <v>-7.7</v>
      </c>
      <c r="AZ5">
        <v>50</v>
      </c>
      <c r="BA5">
        <v>45</v>
      </c>
      <c r="BB5">
        <v>3</v>
      </c>
      <c r="BC5">
        <v>10</v>
      </c>
      <c r="BD5">
        <v>0</v>
      </c>
      <c r="BE5">
        <v>1</v>
      </c>
      <c r="BF5">
        <v>0</v>
      </c>
      <c r="BG5">
        <v>3</v>
      </c>
      <c r="BI5">
        <v>7.5</v>
      </c>
      <c r="BJ5">
        <v>44.895000000000003</v>
      </c>
      <c r="BK5">
        <v>0</v>
      </c>
      <c r="BL5">
        <v>1</v>
      </c>
      <c r="BM5">
        <v>1</v>
      </c>
      <c r="BN5">
        <v>0</v>
      </c>
      <c r="BO5">
        <v>1.6666669999999999</v>
      </c>
      <c r="BP5">
        <v>-1.6666669999999999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 t="s">
        <v>114</v>
      </c>
      <c r="BZ5" t="s">
        <v>114</v>
      </c>
      <c r="CA5" t="s">
        <v>114</v>
      </c>
      <c r="CB5" t="s">
        <v>114</v>
      </c>
      <c r="CC5" t="s">
        <v>114</v>
      </c>
      <c r="CD5" t="s">
        <v>114</v>
      </c>
      <c r="CE5">
        <v>0</v>
      </c>
      <c r="CF5" t="s">
        <v>114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 t="s">
        <v>114</v>
      </c>
      <c r="CP5" t="s">
        <v>114</v>
      </c>
      <c r="CQ5" t="s">
        <v>114</v>
      </c>
      <c r="CR5" t="s">
        <v>114</v>
      </c>
      <c r="CS5" t="s">
        <v>114</v>
      </c>
      <c r="CT5" t="s">
        <v>114</v>
      </c>
      <c r="CU5" t="s">
        <v>114</v>
      </c>
      <c r="CV5" t="s">
        <v>114</v>
      </c>
      <c r="CW5">
        <v>0</v>
      </c>
    </row>
    <row r="6" spans="1:101" x14ac:dyDescent="0.25">
      <c r="A6" t="s">
        <v>68</v>
      </c>
      <c r="B6">
        <v>10</v>
      </c>
      <c r="C6" t="s">
        <v>15</v>
      </c>
      <c r="D6" t="s">
        <v>95</v>
      </c>
      <c r="E6" t="s">
        <v>110</v>
      </c>
      <c r="F6" t="s">
        <v>145</v>
      </c>
      <c r="G6" t="s">
        <v>262</v>
      </c>
      <c r="H6" t="s">
        <v>768</v>
      </c>
      <c r="I6" t="s">
        <v>670</v>
      </c>
      <c r="J6" t="s">
        <v>280</v>
      </c>
      <c r="K6">
        <v>2</v>
      </c>
      <c r="L6">
        <v>45</v>
      </c>
      <c r="M6">
        <v>55</v>
      </c>
      <c r="N6">
        <v>45</v>
      </c>
      <c r="O6">
        <v>-10</v>
      </c>
      <c r="P6">
        <v>12</v>
      </c>
      <c r="Q6">
        <v>10</v>
      </c>
      <c r="R6">
        <v>7</v>
      </c>
      <c r="S6">
        <v>8.5</v>
      </c>
      <c r="T6">
        <v>0.18888888888888888</v>
      </c>
      <c r="V6" t="s">
        <v>113</v>
      </c>
      <c r="W6">
        <v>35</v>
      </c>
      <c r="X6">
        <v>13.5</v>
      </c>
      <c r="Y6">
        <v>12</v>
      </c>
      <c r="Z6">
        <v>16.899999999999999</v>
      </c>
      <c r="AA6">
        <v>14.133333329999999</v>
      </c>
      <c r="AB6">
        <v>14.133333329999999</v>
      </c>
      <c r="AC6">
        <v>12</v>
      </c>
      <c r="AD6">
        <v>12</v>
      </c>
      <c r="AE6">
        <v>13.5</v>
      </c>
      <c r="AF6">
        <v>12.5</v>
      </c>
      <c r="AG6">
        <v>20.3</v>
      </c>
      <c r="AH6">
        <v>14.4</v>
      </c>
      <c r="AI6">
        <v>20.3</v>
      </c>
      <c r="AJ6">
        <v>18.333333329999999</v>
      </c>
      <c r="AK6">
        <v>15.9</v>
      </c>
      <c r="AL6">
        <v>16.399999999999999</v>
      </c>
      <c r="AM6">
        <v>14.9</v>
      </c>
      <c r="AN6">
        <v>15.733333330000001</v>
      </c>
      <c r="AO6">
        <v>18.333333329999999</v>
      </c>
      <c r="AP6">
        <v>5.6</v>
      </c>
      <c r="AQ6">
        <v>6.6</v>
      </c>
      <c r="AR6">
        <v>7.1</v>
      </c>
      <c r="AS6">
        <v>6.4333333330000002</v>
      </c>
      <c r="AT6">
        <v>4.0999999999999996</v>
      </c>
      <c r="AU6">
        <v>5.0999999999999996</v>
      </c>
      <c r="AV6">
        <v>4.5999999999999996</v>
      </c>
      <c r="AW6">
        <v>4.5999999999999996</v>
      </c>
      <c r="AX6">
        <v>6.4333333330000002</v>
      </c>
      <c r="AY6">
        <v>-7.7</v>
      </c>
      <c r="AZ6">
        <v>50</v>
      </c>
      <c r="BA6">
        <v>45</v>
      </c>
      <c r="BB6">
        <v>3</v>
      </c>
      <c r="BC6">
        <v>10</v>
      </c>
      <c r="BD6">
        <v>0</v>
      </c>
      <c r="BE6">
        <v>1</v>
      </c>
      <c r="BF6">
        <v>0</v>
      </c>
      <c r="BG6">
        <v>3</v>
      </c>
      <c r="BI6">
        <v>7.5</v>
      </c>
      <c r="BJ6">
        <v>44.895000000000003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10.496706189999999</v>
      </c>
      <c r="BT6">
        <v>0.329493333</v>
      </c>
      <c r="BU6">
        <v>11.843850679999999</v>
      </c>
      <c r="BV6">
        <v>-10.496706189999999</v>
      </c>
      <c r="BW6">
        <v>0.329493333</v>
      </c>
      <c r="BX6">
        <v>11.843850679999999</v>
      </c>
      <c r="BY6" t="s">
        <v>114</v>
      </c>
      <c r="BZ6" t="s">
        <v>114</v>
      </c>
      <c r="CA6" t="s">
        <v>114</v>
      </c>
      <c r="CB6" t="s">
        <v>114</v>
      </c>
      <c r="CC6" t="s">
        <v>114</v>
      </c>
      <c r="CD6" t="s">
        <v>114</v>
      </c>
      <c r="CE6">
        <v>0.6959573</v>
      </c>
      <c r="CF6" t="s">
        <v>114</v>
      </c>
      <c r="CG6">
        <v>0.6959573</v>
      </c>
      <c r="CH6">
        <v>10.496706189999999</v>
      </c>
      <c r="CI6">
        <v>0.329493333</v>
      </c>
      <c r="CJ6">
        <v>11.843850679999999</v>
      </c>
      <c r="CK6">
        <v>0.6959573</v>
      </c>
      <c r="CL6">
        <v>-10.496706189999999</v>
      </c>
      <c r="CM6">
        <v>0.329493333</v>
      </c>
      <c r="CN6">
        <v>11.843850679999999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0.6959573</v>
      </c>
    </row>
    <row r="7" spans="1:101" x14ac:dyDescent="0.25">
      <c r="A7" t="s">
        <v>68</v>
      </c>
      <c r="B7">
        <v>10</v>
      </c>
      <c r="C7" t="s">
        <v>15</v>
      </c>
      <c r="D7" t="s">
        <v>95</v>
      </c>
      <c r="E7" t="s">
        <v>111</v>
      </c>
      <c r="F7" t="s">
        <v>145</v>
      </c>
      <c r="G7" t="s">
        <v>263</v>
      </c>
      <c r="H7" t="s">
        <v>776</v>
      </c>
      <c r="I7" t="s">
        <v>671</v>
      </c>
      <c r="J7" t="s">
        <v>281</v>
      </c>
      <c r="K7">
        <v>1</v>
      </c>
      <c r="L7">
        <v>250</v>
      </c>
      <c r="M7">
        <v>260</v>
      </c>
      <c r="N7">
        <v>250</v>
      </c>
      <c r="O7">
        <v>-10</v>
      </c>
      <c r="P7">
        <v>75</v>
      </c>
      <c r="Q7">
        <v>110</v>
      </c>
      <c r="R7">
        <v>30</v>
      </c>
      <c r="S7">
        <v>70</v>
      </c>
      <c r="T7">
        <v>0.28000000000000003</v>
      </c>
      <c r="V7" t="s">
        <v>121</v>
      </c>
      <c r="W7" t="s">
        <v>114</v>
      </c>
      <c r="X7">
        <v>13.5</v>
      </c>
      <c r="Y7">
        <v>12</v>
      </c>
      <c r="Z7">
        <v>16.899999999999999</v>
      </c>
      <c r="AA7">
        <v>14.133333329999999</v>
      </c>
      <c r="AB7">
        <v>14.133333329999999</v>
      </c>
      <c r="AC7">
        <v>16.399999999999999</v>
      </c>
      <c r="AD7">
        <v>17.399999999999999</v>
      </c>
      <c r="AE7">
        <v>15.9</v>
      </c>
      <c r="AF7">
        <v>16.56666667</v>
      </c>
      <c r="AG7">
        <v>20.3</v>
      </c>
      <c r="AH7">
        <v>14.4</v>
      </c>
      <c r="AI7">
        <v>20.3</v>
      </c>
      <c r="AJ7">
        <v>18.333333329999999</v>
      </c>
      <c r="AK7">
        <v>18.399999999999999</v>
      </c>
      <c r="AL7">
        <v>20.8</v>
      </c>
      <c r="AM7">
        <v>21.8</v>
      </c>
      <c r="AN7">
        <v>20.333333329999999</v>
      </c>
      <c r="AO7">
        <v>18.333333329999999</v>
      </c>
      <c r="AP7">
        <v>5.6</v>
      </c>
      <c r="AQ7">
        <v>6.6</v>
      </c>
      <c r="AR7">
        <v>7.1</v>
      </c>
      <c r="AS7">
        <v>6.4333333330000002</v>
      </c>
      <c r="AT7">
        <v>2.5</v>
      </c>
      <c r="AU7">
        <v>5.6</v>
      </c>
      <c r="AV7">
        <v>6.6</v>
      </c>
      <c r="AW7">
        <v>4.9000000000000004</v>
      </c>
      <c r="AX7">
        <v>6.4333333330000002</v>
      </c>
      <c r="AY7">
        <v>-7.7</v>
      </c>
      <c r="AZ7">
        <v>50</v>
      </c>
      <c r="BA7">
        <v>45</v>
      </c>
      <c r="BB7">
        <v>3</v>
      </c>
      <c r="BC7">
        <v>10</v>
      </c>
      <c r="BD7">
        <v>0</v>
      </c>
      <c r="BE7">
        <v>1</v>
      </c>
      <c r="BF7">
        <v>0</v>
      </c>
      <c r="BG7">
        <v>3</v>
      </c>
      <c r="BI7">
        <v>7.5</v>
      </c>
      <c r="BJ7">
        <v>44.895000000000003</v>
      </c>
      <c r="BK7">
        <v>0</v>
      </c>
      <c r="BL7">
        <v>51</v>
      </c>
      <c r="BM7">
        <v>30</v>
      </c>
      <c r="BN7">
        <v>1620</v>
      </c>
      <c r="BO7">
        <v>639.25</v>
      </c>
      <c r="BP7">
        <v>980.75</v>
      </c>
      <c r="BQ7">
        <v>613</v>
      </c>
      <c r="BR7">
        <v>1007</v>
      </c>
      <c r="BS7">
        <v>5.4831169299999996</v>
      </c>
      <c r="BT7">
        <v>0.63534888899999997</v>
      </c>
      <c r="BU7">
        <v>2.4388925600000002</v>
      </c>
      <c r="BV7">
        <v>-5.4831169299999996</v>
      </c>
      <c r="BW7">
        <v>-0.63534888899999997</v>
      </c>
      <c r="BX7">
        <v>-2.4388925600000002</v>
      </c>
      <c r="BY7" t="s">
        <v>114</v>
      </c>
      <c r="BZ7" t="s">
        <v>114</v>
      </c>
      <c r="CA7" t="s">
        <v>114</v>
      </c>
      <c r="CB7" t="s">
        <v>114</v>
      </c>
      <c r="CC7" t="s">
        <v>114</v>
      </c>
      <c r="CD7" t="s">
        <v>114</v>
      </c>
      <c r="CE7">
        <v>1.8570710000000001E-2</v>
      </c>
      <c r="CF7" t="s">
        <v>114</v>
      </c>
      <c r="CG7">
        <v>1.8570710000000001E-2</v>
      </c>
      <c r="CH7">
        <v>5.4831169299999996</v>
      </c>
      <c r="CI7">
        <v>0.63534888899999997</v>
      </c>
      <c r="CJ7">
        <v>2.4388925600000002</v>
      </c>
      <c r="CK7">
        <v>-1.8570710000000001E-2</v>
      </c>
      <c r="CL7">
        <v>-5.4831169299999996</v>
      </c>
      <c r="CM7">
        <v>-0.63534888899999997</v>
      </c>
      <c r="CN7">
        <v>-2.4388925600000002</v>
      </c>
      <c r="CO7" t="s">
        <v>114</v>
      </c>
      <c r="CP7" t="s">
        <v>114</v>
      </c>
      <c r="CQ7" t="s">
        <v>114</v>
      </c>
      <c r="CR7" t="s">
        <v>114</v>
      </c>
      <c r="CS7" t="s">
        <v>114</v>
      </c>
      <c r="CT7" t="s">
        <v>114</v>
      </c>
      <c r="CU7" t="s">
        <v>114</v>
      </c>
      <c r="CV7" t="s">
        <v>114</v>
      </c>
      <c r="CW7">
        <v>-1.8570710000000001E-2</v>
      </c>
    </row>
    <row r="8" spans="1:101" x14ac:dyDescent="0.25">
      <c r="A8" t="s">
        <v>68</v>
      </c>
      <c r="B8">
        <v>10</v>
      </c>
      <c r="C8" t="s">
        <v>15</v>
      </c>
      <c r="D8" t="s">
        <v>95</v>
      </c>
      <c r="E8" t="s">
        <v>104</v>
      </c>
      <c r="F8" t="s">
        <v>145</v>
      </c>
      <c r="G8" t="s">
        <v>264</v>
      </c>
      <c r="H8" t="s">
        <v>780</v>
      </c>
      <c r="I8" t="s">
        <v>672</v>
      </c>
      <c r="J8" t="s">
        <v>282</v>
      </c>
      <c r="K8">
        <v>0</v>
      </c>
      <c r="L8" t="s">
        <v>114</v>
      </c>
      <c r="M8" t="s">
        <v>114</v>
      </c>
      <c r="N8" t="s">
        <v>114</v>
      </c>
      <c r="O8" t="s">
        <v>114</v>
      </c>
      <c r="P8" t="s">
        <v>114</v>
      </c>
      <c r="Q8" t="s">
        <v>114</v>
      </c>
      <c r="R8" t="s">
        <v>114</v>
      </c>
      <c r="S8" t="s">
        <v>114</v>
      </c>
      <c r="T8" t="s">
        <v>114</v>
      </c>
      <c r="U8" t="s">
        <v>114</v>
      </c>
      <c r="V8" t="s">
        <v>121</v>
      </c>
      <c r="W8" t="s">
        <v>114</v>
      </c>
      <c r="X8">
        <v>13.5</v>
      </c>
      <c r="Y8">
        <v>12</v>
      </c>
      <c r="Z8">
        <v>16.899999999999999</v>
      </c>
      <c r="AA8">
        <v>14.133333329999999</v>
      </c>
      <c r="AB8">
        <v>14.133333329999999</v>
      </c>
      <c r="AC8">
        <v>13.9</v>
      </c>
      <c r="AD8">
        <v>13.9</v>
      </c>
      <c r="AE8">
        <v>15.4</v>
      </c>
      <c r="AF8">
        <v>14.4</v>
      </c>
      <c r="AG8">
        <v>20.3</v>
      </c>
      <c r="AH8">
        <v>14.4</v>
      </c>
      <c r="AI8">
        <v>20.3</v>
      </c>
      <c r="AJ8">
        <v>18.333333329999999</v>
      </c>
      <c r="AK8">
        <v>13</v>
      </c>
      <c r="AL8">
        <v>15.4</v>
      </c>
      <c r="AM8">
        <v>17.899999999999999</v>
      </c>
      <c r="AN8">
        <v>15.43333333</v>
      </c>
      <c r="AO8">
        <v>18.333333329999999</v>
      </c>
      <c r="AP8">
        <v>5.6</v>
      </c>
      <c r="AQ8">
        <v>6.6</v>
      </c>
      <c r="AR8">
        <v>7.1</v>
      </c>
      <c r="AS8">
        <v>6.4333333330000002</v>
      </c>
      <c r="AT8">
        <v>5.6</v>
      </c>
      <c r="AU8">
        <v>5.6</v>
      </c>
      <c r="AV8">
        <v>5.0999999999999996</v>
      </c>
      <c r="AW8">
        <v>5.4333333330000002</v>
      </c>
      <c r="AX8">
        <v>6.4333333330000002</v>
      </c>
      <c r="AY8">
        <v>-7.7</v>
      </c>
      <c r="AZ8">
        <v>50</v>
      </c>
      <c r="BA8">
        <v>45</v>
      </c>
      <c r="BB8">
        <v>3</v>
      </c>
      <c r="BC8">
        <v>10</v>
      </c>
      <c r="BD8">
        <v>0</v>
      </c>
      <c r="BE8">
        <v>1</v>
      </c>
      <c r="BF8">
        <v>0</v>
      </c>
      <c r="BG8">
        <v>3</v>
      </c>
      <c r="BI8">
        <v>7.5</v>
      </c>
      <c r="BJ8">
        <v>44.895000000000003</v>
      </c>
      <c r="BK8">
        <v>1</v>
      </c>
      <c r="BL8">
        <v>8</v>
      </c>
      <c r="BM8">
        <v>7</v>
      </c>
      <c r="BN8">
        <v>62</v>
      </c>
      <c r="BO8">
        <v>21</v>
      </c>
      <c r="BP8">
        <v>41</v>
      </c>
      <c r="BQ8">
        <v>0</v>
      </c>
      <c r="BR8">
        <v>62</v>
      </c>
      <c r="BS8" t="s">
        <v>114</v>
      </c>
      <c r="BT8" t="s">
        <v>114</v>
      </c>
      <c r="BU8" t="s">
        <v>114</v>
      </c>
      <c r="BV8" t="s">
        <v>114</v>
      </c>
      <c r="BW8" t="s">
        <v>114</v>
      </c>
      <c r="BX8" t="s">
        <v>114</v>
      </c>
      <c r="BY8" t="s">
        <v>114</v>
      </c>
      <c r="BZ8" t="s">
        <v>114</v>
      </c>
      <c r="CA8" t="s">
        <v>114</v>
      </c>
      <c r="CB8" t="s">
        <v>114</v>
      </c>
      <c r="CC8" t="s">
        <v>114</v>
      </c>
      <c r="CD8" t="s">
        <v>114</v>
      </c>
      <c r="CE8" t="s">
        <v>114</v>
      </c>
      <c r="CF8" t="s">
        <v>114</v>
      </c>
      <c r="CG8" t="s">
        <v>114</v>
      </c>
      <c r="CH8" t="s">
        <v>114</v>
      </c>
      <c r="CI8" t="s">
        <v>114</v>
      </c>
      <c r="CJ8" t="s">
        <v>114</v>
      </c>
      <c r="CK8" t="s">
        <v>114</v>
      </c>
      <c r="CL8" t="s">
        <v>114</v>
      </c>
      <c r="CM8" t="s">
        <v>114</v>
      </c>
      <c r="CN8" t="s">
        <v>114</v>
      </c>
      <c r="CO8" t="s">
        <v>114</v>
      </c>
      <c r="CP8" t="s">
        <v>114</v>
      </c>
      <c r="CQ8" t="s">
        <v>114</v>
      </c>
      <c r="CR8" t="s">
        <v>114</v>
      </c>
      <c r="CS8" t="s">
        <v>114</v>
      </c>
      <c r="CT8" t="s">
        <v>114</v>
      </c>
      <c r="CU8" t="s">
        <v>114</v>
      </c>
      <c r="CV8" t="s">
        <v>114</v>
      </c>
      <c r="CW8" t="s">
        <v>114</v>
      </c>
    </row>
    <row r="9" spans="1:101" x14ac:dyDescent="0.25">
      <c r="A9" t="s">
        <v>69</v>
      </c>
      <c r="B9">
        <v>10</v>
      </c>
      <c r="C9" t="s">
        <v>17</v>
      </c>
      <c r="D9" t="s">
        <v>95</v>
      </c>
      <c r="E9" t="s">
        <v>102</v>
      </c>
      <c r="F9" t="s">
        <v>145</v>
      </c>
      <c r="G9" t="s">
        <v>265</v>
      </c>
      <c r="H9" t="s">
        <v>756</v>
      </c>
      <c r="I9" t="s">
        <v>673</v>
      </c>
      <c r="J9" t="s">
        <v>283</v>
      </c>
      <c r="K9">
        <v>3</v>
      </c>
      <c r="L9">
        <v>120</v>
      </c>
      <c r="M9">
        <v>110</v>
      </c>
      <c r="N9">
        <v>120</v>
      </c>
      <c r="O9">
        <v>10</v>
      </c>
      <c r="P9">
        <v>140</v>
      </c>
      <c r="Q9">
        <v>135</v>
      </c>
      <c r="R9">
        <v>105</v>
      </c>
      <c r="S9">
        <v>120</v>
      </c>
      <c r="T9">
        <v>1</v>
      </c>
      <c r="V9" t="s">
        <v>102</v>
      </c>
      <c r="W9">
        <v>110</v>
      </c>
      <c r="X9">
        <v>17.899999999999999</v>
      </c>
      <c r="Y9">
        <v>21.3</v>
      </c>
      <c r="Z9">
        <v>15.9</v>
      </c>
      <c r="AA9">
        <v>18.366666670000001</v>
      </c>
      <c r="AB9">
        <v>18.366666670000001</v>
      </c>
      <c r="AC9">
        <v>16.899999999999999</v>
      </c>
      <c r="AD9">
        <v>16.899999999999999</v>
      </c>
      <c r="AE9">
        <v>15.4</v>
      </c>
      <c r="AF9">
        <v>16.399999999999999</v>
      </c>
      <c r="AG9">
        <v>18.399999999999999</v>
      </c>
      <c r="AH9">
        <v>19.3</v>
      </c>
      <c r="AI9">
        <v>24.3</v>
      </c>
      <c r="AJ9">
        <v>20.666666670000001</v>
      </c>
      <c r="AK9">
        <v>18.899999999999999</v>
      </c>
      <c r="AL9">
        <v>19.3</v>
      </c>
      <c r="AM9">
        <v>22.8</v>
      </c>
      <c r="AN9">
        <v>20.333333329999999</v>
      </c>
      <c r="AO9">
        <v>20.666666670000001</v>
      </c>
      <c r="AP9">
        <v>10</v>
      </c>
      <c r="AQ9">
        <v>12.5</v>
      </c>
      <c r="AR9">
        <v>9</v>
      </c>
      <c r="AS9">
        <v>10.5</v>
      </c>
      <c r="AT9">
        <v>8.1</v>
      </c>
      <c r="AU9">
        <v>8.5</v>
      </c>
      <c r="AV9">
        <v>8.5</v>
      </c>
      <c r="AW9">
        <v>8.3666666670000005</v>
      </c>
      <c r="AX9">
        <v>10.5</v>
      </c>
      <c r="AY9">
        <v>-7.8666666669999996</v>
      </c>
      <c r="AZ9">
        <v>35</v>
      </c>
      <c r="BA9">
        <v>5</v>
      </c>
      <c r="BB9">
        <v>3</v>
      </c>
      <c r="BC9">
        <v>3</v>
      </c>
      <c r="BD9">
        <v>0</v>
      </c>
      <c r="BE9">
        <v>0</v>
      </c>
      <c r="BF9">
        <v>0</v>
      </c>
      <c r="BG9">
        <v>0</v>
      </c>
      <c r="BI9">
        <v>11.5</v>
      </c>
      <c r="BJ9">
        <v>42.4</v>
      </c>
      <c r="BK9">
        <v>0</v>
      </c>
      <c r="BL9">
        <v>16</v>
      </c>
      <c r="BM9">
        <v>15</v>
      </c>
      <c r="BN9">
        <v>398</v>
      </c>
      <c r="BO9">
        <v>274</v>
      </c>
      <c r="BP9">
        <v>124</v>
      </c>
      <c r="BQ9">
        <v>190</v>
      </c>
      <c r="BR9">
        <v>208</v>
      </c>
      <c r="BS9">
        <v>23.76599328</v>
      </c>
      <c r="BT9">
        <v>0.53958577399999996</v>
      </c>
      <c r="BU9">
        <v>4.4932827299999998</v>
      </c>
      <c r="BV9">
        <v>-23.76599328</v>
      </c>
      <c r="BW9">
        <v>0.53958577399999996</v>
      </c>
      <c r="BX9">
        <v>4.4932827299999998</v>
      </c>
      <c r="BY9">
        <v>1129.64487317001</v>
      </c>
      <c r="BZ9">
        <v>0.58230561500635802</v>
      </c>
      <c r="CA9">
        <v>40.379179383432501</v>
      </c>
      <c r="CB9">
        <v>1129.64487317001</v>
      </c>
      <c r="CC9">
        <v>0.58230561500635802</v>
      </c>
      <c r="CD9">
        <v>40.379179383432501</v>
      </c>
      <c r="CE9">
        <v>0.37155294500000002</v>
      </c>
      <c r="CF9">
        <v>0.27610318187634603</v>
      </c>
      <c r="CG9">
        <v>0.49540392666666699</v>
      </c>
      <c r="CH9">
        <v>31.68799104</v>
      </c>
      <c r="CI9">
        <v>0.71944769866666702</v>
      </c>
      <c r="CJ9">
        <v>5.99104364</v>
      </c>
      <c r="CK9">
        <v>0.49540392666666699</v>
      </c>
      <c r="CL9">
        <v>-31.68799104</v>
      </c>
      <c r="CM9">
        <v>0.71944769866666702</v>
      </c>
      <c r="CN9">
        <v>5.99104364</v>
      </c>
      <c r="CO9">
        <v>0.18406878791756401</v>
      </c>
      <c r="CP9">
        <v>753.09658211333999</v>
      </c>
      <c r="CQ9">
        <v>0.38820374333757202</v>
      </c>
      <c r="CR9">
        <v>26.919452922288301</v>
      </c>
      <c r="CS9">
        <v>0.18406878791756401</v>
      </c>
      <c r="CT9">
        <v>753.09658211333999</v>
      </c>
      <c r="CU9">
        <v>0.38820374333757202</v>
      </c>
      <c r="CV9">
        <v>26.919452922288301</v>
      </c>
      <c r="CW9">
        <v>0.37155294500000002</v>
      </c>
    </row>
    <row r="10" spans="1:101" x14ac:dyDescent="0.25">
      <c r="A10" t="s">
        <v>69</v>
      </c>
      <c r="B10">
        <v>10</v>
      </c>
      <c r="C10" t="s">
        <v>17</v>
      </c>
      <c r="D10" t="s">
        <v>95</v>
      </c>
      <c r="E10" t="s">
        <v>113</v>
      </c>
      <c r="F10" t="s">
        <v>145</v>
      </c>
      <c r="G10" t="s">
        <v>259</v>
      </c>
      <c r="H10" t="s">
        <v>764</v>
      </c>
      <c r="I10" t="s">
        <v>669</v>
      </c>
      <c r="J10" t="s">
        <v>284</v>
      </c>
      <c r="K10">
        <v>3</v>
      </c>
      <c r="L10">
        <v>35</v>
      </c>
      <c r="M10">
        <v>5</v>
      </c>
      <c r="N10">
        <v>35</v>
      </c>
      <c r="O10">
        <v>30</v>
      </c>
      <c r="P10">
        <v>9</v>
      </c>
      <c r="Q10">
        <v>30</v>
      </c>
      <c r="R10">
        <v>0</v>
      </c>
      <c r="S10">
        <v>15</v>
      </c>
      <c r="T10">
        <v>0.42857142857142855</v>
      </c>
      <c r="U10" t="s">
        <v>15</v>
      </c>
      <c r="V10" t="s">
        <v>113</v>
      </c>
      <c r="W10">
        <v>55</v>
      </c>
      <c r="X10">
        <v>17.899999999999999</v>
      </c>
      <c r="Y10">
        <v>21.3</v>
      </c>
      <c r="Z10">
        <v>15.9</v>
      </c>
      <c r="AA10">
        <v>18.366666670000001</v>
      </c>
      <c r="AB10">
        <v>18.366666670000001</v>
      </c>
      <c r="AC10">
        <v>19.3</v>
      </c>
      <c r="AD10">
        <v>18.399999999999999</v>
      </c>
      <c r="AE10">
        <v>19.8</v>
      </c>
      <c r="AF10">
        <v>19.166666670000001</v>
      </c>
      <c r="AG10">
        <v>18.399999999999999</v>
      </c>
      <c r="AH10">
        <v>19.3</v>
      </c>
      <c r="AI10">
        <v>24.3</v>
      </c>
      <c r="AJ10">
        <v>20.666666670000001</v>
      </c>
      <c r="AK10">
        <v>21.3</v>
      </c>
      <c r="AL10">
        <v>21.8</v>
      </c>
      <c r="AM10">
        <v>21.3</v>
      </c>
      <c r="AN10">
        <v>21.466666669999999</v>
      </c>
      <c r="AO10">
        <v>20.666666670000001</v>
      </c>
      <c r="AP10">
        <v>10</v>
      </c>
      <c r="AQ10">
        <v>12.5</v>
      </c>
      <c r="AR10">
        <v>9</v>
      </c>
      <c r="AS10">
        <v>10.5</v>
      </c>
      <c r="AT10">
        <v>12</v>
      </c>
      <c r="AU10">
        <v>13</v>
      </c>
      <c r="AV10">
        <v>13</v>
      </c>
      <c r="AW10">
        <v>12.66666667</v>
      </c>
      <c r="AX10">
        <v>10.5</v>
      </c>
      <c r="AY10">
        <v>-7.8666666669999996</v>
      </c>
      <c r="AZ10">
        <v>35</v>
      </c>
      <c r="BA10">
        <v>5</v>
      </c>
      <c r="BB10">
        <v>3</v>
      </c>
      <c r="BC10">
        <v>3</v>
      </c>
      <c r="BD10">
        <v>0</v>
      </c>
      <c r="BE10">
        <v>0</v>
      </c>
      <c r="BF10">
        <v>0</v>
      </c>
      <c r="BG10">
        <v>0</v>
      </c>
      <c r="BI10">
        <v>11.5</v>
      </c>
      <c r="BJ10">
        <v>42.4</v>
      </c>
      <c r="BK10">
        <v>0</v>
      </c>
      <c r="BL10">
        <v>3</v>
      </c>
      <c r="BM10">
        <v>3</v>
      </c>
      <c r="BN10">
        <v>5</v>
      </c>
      <c r="BO10">
        <v>1.6666669999999999</v>
      </c>
      <c r="BP10">
        <v>3.3333330000000001</v>
      </c>
      <c r="BQ10">
        <v>0</v>
      </c>
      <c r="BR10">
        <v>5</v>
      </c>
      <c r="BS10">
        <v>24.257575769999999</v>
      </c>
      <c r="BT10">
        <v>0.34551327399999998</v>
      </c>
      <c r="BU10">
        <v>1.21476564</v>
      </c>
      <c r="BV10">
        <v>-24.257575769999999</v>
      </c>
      <c r="BW10">
        <v>0.34551327399999998</v>
      </c>
      <c r="BX10">
        <v>1.21476564</v>
      </c>
      <c r="BY10">
        <v>1176.85996447458</v>
      </c>
      <c r="BZ10">
        <v>0.23875884502039799</v>
      </c>
      <c r="CA10">
        <v>2.9513111202492199</v>
      </c>
      <c r="CB10">
        <v>1176.85996447458</v>
      </c>
      <c r="CC10">
        <v>0.23875884502039799</v>
      </c>
      <c r="CD10">
        <v>2.9513111202492199</v>
      </c>
      <c r="CE10">
        <v>0.100515305</v>
      </c>
      <c r="CF10">
        <v>2.0206653078486E-2</v>
      </c>
      <c r="CG10">
        <v>0.13402040666666701</v>
      </c>
      <c r="CH10">
        <v>32.343434360000003</v>
      </c>
      <c r="CI10">
        <v>0.46068436533333301</v>
      </c>
      <c r="CJ10">
        <v>1.61968752</v>
      </c>
      <c r="CK10">
        <v>-0.13402040666666701</v>
      </c>
      <c r="CL10">
        <v>-32.343434360000003</v>
      </c>
      <c r="CM10">
        <v>0.46068436533333301</v>
      </c>
      <c r="CN10">
        <v>1.61968752</v>
      </c>
      <c r="CO10">
        <v>1.3471102052324E-2</v>
      </c>
      <c r="CP10">
        <v>784.57330964972095</v>
      </c>
      <c r="CQ10">
        <v>0.159172563346932</v>
      </c>
      <c r="CR10">
        <v>1.9675407468328101</v>
      </c>
      <c r="CS10">
        <v>1.3471102052324E-2</v>
      </c>
      <c r="CT10">
        <v>784.57330964972095</v>
      </c>
      <c r="CU10">
        <v>0.159172563346932</v>
      </c>
      <c r="CV10">
        <v>1.9675407468328101</v>
      </c>
      <c r="CW10">
        <v>-0.100515305</v>
      </c>
    </row>
    <row r="11" spans="1:101" x14ac:dyDescent="0.25">
      <c r="A11" t="s">
        <v>69</v>
      </c>
      <c r="B11">
        <v>10</v>
      </c>
      <c r="C11" t="s">
        <v>17</v>
      </c>
      <c r="D11" t="s">
        <v>95</v>
      </c>
      <c r="E11" t="s">
        <v>103</v>
      </c>
      <c r="F11" t="s">
        <v>145</v>
      </c>
      <c r="G11" t="s">
        <v>260</v>
      </c>
      <c r="H11" t="s">
        <v>772</v>
      </c>
      <c r="I11" t="s">
        <v>674</v>
      </c>
      <c r="J11" t="s">
        <v>285</v>
      </c>
      <c r="K11">
        <v>3</v>
      </c>
      <c r="L11">
        <v>110</v>
      </c>
      <c r="M11">
        <v>30</v>
      </c>
      <c r="N11">
        <v>110</v>
      </c>
      <c r="O11">
        <v>80</v>
      </c>
      <c r="P11">
        <v>30</v>
      </c>
      <c r="Q11">
        <v>30</v>
      </c>
      <c r="R11">
        <v>20</v>
      </c>
      <c r="S11">
        <v>25</v>
      </c>
      <c r="T11">
        <v>0.22727272727272727</v>
      </c>
      <c r="V11" t="s">
        <v>103</v>
      </c>
      <c r="W11">
        <v>40</v>
      </c>
      <c r="X11">
        <v>17.899999999999999</v>
      </c>
      <c r="Y11">
        <v>21.3</v>
      </c>
      <c r="Z11">
        <v>15.9</v>
      </c>
      <c r="AA11">
        <v>18.366666670000001</v>
      </c>
      <c r="AB11">
        <v>18.366666670000001</v>
      </c>
      <c r="AC11">
        <v>15.4</v>
      </c>
      <c r="AD11">
        <v>18.399999999999999</v>
      </c>
      <c r="AE11">
        <v>16.899999999999999</v>
      </c>
      <c r="AF11">
        <v>16.899999999999999</v>
      </c>
      <c r="AG11">
        <v>18.399999999999999</v>
      </c>
      <c r="AH11">
        <v>19.3</v>
      </c>
      <c r="AI11">
        <v>24.3</v>
      </c>
      <c r="AJ11">
        <v>20.666666670000001</v>
      </c>
      <c r="AK11">
        <v>20.3</v>
      </c>
      <c r="AL11">
        <v>19.8</v>
      </c>
      <c r="AM11">
        <v>22.3</v>
      </c>
      <c r="AN11">
        <v>20.8</v>
      </c>
      <c r="AO11">
        <v>20.666666670000001</v>
      </c>
      <c r="AP11">
        <v>10</v>
      </c>
      <c r="AQ11">
        <v>12.5</v>
      </c>
      <c r="AR11">
        <v>9</v>
      </c>
      <c r="AS11">
        <v>10.5</v>
      </c>
      <c r="AT11">
        <v>11.5</v>
      </c>
      <c r="AU11">
        <v>11.5</v>
      </c>
      <c r="AV11">
        <v>10.5</v>
      </c>
      <c r="AW11">
        <v>11.16666667</v>
      </c>
      <c r="AX11">
        <v>10.5</v>
      </c>
      <c r="AY11">
        <v>-7.8666666669999996</v>
      </c>
      <c r="AZ11">
        <v>35</v>
      </c>
      <c r="BA11">
        <v>5</v>
      </c>
      <c r="BB11">
        <v>3</v>
      </c>
      <c r="BC11">
        <v>3</v>
      </c>
      <c r="BD11">
        <v>0</v>
      </c>
      <c r="BE11">
        <v>0</v>
      </c>
      <c r="BF11">
        <v>0</v>
      </c>
      <c r="BG11">
        <v>0</v>
      </c>
      <c r="BI11">
        <v>11.5</v>
      </c>
      <c r="BJ11">
        <v>42.4</v>
      </c>
      <c r="BK11">
        <v>0</v>
      </c>
      <c r="BL11">
        <v>6</v>
      </c>
      <c r="BM11">
        <v>6</v>
      </c>
      <c r="BN11">
        <v>437</v>
      </c>
      <c r="BO11">
        <v>194</v>
      </c>
      <c r="BP11">
        <v>243</v>
      </c>
      <c r="BQ11">
        <v>0</v>
      </c>
      <c r="BR11">
        <v>437</v>
      </c>
      <c r="BS11">
        <v>16.56313132</v>
      </c>
      <c r="BT11">
        <v>0.16533921966666701</v>
      </c>
      <c r="BU11">
        <v>3.41677461</v>
      </c>
      <c r="BV11">
        <v>-16.56313132</v>
      </c>
      <c r="BW11">
        <v>-0.15667919833333299</v>
      </c>
      <c r="BX11">
        <v>3.3396801900000002</v>
      </c>
      <c r="BY11">
        <v>289.22613008771498</v>
      </c>
      <c r="BZ11">
        <v>7.5736628348332696E-2</v>
      </c>
      <c r="CA11">
        <v>33.851055037481999</v>
      </c>
      <c r="CB11">
        <v>289.22613008771498</v>
      </c>
      <c r="CC11">
        <v>7.9919657902742094E-2</v>
      </c>
      <c r="CD11">
        <v>34.632382483575299</v>
      </c>
      <c r="CE11">
        <v>5.3314686666666701E-2</v>
      </c>
      <c r="CF11">
        <v>6.40316232728923E-3</v>
      </c>
      <c r="CG11">
        <v>5.3314686666666701E-2</v>
      </c>
      <c r="CH11">
        <v>16.56313132</v>
      </c>
      <c r="CI11">
        <v>0.16533921966666701</v>
      </c>
      <c r="CJ11">
        <v>3.41677461</v>
      </c>
      <c r="CK11">
        <v>5.3314686666666701E-2</v>
      </c>
      <c r="CL11">
        <v>-16.56313132</v>
      </c>
      <c r="CM11">
        <v>-0.15667919833333299</v>
      </c>
      <c r="CN11">
        <v>3.3396801900000002</v>
      </c>
      <c r="CO11">
        <v>6.40316232728923E-3</v>
      </c>
      <c r="CP11">
        <v>289.22613008771498</v>
      </c>
      <c r="CQ11">
        <v>7.5736628348332696E-2</v>
      </c>
      <c r="CR11">
        <v>33.851055037481999</v>
      </c>
      <c r="CS11">
        <v>6.40316232728923E-3</v>
      </c>
      <c r="CT11">
        <v>289.22613008771498</v>
      </c>
      <c r="CU11">
        <v>7.9919657902742094E-2</v>
      </c>
      <c r="CV11">
        <v>34.632382483575299</v>
      </c>
      <c r="CW11">
        <v>5.3314686666666701E-2</v>
      </c>
    </row>
    <row r="12" spans="1:101" x14ac:dyDescent="0.25">
      <c r="A12" t="s">
        <v>69</v>
      </c>
      <c r="B12">
        <v>10</v>
      </c>
      <c r="C12" t="s">
        <v>17</v>
      </c>
      <c r="D12" t="s">
        <v>95</v>
      </c>
      <c r="E12" t="s">
        <v>111</v>
      </c>
      <c r="F12" t="s">
        <v>145</v>
      </c>
      <c r="G12" t="s">
        <v>263</v>
      </c>
      <c r="H12" t="s">
        <v>776</v>
      </c>
      <c r="I12" t="s">
        <v>671</v>
      </c>
      <c r="J12" t="s">
        <v>286</v>
      </c>
      <c r="K12">
        <v>3</v>
      </c>
      <c r="L12">
        <v>150</v>
      </c>
      <c r="M12">
        <v>210</v>
      </c>
      <c r="N12">
        <v>150</v>
      </c>
      <c r="O12">
        <v>-60</v>
      </c>
      <c r="P12">
        <v>45</v>
      </c>
      <c r="Q12">
        <v>40</v>
      </c>
      <c r="R12">
        <v>30</v>
      </c>
      <c r="S12">
        <v>35</v>
      </c>
      <c r="T12">
        <v>0.23333333333333334</v>
      </c>
      <c r="V12" t="s">
        <v>121</v>
      </c>
      <c r="W12" t="s">
        <v>114</v>
      </c>
      <c r="X12">
        <v>17.899999999999999</v>
      </c>
      <c r="Y12">
        <v>21.3</v>
      </c>
      <c r="Z12">
        <v>15.9</v>
      </c>
      <c r="AA12">
        <v>18.366666670000001</v>
      </c>
      <c r="AB12">
        <v>18.366666670000001</v>
      </c>
      <c r="AC12">
        <v>17.399999999999999</v>
      </c>
      <c r="AD12">
        <v>18.399999999999999</v>
      </c>
      <c r="AE12">
        <v>18.399999999999999</v>
      </c>
      <c r="AF12">
        <v>18.06666667</v>
      </c>
      <c r="AG12">
        <v>18.399999999999999</v>
      </c>
      <c r="AH12">
        <v>19.3</v>
      </c>
      <c r="AI12">
        <v>24.3</v>
      </c>
      <c r="AJ12">
        <v>20.666666670000001</v>
      </c>
      <c r="AK12">
        <v>22.8</v>
      </c>
      <c r="AL12">
        <v>19.3</v>
      </c>
      <c r="AM12">
        <v>23.8</v>
      </c>
      <c r="AN12">
        <v>21.966666669999999</v>
      </c>
      <c r="AO12">
        <v>20.666666670000001</v>
      </c>
      <c r="AP12">
        <v>10</v>
      </c>
      <c r="AQ12">
        <v>12.5</v>
      </c>
      <c r="AR12">
        <v>9</v>
      </c>
      <c r="AS12">
        <v>10.5</v>
      </c>
      <c r="AT12">
        <v>9.5</v>
      </c>
      <c r="AU12">
        <v>12</v>
      </c>
      <c r="AV12">
        <v>13</v>
      </c>
      <c r="AW12">
        <v>11.5</v>
      </c>
      <c r="AX12">
        <v>10.5</v>
      </c>
      <c r="AY12">
        <v>-7.8666666669999996</v>
      </c>
      <c r="AZ12">
        <v>35</v>
      </c>
      <c r="BA12">
        <v>5</v>
      </c>
      <c r="BB12">
        <v>3</v>
      </c>
      <c r="BC12">
        <v>3</v>
      </c>
      <c r="BD12">
        <v>0</v>
      </c>
      <c r="BE12">
        <v>0</v>
      </c>
      <c r="BF12">
        <v>0</v>
      </c>
      <c r="BG12">
        <v>0</v>
      </c>
      <c r="BI12">
        <v>11.5</v>
      </c>
      <c r="BJ12">
        <v>42.4</v>
      </c>
      <c r="BK12">
        <v>0</v>
      </c>
      <c r="BL12">
        <v>6</v>
      </c>
      <c r="BM12">
        <v>3</v>
      </c>
      <c r="BN12">
        <v>123</v>
      </c>
      <c r="BO12">
        <v>639.25</v>
      </c>
      <c r="BP12">
        <v>-516.25</v>
      </c>
      <c r="BQ12">
        <v>245</v>
      </c>
      <c r="BR12">
        <v>-122</v>
      </c>
      <c r="BS12">
        <v>37.301298729999999</v>
      </c>
      <c r="BT12">
        <v>8.5137659000000004E-2</v>
      </c>
      <c r="BU12">
        <v>4.1354695399999999</v>
      </c>
      <c r="BV12">
        <v>-37.301298729999999</v>
      </c>
      <c r="BW12">
        <v>8.5137659000000004E-2</v>
      </c>
      <c r="BX12">
        <v>4.1354695399999999</v>
      </c>
      <c r="BY12" t="s">
        <v>114</v>
      </c>
      <c r="BZ12" t="s">
        <v>114</v>
      </c>
      <c r="CA12" t="s">
        <v>114</v>
      </c>
      <c r="CB12" t="s">
        <v>114</v>
      </c>
      <c r="CC12" t="s">
        <v>114</v>
      </c>
      <c r="CD12" t="s">
        <v>114</v>
      </c>
      <c r="CE12">
        <v>2.3536109999999999E-2</v>
      </c>
      <c r="CF12" t="s">
        <v>114</v>
      </c>
      <c r="CG12">
        <v>2.3536109999999999E-2</v>
      </c>
      <c r="CH12">
        <v>37.301298729999999</v>
      </c>
      <c r="CI12">
        <v>8.5137659000000004E-2</v>
      </c>
      <c r="CJ12">
        <v>4.1354695399999999</v>
      </c>
      <c r="CK12">
        <v>-2.3536109999999999E-2</v>
      </c>
      <c r="CL12">
        <v>-37.301298729999999</v>
      </c>
      <c r="CM12">
        <v>8.5137659000000004E-2</v>
      </c>
      <c r="CN12">
        <v>4.1354695399999999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-2.3536109999999999E-2</v>
      </c>
    </row>
    <row r="13" spans="1:101" x14ac:dyDescent="0.25">
      <c r="A13" t="s">
        <v>69</v>
      </c>
      <c r="B13">
        <v>10</v>
      </c>
      <c r="C13" t="s">
        <v>17</v>
      </c>
      <c r="D13" t="s">
        <v>95</v>
      </c>
      <c r="E13" t="s">
        <v>112</v>
      </c>
      <c r="F13" t="s">
        <v>145</v>
      </c>
      <c r="G13" t="s">
        <v>261</v>
      </c>
      <c r="H13" t="s">
        <v>784</v>
      </c>
      <c r="I13" t="s">
        <v>675</v>
      </c>
      <c r="J13" t="s">
        <v>287</v>
      </c>
      <c r="K13">
        <v>2</v>
      </c>
      <c r="L13" t="s">
        <v>114</v>
      </c>
      <c r="M13" t="s">
        <v>114</v>
      </c>
      <c r="N13" t="s">
        <v>114</v>
      </c>
      <c r="O13" t="s">
        <v>114</v>
      </c>
      <c r="P13" t="s">
        <v>114</v>
      </c>
      <c r="Q13" t="s">
        <v>114</v>
      </c>
      <c r="R13" t="s">
        <v>114</v>
      </c>
      <c r="S13" t="s">
        <v>114</v>
      </c>
      <c r="T13" t="s">
        <v>114</v>
      </c>
      <c r="U13" t="s">
        <v>114</v>
      </c>
      <c r="V13" t="s">
        <v>121</v>
      </c>
      <c r="W13" t="s">
        <v>114</v>
      </c>
      <c r="X13">
        <v>17.899999999999999</v>
      </c>
      <c r="Y13">
        <v>21.3</v>
      </c>
      <c r="Z13">
        <v>15.9</v>
      </c>
      <c r="AA13">
        <v>18.366666670000001</v>
      </c>
      <c r="AB13">
        <v>18.366666670000001</v>
      </c>
      <c r="AC13">
        <v>19.3</v>
      </c>
      <c r="AD13">
        <v>19.8</v>
      </c>
      <c r="AE13">
        <v>17.899999999999999</v>
      </c>
      <c r="AF13">
        <v>19</v>
      </c>
      <c r="AG13">
        <v>18.399999999999999</v>
      </c>
      <c r="AH13">
        <v>19.3</v>
      </c>
      <c r="AI13">
        <v>24.3</v>
      </c>
      <c r="AJ13">
        <v>20.666666670000001</v>
      </c>
      <c r="AK13">
        <v>21.8</v>
      </c>
      <c r="AL13">
        <v>20.3</v>
      </c>
      <c r="AM13">
        <v>17.899999999999999</v>
      </c>
      <c r="AN13">
        <v>20</v>
      </c>
      <c r="AO13">
        <v>20.666666670000001</v>
      </c>
      <c r="AP13">
        <v>10</v>
      </c>
      <c r="AQ13">
        <v>12.5</v>
      </c>
      <c r="AR13">
        <v>9</v>
      </c>
      <c r="AS13">
        <v>10.5</v>
      </c>
      <c r="AT13">
        <v>12</v>
      </c>
      <c r="AU13">
        <v>11.5</v>
      </c>
      <c r="AV13">
        <v>10</v>
      </c>
      <c r="AW13">
        <v>11.16666667</v>
      </c>
      <c r="AX13">
        <v>10.5</v>
      </c>
      <c r="AY13">
        <v>-7.8666666669999996</v>
      </c>
      <c r="AZ13">
        <v>35</v>
      </c>
      <c r="BA13">
        <v>5</v>
      </c>
      <c r="BB13">
        <v>3</v>
      </c>
      <c r="BC13">
        <v>3</v>
      </c>
      <c r="BD13">
        <v>0</v>
      </c>
      <c r="BE13">
        <v>0</v>
      </c>
      <c r="BF13">
        <v>0</v>
      </c>
      <c r="BG13">
        <v>0</v>
      </c>
      <c r="BI13">
        <v>11.5</v>
      </c>
      <c r="BJ13">
        <v>42.4</v>
      </c>
      <c r="BK13">
        <v>1</v>
      </c>
      <c r="BL13">
        <v>15</v>
      </c>
      <c r="BM13">
        <v>15</v>
      </c>
      <c r="BN13">
        <v>77</v>
      </c>
      <c r="BO13">
        <v>155</v>
      </c>
      <c r="BP13">
        <v>-78</v>
      </c>
      <c r="BQ13">
        <v>37</v>
      </c>
      <c r="BR13">
        <v>40</v>
      </c>
      <c r="BS13">
        <v>67.1789773</v>
      </c>
      <c r="BT13">
        <v>2.2504543259999998</v>
      </c>
      <c r="BU13">
        <v>17.714904010000001</v>
      </c>
      <c r="BV13">
        <v>-67.1789773</v>
      </c>
      <c r="BW13">
        <v>2.2504543259999998</v>
      </c>
      <c r="BX13">
        <v>17.714904010000001</v>
      </c>
      <c r="BY13" t="s">
        <v>114</v>
      </c>
      <c r="BZ13" t="s">
        <v>114</v>
      </c>
      <c r="CA13" t="s">
        <v>114</v>
      </c>
      <c r="CB13" t="s">
        <v>114</v>
      </c>
      <c r="CC13" t="s">
        <v>114</v>
      </c>
      <c r="CD13" t="s">
        <v>114</v>
      </c>
      <c r="CE13">
        <v>1.7971333899999999</v>
      </c>
      <c r="CF13" t="s">
        <v>114</v>
      </c>
      <c r="CG13">
        <v>1.7971333899999999</v>
      </c>
      <c r="CH13">
        <v>67.1789773</v>
      </c>
      <c r="CI13">
        <v>2.2504543259999998</v>
      </c>
      <c r="CJ13">
        <v>17.714904010000001</v>
      </c>
      <c r="CK13">
        <v>1.7971333899999999</v>
      </c>
      <c r="CL13">
        <v>-67.1789773</v>
      </c>
      <c r="CM13">
        <v>2.2504543259999998</v>
      </c>
      <c r="CN13">
        <v>17.714904010000001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1.7971333899999999</v>
      </c>
    </row>
    <row r="14" spans="1:101" x14ac:dyDescent="0.25">
      <c r="A14" t="s">
        <v>70</v>
      </c>
      <c r="B14">
        <v>10</v>
      </c>
      <c r="C14" t="s">
        <v>19</v>
      </c>
      <c r="D14" t="s">
        <v>95</v>
      </c>
      <c r="E14" t="s">
        <v>102</v>
      </c>
      <c r="F14" t="s">
        <v>145</v>
      </c>
      <c r="G14" t="s">
        <v>265</v>
      </c>
      <c r="H14" t="s">
        <v>756</v>
      </c>
      <c r="I14" t="s">
        <v>673</v>
      </c>
      <c r="J14" t="s">
        <v>288</v>
      </c>
      <c r="K14">
        <v>2</v>
      </c>
      <c r="L14">
        <v>90</v>
      </c>
      <c r="M14">
        <v>100</v>
      </c>
      <c r="N14">
        <v>90</v>
      </c>
      <c r="O14">
        <v>-10</v>
      </c>
      <c r="P14">
        <v>105</v>
      </c>
      <c r="Q14">
        <v>95</v>
      </c>
      <c r="R14">
        <v>20</v>
      </c>
      <c r="S14">
        <v>57.5</v>
      </c>
      <c r="T14">
        <v>0.63888888888888884</v>
      </c>
      <c r="U14" t="s">
        <v>15</v>
      </c>
      <c r="V14" t="s">
        <v>121</v>
      </c>
      <c r="W14" t="s">
        <v>114</v>
      </c>
      <c r="X14">
        <v>17.899999999999999</v>
      </c>
      <c r="Y14">
        <v>15.4</v>
      </c>
      <c r="Z14">
        <v>18.399999999999999</v>
      </c>
      <c r="AA14">
        <v>17.233333330000001</v>
      </c>
      <c r="AB14">
        <v>17.233333330000001</v>
      </c>
      <c r="AC14">
        <v>16.899999999999999</v>
      </c>
      <c r="AD14">
        <v>15.9</v>
      </c>
      <c r="AE14">
        <v>11.5</v>
      </c>
      <c r="AF14">
        <v>14.766666669999999</v>
      </c>
      <c r="AG14">
        <v>16.899999999999999</v>
      </c>
      <c r="AH14">
        <v>15.9</v>
      </c>
      <c r="AI14">
        <v>19.8</v>
      </c>
      <c r="AJ14">
        <v>17.533333330000001</v>
      </c>
      <c r="AK14">
        <v>17.399999999999999</v>
      </c>
      <c r="AL14">
        <v>15.9</v>
      </c>
      <c r="AM14">
        <v>17.399999999999999</v>
      </c>
      <c r="AN14">
        <v>16.899999999999999</v>
      </c>
      <c r="AO14">
        <v>17.533333330000001</v>
      </c>
      <c r="AP14">
        <v>5.6</v>
      </c>
      <c r="AQ14">
        <v>6.6</v>
      </c>
      <c r="AR14" t="s">
        <v>114</v>
      </c>
      <c r="AS14">
        <v>6.1</v>
      </c>
      <c r="AT14">
        <v>5.0999999999999996</v>
      </c>
      <c r="AU14">
        <v>6.1</v>
      </c>
      <c r="AV14">
        <v>6.1</v>
      </c>
      <c r="AW14">
        <v>5.766666667</v>
      </c>
      <c r="AX14">
        <v>6.1</v>
      </c>
      <c r="AY14">
        <v>-11.133333329999999</v>
      </c>
      <c r="AZ14">
        <v>35</v>
      </c>
      <c r="BA14">
        <v>55</v>
      </c>
      <c r="BB14">
        <v>1</v>
      </c>
      <c r="BC14">
        <v>5</v>
      </c>
      <c r="BD14">
        <v>1</v>
      </c>
      <c r="BE14">
        <v>0</v>
      </c>
      <c r="BF14">
        <v>0</v>
      </c>
      <c r="BG14">
        <v>2</v>
      </c>
      <c r="BI14">
        <v>11.2</v>
      </c>
      <c r="BJ14">
        <v>42.911000000000001</v>
      </c>
      <c r="BK14">
        <v>0</v>
      </c>
      <c r="BL14">
        <v>9</v>
      </c>
      <c r="BM14">
        <v>9</v>
      </c>
      <c r="BN14">
        <v>306</v>
      </c>
      <c r="BO14">
        <v>274</v>
      </c>
      <c r="BP14">
        <v>32</v>
      </c>
      <c r="BQ14">
        <v>124</v>
      </c>
      <c r="BR14">
        <v>182</v>
      </c>
      <c r="BS14">
        <v>14.29629628</v>
      </c>
      <c r="BT14">
        <v>0.28373600799999998</v>
      </c>
      <c r="BU14">
        <v>1.3753441200000001</v>
      </c>
      <c r="BV14">
        <v>-14.29629628</v>
      </c>
      <c r="BW14">
        <v>-0.28373600799999998</v>
      </c>
      <c r="BX14">
        <v>1.3753441200000001</v>
      </c>
      <c r="BY14">
        <v>408.768174651084</v>
      </c>
      <c r="BZ14">
        <v>0.16101224447155199</v>
      </c>
      <c r="CA14">
        <v>3.7831428968371501</v>
      </c>
      <c r="CB14">
        <v>408.768174651084</v>
      </c>
      <c r="CC14">
        <v>0.16101224447155199</v>
      </c>
      <c r="CD14">
        <v>3.7831428968371501</v>
      </c>
      <c r="CE14">
        <v>0.53393209500000005</v>
      </c>
      <c r="CF14">
        <v>0.57016696414217805</v>
      </c>
      <c r="CG14">
        <v>0.53393209500000005</v>
      </c>
      <c r="CH14">
        <v>14.29629628</v>
      </c>
      <c r="CI14">
        <v>0.28373600799999998</v>
      </c>
      <c r="CJ14">
        <v>1.3753441200000001</v>
      </c>
      <c r="CK14">
        <v>0.53393209500000005</v>
      </c>
      <c r="CL14">
        <v>-14.29629628</v>
      </c>
      <c r="CM14">
        <v>-0.28373600799999998</v>
      </c>
      <c r="CN14">
        <v>1.3753441200000001</v>
      </c>
      <c r="CO14">
        <v>0.57016696414217805</v>
      </c>
      <c r="CP14">
        <v>408.768174651084</v>
      </c>
      <c r="CQ14">
        <v>0.16101224447155199</v>
      </c>
      <c r="CR14">
        <v>3.7831428968371501</v>
      </c>
      <c r="CS14">
        <v>0.57016696414217805</v>
      </c>
      <c r="CT14">
        <v>408.768174651084</v>
      </c>
      <c r="CU14">
        <v>0.16101224447155199</v>
      </c>
      <c r="CV14">
        <v>3.7831428968371501</v>
      </c>
      <c r="CW14">
        <v>0.53393209500000005</v>
      </c>
    </row>
    <row r="15" spans="1:101" x14ac:dyDescent="0.25">
      <c r="A15" t="s">
        <v>70</v>
      </c>
      <c r="B15">
        <v>10</v>
      </c>
      <c r="C15" t="s">
        <v>19</v>
      </c>
      <c r="D15" t="s">
        <v>95</v>
      </c>
      <c r="E15" t="s">
        <v>105</v>
      </c>
      <c r="F15" t="s">
        <v>145</v>
      </c>
      <c r="G15" t="s">
        <v>266</v>
      </c>
      <c r="H15" t="s">
        <v>760</v>
      </c>
      <c r="I15" t="s">
        <v>676</v>
      </c>
      <c r="J15" t="s">
        <v>289</v>
      </c>
      <c r="K15">
        <v>4</v>
      </c>
      <c r="L15">
        <v>15</v>
      </c>
      <c r="M15">
        <v>50</v>
      </c>
      <c r="N15">
        <v>15</v>
      </c>
      <c r="O15">
        <v>-35</v>
      </c>
      <c r="P15">
        <v>25</v>
      </c>
      <c r="Q15">
        <v>25</v>
      </c>
      <c r="R15">
        <v>15</v>
      </c>
      <c r="S15">
        <v>20</v>
      </c>
      <c r="T15">
        <v>1.3333333333333333</v>
      </c>
      <c r="V15" t="s">
        <v>121</v>
      </c>
      <c r="W15" t="s">
        <v>114</v>
      </c>
      <c r="X15">
        <v>17.899999999999999</v>
      </c>
      <c r="Y15">
        <v>15.4</v>
      </c>
      <c r="Z15">
        <v>18.399999999999999</v>
      </c>
      <c r="AA15">
        <v>17.233333330000001</v>
      </c>
      <c r="AB15">
        <v>17.233333330000001</v>
      </c>
      <c r="AC15">
        <v>14.4</v>
      </c>
      <c r="AD15">
        <v>13</v>
      </c>
      <c r="AE15">
        <v>13.9</v>
      </c>
      <c r="AF15">
        <v>13.766666669999999</v>
      </c>
      <c r="AG15">
        <v>16.899999999999999</v>
      </c>
      <c r="AH15">
        <v>15.9</v>
      </c>
      <c r="AI15">
        <v>19.8</v>
      </c>
      <c r="AJ15">
        <v>17.533333330000001</v>
      </c>
      <c r="AK15">
        <v>13.5</v>
      </c>
      <c r="AL15">
        <v>15.4</v>
      </c>
      <c r="AM15">
        <v>13.9</v>
      </c>
      <c r="AN15">
        <v>14.266666669999999</v>
      </c>
      <c r="AO15">
        <v>17.533333330000001</v>
      </c>
      <c r="AP15">
        <v>5.6</v>
      </c>
      <c r="AQ15">
        <v>6.6</v>
      </c>
      <c r="AR15" t="s">
        <v>114</v>
      </c>
      <c r="AS15">
        <v>6.1</v>
      </c>
      <c r="AT15">
        <v>4.5999999999999996</v>
      </c>
      <c r="AU15">
        <v>5.6</v>
      </c>
      <c r="AV15">
        <v>6.1</v>
      </c>
      <c r="AW15">
        <v>5.4333333330000002</v>
      </c>
      <c r="AX15">
        <v>6.1</v>
      </c>
      <c r="AY15">
        <v>-11.133333329999999</v>
      </c>
      <c r="AZ15">
        <v>35</v>
      </c>
      <c r="BA15">
        <v>55</v>
      </c>
      <c r="BB15">
        <v>1</v>
      </c>
      <c r="BC15">
        <v>5</v>
      </c>
      <c r="BD15">
        <v>1</v>
      </c>
      <c r="BE15">
        <v>0</v>
      </c>
      <c r="BF15">
        <v>0</v>
      </c>
      <c r="BG15">
        <v>2</v>
      </c>
      <c r="BI15">
        <v>11.2</v>
      </c>
      <c r="BJ15">
        <v>42.911000000000001</v>
      </c>
      <c r="BK15">
        <v>0</v>
      </c>
      <c r="BL15">
        <v>1</v>
      </c>
      <c r="BM15">
        <v>1</v>
      </c>
      <c r="BN15" t="s">
        <v>114</v>
      </c>
      <c r="BO15">
        <v>215.5</v>
      </c>
      <c r="BP15" t="s">
        <v>114</v>
      </c>
      <c r="BQ15">
        <v>326</v>
      </c>
      <c r="BR15" t="s">
        <v>114</v>
      </c>
      <c r="BS15">
        <v>41.881507380000002</v>
      </c>
      <c r="BT15">
        <v>1.53536559466667</v>
      </c>
      <c r="BU15">
        <v>20.518134329999999</v>
      </c>
      <c r="BV15">
        <v>-41.881507380000002</v>
      </c>
      <c r="BW15">
        <v>-1.2832433759999999</v>
      </c>
      <c r="BX15">
        <v>20.518134329999999</v>
      </c>
      <c r="BY15">
        <v>630.08699374806497</v>
      </c>
      <c r="BZ15">
        <v>1.71916741670016</v>
      </c>
      <c r="CA15">
        <v>60.662399707916499</v>
      </c>
      <c r="CB15">
        <v>630.08699374806497</v>
      </c>
      <c r="CC15">
        <v>2.7851183375575301</v>
      </c>
      <c r="CD15">
        <v>60.662399707916499</v>
      </c>
      <c r="CE15" t="s">
        <v>114</v>
      </c>
      <c r="CF15" t="s">
        <v>114</v>
      </c>
      <c r="CG15" t="s">
        <v>114</v>
      </c>
      <c r="CH15">
        <v>42.869463860000003</v>
      </c>
      <c r="CI15">
        <v>1.468639255</v>
      </c>
      <c r="CJ15">
        <v>20.7688282475</v>
      </c>
      <c r="CK15" t="s">
        <v>114</v>
      </c>
      <c r="CL15">
        <v>-42.869463860000003</v>
      </c>
      <c r="CM15">
        <v>-1.279547591</v>
      </c>
      <c r="CN15">
        <v>20.7688282475</v>
      </c>
      <c r="CO15" t="s">
        <v>114</v>
      </c>
      <c r="CP15">
        <v>423.96222785753901</v>
      </c>
      <c r="CQ15">
        <v>1.1639212287546801</v>
      </c>
      <c r="CR15">
        <v>40.6929895663637</v>
      </c>
      <c r="CS15" t="s">
        <v>114</v>
      </c>
      <c r="CT15">
        <v>423.96222785753901</v>
      </c>
      <c r="CU15">
        <v>1.8568001936787499</v>
      </c>
      <c r="CV15">
        <v>40.6929895663637</v>
      </c>
      <c r="CW15" t="s">
        <v>114</v>
      </c>
    </row>
    <row r="16" spans="1:101" x14ac:dyDescent="0.25">
      <c r="A16" t="s">
        <v>70</v>
      </c>
      <c r="B16">
        <v>10</v>
      </c>
      <c r="C16" t="s">
        <v>19</v>
      </c>
      <c r="D16" t="s">
        <v>95</v>
      </c>
      <c r="E16" t="s">
        <v>111</v>
      </c>
      <c r="F16" t="s">
        <v>145</v>
      </c>
      <c r="G16" t="s">
        <v>263</v>
      </c>
      <c r="H16" t="s">
        <v>776</v>
      </c>
      <c r="I16" t="s">
        <v>671</v>
      </c>
      <c r="J16" t="s">
        <v>290</v>
      </c>
      <c r="K16">
        <v>1</v>
      </c>
      <c r="L16">
        <v>290</v>
      </c>
      <c r="M16">
        <v>205</v>
      </c>
      <c r="N16">
        <v>290</v>
      </c>
      <c r="O16">
        <v>85</v>
      </c>
      <c r="P16">
        <v>75</v>
      </c>
      <c r="Q16">
        <v>140</v>
      </c>
      <c r="R16">
        <v>50</v>
      </c>
      <c r="S16">
        <v>95</v>
      </c>
      <c r="T16">
        <v>0.32758620689655171</v>
      </c>
      <c r="V16" t="s">
        <v>121</v>
      </c>
      <c r="W16" t="s">
        <v>114</v>
      </c>
      <c r="X16">
        <v>17.899999999999999</v>
      </c>
      <c r="Y16">
        <v>15.4</v>
      </c>
      <c r="Z16">
        <v>18.399999999999999</v>
      </c>
      <c r="AA16">
        <v>17.233333330000001</v>
      </c>
      <c r="AB16">
        <v>17.233333330000001</v>
      </c>
      <c r="AC16">
        <v>16.899999999999999</v>
      </c>
      <c r="AD16">
        <v>14.4</v>
      </c>
      <c r="AE16">
        <v>14.9</v>
      </c>
      <c r="AF16">
        <v>15.4</v>
      </c>
      <c r="AG16">
        <v>16.899999999999999</v>
      </c>
      <c r="AH16">
        <v>15.9</v>
      </c>
      <c r="AI16">
        <v>19.8</v>
      </c>
      <c r="AJ16">
        <v>17.533333330000001</v>
      </c>
      <c r="AK16">
        <v>18.399999999999999</v>
      </c>
      <c r="AL16">
        <v>16.399999999999999</v>
      </c>
      <c r="AM16">
        <v>16.399999999999999</v>
      </c>
      <c r="AN16">
        <v>17.06666667</v>
      </c>
      <c r="AO16">
        <v>17.533333330000001</v>
      </c>
      <c r="AP16">
        <v>5.6</v>
      </c>
      <c r="AQ16">
        <v>6.6</v>
      </c>
      <c r="AR16" t="s">
        <v>114</v>
      </c>
      <c r="AS16">
        <v>6.1</v>
      </c>
      <c r="AT16">
        <v>5.6</v>
      </c>
      <c r="AU16">
        <v>5.6</v>
      </c>
      <c r="AV16" t="s">
        <v>114</v>
      </c>
      <c r="AW16">
        <v>5.6</v>
      </c>
      <c r="AX16">
        <v>6.1</v>
      </c>
      <c r="AY16">
        <v>-11.133333329999999</v>
      </c>
      <c r="AZ16">
        <v>35</v>
      </c>
      <c r="BA16">
        <v>55</v>
      </c>
      <c r="BB16">
        <v>1</v>
      </c>
      <c r="BC16">
        <v>5</v>
      </c>
      <c r="BD16">
        <v>1</v>
      </c>
      <c r="BE16">
        <v>0</v>
      </c>
      <c r="BF16">
        <v>0</v>
      </c>
      <c r="BG16">
        <v>2</v>
      </c>
      <c r="BI16">
        <v>11.2</v>
      </c>
      <c r="BJ16">
        <v>42.911000000000001</v>
      </c>
      <c r="BK16">
        <v>0</v>
      </c>
      <c r="BL16">
        <v>42</v>
      </c>
      <c r="BM16">
        <v>25</v>
      </c>
      <c r="BN16">
        <v>1305</v>
      </c>
      <c r="BO16">
        <v>639.25</v>
      </c>
      <c r="BP16">
        <v>665.75</v>
      </c>
      <c r="BQ16">
        <v>851</v>
      </c>
      <c r="BR16">
        <v>454</v>
      </c>
      <c r="BS16">
        <v>37.301298729999999</v>
      </c>
      <c r="BT16">
        <v>8.5137659000000004E-2</v>
      </c>
      <c r="BU16">
        <v>4.1354695399999999</v>
      </c>
      <c r="BV16">
        <v>-37.301298729999999</v>
      </c>
      <c r="BW16">
        <v>8.5137659000000004E-2</v>
      </c>
      <c r="BX16">
        <v>4.1354695399999999</v>
      </c>
      <c r="BY16" t="s">
        <v>114</v>
      </c>
      <c r="BZ16" t="s">
        <v>114</v>
      </c>
      <c r="CA16" t="s">
        <v>114</v>
      </c>
      <c r="CB16" t="s">
        <v>114</v>
      </c>
      <c r="CC16" t="s">
        <v>114</v>
      </c>
      <c r="CD16" t="s">
        <v>114</v>
      </c>
      <c r="CE16">
        <v>2.3536109999999999E-2</v>
      </c>
      <c r="CF16" t="s">
        <v>114</v>
      </c>
      <c r="CG16">
        <v>2.3536109999999999E-2</v>
      </c>
      <c r="CH16">
        <v>37.301298729999999</v>
      </c>
      <c r="CI16">
        <v>8.5137659000000004E-2</v>
      </c>
      <c r="CJ16">
        <v>4.1354695399999999</v>
      </c>
      <c r="CK16">
        <v>-2.3536109999999999E-2</v>
      </c>
      <c r="CL16">
        <v>-37.301298729999999</v>
      </c>
      <c r="CM16">
        <v>8.5137659000000004E-2</v>
      </c>
      <c r="CN16">
        <v>4.1354695399999999</v>
      </c>
      <c r="CO16" t="s">
        <v>114</v>
      </c>
      <c r="CP16" t="s">
        <v>114</v>
      </c>
      <c r="CQ16" t="s">
        <v>114</v>
      </c>
      <c r="CR16" t="s">
        <v>114</v>
      </c>
      <c r="CS16" t="s">
        <v>114</v>
      </c>
      <c r="CT16" t="s">
        <v>114</v>
      </c>
      <c r="CU16" t="s">
        <v>114</v>
      </c>
      <c r="CV16" t="s">
        <v>114</v>
      </c>
      <c r="CW16">
        <v>-2.3536109999999999E-2</v>
      </c>
    </row>
    <row r="17" spans="1:101" x14ac:dyDescent="0.25">
      <c r="A17" t="s">
        <v>71</v>
      </c>
      <c r="B17">
        <v>10</v>
      </c>
      <c r="C17" t="s">
        <v>21</v>
      </c>
      <c r="D17" t="s">
        <v>94</v>
      </c>
      <c r="E17" t="s">
        <v>102</v>
      </c>
      <c r="F17" t="s">
        <v>145</v>
      </c>
      <c r="G17" t="s">
        <v>265</v>
      </c>
      <c r="H17" t="s">
        <v>755</v>
      </c>
      <c r="I17" t="s">
        <v>677</v>
      </c>
      <c r="J17" t="s">
        <v>291</v>
      </c>
      <c r="K17" t="s">
        <v>114</v>
      </c>
      <c r="L17">
        <v>160</v>
      </c>
      <c r="M17">
        <v>115</v>
      </c>
      <c r="N17">
        <v>160</v>
      </c>
      <c r="O17">
        <v>45</v>
      </c>
      <c r="P17">
        <v>180</v>
      </c>
      <c r="Q17">
        <v>160</v>
      </c>
      <c r="R17">
        <v>110</v>
      </c>
      <c r="S17">
        <v>135</v>
      </c>
      <c r="T17">
        <v>0.84375</v>
      </c>
      <c r="V17" t="s">
        <v>121</v>
      </c>
      <c r="W17" t="s">
        <v>114</v>
      </c>
      <c r="X17">
        <v>11.5</v>
      </c>
      <c r="Y17">
        <v>11.5</v>
      </c>
      <c r="Z17">
        <v>12.5</v>
      </c>
      <c r="AA17">
        <v>11.83333333</v>
      </c>
      <c r="AB17">
        <v>11.83333333</v>
      </c>
      <c r="AC17">
        <v>13.9</v>
      </c>
      <c r="AD17">
        <v>13</v>
      </c>
      <c r="AE17">
        <v>12.5</v>
      </c>
      <c r="AF17">
        <v>13.133333329999999</v>
      </c>
      <c r="AG17">
        <v>14.4</v>
      </c>
      <c r="AH17">
        <v>13</v>
      </c>
      <c r="AI17">
        <v>14</v>
      </c>
      <c r="AJ17">
        <v>13.8</v>
      </c>
      <c r="AK17">
        <v>13.9</v>
      </c>
      <c r="AL17">
        <v>14.4</v>
      </c>
      <c r="AM17">
        <v>16.399999999999999</v>
      </c>
      <c r="AN17">
        <v>14.9</v>
      </c>
      <c r="AO17">
        <v>13.8</v>
      </c>
      <c r="AP17">
        <v>3.6</v>
      </c>
      <c r="AQ17">
        <v>5.6</v>
      </c>
      <c r="AR17">
        <v>8.1</v>
      </c>
      <c r="AS17">
        <v>5.766666667</v>
      </c>
      <c r="AT17">
        <v>6.1</v>
      </c>
      <c r="AU17">
        <v>6.6</v>
      </c>
      <c r="AV17">
        <v>6.1</v>
      </c>
      <c r="AW17">
        <v>6.266666667</v>
      </c>
      <c r="AX17">
        <v>5.766666667</v>
      </c>
      <c r="AY17">
        <v>-6.0666666669999998</v>
      </c>
      <c r="AZ17">
        <v>15</v>
      </c>
      <c r="BA17">
        <v>20</v>
      </c>
      <c r="BB17">
        <v>0</v>
      </c>
      <c r="BC17">
        <v>40</v>
      </c>
      <c r="BD17">
        <v>0</v>
      </c>
      <c r="BE17">
        <v>1</v>
      </c>
      <c r="BF17">
        <v>0</v>
      </c>
      <c r="BG17">
        <v>1</v>
      </c>
      <c r="BI17">
        <v>6.9</v>
      </c>
      <c r="BJ17">
        <v>2.4950000000000001</v>
      </c>
      <c r="BK17">
        <v>0</v>
      </c>
      <c r="BL17">
        <v>22</v>
      </c>
      <c r="BM17">
        <v>22</v>
      </c>
      <c r="BN17">
        <v>583</v>
      </c>
      <c r="BO17">
        <v>560.5</v>
      </c>
      <c r="BP17">
        <v>22.5</v>
      </c>
      <c r="BQ17">
        <v>405</v>
      </c>
      <c r="BR17">
        <v>178</v>
      </c>
      <c r="BS17" t="s">
        <v>114</v>
      </c>
      <c r="BT17" t="s">
        <v>114</v>
      </c>
      <c r="BU17" t="s">
        <v>114</v>
      </c>
      <c r="BV17" t="s">
        <v>114</v>
      </c>
      <c r="BW17" t="s">
        <v>114</v>
      </c>
      <c r="BX17" t="s">
        <v>114</v>
      </c>
      <c r="BY17" t="s">
        <v>114</v>
      </c>
      <c r="BZ17" t="s">
        <v>114</v>
      </c>
      <c r="CA17" t="s">
        <v>114</v>
      </c>
      <c r="CB17" t="s">
        <v>114</v>
      </c>
      <c r="CC17" t="s">
        <v>114</v>
      </c>
      <c r="CD17" t="s">
        <v>114</v>
      </c>
      <c r="CE17" t="s">
        <v>114</v>
      </c>
      <c r="CF17" t="s">
        <v>114</v>
      </c>
      <c r="CG17" t="s">
        <v>114</v>
      </c>
      <c r="CH17" t="s">
        <v>114</v>
      </c>
      <c r="CI17" t="s">
        <v>114</v>
      </c>
      <c r="CJ17" t="s">
        <v>114</v>
      </c>
      <c r="CK17" t="s">
        <v>114</v>
      </c>
      <c r="CL17" t="s">
        <v>114</v>
      </c>
      <c r="CM17" t="s">
        <v>114</v>
      </c>
      <c r="CN17" t="s">
        <v>114</v>
      </c>
      <c r="CO17" t="s">
        <v>114</v>
      </c>
      <c r="CP17" t="s">
        <v>114</v>
      </c>
      <c r="CQ17" t="s">
        <v>114</v>
      </c>
      <c r="CR17" t="s">
        <v>114</v>
      </c>
      <c r="CS17" t="s">
        <v>114</v>
      </c>
      <c r="CT17" t="s">
        <v>114</v>
      </c>
      <c r="CU17" t="s">
        <v>114</v>
      </c>
      <c r="CV17" t="s">
        <v>114</v>
      </c>
      <c r="CW17" t="s">
        <v>114</v>
      </c>
    </row>
    <row r="18" spans="1:101" x14ac:dyDescent="0.25">
      <c r="A18" t="s">
        <v>71</v>
      </c>
      <c r="B18">
        <v>10</v>
      </c>
      <c r="C18" t="s">
        <v>21</v>
      </c>
      <c r="D18" t="s">
        <v>94</v>
      </c>
      <c r="E18" t="s">
        <v>111</v>
      </c>
      <c r="F18" t="s">
        <v>145</v>
      </c>
      <c r="G18" t="s">
        <v>263</v>
      </c>
      <c r="H18" t="s">
        <v>775</v>
      </c>
      <c r="I18" t="s">
        <v>678</v>
      </c>
      <c r="J18" t="s">
        <v>292</v>
      </c>
      <c r="K18">
        <v>2</v>
      </c>
      <c r="L18">
        <v>330</v>
      </c>
      <c r="M18">
        <v>190</v>
      </c>
      <c r="N18">
        <v>330</v>
      </c>
      <c r="O18">
        <v>140</v>
      </c>
      <c r="P18">
        <v>110</v>
      </c>
      <c r="Q18">
        <v>200</v>
      </c>
      <c r="R18">
        <v>50</v>
      </c>
      <c r="S18">
        <v>125</v>
      </c>
      <c r="T18">
        <v>0.37878787878787878</v>
      </c>
      <c r="U18" t="s">
        <v>15</v>
      </c>
      <c r="V18" t="s">
        <v>111</v>
      </c>
      <c r="W18">
        <v>170</v>
      </c>
      <c r="X18">
        <v>11.5</v>
      </c>
      <c r="Y18">
        <v>11.5</v>
      </c>
      <c r="Z18">
        <v>12.5</v>
      </c>
      <c r="AA18">
        <v>11.83333333</v>
      </c>
      <c r="AB18">
        <v>11.83333333</v>
      </c>
      <c r="AC18">
        <v>13.5</v>
      </c>
      <c r="AD18">
        <v>14.4</v>
      </c>
      <c r="AE18">
        <v>15.4</v>
      </c>
      <c r="AF18">
        <v>14.43333333</v>
      </c>
      <c r="AG18">
        <v>14.4</v>
      </c>
      <c r="AH18">
        <v>13</v>
      </c>
      <c r="AI18">
        <v>14</v>
      </c>
      <c r="AJ18">
        <v>13.8</v>
      </c>
      <c r="AK18">
        <v>13.9</v>
      </c>
      <c r="AL18">
        <v>15.9</v>
      </c>
      <c r="AM18">
        <v>17.399999999999999</v>
      </c>
      <c r="AN18">
        <v>15.733333330000001</v>
      </c>
      <c r="AO18">
        <v>13.8</v>
      </c>
      <c r="AP18">
        <v>3.6</v>
      </c>
      <c r="AQ18">
        <v>5.6</v>
      </c>
      <c r="AR18">
        <v>8.1</v>
      </c>
      <c r="AS18">
        <v>5.766666667</v>
      </c>
      <c r="AT18">
        <v>5.6</v>
      </c>
      <c r="AU18">
        <v>6.6</v>
      </c>
      <c r="AV18">
        <v>5.0999999999999996</v>
      </c>
      <c r="AW18">
        <v>5.766666667</v>
      </c>
      <c r="AX18">
        <v>5.766666667</v>
      </c>
      <c r="AY18">
        <v>-6.0666666669999998</v>
      </c>
      <c r="AZ18">
        <v>15</v>
      </c>
      <c r="BA18">
        <v>20</v>
      </c>
      <c r="BB18">
        <v>0</v>
      </c>
      <c r="BC18">
        <v>40</v>
      </c>
      <c r="BD18">
        <v>0</v>
      </c>
      <c r="BE18">
        <v>1</v>
      </c>
      <c r="BF18">
        <v>0</v>
      </c>
      <c r="BG18">
        <v>1</v>
      </c>
      <c r="BI18">
        <v>6.9</v>
      </c>
      <c r="BJ18">
        <v>2.4950000000000001</v>
      </c>
      <c r="BK18">
        <v>0</v>
      </c>
      <c r="BL18">
        <v>41</v>
      </c>
      <c r="BM18">
        <v>30</v>
      </c>
      <c r="BN18">
        <v>3137</v>
      </c>
      <c r="BO18">
        <v>2412</v>
      </c>
      <c r="BP18">
        <v>725</v>
      </c>
      <c r="BQ18">
        <v>2519</v>
      </c>
      <c r="BR18">
        <v>618</v>
      </c>
      <c r="BS18">
        <v>31.085714265</v>
      </c>
      <c r="BT18">
        <v>0.21434500000000001</v>
      </c>
      <c r="BU18">
        <v>2.3265815949999999</v>
      </c>
      <c r="BV18">
        <v>-31.085714265</v>
      </c>
      <c r="BW18">
        <v>-0.21434500000000001</v>
      </c>
      <c r="BX18">
        <v>-2.3265815949999999</v>
      </c>
      <c r="BY18">
        <v>1932.64326273045</v>
      </c>
      <c r="BZ18">
        <v>9.1887558049999998E-2</v>
      </c>
      <c r="CA18">
        <v>10.825963836385499</v>
      </c>
      <c r="CB18">
        <v>1932.64326273045</v>
      </c>
      <c r="CC18">
        <v>9.1887558049999998E-2</v>
      </c>
      <c r="CD18">
        <v>10.825963836385499</v>
      </c>
      <c r="CE18" t="s">
        <v>114</v>
      </c>
      <c r="CF18" t="s">
        <v>114</v>
      </c>
      <c r="CG18" t="s">
        <v>114</v>
      </c>
      <c r="CH18">
        <v>31.085714265</v>
      </c>
      <c r="CI18">
        <v>0.21434500000000001</v>
      </c>
      <c r="CJ18">
        <v>2.3265815949999999</v>
      </c>
      <c r="CK18" t="s">
        <v>114</v>
      </c>
      <c r="CL18">
        <v>-31.085714265</v>
      </c>
      <c r="CM18">
        <v>-0.21434500000000001</v>
      </c>
      <c r="CN18">
        <v>-2.3265815949999999</v>
      </c>
      <c r="CO18" t="s">
        <v>114</v>
      </c>
      <c r="CP18">
        <v>1932.64326273045</v>
      </c>
      <c r="CQ18">
        <v>9.1887558049999998E-2</v>
      </c>
      <c r="CR18">
        <v>10.825963836385499</v>
      </c>
      <c r="CS18" t="s">
        <v>114</v>
      </c>
      <c r="CT18">
        <v>1932.64326273045</v>
      </c>
      <c r="CU18">
        <v>9.1887558049999998E-2</v>
      </c>
      <c r="CV18">
        <v>10.825963836385499</v>
      </c>
      <c r="CW18" t="s">
        <v>114</v>
      </c>
    </row>
    <row r="19" spans="1:101" x14ac:dyDescent="0.25">
      <c r="A19" t="s">
        <v>71</v>
      </c>
      <c r="B19">
        <v>10</v>
      </c>
      <c r="C19" t="s">
        <v>21</v>
      </c>
      <c r="D19" t="s">
        <v>94</v>
      </c>
      <c r="E19" t="s">
        <v>104</v>
      </c>
      <c r="F19" t="s">
        <v>145</v>
      </c>
      <c r="G19" t="s">
        <v>264</v>
      </c>
      <c r="H19" t="s">
        <v>779</v>
      </c>
      <c r="I19" t="s">
        <v>679</v>
      </c>
      <c r="J19" t="s">
        <v>293</v>
      </c>
      <c r="K19">
        <v>1</v>
      </c>
      <c r="L19">
        <v>25</v>
      </c>
      <c r="M19">
        <v>140</v>
      </c>
      <c r="N19">
        <v>25</v>
      </c>
      <c r="O19">
        <v>-115</v>
      </c>
      <c r="P19">
        <v>20</v>
      </c>
      <c r="Q19">
        <v>15</v>
      </c>
      <c r="R19">
        <v>5</v>
      </c>
      <c r="S19">
        <v>10</v>
      </c>
      <c r="T19">
        <v>0.4</v>
      </c>
      <c r="V19" t="s">
        <v>104</v>
      </c>
      <c r="W19">
        <v>50</v>
      </c>
      <c r="X19">
        <v>11.5</v>
      </c>
      <c r="Y19">
        <v>11.5</v>
      </c>
      <c r="Z19">
        <v>12.5</v>
      </c>
      <c r="AA19">
        <v>11.83333333</v>
      </c>
      <c r="AB19">
        <v>11.83333333</v>
      </c>
      <c r="AC19">
        <v>11.5</v>
      </c>
      <c r="AD19">
        <v>11.5</v>
      </c>
      <c r="AE19">
        <v>12.5</v>
      </c>
      <c r="AF19">
        <v>11.83333333</v>
      </c>
      <c r="AG19">
        <v>14.4</v>
      </c>
      <c r="AH19">
        <v>13</v>
      </c>
      <c r="AI19">
        <v>14</v>
      </c>
      <c r="AJ19">
        <v>13.8</v>
      </c>
      <c r="AK19">
        <v>14.9</v>
      </c>
      <c r="AL19">
        <v>17.399999999999999</v>
      </c>
      <c r="AM19">
        <v>18.399999999999999</v>
      </c>
      <c r="AN19">
        <v>16.899999999999999</v>
      </c>
      <c r="AO19">
        <v>13.8</v>
      </c>
      <c r="AP19">
        <v>3.6</v>
      </c>
      <c r="AQ19">
        <v>5.6</v>
      </c>
      <c r="AR19">
        <v>8.1</v>
      </c>
      <c r="AS19">
        <v>5.766666667</v>
      </c>
      <c r="AT19">
        <v>4.0999999999999996</v>
      </c>
      <c r="AU19">
        <v>6.1</v>
      </c>
      <c r="AV19">
        <v>7.6</v>
      </c>
      <c r="AW19">
        <v>5.9333333330000002</v>
      </c>
      <c r="AX19">
        <v>5.766666667</v>
      </c>
      <c r="AY19">
        <v>-6.0666666669999998</v>
      </c>
      <c r="AZ19">
        <v>15</v>
      </c>
      <c r="BA19">
        <v>20</v>
      </c>
      <c r="BB19">
        <v>0</v>
      </c>
      <c r="BC19">
        <v>40</v>
      </c>
      <c r="BD19">
        <v>0</v>
      </c>
      <c r="BE19">
        <v>1</v>
      </c>
      <c r="BF19">
        <v>0</v>
      </c>
      <c r="BG19">
        <v>1</v>
      </c>
      <c r="BI19">
        <v>6.9</v>
      </c>
      <c r="BJ19">
        <v>2.4950000000000001</v>
      </c>
      <c r="BK19">
        <v>0</v>
      </c>
      <c r="BL19">
        <v>3</v>
      </c>
      <c r="BM19">
        <v>3</v>
      </c>
      <c r="BN19">
        <v>8</v>
      </c>
      <c r="BO19">
        <v>150</v>
      </c>
      <c r="BP19">
        <v>-142</v>
      </c>
      <c r="BQ19">
        <v>150</v>
      </c>
      <c r="BR19">
        <v>-142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 t="s">
        <v>114</v>
      </c>
      <c r="BZ19" t="s">
        <v>114</v>
      </c>
      <c r="CA19" t="s">
        <v>114</v>
      </c>
      <c r="CB19" t="s">
        <v>114</v>
      </c>
      <c r="CC19" t="s">
        <v>114</v>
      </c>
      <c r="CD19" t="s">
        <v>114</v>
      </c>
      <c r="CE19">
        <v>0</v>
      </c>
      <c r="CF19" t="s">
        <v>114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 t="s">
        <v>114</v>
      </c>
      <c r="CP19" t="s">
        <v>114</v>
      </c>
      <c r="CQ19" t="s">
        <v>114</v>
      </c>
      <c r="CR19" t="s">
        <v>114</v>
      </c>
      <c r="CS19" t="s">
        <v>114</v>
      </c>
      <c r="CT19" t="s">
        <v>114</v>
      </c>
      <c r="CU19" t="s">
        <v>114</v>
      </c>
      <c r="CV19" t="s">
        <v>114</v>
      </c>
      <c r="CW19">
        <v>0</v>
      </c>
    </row>
    <row r="20" spans="1:101" x14ac:dyDescent="0.25">
      <c r="A20" t="s">
        <v>72</v>
      </c>
      <c r="B20">
        <v>10</v>
      </c>
      <c r="C20" t="s">
        <v>23</v>
      </c>
      <c r="D20" t="s">
        <v>95</v>
      </c>
      <c r="E20" t="s">
        <v>105</v>
      </c>
      <c r="F20" t="s">
        <v>145</v>
      </c>
      <c r="G20" t="s">
        <v>266</v>
      </c>
      <c r="H20" t="s">
        <v>760</v>
      </c>
      <c r="I20" t="s">
        <v>676</v>
      </c>
      <c r="J20" t="s">
        <v>294</v>
      </c>
      <c r="K20">
        <v>1</v>
      </c>
      <c r="L20">
        <v>60</v>
      </c>
      <c r="M20">
        <v>35</v>
      </c>
      <c r="N20">
        <v>60</v>
      </c>
      <c r="O20">
        <v>25</v>
      </c>
      <c r="P20">
        <v>150</v>
      </c>
      <c r="Q20">
        <v>150</v>
      </c>
      <c r="R20">
        <v>120</v>
      </c>
      <c r="S20">
        <v>135</v>
      </c>
      <c r="T20">
        <v>2.25</v>
      </c>
      <c r="U20" t="s">
        <v>792</v>
      </c>
      <c r="V20" t="s">
        <v>121</v>
      </c>
      <c r="W20" t="s">
        <v>114</v>
      </c>
      <c r="X20">
        <v>12</v>
      </c>
      <c r="Y20">
        <v>14.9</v>
      </c>
      <c r="Z20">
        <v>15.4</v>
      </c>
      <c r="AA20">
        <v>14.1</v>
      </c>
      <c r="AB20">
        <v>14.1</v>
      </c>
      <c r="AC20">
        <v>16.899999999999999</v>
      </c>
      <c r="AD20">
        <v>17.399999999999999</v>
      </c>
      <c r="AE20">
        <v>17.399999999999999</v>
      </c>
      <c r="AF20">
        <v>17.233333330000001</v>
      </c>
      <c r="AG20">
        <v>14.4</v>
      </c>
      <c r="AH20">
        <v>14.9</v>
      </c>
      <c r="AI20">
        <v>16.899999999999999</v>
      </c>
      <c r="AJ20">
        <v>15.4</v>
      </c>
      <c r="AK20">
        <v>21.3</v>
      </c>
      <c r="AL20">
        <v>18.399999999999999</v>
      </c>
      <c r="AM20">
        <v>19.3</v>
      </c>
      <c r="AN20">
        <v>19.666666670000001</v>
      </c>
      <c r="AO20">
        <v>15.4</v>
      </c>
      <c r="AP20">
        <v>8.5</v>
      </c>
      <c r="AQ20">
        <v>8.5</v>
      </c>
      <c r="AR20">
        <v>11</v>
      </c>
      <c r="AS20">
        <v>9.3333333330000006</v>
      </c>
      <c r="AT20">
        <v>8.5</v>
      </c>
      <c r="AU20">
        <v>8.5</v>
      </c>
      <c r="AV20">
        <v>9.5</v>
      </c>
      <c r="AW20">
        <v>8.8333333330000006</v>
      </c>
      <c r="AX20">
        <v>9.3333333330000006</v>
      </c>
      <c r="AY20">
        <v>-4.766666667</v>
      </c>
      <c r="AZ20">
        <v>20</v>
      </c>
      <c r="BA20">
        <v>0</v>
      </c>
      <c r="BB20">
        <v>1</v>
      </c>
      <c r="BC20">
        <v>5</v>
      </c>
      <c r="BD20">
        <v>0</v>
      </c>
      <c r="BE20">
        <v>1</v>
      </c>
      <c r="BF20">
        <v>0</v>
      </c>
      <c r="BG20">
        <v>5</v>
      </c>
      <c r="BI20">
        <v>7.9</v>
      </c>
      <c r="BJ20">
        <v>46.957999999999998</v>
      </c>
      <c r="BK20">
        <v>0</v>
      </c>
      <c r="BL20">
        <v>10</v>
      </c>
      <c r="BM20">
        <v>10</v>
      </c>
      <c r="BN20">
        <v>504</v>
      </c>
      <c r="BO20">
        <v>215.5</v>
      </c>
      <c r="BP20">
        <v>288.5</v>
      </c>
      <c r="BQ20">
        <v>105</v>
      </c>
      <c r="BR20">
        <v>399</v>
      </c>
      <c r="BS20">
        <v>20</v>
      </c>
      <c r="BT20">
        <v>0.38519902900000003</v>
      </c>
      <c r="BU20">
        <v>18.458924209999999</v>
      </c>
      <c r="BV20">
        <v>-20</v>
      </c>
      <c r="BW20">
        <v>0.38519902900000003</v>
      </c>
      <c r="BX20">
        <v>18.458924209999999</v>
      </c>
      <c r="BY20" t="s">
        <v>114</v>
      </c>
      <c r="BZ20" t="s">
        <v>114</v>
      </c>
      <c r="CA20" t="s">
        <v>114</v>
      </c>
      <c r="CB20" t="s">
        <v>114</v>
      </c>
      <c r="CC20" t="s">
        <v>114</v>
      </c>
      <c r="CD20" t="s">
        <v>114</v>
      </c>
      <c r="CE20">
        <v>1.9657163499999999</v>
      </c>
      <c r="CF20" t="s">
        <v>114</v>
      </c>
      <c r="CG20">
        <v>1.9657163499999999</v>
      </c>
      <c r="CH20">
        <v>20</v>
      </c>
      <c r="CI20">
        <v>0.38519902900000003</v>
      </c>
      <c r="CJ20">
        <v>18.458924209999999</v>
      </c>
      <c r="CK20">
        <v>1.9657163499999999</v>
      </c>
      <c r="CL20">
        <v>-20</v>
      </c>
      <c r="CM20">
        <v>0.38519902900000003</v>
      </c>
      <c r="CN20">
        <v>18.458924209999999</v>
      </c>
      <c r="CO20" t="s">
        <v>114</v>
      </c>
      <c r="CP20" t="s">
        <v>114</v>
      </c>
      <c r="CQ20" t="s">
        <v>114</v>
      </c>
      <c r="CR20" t="s">
        <v>114</v>
      </c>
      <c r="CS20" t="s">
        <v>114</v>
      </c>
      <c r="CT20" t="s">
        <v>114</v>
      </c>
      <c r="CU20" t="s">
        <v>114</v>
      </c>
      <c r="CV20" t="s">
        <v>114</v>
      </c>
      <c r="CW20">
        <v>1.9657163499999999</v>
      </c>
    </row>
    <row r="21" spans="1:101" x14ac:dyDescent="0.25">
      <c r="A21" t="s">
        <v>72</v>
      </c>
      <c r="B21">
        <v>10</v>
      </c>
      <c r="C21" t="s">
        <v>23</v>
      </c>
      <c r="D21" t="s">
        <v>95</v>
      </c>
      <c r="E21" t="s">
        <v>111</v>
      </c>
      <c r="F21" t="s">
        <v>145</v>
      </c>
      <c r="G21" t="s">
        <v>263</v>
      </c>
      <c r="H21" t="s">
        <v>776</v>
      </c>
      <c r="I21" t="s">
        <v>671</v>
      </c>
      <c r="J21" t="s">
        <v>295</v>
      </c>
      <c r="K21">
        <v>0</v>
      </c>
      <c r="L21">
        <v>80</v>
      </c>
      <c r="M21">
        <v>280</v>
      </c>
      <c r="N21">
        <v>80</v>
      </c>
      <c r="O21">
        <v>-200</v>
      </c>
      <c r="P21">
        <v>70</v>
      </c>
      <c r="Q21">
        <v>70</v>
      </c>
      <c r="R21">
        <v>45</v>
      </c>
      <c r="S21">
        <v>57.5</v>
      </c>
      <c r="T21">
        <v>0.71875</v>
      </c>
      <c r="U21" t="s">
        <v>29</v>
      </c>
      <c r="V21" t="s">
        <v>121</v>
      </c>
      <c r="W21" t="s">
        <v>114</v>
      </c>
      <c r="X21">
        <v>12</v>
      </c>
      <c r="Y21">
        <v>14.9</v>
      </c>
      <c r="Z21">
        <v>15.4</v>
      </c>
      <c r="AA21">
        <v>14.1</v>
      </c>
      <c r="AB21">
        <v>14.1</v>
      </c>
      <c r="AC21">
        <v>16.399999999999999</v>
      </c>
      <c r="AD21">
        <v>18.399999999999999</v>
      </c>
      <c r="AE21">
        <v>18.399999999999999</v>
      </c>
      <c r="AF21">
        <v>17.733333330000001</v>
      </c>
      <c r="AG21">
        <v>14.4</v>
      </c>
      <c r="AH21">
        <v>14.9</v>
      </c>
      <c r="AI21">
        <v>16.899999999999999</v>
      </c>
      <c r="AJ21">
        <v>15.4</v>
      </c>
      <c r="AK21">
        <v>19.8</v>
      </c>
      <c r="AL21">
        <v>18.399999999999999</v>
      </c>
      <c r="AM21">
        <v>19.8</v>
      </c>
      <c r="AN21">
        <v>19.333333329999999</v>
      </c>
      <c r="AO21">
        <v>15.4</v>
      </c>
      <c r="AP21">
        <v>8.5</v>
      </c>
      <c r="AQ21">
        <v>8.5</v>
      </c>
      <c r="AR21">
        <v>11</v>
      </c>
      <c r="AS21">
        <v>9.3333333330000006</v>
      </c>
      <c r="AT21">
        <v>8.5</v>
      </c>
      <c r="AU21">
        <v>8.5</v>
      </c>
      <c r="AV21">
        <v>11</v>
      </c>
      <c r="AW21">
        <v>9.3333333330000006</v>
      </c>
      <c r="AX21">
        <v>9.3333333330000006</v>
      </c>
      <c r="AY21">
        <v>-4.766666667</v>
      </c>
      <c r="AZ21">
        <v>20</v>
      </c>
      <c r="BA21">
        <v>0</v>
      </c>
      <c r="BB21">
        <v>1</v>
      </c>
      <c r="BC21">
        <v>5</v>
      </c>
      <c r="BD21">
        <v>0</v>
      </c>
      <c r="BE21">
        <v>1</v>
      </c>
      <c r="BF21">
        <v>0</v>
      </c>
      <c r="BG21">
        <v>5</v>
      </c>
      <c r="BI21">
        <v>7.9</v>
      </c>
      <c r="BJ21">
        <v>46.957999999999998</v>
      </c>
      <c r="BK21">
        <v>0</v>
      </c>
      <c r="BL21">
        <v>12</v>
      </c>
      <c r="BM21">
        <v>8</v>
      </c>
      <c r="BN21">
        <v>444</v>
      </c>
      <c r="BO21">
        <v>639.25</v>
      </c>
      <c r="BP21">
        <v>-195.25</v>
      </c>
      <c r="BQ21">
        <v>848</v>
      </c>
      <c r="BR21">
        <v>-404</v>
      </c>
      <c r="BS21" t="s">
        <v>114</v>
      </c>
      <c r="BT21" t="s">
        <v>114</v>
      </c>
      <c r="BU21" t="s">
        <v>114</v>
      </c>
      <c r="BV21" t="s">
        <v>114</v>
      </c>
      <c r="BW21" t="s">
        <v>114</v>
      </c>
      <c r="BX21" t="s">
        <v>114</v>
      </c>
      <c r="BY21" t="s">
        <v>114</v>
      </c>
      <c r="BZ21" t="s">
        <v>114</v>
      </c>
      <c r="CA21" t="s">
        <v>114</v>
      </c>
      <c r="CB21" t="s">
        <v>114</v>
      </c>
      <c r="CC21" t="s">
        <v>114</v>
      </c>
      <c r="CD21" t="s">
        <v>114</v>
      </c>
      <c r="CE21" t="s">
        <v>114</v>
      </c>
      <c r="CF21" t="s">
        <v>114</v>
      </c>
      <c r="CG21" t="s">
        <v>114</v>
      </c>
      <c r="CH21" t="s">
        <v>114</v>
      </c>
      <c r="CI21" t="s">
        <v>114</v>
      </c>
      <c r="CJ21" t="s">
        <v>114</v>
      </c>
      <c r="CK21" t="s">
        <v>114</v>
      </c>
      <c r="CL21" t="s">
        <v>114</v>
      </c>
      <c r="CM21" t="s">
        <v>114</v>
      </c>
      <c r="CN21" t="s">
        <v>114</v>
      </c>
      <c r="CO21" t="s">
        <v>114</v>
      </c>
      <c r="CP21" t="s">
        <v>114</v>
      </c>
      <c r="CQ21" t="s">
        <v>114</v>
      </c>
      <c r="CR21" t="s">
        <v>114</v>
      </c>
      <c r="CS21" t="s">
        <v>114</v>
      </c>
      <c r="CT21" t="s">
        <v>114</v>
      </c>
      <c r="CU21" t="s">
        <v>114</v>
      </c>
      <c r="CV21" t="s">
        <v>114</v>
      </c>
      <c r="CW21" t="s">
        <v>114</v>
      </c>
    </row>
    <row r="22" spans="1:101" x14ac:dyDescent="0.25">
      <c r="A22" t="s">
        <v>72</v>
      </c>
      <c r="B22">
        <v>10</v>
      </c>
      <c r="C22" t="s">
        <v>23</v>
      </c>
      <c r="D22" t="s">
        <v>95</v>
      </c>
      <c r="E22" t="s">
        <v>104</v>
      </c>
      <c r="F22" t="s">
        <v>145</v>
      </c>
      <c r="G22" t="s">
        <v>264</v>
      </c>
      <c r="H22" t="s">
        <v>780</v>
      </c>
      <c r="I22" t="s">
        <v>672</v>
      </c>
      <c r="J22" t="s">
        <v>296</v>
      </c>
      <c r="K22">
        <v>2</v>
      </c>
      <c r="L22">
        <v>20</v>
      </c>
      <c r="M22">
        <v>120</v>
      </c>
      <c r="N22">
        <v>20</v>
      </c>
      <c r="O22">
        <v>-100</v>
      </c>
      <c r="P22">
        <v>13</v>
      </c>
      <c r="Q22">
        <v>12</v>
      </c>
      <c r="R22">
        <v>5</v>
      </c>
      <c r="S22">
        <v>8.5</v>
      </c>
      <c r="T22">
        <v>0.42499999999999999</v>
      </c>
      <c r="U22" t="s">
        <v>29</v>
      </c>
      <c r="V22" t="s">
        <v>104</v>
      </c>
      <c r="W22">
        <v>15</v>
      </c>
      <c r="X22">
        <v>12</v>
      </c>
      <c r="Y22">
        <v>14.9</v>
      </c>
      <c r="Z22">
        <v>15.4</v>
      </c>
      <c r="AA22">
        <v>14.1</v>
      </c>
      <c r="AB22">
        <v>14.1</v>
      </c>
      <c r="AC22">
        <v>12.5</v>
      </c>
      <c r="AD22">
        <v>13</v>
      </c>
      <c r="AE22">
        <v>13.5</v>
      </c>
      <c r="AF22">
        <v>13</v>
      </c>
      <c r="AG22">
        <v>14.4</v>
      </c>
      <c r="AH22">
        <v>14.9</v>
      </c>
      <c r="AI22">
        <v>16.899999999999999</v>
      </c>
      <c r="AJ22">
        <v>15.4</v>
      </c>
      <c r="AK22">
        <v>13.5</v>
      </c>
      <c r="AL22">
        <v>14.9</v>
      </c>
      <c r="AM22">
        <v>14.9</v>
      </c>
      <c r="AN22">
        <v>14.43333333</v>
      </c>
      <c r="AO22">
        <v>15.4</v>
      </c>
      <c r="AP22">
        <v>8.5</v>
      </c>
      <c r="AQ22">
        <v>8.5</v>
      </c>
      <c r="AR22">
        <v>11</v>
      </c>
      <c r="AS22">
        <v>9.3333333330000006</v>
      </c>
      <c r="AT22">
        <v>5.6</v>
      </c>
      <c r="AU22">
        <v>5.6</v>
      </c>
      <c r="AV22">
        <v>6.1</v>
      </c>
      <c r="AW22">
        <v>5.766666667</v>
      </c>
      <c r="AX22">
        <v>9.3333333330000006</v>
      </c>
      <c r="AY22">
        <v>-4.766666667</v>
      </c>
      <c r="AZ22">
        <v>20</v>
      </c>
      <c r="BA22">
        <v>0</v>
      </c>
      <c r="BB22">
        <v>1</v>
      </c>
      <c r="BC22">
        <v>5</v>
      </c>
      <c r="BD22">
        <v>0</v>
      </c>
      <c r="BE22">
        <v>1</v>
      </c>
      <c r="BF22">
        <v>0</v>
      </c>
      <c r="BG22">
        <v>5</v>
      </c>
      <c r="BI22">
        <v>7.9</v>
      </c>
      <c r="BJ22">
        <v>46.957999999999998</v>
      </c>
      <c r="BK22">
        <v>0</v>
      </c>
      <c r="BL22">
        <v>2</v>
      </c>
      <c r="BM22">
        <v>2</v>
      </c>
      <c r="BN22">
        <v>6</v>
      </c>
      <c r="BO22">
        <v>21</v>
      </c>
      <c r="BP22">
        <v>-15</v>
      </c>
      <c r="BQ22">
        <v>42</v>
      </c>
      <c r="BR22">
        <v>-36</v>
      </c>
      <c r="BS22">
        <v>19.46875</v>
      </c>
      <c r="BT22">
        <v>2.0128571500000001E-2</v>
      </c>
      <c r="BU22">
        <v>2.28468128</v>
      </c>
      <c r="BV22">
        <v>19.46875</v>
      </c>
      <c r="BW22">
        <v>2.0128571500000001E-2</v>
      </c>
      <c r="BX22">
        <v>2.28468128</v>
      </c>
      <c r="BY22">
        <v>758.064453125</v>
      </c>
      <c r="BZ22">
        <v>8.1031878126122496E-4</v>
      </c>
      <c r="CA22">
        <v>10.4395371023649</v>
      </c>
      <c r="CB22">
        <v>758.064453125</v>
      </c>
      <c r="CC22">
        <v>8.1031878126122496E-4</v>
      </c>
      <c r="CD22">
        <v>10.4395371023649</v>
      </c>
      <c r="CE22">
        <v>7.1456640000000002E-2</v>
      </c>
      <c r="CF22">
        <v>1.02121028001792E-2</v>
      </c>
      <c r="CG22">
        <v>7.1456640000000002E-2</v>
      </c>
      <c r="CH22">
        <v>19.46875</v>
      </c>
      <c r="CI22">
        <v>2.0128571500000001E-2</v>
      </c>
      <c r="CJ22">
        <v>2.28468128</v>
      </c>
      <c r="CK22">
        <v>7.1456640000000002E-2</v>
      </c>
      <c r="CL22">
        <v>19.46875</v>
      </c>
      <c r="CM22">
        <v>2.0128571500000001E-2</v>
      </c>
      <c r="CN22">
        <v>2.28468128</v>
      </c>
      <c r="CO22">
        <v>1.02121028001792E-2</v>
      </c>
      <c r="CP22">
        <v>758.064453125</v>
      </c>
      <c r="CQ22">
        <v>8.1031878126122496E-4</v>
      </c>
      <c r="CR22">
        <v>10.4395371023649</v>
      </c>
      <c r="CS22">
        <v>1.02121028001792E-2</v>
      </c>
      <c r="CT22">
        <v>758.064453125</v>
      </c>
      <c r="CU22">
        <v>8.1031878126122496E-4</v>
      </c>
      <c r="CV22">
        <v>10.4395371023649</v>
      </c>
      <c r="CW22">
        <v>7.1456640000000002E-2</v>
      </c>
    </row>
    <row r="23" spans="1:101" x14ac:dyDescent="0.25">
      <c r="A23" t="s">
        <v>72</v>
      </c>
      <c r="B23">
        <v>10</v>
      </c>
      <c r="C23" t="s">
        <v>23</v>
      </c>
      <c r="D23" t="s">
        <v>95</v>
      </c>
      <c r="E23" t="s">
        <v>112</v>
      </c>
      <c r="F23" t="s">
        <v>145</v>
      </c>
      <c r="G23" t="s">
        <v>261</v>
      </c>
      <c r="H23" t="s">
        <v>784</v>
      </c>
      <c r="I23" t="s">
        <v>675</v>
      </c>
      <c r="J23" t="s">
        <v>297</v>
      </c>
      <c r="K23">
        <v>1</v>
      </c>
      <c r="L23">
        <v>40</v>
      </c>
      <c r="M23">
        <v>100</v>
      </c>
      <c r="N23">
        <v>40</v>
      </c>
      <c r="O23">
        <v>-60</v>
      </c>
      <c r="P23">
        <v>50</v>
      </c>
      <c r="Q23">
        <v>140</v>
      </c>
      <c r="R23">
        <v>80</v>
      </c>
      <c r="S23">
        <v>110</v>
      </c>
      <c r="T23">
        <v>2.75</v>
      </c>
      <c r="V23" t="s">
        <v>121</v>
      </c>
      <c r="W23" t="s">
        <v>114</v>
      </c>
      <c r="X23">
        <v>12</v>
      </c>
      <c r="Y23">
        <v>14.9</v>
      </c>
      <c r="Z23">
        <v>15.4</v>
      </c>
      <c r="AA23">
        <v>14.1</v>
      </c>
      <c r="AB23">
        <v>14.1</v>
      </c>
      <c r="AC23">
        <v>14.9</v>
      </c>
      <c r="AD23">
        <v>14.9</v>
      </c>
      <c r="AE23">
        <v>14.9</v>
      </c>
      <c r="AF23">
        <v>14.9</v>
      </c>
      <c r="AG23">
        <v>14.4</v>
      </c>
      <c r="AH23">
        <v>14.9</v>
      </c>
      <c r="AI23">
        <v>16.899999999999999</v>
      </c>
      <c r="AJ23">
        <v>15.4</v>
      </c>
      <c r="AK23">
        <v>14.9</v>
      </c>
      <c r="AL23">
        <v>16.899999999999999</v>
      </c>
      <c r="AM23">
        <v>17.399999999999999</v>
      </c>
      <c r="AN23">
        <v>16.399999999999999</v>
      </c>
      <c r="AO23">
        <v>15.4</v>
      </c>
      <c r="AP23">
        <v>8.5</v>
      </c>
      <c r="AQ23">
        <v>8.5</v>
      </c>
      <c r="AR23">
        <v>11</v>
      </c>
      <c r="AS23">
        <v>9.3333333330000006</v>
      </c>
      <c r="AT23">
        <v>7.6</v>
      </c>
      <c r="AU23">
        <v>7.6</v>
      </c>
      <c r="AV23">
        <v>9</v>
      </c>
      <c r="AW23">
        <v>8.0666666669999998</v>
      </c>
      <c r="AX23">
        <v>9.3333333330000006</v>
      </c>
      <c r="AY23">
        <v>-4.766666667</v>
      </c>
      <c r="AZ23">
        <v>20</v>
      </c>
      <c r="BA23">
        <v>0</v>
      </c>
      <c r="BB23">
        <v>1</v>
      </c>
      <c r="BC23">
        <v>5</v>
      </c>
      <c r="BD23">
        <v>0</v>
      </c>
      <c r="BE23">
        <v>1</v>
      </c>
      <c r="BF23">
        <v>0</v>
      </c>
      <c r="BG23">
        <v>5</v>
      </c>
      <c r="BI23">
        <v>7.9</v>
      </c>
      <c r="BJ23">
        <v>46.957999999999998</v>
      </c>
      <c r="BK23">
        <v>0</v>
      </c>
      <c r="BL23">
        <v>0</v>
      </c>
      <c r="BM23">
        <v>0</v>
      </c>
      <c r="BN23">
        <v>0</v>
      </c>
      <c r="BO23">
        <v>155</v>
      </c>
      <c r="BP23">
        <v>-155</v>
      </c>
      <c r="BQ23">
        <v>155</v>
      </c>
      <c r="BR23">
        <v>-155</v>
      </c>
      <c r="BS23">
        <v>22.40625</v>
      </c>
      <c r="BT23">
        <v>2.2574700270000001</v>
      </c>
      <c r="BU23">
        <v>8.4170409999999993</v>
      </c>
      <c r="BV23">
        <v>-22.40625</v>
      </c>
      <c r="BW23">
        <v>2.2574700270000001</v>
      </c>
      <c r="BX23">
        <v>8.4170409999999993</v>
      </c>
      <c r="BY23" t="s">
        <v>114</v>
      </c>
      <c r="BZ23" t="s">
        <v>114</v>
      </c>
      <c r="CA23" t="s">
        <v>114</v>
      </c>
      <c r="CB23" t="s">
        <v>114</v>
      </c>
      <c r="CC23" t="s">
        <v>114</v>
      </c>
      <c r="CD23" t="s">
        <v>114</v>
      </c>
      <c r="CE23">
        <v>2.0818590499999998</v>
      </c>
      <c r="CF23" t="s">
        <v>114</v>
      </c>
      <c r="CG23">
        <v>2.0818590499999998</v>
      </c>
      <c r="CH23">
        <v>22.40625</v>
      </c>
      <c r="CI23">
        <v>2.2574700270000001</v>
      </c>
      <c r="CJ23">
        <v>8.4170409999999993</v>
      </c>
      <c r="CK23">
        <v>2.0818590499999998</v>
      </c>
      <c r="CL23">
        <v>-22.40625</v>
      </c>
      <c r="CM23">
        <v>2.2574700270000001</v>
      </c>
      <c r="CN23">
        <v>8.4170409999999993</v>
      </c>
      <c r="CO23" t="s">
        <v>114</v>
      </c>
      <c r="CP23" t="s">
        <v>114</v>
      </c>
      <c r="CQ23" t="s">
        <v>114</v>
      </c>
      <c r="CR23" t="s">
        <v>114</v>
      </c>
      <c r="CS23" t="s">
        <v>114</v>
      </c>
      <c r="CT23" t="s">
        <v>114</v>
      </c>
      <c r="CU23" t="s">
        <v>114</v>
      </c>
      <c r="CV23" t="s">
        <v>114</v>
      </c>
      <c r="CW23">
        <v>2.0818590499999998</v>
      </c>
    </row>
    <row r="24" spans="1:101" x14ac:dyDescent="0.25">
      <c r="A24" t="s">
        <v>73</v>
      </c>
      <c r="B24">
        <v>10</v>
      </c>
      <c r="C24" t="s">
        <v>25</v>
      </c>
      <c r="D24" t="s">
        <v>94</v>
      </c>
      <c r="E24" t="s">
        <v>105</v>
      </c>
      <c r="F24" t="s">
        <v>145</v>
      </c>
      <c r="G24" t="s">
        <v>266</v>
      </c>
      <c r="H24" t="s">
        <v>759</v>
      </c>
      <c r="I24" t="s">
        <v>680</v>
      </c>
      <c r="J24" t="s">
        <v>298</v>
      </c>
      <c r="K24">
        <v>1</v>
      </c>
      <c r="L24">
        <v>30</v>
      </c>
      <c r="M24">
        <v>45</v>
      </c>
      <c r="N24">
        <v>30</v>
      </c>
      <c r="O24">
        <v>-15</v>
      </c>
      <c r="P24">
        <v>70</v>
      </c>
      <c r="Q24">
        <v>70</v>
      </c>
      <c r="R24">
        <v>20</v>
      </c>
      <c r="S24">
        <v>45</v>
      </c>
      <c r="T24">
        <v>1.5</v>
      </c>
      <c r="U24" t="s">
        <v>15</v>
      </c>
      <c r="V24" t="s">
        <v>112</v>
      </c>
      <c r="W24">
        <v>60</v>
      </c>
      <c r="X24">
        <v>12.5</v>
      </c>
      <c r="Y24">
        <v>15.4</v>
      </c>
      <c r="Z24">
        <v>14.9</v>
      </c>
      <c r="AA24">
        <v>14.266666669999999</v>
      </c>
      <c r="AB24">
        <v>14.266666669999999</v>
      </c>
      <c r="AC24">
        <v>12.5</v>
      </c>
      <c r="AD24">
        <v>11</v>
      </c>
      <c r="AE24">
        <v>14.4</v>
      </c>
      <c r="AF24">
        <v>12.633333329999999</v>
      </c>
      <c r="AG24">
        <v>13.9</v>
      </c>
      <c r="AH24">
        <v>13.9</v>
      </c>
      <c r="AI24">
        <v>15.9</v>
      </c>
      <c r="AJ24">
        <v>14.56666667</v>
      </c>
      <c r="AK24">
        <v>13.9</v>
      </c>
      <c r="AL24">
        <v>12</v>
      </c>
      <c r="AM24">
        <v>14.4</v>
      </c>
      <c r="AN24">
        <v>13.43333333</v>
      </c>
      <c r="AO24">
        <v>14.56666667</v>
      </c>
      <c r="AP24">
        <v>4.0999999999999996</v>
      </c>
      <c r="AQ24">
        <v>6.6</v>
      </c>
      <c r="AR24">
        <v>6.6</v>
      </c>
      <c r="AS24">
        <v>5.766666667</v>
      </c>
      <c r="AT24">
        <v>6.6</v>
      </c>
      <c r="AU24">
        <v>5.6</v>
      </c>
      <c r="AV24">
        <v>5.0999999999999996</v>
      </c>
      <c r="AW24">
        <v>5.766666667</v>
      </c>
      <c r="AX24">
        <v>5.766666667</v>
      </c>
      <c r="AY24">
        <v>-8.5</v>
      </c>
      <c r="AZ24">
        <v>45</v>
      </c>
      <c r="BA24">
        <v>0</v>
      </c>
      <c r="BB24">
        <v>1</v>
      </c>
      <c r="BC24">
        <v>8</v>
      </c>
      <c r="BD24">
        <v>0</v>
      </c>
      <c r="BE24">
        <v>0</v>
      </c>
      <c r="BF24">
        <v>0</v>
      </c>
      <c r="BG24">
        <v>2</v>
      </c>
      <c r="BI24">
        <v>9.6999999999999993</v>
      </c>
      <c r="BJ24">
        <v>7.2759999999999998</v>
      </c>
      <c r="BK24">
        <v>0</v>
      </c>
      <c r="BL24">
        <v>9</v>
      </c>
      <c r="BM24">
        <v>9</v>
      </c>
      <c r="BN24">
        <v>266</v>
      </c>
      <c r="BO24">
        <v>257.5</v>
      </c>
      <c r="BP24">
        <v>8.5</v>
      </c>
      <c r="BQ24">
        <v>177</v>
      </c>
      <c r="BR24">
        <v>89</v>
      </c>
      <c r="BS24">
        <v>2.40625</v>
      </c>
      <c r="BT24">
        <v>1.8722709980000001</v>
      </c>
      <c r="BU24">
        <v>10.04188321</v>
      </c>
      <c r="BV24">
        <v>2.40625</v>
      </c>
      <c r="BW24">
        <v>-1.8722709980000001</v>
      </c>
      <c r="BX24">
        <v>10.04188321</v>
      </c>
      <c r="BY24" t="s">
        <v>114</v>
      </c>
      <c r="BZ24" t="s">
        <v>114</v>
      </c>
      <c r="CA24" t="s">
        <v>114</v>
      </c>
      <c r="CB24" t="s">
        <v>114</v>
      </c>
      <c r="CC24" t="s">
        <v>114</v>
      </c>
      <c r="CD24" t="s">
        <v>114</v>
      </c>
      <c r="CE24">
        <v>0.1161427</v>
      </c>
      <c r="CF24" t="s">
        <v>114</v>
      </c>
      <c r="CG24">
        <v>0.1161427</v>
      </c>
      <c r="CH24">
        <v>2.40625</v>
      </c>
      <c r="CI24">
        <v>1.8722709980000001</v>
      </c>
      <c r="CJ24">
        <v>10.04188321</v>
      </c>
      <c r="CK24">
        <v>-0.1161427</v>
      </c>
      <c r="CL24">
        <v>2.40625</v>
      </c>
      <c r="CM24">
        <v>-1.8722709980000001</v>
      </c>
      <c r="CN24">
        <v>10.04188321</v>
      </c>
      <c r="CO24" t="s">
        <v>114</v>
      </c>
      <c r="CP24" t="s">
        <v>114</v>
      </c>
      <c r="CQ24" t="s">
        <v>114</v>
      </c>
      <c r="CR24" t="s">
        <v>114</v>
      </c>
      <c r="CS24" t="s">
        <v>114</v>
      </c>
      <c r="CT24" t="s">
        <v>114</v>
      </c>
      <c r="CU24" t="s">
        <v>114</v>
      </c>
      <c r="CV24" t="s">
        <v>114</v>
      </c>
      <c r="CW24">
        <v>-0.1161427</v>
      </c>
    </row>
    <row r="25" spans="1:101" x14ac:dyDescent="0.25">
      <c r="A25" t="s">
        <v>73</v>
      </c>
      <c r="B25">
        <v>10</v>
      </c>
      <c r="C25" t="s">
        <v>25</v>
      </c>
      <c r="D25" t="s">
        <v>94</v>
      </c>
      <c r="E25" t="s">
        <v>110</v>
      </c>
      <c r="F25" t="s">
        <v>145</v>
      </c>
      <c r="G25" t="s">
        <v>262</v>
      </c>
      <c r="H25" t="s">
        <v>767</v>
      </c>
      <c r="I25" t="s">
        <v>681</v>
      </c>
      <c r="J25" t="s">
        <v>299</v>
      </c>
      <c r="K25">
        <v>5</v>
      </c>
      <c r="L25">
        <v>25</v>
      </c>
      <c r="M25">
        <v>25</v>
      </c>
      <c r="N25">
        <v>25</v>
      </c>
      <c r="O25">
        <v>0</v>
      </c>
      <c r="P25">
        <v>6</v>
      </c>
      <c r="Q25">
        <v>4</v>
      </c>
      <c r="R25">
        <v>3</v>
      </c>
      <c r="S25">
        <v>3.5</v>
      </c>
      <c r="T25">
        <v>0.14000000000000001</v>
      </c>
      <c r="V25" t="s">
        <v>110</v>
      </c>
      <c r="W25">
        <v>25</v>
      </c>
      <c r="X25">
        <v>12.5</v>
      </c>
      <c r="Y25">
        <v>15.4</v>
      </c>
      <c r="Z25">
        <v>14.9</v>
      </c>
      <c r="AA25">
        <v>14.266666669999999</v>
      </c>
      <c r="AB25">
        <v>14.266666669999999</v>
      </c>
      <c r="AC25">
        <v>12</v>
      </c>
      <c r="AD25">
        <v>13.9</v>
      </c>
      <c r="AE25">
        <v>14.4</v>
      </c>
      <c r="AF25">
        <v>13.43333333</v>
      </c>
      <c r="AG25">
        <v>13.9</v>
      </c>
      <c r="AH25">
        <v>13.9</v>
      </c>
      <c r="AI25">
        <v>15.9</v>
      </c>
      <c r="AJ25">
        <v>14.56666667</v>
      </c>
      <c r="AK25">
        <v>10</v>
      </c>
      <c r="AL25">
        <v>13</v>
      </c>
      <c r="AM25">
        <v>9.5</v>
      </c>
      <c r="AN25">
        <v>10.83333333</v>
      </c>
      <c r="AO25">
        <v>14.56666667</v>
      </c>
      <c r="AP25">
        <v>4.0999999999999996</v>
      </c>
      <c r="AQ25">
        <v>6.6</v>
      </c>
      <c r="AR25">
        <v>6.6</v>
      </c>
      <c r="AS25">
        <v>5.766666667</v>
      </c>
      <c r="AT25">
        <v>5.0999999999999996</v>
      </c>
      <c r="AU25">
        <v>5.0999999999999996</v>
      </c>
      <c r="AV25">
        <v>7</v>
      </c>
      <c r="AW25">
        <v>5.733333333</v>
      </c>
      <c r="AX25">
        <v>5.766666667</v>
      </c>
      <c r="AY25">
        <v>-8.5</v>
      </c>
      <c r="AZ25">
        <v>45</v>
      </c>
      <c r="BA25">
        <v>0</v>
      </c>
      <c r="BB25">
        <v>1</v>
      </c>
      <c r="BC25">
        <v>8</v>
      </c>
      <c r="BD25">
        <v>0</v>
      </c>
      <c r="BE25">
        <v>0</v>
      </c>
      <c r="BF25">
        <v>0</v>
      </c>
      <c r="BG25">
        <v>2</v>
      </c>
      <c r="BI25">
        <v>9.6999999999999993</v>
      </c>
      <c r="BJ25">
        <v>7.2759999999999998</v>
      </c>
      <c r="BK25">
        <v>0</v>
      </c>
      <c r="BL25">
        <v>2</v>
      </c>
      <c r="BM25">
        <v>2</v>
      </c>
      <c r="BN25">
        <v>2</v>
      </c>
      <c r="BO25">
        <v>7.6666670000000003</v>
      </c>
      <c r="BP25">
        <v>-5.6666670000000003</v>
      </c>
      <c r="BQ25">
        <v>9</v>
      </c>
      <c r="BR25">
        <v>-7</v>
      </c>
      <c r="BS25">
        <v>19.576086953333299</v>
      </c>
      <c r="BT25">
        <v>0.184457597333333</v>
      </c>
      <c r="BU25">
        <v>2.1429025199999998</v>
      </c>
      <c r="BV25">
        <v>-19.576086953333299</v>
      </c>
      <c r="BW25">
        <v>0.184457597333333</v>
      </c>
      <c r="BX25">
        <v>0.37935110666666699</v>
      </c>
      <c r="BY25">
        <v>598.05801030335101</v>
      </c>
      <c r="BZ25">
        <v>4.2089364252379899E-2</v>
      </c>
      <c r="CA25">
        <v>3.7678147474575199</v>
      </c>
      <c r="CB25">
        <v>598.05801030335101</v>
      </c>
      <c r="CC25">
        <v>4.2089364252379899E-2</v>
      </c>
      <c r="CD25">
        <v>10.4400006695972</v>
      </c>
      <c r="CE25" t="s">
        <v>114</v>
      </c>
      <c r="CF25" t="s">
        <v>114</v>
      </c>
      <c r="CG25" t="s">
        <v>114</v>
      </c>
      <c r="CH25">
        <v>11.745652172</v>
      </c>
      <c r="CI25">
        <v>0.1106745584</v>
      </c>
      <c r="CJ25">
        <v>1.285741512</v>
      </c>
      <c r="CK25" t="s">
        <v>114</v>
      </c>
      <c r="CL25">
        <v>-11.745652172</v>
      </c>
      <c r="CM25">
        <v>0.1106745584</v>
      </c>
      <c r="CN25">
        <v>0.22761066399999999</v>
      </c>
      <c r="CO25" t="s">
        <v>114</v>
      </c>
      <c r="CP25">
        <v>413.99595927301601</v>
      </c>
      <c r="CQ25">
        <v>3.1252063690385801E-2</v>
      </c>
      <c r="CR25">
        <v>3.2615167367954601</v>
      </c>
      <c r="CS25" t="s">
        <v>114</v>
      </c>
      <c r="CT25">
        <v>413.99595927301601</v>
      </c>
      <c r="CU25">
        <v>3.1252063690385801E-2</v>
      </c>
      <c r="CV25">
        <v>5.2631725134373699</v>
      </c>
      <c r="CW25" t="s">
        <v>114</v>
      </c>
    </row>
    <row r="26" spans="1:101" x14ac:dyDescent="0.25">
      <c r="A26" t="s">
        <v>73</v>
      </c>
      <c r="B26">
        <v>10</v>
      </c>
      <c r="C26" t="s">
        <v>25</v>
      </c>
      <c r="D26" t="s">
        <v>94</v>
      </c>
      <c r="E26" t="s">
        <v>104</v>
      </c>
      <c r="F26" t="s">
        <v>145</v>
      </c>
      <c r="G26" t="s">
        <v>264</v>
      </c>
      <c r="H26" t="s">
        <v>779</v>
      </c>
      <c r="I26" t="s">
        <v>679</v>
      </c>
      <c r="J26" t="s">
        <v>300</v>
      </c>
      <c r="K26">
        <v>1</v>
      </c>
      <c r="L26">
        <v>30</v>
      </c>
      <c r="M26">
        <v>45</v>
      </c>
      <c r="N26">
        <v>30</v>
      </c>
      <c r="O26">
        <v>-15</v>
      </c>
      <c r="P26">
        <v>24</v>
      </c>
      <c r="Q26">
        <v>20</v>
      </c>
      <c r="R26">
        <v>10</v>
      </c>
      <c r="S26">
        <v>15</v>
      </c>
      <c r="T26">
        <v>0.5</v>
      </c>
      <c r="V26" t="s">
        <v>104</v>
      </c>
      <c r="W26">
        <v>40</v>
      </c>
      <c r="X26">
        <v>12.5</v>
      </c>
      <c r="Y26">
        <v>15.4</v>
      </c>
      <c r="Z26">
        <v>14.9</v>
      </c>
      <c r="AA26">
        <v>14.266666669999999</v>
      </c>
      <c r="AB26">
        <v>14.266666669999999</v>
      </c>
      <c r="AC26">
        <v>12.5</v>
      </c>
      <c r="AD26">
        <v>12.5</v>
      </c>
      <c r="AE26">
        <v>11.5</v>
      </c>
      <c r="AF26">
        <v>12.16666667</v>
      </c>
      <c r="AG26">
        <v>13.9</v>
      </c>
      <c r="AH26">
        <v>13.9</v>
      </c>
      <c r="AI26">
        <v>15.9</v>
      </c>
      <c r="AJ26">
        <v>14.56666667</v>
      </c>
      <c r="AK26">
        <v>11.5</v>
      </c>
      <c r="AL26">
        <v>12</v>
      </c>
      <c r="AM26">
        <v>13</v>
      </c>
      <c r="AN26">
        <v>12.16666667</v>
      </c>
      <c r="AO26">
        <v>14.56666667</v>
      </c>
      <c r="AP26">
        <v>4.0999999999999996</v>
      </c>
      <c r="AQ26">
        <v>6.6</v>
      </c>
      <c r="AR26">
        <v>6.6</v>
      </c>
      <c r="AS26">
        <v>5.766666667</v>
      </c>
      <c r="AT26">
        <v>5.6</v>
      </c>
      <c r="AU26">
        <v>6.1</v>
      </c>
      <c r="AV26">
        <v>6.1</v>
      </c>
      <c r="AW26">
        <v>5.9333333330000002</v>
      </c>
      <c r="AX26">
        <v>5.766666667</v>
      </c>
      <c r="AY26">
        <v>-8.5</v>
      </c>
      <c r="AZ26">
        <v>45</v>
      </c>
      <c r="BA26">
        <v>0</v>
      </c>
      <c r="BB26">
        <v>1</v>
      </c>
      <c r="BC26">
        <v>8</v>
      </c>
      <c r="BD26">
        <v>0</v>
      </c>
      <c r="BE26">
        <v>0</v>
      </c>
      <c r="BF26">
        <v>0</v>
      </c>
      <c r="BG26">
        <v>2</v>
      </c>
      <c r="BI26">
        <v>9.6999999999999993</v>
      </c>
      <c r="BJ26">
        <v>7.2759999999999998</v>
      </c>
      <c r="BK26">
        <v>0</v>
      </c>
      <c r="BL26">
        <v>2</v>
      </c>
      <c r="BM26">
        <v>2</v>
      </c>
      <c r="BN26">
        <v>12</v>
      </c>
      <c r="BO26">
        <v>150</v>
      </c>
      <c r="BP26">
        <v>-138</v>
      </c>
      <c r="BQ26">
        <v>50</v>
      </c>
      <c r="BR26">
        <v>-38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 t="s">
        <v>114</v>
      </c>
      <c r="BZ26" t="s">
        <v>114</v>
      </c>
      <c r="CA26" t="s">
        <v>114</v>
      </c>
      <c r="CB26" t="s">
        <v>114</v>
      </c>
      <c r="CC26" t="s">
        <v>114</v>
      </c>
      <c r="CD26" t="s">
        <v>114</v>
      </c>
      <c r="CE26">
        <v>0</v>
      </c>
      <c r="CF26" t="s">
        <v>114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 t="s">
        <v>114</v>
      </c>
      <c r="CP26" t="s">
        <v>114</v>
      </c>
      <c r="CQ26" t="s">
        <v>114</v>
      </c>
      <c r="CR26" t="s">
        <v>114</v>
      </c>
      <c r="CS26" t="s">
        <v>114</v>
      </c>
      <c r="CT26" t="s">
        <v>114</v>
      </c>
      <c r="CU26" t="s">
        <v>114</v>
      </c>
      <c r="CV26" t="s">
        <v>114</v>
      </c>
      <c r="CW26">
        <v>0</v>
      </c>
    </row>
    <row r="27" spans="1:101" x14ac:dyDescent="0.25">
      <c r="A27" t="s">
        <v>73</v>
      </c>
      <c r="B27">
        <v>10</v>
      </c>
      <c r="C27" t="s">
        <v>25</v>
      </c>
      <c r="D27" t="s">
        <v>94</v>
      </c>
      <c r="E27" t="s">
        <v>112</v>
      </c>
      <c r="F27" t="s">
        <v>145</v>
      </c>
      <c r="G27" t="s">
        <v>261</v>
      </c>
      <c r="H27" t="s">
        <v>783</v>
      </c>
      <c r="I27" t="s">
        <v>668</v>
      </c>
      <c r="J27" t="s">
        <v>301</v>
      </c>
      <c r="K27" t="s">
        <v>114</v>
      </c>
      <c r="L27">
        <v>60</v>
      </c>
      <c r="M27">
        <v>70</v>
      </c>
      <c r="N27">
        <v>60</v>
      </c>
      <c r="O27">
        <v>-10</v>
      </c>
      <c r="P27">
        <v>40</v>
      </c>
      <c r="Q27">
        <v>120</v>
      </c>
      <c r="R27">
        <v>40</v>
      </c>
      <c r="S27">
        <v>80</v>
      </c>
      <c r="T27">
        <v>1.3333333333333333</v>
      </c>
      <c r="U27" t="s">
        <v>792</v>
      </c>
      <c r="V27" t="s">
        <v>114</v>
      </c>
      <c r="W27" t="s">
        <v>114</v>
      </c>
      <c r="X27">
        <v>12.5</v>
      </c>
      <c r="Y27">
        <v>15.4</v>
      </c>
      <c r="Z27">
        <v>14.9</v>
      </c>
      <c r="AA27">
        <v>14.266666669999999</v>
      </c>
      <c r="AB27">
        <v>14.266666669999999</v>
      </c>
      <c r="AC27">
        <v>12</v>
      </c>
      <c r="AD27">
        <v>16.399999999999999</v>
      </c>
      <c r="AE27">
        <v>13.9</v>
      </c>
      <c r="AF27">
        <v>14.1</v>
      </c>
      <c r="AG27">
        <v>13.9</v>
      </c>
      <c r="AH27">
        <v>13.9</v>
      </c>
      <c r="AI27">
        <v>15.9</v>
      </c>
      <c r="AJ27">
        <v>14.56666667</v>
      </c>
      <c r="AK27">
        <v>17.899999999999999</v>
      </c>
      <c r="AL27">
        <v>13.9</v>
      </c>
      <c r="AM27">
        <v>14.4</v>
      </c>
      <c r="AN27">
        <v>15.4</v>
      </c>
      <c r="AO27">
        <v>14.56666667</v>
      </c>
      <c r="AP27">
        <v>4.0999999999999996</v>
      </c>
      <c r="AQ27">
        <v>6.6</v>
      </c>
      <c r="AR27">
        <v>6.6</v>
      </c>
      <c r="AS27">
        <v>5.766666667</v>
      </c>
      <c r="AT27">
        <v>4.5999999999999996</v>
      </c>
      <c r="AU27">
        <v>4.5999999999999996</v>
      </c>
      <c r="AV27">
        <v>6.6</v>
      </c>
      <c r="AW27">
        <v>5.266666667</v>
      </c>
      <c r="AX27">
        <v>5.766666667</v>
      </c>
      <c r="AY27">
        <v>-8.5</v>
      </c>
      <c r="AZ27">
        <v>45</v>
      </c>
      <c r="BA27">
        <v>0</v>
      </c>
      <c r="BB27">
        <v>1</v>
      </c>
      <c r="BC27">
        <v>8</v>
      </c>
      <c r="BD27">
        <v>0</v>
      </c>
      <c r="BE27">
        <v>0</v>
      </c>
      <c r="BF27">
        <v>0</v>
      </c>
      <c r="BG27">
        <v>2</v>
      </c>
      <c r="BI27">
        <v>9.6999999999999993</v>
      </c>
      <c r="BJ27">
        <v>7.2759999999999998</v>
      </c>
      <c r="BK27">
        <v>0</v>
      </c>
      <c r="BL27">
        <v>31</v>
      </c>
      <c r="BM27">
        <v>29</v>
      </c>
      <c r="BN27">
        <v>90</v>
      </c>
      <c r="BO27">
        <v>62</v>
      </c>
      <c r="BP27">
        <v>28</v>
      </c>
      <c r="BQ27">
        <v>80</v>
      </c>
      <c r="BR27">
        <v>10</v>
      </c>
      <c r="BS27" t="s">
        <v>114</v>
      </c>
      <c r="BT27" t="s">
        <v>114</v>
      </c>
      <c r="BU27" t="s">
        <v>114</v>
      </c>
      <c r="BV27" t="s">
        <v>114</v>
      </c>
      <c r="BW27" t="s">
        <v>114</v>
      </c>
      <c r="BX27" t="s">
        <v>114</v>
      </c>
      <c r="BY27" t="s">
        <v>114</v>
      </c>
      <c r="BZ27" t="s">
        <v>114</v>
      </c>
      <c r="CA27" t="s">
        <v>114</v>
      </c>
      <c r="CB27" t="s">
        <v>114</v>
      </c>
      <c r="CC27" t="s">
        <v>114</v>
      </c>
      <c r="CD27" t="s">
        <v>114</v>
      </c>
      <c r="CE27" t="s">
        <v>114</v>
      </c>
      <c r="CF27" t="s">
        <v>114</v>
      </c>
      <c r="CG27" t="s">
        <v>114</v>
      </c>
      <c r="CH27" t="s">
        <v>114</v>
      </c>
      <c r="CI27" t="s">
        <v>114</v>
      </c>
      <c r="CJ27" t="s">
        <v>114</v>
      </c>
      <c r="CK27" t="s">
        <v>114</v>
      </c>
      <c r="CL27" t="s">
        <v>114</v>
      </c>
      <c r="CM27" t="s">
        <v>114</v>
      </c>
      <c r="CN27" t="s">
        <v>114</v>
      </c>
      <c r="CO27" t="s">
        <v>114</v>
      </c>
      <c r="CP27" t="s">
        <v>114</v>
      </c>
      <c r="CQ27" t="s">
        <v>114</v>
      </c>
      <c r="CR27" t="s">
        <v>114</v>
      </c>
      <c r="CS27" t="s">
        <v>114</v>
      </c>
      <c r="CT27" t="s">
        <v>114</v>
      </c>
      <c r="CU27" t="s">
        <v>114</v>
      </c>
      <c r="CV27" t="s">
        <v>114</v>
      </c>
      <c r="CW27" t="s">
        <v>114</v>
      </c>
    </row>
    <row r="28" spans="1:101" x14ac:dyDescent="0.25">
      <c r="A28" t="s">
        <v>74</v>
      </c>
      <c r="B28">
        <v>10</v>
      </c>
      <c r="C28" t="s">
        <v>27</v>
      </c>
      <c r="D28" t="s">
        <v>95</v>
      </c>
      <c r="E28" t="s">
        <v>102</v>
      </c>
      <c r="F28" t="s">
        <v>145</v>
      </c>
      <c r="G28" t="s">
        <v>265</v>
      </c>
      <c r="H28" t="s">
        <v>756</v>
      </c>
      <c r="I28" t="s">
        <v>673</v>
      </c>
      <c r="J28" t="s">
        <v>302</v>
      </c>
      <c r="K28">
        <v>4</v>
      </c>
      <c r="L28">
        <v>140</v>
      </c>
      <c r="M28">
        <v>110</v>
      </c>
      <c r="N28">
        <v>140</v>
      </c>
      <c r="O28">
        <v>30</v>
      </c>
      <c r="P28">
        <v>170</v>
      </c>
      <c r="Q28">
        <v>160</v>
      </c>
      <c r="R28">
        <v>110</v>
      </c>
      <c r="S28">
        <v>135</v>
      </c>
      <c r="T28">
        <v>0.9642857142857143</v>
      </c>
      <c r="V28" t="s">
        <v>113</v>
      </c>
      <c r="W28">
        <v>20</v>
      </c>
      <c r="X28">
        <v>15.4</v>
      </c>
      <c r="Y28">
        <v>13</v>
      </c>
      <c r="Z28">
        <v>13.5</v>
      </c>
      <c r="AA28">
        <v>13.96666667</v>
      </c>
      <c r="AB28">
        <v>13.96666667</v>
      </c>
      <c r="AC28">
        <v>15.4</v>
      </c>
      <c r="AD28">
        <v>15.4</v>
      </c>
      <c r="AE28">
        <v>15.9</v>
      </c>
      <c r="AF28">
        <v>15.56666667</v>
      </c>
      <c r="AG28">
        <v>19.3</v>
      </c>
      <c r="AH28">
        <v>18.8</v>
      </c>
      <c r="AI28">
        <v>17.899999999999999</v>
      </c>
      <c r="AJ28">
        <v>18.666666670000001</v>
      </c>
      <c r="AK28">
        <v>19.8</v>
      </c>
      <c r="AL28">
        <v>18.399999999999999</v>
      </c>
      <c r="AM28">
        <v>18.399999999999999</v>
      </c>
      <c r="AN28">
        <v>18.866666670000001</v>
      </c>
      <c r="AO28">
        <v>18.666666670000001</v>
      </c>
      <c r="AP28">
        <v>6.6</v>
      </c>
      <c r="AQ28">
        <v>7.1</v>
      </c>
      <c r="AR28">
        <v>7.6</v>
      </c>
      <c r="AS28">
        <v>7.1</v>
      </c>
      <c r="AT28">
        <v>6.1</v>
      </c>
      <c r="AU28">
        <v>6.6</v>
      </c>
      <c r="AV28">
        <v>7.1</v>
      </c>
      <c r="AW28">
        <v>6.6</v>
      </c>
      <c r="AX28">
        <v>7.1</v>
      </c>
      <c r="AY28">
        <v>-6.8666666669999996</v>
      </c>
      <c r="AZ28">
        <v>55</v>
      </c>
      <c r="BA28">
        <v>40</v>
      </c>
      <c r="BB28">
        <v>2</v>
      </c>
      <c r="BC28">
        <v>1</v>
      </c>
      <c r="BD28">
        <v>0</v>
      </c>
      <c r="BE28">
        <v>0</v>
      </c>
      <c r="BF28">
        <v>0</v>
      </c>
      <c r="BG28">
        <v>1</v>
      </c>
      <c r="BI28">
        <v>4.7</v>
      </c>
      <c r="BJ28">
        <v>43.395000000000003</v>
      </c>
      <c r="BK28">
        <v>0</v>
      </c>
      <c r="BL28">
        <v>19</v>
      </c>
      <c r="BM28">
        <v>19</v>
      </c>
      <c r="BN28">
        <v>307</v>
      </c>
      <c r="BO28">
        <v>274</v>
      </c>
      <c r="BP28">
        <v>33</v>
      </c>
      <c r="BQ28">
        <v>508</v>
      </c>
      <c r="BR28">
        <v>-201</v>
      </c>
      <c r="BS28">
        <v>7.2670454549999999</v>
      </c>
      <c r="BT28">
        <v>0.72716325800000003</v>
      </c>
      <c r="BU28">
        <v>3.8525754600000002</v>
      </c>
      <c r="BV28">
        <v>-6.2838804750000001</v>
      </c>
      <c r="BW28">
        <v>0.72716325800000003</v>
      </c>
      <c r="BX28">
        <v>2.7044587199999999</v>
      </c>
      <c r="BY28">
        <v>78.974307648172498</v>
      </c>
      <c r="BZ28">
        <v>0.229866758514709</v>
      </c>
      <c r="CA28">
        <v>14.628193936368101</v>
      </c>
      <c r="CB28">
        <v>105.619899290072</v>
      </c>
      <c r="CC28">
        <v>0.229866758514709</v>
      </c>
      <c r="CD28">
        <v>29.6846753499884</v>
      </c>
      <c r="CE28">
        <v>0.83631285</v>
      </c>
      <c r="CF28">
        <v>2.3251878998645E-2</v>
      </c>
      <c r="CG28">
        <v>0.89022467500000002</v>
      </c>
      <c r="CH28">
        <v>4.1251052174999998</v>
      </c>
      <c r="CI28">
        <v>0.557654129</v>
      </c>
      <c r="CJ28">
        <v>5.2048048199999997</v>
      </c>
      <c r="CK28">
        <v>0.89022467500000002</v>
      </c>
      <c r="CL28">
        <v>-2.6503577475000002</v>
      </c>
      <c r="CM28">
        <v>0.557654129</v>
      </c>
      <c r="CN28">
        <v>4.6307464500000002</v>
      </c>
      <c r="CO28">
        <v>1.16259394993225E-2</v>
      </c>
      <c r="CP28">
        <v>39.487153824086199</v>
      </c>
      <c r="CQ28">
        <v>0.114933379257355</v>
      </c>
      <c r="CR28">
        <v>7.3140969681840398</v>
      </c>
      <c r="CS28">
        <v>1.16259394993225E-2</v>
      </c>
      <c r="CT28">
        <v>52.809949645036198</v>
      </c>
      <c r="CU28">
        <v>0.114933379257355</v>
      </c>
      <c r="CV28">
        <v>14.8423376749942</v>
      </c>
      <c r="CW28">
        <v>0.83631285</v>
      </c>
    </row>
    <row r="29" spans="1:101" x14ac:dyDescent="0.25">
      <c r="A29" t="s">
        <v>74</v>
      </c>
      <c r="B29">
        <v>10</v>
      </c>
      <c r="C29" t="s">
        <v>27</v>
      </c>
      <c r="D29" t="s">
        <v>95</v>
      </c>
      <c r="E29" t="s">
        <v>113</v>
      </c>
      <c r="F29" t="s">
        <v>145</v>
      </c>
      <c r="G29" t="s">
        <v>259</v>
      </c>
      <c r="H29" t="s">
        <v>764</v>
      </c>
      <c r="I29" t="s">
        <v>669</v>
      </c>
      <c r="J29" t="s">
        <v>303</v>
      </c>
      <c r="K29">
        <v>3</v>
      </c>
      <c r="L29">
        <v>80</v>
      </c>
      <c r="M29">
        <v>40</v>
      </c>
      <c r="N29">
        <v>80</v>
      </c>
      <c r="O29">
        <v>40</v>
      </c>
      <c r="P29">
        <v>7</v>
      </c>
      <c r="Q29">
        <v>7</v>
      </c>
      <c r="R29">
        <v>5</v>
      </c>
      <c r="S29">
        <v>6</v>
      </c>
      <c r="T29">
        <v>7.4999999999999997E-2</v>
      </c>
      <c r="V29" t="s">
        <v>113</v>
      </c>
      <c r="W29">
        <v>50</v>
      </c>
      <c r="X29">
        <v>15.4</v>
      </c>
      <c r="Y29">
        <v>13</v>
      </c>
      <c r="Z29">
        <v>13.5</v>
      </c>
      <c r="AA29">
        <v>13.96666667</v>
      </c>
      <c r="AB29">
        <v>13.96666667</v>
      </c>
      <c r="AC29">
        <v>16.899999999999999</v>
      </c>
      <c r="AD29">
        <v>17.899999999999999</v>
      </c>
      <c r="AE29">
        <v>17.399999999999999</v>
      </c>
      <c r="AF29">
        <v>17.399999999999999</v>
      </c>
      <c r="AG29">
        <v>19.3</v>
      </c>
      <c r="AH29">
        <v>18.8</v>
      </c>
      <c r="AI29">
        <v>17.899999999999999</v>
      </c>
      <c r="AJ29">
        <v>18.666666670000001</v>
      </c>
      <c r="AK29">
        <v>19.8</v>
      </c>
      <c r="AL29">
        <v>20.3</v>
      </c>
      <c r="AM29">
        <v>20.8</v>
      </c>
      <c r="AN29">
        <v>20.3</v>
      </c>
      <c r="AO29">
        <v>18.666666670000001</v>
      </c>
      <c r="AP29">
        <v>6.6</v>
      </c>
      <c r="AQ29">
        <v>7.1</v>
      </c>
      <c r="AR29">
        <v>7.6</v>
      </c>
      <c r="AS29">
        <v>7.1</v>
      </c>
      <c r="AT29">
        <v>8.5</v>
      </c>
      <c r="AU29">
        <v>8.5</v>
      </c>
      <c r="AV29">
        <v>8.1</v>
      </c>
      <c r="AW29">
        <v>8.3666666670000005</v>
      </c>
      <c r="AX29">
        <v>7.1</v>
      </c>
      <c r="AY29">
        <v>-6.8666666669999996</v>
      </c>
      <c r="AZ29">
        <v>55</v>
      </c>
      <c r="BA29">
        <v>40</v>
      </c>
      <c r="BB29">
        <v>2</v>
      </c>
      <c r="BC29">
        <v>1</v>
      </c>
      <c r="BD29">
        <v>0</v>
      </c>
      <c r="BE29">
        <v>0</v>
      </c>
      <c r="BF29">
        <v>0</v>
      </c>
      <c r="BG29">
        <v>1</v>
      </c>
      <c r="BI29">
        <v>4.7</v>
      </c>
      <c r="BJ29">
        <v>43.395000000000003</v>
      </c>
      <c r="BK29">
        <v>0</v>
      </c>
      <c r="BL29">
        <v>1</v>
      </c>
      <c r="BM29">
        <v>1</v>
      </c>
      <c r="BN29">
        <v>3</v>
      </c>
      <c r="BO29">
        <v>1.6666669999999999</v>
      </c>
      <c r="BP29">
        <v>1.3333330000000001</v>
      </c>
      <c r="BQ29">
        <v>5</v>
      </c>
      <c r="BR29">
        <v>-2</v>
      </c>
      <c r="BS29">
        <v>8.2750580000000004E-2</v>
      </c>
      <c r="BT29">
        <v>0.36144256949999998</v>
      </c>
      <c r="BU29">
        <v>10.854577915</v>
      </c>
      <c r="BV29">
        <v>-8.2750580000000004E-2</v>
      </c>
      <c r="BW29">
        <v>0.36144256949999998</v>
      </c>
      <c r="BX29">
        <v>-10.854577915</v>
      </c>
      <c r="BY29">
        <v>1.3695316980672801E-2</v>
      </c>
      <c r="BZ29">
        <v>0.26128146209352499</v>
      </c>
      <c r="CA29">
        <v>235.643723425612</v>
      </c>
      <c r="CB29">
        <v>1.3695316980672801E-2</v>
      </c>
      <c r="CC29">
        <v>0.26128146209352499</v>
      </c>
      <c r="CD29">
        <v>235.643723425612</v>
      </c>
      <c r="CE29">
        <v>1.6417060000000001E-2</v>
      </c>
      <c r="CF29">
        <v>5.390397180872E-4</v>
      </c>
      <c r="CG29">
        <v>2.1889413333333298E-2</v>
      </c>
      <c r="CH29">
        <v>0.110334106666667</v>
      </c>
      <c r="CI29">
        <v>0.48192342599999999</v>
      </c>
      <c r="CJ29">
        <v>14.4727705533333</v>
      </c>
      <c r="CK29">
        <v>2.1889413333333298E-2</v>
      </c>
      <c r="CL29">
        <v>-0.110334106666667</v>
      </c>
      <c r="CM29">
        <v>0.48192342599999999</v>
      </c>
      <c r="CN29">
        <v>-14.4727705533333</v>
      </c>
      <c r="CO29">
        <v>3.5935981205813299E-4</v>
      </c>
      <c r="CP29">
        <v>9.1302113204485297E-3</v>
      </c>
      <c r="CQ29">
        <v>0.17418764139568299</v>
      </c>
      <c r="CR29">
        <v>157.09581561707401</v>
      </c>
      <c r="CS29">
        <v>3.5935981205813299E-4</v>
      </c>
      <c r="CT29">
        <v>9.1302113204485297E-3</v>
      </c>
      <c r="CU29">
        <v>0.17418764139568299</v>
      </c>
      <c r="CV29">
        <v>157.09581561707401</v>
      </c>
      <c r="CW29">
        <v>1.6417060000000001E-2</v>
      </c>
    </row>
    <row r="30" spans="1:101" x14ac:dyDescent="0.25">
      <c r="A30" t="s">
        <v>74</v>
      </c>
      <c r="B30">
        <v>10</v>
      </c>
      <c r="C30" t="s">
        <v>27</v>
      </c>
      <c r="D30" t="s">
        <v>95</v>
      </c>
      <c r="E30" t="s">
        <v>103</v>
      </c>
      <c r="F30" t="s">
        <v>145</v>
      </c>
      <c r="G30" t="s">
        <v>260</v>
      </c>
      <c r="H30" t="s">
        <v>772</v>
      </c>
      <c r="I30" t="s">
        <v>674</v>
      </c>
      <c r="J30" t="s">
        <v>304</v>
      </c>
      <c r="K30">
        <v>1</v>
      </c>
      <c r="L30">
        <v>50</v>
      </c>
      <c r="M30">
        <v>60</v>
      </c>
      <c r="N30">
        <v>50</v>
      </c>
      <c r="O30">
        <v>-10</v>
      </c>
      <c r="P30">
        <v>23</v>
      </c>
      <c r="Q30">
        <v>25</v>
      </c>
      <c r="R30">
        <v>10</v>
      </c>
      <c r="S30">
        <v>17.5</v>
      </c>
      <c r="T30">
        <v>0.35</v>
      </c>
      <c r="V30" t="s">
        <v>113</v>
      </c>
      <c r="W30">
        <v>50</v>
      </c>
      <c r="X30">
        <v>15.4</v>
      </c>
      <c r="Y30">
        <v>13</v>
      </c>
      <c r="Z30">
        <v>13.5</v>
      </c>
      <c r="AA30">
        <v>13.96666667</v>
      </c>
      <c r="AB30">
        <v>13.96666667</v>
      </c>
      <c r="AC30">
        <v>15.4</v>
      </c>
      <c r="AD30">
        <v>15.9</v>
      </c>
      <c r="AE30">
        <v>15.9</v>
      </c>
      <c r="AF30">
        <v>15.733333330000001</v>
      </c>
      <c r="AG30">
        <v>19.3</v>
      </c>
      <c r="AH30">
        <v>18.8</v>
      </c>
      <c r="AI30">
        <v>17.899999999999999</v>
      </c>
      <c r="AJ30">
        <v>18.666666670000001</v>
      </c>
      <c r="AK30">
        <v>16.899999999999999</v>
      </c>
      <c r="AL30">
        <v>19.3</v>
      </c>
      <c r="AM30">
        <v>19.8</v>
      </c>
      <c r="AN30">
        <v>18.666666670000001</v>
      </c>
      <c r="AO30">
        <v>18.666666670000001</v>
      </c>
      <c r="AP30">
        <v>6.6</v>
      </c>
      <c r="AQ30">
        <v>7.1</v>
      </c>
      <c r="AR30">
        <v>7.6</v>
      </c>
      <c r="AS30">
        <v>7.1</v>
      </c>
      <c r="AT30">
        <v>6.6</v>
      </c>
      <c r="AU30">
        <v>7.6</v>
      </c>
      <c r="AV30">
        <v>7.1</v>
      </c>
      <c r="AW30">
        <v>7.1</v>
      </c>
      <c r="AX30">
        <v>7.1</v>
      </c>
      <c r="AY30">
        <v>-6.8666666669999996</v>
      </c>
      <c r="AZ30">
        <v>55</v>
      </c>
      <c r="BA30">
        <v>40</v>
      </c>
      <c r="BB30">
        <v>2</v>
      </c>
      <c r="BC30">
        <v>1</v>
      </c>
      <c r="BD30">
        <v>0</v>
      </c>
      <c r="BE30">
        <v>0</v>
      </c>
      <c r="BF30">
        <v>0</v>
      </c>
      <c r="BG30">
        <v>1</v>
      </c>
      <c r="BI30">
        <v>4.7</v>
      </c>
      <c r="BJ30">
        <v>43.395000000000003</v>
      </c>
      <c r="BK30">
        <v>0</v>
      </c>
      <c r="BL30">
        <v>5</v>
      </c>
      <c r="BM30">
        <v>5</v>
      </c>
      <c r="BN30">
        <v>249</v>
      </c>
      <c r="BO30">
        <v>194</v>
      </c>
      <c r="BP30">
        <v>55</v>
      </c>
      <c r="BQ30">
        <v>388</v>
      </c>
      <c r="BR30">
        <v>-139</v>
      </c>
      <c r="BS30">
        <v>14.53409091</v>
      </c>
      <c r="BT30">
        <v>0.67803651600000003</v>
      </c>
      <c r="BU30">
        <v>7.7051509200000003</v>
      </c>
      <c r="BV30">
        <v>14.53409091</v>
      </c>
      <c r="BW30">
        <v>-0.67803651600000003</v>
      </c>
      <c r="BX30">
        <v>7.7051509200000003</v>
      </c>
      <c r="BY30" t="s">
        <v>114</v>
      </c>
      <c r="BZ30" t="s">
        <v>114</v>
      </c>
      <c r="CA30" t="s">
        <v>114</v>
      </c>
      <c r="CB30" t="s">
        <v>114</v>
      </c>
      <c r="CC30" t="s">
        <v>114</v>
      </c>
      <c r="CD30" t="s">
        <v>114</v>
      </c>
      <c r="CE30">
        <v>0.21564729999999999</v>
      </c>
      <c r="CF30" t="s">
        <v>114</v>
      </c>
      <c r="CG30">
        <v>0.21564729999999999</v>
      </c>
      <c r="CH30">
        <v>14.53409091</v>
      </c>
      <c r="CI30">
        <v>0.67803651600000003</v>
      </c>
      <c r="CJ30">
        <v>7.7051509200000003</v>
      </c>
      <c r="CK30">
        <v>0.21564729999999999</v>
      </c>
      <c r="CL30">
        <v>14.53409091</v>
      </c>
      <c r="CM30">
        <v>-0.67803651600000003</v>
      </c>
      <c r="CN30">
        <v>7.7051509200000003</v>
      </c>
      <c r="CO30" t="s">
        <v>114</v>
      </c>
      <c r="CP30" t="s">
        <v>114</v>
      </c>
      <c r="CQ30" t="s">
        <v>114</v>
      </c>
      <c r="CR30" t="s">
        <v>114</v>
      </c>
      <c r="CS30" t="s">
        <v>114</v>
      </c>
      <c r="CT30" t="s">
        <v>114</v>
      </c>
      <c r="CU30" t="s">
        <v>114</v>
      </c>
      <c r="CV30" t="s">
        <v>114</v>
      </c>
      <c r="CW30">
        <v>0.21564729999999999</v>
      </c>
    </row>
    <row r="31" spans="1:101" x14ac:dyDescent="0.25">
      <c r="A31" t="s">
        <v>75</v>
      </c>
      <c r="B31">
        <v>10</v>
      </c>
      <c r="C31" t="s">
        <v>29</v>
      </c>
      <c r="D31" t="s">
        <v>94</v>
      </c>
      <c r="E31" t="s">
        <v>105</v>
      </c>
      <c r="F31" t="s">
        <v>145</v>
      </c>
      <c r="G31" t="s">
        <v>266</v>
      </c>
      <c r="H31" t="s">
        <v>759</v>
      </c>
      <c r="I31" t="s">
        <v>680</v>
      </c>
      <c r="J31" t="s">
        <v>305</v>
      </c>
      <c r="K31">
        <v>2</v>
      </c>
      <c r="L31">
        <v>40</v>
      </c>
      <c r="M31">
        <v>45</v>
      </c>
      <c r="N31">
        <v>40</v>
      </c>
      <c r="O31">
        <v>-5</v>
      </c>
      <c r="P31">
        <v>90</v>
      </c>
      <c r="Q31">
        <v>90</v>
      </c>
      <c r="R31">
        <v>85</v>
      </c>
      <c r="S31">
        <v>87.5</v>
      </c>
      <c r="T31">
        <v>2.1875</v>
      </c>
      <c r="V31" t="s">
        <v>121</v>
      </c>
      <c r="W31" t="s">
        <v>114</v>
      </c>
      <c r="X31">
        <v>13.5</v>
      </c>
      <c r="Y31">
        <v>14.9</v>
      </c>
      <c r="Z31">
        <v>14.9</v>
      </c>
      <c r="AA31">
        <v>14.43333333</v>
      </c>
      <c r="AB31">
        <v>14.43333333</v>
      </c>
      <c r="AC31">
        <v>14.4</v>
      </c>
      <c r="AD31">
        <v>13.5</v>
      </c>
      <c r="AE31">
        <v>13.9</v>
      </c>
      <c r="AF31">
        <v>13.93333333</v>
      </c>
      <c r="AG31">
        <v>13</v>
      </c>
      <c r="AH31">
        <v>16.399999999999999</v>
      </c>
      <c r="AI31">
        <v>15.9</v>
      </c>
      <c r="AJ31">
        <v>15.1</v>
      </c>
      <c r="AK31">
        <v>15.4</v>
      </c>
      <c r="AL31">
        <v>16.399999999999999</v>
      </c>
      <c r="AM31">
        <v>18.899999999999999</v>
      </c>
      <c r="AN31">
        <v>16.899999999999999</v>
      </c>
      <c r="AO31">
        <v>15.1</v>
      </c>
      <c r="AP31">
        <v>5.0999999999999996</v>
      </c>
      <c r="AQ31">
        <v>6.1</v>
      </c>
      <c r="AR31">
        <v>7.1</v>
      </c>
      <c r="AS31">
        <v>6.1</v>
      </c>
      <c r="AT31">
        <v>5.0999999999999996</v>
      </c>
      <c r="AU31">
        <v>5.6</v>
      </c>
      <c r="AV31">
        <v>6.6</v>
      </c>
      <c r="AW31">
        <v>5.766666667</v>
      </c>
      <c r="AX31">
        <v>6.1</v>
      </c>
      <c r="AY31">
        <v>-8.3333333330000006</v>
      </c>
      <c r="AZ31">
        <v>65</v>
      </c>
      <c r="BA31">
        <v>2</v>
      </c>
      <c r="BB31">
        <v>0</v>
      </c>
      <c r="BC31">
        <v>8</v>
      </c>
      <c r="BD31">
        <v>0</v>
      </c>
      <c r="BE31">
        <v>0</v>
      </c>
      <c r="BF31">
        <v>0</v>
      </c>
      <c r="BG31">
        <v>1</v>
      </c>
      <c r="BI31">
        <v>15.4</v>
      </c>
      <c r="BJ31">
        <v>33.924999999999997</v>
      </c>
      <c r="BK31">
        <v>0</v>
      </c>
      <c r="BL31">
        <v>7</v>
      </c>
      <c r="BM31">
        <v>6</v>
      </c>
      <c r="BN31">
        <v>527</v>
      </c>
      <c r="BO31">
        <v>257.5</v>
      </c>
      <c r="BP31">
        <v>269.5</v>
      </c>
      <c r="BQ31">
        <v>338</v>
      </c>
      <c r="BR31">
        <v>189</v>
      </c>
      <c r="BS31">
        <v>12.5</v>
      </c>
      <c r="BT31">
        <v>1.1034840930000001</v>
      </c>
      <c r="BU31">
        <v>14.984584480000001</v>
      </c>
      <c r="BV31">
        <v>-12.5</v>
      </c>
      <c r="BW31">
        <v>-1.1034840930000001</v>
      </c>
      <c r="BX31">
        <v>14.984584480000001</v>
      </c>
      <c r="BY31">
        <v>50</v>
      </c>
      <c r="BZ31">
        <v>1.5018593442280299</v>
      </c>
      <c r="CA31">
        <v>34.387029655320397</v>
      </c>
      <c r="CB31">
        <v>50</v>
      </c>
      <c r="CC31">
        <v>1.5018593442280299</v>
      </c>
      <c r="CD31">
        <v>34.387029655320397</v>
      </c>
      <c r="CE31" t="s">
        <v>114</v>
      </c>
      <c r="CF31" t="s">
        <v>114</v>
      </c>
      <c r="CG31" t="s">
        <v>114</v>
      </c>
      <c r="CH31">
        <v>12.5</v>
      </c>
      <c r="CI31">
        <v>1.1034840930000001</v>
      </c>
      <c r="CJ31">
        <v>14.984584480000001</v>
      </c>
      <c r="CK31" t="s">
        <v>114</v>
      </c>
      <c r="CL31">
        <v>-12.5</v>
      </c>
      <c r="CM31">
        <v>-1.1034840930000001</v>
      </c>
      <c r="CN31">
        <v>14.984584480000001</v>
      </c>
      <c r="CO31" t="s">
        <v>114</v>
      </c>
      <c r="CP31">
        <v>50</v>
      </c>
      <c r="CQ31">
        <v>1.5018593442280299</v>
      </c>
      <c r="CR31">
        <v>34.387029655320397</v>
      </c>
      <c r="CS31" t="s">
        <v>114</v>
      </c>
      <c r="CT31">
        <v>50</v>
      </c>
      <c r="CU31">
        <v>1.5018593442280299</v>
      </c>
      <c r="CV31">
        <v>34.387029655320397</v>
      </c>
      <c r="CW31" t="s">
        <v>114</v>
      </c>
    </row>
    <row r="32" spans="1:101" x14ac:dyDescent="0.25">
      <c r="A32" t="s">
        <v>75</v>
      </c>
      <c r="B32">
        <v>10</v>
      </c>
      <c r="C32" t="s">
        <v>29</v>
      </c>
      <c r="D32" t="s">
        <v>94</v>
      </c>
      <c r="E32" t="s">
        <v>110</v>
      </c>
      <c r="F32" t="s">
        <v>145</v>
      </c>
      <c r="G32" t="s">
        <v>262</v>
      </c>
      <c r="H32" t="s">
        <v>767</v>
      </c>
      <c r="I32" t="s">
        <v>681</v>
      </c>
      <c r="J32" t="s">
        <v>306</v>
      </c>
      <c r="K32">
        <v>2</v>
      </c>
      <c r="L32">
        <v>120</v>
      </c>
      <c r="M32">
        <v>40</v>
      </c>
      <c r="N32">
        <v>120</v>
      </c>
      <c r="O32">
        <v>80</v>
      </c>
      <c r="P32">
        <v>10</v>
      </c>
      <c r="Q32">
        <v>200</v>
      </c>
      <c r="R32">
        <v>0</v>
      </c>
      <c r="S32">
        <v>100</v>
      </c>
      <c r="T32">
        <v>0.83333333333333337</v>
      </c>
      <c r="V32" t="s">
        <v>104</v>
      </c>
      <c r="W32">
        <v>40</v>
      </c>
      <c r="X32">
        <v>13.5</v>
      </c>
      <c r="Y32">
        <v>14.9</v>
      </c>
      <c r="Z32">
        <v>14.9</v>
      </c>
      <c r="AA32">
        <v>14.43333333</v>
      </c>
      <c r="AB32">
        <v>14.43333333</v>
      </c>
      <c r="AC32">
        <v>13.9</v>
      </c>
      <c r="AD32">
        <v>13.9</v>
      </c>
      <c r="AE32">
        <v>13.9</v>
      </c>
      <c r="AF32">
        <v>13.9</v>
      </c>
      <c r="AG32">
        <v>13</v>
      </c>
      <c r="AH32">
        <v>16.399999999999999</v>
      </c>
      <c r="AI32">
        <v>15.9</v>
      </c>
      <c r="AJ32">
        <v>15.1</v>
      </c>
      <c r="AK32">
        <v>15.4</v>
      </c>
      <c r="AL32">
        <v>15.9</v>
      </c>
      <c r="AM32">
        <v>15.9</v>
      </c>
      <c r="AN32">
        <v>15.733333330000001</v>
      </c>
      <c r="AO32">
        <v>15.1</v>
      </c>
      <c r="AP32">
        <v>5.0999999999999996</v>
      </c>
      <c r="AQ32">
        <v>6.1</v>
      </c>
      <c r="AR32">
        <v>7.1</v>
      </c>
      <c r="AS32">
        <v>6.1</v>
      </c>
      <c r="AT32">
        <v>4.0999999999999996</v>
      </c>
      <c r="AU32">
        <v>6.1</v>
      </c>
      <c r="AV32">
        <v>6.1</v>
      </c>
      <c r="AW32">
        <v>5.4333333330000002</v>
      </c>
      <c r="AX32">
        <v>6.1</v>
      </c>
      <c r="AY32">
        <v>-8.3333333330000006</v>
      </c>
      <c r="AZ32">
        <v>65</v>
      </c>
      <c r="BA32">
        <v>2</v>
      </c>
      <c r="BB32">
        <v>0</v>
      </c>
      <c r="BC32">
        <v>8</v>
      </c>
      <c r="BD32">
        <v>0</v>
      </c>
      <c r="BE32">
        <v>0</v>
      </c>
      <c r="BF32">
        <v>0</v>
      </c>
      <c r="BG32">
        <v>1</v>
      </c>
      <c r="BI32">
        <v>15.4</v>
      </c>
      <c r="BJ32">
        <v>33.924999999999997</v>
      </c>
      <c r="BK32">
        <v>0</v>
      </c>
      <c r="BL32">
        <v>11</v>
      </c>
      <c r="BM32">
        <v>11</v>
      </c>
      <c r="BN32">
        <v>11</v>
      </c>
      <c r="BO32">
        <v>7.6666670000000003</v>
      </c>
      <c r="BP32">
        <v>3.3333329999999997</v>
      </c>
      <c r="BQ32">
        <v>5</v>
      </c>
      <c r="BR32">
        <v>6</v>
      </c>
      <c r="BS32">
        <v>40.676630430000003</v>
      </c>
      <c r="BT32">
        <v>1.3679666669999999</v>
      </c>
      <c r="BU32">
        <v>1.0783229999999999</v>
      </c>
      <c r="BV32">
        <v>-40.676630430000003</v>
      </c>
      <c r="BW32">
        <v>-1.3679666669999999</v>
      </c>
      <c r="BX32">
        <v>1.0783229999999999</v>
      </c>
      <c r="BY32" t="s">
        <v>114</v>
      </c>
      <c r="BZ32" t="s">
        <v>114</v>
      </c>
      <c r="CA32" t="s">
        <v>114</v>
      </c>
      <c r="CB32" t="s">
        <v>114</v>
      </c>
      <c r="CC32" t="s">
        <v>114</v>
      </c>
      <c r="CD32" t="s">
        <v>114</v>
      </c>
      <c r="CE32">
        <v>0.50204910000000003</v>
      </c>
      <c r="CF32" t="s">
        <v>114</v>
      </c>
      <c r="CG32">
        <v>0.50204910000000003</v>
      </c>
      <c r="CH32">
        <v>40.676630430000003</v>
      </c>
      <c r="CI32">
        <v>1.3679666669999999</v>
      </c>
      <c r="CJ32">
        <v>1.0783229999999999</v>
      </c>
      <c r="CK32">
        <v>0.50204910000000003</v>
      </c>
      <c r="CL32">
        <v>-40.676630430000003</v>
      </c>
      <c r="CM32">
        <v>-1.3679666669999999</v>
      </c>
      <c r="CN32">
        <v>1.0783229999999999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0.50204910000000003</v>
      </c>
    </row>
    <row r="33" spans="1:101" x14ac:dyDescent="0.25">
      <c r="A33" t="s">
        <v>75</v>
      </c>
      <c r="B33">
        <v>10</v>
      </c>
      <c r="C33" t="s">
        <v>29</v>
      </c>
      <c r="D33" t="s">
        <v>94</v>
      </c>
      <c r="E33" t="s">
        <v>103</v>
      </c>
      <c r="F33" t="s">
        <v>145</v>
      </c>
      <c r="G33" t="s">
        <v>260</v>
      </c>
      <c r="H33" t="s">
        <v>771</v>
      </c>
      <c r="I33" t="s">
        <v>667</v>
      </c>
      <c r="J33" t="s">
        <v>307</v>
      </c>
      <c r="K33">
        <v>3</v>
      </c>
      <c r="L33">
        <v>45</v>
      </c>
      <c r="M33">
        <v>70</v>
      </c>
      <c r="N33">
        <v>45</v>
      </c>
      <c r="O33">
        <v>-25</v>
      </c>
      <c r="P33">
        <v>35</v>
      </c>
      <c r="Q33">
        <v>25</v>
      </c>
      <c r="R33">
        <v>20</v>
      </c>
      <c r="S33">
        <v>22.5</v>
      </c>
      <c r="T33">
        <v>0.5</v>
      </c>
      <c r="V33" t="s">
        <v>114</v>
      </c>
      <c r="W33" t="s">
        <v>114</v>
      </c>
      <c r="X33">
        <v>13.5</v>
      </c>
      <c r="Y33">
        <v>14.9</v>
      </c>
      <c r="Z33">
        <v>14.9</v>
      </c>
      <c r="AA33">
        <v>14.43333333</v>
      </c>
      <c r="AB33">
        <v>14.43333333</v>
      </c>
      <c r="AC33">
        <v>12</v>
      </c>
      <c r="AD33">
        <v>12</v>
      </c>
      <c r="AE33">
        <v>11</v>
      </c>
      <c r="AF33">
        <v>11.66666667</v>
      </c>
      <c r="AG33">
        <v>13</v>
      </c>
      <c r="AH33">
        <v>16.399999999999999</v>
      </c>
      <c r="AI33">
        <v>15.9</v>
      </c>
      <c r="AJ33">
        <v>15.1</v>
      </c>
      <c r="AK33">
        <v>12.5</v>
      </c>
      <c r="AL33">
        <v>13</v>
      </c>
      <c r="AM33">
        <v>13</v>
      </c>
      <c r="AN33">
        <v>12.83333333</v>
      </c>
      <c r="AO33">
        <v>15.1</v>
      </c>
      <c r="AP33">
        <v>5.0999999999999996</v>
      </c>
      <c r="AQ33">
        <v>6.1</v>
      </c>
      <c r="AR33">
        <v>7.1</v>
      </c>
      <c r="AS33">
        <v>6.1</v>
      </c>
      <c r="AT33">
        <v>4.0999999999999996</v>
      </c>
      <c r="AU33">
        <v>5.0999999999999996</v>
      </c>
      <c r="AV33">
        <v>4.5999999999999996</v>
      </c>
      <c r="AW33">
        <v>4.5999999999999996</v>
      </c>
      <c r="AX33">
        <v>6.1</v>
      </c>
      <c r="AY33">
        <v>-8.3333333330000006</v>
      </c>
      <c r="AZ33">
        <v>65</v>
      </c>
      <c r="BA33">
        <v>2</v>
      </c>
      <c r="BB33">
        <v>0</v>
      </c>
      <c r="BC33">
        <v>8</v>
      </c>
      <c r="BD33">
        <v>0</v>
      </c>
      <c r="BE33">
        <v>0</v>
      </c>
      <c r="BF33">
        <v>0</v>
      </c>
      <c r="BG33">
        <v>1</v>
      </c>
      <c r="BI33">
        <v>15.4</v>
      </c>
      <c r="BJ33">
        <v>33.924999999999997</v>
      </c>
      <c r="BK33">
        <v>0</v>
      </c>
      <c r="BL33">
        <v>3</v>
      </c>
      <c r="BM33">
        <v>3</v>
      </c>
      <c r="BN33">
        <v>189</v>
      </c>
      <c r="BO33">
        <v>368.5</v>
      </c>
      <c r="BP33">
        <v>-179.5</v>
      </c>
      <c r="BQ33">
        <v>533</v>
      </c>
      <c r="BR33">
        <v>-344</v>
      </c>
      <c r="BS33">
        <v>17.281906923333299</v>
      </c>
      <c r="BT33">
        <v>0.33085472833333301</v>
      </c>
      <c r="BU33">
        <v>15.5938448266667</v>
      </c>
      <c r="BV33">
        <v>12.10698197</v>
      </c>
      <c r="BW33">
        <v>-0.33085472833333301</v>
      </c>
      <c r="BX33">
        <v>-15.5938448266667</v>
      </c>
      <c r="BY33">
        <v>144.528438537965</v>
      </c>
      <c r="BZ33">
        <v>8.4076195036080298E-2</v>
      </c>
      <c r="CA33">
        <v>63.858128613532998</v>
      </c>
      <c r="CB33">
        <v>372.65638026524198</v>
      </c>
      <c r="CC33">
        <v>8.4076195036080298E-2</v>
      </c>
      <c r="CD33">
        <v>63.858128613532998</v>
      </c>
      <c r="CE33" t="s">
        <v>114</v>
      </c>
      <c r="CF33" t="s">
        <v>114</v>
      </c>
      <c r="CG33" t="s">
        <v>114</v>
      </c>
      <c r="CH33">
        <v>17.281906923333299</v>
      </c>
      <c r="CI33">
        <v>0.33085472833333301</v>
      </c>
      <c r="CJ33">
        <v>15.5938448266667</v>
      </c>
      <c r="CK33" t="s">
        <v>114</v>
      </c>
      <c r="CL33">
        <v>12.10698197</v>
      </c>
      <c r="CM33">
        <v>-0.33085472833333301</v>
      </c>
      <c r="CN33">
        <v>-15.5938448266667</v>
      </c>
      <c r="CO33" t="s">
        <v>114</v>
      </c>
      <c r="CP33">
        <v>144.528438537965</v>
      </c>
      <c r="CQ33">
        <v>8.4076195036080298E-2</v>
      </c>
      <c r="CR33">
        <v>63.858128613532998</v>
      </c>
      <c r="CS33" t="s">
        <v>114</v>
      </c>
      <c r="CT33">
        <v>372.65638026524198</v>
      </c>
      <c r="CU33">
        <v>8.4076195036080298E-2</v>
      </c>
      <c r="CV33">
        <v>63.858128613532998</v>
      </c>
      <c r="CW33" t="s">
        <v>114</v>
      </c>
    </row>
    <row r="34" spans="1:101" x14ac:dyDescent="0.25">
      <c r="A34" t="s">
        <v>76</v>
      </c>
      <c r="B34">
        <v>10</v>
      </c>
      <c r="C34" t="s">
        <v>31</v>
      </c>
      <c r="D34" t="s">
        <v>94</v>
      </c>
      <c r="E34" t="s">
        <v>113</v>
      </c>
      <c r="F34" t="s">
        <v>145</v>
      </c>
      <c r="G34" t="s">
        <v>259</v>
      </c>
      <c r="H34" t="s">
        <v>763</v>
      </c>
      <c r="I34" t="s">
        <v>666</v>
      </c>
      <c r="J34" t="s">
        <v>308</v>
      </c>
      <c r="K34">
        <v>8</v>
      </c>
      <c r="L34">
        <v>90</v>
      </c>
      <c r="M34">
        <v>20</v>
      </c>
      <c r="N34">
        <v>90</v>
      </c>
      <c r="O34">
        <v>70</v>
      </c>
      <c r="P34">
        <v>20</v>
      </c>
      <c r="Q34">
        <v>13</v>
      </c>
      <c r="R34">
        <v>8</v>
      </c>
      <c r="S34">
        <v>10.5</v>
      </c>
      <c r="T34">
        <v>0.11666666666666667</v>
      </c>
      <c r="U34" t="s">
        <v>15</v>
      </c>
      <c r="V34" t="s">
        <v>113</v>
      </c>
      <c r="W34">
        <v>20</v>
      </c>
      <c r="X34">
        <v>16.899999999999999</v>
      </c>
      <c r="Y34">
        <v>17.899999999999999</v>
      </c>
      <c r="Z34">
        <v>17.899999999999999</v>
      </c>
      <c r="AA34">
        <v>17.56666667</v>
      </c>
      <c r="AB34">
        <v>17.56666667</v>
      </c>
      <c r="AC34">
        <v>13.9</v>
      </c>
      <c r="AD34">
        <v>13.9</v>
      </c>
      <c r="AE34">
        <v>15.4</v>
      </c>
      <c r="AF34">
        <v>14.4</v>
      </c>
      <c r="AG34">
        <v>13</v>
      </c>
      <c r="AH34">
        <v>16.399999999999999</v>
      </c>
      <c r="AI34">
        <v>15.9</v>
      </c>
      <c r="AJ34">
        <v>15.1</v>
      </c>
      <c r="AK34">
        <v>18.399999999999999</v>
      </c>
      <c r="AL34">
        <v>17.899999999999999</v>
      </c>
      <c r="AM34">
        <v>17.399999999999999</v>
      </c>
      <c r="AN34">
        <v>17.899999999999999</v>
      </c>
      <c r="AO34">
        <v>15.1</v>
      </c>
      <c r="AP34">
        <v>10</v>
      </c>
      <c r="AQ34">
        <v>10.5</v>
      </c>
      <c r="AR34">
        <v>11.5</v>
      </c>
      <c r="AS34">
        <v>10.66666667</v>
      </c>
      <c r="AT34">
        <v>8.5</v>
      </c>
      <c r="AU34">
        <v>6.6</v>
      </c>
      <c r="AV34">
        <v>7.1</v>
      </c>
      <c r="AW34">
        <v>7.4</v>
      </c>
      <c r="AX34">
        <v>10.66666667</v>
      </c>
      <c r="AY34">
        <v>-6.9</v>
      </c>
      <c r="AZ34">
        <v>5</v>
      </c>
      <c r="BA34">
        <v>50</v>
      </c>
      <c r="BB34">
        <v>1</v>
      </c>
      <c r="BC34">
        <v>3</v>
      </c>
      <c r="BD34">
        <v>0</v>
      </c>
      <c r="BE34">
        <v>0</v>
      </c>
      <c r="BF34">
        <v>1</v>
      </c>
      <c r="BG34">
        <v>5</v>
      </c>
      <c r="BI34">
        <v>9.6999999999999993</v>
      </c>
      <c r="BJ34">
        <v>11.682</v>
      </c>
      <c r="BK34">
        <v>0</v>
      </c>
      <c r="BL34">
        <v>3</v>
      </c>
      <c r="BM34">
        <v>3</v>
      </c>
      <c r="BN34">
        <v>9</v>
      </c>
      <c r="BO34">
        <v>0</v>
      </c>
      <c r="BP34">
        <v>9</v>
      </c>
      <c r="BQ34">
        <v>0</v>
      </c>
      <c r="BR34">
        <v>9</v>
      </c>
      <c r="BS34">
        <v>17.419191926666699</v>
      </c>
      <c r="BT34">
        <v>0.46302293233333303</v>
      </c>
      <c r="BU34">
        <v>3.0992876699999998</v>
      </c>
      <c r="BV34">
        <v>-17.419191926666699</v>
      </c>
      <c r="BW34">
        <v>0.46302293233333303</v>
      </c>
      <c r="BX34">
        <v>-1.47960015</v>
      </c>
      <c r="BY34">
        <v>728.72046300357795</v>
      </c>
      <c r="BZ34">
        <v>0.16080498191504899</v>
      </c>
      <c r="CA34">
        <v>12.129925404790599</v>
      </c>
      <c r="CB34">
        <v>728.72046300357795</v>
      </c>
      <c r="CC34">
        <v>0.16080498191504899</v>
      </c>
      <c r="CD34">
        <v>23.254476591091599</v>
      </c>
      <c r="CE34">
        <v>9.4908553333333298E-2</v>
      </c>
      <c r="CF34">
        <v>2.1414478168985E-2</v>
      </c>
      <c r="CG34">
        <v>0.13610601250000001</v>
      </c>
      <c r="CH34">
        <v>30.789772742499999</v>
      </c>
      <c r="CI34">
        <v>0.519146873625</v>
      </c>
      <c r="CJ34">
        <v>2.37699851625</v>
      </c>
      <c r="CK34">
        <v>-0.11518225</v>
      </c>
      <c r="CL34">
        <v>-30.789772742499999</v>
      </c>
      <c r="CM34">
        <v>0.519146873625</v>
      </c>
      <c r="CN34">
        <v>0.65991558375000003</v>
      </c>
      <c r="CO34">
        <v>8.6960884385945403E-3</v>
      </c>
      <c r="CP34">
        <v>599.78921995137</v>
      </c>
      <c r="CQ34">
        <v>0.10267766006229501</v>
      </c>
      <c r="CR34">
        <v>4.4980166265399104</v>
      </c>
      <c r="CS34">
        <v>1.4705112351266101E-2</v>
      </c>
      <c r="CT34">
        <v>599.78921995137</v>
      </c>
      <c r="CU34">
        <v>0.10267766006229501</v>
      </c>
      <c r="CV34">
        <v>10.4575976192012</v>
      </c>
      <c r="CW34">
        <v>-3.91118533333333E-2</v>
      </c>
    </row>
    <row r="35" spans="1:101" x14ac:dyDescent="0.25">
      <c r="A35" t="s">
        <v>77</v>
      </c>
      <c r="B35">
        <v>10</v>
      </c>
      <c r="C35" t="s">
        <v>33</v>
      </c>
      <c r="D35" t="s">
        <v>94</v>
      </c>
      <c r="E35" t="s">
        <v>102</v>
      </c>
      <c r="F35" t="s">
        <v>145</v>
      </c>
      <c r="G35" t="s">
        <v>265</v>
      </c>
      <c r="H35" t="s">
        <v>755</v>
      </c>
      <c r="I35" t="s">
        <v>677</v>
      </c>
      <c r="J35" t="s">
        <v>309</v>
      </c>
      <c r="K35">
        <v>2</v>
      </c>
      <c r="L35">
        <v>140</v>
      </c>
      <c r="M35">
        <v>80</v>
      </c>
      <c r="N35">
        <v>140</v>
      </c>
      <c r="O35">
        <v>60</v>
      </c>
      <c r="P35">
        <v>190</v>
      </c>
      <c r="Q35">
        <v>190</v>
      </c>
      <c r="R35">
        <v>120</v>
      </c>
      <c r="S35">
        <v>155</v>
      </c>
      <c r="T35">
        <v>1.1071428571428572</v>
      </c>
      <c r="V35" t="s">
        <v>110</v>
      </c>
      <c r="W35">
        <v>70</v>
      </c>
      <c r="X35">
        <v>14.4</v>
      </c>
      <c r="Y35">
        <v>18.399999999999999</v>
      </c>
      <c r="Z35">
        <v>16.899999999999999</v>
      </c>
      <c r="AA35">
        <v>16.56666667</v>
      </c>
      <c r="AB35">
        <v>16.56666667</v>
      </c>
      <c r="AC35">
        <v>15.4</v>
      </c>
      <c r="AD35">
        <v>15.4</v>
      </c>
      <c r="AE35">
        <v>15.9</v>
      </c>
      <c r="AF35">
        <v>15.56666667</v>
      </c>
      <c r="AG35">
        <v>16.399999999999999</v>
      </c>
      <c r="AH35">
        <v>16.899999999999999</v>
      </c>
      <c r="AI35">
        <v>16.899999999999999</v>
      </c>
      <c r="AJ35">
        <v>16.733333330000001</v>
      </c>
      <c r="AK35">
        <v>18.899999999999999</v>
      </c>
      <c r="AL35">
        <v>16.399999999999999</v>
      </c>
      <c r="AM35">
        <v>19.399999999999999</v>
      </c>
      <c r="AN35">
        <v>18.233333330000001</v>
      </c>
      <c r="AO35">
        <v>16.733333330000001</v>
      </c>
      <c r="AP35">
        <v>3.6</v>
      </c>
      <c r="AQ35">
        <v>5.0999999999999996</v>
      </c>
      <c r="AR35">
        <v>7.1</v>
      </c>
      <c r="AS35">
        <v>5.266666667</v>
      </c>
      <c r="AT35">
        <v>4.0999999999999996</v>
      </c>
      <c r="AU35">
        <v>5.0999999999999996</v>
      </c>
      <c r="AV35">
        <v>7.6</v>
      </c>
      <c r="AW35">
        <v>5.6</v>
      </c>
      <c r="AX35">
        <v>5.266666667</v>
      </c>
      <c r="AY35">
        <v>-11.3</v>
      </c>
      <c r="AZ35">
        <v>2</v>
      </c>
      <c r="BA35">
        <v>25</v>
      </c>
      <c r="BB35">
        <v>0</v>
      </c>
      <c r="BC35">
        <v>15</v>
      </c>
      <c r="BD35">
        <v>0</v>
      </c>
      <c r="BE35">
        <v>0</v>
      </c>
      <c r="BF35">
        <v>0</v>
      </c>
      <c r="BG35">
        <v>20</v>
      </c>
      <c r="BI35">
        <v>4.5999999999999996</v>
      </c>
      <c r="BJ35">
        <v>31.262</v>
      </c>
      <c r="BK35">
        <v>0</v>
      </c>
      <c r="BL35">
        <v>34</v>
      </c>
      <c r="BM35">
        <v>30</v>
      </c>
      <c r="BN35">
        <v>578</v>
      </c>
      <c r="BO35">
        <v>560.5</v>
      </c>
      <c r="BP35">
        <v>17.5</v>
      </c>
      <c r="BQ35">
        <v>716</v>
      </c>
      <c r="BR35">
        <v>-138</v>
      </c>
      <c r="BS35">
        <v>6.8410751850000002</v>
      </c>
      <c r="BT35">
        <v>1.1585583335</v>
      </c>
      <c r="BU35">
        <v>5.8901662449999996</v>
      </c>
      <c r="BV35">
        <v>6.8410751850000002</v>
      </c>
      <c r="BW35">
        <v>-1.0999066664999999</v>
      </c>
      <c r="BX35">
        <v>-5.8901662449999996</v>
      </c>
      <c r="BY35">
        <v>43.036856380904197</v>
      </c>
      <c r="BZ35">
        <v>2.4195893500222798</v>
      </c>
      <c r="CA35">
        <v>0.72806182958313004</v>
      </c>
      <c r="CB35">
        <v>43.036856380904197</v>
      </c>
      <c r="CC35">
        <v>2.68451482424459</v>
      </c>
      <c r="CD35">
        <v>0.72806182958313004</v>
      </c>
      <c r="CE35" t="s">
        <v>114</v>
      </c>
      <c r="CF35" t="s">
        <v>114</v>
      </c>
      <c r="CG35" t="s">
        <v>114</v>
      </c>
      <c r="CH35">
        <v>6.8410751850000002</v>
      </c>
      <c r="CI35">
        <v>1.1585583335</v>
      </c>
      <c r="CJ35">
        <v>5.8901662449999996</v>
      </c>
      <c r="CK35" t="s">
        <v>114</v>
      </c>
      <c r="CL35">
        <v>6.8410751850000002</v>
      </c>
      <c r="CM35">
        <v>-1.0999066664999999</v>
      </c>
      <c r="CN35">
        <v>-5.8901662449999996</v>
      </c>
      <c r="CO35" t="s">
        <v>114</v>
      </c>
      <c r="CP35">
        <v>43.036856380904197</v>
      </c>
      <c r="CQ35">
        <v>2.4195893500222798</v>
      </c>
      <c r="CR35">
        <v>0.72806182958313004</v>
      </c>
      <c r="CS35" t="s">
        <v>114</v>
      </c>
      <c r="CT35">
        <v>43.036856380904197</v>
      </c>
      <c r="CU35">
        <v>2.68451482424459</v>
      </c>
      <c r="CV35">
        <v>0.72806182958313004</v>
      </c>
      <c r="CW35" t="s">
        <v>114</v>
      </c>
    </row>
    <row r="36" spans="1:101" x14ac:dyDescent="0.25">
      <c r="A36" t="s">
        <v>77</v>
      </c>
      <c r="B36">
        <v>10</v>
      </c>
      <c r="C36" t="s">
        <v>33</v>
      </c>
      <c r="D36" t="s">
        <v>94</v>
      </c>
      <c r="E36" t="s">
        <v>110</v>
      </c>
      <c r="F36" t="s">
        <v>145</v>
      </c>
      <c r="G36" t="s">
        <v>262</v>
      </c>
      <c r="H36" t="s">
        <v>767</v>
      </c>
      <c r="I36" t="s">
        <v>681</v>
      </c>
      <c r="J36" t="s">
        <v>310</v>
      </c>
      <c r="K36">
        <v>3</v>
      </c>
      <c r="L36">
        <v>85</v>
      </c>
      <c r="M36">
        <v>50</v>
      </c>
      <c r="N36">
        <v>85</v>
      </c>
      <c r="O36">
        <v>35</v>
      </c>
      <c r="P36">
        <v>15</v>
      </c>
      <c r="Q36">
        <v>10</v>
      </c>
      <c r="R36">
        <v>10</v>
      </c>
      <c r="S36">
        <v>10</v>
      </c>
      <c r="T36">
        <v>0.11764705882352941</v>
      </c>
      <c r="V36" t="s">
        <v>110</v>
      </c>
      <c r="W36">
        <v>85</v>
      </c>
      <c r="X36">
        <v>14.4</v>
      </c>
      <c r="Y36">
        <v>18.399999999999999</v>
      </c>
      <c r="Z36">
        <v>16.899999999999999</v>
      </c>
      <c r="AA36">
        <v>16.56666667</v>
      </c>
      <c r="AB36">
        <v>16.56666667</v>
      </c>
      <c r="AC36">
        <v>12.5</v>
      </c>
      <c r="AD36">
        <v>13.5</v>
      </c>
      <c r="AE36">
        <v>13.9</v>
      </c>
      <c r="AF36">
        <v>13.3</v>
      </c>
      <c r="AG36">
        <v>16.399999999999999</v>
      </c>
      <c r="AH36">
        <v>16.899999999999999</v>
      </c>
      <c r="AI36">
        <v>16.899999999999999</v>
      </c>
      <c r="AJ36">
        <v>16.733333330000001</v>
      </c>
      <c r="AK36">
        <v>15.9</v>
      </c>
      <c r="AL36">
        <v>13.5</v>
      </c>
      <c r="AM36">
        <v>16.399999999999999</v>
      </c>
      <c r="AN36">
        <v>15.266666669999999</v>
      </c>
      <c r="AO36">
        <v>16.733333330000001</v>
      </c>
      <c r="AP36">
        <v>3.6</v>
      </c>
      <c r="AQ36">
        <v>5.0999999999999996</v>
      </c>
      <c r="AR36">
        <v>7.1</v>
      </c>
      <c r="AS36">
        <v>5.266666667</v>
      </c>
      <c r="AT36">
        <v>3.6</v>
      </c>
      <c r="AU36">
        <v>3.1</v>
      </c>
      <c r="AV36">
        <v>2.7</v>
      </c>
      <c r="AW36">
        <v>3.1333333329999999</v>
      </c>
      <c r="AX36">
        <v>5.266666667</v>
      </c>
      <c r="AY36">
        <v>-11.3</v>
      </c>
      <c r="AZ36">
        <v>2</v>
      </c>
      <c r="BA36">
        <v>25</v>
      </c>
      <c r="BB36">
        <v>0</v>
      </c>
      <c r="BC36">
        <v>15</v>
      </c>
      <c r="BD36">
        <v>0</v>
      </c>
      <c r="BE36">
        <v>0</v>
      </c>
      <c r="BF36">
        <v>0</v>
      </c>
      <c r="BG36">
        <v>20</v>
      </c>
      <c r="BI36">
        <v>4.5999999999999996</v>
      </c>
      <c r="BJ36">
        <v>31.262</v>
      </c>
      <c r="BK36">
        <v>0</v>
      </c>
      <c r="BL36">
        <v>6</v>
      </c>
      <c r="BM36">
        <v>6</v>
      </c>
      <c r="BN36">
        <v>6</v>
      </c>
      <c r="BO36">
        <v>7.6666670000000003</v>
      </c>
      <c r="BP36">
        <v>-1.6666670000000003</v>
      </c>
      <c r="BQ36">
        <v>9</v>
      </c>
      <c r="BR36">
        <v>-3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 t="s">
        <v>114</v>
      </c>
      <c r="BZ36" t="s">
        <v>114</v>
      </c>
      <c r="CA36" t="s">
        <v>114</v>
      </c>
      <c r="CB36" t="s">
        <v>114</v>
      </c>
      <c r="CC36" t="s">
        <v>114</v>
      </c>
      <c r="CD36" t="s">
        <v>114</v>
      </c>
      <c r="CE36">
        <v>0</v>
      </c>
      <c r="CF36" t="s">
        <v>114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</row>
    <row r="37" spans="1:101" x14ac:dyDescent="0.25">
      <c r="A37" t="s">
        <v>78</v>
      </c>
      <c r="B37">
        <v>10</v>
      </c>
      <c r="C37" t="s">
        <v>35</v>
      </c>
      <c r="D37" t="s">
        <v>94</v>
      </c>
      <c r="E37" t="s">
        <v>111</v>
      </c>
      <c r="F37" t="s">
        <v>145</v>
      </c>
      <c r="G37" t="s">
        <v>263</v>
      </c>
      <c r="H37" t="s">
        <v>775</v>
      </c>
      <c r="I37" t="s">
        <v>678</v>
      </c>
      <c r="J37" t="s">
        <v>311</v>
      </c>
      <c r="K37">
        <v>0</v>
      </c>
      <c r="L37">
        <v>250</v>
      </c>
      <c r="M37">
        <v>300</v>
      </c>
      <c r="N37">
        <v>250</v>
      </c>
      <c r="O37">
        <v>-50</v>
      </c>
      <c r="P37">
        <v>90</v>
      </c>
      <c r="Q37">
        <v>100</v>
      </c>
      <c r="R37">
        <v>70</v>
      </c>
      <c r="S37">
        <v>85</v>
      </c>
      <c r="T37">
        <v>0.34</v>
      </c>
      <c r="V37" t="s">
        <v>112</v>
      </c>
      <c r="W37">
        <v>85</v>
      </c>
      <c r="X37">
        <v>16.899999999999999</v>
      </c>
      <c r="Y37">
        <v>15.9</v>
      </c>
      <c r="Z37">
        <v>17.899999999999999</v>
      </c>
      <c r="AA37">
        <v>16.899999999999999</v>
      </c>
      <c r="AB37">
        <v>16.899999999999999</v>
      </c>
      <c r="AC37">
        <v>16.399999999999999</v>
      </c>
      <c r="AD37">
        <v>16.899999999999999</v>
      </c>
      <c r="AE37">
        <v>17.899999999999999</v>
      </c>
      <c r="AF37">
        <v>17.06666667</v>
      </c>
      <c r="AG37">
        <v>17.899999999999999</v>
      </c>
      <c r="AH37">
        <v>18.399999999999999</v>
      </c>
      <c r="AI37">
        <v>18.399999999999999</v>
      </c>
      <c r="AJ37">
        <v>18.233333330000001</v>
      </c>
      <c r="AK37">
        <v>18.399999999999999</v>
      </c>
      <c r="AL37">
        <v>19.3</v>
      </c>
      <c r="AM37">
        <v>19.3</v>
      </c>
      <c r="AN37">
        <v>19</v>
      </c>
      <c r="AO37">
        <v>18.233333330000001</v>
      </c>
      <c r="AP37">
        <v>8.5</v>
      </c>
      <c r="AQ37">
        <v>8.5</v>
      </c>
      <c r="AR37">
        <v>9</v>
      </c>
      <c r="AS37">
        <v>8.6666666669999994</v>
      </c>
      <c r="AT37">
        <v>6.1</v>
      </c>
      <c r="AU37">
        <v>7.6</v>
      </c>
      <c r="AV37">
        <v>8.5</v>
      </c>
      <c r="AW37">
        <v>7.4</v>
      </c>
      <c r="AX37">
        <v>8.6666666669999994</v>
      </c>
      <c r="AY37">
        <v>-8.2333333329999991</v>
      </c>
      <c r="AZ37">
        <v>15</v>
      </c>
      <c r="BA37">
        <v>30</v>
      </c>
      <c r="BB37">
        <v>5</v>
      </c>
      <c r="BC37">
        <v>2</v>
      </c>
      <c r="BD37">
        <v>0</v>
      </c>
      <c r="BE37">
        <v>0</v>
      </c>
      <c r="BF37">
        <v>3</v>
      </c>
      <c r="BG37">
        <v>1</v>
      </c>
      <c r="BI37">
        <v>13.6</v>
      </c>
      <c r="BJ37">
        <v>5.9870000000000001</v>
      </c>
      <c r="BK37">
        <v>0</v>
      </c>
      <c r="BL37">
        <v>50</v>
      </c>
      <c r="BM37">
        <v>45</v>
      </c>
      <c r="BN37">
        <v>4122</v>
      </c>
      <c r="BO37">
        <v>2412</v>
      </c>
      <c r="BP37">
        <v>1710</v>
      </c>
      <c r="BQ37">
        <v>2305</v>
      </c>
      <c r="BR37">
        <v>1817</v>
      </c>
      <c r="BS37" t="s">
        <v>114</v>
      </c>
      <c r="BT37" t="s">
        <v>114</v>
      </c>
      <c r="BU37" t="s">
        <v>114</v>
      </c>
      <c r="BV37" t="s">
        <v>114</v>
      </c>
      <c r="BW37" t="s">
        <v>114</v>
      </c>
      <c r="BX37" t="s">
        <v>114</v>
      </c>
      <c r="BY37" t="s">
        <v>114</v>
      </c>
      <c r="BZ37" t="s">
        <v>114</v>
      </c>
      <c r="CA37" t="s">
        <v>114</v>
      </c>
      <c r="CB37" t="s">
        <v>114</v>
      </c>
      <c r="CC37" t="s">
        <v>114</v>
      </c>
      <c r="CD37" t="s">
        <v>114</v>
      </c>
      <c r="CE37" t="s">
        <v>114</v>
      </c>
      <c r="CF37" t="s">
        <v>114</v>
      </c>
      <c r="CG37" t="s">
        <v>114</v>
      </c>
      <c r="CH37" t="s">
        <v>114</v>
      </c>
      <c r="CI37" t="s">
        <v>114</v>
      </c>
      <c r="CJ37" t="s">
        <v>114</v>
      </c>
      <c r="CK37" t="s">
        <v>114</v>
      </c>
      <c r="CL37" t="s">
        <v>114</v>
      </c>
      <c r="CM37" t="s">
        <v>114</v>
      </c>
      <c r="CN37" t="s">
        <v>114</v>
      </c>
      <c r="CO37" t="s">
        <v>114</v>
      </c>
      <c r="CP37" t="s">
        <v>114</v>
      </c>
      <c r="CQ37" t="s">
        <v>114</v>
      </c>
      <c r="CR37" t="s">
        <v>114</v>
      </c>
      <c r="CS37" t="s">
        <v>114</v>
      </c>
      <c r="CT37" t="s">
        <v>114</v>
      </c>
      <c r="CU37" t="s">
        <v>114</v>
      </c>
      <c r="CV37" t="s">
        <v>114</v>
      </c>
      <c r="CW37" t="s">
        <v>114</v>
      </c>
    </row>
    <row r="38" spans="1:101" x14ac:dyDescent="0.25">
      <c r="A38" t="s">
        <v>50</v>
      </c>
      <c r="B38">
        <v>12</v>
      </c>
      <c r="C38" t="s">
        <v>11</v>
      </c>
      <c r="D38" t="s">
        <v>95</v>
      </c>
      <c r="E38" t="s">
        <v>113</v>
      </c>
      <c r="F38" t="s">
        <v>145</v>
      </c>
      <c r="G38" t="s">
        <v>259</v>
      </c>
      <c r="H38" t="s">
        <v>764</v>
      </c>
      <c r="I38" t="s">
        <v>682</v>
      </c>
      <c r="J38" t="s">
        <v>312</v>
      </c>
      <c r="K38">
        <v>7</v>
      </c>
      <c r="L38">
        <v>100</v>
      </c>
      <c r="M38">
        <v>120</v>
      </c>
      <c r="N38">
        <v>100</v>
      </c>
      <c r="O38">
        <v>-20</v>
      </c>
      <c r="P38">
        <v>10</v>
      </c>
      <c r="Q38">
        <v>20</v>
      </c>
      <c r="R38">
        <v>15</v>
      </c>
      <c r="S38">
        <v>17.5</v>
      </c>
      <c r="T38">
        <v>0.17499999999999999</v>
      </c>
      <c r="U38" t="s">
        <v>23</v>
      </c>
      <c r="V38" t="s">
        <v>113</v>
      </c>
      <c r="W38">
        <v>50</v>
      </c>
      <c r="X38">
        <v>16.899999999999999</v>
      </c>
      <c r="Y38">
        <v>16.399999999999999</v>
      </c>
      <c r="Z38">
        <v>14.4</v>
      </c>
      <c r="AA38">
        <v>15.9</v>
      </c>
      <c r="AB38">
        <v>15.9</v>
      </c>
      <c r="AC38">
        <v>15.9</v>
      </c>
      <c r="AD38">
        <v>16.399999999999999</v>
      </c>
      <c r="AE38">
        <v>16.899999999999999</v>
      </c>
      <c r="AF38">
        <v>16.399999999999999</v>
      </c>
      <c r="AG38">
        <v>15.4</v>
      </c>
      <c r="AH38">
        <v>18.399999999999999</v>
      </c>
      <c r="AI38">
        <v>16.899999999999999</v>
      </c>
      <c r="AJ38">
        <v>16.899999999999999</v>
      </c>
      <c r="AK38">
        <v>17.399999999999999</v>
      </c>
      <c r="AL38">
        <v>17.399999999999999</v>
      </c>
      <c r="AM38">
        <v>16.899999999999999</v>
      </c>
      <c r="AN38">
        <v>17.233333330000001</v>
      </c>
      <c r="AO38">
        <v>16.899999999999999</v>
      </c>
      <c r="AP38">
        <v>8.5</v>
      </c>
      <c r="AQ38">
        <v>8.5</v>
      </c>
      <c r="AR38">
        <v>5.6</v>
      </c>
      <c r="AS38">
        <v>7.5333333329999999</v>
      </c>
      <c r="AT38">
        <v>8.5</v>
      </c>
      <c r="AU38">
        <v>8.5</v>
      </c>
      <c r="AV38">
        <v>9</v>
      </c>
      <c r="AW38">
        <v>8.6666666669999994</v>
      </c>
      <c r="AX38">
        <v>7.5333333329999999</v>
      </c>
      <c r="AY38">
        <v>-8.3666666670000005</v>
      </c>
      <c r="AZ38">
        <v>25</v>
      </c>
      <c r="BA38">
        <v>50</v>
      </c>
      <c r="BB38">
        <v>0</v>
      </c>
      <c r="BC38">
        <v>20</v>
      </c>
      <c r="BD38">
        <v>1</v>
      </c>
      <c r="BE38">
        <v>1</v>
      </c>
      <c r="BF38">
        <v>0</v>
      </c>
      <c r="BG38">
        <v>0</v>
      </c>
      <c r="BI38">
        <v>9.1</v>
      </c>
      <c r="BJ38">
        <v>47.033999999999999</v>
      </c>
      <c r="BK38">
        <v>0</v>
      </c>
      <c r="BL38">
        <v>1</v>
      </c>
      <c r="BM38">
        <v>1</v>
      </c>
      <c r="BN38">
        <v>0</v>
      </c>
      <c r="BO38">
        <v>7</v>
      </c>
      <c r="BP38">
        <v>-7</v>
      </c>
      <c r="BQ38" t="s">
        <v>114</v>
      </c>
      <c r="BR38" t="s">
        <v>114</v>
      </c>
      <c r="BS38">
        <v>1.87121212</v>
      </c>
      <c r="BT38">
        <v>0.3490211245</v>
      </c>
      <c r="BU38">
        <v>3.4341658650000002</v>
      </c>
      <c r="BV38">
        <v>-1.87121212</v>
      </c>
      <c r="BW38">
        <v>0.3490211245</v>
      </c>
      <c r="BX38">
        <v>-3.4341658650000002</v>
      </c>
      <c r="BY38">
        <v>7.0028695960697904</v>
      </c>
      <c r="BZ38">
        <v>0.243631490694489</v>
      </c>
      <c r="CA38">
        <v>23.586990376662399</v>
      </c>
      <c r="CB38">
        <v>7.0028695960697904</v>
      </c>
      <c r="CC38">
        <v>0.243631490694489</v>
      </c>
      <c r="CD38">
        <v>23.586990376662399</v>
      </c>
      <c r="CE38">
        <v>4.1847524999999997E-2</v>
      </c>
      <c r="CF38">
        <v>3.5024306972512502E-3</v>
      </c>
      <c r="CG38">
        <v>1.19564357142857E-2</v>
      </c>
      <c r="CH38">
        <v>0.53463203428571404</v>
      </c>
      <c r="CI38">
        <v>9.97203212857143E-2</v>
      </c>
      <c r="CJ38">
        <v>0.98119024714285696</v>
      </c>
      <c r="CK38">
        <v>1.19564357142857E-2</v>
      </c>
      <c r="CL38">
        <v>-0.53463203428571404</v>
      </c>
      <c r="CM38">
        <v>9.97203212857143E-2</v>
      </c>
      <c r="CN38">
        <v>-0.98119024714285696</v>
      </c>
      <c r="CO38">
        <v>1.00069448492893E-3</v>
      </c>
      <c r="CP38">
        <v>2.0008198845913698</v>
      </c>
      <c r="CQ38">
        <v>6.9608997341282605E-2</v>
      </c>
      <c r="CR38">
        <v>6.7391401076178301</v>
      </c>
      <c r="CS38">
        <v>1.00069448492893E-3</v>
      </c>
      <c r="CT38">
        <v>2.0008198845913698</v>
      </c>
      <c r="CU38">
        <v>6.9608997341282605E-2</v>
      </c>
      <c r="CV38">
        <v>6.7391401076178301</v>
      </c>
      <c r="CW38">
        <v>4.1847524999999997E-2</v>
      </c>
    </row>
    <row r="39" spans="1:101" x14ac:dyDescent="0.25">
      <c r="A39" t="s">
        <v>50</v>
      </c>
      <c r="B39">
        <v>12</v>
      </c>
      <c r="C39" t="s">
        <v>11</v>
      </c>
      <c r="D39" t="s">
        <v>95</v>
      </c>
      <c r="E39" t="s">
        <v>103</v>
      </c>
      <c r="F39" t="s">
        <v>145</v>
      </c>
      <c r="G39" t="s">
        <v>260</v>
      </c>
      <c r="H39" t="s">
        <v>772</v>
      </c>
      <c r="I39" t="s">
        <v>683</v>
      </c>
      <c r="J39" t="s">
        <v>313</v>
      </c>
      <c r="K39">
        <v>7</v>
      </c>
      <c r="L39">
        <v>100</v>
      </c>
      <c r="M39">
        <v>60</v>
      </c>
      <c r="N39">
        <v>100</v>
      </c>
      <c r="O39">
        <v>40</v>
      </c>
      <c r="P39">
        <v>35</v>
      </c>
      <c r="Q39">
        <v>40</v>
      </c>
      <c r="R39">
        <v>15</v>
      </c>
      <c r="S39">
        <v>27.5</v>
      </c>
      <c r="T39">
        <v>0.27500000000000002</v>
      </c>
      <c r="V39" t="s">
        <v>113</v>
      </c>
      <c r="W39">
        <v>70</v>
      </c>
      <c r="X39">
        <v>16.899999999999999</v>
      </c>
      <c r="Y39">
        <v>16.399999999999999</v>
      </c>
      <c r="Z39">
        <v>14.4</v>
      </c>
      <c r="AA39">
        <v>15.9</v>
      </c>
      <c r="AB39">
        <v>15.9</v>
      </c>
      <c r="AC39">
        <v>15.9</v>
      </c>
      <c r="AD39">
        <v>16.399999999999999</v>
      </c>
      <c r="AE39">
        <v>17.399999999999999</v>
      </c>
      <c r="AF39">
        <v>16.56666667</v>
      </c>
      <c r="AG39">
        <v>15.4</v>
      </c>
      <c r="AH39">
        <v>18.399999999999999</v>
      </c>
      <c r="AI39">
        <v>16.899999999999999</v>
      </c>
      <c r="AJ39">
        <v>16.899999999999999</v>
      </c>
      <c r="AK39">
        <v>15.4</v>
      </c>
      <c r="AL39">
        <v>21.3</v>
      </c>
      <c r="AM39">
        <v>17.899999999999999</v>
      </c>
      <c r="AN39">
        <v>18.2</v>
      </c>
      <c r="AO39">
        <v>16.899999999999999</v>
      </c>
      <c r="AP39">
        <v>8.5</v>
      </c>
      <c r="AQ39">
        <v>8.5</v>
      </c>
      <c r="AR39">
        <v>5.6</v>
      </c>
      <c r="AS39">
        <v>7.5333333329999999</v>
      </c>
      <c r="AT39">
        <v>8.1</v>
      </c>
      <c r="AU39">
        <v>9</v>
      </c>
      <c r="AV39">
        <v>11</v>
      </c>
      <c r="AW39">
        <v>9.3666666670000005</v>
      </c>
      <c r="AX39">
        <v>7.5333333329999999</v>
      </c>
      <c r="AY39">
        <v>-8.3666666670000005</v>
      </c>
      <c r="AZ39">
        <v>25</v>
      </c>
      <c r="BA39">
        <v>50</v>
      </c>
      <c r="BB39">
        <v>0</v>
      </c>
      <c r="BC39">
        <v>20</v>
      </c>
      <c r="BD39">
        <v>1</v>
      </c>
      <c r="BE39">
        <v>1</v>
      </c>
      <c r="BF39">
        <v>0</v>
      </c>
      <c r="BG39">
        <v>0</v>
      </c>
      <c r="BI39">
        <v>9.1</v>
      </c>
      <c r="BJ39">
        <v>47.033999999999999</v>
      </c>
      <c r="BK39">
        <v>0</v>
      </c>
      <c r="BL39">
        <v>6</v>
      </c>
      <c r="BM39">
        <v>6</v>
      </c>
      <c r="BN39">
        <v>410</v>
      </c>
      <c r="BO39">
        <v>290.75</v>
      </c>
      <c r="BP39">
        <v>119.25</v>
      </c>
      <c r="BQ39">
        <v>338</v>
      </c>
      <c r="BR39">
        <v>72</v>
      </c>
      <c r="BS39">
        <v>27.808712119999999</v>
      </c>
      <c r="BT39" t="s">
        <v>114</v>
      </c>
      <c r="BU39">
        <v>7.153407895</v>
      </c>
      <c r="BV39">
        <v>-13.274621209999999</v>
      </c>
      <c r="BW39" t="s">
        <v>114</v>
      </c>
      <c r="BX39">
        <v>7.153407895</v>
      </c>
      <c r="BY39">
        <v>352.43113653796399</v>
      </c>
      <c r="BZ39" t="s">
        <v>114</v>
      </c>
      <c r="CA39">
        <v>0.60884073127230198</v>
      </c>
      <c r="CB39">
        <v>1546.6489395460701</v>
      </c>
      <c r="CC39" t="s">
        <v>114</v>
      </c>
      <c r="CD39">
        <v>0.60884073127230198</v>
      </c>
      <c r="CE39" t="s">
        <v>114</v>
      </c>
      <c r="CF39" t="s">
        <v>114</v>
      </c>
      <c r="CG39" t="s">
        <v>114</v>
      </c>
      <c r="CH39">
        <v>25.912337661428602</v>
      </c>
      <c r="CI39" t="s">
        <v>114</v>
      </c>
      <c r="CJ39">
        <v>7.2322283271428596</v>
      </c>
      <c r="CK39" t="s">
        <v>114</v>
      </c>
      <c r="CL39">
        <v>-9.30194805</v>
      </c>
      <c r="CM39" t="s">
        <v>114</v>
      </c>
      <c r="CN39">
        <v>7.2322283271428596</v>
      </c>
      <c r="CO39" t="s">
        <v>114</v>
      </c>
      <c r="CP39">
        <v>201.389220878836</v>
      </c>
      <c r="CQ39" t="s">
        <v>114</v>
      </c>
      <c r="CR39">
        <v>0.34790898929845798</v>
      </c>
      <c r="CS39" t="s">
        <v>114</v>
      </c>
      <c r="CT39">
        <v>883.79939402632601</v>
      </c>
      <c r="CU39" t="s">
        <v>114</v>
      </c>
      <c r="CV39">
        <v>0.34790898929845798</v>
      </c>
      <c r="CW39" t="s">
        <v>114</v>
      </c>
    </row>
    <row r="40" spans="1:101" x14ac:dyDescent="0.25">
      <c r="A40" t="s">
        <v>50</v>
      </c>
      <c r="B40">
        <v>12</v>
      </c>
      <c r="C40" t="s">
        <v>11</v>
      </c>
      <c r="D40" t="s">
        <v>95</v>
      </c>
      <c r="E40" t="s">
        <v>111</v>
      </c>
      <c r="F40" t="s">
        <v>145</v>
      </c>
      <c r="G40" t="s">
        <v>263</v>
      </c>
      <c r="H40" t="s">
        <v>776</v>
      </c>
      <c r="I40" t="s">
        <v>684</v>
      </c>
      <c r="J40" t="s">
        <v>314</v>
      </c>
      <c r="K40">
        <v>5</v>
      </c>
      <c r="L40">
        <v>290</v>
      </c>
      <c r="M40">
        <v>270</v>
      </c>
      <c r="N40">
        <v>290</v>
      </c>
      <c r="O40">
        <v>20</v>
      </c>
      <c r="P40">
        <v>60</v>
      </c>
      <c r="Q40">
        <v>200</v>
      </c>
      <c r="R40">
        <v>90</v>
      </c>
      <c r="S40">
        <v>145</v>
      </c>
      <c r="T40">
        <v>0.5</v>
      </c>
      <c r="V40" t="s">
        <v>113</v>
      </c>
      <c r="W40">
        <v>80</v>
      </c>
      <c r="X40">
        <v>16.899999999999999</v>
      </c>
      <c r="Y40">
        <v>16.399999999999999</v>
      </c>
      <c r="Z40">
        <v>14.4</v>
      </c>
      <c r="AA40">
        <v>15.9</v>
      </c>
      <c r="AB40">
        <v>15.9</v>
      </c>
      <c r="AC40">
        <v>17.899999999999999</v>
      </c>
      <c r="AD40">
        <v>17.899999999999999</v>
      </c>
      <c r="AE40">
        <v>16.899999999999999</v>
      </c>
      <c r="AF40">
        <v>17.56666667</v>
      </c>
      <c r="AG40">
        <v>15.4</v>
      </c>
      <c r="AH40">
        <v>18.399999999999999</v>
      </c>
      <c r="AI40">
        <v>16.899999999999999</v>
      </c>
      <c r="AJ40">
        <v>16.899999999999999</v>
      </c>
      <c r="AK40">
        <v>17.100000000000001</v>
      </c>
      <c r="AL40">
        <v>18.399999999999999</v>
      </c>
      <c r="AM40">
        <v>19.8</v>
      </c>
      <c r="AN40">
        <v>18.43333333</v>
      </c>
      <c r="AO40">
        <v>16.899999999999999</v>
      </c>
      <c r="AP40">
        <v>8.5</v>
      </c>
      <c r="AQ40">
        <v>8.5</v>
      </c>
      <c r="AR40">
        <v>5.6</v>
      </c>
      <c r="AS40">
        <v>7.5333333329999999</v>
      </c>
      <c r="AT40">
        <v>8.5</v>
      </c>
      <c r="AU40">
        <v>8.5</v>
      </c>
      <c r="AV40">
        <v>9</v>
      </c>
      <c r="AW40">
        <v>8.6666666669999994</v>
      </c>
      <c r="AX40">
        <v>7.5333333329999999</v>
      </c>
      <c r="AY40">
        <v>-8.3666666670000005</v>
      </c>
      <c r="AZ40">
        <v>25</v>
      </c>
      <c r="BA40">
        <v>50</v>
      </c>
      <c r="BB40">
        <v>0</v>
      </c>
      <c r="BC40">
        <v>20</v>
      </c>
      <c r="BD40">
        <v>1</v>
      </c>
      <c r="BE40">
        <v>1</v>
      </c>
      <c r="BF40">
        <v>0</v>
      </c>
      <c r="BG40">
        <v>0</v>
      </c>
      <c r="BI40">
        <v>9.1</v>
      </c>
      <c r="BJ40">
        <v>47.033999999999999</v>
      </c>
      <c r="BK40">
        <v>0</v>
      </c>
      <c r="BL40">
        <v>10</v>
      </c>
      <c r="BM40">
        <v>9</v>
      </c>
      <c r="BN40">
        <v>414</v>
      </c>
      <c r="BO40">
        <v>955.66669999999999</v>
      </c>
      <c r="BP40">
        <v>-541.66669999999999</v>
      </c>
      <c r="BQ40">
        <v>655</v>
      </c>
      <c r="BR40">
        <v>-241</v>
      </c>
      <c r="BS40">
        <v>27.808712119999999</v>
      </c>
      <c r="BT40" t="s">
        <v>114</v>
      </c>
      <c r="BU40">
        <v>1.154195235</v>
      </c>
      <c r="BV40">
        <v>-16.59485931</v>
      </c>
      <c r="BW40" t="s">
        <v>114</v>
      </c>
      <c r="BX40">
        <v>1.154195235</v>
      </c>
      <c r="BY40">
        <v>550.77871103738698</v>
      </c>
      <c r="BZ40" t="s">
        <v>114</v>
      </c>
      <c r="CA40">
        <v>0.60884073127230098</v>
      </c>
      <c r="CB40">
        <v>1546.6489395460701</v>
      </c>
      <c r="CC40" t="s">
        <v>114</v>
      </c>
      <c r="CD40">
        <v>0.60884073127230098</v>
      </c>
      <c r="CE40" t="s">
        <v>114</v>
      </c>
      <c r="CF40" t="s">
        <v>114</v>
      </c>
      <c r="CG40" t="s">
        <v>114</v>
      </c>
      <c r="CH40">
        <v>24.489740258000001</v>
      </c>
      <c r="CI40" t="s">
        <v>114</v>
      </c>
      <c r="CJ40">
        <v>1.26454384</v>
      </c>
      <c r="CK40" t="s">
        <v>114</v>
      </c>
      <c r="CL40">
        <v>-11.033116886</v>
      </c>
      <c r="CM40" t="s">
        <v>114</v>
      </c>
      <c r="CN40">
        <v>1.26454384</v>
      </c>
      <c r="CO40" t="s">
        <v>114</v>
      </c>
      <c r="CP40">
        <v>330.46722662243201</v>
      </c>
      <c r="CQ40" t="s">
        <v>114</v>
      </c>
      <c r="CR40">
        <v>0.36530443876338098</v>
      </c>
      <c r="CS40" t="s">
        <v>114</v>
      </c>
      <c r="CT40">
        <v>927.98936372764194</v>
      </c>
      <c r="CU40" t="s">
        <v>114</v>
      </c>
      <c r="CV40">
        <v>0.36530443876338098</v>
      </c>
      <c r="CW40" t="s">
        <v>114</v>
      </c>
    </row>
    <row r="41" spans="1:101" x14ac:dyDescent="0.25">
      <c r="A41" t="s">
        <v>50</v>
      </c>
      <c r="B41">
        <v>12</v>
      </c>
      <c r="C41" t="s">
        <v>11</v>
      </c>
      <c r="D41" t="s">
        <v>95</v>
      </c>
      <c r="E41" t="s">
        <v>104</v>
      </c>
      <c r="F41" t="s">
        <v>145</v>
      </c>
      <c r="G41" t="s">
        <v>264</v>
      </c>
      <c r="H41" t="s">
        <v>780</v>
      </c>
      <c r="I41" t="s">
        <v>685</v>
      </c>
      <c r="J41" t="s">
        <v>315</v>
      </c>
      <c r="K41">
        <v>2</v>
      </c>
      <c r="L41">
        <v>40</v>
      </c>
      <c r="M41">
        <v>40</v>
      </c>
      <c r="N41">
        <v>40</v>
      </c>
      <c r="O41">
        <v>0</v>
      </c>
      <c r="P41">
        <v>20</v>
      </c>
      <c r="Q41">
        <v>15</v>
      </c>
      <c r="R41">
        <v>10</v>
      </c>
      <c r="S41">
        <v>12.5</v>
      </c>
      <c r="T41">
        <v>0.3125</v>
      </c>
      <c r="V41" t="s">
        <v>121</v>
      </c>
      <c r="W41" t="s">
        <v>114</v>
      </c>
      <c r="X41">
        <v>16.899999999999999</v>
      </c>
      <c r="Y41">
        <v>16.399999999999999</v>
      </c>
      <c r="Z41">
        <v>14.4</v>
      </c>
      <c r="AA41">
        <v>15.9</v>
      </c>
      <c r="AB41">
        <v>15.9</v>
      </c>
      <c r="AC41">
        <v>14.4</v>
      </c>
      <c r="AD41">
        <v>14.4</v>
      </c>
      <c r="AE41">
        <v>13</v>
      </c>
      <c r="AF41">
        <v>13.93333333</v>
      </c>
      <c r="AG41">
        <v>15.4</v>
      </c>
      <c r="AH41">
        <v>18.399999999999999</v>
      </c>
      <c r="AI41">
        <v>16.899999999999999</v>
      </c>
      <c r="AJ41">
        <v>16.899999999999999</v>
      </c>
      <c r="AK41">
        <v>13.9</v>
      </c>
      <c r="AL41">
        <v>14.9</v>
      </c>
      <c r="AM41">
        <v>16.399999999999999</v>
      </c>
      <c r="AN41">
        <v>15.06666667</v>
      </c>
      <c r="AO41">
        <v>16.899999999999999</v>
      </c>
      <c r="AP41">
        <v>8.5</v>
      </c>
      <c r="AQ41">
        <v>8.5</v>
      </c>
      <c r="AR41">
        <v>5.6</v>
      </c>
      <c r="AS41">
        <v>7.5333333329999999</v>
      </c>
      <c r="AT41">
        <v>7.6</v>
      </c>
      <c r="AU41">
        <v>6.6</v>
      </c>
      <c r="AV41">
        <v>6.1</v>
      </c>
      <c r="AW41">
        <v>6.766666667</v>
      </c>
      <c r="AX41">
        <v>7.5333333329999999</v>
      </c>
      <c r="AY41">
        <v>-8.3666666670000005</v>
      </c>
      <c r="AZ41">
        <v>25</v>
      </c>
      <c r="BA41">
        <v>50</v>
      </c>
      <c r="BB41">
        <v>0</v>
      </c>
      <c r="BC41">
        <v>20</v>
      </c>
      <c r="BD41">
        <v>1</v>
      </c>
      <c r="BE41">
        <v>1</v>
      </c>
      <c r="BF41">
        <v>0</v>
      </c>
      <c r="BG41">
        <v>0</v>
      </c>
      <c r="BI41">
        <v>9.1</v>
      </c>
      <c r="BJ41">
        <v>47.033999999999999</v>
      </c>
      <c r="BK41">
        <v>0</v>
      </c>
      <c r="BL41">
        <v>2</v>
      </c>
      <c r="BM41">
        <v>2</v>
      </c>
      <c r="BN41">
        <v>6</v>
      </c>
      <c r="BO41">
        <v>22</v>
      </c>
      <c r="BP41">
        <v>-16</v>
      </c>
      <c r="BQ41">
        <v>20</v>
      </c>
      <c r="BR41">
        <v>-14</v>
      </c>
      <c r="BS41">
        <v>21.041666665000001</v>
      </c>
      <c r="BT41">
        <v>2.3854993824999999</v>
      </c>
      <c r="BU41">
        <v>3.478786355</v>
      </c>
      <c r="BV41">
        <v>21.041666665000001</v>
      </c>
      <c r="BW41">
        <v>2.3854993824999999</v>
      </c>
      <c r="BX41">
        <v>3.478786355</v>
      </c>
      <c r="BY41">
        <v>58.2300347581944</v>
      </c>
      <c r="BZ41">
        <v>2.0011467643364601E-4</v>
      </c>
      <c r="CA41">
        <v>0.35013317837612801</v>
      </c>
      <c r="CB41">
        <v>58.2300347581944</v>
      </c>
      <c r="CC41">
        <v>2.0011467643364601E-4</v>
      </c>
      <c r="CD41">
        <v>0.35013317837612801</v>
      </c>
      <c r="CE41">
        <v>0.14967117499999999</v>
      </c>
      <c r="CF41">
        <v>4.4802921251761302E-2</v>
      </c>
      <c r="CG41">
        <v>0.14967117499999999</v>
      </c>
      <c r="CH41">
        <v>21.041666665000001</v>
      </c>
      <c r="CI41">
        <v>2.3854993824999999</v>
      </c>
      <c r="CJ41">
        <v>3.478786355</v>
      </c>
      <c r="CK41">
        <v>0.12793207500000001</v>
      </c>
      <c r="CL41">
        <v>21.041666665000001</v>
      </c>
      <c r="CM41">
        <v>2.3854993824999999</v>
      </c>
      <c r="CN41">
        <v>3.478786355</v>
      </c>
      <c r="CO41">
        <v>3.2733231627611298E-2</v>
      </c>
      <c r="CP41">
        <v>58.2300347581944</v>
      </c>
      <c r="CQ41">
        <v>2.0011467643364601E-4</v>
      </c>
      <c r="CR41">
        <v>0.35013317837612801</v>
      </c>
      <c r="CS41">
        <v>4.4802921251761302E-2</v>
      </c>
      <c r="CT41">
        <v>58.2300347581944</v>
      </c>
      <c r="CU41">
        <v>2.0011467643364601E-4</v>
      </c>
      <c r="CV41">
        <v>0.35013317837612801</v>
      </c>
      <c r="CW41">
        <v>0.12793207500000001</v>
      </c>
    </row>
    <row r="42" spans="1:101" x14ac:dyDescent="0.25">
      <c r="A42" t="s">
        <v>51</v>
      </c>
      <c r="B42">
        <v>12</v>
      </c>
      <c r="C42" t="s">
        <v>15</v>
      </c>
      <c r="D42" t="s">
        <v>94</v>
      </c>
      <c r="E42" t="s">
        <v>105</v>
      </c>
      <c r="F42" t="s">
        <v>145</v>
      </c>
      <c r="G42" t="s">
        <v>266</v>
      </c>
      <c r="H42" t="s">
        <v>759</v>
      </c>
      <c r="I42" t="s">
        <v>686</v>
      </c>
      <c r="J42" t="s">
        <v>316</v>
      </c>
      <c r="K42" t="s">
        <v>114</v>
      </c>
      <c r="L42">
        <v>50</v>
      </c>
      <c r="M42">
        <v>50</v>
      </c>
      <c r="N42">
        <v>50</v>
      </c>
      <c r="O42">
        <v>0</v>
      </c>
      <c r="P42">
        <v>120</v>
      </c>
      <c r="Q42">
        <v>120</v>
      </c>
      <c r="R42">
        <v>100</v>
      </c>
      <c r="S42">
        <v>110</v>
      </c>
      <c r="T42">
        <v>2.2000000000000002</v>
      </c>
      <c r="V42" t="s">
        <v>104</v>
      </c>
      <c r="W42">
        <v>40</v>
      </c>
      <c r="X42">
        <v>13</v>
      </c>
      <c r="Y42">
        <v>13.9</v>
      </c>
      <c r="Z42">
        <v>14.4</v>
      </c>
      <c r="AA42">
        <v>13.766666669999999</v>
      </c>
      <c r="AB42">
        <v>13.766666669999999</v>
      </c>
      <c r="AC42">
        <v>17.399999999999999</v>
      </c>
      <c r="AD42">
        <v>20.3</v>
      </c>
      <c r="AE42">
        <v>15.9</v>
      </c>
      <c r="AF42">
        <v>17.866666670000001</v>
      </c>
      <c r="AG42">
        <v>14.4</v>
      </c>
      <c r="AH42">
        <v>14.4</v>
      </c>
      <c r="AI42">
        <v>15.4</v>
      </c>
      <c r="AJ42">
        <v>14.733333330000001</v>
      </c>
      <c r="AK42">
        <v>17.899999999999999</v>
      </c>
      <c r="AL42">
        <v>18.399999999999999</v>
      </c>
      <c r="AM42">
        <v>14.9</v>
      </c>
      <c r="AN42">
        <v>17.06666667</v>
      </c>
      <c r="AO42">
        <v>14.733333330000001</v>
      </c>
      <c r="AP42">
        <v>5.6</v>
      </c>
      <c r="AQ42">
        <v>4.5999999999999996</v>
      </c>
      <c r="AR42">
        <v>5.0999999999999996</v>
      </c>
      <c r="AS42">
        <v>5.0999999999999996</v>
      </c>
      <c r="AT42">
        <v>5.0999999999999996</v>
      </c>
      <c r="AU42">
        <v>6.1</v>
      </c>
      <c r="AV42">
        <v>7.6</v>
      </c>
      <c r="AW42">
        <v>6.266666667</v>
      </c>
      <c r="AX42">
        <v>5.0999999999999996</v>
      </c>
      <c r="AY42">
        <v>-8.6666666669999994</v>
      </c>
      <c r="AZ42">
        <v>70</v>
      </c>
      <c r="BA42">
        <v>0</v>
      </c>
      <c r="BB42">
        <v>0</v>
      </c>
      <c r="BC42">
        <v>5</v>
      </c>
      <c r="BD42">
        <v>1</v>
      </c>
      <c r="BE42">
        <v>0</v>
      </c>
      <c r="BF42">
        <v>0</v>
      </c>
      <c r="BG42">
        <v>0</v>
      </c>
      <c r="BI42">
        <v>13.3</v>
      </c>
      <c r="BJ42">
        <v>4.7930000000000001</v>
      </c>
      <c r="BK42">
        <v>0</v>
      </c>
      <c r="BL42">
        <v>3</v>
      </c>
      <c r="BM42">
        <v>3</v>
      </c>
      <c r="BN42">
        <v>158</v>
      </c>
      <c r="BO42">
        <v>308.33330000000001</v>
      </c>
      <c r="BP42">
        <v>-150.33330000000001</v>
      </c>
      <c r="BQ42">
        <v>338</v>
      </c>
      <c r="BR42">
        <v>-180</v>
      </c>
      <c r="BS42">
        <v>46.4375</v>
      </c>
      <c r="BT42">
        <v>2.0103032199999999</v>
      </c>
      <c r="BU42">
        <v>14.561728260000001</v>
      </c>
      <c r="BV42">
        <v>-46.4375</v>
      </c>
      <c r="BW42">
        <v>-2.0103032199999999</v>
      </c>
      <c r="BX42">
        <v>14.561728260000001</v>
      </c>
      <c r="BY42" t="s">
        <v>114</v>
      </c>
      <c r="BZ42" t="s">
        <v>114</v>
      </c>
      <c r="CA42" t="s">
        <v>114</v>
      </c>
      <c r="CB42" t="s">
        <v>114</v>
      </c>
      <c r="CC42" t="s">
        <v>114</v>
      </c>
      <c r="CD42" t="s">
        <v>114</v>
      </c>
      <c r="CE42">
        <v>1.6881131</v>
      </c>
      <c r="CF42" t="s">
        <v>114</v>
      </c>
      <c r="CG42">
        <v>1.6881131</v>
      </c>
      <c r="CH42">
        <v>46.4375</v>
      </c>
      <c r="CI42">
        <v>2.0103032199999999</v>
      </c>
      <c r="CJ42">
        <v>14.561728260000001</v>
      </c>
      <c r="CK42">
        <v>1.6881131</v>
      </c>
      <c r="CL42">
        <v>-46.4375</v>
      </c>
      <c r="CM42">
        <v>-2.0103032199999999</v>
      </c>
      <c r="CN42">
        <v>14.561728260000001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1.6881131</v>
      </c>
    </row>
    <row r="43" spans="1:101" x14ac:dyDescent="0.25">
      <c r="A43" t="s">
        <v>51</v>
      </c>
      <c r="B43">
        <v>12</v>
      </c>
      <c r="C43" t="s">
        <v>15</v>
      </c>
      <c r="D43" t="s">
        <v>94</v>
      </c>
      <c r="E43" t="s">
        <v>111</v>
      </c>
      <c r="F43" t="s">
        <v>145</v>
      </c>
      <c r="G43" t="s">
        <v>263</v>
      </c>
      <c r="H43" t="s">
        <v>775</v>
      </c>
      <c r="I43" t="s">
        <v>687</v>
      </c>
      <c r="J43" t="s">
        <v>317</v>
      </c>
      <c r="K43" t="s">
        <v>114</v>
      </c>
      <c r="L43">
        <v>180</v>
      </c>
      <c r="M43">
        <v>250</v>
      </c>
      <c r="N43">
        <v>180</v>
      </c>
      <c r="O43">
        <v>-70</v>
      </c>
      <c r="P43">
        <v>70</v>
      </c>
      <c r="Q43">
        <v>110</v>
      </c>
      <c r="R43">
        <v>60</v>
      </c>
      <c r="S43">
        <v>85</v>
      </c>
      <c r="T43">
        <v>0.47222222222222221</v>
      </c>
      <c r="V43" t="s">
        <v>121</v>
      </c>
      <c r="W43" t="s">
        <v>114</v>
      </c>
      <c r="X43">
        <v>13</v>
      </c>
      <c r="Y43">
        <v>13.9</v>
      </c>
      <c r="Z43">
        <v>14.4</v>
      </c>
      <c r="AA43">
        <v>13.766666669999999</v>
      </c>
      <c r="AB43">
        <v>13.766666669999999</v>
      </c>
      <c r="AC43">
        <v>14.4</v>
      </c>
      <c r="AD43">
        <v>13</v>
      </c>
      <c r="AE43">
        <v>15.4</v>
      </c>
      <c r="AF43">
        <v>14.266666669999999</v>
      </c>
      <c r="AG43">
        <v>14.4</v>
      </c>
      <c r="AH43">
        <v>14.4</v>
      </c>
      <c r="AI43">
        <v>15.4</v>
      </c>
      <c r="AJ43">
        <v>14.733333330000001</v>
      </c>
      <c r="AK43">
        <v>11</v>
      </c>
      <c r="AL43">
        <v>13</v>
      </c>
      <c r="AM43">
        <v>13.9</v>
      </c>
      <c r="AN43">
        <v>12.633333329999999</v>
      </c>
      <c r="AO43">
        <v>14.733333330000001</v>
      </c>
      <c r="AP43">
        <v>5.6</v>
      </c>
      <c r="AQ43">
        <v>4.5999999999999996</v>
      </c>
      <c r="AR43">
        <v>5.0999999999999996</v>
      </c>
      <c r="AS43">
        <v>5.0999999999999996</v>
      </c>
      <c r="AT43">
        <v>5.6</v>
      </c>
      <c r="AU43">
        <v>5.0999999999999996</v>
      </c>
      <c r="AV43">
        <v>8.1</v>
      </c>
      <c r="AW43">
        <v>6.266666667</v>
      </c>
      <c r="AX43">
        <v>5.0999999999999996</v>
      </c>
      <c r="AY43">
        <v>-8.6666666669999994</v>
      </c>
      <c r="AZ43">
        <v>70</v>
      </c>
      <c r="BA43">
        <v>0</v>
      </c>
      <c r="BB43">
        <v>0</v>
      </c>
      <c r="BC43">
        <v>5</v>
      </c>
      <c r="BD43">
        <v>1</v>
      </c>
      <c r="BE43">
        <v>0</v>
      </c>
      <c r="BF43">
        <v>0</v>
      </c>
      <c r="BG43">
        <v>0</v>
      </c>
      <c r="BI43">
        <v>13.3</v>
      </c>
      <c r="BJ43">
        <v>4.7930000000000001</v>
      </c>
      <c r="BK43">
        <v>0</v>
      </c>
      <c r="BL43">
        <v>18</v>
      </c>
      <c r="BM43">
        <v>15</v>
      </c>
      <c r="BN43" t="s">
        <v>114</v>
      </c>
      <c r="BO43">
        <v>422.66669999999999</v>
      </c>
      <c r="BP43" t="s">
        <v>114</v>
      </c>
      <c r="BQ43">
        <v>424</v>
      </c>
      <c r="BR43" t="s">
        <v>114</v>
      </c>
      <c r="BS43">
        <v>19.02857143</v>
      </c>
      <c r="BT43">
        <v>0.41088000000000002</v>
      </c>
      <c r="BU43">
        <v>6.1148542900000002</v>
      </c>
      <c r="BV43">
        <v>-19.02857143</v>
      </c>
      <c r="BW43">
        <v>-0.41088000000000002</v>
      </c>
      <c r="BX43">
        <v>-6.1148542900000002</v>
      </c>
      <c r="BY43" t="s">
        <v>114</v>
      </c>
      <c r="BZ43" t="s">
        <v>114</v>
      </c>
      <c r="CA43" t="s">
        <v>114</v>
      </c>
      <c r="CB43" t="s">
        <v>114</v>
      </c>
      <c r="CC43" t="s">
        <v>114</v>
      </c>
      <c r="CD43" t="s">
        <v>114</v>
      </c>
      <c r="CE43">
        <v>0.10717457</v>
      </c>
      <c r="CF43" t="s">
        <v>114</v>
      </c>
      <c r="CG43">
        <v>0.10717457</v>
      </c>
      <c r="CH43">
        <v>19.02857143</v>
      </c>
      <c r="CI43">
        <v>0.41088000000000002</v>
      </c>
      <c r="CJ43">
        <v>6.1148542900000002</v>
      </c>
      <c r="CK43">
        <v>0.10717457</v>
      </c>
      <c r="CL43">
        <v>-19.02857143</v>
      </c>
      <c r="CM43">
        <v>-0.41088000000000002</v>
      </c>
      <c r="CN43">
        <v>-6.1148542900000002</v>
      </c>
      <c r="CO43" t="s">
        <v>114</v>
      </c>
      <c r="CP43" t="s">
        <v>114</v>
      </c>
      <c r="CQ43" t="s">
        <v>114</v>
      </c>
      <c r="CR43" t="s">
        <v>114</v>
      </c>
      <c r="CS43" t="s">
        <v>114</v>
      </c>
      <c r="CT43" t="s">
        <v>114</v>
      </c>
      <c r="CU43" t="s">
        <v>114</v>
      </c>
      <c r="CV43" t="s">
        <v>114</v>
      </c>
      <c r="CW43">
        <v>0.10717457</v>
      </c>
    </row>
    <row r="44" spans="1:101" x14ac:dyDescent="0.25">
      <c r="A44" t="s">
        <v>51</v>
      </c>
      <c r="B44">
        <v>12</v>
      </c>
      <c r="C44" t="s">
        <v>15</v>
      </c>
      <c r="D44" t="s">
        <v>94</v>
      </c>
      <c r="E44" t="s">
        <v>112</v>
      </c>
      <c r="F44" t="s">
        <v>145</v>
      </c>
      <c r="G44" t="s">
        <v>261</v>
      </c>
      <c r="H44" t="s">
        <v>783</v>
      </c>
      <c r="I44" t="s">
        <v>688</v>
      </c>
      <c r="J44" t="s">
        <v>318</v>
      </c>
      <c r="K44" t="s">
        <v>114</v>
      </c>
      <c r="L44">
        <v>120</v>
      </c>
      <c r="M44">
        <v>50</v>
      </c>
      <c r="N44">
        <v>120</v>
      </c>
      <c r="O44">
        <v>70</v>
      </c>
      <c r="P44">
        <v>60</v>
      </c>
      <c r="Q44">
        <v>280</v>
      </c>
      <c r="R44">
        <v>160</v>
      </c>
      <c r="S44">
        <v>220</v>
      </c>
      <c r="T44">
        <v>1.8333333333333333</v>
      </c>
      <c r="V44" t="s">
        <v>112</v>
      </c>
      <c r="W44">
        <v>80</v>
      </c>
      <c r="X44">
        <v>13</v>
      </c>
      <c r="Y44">
        <v>13.9</v>
      </c>
      <c r="Z44">
        <v>14.4</v>
      </c>
      <c r="AA44">
        <v>13.766666669999999</v>
      </c>
      <c r="AB44">
        <v>13.766666669999999</v>
      </c>
      <c r="AC44">
        <v>10</v>
      </c>
      <c r="AD44">
        <v>11.5</v>
      </c>
      <c r="AE44">
        <v>14.4</v>
      </c>
      <c r="AF44">
        <v>11.96666667</v>
      </c>
      <c r="AG44">
        <v>14.4</v>
      </c>
      <c r="AH44">
        <v>14.4</v>
      </c>
      <c r="AI44">
        <v>15.4</v>
      </c>
      <c r="AJ44">
        <v>14.733333330000001</v>
      </c>
      <c r="AK44">
        <v>21.8</v>
      </c>
      <c r="AL44">
        <v>13.9</v>
      </c>
      <c r="AM44">
        <v>16.899999999999999</v>
      </c>
      <c r="AN44">
        <v>17.533333330000001</v>
      </c>
      <c r="AO44">
        <v>14.733333330000001</v>
      </c>
      <c r="AP44">
        <v>5.6</v>
      </c>
      <c r="AQ44">
        <v>4.5999999999999996</v>
      </c>
      <c r="AR44">
        <v>5.0999999999999996</v>
      </c>
      <c r="AS44">
        <v>5.0999999999999996</v>
      </c>
      <c r="AT44">
        <v>6.6</v>
      </c>
      <c r="AU44">
        <v>7.1</v>
      </c>
      <c r="AV44">
        <v>8.1</v>
      </c>
      <c r="AW44">
        <v>7.266666667</v>
      </c>
      <c r="AX44">
        <v>5.0999999999999996</v>
      </c>
      <c r="AY44">
        <v>-8.6666666669999994</v>
      </c>
      <c r="AZ44">
        <v>70</v>
      </c>
      <c r="BA44">
        <v>0</v>
      </c>
      <c r="BB44">
        <v>0</v>
      </c>
      <c r="BC44">
        <v>5</v>
      </c>
      <c r="BD44">
        <v>1</v>
      </c>
      <c r="BE44">
        <v>0</v>
      </c>
      <c r="BF44">
        <v>0</v>
      </c>
      <c r="BG44">
        <v>0</v>
      </c>
      <c r="BI44">
        <v>13.3</v>
      </c>
      <c r="BJ44">
        <v>4.7930000000000001</v>
      </c>
      <c r="BK44">
        <v>0</v>
      </c>
      <c r="BL44">
        <v>73</v>
      </c>
      <c r="BM44">
        <v>73</v>
      </c>
      <c r="BN44">
        <v>277</v>
      </c>
      <c r="BO44">
        <v>184.8</v>
      </c>
      <c r="BP44">
        <v>92.199999999999989</v>
      </c>
      <c r="BQ44">
        <v>366</v>
      </c>
      <c r="BR44">
        <v>-89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 t="s">
        <v>114</v>
      </c>
      <c r="BZ44" t="s">
        <v>114</v>
      </c>
      <c r="CA44" t="s">
        <v>114</v>
      </c>
      <c r="CB44" t="s">
        <v>114</v>
      </c>
      <c r="CC44" t="s">
        <v>114</v>
      </c>
      <c r="CD44" t="s">
        <v>114</v>
      </c>
      <c r="CE44">
        <v>0</v>
      </c>
      <c r="CF44" t="s">
        <v>114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</row>
    <row r="45" spans="1:101" x14ac:dyDescent="0.25">
      <c r="A45" t="s">
        <v>52</v>
      </c>
      <c r="B45">
        <v>12</v>
      </c>
      <c r="C45" t="s">
        <v>17</v>
      </c>
      <c r="D45" t="s">
        <v>95</v>
      </c>
      <c r="E45" t="s">
        <v>102</v>
      </c>
      <c r="F45" t="s">
        <v>145</v>
      </c>
      <c r="G45" t="s">
        <v>265</v>
      </c>
      <c r="H45" t="s">
        <v>756</v>
      </c>
      <c r="I45" t="s">
        <v>689</v>
      </c>
      <c r="J45" t="s">
        <v>319</v>
      </c>
      <c r="K45">
        <v>2</v>
      </c>
      <c r="L45">
        <v>110</v>
      </c>
      <c r="M45">
        <v>120</v>
      </c>
      <c r="N45">
        <v>110</v>
      </c>
      <c r="O45">
        <v>-10</v>
      </c>
      <c r="P45">
        <v>150</v>
      </c>
      <c r="Q45">
        <v>140</v>
      </c>
      <c r="R45">
        <v>140</v>
      </c>
      <c r="S45">
        <v>140</v>
      </c>
      <c r="T45">
        <v>1.2727272727272727</v>
      </c>
      <c r="V45" t="s">
        <v>121</v>
      </c>
      <c r="W45" t="s">
        <v>114</v>
      </c>
      <c r="X45">
        <v>13</v>
      </c>
      <c r="Y45">
        <v>13.9</v>
      </c>
      <c r="Z45">
        <v>14.4</v>
      </c>
      <c r="AA45">
        <v>13.766666669999999</v>
      </c>
      <c r="AB45">
        <v>13.766666669999999</v>
      </c>
      <c r="AC45">
        <v>17.899999999999999</v>
      </c>
      <c r="AD45">
        <v>15.9</v>
      </c>
      <c r="AE45">
        <v>16.399999999999999</v>
      </c>
      <c r="AF45">
        <v>16.733333330000001</v>
      </c>
      <c r="AG45">
        <v>17.899999999999999</v>
      </c>
      <c r="AH45">
        <v>17.399999999999999</v>
      </c>
      <c r="AI45">
        <v>18.399999999999999</v>
      </c>
      <c r="AJ45">
        <v>17.899999999999999</v>
      </c>
      <c r="AK45">
        <v>15.4</v>
      </c>
      <c r="AL45">
        <v>16.399999999999999</v>
      </c>
      <c r="AM45">
        <v>18.399999999999999</v>
      </c>
      <c r="AN45">
        <v>16.733333330000001</v>
      </c>
      <c r="AO45">
        <v>17.899999999999999</v>
      </c>
      <c r="AP45">
        <v>6.1</v>
      </c>
      <c r="AQ45">
        <v>7.6</v>
      </c>
      <c r="AR45">
        <v>8.5</v>
      </c>
      <c r="AS45">
        <v>7.4</v>
      </c>
      <c r="AT45">
        <v>5.6</v>
      </c>
      <c r="AU45">
        <v>6.6</v>
      </c>
      <c r="AV45">
        <v>8.5</v>
      </c>
      <c r="AW45">
        <v>6.9</v>
      </c>
      <c r="AX45">
        <v>7.4</v>
      </c>
      <c r="AY45">
        <v>-6.3666666669999996</v>
      </c>
      <c r="AZ45">
        <v>55</v>
      </c>
      <c r="BA45">
        <v>10</v>
      </c>
      <c r="BB45">
        <v>5</v>
      </c>
      <c r="BC45">
        <v>2</v>
      </c>
      <c r="BD45">
        <v>0</v>
      </c>
      <c r="BE45">
        <v>0</v>
      </c>
      <c r="BF45">
        <v>0</v>
      </c>
      <c r="BG45">
        <v>0</v>
      </c>
      <c r="BI45">
        <v>6.4</v>
      </c>
      <c r="BJ45">
        <v>42.4</v>
      </c>
      <c r="BK45">
        <v>0</v>
      </c>
      <c r="BL45">
        <v>20</v>
      </c>
      <c r="BM45">
        <v>20</v>
      </c>
      <c r="BN45">
        <v>647</v>
      </c>
      <c r="BO45">
        <v>545.5</v>
      </c>
      <c r="BP45">
        <v>101.5</v>
      </c>
      <c r="BQ45">
        <v>924</v>
      </c>
      <c r="BR45">
        <v>-277</v>
      </c>
      <c r="BS45">
        <v>1.87121212</v>
      </c>
      <c r="BT45">
        <v>0.73716612449999996</v>
      </c>
      <c r="BU45">
        <v>3.4341658650000002</v>
      </c>
      <c r="BV45">
        <v>-0.88804713999999996</v>
      </c>
      <c r="BW45">
        <v>0.73716612449999996</v>
      </c>
      <c r="BX45">
        <v>3.1228683149999998</v>
      </c>
      <c r="BY45">
        <v>1.5772554457243599</v>
      </c>
      <c r="BZ45">
        <v>0.243631490694489</v>
      </c>
      <c r="CA45">
        <v>19.5046130256619</v>
      </c>
      <c r="CB45">
        <v>7.0028695960697904</v>
      </c>
      <c r="CC45">
        <v>0.243631490694489</v>
      </c>
      <c r="CD45">
        <v>23.586990376662399</v>
      </c>
      <c r="CE45">
        <v>0.98598402500000004</v>
      </c>
      <c r="CF45">
        <v>3.5024306972512402E-3</v>
      </c>
      <c r="CG45">
        <v>0.98598402500000004</v>
      </c>
      <c r="CH45">
        <v>1.87121212</v>
      </c>
      <c r="CI45">
        <v>0.73716612449999996</v>
      </c>
      <c r="CJ45">
        <v>3.4341658650000002</v>
      </c>
      <c r="CK45">
        <v>0.98598402500000004</v>
      </c>
      <c r="CL45">
        <v>-0.88804713999999996</v>
      </c>
      <c r="CM45">
        <v>0.73716612449999996</v>
      </c>
      <c r="CN45">
        <v>3.1228683149999998</v>
      </c>
      <c r="CO45">
        <v>3.5024306972512402E-3</v>
      </c>
      <c r="CP45">
        <v>1.5772554457243599</v>
      </c>
      <c r="CQ45">
        <v>0.243631490694489</v>
      </c>
      <c r="CR45">
        <v>19.5046130256619</v>
      </c>
      <c r="CS45">
        <v>3.5024306972512402E-3</v>
      </c>
      <c r="CT45">
        <v>7.0028695960697904</v>
      </c>
      <c r="CU45">
        <v>0.243631490694489</v>
      </c>
      <c r="CV45">
        <v>23.586990376662399</v>
      </c>
      <c r="CW45">
        <v>0.98598402500000004</v>
      </c>
    </row>
    <row r="46" spans="1:101" x14ac:dyDescent="0.25">
      <c r="A46" t="s">
        <v>52</v>
      </c>
      <c r="B46">
        <v>12</v>
      </c>
      <c r="C46" t="s">
        <v>17</v>
      </c>
      <c r="D46" t="s">
        <v>95</v>
      </c>
      <c r="E46" t="s">
        <v>103</v>
      </c>
      <c r="F46" t="s">
        <v>145</v>
      </c>
      <c r="G46" t="s">
        <v>260</v>
      </c>
      <c r="H46" t="s">
        <v>772</v>
      </c>
      <c r="I46" t="s">
        <v>683</v>
      </c>
      <c r="J46" t="s">
        <v>320</v>
      </c>
      <c r="K46">
        <v>5</v>
      </c>
      <c r="L46">
        <v>40</v>
      </c>
      <c r="M46">
        <v>60</v>
      </c>
      <c r="N46">
        <v>40</v>
      </c>
      <c r="O46">
        <v>-20</v>
      </c>
      <c r="P46">
        <v>38</v>
      </c>
      <c r="Q46">
        <v>40</v>
      </c>
      <c r="R46">
        <v>30</v>
      </c>
      <c r="S46">
        <v>35</v>
      </c>
      <c r="T46">
        <v>0.875</v>
      </c>
      <c r="V46" t="s">
        <v>121</v>
      </c>
      <c r="W46" t="s">
        <v>114</v>
      </c>
      <c r="X46">
        <v>13</v>
      </c>
      <c r="Y46">
        <v>13.9</v>
      </c>
      <c r="Z46">
        <v>14.4</v>
      </c>
      <c r="AA46">
        <v>13.766666669999999</v>
      </c>
      <c r="AB46">
        <v>13.766666669999999</v>
      </c>
      <c r="AC46">
        <v>18.399999999999999</v>
      </c>
      <c r="AD46">
        <v>18.399999999999999</v>
      </c>
      <c r="AE46">
        <v>16.899999999999999</v>
      </c>
      <c r="AF46">
        <v>17.899999999999999</v>
      </c>
      <c r="AG46">
        <v>17.899999999999999</v>
      </c>
      <c r="AH46">
        <v>17.399999999999999</v>
      </c>
      <c r="AI46">
        <v>18.399999999999999</v>
      </c>
      <c r="AJ46">
        <v>17.899999999999999</v>
      </c>
      <c r="AK46">
        <v>16.899999999999999</v>
      </c>
      <c r="AL46">
        <v>16.399999999999999</v>
      </c>
      <c r="AM46">
        <v>17.399999999999999</v>
      </c>
      <c r="AN46">
        <v>16.899999999999999</v>
      </c>
      <c r="AO46">
        <v>17.899999999999999</v>
      </c>
      <c r="AP46">
        <v>6.1</v>
      </c>
      <c r="AQ46">
        <v>7.6</v>
      </c>
      <c r="AR46">
        <v>8.5</v>
      </c>
      <c r="AS46">
        <v>7.4</v>
      </c>
      <c r="AT46">
        <v>5.6</v>
      </c>
      <c r="AU46">
        <v>7.6</v>
      </c>
      <c r="AV46" t="s">
        <v>114</v>
      </c>
      <c r="AW46">
        <v>6.6</v>
      </c>
      <c r="AX46">
        <v>7.4</v>
      </c>
      <c r="AY46">
        <v>-6.3666666669999996</v>
      </c>
      <c r="AZ46">
        <v>55</v>
      </c>
      <c r="BA46">
        <v>10</v>
      </c>
      <c r="BB46">
        <v>5</v>
      </c>
      <c r="BC46">
        <v>2</v>
      </c>
      <c r="BD46">
        <v>0</v>
      </c>
      <c r="BE46">
        <v>0</v>
      </c>
      <c r="BF46">
        <v>0</v>
      </c>
      <c r="BG46">
        <v>0</v>
      </c>
      <c r="BI46">
        <v>6.4</v>
      </c>
      <c r="BJ46">
        <v>42.4</v>
      </c>
      <c r="BK46">
        <v>0</v>
      </c>
      <c r="BL46">
        <v>0</v>
      </c>
      <c r="BM46">
        <v>0</v>
      </c>
      <c r="BN46">
        <v>0</v>
      </c>
      <c r="BO46">
        <v>290.75</v>
      </c>
      <c r="BP46">
        <v>-290.75</v>
      </c>
      <c r="BQ46">
        <v>177</v>
      </c>
      <c r="BR46">
        <v>-177</v>
      </c>
      <c r="BS46">
        <v>8.4791666699999997</v>
      </c>
      <c r="BT46">
        <v>2.7738405000000001E-2</v>
      </c>
      <c r="BU46">
        <v>4.4395758599999997</v>
      </c>
      <c r="BV46">
        <v>8.4791666699999997</v>
      </c>
      <c r="BW46">
        <v>2.7738405000000001E-2</v>
      </c>
      <c r="BX46">
        <v>-4.4395758599999997</v>
      </c>
      <c r="BY46" t="s">
        <v>114</v>
      </c>
      <c r="BZ46" t="s">
        <v>114</v>
      </c>
      <c r="CA46" t="s">
        <v>114</v>
      </c>
      <c r="CB46" t="s">
        <v>114</v>
      </c>
      <c r="CC46" t="s">
        <v>114</v>
      </c>
      <c r="CD46" t="s">
        <v>114</v>
      </c>
      <c r="CE46">
        <v>2.0505059700000001</v>
      </c>
      <c r="CF46" t="s">
        <v>114</v>
      </c>
      <c r="CG46">
        <v>2.0505059700000001</v>
      </c>
      <c r="CH46">
        <v>8.4791666699999997</v>
      </c>
      <c r="CI46">
        <v>2.7738405000000001E-2</v>
      </c>
      <c r="CJ46">
        <v>4.4395758599999997</v>
      </c>
      <c r="CK46">
        <v>-2.0505059700000001</v>
      </c>
      <c r="CL46">
        <v>8.4791666699999997</v>
      </c>
      <c r="CM46">
        <v>2.7738405000000001E-2</v>
      </c>
      <c r="CN46">
        <v>-4.4395758599999997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-2.0505059700000001</v>
      </c>
    </row>
    <row r="47" spans="1:101" x14ac:dyDescent="0.25">
      <c r="A47" t="s">
        <v>52</v>
      </c>
      <c r="B47">
        <v>12</v>
      </c>
      <c r="C47" t="s">
        <v>17</v>
      </c>
      <c r="D47" t="s">
        <v>95</v>
      </c>
      <c r="E47" t="s">
        <v>111</v>
      </c>
      <c r="F47" t="s">
        <v>145</v>
      </c>
      <c r="G47" t="s">
        <v>263</v>
      </c>
      <c r="H47" t="s">
        <v>776</v>
      </c>
      <c r="I47" t="s">
        <v>684</v>
      </c>
      <c r="J47" t="s">
        <v>321</v>
      </c>
      <c r="K47">
        <v>1</v>
      </c>
      <c r="L47">
        <v>300</v>
      </c>
      <c r="M47">
        <v>290</v>
      </c>
      <c r="N47">
        <v>300</v>
      </c>
      <c r="O47">
        <v>10</v>
      </c>
      <c r="P47">
        <v>70</v>
      </c>
      <c r="Q47">
        <v>55</v>
      </c>
      <c r="R47">
        <v>10</v>
      </c>
      <c r="S47">
        <v>32.5</v>
      </c>
      <c r="T47">
        <v>0.10833333333333334</v>
      </c>
      <c r="V47" t="s">
        <v>103</v>
      </c>
      <c r="W47">
        <v>80</v>
      </c>
      <c r="X47">
        <v>13</v>
      </c>
      <c r="Y47">
        <v>13.9</v>
      </c>
      <c r="Z47">
        <v>14.4</v>
      </c>
      <c r="AA47">
        <v>13.766666669999999</v>
      </c>
      <c r="AB47">
        <v>13.766666669999999</v>
      </c>
      <c r="AC47">
        <v>17.399999999999999</v>
      </c>
      <c r="AD47">
        <v>17.899999999999999</v>
      </c>
      <c r="AE47">
        <v>17.899999999999999</v>
      </c>
      <c r="AF47">
        <v>17.733333330000001</v>
      </c>
      <c r="AG47">
        <v>17.899999999999999</v>
      </c>
      <c r="AH47">
        <v>17.399999999999999</v>
      </c>
      <c r="AI47">
        <v>18.399999999999999</v>
      </c>
      <c r="AJ47">
        <v>17.899999999999999</v>
      </c>
      <c r="AK47">
        <v>19.3</v>
      </c>
      <c r="AL47">
        <v>19.8</v>
      </c>
      <c r="AM47">
        <v>17.399999999999999</v>
      </c>
      <c r="AN47">
        <v>18.833333329999999</v>
      </c>
      <c r="AO47">
        <v>17.899999999999999</v>
      </c>
      <c r="AP47">
        <v>6.1</v>
      </c>
      <c r="AQ47">
        <v>7.6</v>
      </c>
      <c r="AR47">
        <v>8.5</v>
      </c>
      <c r="AS47">
        <v>7.4</v>
      </c>
      <c r="AT47">
        <v>7.1</v>
      </c>
      <c r="AU47">
        <v>7.1</v>
      </c>
      <c r="AV47">
        <v>5.0999999999999996</v>
      </c>
      <c r="AW47">
        <v>6.4333333330000002</v>
      </c>
      <c r="AX47">
        <v>7.4</v>
      </c>
      <c r="AY47">
        <v>-6.3666666669999996</v>
      </c>
      <c r="AZ47">
        <v>55</v>
      </c>
      <c r="BA47">
        <v>10</v>
      </c>
      <c r="BB47">
        <v>5</v>
      </c>
      <c r="BC47">
        <v>2</v>
      </c>
      <c r="BD47">
        <v>0</v>
      </c>
      <c r="BE47">
        <v>0</v>
      </c>
      <c r="BF47">
        <v>0</v>
      </c>
      <c r="BG47">
        <v>0</v>
      </c>
      <c r="BI47">
        <v>6.4</v>
      </c>
      <c r="BJ47">
        <v>42.4</v>
      </c>
      <c r="BK47">
        <v>0</v>
      </c>
      <c r="BL47">
        <v>27</v>
      </c>
      <c r="BM47">
        <v>22</v>
      </c>
      <c r="BN47">
        <v>319</v>
      </c>
      <c r="BO47">
        <v>955.66669999999999</v>
      </c>
      <c r="BP47">
        <v>-636.66669999999999</v>
      </c>
      <c r="BQ47">
        <v>782</v>
      </c>
      <c r="BR47">
        <v>-463</v>
      </c>
      <c r="BS47">
        <v>3.3202381000000001</v>
      </c>
      <c r="BT47">
        <v>7.2147627000000006E-2</v>
      </c>
      <c r="BU47">
        <v>5.9992126600000004</v>
      </c>
      <c r="BV47">
        <v>-3.3202381000000001</v>
      </c>
      <c r="BW47">
        <v>7.2147627000000006E-2</v>
      </c>
      <c r="BX47">
        <v>-5.9992126600000004</v>
      </c>
      <c r="BY47" t="s">
        <v>114</v>
      </c>
      <c r="BZ47" t="s">
        <v>114</v>
      </c>
      <c r="CA47" t="s">
        <v>114</v>
      </c>
      <c r="CB47" t="s">
        <v>114</v>
      </c>
      <c r="CC47" t="s">
        <v>114</v>
      </c>
      <c r="CD47" t="s">
        <v>114</v>
      </c>
      <c r="CE47">
        <v>3.8152800000000001E-2</v>
      </c>
      <c r="CF47" t="s">
        <v>114</v>
      </c>
      <c r="CG47">
        <v>3.8152800000000001E-2</v>
      </c>
      <c r="CH47">
        <v>3.3202381000000001</v>
      </c>
      <c r="CI47">
        <v>7.2147627000000006E-2</v>
      </c>
      <c r="CJ47">
        <v>5.9992126600000004</v>
      </c>
      <c r="CK47">
        <v>-3.8152800000000001E-2</v>
      </c>
      <c r="CL47">
        <v>-3.3202381000000001</v>
      </c>
      <c r="CM47">
        <v>7.2147627000000006E-2</v>
      </c>
      <c r="CN47">
        <v>-5.9992126600000004</v>
      </c>
      <c r="CO47" t="s">
        <v>114</v>
      </c>
      <c r="CP47" t="s">
        <v>114</v>
      </c>
      <c r="CQ47" t="s">
        <v>114</v>
      </c>
      <c r="CR47" t="s">
        <v>114</v>
      </c>
      <c r="CS47" t="s">
        <v>114</v>
      </c>
      <c r="CT47" t="s">
        <v>114</v>
      </c>
      <c r="CU47" t="s">
        <v>114</v>
      </c>
      <c r="CV47" t="s">
        <v>114</v>
      </c>
      <c r="CW47">
        <v>-3.8152800000000001E-2</v>
      </c>
    </row>
    <row r="48" spans="1:101" x14ac:dyDescent="0.25">
      <c r="A48" t="s">
        <v>52</v>
      </c>
      <c r="B48">
        <v>12</v>
      </c>
      <c r="C48" t="s">
        <v>17</v>
      </c>
      <c r="D48" t="s">
        <v>95</v>
      </c>
      <c r="E48" t="s">
        <v>112</v>
      </c>
      <c r="F48" t="s">
        <v>145</v>
      </c>
      <c r="G48" t="s">
        <v>261</v>
      </c>
      <c r="H48" t="s">
        <v>784</v>
      </c>
      <c r="I48" t="s">
        <v>690</v>
      </c>
      <c r="J48" t="s">
        <v>322</v>
      </c>
      <c r="K48">
        <v>1</v>
      </c>
      <c r="L48">
        <v>65</v>
      </c>
      <c r="M48">
        <v>85</v>
      </c>
      <c r="N48">
        <v>65</v>
      </c>
      <c r="O48">
        <v>-20</v>
      </c>
      <c r="P48">
        <v>65</v>
      </c>
      <c r="Q48">
        <v>200</v>
      </c>
      <c r="R48">
        <v>45</v>
      </c>
      <c r="S48">
        <v>122.5</v>
      </c>
      <c r="T48">
        <v>1.8846153846153846</v>
      </c>
      <c r="V48" t="s">
        <v>121</v>
      </c>
      <c r="W48" t="s">
        <v>114</v>
      </c>
      <c r="X48">
        <v>13</v>
      </c>
      <c r="Y48">
        <v>13.9</v>
      </c>
      <c r="Z48">
        <v>14.4</v>
      </c>
      <c r="AA48">
        <v>13.766666669999999</v>
      </c>
      <c r="AB48">
        <v>13.766666669999999</v>
      </c>
      <c r="AC48">
        <v>12.5</v>
      </c>
      <c r="AD48">
        <v>13</v>
      </c>
      <c r="AE48">
        <v>13.5</v>
      </c>
      <c r="AF48">
        <v>13</v>
      </c>
      <c r="AG48">
        <v>17.899999999999999</v>
      </c>
      <c r="AH48">
        <v>17.399999999999999</v>
      </c>
      <c r="AI48">
        <v>18.399999999999999</v>
      </c>
      <c r="AJ48">
        <v>17.899999999999999</v>
      </c>
      <c r="AK48">
        <v>13.5</v>
      </c>
      <c r="AL48">
        <v>18.399999999999999</v>
      </c>
      <c r="AM48">
        <v>15.4</v>
      </c>
      <c r="AN48">
        <v>15.766666669999999</v>
      </c>
      <c r="AO48">
        <v>17.899999999999999</v>
      </c>
      <c r="AP48">
        <v>6.1</v>
      </c>
      <c r="AQ48">
        <v>7.6</v>
      </c>
      <c r="AR48">
        <v>8.5</v>
      </c>
      <c r="AS48">
        <v>7.4</v>
      </c>
      <c r="AT48">
        <v>7.1</v>
      </c>
      <c r="AU48">
        <v>7.6</v>
      </c>
      <c r="AV48">
        <v>6.6</v>
      </c>
      <c r="AW48">
        <v>7.1</v>
      </c>
      <c r="AX48">
        <v>7.4</v>
      </c>
      <c r="AY48">
        <v>-6.3666666669999996</v>
      </c>
      <c r="AZ48">
        <v>55</v>
      </c>
      <c r="BA48">
        <v>10</v>
      </c>
      <c r="BB48">
        <v>5</v>
      </c>
      <c r="BC48">
        <v>2</v>
      </c>
      <c r="BD48">
        <v>0</v>
      </c>
      <c r="BE48">
        <v>0</v>
      </c>
      <c r="BF48">
        <v>0</v>
      </c>
      <c r="BG48">
        <v>0</v>
      </c>
      <c r="BI48">
        <v>6.4</v>
      </c>
      <c r="BJ48">
        <v>42.4</v>
      </c>
      <c r="BK48">
        <v>0</v>
      </c>
      <c r="BL48">
        <v>13</v>
      </c>
      <c r="BM48">
        <v>10</v>
      </c>
      <c r="BN48">
        <v>37</v>
      </c>
      <c r="BO48">
        <v>133</v>
      </c>
      <c r="BP48">
        <v>-96</v>
      </c>
      <c r="BQ48">
        <v>257</v>
      </c>
      <c r="BR48">
        <v>-220</v>
      </c>
      <c r="BS48">
        <v>67.1789773</v>
      </c>
      <c r="BT48">
        <v>2.2504543259999998</v>
      </c>
      <c r="BU48">
        <v>17.714904010000001</v>
      </c>
      <c r="BV48">
        <v>-67.1789773</v>
      </c>
      <c r="BW48">
        <v>2.2504543259999998</v>
      </c>
      <c r="BX48">
        <v>17.714904010000001</v>
      </c>
      <c r="BY48" t="s">
        <v>114</v>
      </c>
      <c r="BZ48" t="s">
        <v>114</v>
      </c>
      <c r="CA48" t="s">
        <v>114</v>
      </c>
      <c r="CB48" t="s">
        <v>114</v>
      </c>
      <c r="CC48" t="s">
        <v>114</v>
      </c>
      <c r="CD48" t="s">
        <v>114</v>
      </c>
      <c r="CE48">
        <v>1.7971333899999999</v>
      </c>
      <c r="CF48" t="s">
        <v>114</v>
      </c>
      <c r="CG48">
        <v>1.7971333899999999</v>
      </c>
      <c r="CH48">
        <v>67.1789773</v>
      </c>
      <c r="CI48">
        <v>2.2504543259999998</v>
      </c>
      <c r="CJ48">
        <v>17.714904010000001</v>
      </c>
      <c r="CK48">
        <v>1.7971333899999999</v>
      </c>
      <c r="CL48">
        <v>-67.1789773</v>
      </c>
      <c r="CM48">
        <v>2.2504543259999998</v>
      </c>
      <c r="CN48">
        <v>17.714904010000001</v>
      </c>
      <c r="CO48" t="s">
        <v>114</v>
      </c>
      <c r="CP48" t="s">
        <v>114</v>
      </c>
      <c r="CQ48" t="s">
        <v>114</v>
      </c>
      <c r="CR48" t="s">
        <v>114</v>
      </c>
      <c r="CS48" t="s">
        <v>114</v>
      </c>
      <c r="CT48" t="s">
        <v>114</v>
      </c>
      <c r="CU48" t="s">
        <v>114</v>
      </c>
      <c r="CV48" t="s">
        <v>114</v>
      </c>
      <c r="CW48">
        <v>1.7971333899999999</v>
      </c>
    </row>
    <row r="49" spans="1:101" x14ac:dyDescent="0.25">
      <c r="A49" t="s">
        <v>53</v>
      </c>
      <c r="B49">
        <v>12</v>
      </c>
      <c r="C49" t="s">
        <v>19</v>
      </c>
      <c r="D49" t="s">
        <v>94</v>
      </c>
      <c r="E49" t="s">
        <v>102</v>
      </c>
      <c r="F49" t="s">
        <v>145</v>
      </c>
      <c r="G49" t="s">
        <v>265</v>
      </c>
      <c r="H49" t="s">
        <v>755</v>
      </c>
      <c r="I49" t="s">
        <v>691</v>
      </c>
      <c r="J49" t="s">
        <v>323</v>
      </c>
      <c r="K49">
        <v>2</v>
      </c>
      <c r="L49" t="s">
        <v>114</v>
      </c>
      <c r="M49" t="s">
        <v>114</v>
      </c>
      <c r="N49" t="s">
        <v>114</v>
      </c>
      <c r="O49" t="s">
        <v>114</v>
      </c>
      <c r="P49" t="s">
        <v>114</v>
      </c>
      <c r="Q49" t="s">
        <v>114</v>
      </c>
      <c r="R49" t="s">
        <v>114</v>
      </c>
      <c r="S49" t="s">
        <v>114</v>
      </c>
      <c r="T49" t="s">
        <v>114</v>
      </c>
      <c r="U49" t="s">
        <v>114</v>
      </c>
      <c r="V49" t="s">
        <v>121</v>
      </c>
      <c r="W49" t="s">
        <v>114</v>
      </c>
      <c r="X49">
        <v>17.399999999999999</v>
      </c>
      <c r="Y49">
        <v>15.9</v>
      </c>
      <c r="Z49">
        <v>14.9</v>
      </c>
      <c r="AA49">
        <v>16.06666667</v>
      </c>
      <c r="AB49">
        <v>16.06666667</v>
      </c>
      <c r="AC49">
        <v>16.899999999999999</v>
      </c>
      <c r="AD49">
        <v>16.399999999999999</v>
      </c>
      <c r="AE49">
        <v>18.399999999999999</v>
      </c>
      <c r="AF49">
        <v>17.233333330000001</v>
      </c>
      <c r="AG49">
        <v>17.399999999999999</v>
      </c>
      <c r="AH49">
        <v>17.399999999999999</v>
      </c>
      <c r="AI49">
        <v>18.399999999999999</v>
      </c>
      <c r="AJ49">
        <v>17.733333330000001</v>
      </c>
      <c r="AK49">
        <v>19.3</v>
      </c>
      <c r="AL49">
        <v>17.399999999999999</v>
      </c>
      <c r="AM49">
        <v>18.899999999999999</v>
      </c>
      <c r="AN49">
        <v>18.533333330000001</v>
      </c>
      <c r="AO49">
        <v>17.733333330000001</v>
      </c>
      <c r="AP49">
        <v>6.1</v>
      </c>
      <c r="AQ49">
        <v>9</v>
      </c>
      <c r="AR49">
        <v>8.5</v>
      </c>
      <c r="AS49">
        <v>7.8666666669999996</v>
      </c>
      <c r="AT49">
        <v>6.6</v>
      </c>
      <c r="AU49">
        <v>6.1</v>
      </c>
      <c r="AV49">
        <v>6.6</v>
      </c>
      <c r="AW49">
        <v>6.4333333330000002</v>
      </c>
      <c r="AX49">
        <v>7.8666666669999996</v>
      </c>
      <c r="AY49">
        <v>-8.1999999999999993</v>
      </c>
      <c r="AZ49">
        <v>8</v>
      </c>
      <c r="BA49">
        <v>80</v>
      </c>
      <c r="BB49">
        <v>3</v>
      </c>
      <c r="BC49">
        <v>0</v>
      </c>
      <c r="BD49">
        <v>1</v>
      </c>
      <c r="BE49">
        <v>0</v>
      </c>
      <c r="BF49">
        <v>0</v>
      </c>
      <c r="BG49">
        <v>0</v>
      </c>
      <c r="BI49">
        <v>11.2</v>
      </c>
      <c r="BJ49">
        <v>2.4319999999999999</v>
      </c>
      <c r="BK49">
        <v>0</v>
      </c>
      <c r="BL49">
        <v>15</v>
      </c>
      <c r="BM49">
        <v>10</v>
      </c>
      <c r="BN49">
        <v>412</v>
      </c>
      <c r="BO49">
        <v>485.5</v>
      </c>
      <c r="BP49">
        <v>-73.5</v>
      </c>
      <c r="BQ49">
        <v>0</v>
      </c>
      <c r="BR49">
        <v>412</v>
      </c>
      <c r="BS49">
        <v>23.655092610000001</v>
      </c>
      <c r="BT49">
        <v>2.9114769415000001</v>
      </c>
      <c r="BU49">
        <v>1.6866994749999999</v>
      </c>
      <c r="BV49">
        <v>-23.655092610000001</v>
      </c>
      <c r="BW49">
        <v>-2.3283230525</v>
      </c>
      <c r="BX49">
        <v>0.42294110499999998</v>
      </c>
      <c r="BY49">
        <v>62.813367681944399</v>
      </c>
      <c r="BZ49">
        <v>10.8421764736058</v>
      </c>
      <c r="CA49">
        <v>0.35775835659724198</v>
      </c>
      <c r="CB49">
        <v>62.813367681944399</v>
      </c>
      <c r="CC49">
        <v>16.953395961772401</v>
      </c>
      <c r="CD49">
        <v>5.6899102379305502</v>
      </c>
      <c r="CE49" t="s">
        <v>114</v>
      </c>
      <c r="CF49" t="s">
        <v>114</v>
      </c>
      <c r="CG49" t="s">
        <v>114</v>
      </c>
      <c r="CH49">
        <v>23.655092610000001</v>
      </c>
      <c r="CI49">
        <v>2.9114769415000001</v>
      </c>
      <c r="CJ49">
        <v>1.6866994749999999</v>
      </c>
      <c r="CK49" t="s">
        <v>114</v>
      </c>
      <c r="CL49">
        <v>-23.655092610000001</v>
      </c>
      <c r="CM49">
        <v>-2.3283230525</v>
      </c>
      <c r="CN49">
        <v>0.42294110499999998</v>
      </c>
      <c r="CO49" t="s">
        <v>114</v>
      </c>
      <c r="CP49">
        <v>62.813367681944399</v>
      </c>
      <c r="CQ49">
        <v>10.8421764736058</v>
      </c>
      <c r="CR49">
        <v>0.35775835659724198</v>
      </c>
      <c r="CS49" t="s">
        <v>114</v>
      </c>
      <c r="CT49">
        <v>62.813367681944399</v>
      </c>
      <c r="CU49">
        <v>16.953395961772401</v>
      </c>
      <c r="CV49">
        <v>5.6899102379305502</v>
      </c>
      <c r="CW49" t="s">
        <v>114</v>
      </c>
    </row>
    <row r="50" spans="1:101" x14ac:dyDescent="0.25">
      <c r="A50" t="s">
        <v>53</v>
      </c>
      <c r="B50">
        <v>12</v>
      </c>
      <c r="C50" t="s">
        <v>19</v>
      </c>
      <c r="D50" t="s">
        <v>94</v>
      </c>
      <c r="E50" t="s">
        <v>113</v>
      </c>
      <c r="F50" t="s">
        <v>145</v>
      </c>
      <c r="G50" t="s">
        <v>259</v>
      </c>
      <c r="H50" t="s">
        <v>763</v>
      </c>
      <c r="I50" t="s">
        <v>692</v>
      </c>
      <c r="J50" t="s">
        <v>324</v>
      </c>
      <c r="K50">
        <v>7</v>
      </c>
      <c r="L50">
        <v>40</v>
      </c>
      <c r="M50">
        <v>10</v>
      </c>
      <c r="N50">
        <v>40</v>
      </c>
      <c r="O50">
        <v>30</v>
      </c>
      <c r="P50">
        <v>8</v>
      </c>
      <c r="Q50">
        <v>5</v>
      </c>
      <c r="R50">
        <v>3</v>
      </c>
      <c r="S50">
        <v>4</v>
      </c>
      <c r="T50">
        <v>0.1</v>
      </c>
      <c r="V50" t="s">
        <v>121</v>
      </c>
      <c r="W50" t="s">
        <v>114</v>
      </c>
      <c r="X50">
        <v>17.399999999999999</v>
      </c>
      <c r="Y50">
        <v>15.9</v>
      </c>
      <c r="Z50">
        <v>14.9</v>
      </c>
      <c r="AA50">
        <v>16.06666667</v>
      </c>
      <c r="AB50">
        <v>16.06666667</v>
      </c>
      <c r="AC50">
        <v>13.9</v>
      </c>
      <c r="AD50">
        <v>16.899999999999999</v>
      </c>
      <c r="AE50">
        <v>16.899999999999999</v>
      </c>
      <c r="AF50">
        <v>15.9</v>
      </c>
      <c r="AG50">
        <v>17.399999999999999</v>
      </c>
      <c r="AH50">
        <v>17.399999999999999</v>
      </c>
      <c r="AI50">
        <v>18.399999999999999</v>
      </c>
      <c r="AJ50">
        <v>17.733333330000001</v>
      </c>
      <c r="AK50">
        <v>15.4</v>
      </c>
      <c r="AL50">
        <v>16.899999999999999</v>
      </c>
      <c r="AM50">
        <v>18.399999999999999</v>
      </c>
      <c r="AN50">
        <v>16.899999999999999</v>
      </c>
      <c r="AO50">
        <v>17.733333330000001</v>
      </c>
      <c r="AP50">
        <v>6.1</v>
      </c>
      <c r="AQ50">
        <v>9</v>
      </c>
      <c r="AR50">
        <v>8.5</v>
      </c>
      <c r="AS50">
        <v>7.8666666669999996</v>
      </c>
      <c r="AT50">
        <v>6.1</v>
      </c>
      <c r="AU50">
        <v>5.0999999999999996</v>
      </c>
      <c r="AV50">
        <v>7.6</v>
      </c>
      <c r="AW50">
        <v>6.266666667</v>
      </c>
      <c r="AX50">
        <v>7.8666666669999996</v>
      </c>
      <c r="AY50">
        <v>-8.1999999999999993</v>
      </c>
      <c r="AZ50">
        <v>8</v>
      </c>
      <c r="BA50">
        <v>80</v>
      </c>
      <c r="BB50">
        <v>3</v>
      </c>
      <c r="BC50">
        <v>0</v>
      </c>
      <c r="BD50">
        <v>1</v>
      </c>
      <c r="BE50">
        <v>0</v>
      </c>
      <c r="BF50">
        <v>0</v>
      </c>
      <c r="BG50">
        <v>0</v>
      </c>
      <c r="BI50">
        <v>11.2</v>
      </c>
      <c r="BJ50">
        <v>2.4319999999999999</v>
      </c>
      <c r="BK50">
        <v>0</v>
      </c>
      <c r="BL50">
        <v>1</v>
      </c>
      <c r="BM50">
        <v>1</v>
      </c>
      <c r="BN50">
        <v>2</v>
      </c>
      <c r="BO50">
        <v>2.75</v>
      </c>
      <c r="BP50">
        <v>-0.75</v>
      </c>
      <c r="BQ50">
        <v>0</v>
      </c>
      <c r="BR50">
        <v>2</v>
      </c>
      <c r="BS50">
        <v>28.552556821666698</v>
      </c>
      <c r="BT50" t="s">
        <v>114</v>
      </c>
      <c r="BU50">
        <v>6.86877754333333</v>
      </c>
      <c r="BV50">
        <v>-22.331281568333299</v>
      </c>
      <c r="BW50" t="s">
        <v>114</v>
      </c>
      <c r="BX50">
        <v>-6.0589337833333303</v>
      </c>
      <c r="BY50">
        <v>408.74299107966903</v>
      </c>
      <c r="BZ50" t="s">
        <v>114</v>
      </c>
      <c r="CA50">
        <v>25.0780842245412</v>
      </c>
      <c r="CB50">
        <v>788.61782856405296</v>
      </c>
      <c r="CC50" t="s">
        <v>114</v>
      </c>
      <c r="CD50">
        <v>37.641395843319998</v>
      </c>
      <c r="CE50" t="s">
        <v>114</v>
      </c>
      <c r="CF50" t="s">
        <v>114</v>
      </c>
      <c r="CG50" t="s">
        <v>114</v>
      </c>
      <c r="CH50">
        <v>28.793966452857099</v>
      </c>
      <c r="CI50" t="s">
        <v>114</v>
      </c>
      <c r="CJ50">
        <v>7.00477968714286</v>
      </c>
      <c r="CK50" t="s">
        <v>114</v>
      </c>
      <c r="CL50">
        <v>-23.4614448071429</v>
      </c>
      <c r="CM50" t="s">
        <v>114</v>
      </c>
      <c r="CN50">
        <v>-6.3106278928571404</v>
      </c>
      <c r="CO50" t="s">
        <v>114</v>
      </c>
      <c r="CP50">
        <v>341.02710950327798</v>
      </c>
      <c r="CQ50" t="s">
        <v>114</v>
      </c>
      <c r="CR50">
        <v>21.027879602296501</v>
      </c>
      <c r="CS50" t="s">
        <v>114</v>
      </c>
      <c r="CT50">
        <v>666.12240642787197</v>
      </c>
      <c r="CU50" t="s">
        <v>114</v>
      </c>
      <c r="CV50">
        <v>31.811279342816199</v>
      </c>
      <c r="CW50" t="s">
        <v>114</v>
      </c>
    </row>
    <row r="51" spans="1:101" x14ac:dyDescent="0.25">
      <c r="A51" t="s">
        <v>53</v>
      </c>
      <c r="B51">
        <v>12</v>
      </c>
      <c r="C51" t="s">
        <v>19</v>
      </c>
      <c r="D51" t="s">
        <v>94</v>
      </c>
      <c r="E51" t="s">
        <v>103</v>
      </c>
      <c r="F51" t="s">
        <v>145</v>
      </c>
      <c r="G51" t="s">
        <v>260</v>
      </c>
      <c r="H51" t="s">
        <v>771</v>
      </c>
      <c r="I51" t="s">
        <v>693</v>
      </c>
      <c r="J51" t="s">
        <v>325</v>
      </c>
      <c r="K51">
        <v>2</v>
      </c>
      <c r="L51">
        <v>20</v>
      </c>
      <c r="M51">
        <v>60</v>
      </c>
      <c r="N51">
        <v>20</v>
      </c>
      <c r="O51">
        <v>-40</v>
      </c>
      <c r="P51">
        <v>12</v>
      </c>
      <c r="Q51">
        <v>5</v>
      </c>
      <c r="R51">
        <v>2</v>
      </c>
      <c r="S51">
        <v>3.5</v>
      </c>
      <c r="T51">
        <v>0.17499999999999999</v>
      </c>
      <c r="V51" t="s">
        <v>121</v>
      </c>
      <c r="W51" t="s">
        <v>114</v>
      </c>
      <c r="X51">
        <v>17.399999999999999</v>
      </c>
      <c r="Y51">
        <v>15.9</v>
      </c>
      <c r="Z51">
        <v>14.9</v>
      </c>
      <c r="AA51">
        <v>16.06666667</v>
      </c>
      <c r="AB51">
        <v>16.06666667</v>
      </c>
      <c r="AC51">
        <v>17.399999999999999</v>
      </c>
      <c r="AD51">
        <v>17.899999999999999</v>
      </c>
      <c r="AE51">
        <v>17.899999999999999</v>
      </c>
      <c r="AF51">
        <v>17.733333330000001</v>
      </c>
      <c r="AG51">
        <v>17.399999999999999</v>
      </c>
      <c r="AH51">
        <v>17.399999999999999</v>
      </c>
      <c r="AI51">
        <v>18.399999999999999</v>
      </c>
      <c r="AJ51">
        <v>17.733333330000001</v>
      </c>
      <c r="AK51">
        <v>16.899999999999999</v>
      </c>
      <c r="AL51">
        <v>17.399999999999999</v>
      </c>
      <c r="AM51">
        <v>17.899999999999999</v>
      </c>
      <c r="AN51">
        <v>17.399999999999999</v>
      </c>
      <c r="AO51">
        <v>17.733333330000001</v>
      </c>
      <c r="AP51">
        <v>6.1</v>
      </c>
      <c r="AQ51">
        <v>9</v>
      </c>
      <c r="AR51">
        <v>8.5</v>
      </c>
      <c r="AS51">
        <v>7.8666666669999996</v>
      </c>
      <c r="AT51">
        <v>7.6</v>
      </c>
      <c r="AU51">
        <v>6.6</v>
      </c>
      <c r="AV51">
        <v>6.1</v>
      </c>
      <c r="AW51">
        <v>6.766666667</v>
      </c>
      <c r="AX51">
        <v>7.8666666669999996</v>
      </c>
      <c r="AY51">
        <v>-8.1999999999999993</v>
      </c>
      <c r="AZ51">
        <v>8</v>
      </c>
      <c r="BA51">
        <v>80</v>
      </c>
      <c r="BB51">
        <v>3</v>
      </c>
      <c r="BC51">
        <v>0</v>
      </c>
      <c r="BD51">
        <v>1</v>
      </c>
      <c r="BE51">
        <v>0</v>
      </c>
      <c r="BF51">
        <v>0</v>
      </c>
      <c r="BG51">
        <v>0</v>
      </c>
      <c r="BI51">
        <v>11.2</v>
      </c>
      <c r="BJ51">
        <v>2.4319999999999999</v>
      </c>
      <c r="BK51">
        <v>0</v>
      </c>
      <c r="BL51">
        <v>0</v>
      </c>
      <c r="BM51">
        <v>0</v>
      </c>
      <c r="BN51">
        <v>0</v>
      </c>
      <c r="BO51">
        <v>313.5</v>
      </c>
      <c r="BP51">
        <v>-313.5</v>
      </c>
      <c r="BQ51">
        <v>441</v>
      </c>
      <c r="BR51">
        <v>-441</v>
      </c>
      <c r="BS51">
        <v>7.8541666650000002</v>
      </c>
      <c r="BT51">
        <v>0.24151381350000001</v>
      </c>
      <c r="BU51">
        <v>5.7820814999999998E-2</v>
      </c>
      <c r="BV51">
        <v>-7.8541666650000002</v>
      </c>
      <c r="BW51">
        <v>-0.24151381350000001</v>
      </c>
      <c r="BX51">
        <v>-5.7820814999999998E-2</v>
      </c>
      <c r="BY51">
        <v>123.375868003194</v>
      </c>
      <c r="BZ51">
        <v>0.116657844222626</v>
      </c>
      <c r="CA51">
        <v>6.6864932945284502E-3</v>
      </c>
      <c r="CB51">
        <v>123.375868003194</v>
      </c>
      <c r="CC51">
        <v>0.116657844222626</v>
      </c>
      <c r="CD51">
        <v>6.6864932945284502E-3</v>
      </c>
      <c r="CE51">
        <v>7.2663685000000006E-2</v>
      </c>
      <c r="CF51">
        <v>1.05600222355585E-2</v>
      </c>
      <c r="CG51">
        <v>7.2663685000000006E-2</v>
      </c>
      <c r="CH51">
        <v>7.8541666650000002</v>
      </c>
      <c r="CI51">
        <v>0.24151381350000001</v>
      </c>
      <c r="CJ51">
        <v>5.7820814999999998E-2</v>
      </c>
      <c r="CK51">
        <v>7.2663685000000006E-2</v>
      </c>
      <c r="CL51">
        <v>-7.8541666650000002</v>
      </c>
      <c r="CM51">
        <v>-0.24151381350000001</v>
      </c>
      <c r="CN51">
        <v>-5.7820814999999998E-2</v>
      </c>
      <c r="CO51">
        <v>1.05600222355585E-2</v>
      </c>
      <c r="CP51">
        <v>123.375868003194</v>
      </c>
      <c r="CQ51">
        <v>0.116657844222626</v>
      </c>
      <c r="CR51">
        <v>6.6864932945284502E-3</v>
      </c>
      <c r="CS51">
        <v>1.05600222355585E-2</v>
      </c>
      <c r="CT51">
        <v>123.375868003194</v>
      </c>
      <c r="CU51">
        <v>0.116657844222626</v>
      </c>
      <c r="CV51">
        <v>6.6864932945284502E-3</v>
      </c>
      <c r="CW51">
        <v>7.2663685000000006E-2</v>
      </c>
    </row>
    <row r="52" spans="1:101" x14ac:dyDescent="0.25">
      <c r="A52" t="s">
        <v>53</v>
      </c>
      <c r="B52">
        <v>12</v>
      </c>
      <c r="C52" t="s">
        <v>19</v>
      </c>
      <c r="D52" t="s">
        <v>94</v>
      </c>
      <c r="E52" t="s">
        <v>112</v>
      </c>
      <c r="F52" t="s">
        <v>145</v>
      </c>
      <c r="G52" t="s">
        <v>261</v>
      </c>
      <c r="H52" t="s">
        <v>783</v>
      </c>
      <c r="I52" t="s">
        <v>688</v>
      </c>
      <c r="J52" t="s">
        <v>326</v>
      </c>
      <c r="K52">
        <v>0</v>
      </c>
      <c r="L52">
        <v>40</v>
      </c>
      <c r="M52">
        <v>40</v>
      </c>
      <c r="N52">
        <v>40</v>
      </c>
      <c r="O52">
        <v>0</v>
      </c>
      <c r="P52">
        <v>40</v>
      </c>
      <c r="Q52">
        <v>90</v>
      </c>
      <c r="R52">
        <v>80</v>
      </c>
      <c r="S52">
        <v>85</v>
      </c>
      <c r="T52">
        <v>2.125</v>
      </c>
      <c r="V52" t="s">
        <v>121</v>
      </c>
      <c r="W52" t="s">
        <v>114</v>
      </c>
      <c r="X52">
        <v>17.399999999999999</v>
      </c>
      <c r="Y52">
        <v>15.9</v>
      </c>
      <c r="Z52">
        <v>14.9</v>
      </c>
      <c r="AA52">
        <v>16.06666667</v>
      </c>
      <c r="AB52">
        <v>16.06666667</v>
      </c>
      <c r="AC52">
        <v>16.899999999999999</v>
      </c>
      <c r="AD52">
        <v>16.399999999999999</v>
      </c>
      <c r="AE52">
        <v>16.899999999999999</v>
      </c>
      <c r="AF52">
        <v>16.733333330000001</v>
      </c>
      <c r="AG52">
        <v>17.399999999999999</v>
      </c>
      <c r="AH52">
        <v>17.399999999999999</v>
      </c>
      <c r="AI52">
        <v>18.399999999999999</v>
      </c>
      <c r="AJ52">
        <v>17.733333330000001</v>
      </c>
      <c r="AK52">
        <v>17.399999999999999</v>
      </c>
      <c r="AL52">
        <v>17.399999999999999</v>
      </c>
      <c r="AM52">
        <v>18.399999999999999</v>
      </c>
      <c r="AN52">
        <v>17.733333330000001</v>
      </c>
      <c r="AO52">
        <v>17.733333330000001</v>
      </c>
      <c r="AP52">
        <v>6.1</v>
      </c>
      <c r="AQ52">
        <v>9</v>
      </c>
      <c r="AR52">
        <v>8.5</v>
      </c>
      <c r="AS52">
        <v>7.8666666669999996</v>
      </c>
      <c r="AT52">
        <v>6.6</v>
      </c>
      <c r="AU52">
        <v>6.6</v>
      </c>
      <c r="AV52">
        <v>6.1</v>
      </c>
      <c r="AW52">
        <v>6.4333333330000002</v>
      </c>
      <c r="AX52">
        <v>7.8666666669999996</v>
      </c>
      <c r="AY52">
        <v>-8.1999999999999993</v>
      </c>
      <c r="AZ52">
        <v>8</v>
      </c>
      <c r="BA52">
        <v>80</v>
      </c>
      <c r="BB52">
        <v>3</v>
      </c>
      <c r="BC52">
        <v>0</v>
      </c>
      <c r="BD52">
        <v>1</v>
      </c>
      <c r="BE52">
        <v>0</v>
      </c>
      <c r="BF52">
        <v>0</v>
      </c>
      <c r="BG52">
        <v>0</v>
      </c>
      <c r="BI52">
        <v>11.2</v>
      </c>
      <c r="BJ52">
        <v>2.4319999999999999</v>
      </c>
      <c r="BK52">
        <v>0</v>
      </c>
      <c r="BL52">
        <v>9</v>
      </c>
      <c r="BM52">
        <v>8</v>
      </c>
      <c r="BN52">
        <v>27</v>
      </c>
      <c r="BO52">
        <v>184.8</v>
      </c>
      <c r="BP52">
        <v>-157.80000000000001</v>
      </c>
      <c r="BQ52">
        <v>36</v>
      </c>
      <c r="BR52">
        <v>-9</v>
      </c>
      <c r="BS52" t="s">
        <v>114</v>
      </c>
      <c r="BT52" t="s">
        <v>114</v>
      </c>
      <c r="BU52" t="s">
        <v>114</v>
      </c>
      <c r="BV52" t="s">
        <v>114</v>
      </c>
      <c r="BW52" t="s">
        <v>114</v>
      </c>
      <c r="BX52" t="s">
        <v>114</v>
      </c>
      <c r="BY52" t="s">
        <v>114</v>
      </c>
      <c r="BZ52" t="s">
        <v>114</v>
      </c>
      <c r="CA52" t="s">
        <v>114</v>
      </c>
      <c r="CB52" t="s">
        <v>114</v>
      </c>
      <c r="CC52" t="s">
        <v>114</v>
      </c>
      <c r="CD52" t="s">
        <v>114</v>
      </c>
      <c r="CE52" t="s">
        <v>114</v>
      </c>
      <c r="CF52" t="s">
        <v>114</v>
      </c>
      <c r="CG52" t="s">
        <v>114</v>
      </c>
      <c r="CH52" t="s">
        <v>114</v>
      </c>
      <c r="CI52" t="s">
        <v>114</v>
      </c>
      <c r="CJ52" t="s">
        <v>114</v>
      </c>
      <c r="CK52" t="s">
        <v>114</v>
      </c>
      <c r="CL52" t="s">
        <v>114</v>
      </c>
      <c r="CM52" t="s">
        <v>114</v>
      </c>
      <c r="CN52" t="s">
        <v>114</v>
      </c>
      <c r="CO52" t="s">
        <v>114</v>
      </c>
      <c r="CP52" t="s">
        <v>114</v>
      </c>
      <c r="CQ52" t="s">
        <v>114</v>
      </c>
      <c r="CR52" t="s">
        <v>114</v>
      </c>
      <c r="CS52" t="s">
        <v>114</v>
      </c>
      <c r="CT52" t="s">
        <v>114</v>
      </c>
      <c r="CU52" t="s">
        <v>114</v>
      </c>
      <c r="CV52" t="s">
        <v>114</v>
      </c>
      <c r="CW52" t="s">
        <v>114</v>
      </c>
    </row>
    <row r="53" spans="1:101" x14ac:dyDescent="0.25">
      <c r="A53" t="s">
        <v>54</v>
      </c>
      <c r="B53">
        <v>12</v>
      </c>
      <c r="C53" t="s">
        <v>21</v>
      </c>
      <c r="D53" t="s">
        <v>95</v>
      </c>
      <c r="E53" t="s">
        <v>113</v>
      </c>
      <c r="F53" t="s">
        <v>145</v>
      </c>
      <c r="G53" t="s">
        <v>259</v>
      </c>
      <c r="H53" t="s">
        <v>764</v>
      </c>
      <c r="I53" t="s">
        <v>682</v>
      </c>
      <c r="J53" t="s">
        <v>327</v>
      </c>
      <c r="K53">
        <v>2</v>
      </c>
      <c r="L53">
        <v>35</v>
      </c>
      <c r="M53">
        <v>90</v>
      </c>
      <c r="N53">
        <v>35</v>
      </c>
      <c r="O53">
        <v>-55</v>
      </c>
      <c r="P53">
        <v>10</v>
      </c>
      <c r="Q53">
        <v>15</v>
      </c>
      <c r="R53">
        <v>5</v>
      </c>
      <c r="S53">
        <v>10</v>
      </c>
      <c r="T53">
        <v>0.2857142857142857</v>
      </c>
      <c r="V53" t="s">
        <v>121</v>
      </c>
      <c r="W53" t="s">
        <v>114</v>
      </c>
      <c r="X53">
        <v>13</v>
      </c>
      <c r="Y53">
        <v>13.9</v>
      </c>
      <c r="Z53">
        <v>17.399999999999999</v>
      </c>
      <c r="AA53">
        <v>14.766666669999999</v>
      </c>
      <c r="AB53">
        <v>14.766666669999999</v>
      </c>
      <c r="AC53">
        <v>15.4</v>
      </c>
      <c r="AD53">
        <v>14.4</v>
      </c>
      <c r="AE53">
        <v>13.5</v>
      </c>
      <c r="AF53">
        <v>14.43333333</v>
      </c>
      <c r="AG53">
        <v>17.399999999999999</v>
      </c>
      <c r="AH53">
        <v>17.899999999999999</v>
      </c>
      <c r="AI53">
        <v>18.899999999999999</v>
      </c>
      <c r="AJ53">
        <v>18.06666667</v>
      </c>
      <c r="AK53">
        <v>14.9</v>
      </c>
      <c r="AL53">
        <v>14.9</v>
      </c>
      <c r="AM53">
        <v>16.399999999999999</v>
      </c>
      <c r="AN53">
        <v>15.4</v>
      </c>
      <c r="AO53">
        <v>18.06666667</v>
      </c>
      <c r="AP53">
        <v>5.9</v>
      </c>
      <c r="AQ53">
        <v>6.3</v>
      </c>
      <c r="AR53">
        <v>6.3</v>
      </c>
      <c r="AS53">
        <v>6.1666666670000003</v>
      </c>
      <c r="AT53">
        <v>5.3</v>
      </c>
      <c r="AU53">
        <v>5.3</v>
      </c>
      <c r="AV53">
        <v>5.9</v>
      </c>
      <c r="AW53">
        <v>5.5</v>
      </c>
      <c r="AX53">
        <v>6.1666666670000003</v>
      </c>
      <c r="AY53">
        <v>-8.6</v>
      </c>
      <c r="AZ53">
        <v>15</v>
      </c>
      <c r="BA53">
        <v>20</v>
      </c>
      <c r="BB53">
        <v>0</v>
      </c>
      <c r="BC53">
        <v>0</v>
      </c>
      <c r="BD53">
        <v>1</v>
      </c>
      <c r="BE53">
        <v>0</v>
      </c>
      <c r="BF53">
        <v>1</v>
      </c>
      <c r="BG53">
        <v>0</v>
      </c>
      <c r="BI53">
        <v>13</v>
      </c>
      <c r="BJ53">
        <v>42.4</v>
      </c>
      <c r="BK53">
        <v>0</v>
      </c>
      <c r="BL53">
        <v>0</v>
      </c>
      <c r="BM53">
        <v>0</v>
      </c>
      <c r="BN53">
        <v>0</v>
      </c>
      <c r="BO53">
        <v>7</v>
      </c>
      <c r="BP53">
        <v>-7</v>
      </c>
      <c r="BQ53">
        <v>7</v>
      </c>
      <c r="BR53">
        <v>-7</v>
      </c>
      <c r="BS53">
        <v>30.242424239999998</v>
      </c>
      <c r="BT53">
        <v>0.19500888899999999</v>
      </c>
      <c r="BU53">
        <v>7.8207925500000002</v>
      </c>
      <c r="BV53">
        <v>-30.242424239999998</v>
      </c>
      <c r="BW53">
        <v>0.19500888899999999</v>
      </c>
      <c r="BX53">
        <v>-7.8207925500000002</v>
      </c>
      <c r="BY53" t="s">
        <v>114</v>
      </c>
      <c r="BZ53" t="s">
        <v>114</v>
      </c>
      <c r="CA53" t="s">
        <v>114</v>
      </c>
      <c r="CB53" t="s">
        <v>114</v>
      </c>
      <c r="CC53" t="s">
        <v>114</v>
      </c>
      <c r="CD53" t="s">
        <v>114</v>
      </c>
      <c r="CE53">
        <v>7.0319930000000003E-2</v>
      </c>
      <c r="CF53" t="s">
        <v>114</v>
      </c>
      <c r="CG53">
        <v>7.0319930000000003E-2</v>
      </c>
      <c r="CH53">
        <v>30.242424239999998</v>
      </c>
      <c r="CI53">
        <v>0.19500888899999999</v>
      </c>
      <c r="CJ53">
        <v>7.8207925500000002</v>
      </c>
      <c r="CK53">
        <v>-7.0319930000000003E-2</v>
      </c>
      <c r="CL53">
        <v>-30.242424239999998</v>
      </c>
      <c r="CM53">
        <v>0.19500888899999999</v>
      </c>
      <c r="CN53">
        <v>-7.8207925500000002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-7.0319930000000003E-2</v>
      </c>
    </row>
    <row r="54" spans="1:101" x14ac:dyDescent="0.25">
      <c r="A54" t="s">
        <v>54</v>
      </c>
      <c r="B54">
        <v>12</v>
      </c>
      <c r="C54" t="s">
        <v>21</v>
      </c>
      <c r="D54" t="s">
        <v>95</v>
      </c>
      <c r="E54" t="s">
        <v>110</v>
      </c>
      <c r="F54" t="s">
        <v>145</v>
      </c>
      <c r="G54" t="s">
        <v>262</v>
      </c>
      <c r="H54" t="s">
        <v>768</v>
      </c>
      <c r="I54" t="s">
        <v>694</v>
      </c>
      <c r="J54" t="s">
        <v>328</v>
      </c>
      <c r="K54">
        <v>2</v>
      </c>
      <c r="L54">
        <v>70</v>
      </c>
      <c r="M54">
        <v>90</v>
      </c>
      <c r="N54">
        <v>70</v>
      </c>
      <c r="O54">
        <v>-20</v>
      </c>
      <c r="P54">
        <v>18</v>
      </c>
      <c r="Q54">
        <v>20</v>
      </c>
      <c r="R54">
        <v>10</v>
      </c>
      <c r="S54">
        <v>15</v>
      </c>
      <c r="T54">
        <v>0.21428571428571427</v>
      </c>
      <c r="V54" t="s">
        <v>121</v>
      </c>
      <c r="W54" t="s">
        <v>114</v>
      </c>
      <c r="X54">
        <v>13</v>
      </c>
      <c r="Y54">
        <v>13.9</v>
      </c>
      <c r="Z54">
        <v>17.399999999999999</v>
      </c>
      <c r="AA54">
        <v>14.766666669999999</v>
      </c>
      <c r="AB54">
        <v>14.766666669999999</v>
      </c>
      <c r="AC54">
        <v>15.4</v>
      </c>
      <c r="AD54">
        <v>17.399999999999999</v>
      </c>
      <c r="AE54">
        <v>11.5</v>
      </c>
      <c r="AF54">
        <v>14.766666669999999</v>
      </c>
      <c r="AG54">
        <v>17.399999999999999</v>
      </c>
      <c r="AH54">
        <v>17.899999999999999</v>
      </c>
      <c r="AI54">
        <v>18.899999999999999</v>
      </c>
      <c r="AJ54">
        <v>18.06666667</v>
      </c>
      <c r="AK54">
        <v>17.399999999999999</v>
      </c>
      <c r="AL54">
        <v>17.399999999999999</v>
      </c>
      <c r="AM54">
        <v>17.899999999999999</v>
      </c>
      <c r="AN54">
        <v>17.56666667</v>
      </c>
      <c r="AO54">
        <v>18.06666667</v>
      </c>
      <c r="AP54">
        <v>5.9</v>
      </c>
      <c r="AQ54">
        <v>6.3</v>
      </c>
      <c r="AR54">
        <v>6.3</v>
      </c>
      <c r="AS54">
        <v>6.1666666670000003</v>
      </c>
      <c r="AT54">
        <v>5.3</v>
      </c>
      <c r="AU54">
        <v>6.3</v>
      </c>
      <c r="AV54">
        <v>5.6</v>
      </c>
      <c r="AW54">
        <v>5.733333333</v>
      </c>
      <c r="AX54">
        <v>6.1666666670000003</v>
      </c>
      <c r="AY54">
        <v>-8.6</v>
      </c>
      <c r="AZ54">
        <v>15</v>
      </c>
      <c r="BA54">
        <v>20</v>
      </c>
      <c r="BB54">
        <v>0</v>
      </c>
      <c r="BC54">
        <v>0</v>
      </c>
      <c r="BD54">
        <v>1</v>
      </c>
      <c r="BE54">
        <v>0</v>
      </c>
      <c r="BF54">
        <v>1</v>
      </c>
      <c r="BG54">
        <v>0</v>
      </c>
      <c r="BI54">
        <v>13</v>
      </c>
      <c r="BJ54">
        <v>42.4</v>
      </c>
      <c r="BK54">
        <v>1</v>
      </c>
      <c r="BL54">
        <v>2</v>
      </c>
      <c r="BM54">
        <v>2</v>
      </c>
      <c r="BN54">
        <v>2</v>
      </c>
      <c r="BO54">
        <v>9</v>
      </c>
      <c r="BP54">
        <v>-7</v>
      </c>
      <c r="BQ54">
        <v>1</v>
      </c>
      <c r="BR54">
        <v>1</v>
      </c>
      <c r="BS54">
        <v>40.739130430000003</v>
      </c>
      <c r="BT54">
        <v>0.52450222199999996</v>
      </c>
      <c r="BU54">
        <v>4.0230581299999999</v>
      </c>
      <c r="BV54">
        <v>-40.739130430000003</v>
      </c>
      <c r="BW54">
        <v>0.52450222199999996</v>
      </c>
      <c r="BX54">
        <v>4.0230581299999999</v>
      </c>
      <c r="BY54" t="s">
        <v>114</v>
      </c>
      <c r="BZ54" t="s">
        <v>114</v>
      </c>
      <c r="CA54" t="s">
        <v>114</v>
      </c>
      <c r="CB54" t="s">
        <v>114</v>
      </c>
      <c r="CC54" t="s">
        <v>114</v>
      </c>
      <c r="CD54" t="s">
        <v>114</v>
      </c>
      <c r="CE54">
        <v>0.62563736999999997</v>
      </c>
      <c r="CF54" t="s">
        <v>114</v>
      </c>
      <c r="CG54">
        <v>0.62563736999999997</v>
      </c>
      <c r="CH54">
        <v>40.739130430000003</v>
      </c>
      <c r="CI54">
        <v>0.52450222199999996</v>
      </c>
      <c r="CJ54">
        <v>4.0230581299999999</v>
      </c>
      <c r="CK54">
        <v>0.62563736999999997</v>
      </c>
      <c r="CL54">
        <v>-40.739130430000003</v>
      </c>
      <c r="CM54">
        <v>0.52450222199999996</v>
      </c>
      <c r="CN54">
        <v>4.0230581299999999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0.62563736999999997</v>
      </c>
    </row>
    <row r="55" spans="1:101" x14ac:dyDescent="0.25">
      <c r="A55" t="s">
        <v>54</v>
      </c>
      <c r="B55">
        <v>12</v>
      </c>
      <c r="C55" t="s">
        <v>21</v>
      </c>
      <c r="D55" t="s">
        <v>95</v>
      </c>
      <c r="E55" t="s">
        <v>111</v>
      </c>
      <c r="F55" t="s">
        <v>145</v>
      </c>
      <c r="G55" t="s">
        <v>263</v>
      </c>
      <c r="H55" t="s">
        <v>776</v>
      </c>
      <c r="I55" t="s">
        <v>684</v>
      </c>
      <c r="J55" t="s">
        <v>329</v>
      </c>
      <c r="K55">
        <v>1</v>
      </c>
      <c r="L55">
        <v>360</v>
      </c>
      <c r="M55">
        <v>280</v>
      </c>
      <c r="N55">
        <v>360</v>
      </c>
      <c r="O55">
        <v>80</v>
      </c>
      <c r="P55">
        <v>100</v>
      </c>
      <c r="Q55">
        <v>260</v>
      </c>
      <c r="R55">
        <v>100</v>
      </c>
      <c r="S55">
        <v>180</v>
      </c>
      <c r="T55">
        <v>0.5</v>
      </c>
      <c r="V55" t="s">
        <v>121</v>
      </c>
      <c r="W55" t="s">
        <v>114</v>
      </c>
      <c r="X55">
        <v>13</v>
      </c>
      <c r="Y55">
        <v>13.9</v>
      </c>
      <c r="Z55">
        <v>17.399999999999999</v>
      </c>
      <c r="AA55">
        <v>14.766666669999999</v>
      </c>
      <c r="AB55">
        <v>14.766666669999999</v>
      </c>
      <c r="AC55">
        <v>17.399999999999999</v>
      </c>
      <c r="AD55">
        <v>14.9</v>
      </c>
      <c r="AE55">
        <v>15.9</v>
      </c>
      <c r="AF55">
        <v>16.06666667</v>
      </c>
      <c r="AG55">
        <v>17.399999999999999</v>
      </c>
      <c r="AH55">
        <v>17.899999999999999</v>
      </c>
      <c r="AI55">
        <v>18.899999999999999</v>
      </c>
      <c r="AJ55">
        <v>18.06666667</v>
      </c>
      <c r="AK55">
        <v>17.399999999999999</v>
      </c>
      <c r="AL55">
        <v>17.399999999999999</v>
      </c>
      <c r="AM55">
        <v>18.899999999999999</v>
      </c>
      <c r="AN55">
        <v>17.899999999999999</v>
      </c>
      <c r="AO55">
        <v>18.06666667</v>
      </c>
      <c r="AP55">
        <v>5.9</v>
      </c>
      <c r="AQ55">
        <v>6.3</v>
      </c>
      <c r="AR55">
        <v>6.3</v>
      </c>
      <c r="AS55">
        <v>6.1666666670000003</v>
      </c>
      <c r="AT55">
        <v>7.6</v>
      </c>
      <c r="AU55">
        <v>5.9</v>
      </c>
      <c r="AV55">
        <v>7.2</v>
      </c>
      <c r="AW55">
        <v>6.9</v>
      </c>
      <c r="AX55">
        <v>6.1666666670000003</v>
      </c>
      <c r="AY55">
        <v>-8.6</v>
      </c>
      <c r="AZ55">
        <v>15</v>
      </c>
      <c r="BA55">
        <v>20</v>
      </c>
      <c r="BB55">
        <v>0</v>
      </c>
      <c r="BC55">
        <v>0</v>
      </c>
      <c r="BD55">
        <v>1</v>
      </c>
      <c r="BE55">
        <v>0</v>
      </c>
      <c r="BF55">
        <v>1</v>
      </c>
      <c r="BG55">
        <v>0</v>
      </c>
      <c r="BI55">
        <v>13</v>
      </c>
      <c r="BJ55">
        <v>42.4</v>
      </c>
      <c r="BK55">
        <v>0</v>
      </c>
      <c r="BL55">
        <v>59</v>
      </c>
      <c r="BM55">
        <v>39</v>
      </c>
      <c r="BN55">
        <v>2126</v>
      </c>
      <c r="BO55">
        <v>955.66669999999999</v>
      </c>
      <c r="BP55">
        <v>1170.3333</v>
      </c>
      <c r="BQ55">
        <v>1430</v>
      </c>
      <c r="BR55">
        <v>696</v>
      </c>
      <c r="BS55">
        <v>12.43296703</v>
      </c>
      <c r="BT55">
        <v>3.2524988889999999</v>
      </c>
      <c r="BU55">
        <v>11.344611909999999</v>
      </c>
      <c r="BV55">
        <v>12.43296703</v>
      </c>
      <c r="BW55">
        <v>-3.2524988889999999</v>
      </c>
      <c r="BX55">
        <v>-11.344611909999999</v>
      </c>
      <c r="BY55" t="s">
        <v>114</v>
      </c>
      <c r="BZ55" t="s">
        <v>114</v>
      </c>
      <c r="CA55" t="s">
        <v>114</v>
      </c>
      <c r="CB55" t="s">
        <v>114</v>
      </c>
      <c r="CC55" t="s">
        <v>114</v>
      </c>
      <c r="CD55" t="s">
        <v>114</v>
      </c>
      <c r="CE55" t="s">
        <v>114</v>
      </c>
      <c r="CF55" t="s">
        <v>114</v>
      </c>
      <c r="CG55" t="s">
        <v>114</v>
      </c>
      <c r="CH55">
        <v>12.43296703</v>
      </c>
      <c r="CI55">
        <v>3.2524988889999999</v>
      </c>
      <c r="CJ55">
        <v>11.344611909999999</v>
      </c>
      <c r="CK55" t="s">
        <v>114</v>
      </c>
      <c r="CL55">
        <v>12.43296703</v>
      </c>
      <c r="CM55">
        <v>-3.2524988889999999</v>
      </c>
      <c r="CN55">
        <v>-11.344611909999999</v>
      </c>
      <c r="CO55" t="s">
        <v>114</v>
      </c>
      <c r="CP55" t="s">
        <v>114</v>
      </c>
      <c r="CQ55" t="s">
        <v>114</v>
      </c>
      <c r="CR55" t="s">
        <v>114</v>
      </c>
      <c r="CS55" t="s">
        <v>114</v>
      </c>
      <c r="CT55" t="s">
        <v>114</v>
      </c>
      <c r="CU55" t="s">
        <v>114</v>
      </c>
      <c r="CV55" t="s">
        <v>114</v>
      </c>
      <c r="CW55" t="s">
        <v>114</v>
      </c>
    </row>
    <row r="56" spans="1:101" x14ac:dyDescent="0.25">
      <c r="A56" t="s">
        <v>55</v>
      </c>
      <c r="B56">
        <v>12</v>
      </c>
      <c r="C56" t="s">
        <v>23</v>
      </c>
      <c r="D56" t="s">
        <v>94</v>
      </c>
      <c r="E56" t="s">
        <v>113</v>
      </c>
      <c r="F56" t="s">
        <v>145</v>
      </c>
      <c r="G56" t="s">
        <v>259</v>
      </c>
      <c r="H56" t="s">
        <v>763</v>
      </c>
      <c r="I56" t="s">
        <v>692</v>
      </c>
      <c r="J56" t="s">
        <v>330</v>
      </c>
      <c r="K56">
        <v>4</v>
      </c>
      <c r="L56">
        <v>110</v>
      </c>
      <c r="M56">
        <v>50</v>
      </c>
      <c r="N56">
        <v>110</v>
      </c>
      <c r="O56">
        <v>60</v>
      </c>
      <c r="P56">
        <v>10</v>
      </c>
      <c r="Q56">
        <v>50</v>
      </c>
      <c r="R56">
        <v>35</v>
      </c>
      <c r="S56">
        <v>42.5</v>
      </c>
      <c r="T56">
        <v>0.38636363636363635</v>
      </c>
      <c r="V56" t="s">
        <v>110</v>
      </c>
      <c r="W56">
        <v>80</v>
      </c>
      <c r="X56">
        <v>20.3</v>
      </c>
      <c r="Y56">
        <v>21.8</v>
      </c>
      <c r="Z56">
        <v>22.3</v>
      </c>
      <c r="AA56">
        <v>21.466666669999999</v>
      </c>
      <c r="AB56">
        <v>21.466666669999999</v>
      </c>
      <c r="AC56">
        <v>21.3</v>
      </c>
      <c r="AD56">
        <v>23.3</v>
      </c>
      <c r="AE56">
        <v>18.899999999999999</v>
      </c>
      <c r="AF56">
        <v>21.166666670000001</v>
      </c>
      <c r="AG56">
        <v>24.7</v>
      </c>
      <c r="AH56">
        <v>22.8</v>
      </c>
      <c r="AI56">
        <v>24.7</v>
      </c>
      <c r="AJ56">
        <v>24.06666667</v>
      </c>
      <c r="AK56">
        <v>21.8</v>
      </c>
      <c r="AL56">
        <v>21.3</v>
      </c>
      <c r="AM56">
        <v>28.2</v>
      </c>
      <c r="AN56">
        <v>23.766666669999999</v>
      </c>
      <c r="AO56">
        <v>24.06666667</v>
      </c>
      <c r="AP56">
        <v>8.5</v>
      </c>
      <c r="AQ56">
        <v>8.5</v>
      </c>
      <c r="AR56">
        <v>9.5</v>
      </c>
      <c r="AS56">
        <v>8.8333333330000006</v>
      </c>
      <c r="AT56">
        <v>8.5</v>
      </c>
      <c r="AU56">
        <v>12.5</v>
      </c>
      <c r="AV56">
        <v>10</v>
      </c>
      <c r="AW56">
        <v>10.33333333</v>
      </c>
      <c r="AX56">
        <v>8.8333333330000006</v>
      </c>
      <c r="AY56">
        <v>-12.633333329999999</v>
      </c>
      <c r="AZ56">
        <v>5</v>
      </c>
      <c r="BA56">
        <v>80</v>
      </c>
      <c r="BB56">
        <v>2</v>
      </c>
      <c r="BC56">
        <v>5</v>
      </c>
      <c r="BD56">
        <v>0</v>
      </c>
      <c r="BE56">
        <v>1</v>
      </c>
      <c r="BF56">
        <v>1</v>
      </c>
      <c r="BG56">
        <v>0</v>
      </c>
      <c r="BI56">
        <v>11.3</v>
      </c>
      <c r="BJ56">
        <v>1.375</v>
      </c>
      <c r="BK56">
        <v>0</v>
      </c>
      <c r="BL56">
        <v>6</v>
      </c>
      <c r="BM56">
        <v>6</v>
      </c>
      <c r="BN56">
        <v>48</v>
      </c>
      <c r="BO56">
        <v>2.75</v>
      </c>
      <c r="BP56">
        <v>45.25</v>
      </c>
      <c r="BQ56">
        <v>0</v>
      </c>
      <c r="BR56">
        <v>48</v>
      </c>
      <c r="BS56">
        <v>9.3276515225000001</v>
      </c>
      <c r="BT56">
        <v>1.75100593975</v>
      </c>
      <c r="BU56">
        <v>4.7552190625000001</v>
      </c>
      <c r="BV56">
        <v>-9.3276515225000001</v>
      </c>
      <c r="BW56">
        <v>-1.06296655725</v>
      </c>
      <c r="BX56">
        <v>-4.7552190625000001</v>
      </c>
      <c r="BY56">
        <v>79.840607994562703</v>
      </c>
      <c r="BZ56">
        <v>6.7855580499163102</v>
      </c>
      <c r="CA56">
        <v>11.958069319056399</v>
      </c>
      <c r="CB56">
        <v>79.840607994562703</v>
      </c>
      <c r="CC56">
        <v>9.3670565821934595</v>
      </c>
      <c r="CD56">
        <v>11.958069319056399</v>
      </c>
      <c r="CE56" t="s">
        <v>114</v>
      </c>
      <c r="CF56" t="s">
        <v>114</v>
      </c>
      <c r="CG56" t="s">
        <v>114</v>
      </c>
      <c r="CH56">
        <v>9.3276515225000001</v>
      </c>
      <c r="CI56">
        <v>1.75100593975</v>
      </c>
      <c r="CJ56">
        <v>4.7552190625000001</v>
      </c>
      <c r="CK56" t="s">
        <v>114</v>
      </c>
      <c r="CL56">
        <v>-9.3276515225000001</v>
      </c>
      <c r="CM56">
        <v>-1.06296655725</v>
      </c>
      <c r="CN56">
        <v>-4.7552190625000001</v>
      </c>
      <c r="CO56" t="s">
        <v>114</v>
      </c>
      <c r="CP56">
        <v>79.840607994562703</v>
      </c>
      <c r="CQ56">
        <v>6.7855580499163102</v>
      </c>
      <c r="CR56">
        <v>11.958069319056399</v>
      </c>
      <c r="CS56" t="s">
        <v>114</v>
      </c>
      <c r="CT56">
        <v>79.840607994562703</v>
      </c>
      <c r="CU56">
        <v>9.3670565821934595</v>
      </c>
      <c r="CV56">
        <v>11.958069319056399</v>
      </c>
      <c r="CW56" t="s">
        <v>114</v>
      </c>
    </row>
    <row r="57" spans="1:101" x14ac:dyDescent="0.25">
      <c r="A57" t="s">
        <v>55</v>
      </c>
      <c r="B57">
        <v>12</v>
      </c>
      <c r="C57" t="s">
        <v>23</v>
      </c>
      <c r="D57" t="s">
        <v>94</v>
      </c>
      <c r="E57" t="s">
        <v>110</v>
      </c>
      <c r="F57" t="s">
        <v>145</v>
      </c>
      <c r="G57" t="s">
        <v>262</v>
      </c>
      <c r="H57" t="s">
        <v>767</v>
      </c>
      <c r="I57" t="s">
        <v>695</v>
      </c>
      <c r="J57" t="s">
        <v>331</v>
      </c>
      <c r="K57" t="s">
        <v>114</v>
      </c>
      <c r="L57">
        <v>80</v>
      </c>
      <c r="M57">
        <v>30</v>
      </c>
      <c r="N57">
        <v>80</v>
      </c>
      <c r="O57">
        <v>50</v>
      </c>
      <c r="P57">
        <v>12</v>
      </c>
      <c r="Q57">
        <v>65</v>
      </c>
      <c r="R57">
        <v>0</v>
      </c>
      <c r="S57">
        <v>32.5</v>
      </c>
      <c r="T57">
        <v>0.40625</v>
      </c>
      <c r="V57" t="s">
        <v>103</v>
      </c>
      <c r="W57">
        <v>30</v>
      </c>
      <c r="X57">
        <v>20.3</v>
      </c>
      <c r="Y57">
        <v>21.8</v>
      </c>
      <c r="Z57">
        <v>22.3</v>
      </c>
      <c r="AA57">
        <v>21.466666669999999</v>
      </c>
      <c r="AB57">
        <v>21.466666669999999</v>
      </c>
      <c r="AC57">
        <v>19.3</v>
      </c>
      <c r="AD57">
        <v>22.8</v>
      </c>
      <c r="AE57">
        <v>19.8</v>
      </c>
      <c r="AF57">
        <v>20.633333329999999</v>
      </c>
      <c r="AG57">
        <v>24.7</v>
      </c>
      <c r="AH57">
        <v>22.8</v>
      </c>
      <c r="AI57">
        <v>24.7</v>
      </c>
      <c r="AJ57">
        <v>24.06666667</v>
      </c>
      <c r="AK57">
        <v>20.3</v>
      </c>
      <c r="AL57">
        <v>20.8</v>
      </c>
      <c r="AM57">
        <v>20.8</v>
      </c>
      <c r="AN57">
        <v>20.633333329999999</v>
      </c>
      <c r="AO57">
        <v>24.06666667</v>
      </c>
      <c r="AP57">
        <v>8.5</v>
      </c>
      <c r="AQ57">
        <v>8.5</v>
      </c>
      <c r="AR57">
        <v>9.5</v>
      </c>
      <c r="AS57">
        <v>8.8333333330000006</v>
      </c>
      <c r="AT57">
        <v>7.1</v>
      </c>
      <c r="AU57">
        <v>9</v>
      </c>
      <c r="AV57">
        <v>7.1</v>
      </c>
      <c r="AW57">
        <v>7.733333333</v>
      </c>
      <c r="AX57">
        <v>8.8333333330000006</v>
      </c>
      <c r="AY57">
        <v>-12.633333329999999</v>
      </c>
      <c r="AZ57">
        <v>5</v>
      </c>
      <c r="BA57">
        <v>80</v>
      </c>
      <c r="BB57">
        <v>2</v>
      </c>
      <c r="BC57">
        <v>5</v>
      </c>
      <c r="BD57">
        <v>0</v>
      </c>
      <c r="BE57">
        <v>1</v>
      </c>
      <c r="BF57">
        <v>1</v>
      </c>
      <c r="BG57">
        <v>0</v>
      </c>
      <c r="BI57">
        <v>11.3</v>
      </c>
      <c r="BJ57">
        <v>1.375</v>
      </c>
      <c r="BK57">
        <v>0</v>
      </c>
      <c r="BL57" t="s">
        <v>114</v>
      </c>
      <c r="BM57" t="s">
        <v>114</v>
      </c>
      <c r="BN57" t="s">
        <v>114</v>
      </c>
      <c r="BO57">
        <v>8</v>
      </c>
      <c r="BP57" t="s">
        <v>114</v>
      </c>
      <c r="BQ57">
        <v>1</v>
      </c>
      <c r="BR57" t="s">
        <v>114</v>
      </c>
      <c r="BS57" t="s">
        <v>114</v>
      </c>
      <c r="BT57" t="s">
        <v>114</v>
      </c>
      <c r="BU57" t="s">
        <v>114</v>
      </c>
      <c r="BV57" t="s">
        <v>114</v>
      </c>
      <c r="BW57" t="s">
        <v>114</v>
      </c>
      <c r="BX57" t="s">
        <v>114</v>
      </c>
      <c r="BY57" t="s">
        <v>114</v>
      </c>
      <c r="BZ57" t="s">
        <v>114</v>
      </c>
      <c r="CA57" t="s">
        <v>114</v>
      </c>
      <c r="CB57" t="s">
        <v>114</v>
      </c>
      <c r="CC57" t="s">
        <v>114</v>
      </c>
      <c r="CD57" t="s">
        <v>114</v>
      </c>
      <c r="CE57" t="s">
        <v>114</v>
      </c>
      <c r="CF57" t="s">
        <v>114</v>
      </c>
      <c r="CG57" t="s">
        <v>114</v>
      </c>
      <c r="CH57" t="s">
        <v>114</v>
      </c>
      <c r="CI57" t="s">
        <v>114</v>
      </c>
      <c r="CJ57" t="s">
        <v>114</v>
      </c>
      <c r="CK57" t="s">
        <v>114</v>
      </c>
      <c r="CL57" t="s">
        <v>114</v>
      </c>
      <c r="CM57" t="s">
        <v>114</v>
      </c>
      <c r="CN57" t="s">
        <v>114</v>
      </c>
      <c r="CO57" t="s">
        <v>114</v>
      </c>
      <c r="CP57" t="s">
        <v>114</v>
      </c>
      <c r="CQ57" t="s">
        <v>114</v>
      </c>
      <c r="CR57" t="s">
        <v>114</v>
      </c>
      <c r="CS57" t="s">
        <v>114</v>
      </c>
      <c r="CT57" t="s">
        <v>114</v>
      </c>
      <c r="CU57" t="s">
        <v>114</v>
      </c>
      <c r="CV57" t="s">
        <v>114</v>
      </c>
      <c r="CW57" t="s">
        <v>114</v>
      </c>
    </row>
    <row r="58" spans="1:101" x14ac:dyDescent="0.25">
      <c r="A58" t="s">
        <v>55</v>
      </c>
      <c r="B58">
        <v>12</v>
      </c>
      <c r="C58" t="s">
        <v>23</v>
      </c>
      <c r="D58" t="s">
        <v>94</v>
      </c>
      <c r="E58" t="s">
        <v>103</v>
      </c>
      <c r="F58" t="s">
        <v>145</v>
      </c>
      <c r="G58" t="s">
        <v>260</v>
      </c>
      <c r="H58" t="s">
        <v>771</v>
      </c>
      <c r="I58" t="s">
        <v>693</v>
      </c>
      <c r="J58" t="s">
        <v>332</v>
      </c>
      <c r="K58" t="s">
        <v>114</v>
      </c>
      <c r="L58">
        <v>50</v>
      </c>
      <c r="M58">
        <v>50</v>
      </c>
      <c r="N58">
        <v>50</v>
      </c>
      <c r="O58">
        <v>0</v>
      </c>
      <c r="P58">
        <v>30</v>
      </c>
      <c r="Q58">
        <v>15</v>
      </c>
      <c r="R58">
        <v>10</v>
      </c>
      <c r="S58">
        <v>12.5</v>
      </c>
      <c r="T58">
        <v>0.25</v>
      </c>
      <c r="V58" t="s">
        <v>103</v>
      </c>
      <c r="W58">
        <v>30</v>
      </c>
      <c r="X58">
        <v>20.3</v>
      </c>
      <c r="Y58">
        <v>21.8</v>
      </c>
      <c r="Z58">
        <v>22.3</v>
      </c>
      <c r="AA58">
        <v>21.466666669999999</v>
      </c>
      <c r="AB58">
        <v>21.466666669999999</v>
      </c>
      <c r="AC58">
        <v>18.899999999999999</v>
      </c>
      <c r="AD58">
        <v>19.8</v>
      </c>
      <c r="AE58">
        <v>20.8</v>
      </c>
      <c r="AF58">
        <v>19.833333329999999</v>
      </c>
      <c r="AG58">
        <v>24.7</v>
      </c>
      <c r="AH58">
        <v>22.8</v>
      </c>
      <c r="AI58">
        <v>24.7</v>
      </c>
      <c r="AJ58">
        <v>24.06666667</v>
      </c>
      <c r="AK58">
        <v>20.3</v>
      </c>
      <c r="AL58">
        <v>21.3</v>
      </c>
      <c r="AM58">
        <v>22.3</v>
      </c>
      <c r="AN58">
        <v>21.3</v>
      </c>
      <c r="AO58">
        <v>24.06666667</v>
      </c>
      <c r="AP58">
        <v>8.5</v>
      </c>
      <c r="AQ58">
        <v>8.5</v>
      </c>
      <c r="AR58">
        <v>9.5</v>
      </c>
      <c r="AS58">
        <v>8.8333333330000006</v>
      </c>
      <c r="AT58">
        <v>8.5</v>
      </c>
      <c r="AU58">
        <v>8.5</v>
      </c>
      <c r="AV58">
        <v>9</v>
      </c>
      <c r="AW58">
        <v>8.6666666669999994</v>
      </c>
      <c r="AX58">
        <v>8.8333333330000006</v>
      </c>
      <c r="AY58">
        <v>-12.633333329999999</v>
      </c>
      <c r="AZ58">
        <v>5</v>
      </c>
      <c r="BA58">
        <v>80</v>
      </c>
      <c r="BB58">
        <v>2</v>
      </c>
      <c r="BC58">
        <v>5</v>
      </c>
      <c r="BD58">
        <v>0</v>
      </c>
      <c r="BE58">
        <v>1</v>
      </c>
      <c r="BF58">
        <v>1</v>
      </c>
      <c r="BG58">
        <v>0</v>
      </c>
      <c r="BI58">
        <v>11.3</v>
      </c>
      <c r="BJ58">
        <v>1.375</v>
      </c>
      <c r="BK58">
        <v>0</v>
      </c>
      <c r="BL58">
        <v>4</v>
      </c>
      <c r="BM58">
        <v>4</v>
      </c>
      <c r="BN58">
        <v>215</v>
      </c>
      <c r="BO58">
        <v>313.5</v>
      </c>
      <c r="BP58">
        <v>-98.5</v>
      </c>
      <c r="BQ58">
        <v>186</v>
      </c>
      <c r="BR58">
        <v>29</v>
      </c>
      <c r="BS58" t="s">
        <v>114</v>
      </c>
      <c r="BT58" t="s">
        <v>114</v>
      </c>
      <c r="BU58" t="s">
        <v>114</v>
      </c>
      <c r="BV58" t="s">
        <v>114</v>
      </c>
      <c r="BW58" t="s">
        <v>114</v>
      </c>
      <c r="BX58" t="s">
        <v>114</v>
      </c>
      <c r="BY58" t="s">
        <v>114</v>
      </c>
      <c r="BZ58" t="s">
        <v>114</v>
      </c>
      <c r="CA58" t="s">
        <v>114</v>
      </c>
      <c r="CB58" t="s">
        <v>114</v>
      </c>
      <c r="CC58" t="s">
        <v>114</v>
      </c>
      <c r="CD58" t="s">
        <v>114</v>
      </c>
      <c r="CE58" t="s">
        <v>114</v>
      </c>
      <c r="CF58" t="s">
        <v>114</v>
      </c>
      <c r="CG58" t="s">
        <v>114</v>
      </c>
      <c r="CH58" t="s">
        <v>114</v>
      </c>
      <c r="CI58" t="s">
        <v>114</v>
      </c>
      <c r="CJ58" t="s">
        <v>114</v>
      </c>
      <c r="CK58" t="s">
        <v>114</v>
      </c>
      <c r="CL58" t="s">
        <v>114</v>
      </c>
      <c r="CM58" t="s">
        <v>114</v>
      </c>
      <c r="CN58" t="s">
        <v>114</v>
      </c>
      <c r="CO58" t="s">
        <v>114</v>
      </c>
      <c r="CP58" t="s">
        <v>114</v>
      </c>
      <c r="CQ58" t="s">
        <v>114</v>
      </c>
      <c r="CR58" t="s">
        <v>114</v>
      </c>
      <c r="CS58" t="s">
        <v>114</v>
      </c>
      <c r="CT58" t="s">
        <v>114</v>
      </c>
      <c r="CU58" t="s">
        <v>114</v>
      </c>
      <c r="CV58" t="s">
        <v>114</v>
      </c>
      <c r="CW58" t="s">
        <v>114</v>
      </c>
    </row>
    <row r="59" spans="1:101" x14ac:dyDescent="0.25">
      <c r="A59" t="s">
        <v>55</v>
      </c>
      <c r="B59">
        <v>12</v>
      </c>
      <c r="C59" t="s">
        <v>23</v>
      </c>
      <c r="D59" t="s">
        <v>94</v>
      </c>
      <c r="E59" t="s">
        <v>111</v>
      </c>
      <c r="F59" t="s">
        <v>145</v>
      </c>
      <c r="G59" t="s">
        <v>263</v>
      </c>
      <c r="H59" t="s">
        <v>775</v>
      </c>
      <c r="I59" t="s">
        <v>687</v>
      </c>
      <c r="J59" t="s">
        <v>333</v>
      </c>
      <c r="K59">
        <v>3</v>
      </c>
      <c r="L59">
        <v>290</v>
      </c>
      <c r="M59">
        <v>290</v>
      </c>
      <c r="N59">
        <v>290</v>
      </c>
      <c r="O59">
        <v>0</v>
      </c>
      <c r="P59">
        <v>60</v>
      </c>
      <c r="Q59">
        <v>70</v>
      </c>
      <c r="R59">
        <v>0</v>
      </c>
      <c r="S59">
        <v>35</v>
      </c>
      <c r="T59">
        <v>0.1206896551724138</v>
      </c>
      <c r="V59" t="s">
        <v>113</v>
      </c>
      <c r="W59">
        <v>95</v>
      </c>
      <c r="X59">
        <v>20.3</v>
      </c>
      <c r="Y59">
        <v>21.8</v>
      </c>
      <c r="Z59">
        <v>22.3</v>
      </c>
      <c r="AA59">
        <v>21.466666669999999</v>
      </c>
      <c r="AB59">
        <v>21.466666669999999</v>
      </c>
      <c r="AC59">
        <v>19.3</v>
      </c>
      <c r="AD59">
        <v>20.8</v>
      </c>
      <c r="AE59">
        <v>20.8</v>
      </c>
      <c r="AF59">
        <v>20.3</v>
      </c>
      <c r="AG59">
        <v>24.7</v>
      </c>
      <c r="AH59">
        <v>22.8</v>
      </c>
      <c r="AI59">
        <v>24.7</v>
      </c>
      <c r="AJ59">
        <v>24.06666667</v>
      </c>
      <c r="AK59">
        <v>22.8</v>
      </c>
      <c r="AL59">
        <v>20.8</v>
      </c>
      <c r="AM59">
        <v>18.399999999999999</v>
      </c>
      <c r="AN59">
        <v>20.666666670000001</v>
      </c>
      <c r="AO59">
        <v>24.06666667</v>
      </c>
      <c r="AP59">
        <v>8.5</v>
      </c>
      <c r="AQ59">
        <v>8.5</v>
      </c>
      <c r="AR59">
        <v>9.5</v>
      </c>
      <c r="AS59">
        <v>8.8333333330000006</v>
      </c>
      <c r="AT59">
        <v>8.5</v>
      </c>
      <c r="AU59">
        <v>9</v>
      </c>
      <c r="AV59">
        <v>12.5</v>
      </c>
      <c r="AW59">
        <v>10</v>
      </c>
      <c r="AX59">
        <v>8.8333333330000006</v>
      </c>
      <c r="AY59">
        <v>-12.633333329999999</v>
      </c>
      <c r="AZ59">
        <v>5</v>
      </c>
      <c r="BA59">
        <v>80</v>
      </c>
      <c r="BB59">
        <v>2</v>
      </c>
      <c r="BC59">
        <v>5</v>
      </c>
      <c r="BD59">
        <v>0</v>
      </c>
      <c r="BE59">
        <v>1</v>
      </c>
      <c r="BF59">
        <v>1</v>
      </c>
      <c r="BG59">
        <v>0</v>
      </c>
      <c r="BI59">
        <v>11.3</v>
      </c>
      <c r="BJ59">
        <v>1.375</v>
      </c>
      <c r="BK59">
        <v>0</v>
      </c>
      <c r="BL59">
        <v>7</v>
      </c>
      <c r="BM59">
        <v>6</v>
      </c>
      <c r="BN59">
        <v>338</v>
      </c>
      <c r="BO59">
        <v>422.66669999999999</v>
      </c>
      <c r="BP59">
        <v>-84.666699999999992</v>
      </c>
      <c r="BQ59">
        <v>844</v>
      </c>
      <c r="BR59">
        <v>-506</v>
      </c>
      <c r="BS59">
        <v>47.84848487</v>
      </c>
      <c r="BT59">
        <v>1.414273621</v>
      </c>
      <c r="BU59">
        <v>1.85844487</v>
      </c>
      <c r="BV59">
        <v>-36.634632060000001</v>
      </c>
      <c r="BW59">
        <v>-1.414273621</v>
      </c>
      <c r="BX59">
        <v>-0.15250660999999999</v>
      </c>
      <c r="BY59">
        <v>2684.1925323431601</v>
      </c>
      <c r="BZ59">
        <v>1.30697174986142</v>
      </c>
      <c r="CA59">
        <v>4.6516532187384302E-2</v>
      </c>
      <c r="CB59">
        <v>4578.9550087092402</v>
      </c>
      <c r="CC59">
        <v>1.30697174986142</v>
      </c>
      <c r="CD59">
        <v>6.9076346696586297</v>
      </c>
      <c r="CE59">
        <v>0.18983562000000001</v>
      </c>
      <c r="CF59">
        <v>3.0460648570880002E-4</v>
      </c>
      <c r="CG59">
        <v>0.18572191333333299</v>
      </c>
      <c r="CH59">
        <v>35.636940850000002</v>
      </c>
      <c r="CI59">
        <v>1.14481204366667</v>
      </c>
      <c r="CJ59">
        <v>1.8076093333333301</v>
      </c>
      <c r="CK59">
        <v>0.18572191333333299</v>
      </c>
      <c r="CL59">
        <v>-20.6851371033333</v>
      </c>
      <c r="CM59">
        <v>-1.14481204366667</v>
      </c>
      <c r="CN59">
        <v>0.46697501333333302</v>
      </c>
      <c r="CO59">
        <v>2.03070990472533E-4</v>
      </c>
      <c r="CP59">
        <v>1789.4616882287701</v>
      </c>
      <c r="CQ59">
        <v>0.871314499907616</v>
      </c>
      <c r="CR59">
        <v>3.10110214582562E-2</v>
      </c>
      <c r="CS59">
        <v>2.03070990472533E-4</v>
      </c>
      <c r="CT59">
        <v>3052.63667247283</v>
      </c>
      <c r="CU59">
        <v>0.871314499907616</v>
      </c>
      <c r="CV59">
        <v>4.6050897797724204</v>
      </c>
      <c r="CW59">
        <v>0.18983562000000001</v>
      </c>
    </row>
    <row r="60" spans="1:101" x14ac:dyDescent="0.25">
      <c r="A60" t="s">
        <v>56</v>
      </c>
      <c r="B60">
        <v>12</v>
      </c>
      <c r="C60" t="s">
        <v>25</v>
      </c>
      <c r="D60" t="s">
        <v>94</v>
      </c>
      <c r="E60" t="s">
        <v>113</v>
      </c>
      <c r="F60" t="s">
        <v>145</v>
      </c>
      <c r="G60" t="s">
        <v>259</v>
      </c>
      <c r="H60" t="s">
        <v>763</v>
      </c>
      <c r="I60" t="s">
        <v>692</v>
      </c>
      <c r="J60" t="s">
        <v>334</v>
      </c>
      <c r="K60">
        <v>3</v>
      </c>
      <c r="L60">
        <v>80</v>
      </c>
      <c r="M60">
        <v>40</v>
      </c>
      <c r="N60">
        <v>80</v>
      </c>
      <c r="O60">
        <v>40</v>
      </c>
      <c r="P60">
        <v>8</v>
      </c>
      <c r="Q60">
        <v>10</v>
      </c>
      <c r="R60">
        <v>5</v>
      </c>
      <c r="S60">
        <v>7.5</v>
      </c>
      <c r="T60">
        <v>9.375E-2</v>
      </c>
      <c r="V60" t="s">
        <v>113</v>
      </c>
      <c r="W60">
        <v>40</v>
      </c>
      <c r="X60">
        <v>10.5</v>
      </c>
      <c r="Y60">
        <v>10.5</v>
      </c>
      <c r="Z60">
        <v>12.5</v>
      </c>
      <c r="AA60">
        <v>11.16666667</v>
      </c>
      <c r="AB60">
        <v>11.16666667</v>
      </c>
      <c r="AC60">
        <v>16.399999999999999</v>
      </c>
      <c r="AD60">
        <v>15.9</v>
      </c>
      <c r="AE60">
        <v>14.9</v>
      </c>
      <c r="AF60">
        <v>15.733333330000001</v>
      </c>
      <c r="AG60">
        <v>12</v>
      </c>
      <c r="AH60">
        <v>12.5</v>
      </c>
      <c r="AI60">
        <v>13.5</v>
      </c>
      <c r="AJ60">
        <v>12.66666667</v>
      </c>
      <c r="AK60">
        <v>11.5</v>
      </c>
      <c r="AL60">
        <v>14.4</v>
      </c>
      <c r="AM60">
        <v>14.9</v>
      </c>
      <c r="AN60">
        <v>13.6</v>
      </c>
      <c r="AO60">
        <v>12.66666667</v>
      </c>
      <c r="AP60">
        <v>6.6</v>
      </c>
      <c r="AQ60">
        <v>5.0999999999999996</v>
      </c>
      <c r="AR60">
        <v>8.1</v>
      </c>
      <c r="AS60">
        <v>6.6</v>
      </c>
      <c r="AT60">
        <v>8.1</v>
      </c>
      <c r="AU60">
        <v>6.1</v>
      </c>
      <c r="AV60">
        <v>8.1</v>
      </c>
      <c r="AW60">
        <v>7.4333333330000002</v>
      </c>
      <c r="AX60">
        <v>6.6</v>
      </c>
      <c r="AY60">
        <v>-4.5666666669999998</v>
      </c>
      <c r="AZ60">
        <v>50</v>
      </c>
      <c r="BA60">
        <v>25</v>
      </c>
      <c r="BB60">
        <v>0</v>
      </c>
      <c r="BC60">
        <v>10</v>
      </c>
      <c r="BD60">
        <v>1</v>
      </c>
      <c r="BE60">
        <v>0</v>
      </c>
      <c r="BF60">
        <v>0</v>
      </c>
      <c r="BG60">
        <v>0</v>
      </c>
      <c r="BI60">
        <v>12.7</v>
      </c>
      <c r="BJ60">
        <v>11.087999999999999</v>
      </c>
      <c r="BK60">
        <v>0</v>
      </c>
      <c r="BL60">
        <v>1</v>
      </c>
      <c r="BM60">
        <v>1</v>
      </c>
      <c r="BN60">
        <v>3</v>
      </c>
      <c r="BO60">
        <v>2.75</v>
      </c>
      <c r="BP60">
        <v>0.25</v>
      </c>
      <c r="BQ60">
        <v>2</v>
      </c>
      <c r="BR60">
        <v>1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 t="s">
        <v>114</v>
      </c>
      <c r="BZ60" t="s">
        <v>114</v>
      </c>
      <c r="CA60" t="s">
        <v>114</v>
      </c>
      <c r="CB60" t="s">
        <v>114</v>
      </c>
      <c r="CC60" t="s">
        <v>114</v>
      </c>
      <c r="CD60" t="s">
        <v>114</v>
      </c>
      <c r="CE60">
        <v>0</v>
      </c>
      <c r="CF60" t="s">
        <v>114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</row>
    <row r="61" spans="1:101" x14ac:dyDescent="0.25">
      <c r="A61" t="s">
        <v>56</v>
      </c>
      <c r="B61">
        <v>12</v>
      </c>
      <c r="C61" t="s">
        <v>25</v>
      </c>
      <c r="D61" t="s">
        <v>94</v>
      </c>
      <c r="E61" t="s">
        <v>111</v>
      </c>
      <c r="F61" t="s">
        <v>145</v>
      </c>
      <c r="G61" t="s">
        <v>263</v>
      </c>
      <c r="H61" t="s">
        <v>775</v>
      </c>
      <c r="I61" t="s">
        <v>687</v>
      </c>
      <c r="J61" t="s">
        <v>335</v>
      </c>
      <c r="K61">
        <v>1</v>
      </c>
      <c r="L61">
        <v>180</v>
      </c>
      <c r="M61">
        <v>240</v>
      </c>
      <c r="N61">
        <v>180</v>
      </c>
      <c r="O61">
        <v>-60</v>
      </c>
      <c r="P61">
        <v>50</v>
      </c>
      <c r="Q61">
        <v>35</v>
      </c>
      <c r="R61">
        <v>10</v>
      </c>
      <c r="S61">
        <v>22.5</v>
      </c>
      <c r="T61">
        <v>0.125</v>
      </c>
      <c r="V61" t="s">
        <v>121</v>
      </c>
      <c r="W61" t="s">
        <v>114</v>
      </c>
      <c r="X61">
        <v>10.5</v>
      </c>
      <c r="Y61">
        <v>10.5</v>
      </c>
      <c r="Z61">
        <v>12.5</v>
      </c>
      <c r="AA61">
        <v>11.16666667</v>
      </c>
      <c r="AB61">
        <v>11.16666667</v>
      </c>
      <c r="AC61">
        <v>12.5</v>
      </c>
      <c r="AD61">
        <v>11.5</v>
      </c>
      <c r="AE61">
        <v>11.5</v>
      </c>
      <c r="AF61">
        <v>11.83333333</v>
      </c>
      <c r="AG61">
        <v>12</v>
      </c>
      <c r="AH61">
        <v>12.5</v>
      </c>
      <c r="AI61">
        <v>13.5</v>
      </c>
      <c r="AJ61">
        <v>12.66666667</v>
      </c>
      <c r="AK61">
        <v>11</v>
      </c>
      <c r="AL61">
        <v>13</v>
      </c>
      <c r="AM61">
        <v>13.9</v>
      </c>
      <c r="AN61">
        <v>12.633333329999999</v>
      </c>
      <c r="AO61">
        <v>12.66666667</v>
      </c>
      <c r="AP61">
        <v>6.6</v>
      </c>
      <c r="AQ61">
        <v>5.0999999999999996</v>
      </c>
      <c r="AR61">
        <v>8.1</v>
      </c>
      <c r="AS61">
        <v>6.6</v>
      </c>
      <c r="AT61">
        <v>5.6</v>
      </c>
      <c r="AU61">
        <v>5.6</v>
      </c>
      <c r="AV61">
        <v>6.1</v>
      </c>
      <c r="AW61">
        <v>5.766666667</v>
      </c>
      <c r="AX61">
        <v>6.6</v>
      </c>
      <c r="AY61">
        <v>-4.5666666669999998</v>
      </c>
      <c r="AZ61">
        <v>50</v>
      </c>
      <c r="BA61">
        <v>25</v>
      </c>
      <c r="BB61">
        <v>0</v>
      </c>
      <c r="BC61">
        <v>10</v>
      </c>
      <c r="BD61">
        <v>1</v>
      </c>
      <c r="BE61">
        <v>0</v>
      </c>
      <c r="BF61">
        <v>0</v>
      </c>
      <c r="BG61">
        <v>0</v>
      </c>
      <c r="BI61">
        <v>12.7</v>
      </c>
      <c r="BJ61">
        <v>11.087999999999999</v>
      </c>
      <c r="BK61">
        <v>0</v>
      </c>
      <c r="BL61">
        <v>10</v>
      </c>
      <c r="BM61">
        <v>4</v>
      </c>
      <c r="BN61">
        <v>96</v>
      </c>
      <c r="BO61">
        <v>422.66669999999999</v>
      </c>
      <c r="BP61">
        <v>-326.66669999999999</v>
      </c>
      <c r="BQ61">
        <v>0</v>
      </c>
      <c r="BR61">
        <v>96</v>
      </c>
      <c r="BS61">
        <v>29.87767857</v>
      </c>
      <c r="BT61">
        <v>2.1653166669999999</v>
      </c>
      <c r="BU61">
        <v>13.579434470000001</v>
      </c>
      <c r="BV61">
        <v>29.87767857</v>
      </c>
      <c r="BW61">
        <v>-2.1653166669999999</v>
      </c>
      <c r="BX61">
        <v>-13.579434470000001</v>
      </c>
      <c r="BY61" t="s">
        <v>114</v>
      </c>
      <c r="BZ61" t="s">
        <v>114</v>
      </c>
      <c r="CA61" t="s">
        <v>114</v>
      </c>
      <c r="CB61" t="s">
        <v>114</v>
      </c>
      <c r="CC61" t="s">
        <v>114</v>
      </c>
      <c r="CD61" t="s">
        <v>114</v>
      </c>
      <c r="CE61">
        <v>1.8206694999999999</v>
      </c>
      <c r="CF61" t="s">
        <v>114</v>
      </c>
      <c r="CG61">
        <v>1.8206694999999999</v>
      </c>
      <c r="CH61">
        <v>29.87767857</v>
      </c>
      <c r="CI61">
        <v>2.1653166669999999</v>
      </c>
      <c r="CJ61">
        <v>13.579434470000001</v>
      </c>
      <c r="CK61">
        <v>-1.8206694999999999</v>
      </c>
      <c r="CL61">
        <v>29.87767857</v>
      </c>
      <c r="CM61">
        <v>-2.1653166669999999</v>
      </c>
      <c r="CN61">
        <v>-13.579434470000001</v>
      </c>
      <c r="CO61" t="s">
        <v>114</v>
      </c>
      <c r="CP61" t="s">
        <v>114</v>
      </c>
      <c r="CQ61" t="s">
        <v>114</v>
      </c>
      <c r="CR61" t="s">
        <v>114</v>
      </c>
      <c r="CS61" t="s">
        <v>114</v>
      </c>
      <c r="CT61" t="s">
        <v>114</v>
      </c>
      <c r="CU61" t="s">
        <v>114</v>
      </c>
      <c r="CV61" t="s">
        <v>114</v>
      </c>
      <c r="CW61">
        <v>-1.8206694999999999</v>
      </c>
    </row>
    <row r="62" spans="1:101" x14ac:dyDescent="0.25">
      <c r="A62" t="s">
        <v>56</v>
      </c>
      <c r="B62">
        <v>12</v>
      </c>
      <c r="C62" t="s">
        <v>25</v>
      </c>
      <c r="D62" t="s">
        <v>94</v>
      </c>
      <c r="E62" t="s">
        <v>104</v>
      </c>
      <c r="F62" t="s">
        <v>145</v>
      </c>
      <c r="G62" t="s">
        <v>264</v>
      </c>
      <c r="H62" t="s">
        <v>779</v>
      </c>
      <c r="I62" t="s">
        <v>696</v>
      </c>
      <c r="J62" t="s">
        <v>336</v>
      </c>
      <c r="K62">
        <v>1</v>
      </c>
      <c r="L62">
        <v>25</v>
      </c>
      <c r="M62">
        <v>55</v>
      </c>
      <c r="N62">
        <v>25</v>
      </c>
      <c r="O62">
        <v>-30</v>
      </c>
      <c r="P62">
        <v>15</v>
      </c>
      <c r="Q62">
        <v>15</v>
      </c>
      <c r="R62">
        <v>5</v>
      </c>
      <c r="S62">
        <v>10</v>
      </c>
      <c r="T62">
        <v>0.4</v>
      </c>
      <c r="V62" t="s">
        <v>121</v>
      </c>
      <c r="W62" t="s">
        <v>114</v>
      </c>
      <c r="X62">
        <v>10.5</v>
      </c>
      <c r="Y62">
        <v>10.5</v>
      </c>
      <c r="Z62">
        <v>12.5</v>
      </c>
      <c r="AA62">
        <v>11.16666667</v>
      </c>
      <c r="AB62">
        <v>11.16666667</v>
      </c>
      <c r="AC62">
        <v>12</v>
      </c>
      <c r="AD62">
        <v>11.5</v>
      </c>
      <c r="AE62">
        <v>12.5</v>
      </c>
      <c r="AF62">
        <v>12</v>
      </c>
      <c r="AG62">
        <v>12</v>
      </c>
      <c r="AH62">
        <v>12.5</v>
      </c>
      <c r="AI62">
        <v>13.5</v>
      </c>
      <c r="AJ62">
        <v>12.66666667</v>
      </c>
      <c r="AK62">
        <v>15.4</v>
      </c>
      <c r="AL62">
        <v>14</v>
      </c>
      <c r="AM62">
        <v>14.4</v>
      </c>
      <c r="AN62">
        <v>14.6</v>
      </c>
      <c r="AO62">
        <v>12.66666667</v>
      </c>
      <c r="AP62">
        <v>6.6</v>
      </c>
      <c r="AQ62">
        <v>5.0999999999999996</v>
      </c>
      <c r="AR62">
        <v>8.1</v>
      </c>
      <c r="AS62">
        <v>6.6</v>
      </c>
      <c r="AT62">
        <v>5.6</v>
      </c>
      <c r="AU62">
        <v>6.1</v>
      </c>
      <c r="AV62">
        <v>6.6</v>
      </c>
      <c r="AW62">
        <v>6.1</v>
      </c>
      <c r="AX62">
        <v>6.6</v>
      </c>
      <c r="AY62">
        <v>-4.5666666669999998</v>
      </c>
      <c r="AZ62">
        <v>50</v>
      </c>
      <c r="BA62">
        <v>25</v>
      </c>
      <c r="BB62">
        <v>0</v>
      </c>
      <c r="BC62">
        <v>10</v>
      </c>
      <c r="BD62">
        <v>1</v>
      </c>
      <c r="BE62">
        <v>0</v>
      </c>
      <c r="BF62">
        <v>0</v>
      </c>
      <c r="BG62">
        <v>0</v>
      </c>
      <c r="BI62">
        <v>12.7</v>
      </c>
      <c r="BJ62">
        <v>11.087999999999999</v>
      </c>
      <c r="BK62">
        <v>0</v>
      </c>
      <c r="BL62">
        <v>1</v>
      </c>
      <c r="BM62">
        <v>1</v>
      </c>
      <c r="BN62">
        <v>4</v>
      </c>
      <c r="BO62">
        <v>32.5</v>
      </c>
      <c r="BP62">
        <v>-28.5</v>
      </c>
      <c r="BQ62">
        <v>43</v>
      </c>
      <c r="BR62">
        <v>-39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 t="s">
        <v>114</v>
      </c>
      <c r="BZ62" t="s">
        <v>114</v>
      </c>
      <c r="CA62" t="s">
        <v>114</v>
      </c>
      <c r="CB62" t="s">
        <v>114</v>
      </c>
      <c r="CC62" t="s">
        <v>114</v>
      </c>
      <c r="CD62" t="s">
        <v>114</v>
      </c>
      <c r="CE62">
        <v>0</v>
      </c>
      <c r="CF62" t="s">
        <v>114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 t="s">
        <v>114</v>
      </c>
      <c r="CP62" t="s">
        <v>114</v>
      </c>
      <c r="CQ62" t="s">
        <v>114</v>
      </c>
      <c r="CR62" t="s">
        <v>114</v>
      </c>
      <c r="CS62" t="s">
        <v>114</v>
      </c>
      <c r="CT62" t="s">
        <v>114</v>
      </c>
      <c r="CU62" t="s">
        <v>114</v>
      </c>
      <c r="CV62" t="s">
        <v>114</v>
      </c>
      <c r="CW62">
        <v>0</v>
      </c>
    </row>
    <row r="63" spans="1:101" x14ac:dyDescent="0.25">
      <c r="A63" t="s">
        <v>56</v>
      </c>
      <c r="B63">
        <v>12</v>
      </c>
      <c r="C63" t="s">
        <v>25</v>
      </c>
      <c r="D63" t="s">
        <v>94</v>
      </c>
      <c r="E63" t="s">
        <v>112</v>
      </c>
      <c r="F63" t="s">
        <v>145</v>
      </c>
      <c r="G63" t="s">
        <v>261</v>
      </c>
      <c r="H63" t="s">
        <v>783</v>
      </c>
      <c r="I63" t="s">
        <v>688</v>
      </c>
      <c r="J63" t="s">
        <v>337</v>
      </c>
      <c r="K63">
        <v>4</v>
      </c>
      <c r="L63">
        <v>35</v>
      </c>
      <c r="M63">
        <v>60</v>
      </c>
      <c r="N63">
        <v>35</v>
      </c>
      <c r="O63">
        <v>-25</v>
      </c>
      <c r="P63">
        <v>40</v>
      </c>
      <c r="Q63">
        <v>70</v>
      </c>
      <c r="R63">
        <v>10</v>
      </c>
      <c r="S63">
        <v>40</v>
      </c>
      <c r="T63">
        <v>1.1428571428571428</v>
      </c>
      <c r="V63" t="s">
        <v>121</v>
      </c>
      <c r="W63" t="s">
        <v>114</v>
      </c>
      <c r="X63">
        <v>10.5</v>
      </c>
      <c r="Y63">
        <v>10.5</v>
      </c>
      <c r="Z63">
        <v>12.5</v>
      </c>
      <c r="AA63">
        <v>11.16666667</v>
      </c>
      <c r="AB63">
        <v>11.16666667</v>
      </c>
      <c r="AC63">
        <v>14.4</v>
      </c>
      <c r="AD63">
        <v>12.5</v>
      </c>
      <c r="AE63">
        <v>13</v>
      </c>
      <c r="AF63">
        <v>13.3</v>
      </c>
      <c r="AG63">
        <v>12</v>
      </c>
      <c r="AH63">
        <v>12.5</v>
      </c>
      <c r="AI63">
        <v>13.5</v>
      </c>
      <c r="AJ63">
        <v>12.66666667</v>
      </c>
      <c r="AK63">
        <v>12</v>
      </c>
      <c r="AL63">
        <v>13.9</v>
      </c>
      <c r="AM63">
        <v>13</v>
      </c>
      <c r="AN63">
        <v>12.96666667</v>
      </c>
      <c r="AO63">
        <v>12.66666667</v>
      </c>
      <c r="AP63">
        <v>6.6</v>
      </c>
      <c r="AQ63">
        <v>5.0999999999999996</v>
      </c>
      <c r="AR63">
        <v>8.1</v>
      </c>
      <c r="AS63">
        <v>6.6</v>
      </c>
      <c r="AT63">
        <v>5.0999999999999996</v>
      </c>
      <c r="AU63">
        <v>5.6</v>
      </c>
      <c r="AV63">
        <v>6.6</v>
      </c>
      <c r="AW63">
        <v>5.766666667</v>
      </c>
      <c r="AX63">
        <v>6.6</v>
      </c>
      <c r="AY63">
        <v>-4.5666666669999998</v>
      </c>
      <c r="AZ63">
        <v>50</v>
      </c>
      <c r="BA63">
        <v>25</v>
      </c>
      <c r="BB63">
        <v>0</v>
      </c>
      <c r="BC63">
        <v>10</v>
      </c>
      <c r="BD63">
        <v>1</v>
      </c>
      <c r="BE63">
        <v>0</v>
      </c>
      <c r="BF63">
        <v>0</v>
      </c>
      <c r="BG63">
        <v>0</v>
      </c>
      <c r="BI63">
        <v>12.7</v>
      </c>
      <c r="BJ63">
        <v>11.087999999999999</v>
      </c>
      <c r="BK63">
        <v>0</v>
      </c>
      <c r="BL63">
        <v>11</v>
      </c>
      <c r="BM63">
        <v>6</v>
      </c>
      <c r="BN63">
        <v>19</v>
      </c>
      <c r="BO63">
        <v>184.8</v>
      </c>
      <c r="BP63">
        <v>-165.8</v>
      </c>
      <c r="BQ63">
        <v>248</v>
      </c>
      <c r="BR63">
        <v>-229</v>
      </c>
      <c r="BS63">
        <v>48.90625</v>
      </c>
      <c r="BT63">
        <v>1.754436667</v>
      </c>
      <c r="BU63">
        <v>7.4645801799999996</v>
      </c>
      <c r="BV63">
        <v>-48.90625</v>
      </c>
      <c r="BW63">
        <v>1.754436667</v>
      </c>
      <c r="BX63">
        <v>7.4645801799999996</v>
      </c>
      <c r="BY63" t="s">
        <v>114</v>
      </c>
      <c r="BZ63" t="s">
        <v>114</v>
      </c>
      <c r="CA63" t="s">
        <v>114</v>
      </c>
      <c r="CB63" t="s">
        <v>114</v>
      </c>
      <c r="CC63" t="s">
        <v>114</v>
      </c>
      <c r="CD63" t="s">
        <v>114</v>
      </c>
      <c r="CE63">
        <v>1.9278440699999999</v>
      </c>
      <c r="CF63" t="s">
        <v>114</v>
      </c>
      <c r="CG63">
        <v>1.9278440699999999</v>
      </c>
      <c r="CH63">
        <v>48.90625</v>
      </c>
      <c r="CI63">
        <v>1.754436667</v>
      </c>
      <c r="CJ63">
        <v>7.4645801799999996</v>
      </c>
      <c r="CK63">
        <v>1.9278440699999999</v>
      </c>
      <c r="CL63">
        <v>-48.90625</v>
      </c>
      <c r="CM63">
        <v>1.754436667</v>
      </c>
      <c r="CN63">
        <v>7.4645801799999996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1.9278440699999999</v>
      </c>
    </row>
    <row r="64" spans="1:101" x14ac:dyDescent="0.25">
      <c r="A64" t="s">
        <v>57</v>
      </c>
      <c r="B64">
        <v>12</v>
      </c>
      <c r="C64" t="s">
        <v>27</v>
      </c>
      <c r="D64" t="s">
        <v>94</v>
      </c>
      <c r="E64" t="s">
        <v>105</v>
      </c>
      <c r="F64" t="s">
        <v>145</v>
      </c>
      <c r="G64" t="s">
        <v>266</v>
      </c>
      <c r="H64" t="s">
        <v>759</v>
      </c>
      <c r="I64" t="s">
        <v>686</v>
      </c>
      <c r="J64" t="s">
        <v>338</v>
      </c>
      <c r="K64">
        <v>8</v>
      </c>
      <c r="L64">
        <v>40</v>
      </c>
      <c r="M64">
        <v>30</v>
      </c>
      <c r="N64">
        <v>40</v>
      </c>
      <c r="O64">
        <v>10</v>
      </c>
      <c r="P64">
        <v>80</v>
      </c>
      <c r="Q64">
        <v>80</v>
      </c>
      <c r="R64">
        <v>65</v>
      </c>
      <c r="S64">
        <v>72.5</v>
      </c>
      <c r="T64">
        <v>1.8125</v>
      </c>
      <c r="V64" t="s">
        <v>121</v>
      </c>
      <c r="W64" t="s">
        <v>114</v>
      </c>
      <c r="X64">
        <v>13</v>
      </c>
      <c r="Y64">
        <v>10</v>
      </c>
      <c r="Z64">
        <v>12</v>
      </c>
      <c r="AA64">
        <v>11.66666667</v>
      </c>
      <c r="AB64">
        <v>11.66666667</v>
      </c>
      <c r="AC64">
        <v>11</v>
      </c>
      <c r="AD64">
        <v>11</v>
      </c>
      <c r="AE64">
        <v>10.5</v>
      </c>
      <c r="AF64">
        <v>10.83333333</v>
      </c>
      <c r="AG64">
        <v>13.5</v>
      </c>
      <c r="AH64">
        <v>12</v>
      </c>
      <c r="AI64">
        <v>13.9</v>
      </c>
      <c r="AJ64">
        <v>13.133333329999999</v>
      </c>
      <c r="AK64">
        <v>9.5</v>
      </c>
      <c r="AL64">
        <v>12</v>
      </c>
      <c r="AM64">
        <v>10.5</v>
      </c>
      <c r="AN64">
        <v>10.66666667</v>
      </c>
      <c r="AO64">
        <v>13.133333329999999</v>
      </c>
      <c r="AP64">
        <v>4.0999999999999996</v>
      </c>
      <c r="AQ64">
        <v>5.6</v>
      </c>
      <c r="AR64">
        <v>5.6</v>
      </c>
      <c r="AS64">
        <v>5.0999999999999996</v>
      </c>
      <c r="AT64">
        <v>4.5999999999999996</v>
      </c>
      <c r="AU64">
        <v>4.5999999999999996</v>
      </c>
      <c r="AV64">
        <v>5.6</v>
      </c>
      <c r="AW64">
        <v>4.9333333330000002</v>
      </c>
      <c r="AX64">
        <v>5.0999999999999996</v>
      </c>
      <c r="AY64">
        <v>-6.5666666669999998</v>
      </c>
      <c r="AZ64">
        <v>50</v>
      </c>
      <c r="BA64">
        <v>0</v>
      </c>
      <c r="BB64">
        <v>0</v>
      </c>
      <c r="BC64">
        <v>20</v>
      </c>
      <c r="BD64">
        <v>1</v>
      </c>
      <c r="BE64">
        <v>0</v>
      </c>
      <c r="BF64">
        <v>0</v>
      </c>
      <c r="BG64">
        <v>0</v>
      </c>
      <c r="BI64">
        <v>20.9</v>
      </c>
      <c r="BJ64">
        <v>21.853999999999999</v>
      </c>
      <c r="BK64">
        <v>0</v>
      </c>
      <c r="BL64">
        <v>6</v>
      </c>
      <c r="BM64">
        <v>6</v>
      </c>
      <c r="BN64">
        <v>285</v>
      </c>
      <c r="BO64">
        <v>308.33330000000001</v>
      </c>
      <c r="BP64">
        <v>-23.333300000000008</v>
      </c>
      <c r="BQ64">
        <v>506</v>
      </c>
      <c r="BR64">
        <v>-221</v>
      </c>
      <c r="BS64">
        <v>23.6848919966667</v>
      </c>
      <c r="BT64">
        <v>0.346602517666667</v>
      </c>
      <c r="BU64">
        <v>15.7891487933333</v>
      </c>
      <c r="BV64">
        <v>-22.545588516666701</v>
      </c>
      <c r="BW64">
        <v>0.346602517666667</v>
      </c>
      <c r="BX64">
        <v>12.6202837533333</v>
      </c>
      <c r="BY64">
        <v>377.27001256239299</v>
      </c>
      <c r="BZ64">
        <v>2.6613327495652401E-4</v>
      </c>
      <c r="CA64">
        <v>104.921508738436</v>
      </c>
      <c r="CB64">
        <v>456.275833558763</v>
      </c>
      <c r="CC64">
        <v>2.6613327495652401E-4</v>
      </c>
      <c r="CD64">
        <v>239.959995143491</v>
      </c>
      <c r="CE64">
        <v>1.74489932</v>
      </c>
      <c r="CF64">
        <v>2.3673132592295702E-2</v>
      </c>
      <c r="CG64">
        <v>1.6831783762500001</v>
      </c>
      <c r="CH64">
        <v>32.97811831125</v>
      </c>
      <c r="CI64">
        <v>0.342437076625</v>
      </c>
      <c r="CJ64">
        <v>8.8917417724999996</v>
      </c>
      <c r="CK64">
        <v>1.6831783762500001</v>
      </c>
      <c r="CL64">
        <v>-32.550879506249998</v>
      </c>
      <c r="CM64">
        <v>0.342437076625</v>
      </c>
      <c r="CN64">
        <v>1.7617954325</v>
      </c>
      <c r="CO64">
        <v>9.3759635274380804E-3</v>
      </c>
      <c r="CP64">
        <v>167.01249867547099</v>
      </c>
      <c r="CQ64">
        <v>8.7935837922390603E-5</v>
      </c>
      <c r="CR64">
        <v>62.599898687124004</v>
      </c>
      <c r="CS64">
        <v>9.3759635274380804E-3</v>
      </c>
      <c r="CT64">
        <v>199.008533784495</v>
      </c>
      <c r="CU64">
        <v>8.7935837922390603E-5</v>
      </c>
      <c r="CV64">
        <v>149.410354233231</v>
      </c>
      <c r="CW64">
        <v>1.74489932</v>
      </c>
    </row>
    <row r="65" spans="1:101" x14ac:dyDescent="0.25">
      <c r="A65" t="s">
        <v>57</v>
      </c>
      <c r="B65">
        <v>12</v>
      </c>
      <c r="C65" t="s">
        <v>27</v>
      </c>
      <c r="D65" t="s">
        <v>94</v>
      </c>
      <c r="E65" t="s">
        <v>113</v>
      </c>
      <c r="F65" t="s">
        <v>145</v>
      </c>
      <c r="G65" t="s">
        <v>259</v>
      </c>
      <c r="H65" t="s">
        <v>763</v>
      </c>
      <c r="I65" t="s">
        <v>692</v>
      </c>
      <c r="J65" t="s">
        <v>339</v>
      </c>
      <c r="K65" t="s">
        <v>114</v>
      </c>
      <c r="L65">
        <v>40</v>
      </c>
      <c r="M65">
        <v>65</v>
      </c>
      <c r="N65">
        <v>40</v>
      </c>
      <c r="O65">
        <v>-25</v>
      </c>
      <c r="P65">
        <v>8</v>
      </c>
      <c r="Q65">
        <v>10</v>
      </c>
      <c r="R65">
        <v>2</v>
      </c>
      <c r="S65">
        <v>6</v>
      </c>
      <c r="T65">
        <v>0.15</v>
      </c>
      <c r="V65" t="s">
        <v>121</v>
      </c>
      <c r="W65" t="s">
        <v>114</v>
      </c>
      <c r="X65" t="s">
        <v>114</v>
      </c>
      <c r="Y65" t="s">
        <v>114</v>
      </c>
      <c r="Z65" t="s">
        <v>114</v>
      </c>
      <c r="AA65" t="s">
        <v>114</v>
      </c>
      <c r="AB65" t="s">
        <v>114</v>
      </c>
      <c r="AC65" t="s">
        <v>114</v>
      </c>
      <c r="AD65" t="s">
        <v>114</v>
      </c>
      <c r="AE65" t="s">
        <v>114</v>
      </c>
      <c r="AF65" t="s">
        <v>114</v>
      </c>
      <c r="AG65">
        <v>13.5</v>
      </c>
      <c r="AH65">
        <v>12</v>
      </c>
      <c r="AI65">
        <v>13.9</v>
      </c>
      <c r="AJ65">
        <v>13.133333329999999</v>
      </c>
      <c r="AK65">
        <v>11</v>
      </c>
      <c r="AL65">
        <v>8.5</v>
      </c>
      <c r="AM65">
        <v>13.5</v>
      </c>
      <c r="AN65">
        <v>11</v>
      </c>
      <c r="AO65">
        <v>13.133333329999999</v>
      </c>
      <c r="AP65">
        <v>4.0999999999999996</v>
      </c>
      <c r="AQ65">
        <v>5.6</v>
      </c>
      <c r="AR65">
        <v>5.6</v>
      </c>
      <c r="AS65">
        <v>5.0999999999999996</v>
      </c>
      <c r="AT65">
        <v>5.6</v>
      </c>
      <c r="AU65">
        <v>6.1</v>
      </c>
      <c r="AV65">
        <v>7.1</v>
      </c>
      <c r="AW65">
        <v>6.266666667</v>
      </c>
      <c r="AX65">
        <v>5.0999999999999996</v>
      </c>
      <c r="AY65" t="s">
        <v>114</v>
      </c>
      <c r="AZ65">
        <v>50</v>
      </c>
      <c r="BA65">
        <v>0</v>
      </c>
      <c r="BB65">
        <v>0</v>
      </c>
      <c r="BC65">
        <v>20</v>
      </c>
      <c r="BD65">
        <v>1</v>
      </c>
      <c r="BE65">
        <v>0</v>
      </c>
      <c r="BF65">
        <v>0</v>
      </c>
      <c r="BG65">
        <v>0</v>
      </c>
      <c r="BH65" t="s">
        <v>119</v>
      </c>
      <c r="BI65">
        <v>20.9</v>
      </c>
      <c r="BJ65">
        <v>21.853999999999999</v>
      </c>
      <c r="BK65">
        <v>0</v>
      </c>
      <c r="BL65">
        <v>1</v>
      </c>
      <c r="BM65">
        <v>1</v>
      </c>
      <c r="BN65">
        <v>5</v>
      </c>
      <c r="BO65">
        <v>2.75</v>
      </c>
      <c r="BP65">
        <v>2.25</v>
      </c>
      <c r="BQ65">
        <v>9</v>
      </c>
      <c r="BR65">
        <v>-4</v>
      </c>
      <c r="BS65" t="s">
        <v>114</v>
      </c>
      <c r="BT65" t="s">
        <v>114</v>
      </c>
      <c r="BU65" t="s">
        <v>114</v>
      </c>
      <c r="BV65" t="s">
        <v>114</v>
      </c>
      <c r="BW65" t="s">
        <v>114</v>
      </c>
      <c r="BX65" t="s">
        <v>114</v>
      </c>
      <c r="BY65" t="s">
        <v>114</v>
      </c>
      <c r="BZ65" t="s">
        <v>114</v>
      </c>
      <c r="CA65" t="s">
        <v>114</v>
      </c>
      <c r="CB65" t="s">
        <v>114</v>
      </c>
      <c r="CC65" t="s">
        <v>114</v>
      </c>
      <c r="CD65" t="s">
        <v>114</v>
      </c>
      <c r="CE65" t="s">
        <v>114</v>
      </c>
      <c r="CF65" t="s">
        <v>114</v>
      </c>
      <c r="CG65" t="s">
        <v>114</v>
      </c>
      <c r="CH65" t="s">
        <v>114</v>
      </c>
      <c r="CI65" t="s">
        <v>114</v>
      </c>
      <c r="CJ65" t="s">
        <v>114</v>
      </c>
      <c r="CK65" t="s">
        <v>114</v>
      </c>
      <c r="CL65" t="s">
        <v>114</v>
      </c>
      <c r="CM65" t="s">
        <v>114</v>
      </c>
      <c r="CN65" t="s">
        <v>114</v>
      </c>
      <c r="CO65" t="s">
        <v>114</v>
      </c>
      <c r="CP65" t="s">
        <v>114</v>
      </c>
      <c r="CQ65" t="s">
        <v>114</v>
      </c>
      <c r="CR65" t="s">
        <v>114</v>
      </c>
      <c r="CS65" t="s">
        <v>114</v>
      </c>
      <c r="CT65" t="s">
        <v>114</v>
      </c>
      <c r="CU65" t="s">
        <v>114</v>
      </c>
      <c r="CV65" t="s">
        <v>114</v>
      </c>
      <c r="CW65" t="s">
        <v>114</v>
      </c>
    </row>
    <row r="66" spans="1:101" x14ac:dyDescent="0.25">
      <c r="A66" t="s">
        <v>57</v>
      </c>
      <c r="B66">
        <v>12</v>
      </c>
      <c r="C66" t="s">
        <v>27</v>
      </c>
      <c r="D66" t="s">
        <v>94</v>
      </c>
      <c r="E66" t="s">
        <v>112</v>
      </c>
      <c r="F66" t="s">
        <v>145</v>
      </c>
      <c r="G66" t="s">
        <v>261</v>
      </c>
      <c r="H66" t="s">
        <v>783</v>
      </c>
      <c r="I66" t="s">
        <v>688</v>
      </c>
      <c r="J66" t="s">
        <v>340</v>
      </c>
      <c r="K66">
        <v>3</v>
      </c>
      <c r="L66">
        <v>35</v>
      </c>
      <c r="M66">
        <v>100</v>
      </c>
      <c r="N66">
        <v>35</v>
      </c>
      <c r="O66">
        <v>-65</v>
      </c>
      <c r="P66">
        <v>45</v>
      </c>
      <c r="Q66">
        <v>120</v>
      </c>
      <c r="R66">
        <v>95</v>
      </c>
      <c r="S66">
        <v>107.5</v>
      </c>
      <c r="T66">
        <v>3.0714285714285716</v>
      </c>
      <c r="V66" t="s">
        <v>112</v>
      </c>
      <c r="W66">
        <v>55</v>
      </c>
      <c r="X66">
        <v>13</v>
      </c>
      <c r="Y66">
        <v>10</v>
      </c>
      <c r="Z66">
        <v>12</v>
      </c>
      <c r="AA66">
        <v>11.66666667</v>
      </c>
      <c r="AB66">
        <v>11.66666667</v>
      </c>
      <c r="AC66">
        <v>11</v>
      </c>
      <c r="AD66">
        <v>11.5</v>
      </c>
      <c r="AE66">
        <v>8.5</v>
      </c>
      <c r="AF66">
        <v>10.33333333</v>
      </c>
      <c r="AG66">
        <v>13.5</v>
      </c>
      <c r="AH66">
        <v>12</v>
      </c>
      <c r="AI66">
        <v>13.9</v>
      </c>
      <c r="AJ66">
        <v>13.133333329999999</v>
      </c>
      <c r="AK66">
        <v>13</v>
      </c>
      <c r="AL66">
        <v>11</v>
      </c>
      <c r="AM66">
        <v>12</v>
      </c>
      <c r="AN66">
        <v>12</v>
      </c>
      <c r="AO66">
        <v>13.133333329999999</v>
      </c>
      <c r="AP66">
        <v>4.0999999999999996</v>
      </c>
      <c r="AQ66">
        <v>5.6</v>
      </c>
      <c r="AR66">
        <v>5.6</v>
      </c>
      <c r="AS66">
        <v>5.0999999999999996</v>
      </c>
      <c r="AT66">
        <v>6.1</v>
      </c>
      <c r="AU66">
        <v>6.6</v>
      </c>
      <c r="AV66">
        <v>5.6</v>
      </c>
      <c r="AW66">
        <v>6.1</v>
      </c>
      <c r="AX66">
        <v>5.0999999999999996</v>
      </c>
      <c r="AY66">
        <v>-6.5666666669999998</v>
      </c>
      <c r="AZ66">
        <v>50</v>
      </c>
      <c r="BA66">
        <v>0</v>
      </c>
      <c r="BB66">
        <v>0</v>
      </c>
      <c r="BC66">
        <v>20</v>
      </c>
      <c r="BD66">
        <v>1</v>
      </c>
      <c r="BE66">
        <v>0</v>
      </c>
      <c r="BF66">
        <v>0</v>
      </c>
      <c r="BG66">
        <v>0</v>
      </c>
      <c r="BI66">
        <v>20.9</v>
      </c>
      <c r="BJ66">
        <v>21.853999999999999</v>
      </c>
      <c r="BK66">
        <v>0</v>
      </c>
      <c r="BL66">
        <v>73</v>
      </c>
      <c r="BM66">
        <v>22</v>
      </c>
      <c r="BN66">
        <v>95</v>
      </c>
      <c r="BO66">
        <v>184.8</v>
      </c>
      <c r="BP66">
        <v>-89.800000000000011</v>
      </c>
      <c r="BQ66">
        <v>74</v>
      </c>
      <c r="BR66">
        <v>21</v>
      </c>
      <c r="BS66">
        <v>0.34864739</v>
      </c>
      <c r="BT66">
        <v>1.1034737214999999</v>
      </c>
      <c r="BU66">
        <v>7.4750802949999997</v>
      </c>
      <c r="BV66">
        <v>-0.34864739</v>
      </c>
      <c r="BW66">
        <v>1.1034737214999999</v>
      </c>
      <c r="BX66">
        <v>7.4750802949999997</v>
      </c>
      <c r="BY66">
        <v>0.24311000510762401</v>
      </c>
      <c r="BZ66">
        <v>2.43530850808212</v>
      </c>
      <c r="CA66">
        <v>111.753650833395</v>
      </c>
      <c r="CB66">
        <v>0.24311000510762401</v>
      </c>
      <c r="CC66">
        <v>2.43530850808212</v>
      </c>
      <c r="CD66">
        <v>111.753650833395</v>
      </c>
      <c r="CE66">
        <v>1.0191604249999999</v>
      </c>
      <c r="CF66">
        <v>2.0773759437723598</v>
      </c>
      <c r="CG66">
        <v>0.67944028333333295</v>
      </c>
      <c r="CH66">
        <v>0.23243159333333299</v>
      </c>
      <c r="CI66">
        <v>0.735649147666667</v>
      </c>
      <c r="CJ66">
        <v>4.9833868633333296</v>
      </c>
      <c r="CK66">
        <v>0.67944028333333295</v>
      </c>
      <c r="CL66">
        <v>-0.23243159333333299</v>
      </c>
      <c r="CM66">
        <v>0.735649147666667</v>
      </c>
      <c r="CN66">
        <v>4.9833868633333296</v>
      </c>
      <c r="CO66">
        <v>1.3849172958482401</v>
      </c>
      <c r="CP66">
        <v>0.16207333673841601</v>
      </c>
      <c r="CQ66">
        <v>1.62353900538808</v>
      </c>
      <c r="CR66">
        <v>74.502433888929701</v>
      </c>
      <c r="CS66">
        <v>1.3849172958482401</v>
      </c>
      <c r="CT66">
        <v>0.16207333673841601</v>
      </c>
      <c r="CU66">
        <v>1.62353900538808</v>
      </c>
      <c r="CV66">
        <v>74.502433888929701</v>
      </c>
      <c r="CW66">
        <v>1.0191604249999999</v>
      </c>
    </row>
    <row r="67" spans="1:101" x14ac:dyDescent="0.25">
      <c r="A67" t="s">
        <v>58</v>
      </c>
      <c r="B67">
        <v>12</v>
      </c>
      <c r="C67" t="s">
        <v>29</v>
      </c>
      <c r="D67" t="s">
        <v>95</v>
      </c>
      <c r="E67" t="s">
        <v>102</v>
      </c>
      <c r="F67" t="s">
        <v>145</v>
      </c>
      <c r="G67" t="s">
        <v>265</v>
      </c>
      <c r="H67" t="s">
        <v>756</v>
      </c>
      <c r="I67" t="s">
        <v>689</v>
      </c>
      <c r="J67" t="s">
        <v>341</v>
      </c>
      <c r="K67">
        <v>2</v>
      </c>
      <c r="L67">
        <v>200</v>
      </c>
      <c r="M67">
        <v>85</v>
      </c>
      <c r="N67">
        <v>200</v>
      </c>
      <c r="O67">
        <v>115</v>
      </c>
      <c r="P67">
        <v>220</v>
      </c>
      <c r="Q67">
        <v>220</v>
      </c>
      <c r="R67">
        <v>160</v>
      </c>
      <c r="S67">
        <v>190</v>
      </c>
      <c r="T67">
        <v>0.95</v>
      </c>
      <c r="V67" t="s">
        <v>104</v>
      </c>
      <c r="W67">
        <v>100</v>
      </c>
      <c r="X67">
        <v>13</v>
      </c>
      <c r="Y67">
        <v>12.5</v>
      </c>
      <c r="Z67">
        <v>10.5</v>
      </c>
      <c r="AA67">
        <v>12</v>
      </c>
      <c r="AB67">
        <v>12</v>
      </c>
      <c r="AC67">
        <v>13.9</v>
      </c>
      <c r="AD67">
        <v>12</v>
      </c>
      <c r="AE67">
        <v>14.9</v>
      </c>
      <c r="AF67">
        <v>13.6</v>
      </c>
      <c r="AG67">
        <v>13.5</v>
      </c>
      <c r="AH67">
        <v>13</v>
      </c>
      <c r="AI67">
        <v>12</v>
      </c>
      <c r="AJ67">
        <v>12.83333333</v>
      </c>
      <c r="AK67">
        <v>14.4</v>
      </c>
      <c r="AL67">
        <v>15.4</v>
      </c>
      <c r="AM67">
        <v>15.4</v>
      </c>
      <c r="AN67">
        <v>15.06666667</v>
      </c>
      <c r="AO67">
        <v>12.83333333</v>
      </c>
      <c r="AP67">
        <v>4.5999999999999996</v>
      </c>
      <c r="AQ67">
        <v>5.6</v>
      </c>
      <c r="AR67">
        <v>4.9000000000000004</v>
      </c>
      <c r="AS67">
        <v>5.0333333329999999</v>
      </c>
      <c r="AT67">
        <v>3.9</v>
      </c>
      <c r="AU67">
        <v>5.3</v>
      </c>
      <c r="AV67">
        <v>5.6</v>
      </c>
      <c r="AW67">
        <v>4.9333333330000002</v>
      </c>
      <c r="AX67">
        <v>5.0333333329999999</v>
      </c>
      <c r="AY67">
        <v>-6.9666666670000001</v>
      </c>
      <c r="AZ67">
        <v>60</v>
      </c>
      <c r="BA67">
        <v>0</v>
      </c>
      <c r="BB67">
        <v>10</v>
      </c>
      <c r="BC67">
        <v>10</v>
      </c>
      <c r="BD67">
        <v>1</v>
      </c>
      <c r="BE67">
        <v>1</v>
      </c>
      <c r="BF67">
        <v>0</v>
      </c>
      <c r="BG67">
        <v>0</v>
      </c>
      <c r="BI67">
        <v>14.9</v>
      </c>
      <c r="BJ67">
        <v>43.93</v>
      </c>
      <c r="BK67">
        <v>0</v>
      </c>
      <c r="BL67">
        <v>30</v>
      </c>
      <c r="BM67">
        <v>30</v>
      </c>
      <c r="BN67">
        <v>965</v>
      </c>
      <c r="BO67">
        <v>545.5</v>
      </c>
      <c r="BP67">
        <v>419.5</v>
      </c>
      <c r="BQ67">
        <v>171</v>
      </c>
      <c r="BR67">
        <v>794</v>
      </c>
      <c r="BS67">
        <v>32.35300926</v>
      </c>
      <c r="BT67">
        <v>0.75796250750000005</v>
      </c>
      <c r="BU67">
        <v>2.8559647799999999</v>
      </c>
      <c r="BV67">
        <v>-32.35300926</v>
      </c>
      <c r="BW67">
        <v>-0.55135249249999996</v>
      </c>
      <c r="BX67">
        <v>-2.8559647799999999</v>
      </c>
      <c r="BY67">
        <v>19.923828125</v>
      </c>
      <c r="BZ67">
        <v>0.60797914197192504</v>
      </c>
      <c r="CA67">
        <v>3.6586678768496799</v>
      </c>
      <c r="CB67">
        <v>19.923828125</v>
      </c>
      <c r="CC67">
        <v>1.1490143255513801</v>
      </c>
      <c r="CD67">
        <v>3.6586678768496799</v>
      </c>
      <c r="CE67" t="s">
        <v>114</v>
      </c>
      <c r="CF67" t="s">
        <v>114</v>
      </c>
      <c r="CG67" t="s">
        <v>114</v>
      </c>
      <c r="CH67">
        <v>32.35300926</v>
      </c>
      <c r="CI67">
        <v>0.75796250750000005</v>
      </c>
      <c r="CJ67">
        <v>2.8559647799999999</v>
      </c>
      <c r="CK67" t="s">
        <v>114</v>
      </c>
      <c r="CL67">
        <v>-32.35300926</v>
      </c>
      <c r="CM67">
        <v>-0.55135249249999996</v>
      </c>
      <c r="CN67">
        <v>-2.8559647799999999</v>
      </c>
      <c r="CO67" t="s">
        <v>114</v>
      </c>
      <c r="CP67">
        <v>19.923828125</v>
      </c>
      <c r="CQ67">
        <v>0.60797914197192504</v>
      </c>
      <c r="CR67">
        <v>3.6586678768496799</v>
      </c>
      <c r="CS67" t="s">
        <v>114</v>
      </c>
      <c r="CT67">
        <v>19.923828125</v>
      </c>
      <c r="CU67">
        <v>1.1490143255513801</v>
      </c>
      <c r="CV67">
        <v>3.6586678768496799</v>
      </c>
      <c r="CW67" t="s">
        <v>114</v>
      </c>
    </row>
    <row r="68" spans="1:101" x14ac:dyDescent="0.25">
      <c r="A68" t="s">
        <v>58</v>
      </c>
      <c r="B68">
        <v>12</v>
      </c>
      <c r="C68" t="s">
        <v>29</v>
      </c>
      <c r="D68" t="s">
        <v>95</v>
      </c>
      <c r="E68" t="s">
        <v>110</v>
      </c>
      <c r="F68" t="s">
        <v>145</v>
      </c>
      <c r="G68" t="s">
        <v>262</v>
      </c>
      <c r="H68" t="s">
        <v>768</v>
      </c>
      <c r="I68" t="s">
        <v>694</v>
      </c>
      <c r="J68" t="s">
        <v>342</v>
      </c>
      <c r="K68">
        <v>2</v>
      </c>
      <c r="L68">
        <v>80</v>
      </c>
      <c r="M68">
        <v>50</v>
      </c>
      <c r="N68">
        <v>80</v>
      </c>
      <c r="O68">
        <v>30</v>
      </c>
      <c r="P68">
        <v>30</v>
      </c>
      <c r="Q68">
        <v>20</v>
      </c>
      <c r="R68">
        <v>15</v>
      </c>
      <c r="S68">
        <v>17.5</v>
      </c>
      <c r="T68">
        <v>0.21875</v>
      </c>
      <c r="V68" t="s">
        <v>121</v>
      </c>
      <c r="W68" t="s">
        <v>114</v>
      </c>
      <c r="X68">
        <v>13</v>
      </c>
      <c r="Y68">
        <v>12.5</v>
      </c>
      <c r="Z68">
        <v>10.5</v>
      </c>
      <c r="AA68">
        <v>12</v>
      </c>
      <c r="AB68">
        <v>12</v>
      </c>
      <c r="AC68">
        <v>11</v>
      </c>
      <c r="AD68">
        <v>13.5</v>
      </c>
      <c r="AE68">
        <v>14.4</v>
      </c>
      <c r="AF68">
        <v>12.96666667</v>
      </c>
      <c r="AG68">
        <v>13.5</v>
      </c>
      <c r="AH68">
        <v>13</v>
      </c>
      <c r="AI68">
        <v>12</v>
      </c>
      <c r="AJ68">
        <v>12.83333333</v>
      </c>
      <c r="AK68">
        <v>13.5</v>
      </c>
      <c r="AL68">
        <v>14.4</v>
      </c>
      <c r="AM68">
        <v>15.9</v>
      </c>
      <c r="AN68">
        <v>14.6</v>
      </c>
      <c r="AO68">
        <v>12.83333333</v>
      </c>
      <c r="AP68">
        <v>4.5999999999999996</v>
      </c>
      <c r="AQ68">
        <v>5.6</v>
      </c>
      <c r="AR68">
        <v>4.9000000000000004</v>
      </c>
      <c r="AS68">
        <v>5.0333333329999999</v>
      </c>
      <c r="AT68">
        <v>4.3</v>
      </c>
      <c r="AU68">
        <v>4.3</v>
      </c>
      <c r="AV68">
        <v>4.5999999999999996</v>
      </c>
      <c r="AW68">
        <v>4.4000000000000004</v>
      </c>
      <c r="AX68">
        <v>5.0333333329999999</v>
      </c>
      <c r="AY68">
        <v>-6.9666666670000001</v>
      </c>
      <c r="AZ68">
        <v>60</v>
      </c>
      <c r="BA68">
        <v>0</v>
      </c>
      <c r="BB68">
        <v>10</v>
      </c>
      <c r="BC68">
        <v>10</v>
      </c>
      <c r="BD68">
        <v>1</v>
      </c>
      <c r="BE68">
        <v>1</v>
      </c>
      <c r="BF68">
        <v>0</v>
      </c>
      <c r="BG68">
        <v>0</v>
      </c>
      <c r="BI68">
        <v>14.9</v>
      </c>
      <c r="BJ68">
        <v>43.93</v>
      </c>
      <c r="BK68">
        <v>1</v>
      </c>
      <c r="BL68">
        <v>0</v>
      </c>
      <c r="BM68">
        <v>0</v>
      </c>
      <c r="BN68">
        <v>0</v>
      </c>
      <c r="BO68">
        <v>9</v>
      </c>
      <c r="BP68">
        <v>-9</v>
      </c>
      <c r="BQ68">
        <v>0</v>
      </c>
      <c r="BR68">
        <v>0</v>
      </c>
      <c r="BS68">
        <v>37.09140318</v>
      </c>
      <c r="BT68">
        <v>0.22399584049999999</v>
      </c>
      <c r="BU68">
        <v>5.7412001500000001</v>
      </c>
      <c r="BV68">
        <v>-37.09140318</v>
      </c>
      <c r="BW68">
        <v>0.22399584049999999</v>
      </c>
      <c r="BX68">
        <v>5.7412001500000001</v>
      </c>
      <c r="BY68">
        <v>195.93000943078499</v>
      </c>
      <c r="BZ68">
        <v>1.15634005313751E-2</v>
      </c>
      <c r="CA68">
        <v>7.6661160337289704</v>
      </c>
      <c r="CB68">
        <v>195.93000943078499</v>
      </c>
      <c r="CC68">
        <v>1.15634005313751E-2</v>
      </c>
      <c r="CD68">
        <v>7.6661160337289704</v>
      </c>
      <c r="CE68" t="s">
        <v>114</v>
      </c>
      <c r="CF68" t="s">
        <v>114</v>
      </c>
      <c r="CG68" t="s">
        <v>114</v>
      </c>
      <c r="CH68">
        <v>37.09140318</v>
      </c>
      <c r="CI68">
        <v>0.22399584049999999</v>
      </c>
      <c r="CJ68">
        <v>5.7412001500000001</v>
      </c>
      <c r="CK68" t="s">
        <v>114</v>
      </c>
      <c r="CL68">
        <v>-37.09140318</v>
      </c>
      <c r="CM68">
        <v>0.22399584049999999</v>
      </c>
      <c r="CN68">
        <v>5.7412001500000001</v>
      </c>
      <c r="CO68" t="s">
        <v>114</v>
      </c>
      <c r="CP68">
        <v>195.93000943078499</v>
      </c>
      <c r="CQ68">
        <v>1.15634005313751E-2</v>
      </c>
      <c r="CR68">
        <v>7.6661160337289704</v>
      </c>
      <c r="CS68" t="s">
        <v>114</v>
      </c>
      <c r="CT68">
        <v>195.93000943078499</v>
      </c>
      <c r="CU68">
        <v>1.15634005313751E-2</v>
      </c>
      <c r="CV68">
        <v>7.6661160337289704</v>
      </c>
      <c r="CW68" t="s">
        <v>114</v>
      </c>
    </row>
    <row r="69" spans="1:101" x14ac:dyDescent="0.25">
      <c r="A69" t="s">
        <v>58</v>
      </c>
      <c r="B69">
        <v>12</v>
      </c>
      <c r="C69" t="s">
        <v>29</v>
      </c>
      <c r="D69" t="s">
        <v>95</v>
      </c>
      <c r="E69" t="s">
        <v>103</v>
      </c>
      <c r="F69" t="s">
        <v>145</v>
      </c>
      <c r="G69" t="s">
        <v>260</v>
      </c>
      <c r="H69" t="s">
        <v>772</v>
      </c>
      <c r="I69" t="s">
        <v>683</v>
      </c>
      <c r="J69" t="s">
        <v>343</v>
      </c>
      <c r="K69">
        <v>2</v>
      </c>
      <c r="L69">
        <v>60</v>
      </c>
      <c r="M69">
        <v>75</v>
      </c>
      <c r="N69">
        <v>60</v>
      </c>
      <c r="O69">
        <v>-15</v>
      </c>
      <c r="P69">
        <v>30</v>
      </c>
      <c r="Q69">
        <v>15</v>
      </c>
      <c r="R69">
        <v>12</v>
      </c>
      <c r="S69">
        <v>13.5</v>
      </c>
      <c r="T69">
        <v>0.22500000000000001</v>
      </c>
      <c r="V69" t="s">
        <v>121</v>
      </c>
      <c r="W69" t="s">
        <v>114</v>
      </c>
      <c r="X69">
        <v>13</v>
      </c>
      <c r="Y69">
        <v>12.5</v>
      </c>
      <c r="Z69">
        <v>10.5</v>
      </c>
      <c r="AA69">
        <v>12</v>
      </c>
      <c r="AB69">
        <v>12</v>
      </c>
      <c r="AC69">
        <v>12</v>
      </c>
      <c r="AD69">
        <v>12</v>
      </c>
      <c r="AE69">
        <v>12.5</v>
      </c>
      <c r="AF69">
        <v>12.16666667</v>
      </c>
      <c r="AG69">
        <v>13.5</v>
      </c>
      <c r="AH69">
        <v>13</v>
      </c>
      <c r="AI69">
        <v>12</v>
      </c>
      <c r="AJ69">
        <v>12.83333333</v>
      </c>
      <c r="AK69">
        <v>13</v>
      </c>
      <c r="AL69">
        <v>13.5</v>
      </c>
      <c r="AM69">
        <v>14.9</v>
      </c>
      <c r="AN69">
        <v>13.8</v>
      </c>
      <c r="AO69">
        <v>12.83333333</v>
      </c>
      <c r="AP69">
        <v>4.5999999999999996</v>
      </c>
      <c r="AQ69">
        <v>5.6</v>
      </c>
      <c r="AR69">
        <v>4.9000000000000004</v>
      </c>
      <c r="AS69">
        <v>5.0333333329999999</v>
      </c>
      <c r="AT69">
        <v>4.9000000000000004</v>
      </c>
      <c r="AU69">
        <v>5.3</v>
      </c>
      <c r="AV69">
        <v>5.6</v>
      </c>
      <c r="AW69">
        <v>5.266666667</v>
      </c>
      <c r="AX69">
        <v>5.0333333329999999</v>
      </c>
      <c r="AY69">
        <v>-6.9666666670000001</v>
      </c>
      <c r="AZ69">
        <v>60</v>
      </c>
      <c r="BA69">
        <v>0</v>
      </c>
      <c r="BB69">
        <v>10</v>
      </c>
      <c r="BC69">
        <v>10</v>
      </c>
      <c r="BD69">
        <v>1</v>
      </c>
      <c r="BE69">
        <v>1</v>
      </c>
      <c r="BF69">
        <v>0</v>
      </c>
      <c r="BG69">
        <v>0</v>
      </c>
      <c r="BI69">
        <v>14.9</v>
      </c>
      <c r="BJ69">
        <v>43.93</v>
      </c>
      <c r="BK69">
        <v>0</v>
      </c>
      <c r="BL69">
        <v>3</v>
      </c>
      <c r="BM69">
        <v>3</v>
      </c>
      <c r="BN69">
        <v>143</v>
      </c>
      <c r="BO69">
        <v>290.75</v>
      </c>
      <c r="BP69">
        <v>-147.75</v>
      </c>
      <c r="BQ69">
        <v>289</v>
      </c>
      <c r="BR69">
        <v>-146</v>
      </c>
      <c r="BS69">
        <v>13.708333335000001</v>
      </c>
      <c r="BT69">
        <v>4.47468065E-2</v>
      </c>
      <c r="BU69">
        <v>9.2889784300000002</v>
      </c>
      <c r="BV69">
        <v>13.708333335000001</v>
      </c>
      <c r="BW69">
        <v>-2.4741073499999999E-2</v>
      </c>
      <c r="BX69">
        <v>-8.4521592400000003</v>
      </c>
      <c r="BY69">
        <v>17.013888869444401</v>
      </c>
      <c r="BZ69">
        <v>1.2242414358648E-3</v>
      </c>
      <c r="CA69">
        <v>142.87799163663499</v>
      </c>
      <c r="CB69">
        <v>17.013888869444401</v>
      </c>
      <c r="CC69">
        <v>4.0045533838968797E-3</v>
      </c>
      <c r="CD69">
        <v>172.57024054601101</v>
      </c>
      <c r="CE69" t="s">
        <v>114</v>
      </c>
      <c r="CF69" t="s">
        <v>114</v>
      </c>
      <c r="CG69" t="s">
        <v>114</v>
      </c>
      <c r="CH69">
        <v>13.708333335000001</v>
      </c>
      <c r="CI69">
        <v>4.47468065E-2</v>
      </c>
      <c r="CJ69">
        <v>9.2889784300000002</v>
      </c>
      <c r="CK69" t="s">
        <v>114</v>
      </c>
      <c r="CL69">
        <v>13.708333335000001</v>
      </c>
      <c r="CM69">
        <v>-2.4741073499999999E-2</v>
      </c>
      <c r="CN69">
        <v>-8.4521592400000003</v>
      </c>
      <c r="CO69" t="s">
        <v>114</v>
      </c>
      <c r="CP69">
        <v>17.013888869444401</v>
      </c>
      <c r="CQ69">
        <v>1.2242414358648E-3</v>
      </c>
      <c r="CR69">
        <v>142.87799163663499</v>
      </c>
      <c r="CS69" t="s">
        <v>114</v>
      </c>
      <c r="CT69">
        <v>17.013888869444401</v>
      </c>
      <c r="CU69">
        <v>4.0045533838968797E-3</v>
      </c>
      <c r="CV69">
        <v>172.57024054601101</v>
      </c>
      <c r="CW69" t="s">
        <v>114</v>
      </c>
    </row>
    <row r="70" spans="1:101" x14ac:dyDescent="0.25">
      <c r="A70" t="s">
        <v>59</v>
      </c>
      <c r="B70">
        <v>12</v>
      </c>
      <c r="C70" t="s">
        <v>31</v>
      </c>
      <c r="D70" t="s">
        <v>94</v>
      </c>
      <c r="E70" t="s">
        <v>105</v>
      </c>
      <c r="F70" t="s">
        <v>145</v>
      </c>
      <c r="G70" t="s">
        <v>266</v>
      </c>
      <c r="H70" t="s">
        <v>759</v>
      </c>
      <c r="I70" t="s">
        <v>686</v>
      </c>
      <c r="J70" t="s">
        <v>344</v>
      </c>
      <c r="K70">
        <v>1</v>
      </c>
      <c r="L70">
        <v>80</v>
      </c>
      <c r="M70">
        <v>20</v>
      </c>
      <c r="N70">
        <v>80</v>
      </c>
      <c r="O70">
        <v>60</v>
      </c>
      <c r="P70">
        <v>70</v>
      </c>
      <c r="Q70">
        <v>70</v>
      </c>
      <c r="R70">
        <v>60</v>
      </c>
      <c r="S70">
        <v>65</v>
      </c>
      <c r="T70">
        <v>0.8125</v>
      </c>
      <c r="V70" t="s">
        <v>121</v>
      </c>
      <c r="W70" t="s">
        <v>114</v>
      </c>
      <c r="X70">
        <v>18.399999999999999</v>
      </c>
      <c r="Y70">
        <v>19.8</v>
      </c>
      <c r="Z70">
        <v>20.3</v>
      </c>
      <c r="AA70">
        <v>19.5</v>
      </c>
      <c r="AB70">
        <v>19.5</v>
      </c>
      <c r="AC70">
        <v>14.9</v>
      </c>
      <c r="AD70">
        <v>17.899999999999999</v>
      </c>
      <c r="AE70">
        <v>17.899999999999999</v>
      </c>
      <c r="AF70">
        <v>16.899999999999999</v>
      </c>
      <c r="AG70">
        <v>10.5</v>
      </c>
      <c r="AH70">
        <v>18.399999999999999</v>
      </c>
      <c r="AI70">
        <v>16.899999999999999</v>
      </c>
      <c r="AJ70">
        <v>15.266666669999999</v>
      </c>
      <c r="AK70">
        <v>15.4</v>
      </c>
      <c r="AL70">
        <v>19.8</v>
      </c>
      <c r="AM70">
        <v>18.399999999999999</v>
      </c>
      <c r="AN70">
        <v>17.866666670000001</v>
      </c>
      <c r="AO70">
        <v>15.266666669999999</v>
      </c>
      <c r="AP70">
        <v>6.1</v>
      </c>
      <c r="AQ70">
        <v>5.6</v>
      </c>
      <c r="AR70">
        <v>7.1</v>
      </c>
      <c r="AS70">
        <v>6.266666667</v>
      </c>
      <c r="AT70">
        <v>5.0999999999999996</v>
      </c>
      <c r="AU70">
        <v>5.6</v>
      </c>
      <c r="AV70">
        <v>7.6</v>
      </c>
      <c r="AW70">
        <v>6.1</v>
      </c>
      <c r="AX70">
        <v>6.266666667</v>
      </c>
      <c r="AY70">
        <v>-13.233333330000001</v>
      </c>
      <c r="AZ70">
        <v>3</v>
      </c>
      <c r="BA70">
        <v>90</v>
      </c>
      <c r="BB70">
        <v>5</v>
      </c>
      <c r="BC70">
        <v>10</v>
      </c>
      <c r="BD70">
        <v>1</v>
      </c>
      <c r="BE70">
        <v>1</v>
      </c>
      <c r="BF70">
        <v>0</v>
      </c>
      <c r="BG70">
        <v>0</v>
      </c>
      <c r="BI70">
        <v>16.5</v>
      </c>
      <c r="BJ70">
        <v>1.4530000000000001</v>
      </c>
      <c r="BK70">
        <v>0</v>
      </c>
      <c r="BL70">
        <v>10</v>
      </c>
      <c r="BM70">
        <v>10</v>
      </c>
      <c r="BN70">
        <v>453</v>
      </c>
      <c r="BO70">
        <v>308.33330000000001</v>
      </c>
      <c r="BP70">
        <v>144.66669999999999</v>
      </c>
      <c r="BQ70">
        <v>81</v>
      </c>
      <c r="BR70">
        <v>372</v>
      </c>
      <c r="BS70">
        <v>46.5</v>
      </c>
      <c r="BT70">
        <v>0.117834331</v>
      </c>
      <c r="BU70">
        <v>17.50646339</v>
      </c>
      <c r="BV70">
        <v>-46.5</v>
      </c>
      <c r="BW70">
        <v>-0.117834331</v>
      </c>
      <c r="BX70">
        <v>17.50646339</v>
      </c>
      <c r="BY70" t="s">
        <v>114</v>
      </c>
      <c r="BZ70" t="s">
        <v>114</v>
      </c>
      <c r="CA70" t="s">
        <v>114</v>
      </c>
      <c r="CB70" t="s">
        <v>114</v>
      </c>
      <c r="CC70" t="s">
        <v>114</v>
      </c>
      <c r="CD70" t="s">
        <v>114</v>
      </c>
      <c r="CE70">
        <v>1.81170137</v>
      </c>
      <c r="CF70" t="s">
        <v>114</v>
      </c>
      <c r="CG70">
        <v>1.81170137</v>
      </c>
      <c r="CH70">
        <v>46.5</v>
      </c>
      <c r="CI70">
        <v>0.117834331</v>
      </c>
      <c r="CJ70">
        <v>17.50646339</v>
      </c>
      <c r="CK70">
        <v>1.81170137</v>
      </c>
      <c r="CL70">
        <v>-46.5</v>
      </c>
      <c r="CM70">
        <v>-0.117834331</v>
      </c>
      <c r="CN70">
        <v>17.50646339</v>
      </c>
      <c r="CO70" t="s">
        <v>114</v>
      </c>
      <c r="CP70" t="s">
        <v>114</v>
      </c>
      <c r="CQ70" t="s">
        <v>114</v>
      </c>
      <c r="CR70" t="s">
        <v>114</v>
      </c>
      <c r="CS70" t="s">
        <v>114</v>
      </c>
      <c r="CT70" t="s">
        <v>114</v>
      </c>
      <c r="CU70" t="s">
        <v>114</v>
      </c>
      <c r="CV70" t="s">
        <v>114</v>
      </c>
      <c r="CW70">
        <v>1.81170137</v>
      </c>
    </row>
    <row r="71" spans="1:101" x14ac:dyDescent="0.25">
      <c r="A71" t="s">
        <v>59</v>
      </c>
      <c r="B71">
        <v>12</v>
      </c>
      <c r="C71" t="s">
        <v>31</v>
      </c>
      <c r="D71" t="s">
        <v>94</v>
      </c>
      <c r="E71" t="s">
        <v>110</v>
      </c>
      <c r="F71" t="s">
        <v>145</v>
      </c>
      <c r="G71" t="s">
        <v>262</v>
      </c>
      <c r="H71" t="s">
        <v>767</v>
      </c>
      <c r="I71" t="s">
        <v>695</v>
      </c>
      <c r="J71" t="s">
        <v>345</v>
      </c>
      <c r="K71">
        <v>2</v>
      </c>
      <c r="L71">
        <v>130</v>
      </c>
      <c r="M71">
        <v>130</v>
      </c>
      <c r="N71">
        <v>130</v>
      </c>
      <c r="O71">
        <v>0</v>
      </c>
      <c r="P71">
        <v>10</v>
      </c>
      <c r="Q71">
        <v>80</v>
      </c>
      <c r="R71">
        <v>0</v>
      </c>
      <c r="S71">
        <v>40</v>
      </c>
      <c r="T71">
        <v>0.30769230769230771</v>
      </c>
      <c r="U71" t="s">
        <v>794</v>
      </c>
      <c r="V71" t="s">
        <v>121</v>
      </c>
      <c r="W71" t="s">
        <v>114</v>
      </c>
      <c r="X71">
        <v>18.399999999999999</v>
      </c>
      <c r="Y71">
        <v>19.8</v>
      </c>
      <c r="Z71">
        <v>20.3</v>
      </c>
      <c r="AA71">
        <v>19.5</v>
      </c>
      <c r="AB71">
        <v>19.5</v>
      </c>
      <c r="AC71">
        <v>17.899999999999999</v>
      </c>
      <c r="AD71">
        <v>17.899999999999999</v>
      </c>
      <c r="AE71">
        <v>14.9</v>
      </c>
      <c r="AF71">
        <v>16.899999999999999</v>
      </c>
      <c r="AG71">
        <v>10.5</v>
      </c>
      <c r="AH71">
        <v>18.399999999999999</v>
      </c>
      <c r="AI71">
        <v>16.899999999999999</v>
      </c>
      <c r="AJ71">
        <v>15.266666669999999</v>
      </c>
      <c r="AK71">
        <v>17.899999999999999</v>
      </c>
      <c r="AL71">
        <v>15.9</v>
      </c>
      <c r="AM71">
        <v>16.399999999999999</v>
      </c>
      <c r="AN71">
        <v>16.733333330000001</v>
      </c>
      <c r="AO71">
        <v>15.266666669999999</v>
      </c>
      <c r="AP71">
        <v>6.1</v>
      </c>
      <c r="AQ71">
        <v>5.6</v>
      </c>
      <c r="AR71">
        <v>7.1</v>
      </c>
      <c r="AS71">
        <v>6.266666667</v>
      </c>
      <c r="AT71">
        <v>5.6</v>
      </c>
      <c r="AU71">
        <v>4.5999999999999996</v>
      </c>
      <c r="AV71">
        <v>6.1</v>
      </c>
      <c r="AW71">
        <v>5.4333333330000002</v>
      </c>
      <c r="AX71">
        <v>6.266666667</v>
      </c>
      <c r="AY71">
        <v>-13.233333330000001</v>
      </c>
      <c r="AZ71">
        <v>3</v>
      </c>
      <c r="BA71">
        <v>90</v>
      </c>
      <c r="BB71">
        <v>5</v>
      </c>
      <c r="BC71">
        <v>10</v>
      </c>
      <c r="BD71">
        <v>1</v>
      </c>
      <c r="BE71">
        <v>1</v>
      </c>
      <c r="BF71">
        <v>0</v>
      </c>
      <c r="BG71">
        <v>0</v>
      </c>
      <c r="BI71">
        <v>16.5</v>
      </c>
      <c r="BJ71">
        <v>1.4530000000000001</v>
      </c>
      <c r="BK71">
        <v>0</v>
      </c>
      <c r="BL71">
        <v>10</v>
      </c>
      <c r="BM71">
        <v>8</v>
      </c>
      <c r="BN71">
        <v>8</v>
      </c>
      <c r="BO71">
        <v>8</v>
      </c>
      <c r="BP71">
        <v>0</v>
      </c>
      <c r="BQ71">
        <v>9</v>
      </c>
      <c r="BR71">
        <v>-1</v>
      </c>
      <c r="BS71">
        <v>40.739130430000003</v>
      </c>
      <c r="BT71">
        <v>0.52450222199999996</v>
      </c>
      <c r="BU71">
        <v>4.0230581299999999</v>
      </c>
      <c r="BV71">
        <v>-40.739130430000003</v>
      </c>
      <c r="BW71">
        <v>0.52450222199999996</v>
      </c>
      <c r="BX71">
        <v>4.0230581299999999</v>
      </c>
      <c r="BY71" t="s">
        <v>114</v>
      </c>
      <c r="BZ71" t="s">
        <v>114</v>
      </c>
      <c r="CA71" t="s">
        <v>114</v>
      </c>
      <c r="CB71" t="s">
        <v>114</v>
      </c>
      <c r="CC71" t="s">
        <v>114</v>
      </c>
      <c r="CD71" t="s">
        <v>114</v>
      </c>
      <c r="CE71">
        <v>0.62563736999999997</v>
      </c>
      <c r="CF71" t="s">
        <v>114</v>
      </c>
      <c r="CG71">
        <v>0.62563736999999997</v>
      </c>
      <c r="CH71">
        <v>40.739130430000003</v>
      </c>
      <c r="CI71">
        <v>0.52450222199999996</v>
      </c>
      <c r="CJ71">
        <v>4.0230581299999999</v>
      </c>
      <c r="CK71">
        <v>0.62563736999999997</v>
      </c>
      <c r="CL71">
        <v>-40.739130430000003</v>
      </c>
      <c r="CM71">
        <v>0.52450222199999996</v>
      </c>
      <c r="CN71">
        <v>4.0230581299999999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0.62563736999999997</v>
      </c>
    </row>
    <row r="72" spans="1:101" x14ac:dyDescent="0.25">
      <c r="A72" t="s">
        <v>60</v>
      </c>
      <c r="B72">
        <v>12</v>
      </c>
      <c r="C72" t="s">
        <v>33</v>
      </c>
      <c r="D72" t="s">
        <v>95</v>
      </c>
      <c r="E72" t="s">
        <v>102</v>
      </c>
      <c r="F72" t="s">
        <v>145</v>
      </c>
      <c r="G72" t="s">
        <v>265</v>
      </c>
      <c r="H72" t="s">
        <v>756</v>
      </c>
      <c r="I72" t="s">
        <v>689</v>
      </c>
      <c r="J72" t="s">
        <v>346</v>
      </c>
      <c r="K72">
        <v>1</v>
      </c>
      <c r="L72">
        <v>130</v>
      </c>
      <c r="M72">
        <v>80</v>
      </c>
      <c r="N72">
        <v>130</v>
      </c>
      <c r="O72">
        <v>50</v>
      </c>
      <c r="P72">
        <v>250</v>
      </c>
      <c r="Q72">
        <v>250</v>
      </c>
      <c r="R72">
        <v>90</v>
      </c>
      <c r="S72">
        <v>170</v>
      </c>
      <c r="T72">
        <v>1.3076923076923077</v>
      </c>
      <c r="V72" t="s">
        <v>104</v>
      </c>
      <c r="W72">
        <v>40</v>
      </c>
      <c r="X72">
        <v>13.5</v>
      </c>
      <c r="Y72">
        <v>11</v>
      </c>
      <c r="Z72">
        <v>12</v>
      </c>
      <c r="AA72">
        <v>12.16666667</v>
      </c>
      <c r="AB72">
        <v>12.16666667</v>
      </c>
      <c r="AC72">
        <v>12.5</v>
      </c>
      <c r="AD72">
        <v>12.5</v>
      </c>
      <c r="AE72">
        <v>13.5</v>
      </c>
      <c r="AF72">
        <v>12.83333333</v>
      </c>
      <c r="AG72">
        <v>17.899999999999999</v>
      </c>
      <c r="AH72">
        <v>17.5</v>
      </c>
      <c r="AI72">
        <v>14.4</v>
      </c>
      <c r="AJ72">
        <v>16.600000000000001</v>
      </c>
      <c r="AK72">
        <v>15.9</v>
      </c>
      <c r="AL72">
        <v>13</v>
      </c>
      <c r="AM72">
        <v>13.9</v>
      </c>
      <c r="AN72">
        <v>14.266666669999999</v>
      </c>
      <c r="AO72">
        <v>16.600000000000001</v>
      </c>
      <c r="AP72">
        <v>4.0999999999999996</v>
      </c>
      <c r="AQ72">
        <v>5.6</v>
      </c>
      <c r="AR72" t="s">
        <v>114</v>
      </c>
      <c r="AS72">
        <v>4.8499999999999996</v>
      </c>
      <c r="AT72">
        <v>3.1</v>
      </c>
      <c r="AU72">
        <v>5.0999999999999996</v>
      </c>
      <c r="AV72">
        <v>6.6</v>
      </c>
      <c r="AW72">
        <v>4.9333333330000002</v>
      </c>
      <c r="AX72">
        <v>4.8499999999999996</v>
      </c>
      <c r="AY72">
        <v>-7.3166666669999998</v>
      </c>
      <c r="AZ72">
        <v>45</v>
      </c>
      <c r="BA72">
        <v>2</v>
      </c>
      <c r="BB72">
        <v>2</v>
      </c>
      <c r="BC72">
        <v>15</v>
      </c>
      <c r="BD72">
        <v>1</v>
      </c>
      <c r="BE72">
        <v>1</v>
      </c>
      <c r="BF72">
        <v>0</v>
      </c>
      <c r="BG72">
        <v>0</v>
      </c>
      <c r="BI72">
        <v>14</v>
      </c>
      <c r="BJ72">
        <v>52.600999999999999</v>
      </c>
      <c r="BK72">
        <v>0</v>
      </c>
      <c r="BL72">
        <v>36</v>
      </c>
      <c r="BM72">
        <v>34</v>
      </c>
      <c r="BN72">
        <v>1247</v>
      </c>
      <c r="BO72">
        <v>545.5</v>
      </c>
      <c r="BP72">
        <v>701.5</v>
      </c>
      <c r="BQ72">
        <v>352</v>
      </c>
      <c r="BR72">
        <v>895</v>
      </c>
      <c r="BS72">
        <v>29.19675926</v>
      </c>
      <c r="BT72">
        <v>1.309315</v>
      </c>
      <c r="BU72">
        <v>4.2084935000000003</v>
      </c>
      <c r="BV72">
        <v>-29.19675926</v>
      </c>
      <c r="BW72">
        <v>-1.309315</v>
      </c>
      <c r="BX72">
        <v>-4.2084935000000003</v>
      </c>
      <c r="BY72" t="s">
        <v>114</v>
      </c>
      <c r="BZ72" t="s">
        <v>114</v>
      </c>
      <c r="CA72" t="s">
        <v>114</v>
      </c>
      <c r="CB72" t="s">
        <v>114</v>
      </c>
      <c r="CC72" t="s">
        <v>114</v>
      </c>
      <c r="CD72" t="s">
        <v>114</v>
      </c>
      <c r="CE72">
        <v>0.75022829999999996</v>
      </c>
      <c r="CF72" t="s">
        <v>114</v>
      </c>
      <c r="CG72">
        <v>0.75022829999999996</v>
      </c>
      <c r="CH72">
        <v>29.19675926</v>
      </c>
      <c r="CI72">
        <v>1.309315</v>
      </c>
      <c r="CJ72">
        <v>4.2084935000000003</v>
      </c>
      <c r="CK72">
        <v>0.75022829999999996</v>
      </c>
      <c r="CL72">
        <v>-29.19675926</v>
      </c>
      <c r="CM72">
        <v>-1.309315</v>
      </c>
      <c r="CN72">
        <v>-4.2084935000000003</v>
      </c>
      <c r="CO72" t="s">
        <v>114</v>
      </c>
      <c r="CP72" t="s">
        <v>114</v>
      </c>
      <c r="CQ72" t="s">
        <v>114</v>
      </c>
      <c r="CR72" t="s">
        <v>114</v>
      </c>
      <c r="CS72" t="s">
        <v>114</v>
      </c>
      <c r="CT72" t="s">
        <v>114</v>
      </c>
      <c r="CU72" t="s">
        <v>114</v>
      </c>
      <c r="CV72" t="s">
        <v>114</v>
      </c>
      <c r="CW72">
        <v>0.75022829999999996</v>
      </c>
    </row>
    <row r="73" spans="1:101" x14ac:dyDescent="0.25">
      <c r="A73" t="s">
        <v>60</v>
      </c>
      <c r="B73">
        <v>12</v>
      </c>
      <c r="C73" t="s">
        <v>33</v>
      </c>
      <c r="D73" t="s">
        <v>95</v>
      </c>
      <c r="E73" t="s">
        <v>110</v>
      </c>
      <c r="F73" t="s">
        <v>145</v>
      </c>
      <c r="G73" t="s">
        <v>262</v>
      </c>
      <c r="H73" t="s">
        <v>768</v>
      </c>
      <c r="I73" t="s">
        <v>694</v>
      </c>
      <c r="J73" t="s">
        <v>347</v>
      </c>
      <c r="K73">
        <v>4</v>
      </c>
      <c r="L73">
        <v>80</v>
      </c>
      <c r="M73">
        <v>120</v>
      </c>
      <c r="N73">
        <v>80</v>
      </c>
      <c r="O73">
        <v>-40</v>
      </c>
      <c r="P73">
        <v>14</v>
      </c>
      <c r="Q73">
        <v>150</v>
      </c>
      <c r="R73">
        <v>20</v>
      </c>
      <c r="S73">
        <v>85</v>
      </c>
      <c r="T73">
        <v>1.0625</v>
      </c>
      <c r="U73" t="s">
        <v>794</v>
      </c>
      <c r="V73" t="s">
        <v>121</v>
      </c>
      <c r="W73" t="s">
        <v>114</v>
      </c>
      <c r="X73">
        <v>13.5</v>
      </c>
      <c r="Y73">
        <v>11</v>
      </c>
      <c r="Z73">
        <v>12</v>
      </c>
      <c r="AA73">
        <v>12.16666667</v>
      </c>
      <c r="AB73">
        <v>12.16666667</v>
      </c>
      <c r="AC73">
        <v>11</v>
      </c>
      <c r="AD73">
        <v>11.5</v>
      </c>
      <c r="AE73">
        <v>13</v>
      </c>
      <c r="AF73">
        <v>11.83333333</v>
      </c>
      <c r="AG73">
        <v>17.899999999999999</v>
      </c>
      <c r="AH73">
        <v>17.5</v>
      </c>
      <c r="AI73">
        <v>14.4</v>
      </c>
      <c r="AJ73">
        <v>16.600000000000001</v>
      </c>
      <c r="AK73">
        <v>14.9</v>
      </c>
      <c r="AL73">
        <v>15.9</v>
      </c>
      <c r="AM73">
        <v>13</v>
      </c>
      <c r="AN73">
        <v>14.6</v>
      </c>
      <c r="AO73">
        <v>16.600000000000001</v>
      </c>
      <c r="AP73">
        <v>4.0999999999999996</v>
      </c>
      <c r="AQ73">
        <v>5.6</v>
      </c>
      <c r="AR73" t="s">
        <v>114</v>
      </c>
      <c r="AS73">
        <v>4.8499999999999996</v>
      </c>
      <c r="AT73">
        <v>5.0999999999999996</v>
      </c>
      <c r="AU73">
        <v>5.0999999999999996</v>
      </c>
      <c r="AV73">
        <v>4.5999999999999996</v>
      </c>
      <c r="AW73">
        <v>4.9333333330000002</v>
      </c>
      <c r="AX73">
        <v>4.8499999999999996</v>
      </c>
      <c r="AY73">
        <v>-7.3166666669999998</v>
      </c>
      <c r="AZ73">
        <v>45</v>
      </c>
      <c r="BA73">
        <v>2</v>
      </c>
      <c r="BB73">
        <v>2</v>
      </c>
      <c r="BC73">
        <v>15</v>
      </c>
      <c r="BD73">
        <v>1</v>
      </c>
      <c r="BE73">
        <v>1</v>
      </c>
      <c r="BF73">
        <v>0</v>
      </c>
      <c r="BG73">
        <v>0</v>
      </c>
      <c r="BI73">
        <v>14</v>
      </c>
      <c r="BJ73">
        <v>52.600999999999999</v>
      </c>
      <c r="BK73">
        <v>0</v>
      </c>
      <c r="BL73">
        <v>14</v>
      </c>
      <c r="BM73">
        <v>14</v>
      </c>
      <c r="BN73">
        <v>14</v>
      </c>
      <c r="BO73">
        <v>9</v>
      </c>
      <c r="BP73">
        <v>5</v>
      </c>
      <c r="BQ73">
        <v>9</v>
      </c>
      <c r="BR73">
        <v>5</v>
      </c>
      <c r="BS73">
        <v>43.864130430000003</v>
      </c>
      <c r="BT73">
        <v>0.33623028500000002</v>
      </c>
      <c r="BU73">
        <v>3.903219285</v>
      </c>
      <c r="BV73">
        <v>-43.864130430000003</v>
      </c>
      <c r="BW73">
        <v>0.33623028500000002</v>
      </c>
      <c r="BX73">
        <v>3.903219285</v>
      </c>
      <c r="BY73">
        <v>19.53125</v>
      </c>
      <c r="BZ73">
        <v>7.0892644523463902E-2</v>
      </c>
      <c r="CA73">
        <v>2.8722697541868E-2</v>
      </c>
      <c r="CB73">
        <v>19.53125</v>
      </c>
      <c r="CC73">
        <v>7.0892644523463902E-2</v>
      </c>
      <c r="CD73">
        <v>2.8722697541868E-2</v>
      </c>
      <c r="CE73" t="s">
        <v>114</v>
      </c>
      <c r="CF73" t="s">
        <v>114</v>
      </c>
      <c r="CG73" t="s">
        <v>114</v>
      </c>
      <c r="CH73">
        <v>43.864130430000003</v>
      </c>
      <c r="CI73">
        <v>0.33623028500000002</v>
      </c>
      <c r="CJ73">
        <v>3.903219285</v>
      </c>
      <c r="CK73" t="s">
        <v>114</v>
      </c>
      <c r="CL73">
        <v>-43.864130430000003</v>
      </c>
      <c r="CM73">
        <v>0.33623028500000002</v>
      </c>
      <c r="CN73">
        <v>3.903219285</v>
      </c>
      <c r="CO73" t="s">
        <v>114</v>
      </c>
      <c r="CP73">
        <v>13.0208333333333</v>
      </c>
      <c r="CQ73">
        <v>4.7261763015642597E-2</v>
      </c>
      <c r="CR73">
        <v>1.9148465027911999E-2</v>
      </c>
      <c r="CS73" t="s">
        <v>114</v>
      </c>
      <c r="CT73">
        <v>13.0208333333333</v>
      </c>
      <c r="CU73">
        <v>4.7261763015642597E-2</v>
      </c>
      <c r="CV73">
        <v>1.9148465027911999E-2</v>
      </c>
      <c r="CW73" t="s">
        <v>114</v>
      </c>
    </row>
    <row r="74" spans="1:101" x14ac:dyDescent="0.25">
      <c r="A74" t="s">
        <v>60</v>
      </c>
      <c r="B74">
        <v>12</v>
      </c>
      <c r="C74" t="s">
        <v>33</v>
      </c>
      <c r="D74" t="s">
        <v>95</v>
      </c>
      <c r="E74" t="s">
        <v>104</v>
      </c>
      <c r="F74" t="s">
        <v>145</v>
      </c>
      <c r="G74" t="s">
        <v>264</v>
      </c>
      <c r="H74" t="s">
        <v>780</v>
      </c>
      <c r="I74" t="s">
        <v>685</v>
      </c>
      <c r="J74" t="s">
        <v>348</v>
      </c>
      <c r="K74">
        <v>5</v>
      </c>
      <c r="L74">
        <v>25</v>
      </c>
      <c r="M74">
        <v>40</v>
      </c>
      <c r="N74">
        <v>25</v>
      </c>
      <c r="O74">
        <v>-15</v>
      </c>
      <c r="P74">
        <v>18</v>
      </c>
      <c r="Q74">
        <v>10</v>
      </c>
      <c r="R74">
        <v>5</v>
      </c>
      <c r="S74">
        <v>7.5</v>
      </c>
      <c r="T74">
        <v>0.3</v>
      </c>
      <c r="V74" t="s">
        <v>104</v>
      </c>
      <c r="W74">
        <v>70</v>
      </c>
      <c r="X74">
        <v>13.5</v>
      </c>
      <c r="Y74">
        <v>11</v>
      </c>
      <c r="Z74">
        <v>12</v>
      </c>
      <c r="AA74">
        <v>12.16666667</v>
      </c>
      <c r="AB74">
        <v>12.16666667</v>
      </c>
      <c r="AC74" t="s">
        <v>114</v>
      </c>
      <c r="AD74" t="s">
        <v>114</v>
      </c>
      <c r="AE74" t="s">
        <v>114</v>
      </c>
      <c r="AF74" t="s">
        <v>114</v>
      </c>
      <c r="AG74">
        <v>17.899999999999999</v>
      </c>
      <c r="AH74">
        <v>17.5</v>
      </c>
      <c r="AI74">
        <v>14.4</v>
      </c>
      <c r="AJ74">
        <v>16.600000000000001</v>
      </c>
      <c r="AK74">
        <v>13.5</v>
      </c>
      <c r="AL74">
        <v>15.9</v>
      </c>
      <c r="AM74">
        <v>14.4</v>
      </c>
      <c r="AN74">
        <v>14.6</v>
      </c>
      <c r="AO74">
        <v>16.600000000000001</v>
      </c>
      <c r="AP74">
        <v>4.0999999999999996</v>
      </c>
      <c r="AQ74">
        <v>5.6</v>
      </c>
      <c r="AR74" t="s">
        <v>114</v>
      </c>
      <c r="AS74">
        <v>4.8499999999999996</v>
      </c>
      <c r="AT74">
        <v>5.6</v>
      </c>
      <c r="AU74">
        <v>5.6</v>
      </c>
      <c r="AV74">
        <v>6.1</v>
      </c>
      <c r="AW74">
        <v>5.766666667</v>
      </c>
      <c r="AX74">
        <v>4.8499999999999996</v>
      </c>
      <c r="AY74">
        <v>-7.3166666669999998</v>
      </c>
      <c r="AZ74">
        <v>45</v>
      </c>
      <c r="BA74">
        <v>2</v>
      </c>
      <c r="BB74">
        <v>2</v>
      </c>
      <c r="BC74">
        <v>15</v>
      </c>
      <c r="BD74">
        <v>1</v>
      </c>
      <c r="BE74">
        <v>1</v>
      </c>
      <c r="BF74">
        <v>0</v>
      </c>
      <c r="BG74">
        <v>0</v>
      </c>
      <c r="BI74">
        <v>14</v>
      </c>
      <c r="BJ74">
        <v>52.600999999999999</v>
      </c>
      <c r="BK74">
        <v>0</v>
      </c>
      <c r="BL74">
        <v>2</v>
      </c>
      <c r="BM74">
        <v>2</v>
      </c>
      <c r="BN74">
        <v>8</v>
      </c>
      <c r="BO74">
        <v>22</v>
      </c>
      <c r="BP74">
        <v>-14</v>
      </c>
      <c r="BQ74">
        <v>24</v>
      </c>
      <c r="BR74">
        <v>-16</v>
      </c>
      <c r="BS74">
        <v>29.99400018</v>
      </c>
      <c r="BT74">
        <v>0.98539880400000002</v>
      </c>
      <c r="BU74">
        <v>5.0460027299999997</v>
      </c>
      <c r="BV74">
        <v>-5.9207725699999996</v>
      </c>
      <c r="BW74">
        <v>0.98539880400000002</v>
      </c>
      <c r="BX74">
        <v>5.0460027299999997</v>
      </c>
      <c r="BY74">
        <v>1017.28395678639</v>
      </c>
      <c r="BZ74">
        <v>1.3064753437559</v>
      </c>
      <c r="CA74">
        <v>21.3145135407342</v>
      </c>
      <c r="CB74">
        <v>2170.0632887492902</v>
      </c>
      <c r="CC74">
        <v>1.3064753437559</v>
      </c>
      <c r="CD74">
        <v>21.3145135407342</v>
      </c>
      <c r="CE74" t="s">
        <v>114</v>
      </c>
      <c r="CF74" t="s">
        <v>114</v>
      </c>
      <c r="CG74" t="s">
        <v>114</v>
      </c>
      <c r="CH74">
        <v>25.257700144000001</v>
      </c>
      <c r="CI74">
        <v>1.0915040462000001</v>
      </c>
      <c r="CJ74">
        <v>4.5778136719999996</v>
      </c>
      <c r="CK74" t="s">
        <v>114</v>
      </c>
      <c r="CL74">
        <v>-5.9991180560000004</v>
      </c>
      <c r="CM74">
        <v>1.0915040462000001</v>
      </c>
      <c r="CN74">
        <v>4.5778136719999996</v>
      </c>
      <c r="CO74" t="s">
        <v>114</v>
      </c>
      <c r="CP74">
        <v>875.125657744862</v>
      </c>
      <c r="CQ74">
        <v>1.0361481199285301</v>
      </c>
      <c r="CR74">
        <v>17.0818901257053</v>
      </c>
      <c r="CS74" t="s">
        <v>114</v>
      </c>
      <c r="CT74">
        <v>1627.57815663785</v>
      </c>
      <c r="CU74">
        <v>1.0361481199285301</v>
      </c>
      <c r="CV74">
        <v>17.0818901257053</v>
      </c>
      <c r="CW74" t="s">
        <v>114</v>
      </c>
    </row>
    <row r="75" spans="1:101" x14ac:dyDescent="0.25">
      <c r="A75" t="s">
        <v>60</v>
      </c>
      <c r="B75">
        <v>12</v>
      </c>
      <c r="C75" t="s">
        <v>33</v>
      </c>
      <c r="D75" t="s">
        <v>95</v>
      </c>
      <c r="E75" t="s">
        <v>112</v>
      </c>
      <c r="F75" t="s">
        <v>145</v>
      </c>
      <c r="G75" t="s">
        <v>261</v>
      </c>
      <c r="H75" t="s">
        <v>784</v>
      </c>
      <c r="I75" t="s">
        <v>690</v>
      </c>
      <c r="J75" t="s">
        <v>349</v>
      </c>
      <c r="K75">
        <v>0</v>
      </c>
      <c r="L75">
        <v>40</v>
      </c>
      <c r="M75">
        <v>70</v>
      </c>
      <c r="N75">
        <v>40</v>
      </c>
      <c r="O75">
        <v>-30</v>
      </c>
      <c r="P75">
        <v>80</v>
      </c>
      <c r="Q75">
        <v>170</v>
      </c>
      <c r="R75">
        <v>60</v>
      </c>
      <c r="S75">
        <v>115</v>
      </c>
      <c r="T75">
        <v>2.875</v>
      </c>
      <c r="V75" t="s">
        <v>121</v>
      </c>
      <c r="W75" t="s">
        <v>114</v>
      </c>
      <c r="X75">
        <v>13.5</v>
      </c>
      <c r="Y75">
        <v>11</v>
      </c>
      <c r="Z75">
        <v>12</v>
      </c>
      <c r="AA75">
        <v>12.16666667</v>
      </c>
      <c r="AB75">
        <v>12.16666667</v>
      </c>
      <c r="AC75">
        <v>13.9</v>
      </c>
      <c r="AD75">
        <v>13.5</v>
      </c>
      <c r="AE75">
        <v>13</v>
      </c>
      <c r="AF75">
        <v>13.46666667</v>
      </c>
      <c r="AG75">
        <v>17.899999999999999</v>
      </c>
      <c r="AH75">
        <v>17.5</v>
      </c>
      <c r="AI75">
        <v>14.4</v>
      </c>
      <c r="AJ75">
        <v>16.600000000000001</v>
      </c>
      <c r="AK75">
        <v>15.9</v>
      </c>
      <c r="AL75">
        <v>14.9</v>
      </c>
      <c r="AM75">
        <v>17.399999999999999</v>
      </c>
      <c r="AN75">
        <v>16.06666667</v>
      </c>
      <c r="AO75">
        <v>16.600000000000001</v>
      </c>
      <c r="AP75">
        <v>4.0999999999999996</v>
      </c>
      <c r="AQ75">
        <v>5.6</v>
      </c>
      <c r="AR75" t="s">
        <v>114</v>
      </c>
      <c r="AS75">
        <v>4.8499999999999996</v>
      </c>
      <c r="AT75">
        <v>6.6</v>
      </c>
      <c r="AU75">
        <v>6.6</v>
      </c>
      <c r="AV75">
        <v>7.1</v>
      </c>
      <c r="AW75">
        <v>6.766666667</v>
      </c>
      <c r="AX75">
        <v>4.8499999999999996</v>
      </c>
      <c r="AY75">
        <v>-7.3166666669999998</v>
      </c>
      <c r="AZ75">
        <v>45</v>
      </c>
      <c r="BA75">
        <v>2</v>
      </c>
      <c r="BB75">
        <v>2</v>
      </c>
      <c r="BC75">
        <v>15</v>
      </c>
      <c r="BD75">
        <v>1</v>
      </c>
      <c r="BE75">
        <v>1</v>
      </c>
      <c r="BF75">
        <v>0</v>
      </c>
      <c r="BG75">
        <v>0</v>
      </c>
      <c r="BI75">
        <v>14</v>
      </c>
      <c r="BJ75">
        <v>52.600999999999999</v>
      </c>
      <c r="BK75">
        <v>0</v>
      </c>
      <c r="BL75">
        <v>22</v>
      </c>
      <c r="BM75">
        <v>17</v>
      </c>
      <c r="BN75">
        <v>65</v>
      </c>
      <c r="BO75">
        <v>133</v>
      </c>
      <c r="BP75">
        <v>-68</v>
      </c>
      <c r="BQ75">
        <v>9</v>
      </c>
      <c r="BR75">
        <v>56</v>
      </c>
      <c r="BS75" t="s">
        <v>114</v>
      </c>
      <c r="BT75" t="s">
        <v>114</v>
      </c>
      <c r="BU75" t="s">
        <v>114</v>
      </c>
      <c r="BV75" t="s">
        <v>114</v>
      </c>
      <c r="BW75" t="s">
        <v>114</v>
      </c>
      <c r="BX75" t="s">
        <v>114</v>
      </c>
      <c r="BY75" t="s">
        <v>114</v>
      </c>
      <c r="BZ75" t="s">
        <v>114</v>
      </c>
      <c r="CA75" t="s">
        <v>114</v>
      </c>
      <c r="CB75" t="s">
        <v>114</v>
      </c>
      <c r="CC75" t="s">
        <v>114</v>
      </c>
      <c r="CD75" t="s">
        <v>114</v>
      </c>
      <c r="CE75" t="s">
        <v>114</v>
      </c>
      <c r="CF75" t="s">
        <v>114</v>
      </c>
      <c r="CG75" t="s">
        <v>114</v>
      </c>
      <c r="CH75" t="s">
        <v>114</v>
      </c>
      <c r="CI75" t="s">
        <v>114</v>
      </c>
      <c r="CJ75" t="s">
        <v>114</v>
      </c>
      <c r="CK75" t="s">
        <v>114</v>
      </c>
      <c r="CL75" t="s">
        <v>114</v>
      </c>
      <c r="CM75" t="s">
        <v>114</v>
      </c>
      <c r="CN75" t="s">
        <v>114</v>
      </c>
      <c r="CO75" t="s">
        <v>114</v>
      </c>
      <c r="CP75" t="s">
        <v>114</v>
      </c>
      <c r="CQ75" t="s">
        <v>114</v>
      </c>
      <c r="CR75" t="s">
        <v>114</v>
      </c>
      <c r="CS75" t="s">
        <v>114</v>
      </c>
      <c r="CT75" t="s">
        <v>114</v>
      </c>
      <c r="CU75" t="s">
        <v>114</v>
      </c>
      <c r="CV75" t="s">
        <v>114</v>
      </c>
      <c r="CW75" t="s">
        <v>114</v>
      </c>
    </row>
    <row r="76" spans="1:101" x14ac:dyDescent="0.25">
      <c r="A76" t="s">
        <v>61</v>
      </c>
      <c r="B76">
        <v>12</v>
      </c>
      <c r="C76" t="s">
        <v>35</v>
      </c>
      <c r="D76" t="s">
        <v>94</v>
      </c>
      <c r="E76" t="s">
        <v>102</v>
      </c>
      <c r="F76" t="s">
        <v>145</v>
      </c>
      <c r="G76" t="s">
        <v>265</v>
      </c>
      <c r="H76" t="s">
        <v>755</v>
      </c>
      <c r="I76" t="s">
        <v>691</v>
      </c>
      <c r="J76" t="s">
        <v>350</v>
      </c>
      <c r="K76">
        <v>1</v>
      </c>
      <c r="L76">
        <v>25</v>
      </c>
      <c r="M76">
        <v>40</v>
      </c>
      <c r="N76">
        <v>25</v>
      </c>
      <c r="O76">
        <v>-15</v>
      </c>
      <c r="P76">
        <v>50</v>
      </c>
      <c r="Q76">
        <v>50</v>
      </c>
      <c r="R76">
        <v>15</v>
      </c>
      <c r="S76">
        <v>32.5</v>
      </c>
      <c r="T76">
        <v>1.3</v>
      </c>
      <c r="V76" t="s">
        <v>121</v>
      </c>
      <c r="W76" t="s">
        <v>114</v>
      </c>
      <c r="X76">
        <v>14.4</v>
      </c>
      <c r="Y76">
        <v>12</v>
      </c>
      <c r="Z76">
        <v>11.5</v>
      </c>
      <c r="AA76">
        <v>12.633333329999999</v>
      </c>
      <c r="AB76">
        <v>12.633333329999999</v>
      </c>
      <c r="AC76">
        <v>11</v>
      </c>
      <c r="AD76">
        <v>13.5</v>
      </c>
      <c r="AE76">
        <v>17.899999999999999</v>
      </c>
      <c r="AF76">
        <v>14.133333329999999</v>
      </c>
      <c r="AG76">
        <v>12.5</v>
      </c>
      <c r="AH76">
        <v>13.5</v>
      </c>
      <c r="AI76">
        <v>13.9</v>
      </c>
      <c r="AJ76">
        <v>13.3</v>
      </c>
      <c r="AK76">
        <v>15.9</v>
      </c>
      <c r="AL76">
        <v>15.4</v>
      </c>
      <c r="AM76">
        <v>18.399999999999999</v>
      </c>
      <c r="AN76">
        <v>16.56666667</v>
      </c>
      <c r="AO76">
        <v>13.3</v>
      </c>
      <c r="AP76">
        <v>5.6</v>
      </c>
      <c r="AQ76">
        <v>5.0999999999999996</v>
      </c>
      <c r="AR76">
        <v>6.1</v>
      </c>
      <c r="AS76">
        <v>5.6</v>
      </c>
      <c r="AT76">
        <v>4.5999999999999996</v>
      </c>
      <c r="AU76">
        <v>5.6</v>
      </c>
      <c r="AV76">
        <v>8.1</v>
      </c>
      <c r="AW76">
        <v>6.1</v>
      </c>
      <c r="AX76">
        <v>5.6</v>
      </c>
      <c r="AY76">
        <v>-7.0333333329999999</v>
      </c>
      <c r="AZ76">
        <v>70</v>
      </c>
      <c r="BA76">
        <v>2</v>
      </c>
      <c r="BB76">
        <v>2</v>
      </c>
      <c r="BC76">
        <v>2</v>
      </c>
      <c r="BD76">
        <v>1</v>
      </c>
      <c r="BE76">
        <v>0</v>
      </c>
      <c r="BF76">
        <v>0</v>
      </c>
      <c r="BG76">
        <v>0</v>
      </c>
      <c r="BI76">
        <v>11.5</v>
      </c>
      <c r="BJ76">
        <v>18.087</v>
      </c>
      <c r="BK76">
        <v>1</v>
      </c>
      <c r="BL76" t="s">
        <v>114</v>
      </c>
      <c r="BM76" t="s">
        <v>114</v>
      </c>
      <c r="BN76" t="s">
        <v>114</v>
      </c>
      <c r="BO76">
        <v>485.5</v>
      </c>
      <c r="BP76" t="s">
        <v>114</v>
      </c>
      <c r="BQ76">
        <v>971</v>
      </c>
      <c r="BR76" t="s">
        <v>114</v>
      </c>
      <c r="BS76">
        <v>2.2022792</v>
      </c>
      <c r="BT76">
        <v>2.2584650000000002</v>
      </c>
      <c r="BU76">
        <v>6.4935159899999997</v>
      </c>
      <c r="BV76">
        <v>2.2022792</v>
      </c>
      <c r="BW76">
        <v>-2.2584650000000002</v>
      </c>
      <c r="BX76">
        <v>-6.4935159899999997</v>
      </c>
      <c r="BY76" t="s">
        <v>114</v>
      </c>
      <c r="BZ76" t="s">
        <v>114</v>
      </c>
      <c r="CA76" t="s">
        <v>114</v>
      </c>
      <c r="CB76" t="s">
        <v>114</v>
      </c>
      <c r="CC76" t="s">
        <v>114</v>
      </c>
      <c r="CD76" t="s">
        <v>114</v>
      </c>
      <c r="CE76" t="s">
        <v>114</v>
      </c>
      <c r="CF76" t="s">
        <v>114</v>
      </c>
      <c r="CG76" t="s">
        <v>114</v>
      </c>
      <c r="CH76">
        <v>2.2022792</v>
      </c>
      <c r="CI76">
        <v>2.2584650000000002</v>
      </c>
      <c r="CJ76">
        <v>6.4935159899999997</v>
      </c>
      <c r="CK76" t="s">
        <v>114</v>
      </c>
      <c r="CL76">
        <v>2.2022792</v>
      </c>
      <c r="CM76">
        <v>-2.2584650000000002</v>
      </c>
      <c r="CN76">
        <v>-6.4935159899999997</v>
      </c>
      <c r="CO76" t="s">
        <v>114</v>
      </c>
      <c r="CP76" t="s">
        <v>114</v>
      </c>
      <c r="CQ76" t="s">
        <v>114</v>
      </c>
      <c r="CR76" t="s">
        <v>114</v>
      </c>
      <c r="CS76" t="s">
        <v>114</v>
      </c>
      <c r="CT76" t="s">
        <v>114</v>
      </c>
      <c r="CU76" t="s">
        <v>114</v>
      </c>
      <c r="CV76" t="s">
        <v>114</v>
      </c>
      <c r="CW76" t="s">
        <v>114</v>
      </c>
    </row>
    <row r="77" spans="1:101" x14ac:dyDescent="0.25">
      <c r="A77" t="s">
        <v>61</v>
      </c>
      <c r="B77">
        <v>12</v>
      </c>
      <c r="C77" t="s">
        <v>35</v>
      </c>
      <c r="D77" t="s">
        <v>94</v>
      </c>
      <c r="E77" t="s">
        <v>110</v>
      </c>
      <c r="F77" t="s">
        <v>145</v>
      </c>
      <c r="G77" t="s">
        <v>262</v>
      </c>
      <c r="H77" t="s">
        <v>767</v>
      </c>
      <c r="I77" t="s">
        <v>695</v>
      </c>
      <c r="J77" t="s">
        <v>351</v>
      </c>
      <c r="K77">
        <v>2</v>
      </c>
      <c r="L77">
        <v>20</v>
      </c>
      <c r="M77">
        <v>35</v>
      </c>
      <c r="N77">
        <v>20</v>
      </c>
      <c r="O77">
        <v>-15</v>
      </c>
      <c r="P77">
        <v>15</v>
      </c>
      <c r="Q77">
        <v>70</v>
      </c>
      <c r="R77">
        <v>10</v>
      </c>
      <c r="S77">
        <v>40</v>
      </c>
      <c r="T77">
        <v>2</v>
      </c>
      <c r="V77" t="s">
        <v>121</v>
      </c>
      <c r="W77" t="s">
        <v>114</v>
      </c>
      <c r="X77">
        <v>14.4</v>
      </c>
      <c r="Y77">
        <v>12</v>
      </c>
      <c r="Z77">
        <v>11.5</v>
      </c>
      <c r="AA77">
        <v>12.633333329999999</v>
      </c>
      <c r="AB77">
        <v>12.633333329999999</v>
      </c>
      <c r="AC77">
        <v>10</v>
      </c>
      <c r="AD77">
        <v>10</v>
      </c>
      <c r="AE77">
        <v>17.899999999999999</v>
      </c>
      <c r="AF77">
        <v>12.633333329999999</v>
      </c>
      <c r="AG77">
        <v>12.5</v>
      </c>
      <c r="AH77">
        <v>13.5</v>
      </c>
      <c r="AI77">
        <v>13.9</v>
      </c>
      <c r="AJ77">
        <v>13.3</v>
      </c>
      <c r="AK77">
        <v>13.9</v>
      </c>
      <c r="AL77">
        <v>20.3</v>
      </c>
      <c r="AM77">
        <v>22.3</v>
      </c>
      <c r="AN77">
        <v>18.833333329999999</v>
      </c>
      <c r="AO77">
        <v>13.3</v>
      </c>
      <c r="AP77">
        <v>5.6</v>
      </c>
      <c r="AQ77">
        <v>5.0999999999999996</v>
      </c>
      <c r="AR77">
        <v>6.1</v>
      </c>
      <c r="AS77">
        <v>5.6</v>
      </c>
      <c r="AT77">
        <v>5.6</v>
      </c>
      <c r="AU77">
        <v>6.1</v>
      </c>
      <c r="AV77">
        <v>7.1</v>
      </c>
      <c r="AW77">
        <v>6.266666667</v>
      </c>
      <c r="AX77">
        <v>5.6</v>
      </c>
      <c r="AY77">
        <v>-7.0333333329999999</v>
      </c>
      <c r="AZ77">
        <v>70</v>
      </c>
      <c r="BA77">
        <v>2</v>
      </c>
      <c r="BB77">
        <v>2</v>
      </c>
      <c r="BC77">
        <v>2</v>
      </c>
      <c r="BD77">
        <v>1</v>
      </c>
      <c r="BE77">
        <v>0</v>
      </c>
      <c r="BF77">
        <v>0</v>
      </c>
      <c r="BG77">
        <v>0</v>
      </c>
      <c r="BI77">
        <v>11.5</v>
      </c>
      <c r="BJ77">
        <v>18.087</v>
      </c>
      <c r="BK77">
        <v>0</v>
      </c>
      <c r="BL77">
        <v>0</v>
      </c>
      <c r="BM77">
        <v>0</v>
      </c>
      <c r="BN77">
        <v>0</v>
      </c>
      <c r="BO77">
        <v>8</v>
      </c>
      <c r="BP77">
        <v>-8</v>
      </c>
      <c r="BQ77">
        <v>14</v>
      </c>
      <c r="BR77">
        <v>-14</v>
      </c>
      <c r="BS77">
        <v>10.378731569999999</v>
      </c>
      <c r="BT77">
        <v>1.187884167</v>
      </c>
      <c r="BU77">
        <v>3.2467579949999998</v>
      </c>
      <c r="BV77">
        <v>-10.378731569999999</v>
      </c>
      <c r="BW77">
        <v>-1.187884167</v>
      </c>
      <c r="BX77">
        <v>2.0400585050000002</v>
      </c>
      <c r="BY77">
        <v>2.4250168373763201</v>
      </c>
      <c r="BZ77">
        <v>2.5503320781125001</v>
      </c>
      <c r="CA77">
        <v>8.3236774076456701</v>
      </c>
      <c r="CB77">
        <v>2.4250168373763201</v>
      </c>
      <c r="CC77">
        <v>2.5503320781125001</v>
      </c>
      <c r="CD77">
        <v>21.0828749561928</v>
      </c>
      <c r="CE77" t="s">
        <v>114</v>
      </c>
      <c r="CF77" t="s">
        <v>114</v>
      </c>
      <c r="CG77" t="s">
        <v>114</v>
      </c>
      <c r="CH77">
        <v>10.378731569999999</v>
      </c>
      <c r="CI77">
        <v>1.187884167</v>
      </c>
      <c r="CJ77">
        <v>3.2467579949999998</v>
      </c>
      <c r="CK77" t="s">
        <v>114</v>
      </c>
      <c r="CL77">
        <v>-10.378731569999999</v>
      </c>
      <c r="CM77">
        <v>-1.187884167</v>
      </c>
      <c r="CN77">
        <v>2.0400585050000002</v>
      </c>
      <c r="CO77" t="s">
        <v>114</v>
      </c>
      <c r="CP77">
        <v>2.4250168373763201</v>
      </c>
      <c r="CQ77">
        <v>2.5503320781125001</v>
      </c>
      <c r="CR77">
        <v>8.3236774076456701</v>
      </c>
      <c r="CS77" t="s">
        <v>114</v>
      </c>
      <c r="CT77">
        <v>2.4250168373763201</v>
      </c>
      <c r="CU77">
        <v>2.5503320781125001</v>
      </c>
      <c r="CV77">
        <v>21.0828749561928</v>
      </c>
      <c r="CW77" t="s">
        <v>114</v>
      </c>
    </row>
    <row r="78" spans="1:101" x14ac:dyDescent="0.25">
      <c r="A78" t="s">
        <v>61</v>
      </c>
      <c r="B78">
        <v>12</v>
      </c>
      <c r="C78" t="s">
        <v>35</v>
      </c>
      <c r="D78" t="s">
        <v>94</v>
      </c>
      <c r="E78" t="s">
        <v>112</v>
      </c>
      <c r="F78" t="s">
        <v>145</v>
      </c>
      <c r="G78" t="s">
        <v>261</v>
      </c>
      <c r="H78" t="s">
        <v>783</v>
      </c>
      <c r="I78" t="s">
        <v>688</v>
      </c>
      <c r="J78" t="s">
        <v>352</v>
      </c>
      <c r="K78">
        <v>1</v>
      </c>
      <c r="L78">
        <v>50</v>
      </c>
      <c r="M78">
        <v>45</v>
      </c>
      <c r="N78">
        <v>50</v>
      </c>
      <c r="O78">
        <v>5</v>
      </c>
      <c r="P78">
        <v>50</v>
      </c>
      <c r="Q78">
        <v>170</v>
      </c>
      <c r="R78">
        <v>140</v>
      </c>
      <c r="S78">
        <v>155</v>
      </c>
      <c r="T78">
        <v>3.1</v>
      </c>
      <c r="V78" t="s">
        <v>121</v>
      </c>
      <c r="W78" t="s">
        <v>114</v>
      </c>
      <c r="X78">
        <v>14.4</v>
      </c>
      <c r="Y78">
        <v>12</v>
      </c>
      <c r="Z78">
        <v>11.5</v>
      </c>
      <c r="AA78">
        <v>12.633333329999999</v>
      </c>
      <c r="AB78">
        <v>12.633333329999999</v>
      </c>
      <c r="AC78">
        <v>24.7</v>
      </c>
      <c r="AD78">
        <v>21.8</v>
      </c>
      <c r="AE78">
        <v>24.3</v>
      </c>
      <c r="AF78">
        <v>23.6</v>
      </c>
      <c r="AG78">
        <v>12.5</v>
      </c>
      <c r="AH78">
        <v>13.5</v>
      </c>
      <c r="AI78">
        <v>13.9</v>
      </c>
      <c r="AJ78">
        <v>13.3</v>
      </c>
      <c r="AK78">
        <v>11</v>
      </c>
      <c r="AL78">
        <v>31.1</v>
      </c>
      <c r="AM78">
        <v>22.3</v>
      </c>
      <c r="AN78">
        <v>21.466666669999999</v>
      </c>
      <c r="AO78">
        <v>13.3</v>
      </c>
      <c r="AP78">
        <v>5.6</v>
      </c>
      <c r="AQ78">
        <v>5.0999999999999996</v>
      </c>
      <c r="AR78">
        <v>6.1</v>
      </c>
      <c r="AS78">
        <v>5.6</v>
      </c>
      <c r="AT78">
        <v>4.5999999999999996</v>
      </c>
      <c r="AU78">
        <v>6.6</v>
      </c>
      <c r="AV78">
        <v>7.1</v>
      </c>
      <c r="AW78">
        <v>6.1</v>
      </c>
      <c r="AX78">
        <v>5.6</v>
      </c>
      <c r="AY78">
        <v>-7.0333333329999999</v>
      </c>
      <c r="AZ78">
        <v>70</v>
      </c>
      <c r="BA78">
        <v>2</v>
      </c>
      <c r="BB78">
        <v>2</v>
      </c>
      <c r="BC78">
        <v>2</v>
      </c>
      <c r="BD78">
        <v>1</v>
      </c>
      <c r="BE78">
        <v>0</v>
      </c>
      <c r="BF78">
        <v>0</v>
      </c>
      <c r="BG78">
        <v>0</v>
      </c>
      <c r="BI78">
        <v>11.5</v>
      </c>
      <c r="BJ78">
        <v>18.087</v>
      </c>
      <c r="BK78">
        <v>0</v>
      </c>
      <c r="BL78">
        <v>30</v>
      </c>
      <c r="BM78">
        <v>30</v>
      </c>
      <c r="BN78">
        <v>104</v>
      </c>
      <c r="BO78">
        <v>184.8</v>
      </c>
      <c r="BP78">
        <v>-80.800000000000011</v>
      </c>
      <c r="BQ78">
        <v>200</v>
      </c>
      <c r="BR78">
        <v>-96</v>
      </c>
      <c r="BS78">
        <v>17.44471154</v>
      </c>
      <c r="BT78">
        <v>1.087182222</v>
      </c>
      <c r="BU78">
        <v>2.23482256</v>
      </c>
      <c r="BV78">
        <v>-17.44471154</v>
      </c>
      <c r="BW78">
        <v>-1.087182222</v>
      </c>
      <c r="BX78">
        <v>2.23482256</v>
      </c>
      <c r="BY78" t="s">
        <v>114</v>
      </c>
      <c r="BZ78" t="s">
        <v>114</v>
      </c>
      <c r="CA78" t="s">
        <v>114</v>
      </c>
      <c r="CB78" t="s">
        <v>114</v>
      </c>
      <c r="CC78" t="s">
        <v>114</v>
      </c>
      <c r="CD78" t="s">
        <v>114</v>
      </c>
      <c r="CE78" t="s">
        <v>114</v>
      </c>
      <c r="CF78" t="s">
        <v>114</v>
      </c>
      <c r="CG78" t="s">
        <v>114</v>
      </c>
      <c r="CH78">
        <v>17.44471154</v>
      </c>
      <c r="CI78">
        <v>1.087182222</v>
      </c>
      <c r="CJ78">
        <v>2.23482256</v>
      </c>
      <c r="CK78" t="s">
        <v>114</v>
      </c>
      <c r="CL78">
        <v>-17.44471154</v>
      </c>
      <c r="CM78">
        <v>-1.087182222</v>
      </c>
      <c r="CN78">
        <v>2.23482256</v>
      </c>
      <c r="CO78" t="s">
        <v>114</v>
      </c>
      <c r="CP78" t="s">
        <v>114</v>
      </c>
      <c r="CQ78" t="s">
        <v>114</v>
      </c>
      <c r="CR78" t="s">
        <v>114</v>
      </c>
      <c r="CS78" t="s">
        <v>114</v>
      </c>
      <c r="CT78" t="s">
        <v>114</v>
      </c>
      <c r="CU78" t="s">
        <v>114</v>
      </c>
      <c r="CV78" t="s">
        <v>114</v>
      </c>
      <c r="CW78" t="s">
        <v>114</v>
      </c>
    </row>
    <row r="79" spans="1:101" x14ac:dyDescent="0.25">
      <c r="A79" t="s">
        <v>62</v>
      </c>
      <c r="B79">
        <v>12</v>
      </c>
      <c r="C79" t="s">
        <v>37</v>
      </c>
      <c r="D79" t="s">
        <v>95</v>
      </c>
      <c r="E79" t="s">
        <v>102</v>
      </c>
      <c r="F79" t="s">
        <v>145</v>
      </c>
      <c r="G79" t="s">
        <v>265</v>
      </c>
      <c r="H79" t="s">
        <v>756</v>
      </c>
      <c r="I79" t="s">
        <v>689</v>
      </c>
      <c r="J79" t="s">
        <v>353</v>
      </c>
      <c r="K79">
        <v>0</v>
      </c>
      <c r="L79">
        <v>80</v>
      </c>
      <c r="M79">
        <v>160</v>
      </c>
      <c r="N79">
        <v>80</v>
      </c>
      <c r="O79">
        <v>-80</v>
      </c>
      <c r="P79">
        <v>125</v>
      </c>
      <c r="Q79">
        <v>125</v>
      </c>
      <c r="R79">
        <v>100</v>
      </c>
      <c r="S79">
        <v>112.5</v>
      </c>
      <c r="T79">
        <v>1.40625</v>
      </c>
      <c r="V79" t="s">
        <v>121</v>
      </c>
      <c r="W79" t="s">
        <v>114</v>
      </c>
      <c r="X79">
        <v>13.5</v>
      </c>
      <c r="Y79">
        <v>12.5</v>
      </c>
      <c r="Z79">
        <v>15.9</v>
      </c>
      <c r="AA79">
        <v>13.96666667</v>
      </c>
      <c r="AB79">
        <v>13.96666667</v>
      </c>
      <c r="AC79">
        <v>17.899999999999999</v>
      </c>
      <c r="AD79">
        <v>14.9</v>
      </c>
      <c r="AE79">
        <v>16.399999999999999</v>
      </c>
      <c r="AF79">
        <v>16.399999999999999</v>
      </c>
      <c r="AG79">
        <v>17.899999999999999</v>
      </c>
      <c r="AH79">
        <v>17.899999999999999</v>
      </c>
      <c r="AI79">
        <v>18.399999999999999</v>
      </c>
      <c r="AJ79">
        <v>18.06666667</v>
      </c>
      <c r="AK79">
        <v>15.4</v>
      </c>
      <c r="AL79">
        <v>12.5</v>
      </c>
      <c r="AM79">
        <v>15.4</v>
      </c>
      <c r="AN79">
        <v>14.43333333</v>
      </c>
      <c r="AO79">
        <v>18.06666667</v>
      </c>
      <c r="AP79">
        <v>5.6</v>
      </c>
      <c r="AQ79">
        <v>6.6</v>
      </c>
      <c r="AR79">
        <v>9</v>
      </c>
      <c r="AS79">
        <v>7.0666666669999998</v>
      </c>
      <c r="AT79">
        <v>8.1</v>
      </c>
      <c r="AU79">
        <v>7.6</v>
      </c>
      <c r="AV79">
        <v>8.5</v>
      </c>
      <c r="AW79">
        <v>8.0666666669999998</v>
      </c>
      <c r="AX79">
        <v>7.0666666669999998</v>
      </c>
      <c r="AY79">
        <v>-6.9</v>
      </c>
      <c r="AZ79">
        <v>70</v>
      </c>
      <c r="BA79">
        <v>1</v>
      </c>
      <c r="BB79">
        <v>3</v>
      </c>
      <c r="BC79">
        <v>1</v>
      </c>
      <c r="BD79">
        <v>1</v>
      </c>
      <c r="BE79">
        <v>0</v>
      </c>
      <c r="BF79">
        <v>0</v>
      </c>
      <c r="BG79">
        <v>0</v>
      </c>
      <c r="BI79">
        <v>11.7</v>
      </c>
      <c r="BJ79">
        <v>55.235999999999997</v>
      </c>
      <c r="BK79">
        <v>0</v>
      </c>
      <c r="BL79">
        <v>10</v>
      </c>
      <c r="BM79">
        <v>10</v>
      </c>
      <c r="BN79">
        <v>246</v>
      </c>
      <c r="BO79">
        <v>545.5</v>
      </c>
      <c r="BP79">
        <v>-299.5</v>
      </c>
      <c r="BQ79">
        <v>735</v>
      </c>
      <c r="BR79">
        <v>-489</v>
      </c>
      <c r="BS79" t="s">
        <v>114</v>
      </c>
      <c r="BT79" t="s">
        <v>114</v>
      </c>
      <c r="BU79" t="s">
        <v>114</v>
      </c>
      <c r="BV79" t="s">
        <v>114</v>
      </c>
      <c r="BW79" t="s">
        <v>114</v>
      </c>
      <c r="BX79" t="s">
        <v>114</v>
      </c>
      <c r="BY79" t="s">
        <v>114</v>
      </c>
      <c r="BZ79" t="s">
        <v>114</v>
      </c>
      <c r="CA79" t="s">
        <v>114</v>
      </c>
      <c r="CB79" t="s">
        <v>114</v>
      </c>
      <c r="CC79" t="s">
        <v>114</v>
      </c>
      <c r="CD79" t="s">
        <v>114</v>
      </c>
      <c r="CE79" t="s">
        <v>114</v>
      </c>
      <c r="CF79" t="s">
        <v>114</v>
      </c>
      <c r="CG79" t="s">
        <v>114</v>
      </c>
      <c r="CH79" t="s">
        <v>114</v>
      </c>
      <c r="CI79" t="s">
        <v>114</v>
      </c>
      <c r="CJ79" t="s">
        <v>114</v>
      </c>
      <c r="CK79" t="s">
        <v>114</v>
      </c>
      <c r="CL79" t="s">
        <v>114</v>
      </c>
      <c r="CM79" t="s">
        <v>114</v>
      </c>
      <c r="CN79" t="s">
        <v>114</v>
      </c>
      <c r="CO79" t="s">
        <v>114</v>
      </c>
      <c r="CP79" t="s">
        <v>114</v>
      </c>
      <c r="CQ79" t="s">
        <v>114</v>
      </c>
      <c r="CR79" t="s">
        <v>114</v>
      </c>
      <c r="CS79" t="s">
        <v>114</v>
      </c>
      <c r="CT79" t="s">
        <v>114</v>
      </c>
      <c r="CU79" t="s">
        <v>114</v>
      </c>
      <c r="CV79" t="s">
        <v>114</v>
      </c>
      <c r="CW79" t="s">
        <v>114</v>
      </c>
    </row>
    <row r="80" spans="1:101" x14ac:dyDescent="0.25">
      <c r="A80" t="s">
        <v>62</v>
      </c>
      <c r="B80">
        <v>12</v>
      </c>
      <c r="C80" t="s">
        <v>37</v>
      </c>
      <c r="D80" t="s">
        <v>95</v>
      </c>
      <c r="E80" t="s">
        <v>103</v>
      </c>
      <c r="F80" t="s">
        <v>145</v>
      </c>
      <c r="G80" t="s">
        <v>260</v>
      </c>
      <c r="H80" t="s">
        <v>772</v>
      </c>
      <c r="I80" t="s">
        <v>683</v>
      </c>
      <c r="J80" t="s">
        <v>354</v>
      </c>
      <c r="K80">
        <v>3</v>
      </c>
      <c r="L80">
        <v>60</v>
      </c>
      <c r="M80">
        <v>50</v>
      </c>
      <c r="N80">
        <v>60</v>
      </c>
      <c r="O80">
        <v>10</v>
      </c>
      <c r="P80">
        <v>30</v>
      </c>
      <c r="Q80">
        <v>20</v>
      </c>
      <c r="R80">
        <v>10</v>
      </c>
      <c r="S80">
        <v>15</v>
      </c>
      <c r="T80">
        <v>0.25</v>
      </c>
      <c r="V80" t="s">
        <v>121</v>
      </c>
      <c r="W80" t="s">
        <v>114</v>
      </c>
      <c r="X80">
        <v>13.5</v>
      </c>
      <c r="Y80">
        <v>12.5</v>
      </c>
      <c r="Z80">
        <v>15.9</v>
      </c>
      <c r="AA80">
        <v>13.96666667</v>
      </c>
      <c r="AB80">
        <v>13.96666667</v>
      </c>
      <c r="AC80">
        <v>11.5</v>
      </c>
      <c r="AD80">
        <v>13</v>
      </c>
      <c r="AE80">
        <v>13.9</v>
      </c>
      <c r="AF80">
        <v>12.8</v>
      </c>
      <c r="AG80">
        <v>17.899999999999999</v>
      </c>
      <c r="AH80">
        <v>17.899999999999999</v>
      </c>
      <c r="AI80">
        <v>18.399999999999999</v>
      </c>
      <c r="AJ80">
        <v>18.06666667</v>
      </c>
      <c r="AK80">
        <v>11.5</v>
      </c>
      <c r="AL80">
        <v>15.4</v>
      </c>
      <c r="AM80">
        <v>14.9</v>
      </c>
      <c r="AN80">
        <v>13.93333333</v>
      </c>
      <c r="AO80">
        <v>18.06666667</v>
      </c>
      <c r="AP80">
        <v>5.6</v>
      </c>
      <c r="AQ80">
        <v>6.6</v>
      </c>
      <c r="AR80">
        <v>9</v>
      </c>
      <c r="AS80">
        <v>7.0666666669999998</v>
      </c>
      <c r="AT80">
        <v>7.6</v>
      </c>
      <c r="AU80">
        <v>5.6</v>
      </c>
      <c r="AV80">
        <v>7.1</v>
      </c>
      <c r="AW80">
        <v>6.766666667</v>
      </c>
      <c r="AX80">
        <v>7.0666666669999998</v>
      </c>
      <c r="AY80">
        <v>-6.9</v>
      </c>
      <c r="AZ80">
        <v>70</v>
      </c>
      <c r="BA80">
        <v>1</v>
      </c>
      <c r="BB80">
        <v>3</v>
      </c>
      <c r="BC80">
        <v>1</v>
      </c>
      <c r="BD80">
        <v>1</v>
      </c>
      <c r="BE80">
        <v>0</v>
      </c>
      <c r="BF80">
        <v>0</v>
      </c>
      <c r="BG80">
        <v>0</v>
      </c>
      <c r="BI80">
        <v>11.7</v>
      </c>
      <c r="BJ80">
        <v>55.235999999999997</v>
      </c>
      <c r="BK80">
        <v>0</v>
      </c>
      <c r="BL80">
        <v>2</v>
      </c>
      <c r="BM80">
        <v>2</v>
      </c>
      <c r="BN80">
        <v>111</v>
      </c>
      <c r="BO80">
        <v>290.75</v>
      </c>
      <c r="BP80">
        <v>-179.75</v>
      </c>
      <c r="BQ80">
        <v>359</v>
      </c>
      <c r="BR80">
        <v>-248</v>
      </c>
      <c r="BS80">
        <v>10.649962476666699</v>
      </c>
      <c r="BT80">
        <v>0.178673838666667</v>
      </c>
      <c r="BU80">
        <v>8.9768733566666707</v>
      </c>
      <c r="BV80">
        <v>-4.99718469666667</v>
      </c>
      <c r="BW80">
        <v>-0.160181568666667</v>
      </c>
      <c r="BX80">
        <v>-8.9768733566666707</v>
      </c>
      <c r="BY80">
        <v>19.3187798871129</v>
      </c>
      <c r="BZ80">
        <v>6.9474962578811694E-2</v>
      </c>
      <c r="CA80">
        <v>139.31454081772901</v>
      </c>
      <c r="CB80">
        <v>151.99354867982601</v>
      </c>
      <c r="CC80">
        <v>7.8874271103863594E-2</v>
      </c>
      <c r="CD80">
        <v>139.31454081772901</v>
      </c>
      <c r="CE80">
        <v>0.73868717666666694</v>
      </c>
      <c r="CF80">
        <v>1.4951867607440299</v>
      </c>
      <c r="CG80">
        <v>0.73868717666666694</v>
      </c>
      <c r="CH80">
        <v>10.649962476666699</v>
      </c>
      <c r="CI80">
        <v>0.178673838666667</v>
      </c>
      <c r="CJ80">
        <v>8.9768733566666707</v>
      </c>
      <c r="CK80">
        <v>-0.64180226333333301</v>
      </c>
      <c r="CL80">
        <v>-4.99718469666667</v>
      </c>
      <c r="CM80">
        <v>-0.160181568666667</v>
      </c>
      <c r="CN80">
        <v>-8.9768733566666707</v>
      </c>
      <c r="CO80">
        <v>1.2945638611160599</v>
      </c>
      <c r="CP80">
        <v>19.3187798871129</v>
      </c>
      <c r="CQ80">
        <v>6.9474962578811694E-2</v>
      </c>
      <c r="CR80">
        <v>139.31454081772901</v>
      </c>
      <c r="CS80">
        <v>1.4951867607440299</v>
      </c>
      <c r="CT80">
        <v>151.99354867982601</v>
      </c>
      <c r="CU80">
        <v>7.8874271103863594E-2</v>
      </c>
      <c r="CV80">
        <v>139.31454081772901</v>
      </c>
      <c r="CW80">
        <v>-0.64180226333333301</v>
      </c>
    </row>
    <row r="81" spans="1:101" x14ac:dyDescent="0.25">
      <c r="A81" t="s">
        <v>63</v>
      </c>
      <c r="B81">
        <v>12</v>
      </c>
      <c r="C81" t="s">
        <v>64</v>
      </c>
      <c r="D81" t="s">
        <v>94</v>
      </c>
      <c r="E81" t="s">
        <v>104</v>
      </c>
      <c r="F81" t="s">
        <v>145</v>
      </c>
      <c r="G81" t="s">
        <v>264</v>
      </c>
      <c r="H81" t="s">
        <v>779</v>
      </c>
      <c r="I81" t="s">
        <v>696</v>
      </c>
      <c r="J81" t="s">
        <v>355</v>
      </c>
      <c r="K81">
        <v>5</v>
      </c>
      <c r="L81">
        <v>60</v>
      </c>
      <c r="M81">
        <v>70</v>
      </c>
      <c r="N81">
        <v>60</v>
      </c>
      <c r="O81">
        <v>-10</v>
      </c>
      <c r="P81">
        <v>30</v>
      </c>
      <c r="Q81">
        <v>20</v>
      </c>
      <c r="R81">
        <v>20</v>
      </c>
      <c r="S81">
        <v>20</v>
      </c>
      <c r="T81">
        <v>0.33333333333333331</v>
      </c>
      <c r="V81" t="s">
        <v>121</v>
      </c>
      <c r="W81" t="s">
        <v>114</v>
      </c>
      <c r="X81">
        <v>12</v>
      </c>
      <c r="Y81">
        <v>15.9</v>
      </c>
      <c r="Z81">
        <v>16.399999999999999</v>
      </c>
      <c r="AA81">
        <v>14.766666669999999</v>
      </c>
      <c r="AB81">
        <v>14.766666669999999</v>
      </c>
      <c r="AC81">
        <v>13.5</v>
      </c>
      <c r="AD81">
        <v>14.4</v>
      </c>
      <c r="AE81">
        <v>17.399999999999999</v>
      </c>
      <c r="AF81">
        <v>15.1</v>
      </c>
      <c r="AG81">
        <v>13.9</v>
      </c>
      <c r="AH81">
        <v>14.9</v>
      </c>
      <c r="AI81">
        <v>14.4</v>
      </c>
      <c r="AJ81">
        <v>14.4</v>
      </c>
      <c r="AK81">
        <v>13.9</v>
      </c>
      <c r="AL81">
        <v>14.4</v>
      </c>
      <c r="AM81">
        <v>14.9</v>
      </c>
      <c r="AN81">
        <v>14.4</v>
      </c>
      <c r="AO81">
        <v>14.4</v>
      </c>
      <c r="AP81">
        <v>8.1</v>
      </c>
      <c r="AQ81">
        <v>9</v>
      </c>
      <c r="AR81">
        <v>10.5</v>
      </c>
      <c r="AS81">
        <v>9.1999999999999993</v>
      </c>
      <c r="AT81">
        <v>7.6</v>
      </c>
      <c r="AU81">
        <v>7.6</v>
      </c>
      <c r="AV81">
        <v>7.1</v>
      </c>
      <c r="AW81">
        <v>7.4333333330000002</v>
      </c>
      <c r="AX81">
        <v>9.1999999999999993</v>
      </c>
      <c r="AY81">
        <v>-5.5666666669999998</v>
      </c>
      <c r="AZ81">
        <v>3</v>
      </c>
      <c r="BA81">
        <v>80</v>
      </c>
      <c r="BB81">
        <v>0</v>
      </c>
      <c r="BC81">
        <v>5</v>
      </c>
      <c r="BD81">
        <v>0</v>
      </c>
      <c r="BE81">
        <v>1</v>
      </c>
      <c r="BF81">
        <v>0</v>
      </c>
      <c r="BG81">
        <v>0</v>
      </c>
      <c r="BI81">
        <v>10</v>
      </c>
      <c r="BJ81">
        <v>29.844000000000001</v>
      </c>
      <c r="BK81">
        <v>0</v>
      </c>
      <c r="BL81">
        <v>4</v>
      </c>
      <c r="BM81">
        <v>4</v>
      </c>
      <c r="BN81">
        <v>18</v>
      </c>
      <c r="BO81">
        <v>32.5</v>
      </c>
      <c r="BP81">
        <v>-14.5</v>
      </c>
      <c r="BQ81">
        <v>22</v>
      </c>
      <c r="BR81">
        <v>-4</v>
      </c>
      <c r="BS81">
        <v>24.032585470000001</v>
      </c>
      <c r="BT81">
        <v>2.3971146346666701</v>
      </c>
      <c r="BU81">
        <v>5.9670669533333296</v>
      </c>
      <c r="BV81">
        <v>24.032585470000001</v>
      </c>
      <c r="BW81">
        <v>2.3971146346666701</v>
      </c>
      <c r="BX81">
        <v>-1.32868514666667</v>
      </c>
      <c r="BY81">
        <v>55.951803273405098</v>
      </c>
      <c r="BZ81">
        <v>5.0479958690258697E-4</v>
      </c>
      <c r="CA81">
        <v>18.749687597314299</v>
      </c>
      <c r="CB81">
        <v>55.951803273405098</v>
      </c>
      <c r="CC81">
        <v>5.0479958690258697E-4</v>
      </c>
      <c r="CD81">
        <v>69.510413307199499</v>
      </c>
      <c r="CE81">
        <v>0.175361556666667</v>
      </c>
      <c r="CF81">
        <v>2.5655948798200601E-2</v>
      </c>
      <c r="CG81">
        <v>0.20608604799999999</v>
      </c>
      <c r="CH81">
        <v>25.709935898000001</v>
      </c>
      <c r="CI81">
        <v>2.4014382583999998</v>
      </c>
      <c r="CJ81">
        <v>6.548404992</v>
      </c>
      <c r="CK81">
        <v>0.19739040799999999</v>
      </c>
      <c r="CL81">
        <v>25.709935898000001</v>
      </c>
      <c r="CM81">
        <v>2.4014382583999998</v>
      </c>
      <c r="CN81">
        <v>-2.2064975279999999</v>
      </c>
      <c r="CO81">
        <v>1.1266645186652101E-2</v>
      </c>
      <c r="CP81">
        <v>34.850519836066702</v>
      </c>
      <c r="CQ81">
        <v>3.6459667049676202E-4</v>
      </c>
      <c r="CR81">
        <v>16.215033233308301</v>
      </c>
      <c r="CS81">
        <v>1.56522526989669E-2</v>
      </c>
      <c r="CT81">
        <v>34.850519836066702</v>
      </c>
      <c r="CU81">
        <v>3.6459667049676202E-4</v>
      </c>
      <c r="CV81">
        <v>63.731253981033802</v>
      </c>
      <c r="CW81">
        <v>0.16086882333333299</v>
      </c>
    </row>
    <row r="82" spans="1:101" x14ac:dyDescent="0.25">
      <c r="A82" t="s">
        <v>65</v>
      </c>
      <c r="B82">
        <v>12</v>
      </c>
      <c r="C82" t="s">
        <v>66</v>
      </c>
      <c r="D82" t="s">
        <v>95</v>
      </c>
      <c r="E82" t="s">
        <v>105</v>
      </c>
      <c r="F82" t="s">
        <v>145</v>
      </c>
      <c r="G82" t="s">
        <v>266</v>
      </c>
      <c r="H82" t="s">
        <v>760</v>
      </c>
      <c r="I82" t="s">
        <v>697</v>
      </c>
      <c r="J82" t="s">
        <v>356</v>
      </c>
      <c r="K82">
        <v>5</v>
      </c>
      <c r="L82">
        <v>50</v>
      </c>
      <c r="M82">
        <v>80</v>
      </c>
      <c r="N82">
        <v>50</v>
      </c>
      <c r="O82">
        <v>-30</v>
      </c>
      <c r="P82">
        <v>75</v>
      </c>
      <c r="Q82">
        <v>75</v>
      </c>
      <c r="R82">
        <v>70</v>
      </c>
      <c r="S82">
        <v>72.5</v>
      </c>
      <c r="T82">
        <v>1.45</v>
      </c>
      <c r="V82" t="s">
        <v>121</v>
      </c>
      <c r="W82" t="s">
        <v>114</v>
      </c>
      <c r="X82">
        <v>22.3</v>
      </c>
      <c r="Y82">
        <v>24.7</v>
      </c>
      <c r="Z82">
        <v>24.3</v>
      </c>
      <c r="AA82">
        <v>23.766666669999999</v>
      </c>
      <c r="AB82">
        <v>23.766666669999999</v>
      </c>
      <c r="AC82">
        <v>19.8</v>
      </c>
      <c r="AD82">
        <v>22.3</v>
      </c>
      <c r="AE82">
        <v>19.8</v>
      </c>
      <c r="AF82">
        <v>20.633333329999999</v>
      </c>
      <c r="AG82">
        <v>28.7</v>
      </c>
      <c r="AH82">
        <v>23.3</v>
      </c>
      <c r="AI82">
        <v>23.8</v>
      </c>
      <c r="AJ82">
        <v>25.266666669999999</v>
      </c>
      <c r="AK82">
        <v>23.3</v>
      </c>
      <c r="AL82">
        <v>24.7</v>
      </c>
      <c r="AM82">
        <v>23.3</v>
      </c>
      <c r="AN82">
        <v>23.766666669999999</v>
      </c>
      <c r="AO82">
        <v>25.266666669999999</v>
      </c>
      <c r="AP82">
        <v>6.3</v>
      </c>
      <c r="AQ82">
        <v>7.6</v>
      </c>
      <c r="AR82">
        <v>9.1999999999999993</v>
      </c>
      <c r="AS82">
        <v>7.7</v>
      </c>
      <c r="AT82">
        <v>7.6</v>
      </c>
      <c r="AU82">
        <v>7.9</v>
      </c>
      <c r="AV82">
        <v>9.1999999999999993</v>
      </c>
      <c r="AW82">
        <v>8.2333333329999991</v>
      </c>
      <c r="AX82">
        <v>7.7</v>
      </c>
      <c r="AY82">
        <v>-16.06666667</v>
      </c>
      <c r="AZ82">
        <v>20</v>
      </c>
      <c r="BA82">
        <v>35</v>
      </c>
      <c r="BB82">
        <v>1</v>
      </c>
      <c r="BC82">
        <v>1</v>
      </c>
      <c r="BD82">
        <v>1</v>
      </c>
      <c r="BE82">
        <v>1</v>
      </c>
      <c r="BF82">
        <v>0</v>
      </c>
      <c r="BG82">
        <v>0</v>
      </c>
      <c r="BI82">
        <v>15.3</v>
      </c>
      <c r="BJ82">
        <v>42.4</v>
      </c>
      <c r="BK82">
        <v>0</v>
      </c>
      <c r="BL82">
        <v>9</v>
      </c>
      <c r="BM82">
        <v>9</v>
      </c>
      <c r="BN82">
        <v>184</v>
      </c>
      <c r="BO82">
        <v>253</v>
      </c>
      <c r="BP82">
        <v>-69</v>
      </c>
      <c r="BQ82">
        <v>253</v>
      </c>
      <c r="BR82">
        <v>-69</v>
      </c>
      <c r="BS82">
        <v>20.2237818525</v>
      </c>
      <c r="BT82">
        <v>1.7446380617499999</v>
      </c>
      <c r="BU82">
        <v>18.277830982499999</v>
      </c>
      <c r="BV82">
        <v>-19.3693042425</v>
      </c>
      <c r="BW82">
        <v>-1.22575604525</v>
      </c>
      <c r="BX82">
        <v>18.277830982499999</v>
      </c>
      <c r="BY82">
        <v>212.27123331155701</v>
      </c>
      <c r="BZ82">
        <v>7.8279783999562698</v>
      </c>
      <c r="CA82">
        <v>98.437260094861202</v>
      </c>
      <c r="CB82">
        <v>257.37977408352998</v>
      </c>
      <c r="CC82">
        <v>9.8830238453427803</v>
      </c>
      <c r="CD82">
        <v>98.437260094861202</v>
      </c>
      <c r="CE82" t="s">
        <v>114</v>
      </c>
      <c r="CF82" t="s">
        <v>114</v>
      </c>
      <c r="CG82" t="s">
        <v>114</v>
      </c>
      <c r="CH82">
        <v>19.463640865999999</v>
      </c>
      <c r="CI82">
        <v>1.4777188332</v>
      </c>
      <c r="CJ82">
        <v>15.345884807999999</v>
      </c>
      <c r="CK82" t="s">
        <v>114</v>
      </c>
      <c r="CL82">
        <v>-18.780058778000001</v>
      </c>
      <c r="CM82">
        <v>-0.89859645239999997</v>
      </c>
      <c r="CN82">
        <v>15.345884807999999</v>
      </c>
      <c r="CO82" t="s">
        <v>114</v>
      </c>
      <c r="CP82">
        <v>162.092496580453</v>
      </c>
      <c r="CQ82">
        <v>6.2272131728158397</v>
      </c>
      <c r="CR82">
        <v>116.809486921972</v>
      </c>
      <c r="CS82" t="s">
        <v>114</v>
      </c>
      <c r="CT82">
        <v>194.770881649816</v>
      </c>
      <c r="CU82">
        <v>7.9474348799759698</v>
      </c>
      <c r="CV82">
        <v>116.809486921972</v>
      </c>
      <c r="CW82" t="s">
        <v>114</v>
      </c>
    </row>
    <row r="83" spans="1:101" x14ac:dyDescent="0.25">
      <c r="A83" t="s">
        <v>10</v>
      </c>
      <c r="B83">
        <v>15</v>
      </c>
      <c r="C83" t="s">
        <v>11</v>
      </c>
      <c r="D83" t="s">
        <v>94</v>
      </c>
      <c r="E83" t="s">
        <v>102</v>
      </c>
      <c r="F83" t="s">
        <v>145</v>
      </c>
      <c r="G83" t="s">
        <v>265</v>
      </c>
      <c r="H83" t="s">
        <v>755</v>
      </c>
      <c r="I83" t="s">
        <v>698</v>
      </c>
      <c r="J83" t="s">
        <v>357</v>
      </c>
      <c r="K83">
        <v>2</v>
      </c>
      <c r="L83">
        <v>120</v>
      </c>
      <c r="M83">
        <v>100</v>
      </c>
      <c r="N83">
        <v>120</v>
      </c>
      <c r="O83">
        <v>20</v>
      </c>
      <c r="P83">
        <v>120</v>
      </c>
      <c r="Q83">
        <v>120</v>
      </c>
      <c r="R83">
        <v>75</v>
      </c>
      <c r="S83">
        <v>97.5</v>
      </c>
      <c r="T83">
        <v>0.8125</v>
      </c>
      <c r="U83" t="s">
        <v>15</v>
      </c>
      <c r="V83" t="s">
        <v>102</v>
      </c>
      <c r="W83">
        <v>110</v>
      </c>
      <c r="X83">
        <v>19.3</v>
      </c>
      <c r="Y83">
        <v>20.3</v>
      </c>
      <c r="Z83">
        <v>22.3</v>
      </c>
      <c r="AA83">
        <v>20.633333329999999</v>
      </c>
      <c r="AB83">
        <v>20.633333329999999</v>
      </c>
      <c r="AC83">
        <v>19.3</v>
      </c>
      <c r="AD83">
        <v>22.8</v>
      </c>
      <c r="AE83">
        <v>21.8</v>
      </c>
      <c r="AF83">
        <v>21.3</v>
      </c>
      <c r="AG83">
        <v>16.399999999999999</v>
      </c>
      <c r="AH83">
        <v>24.3</v>
      </c>
      <c r="AI83">
        <v>25.7</v>
      </c>
      <c r="AJ83">
        <v>22.133333329999999</v>
      </c>
      <c r="AK83">
        <v>22.8</v>
      </c>
      <c r="AL83">
        <v>27.2</v>
      </c>
      <c r="AM83">
        <v>24.7</v>
      </c>
      <c r="AN83">
        <v>24.9</v>
      </c>
      <c r="AO83">
        <v>22.133333329999999</v>
      </c>
      <c r="AP83">
        <v>8.5</v>
      </c>
      <c r="AQ83">
        <v>9</v>
      </c>
      <c r="AR83">
        <v>11</v>
      </c>
      <c r="AS83">
        <v>9.5</v>
      </c>
      <c r="AT83">
        <v>11.5</v>
      </c>
      <c r="AU83">
        <v>10</v>
      </c>
      <c r="AV83">
        <v>8.5</v>
      </c>
      <c r="AW83">
        <v>10</v>
      </c>
      <c r="AX83">
        <v>9.5</v>
      </c>
      <c r="AY83">
        <v>-11.133333329999999</v>
      </c>
      <c r="AZ83">
        <v>5</v>
      </c>
      <c r="BA83">
        <v>20</v>
      </c>
      <c r="BB83">
        <v>5</v>
      </c>
      <c r="BC83">
        <v>40</v>
      </c>
      <c r="BD83">
        <v>2</v>
      </c>
      <c r="BE83">
        <v>1</v>
      </c>
      <c r="BF83">
        <v>0</v>
      </c>
      <c r="BG83">
        <v>1</v>
      </c>
      <c r="BI83">
        <v>18.3</v>
      </c>
      <c r="BJ83">
        <v>2.7770000000000001</v>
      </c>
      <c r="BK83">
        <v>0</v>
      </c>
      <c r="BL83">
        <v>15</v>
      </c>
      <c r="BM83">
        <v>13</v>
      </c>
      <c r="BN83">
        <v>619</v>
      </c>
      <c r="BO83">
        <v>383.66669999999999</v>
      </c>
      <c r="BP83">
        <v>235.33330000000001</v>
      </c>
      <c r="BQ83">
        <v>203</v>
      </c>
      <c r="BR83">
        <v>416</v>
      </c>
      <c r="BS83">
        <v>5.1153439150000004</v>
      </c>
      <c r="BT83">
        <v>0.4970169445</v>
      </c>
      <c r="BU83">
        <v>2.4255479599999998</v>
      </c>
      <c r="BV83">
        <v>-5.1153439150000004</v>
      </c>
      <c r="BW83">
        <v>0.4970169445</v>
      </c>
      <c r="BX83">
        <v>2.4255479599999998</v>
      </c>
      <c r="BY83">
        <v>52.333486737455097</v>
      </c>
      <c r="BZ83">
        <v>0.49405168624023199</v>
      </c>
      <c r="CA83">
        <v>11.7665658125203</v>
      </c>
      <c r="CB83">
        <v>52.333486737455097</v>
      </c>
      <c r="CC83">
        <v>0.49405168624023199</v>
      </c>
      <c r="CD83">
        <v>11.7665658125203</v>
      </c>
      <c r="CE83">
        <v>0.38332100000000002</v>
      </c>
      <c r="CF83">
        <v>0.29386997808199999</v>
      </c>
      <c r="CG83">
        <v>0.38332100000000002</v>
      </c>
      <c r="CH83">
        <v>5.1153439150000004</v>
      </c>
      <c r="CI83">
        <v>0.4970169445</v>
      </c>
      <c r="CJ83">
        <v>2.4255479599999998</v>
      </c>
      <c r="CK83">
        <v>0.38332100000000002</v>
      </c>
      <c r="CL83">
        <v>-5.1153439150000004</v>
      </c>
      <c r="CM83">
        <v>0.4970169445</v>
      </c>
      <c r="CN83">
        <v>2.4255479599999998</v>
      </c>
      <c r="CO83">
        <v>0.29386997808199999</v>
      </c>
      <c r="CP83">
        <v>52.333486737455097</v>
      </c>
      <c r="CQ83">
        <v>0.49405168624023199</v>
      </c>
      <c r="CR83">
        <v>11.7665658125203</v>
      </c>
      <c r="CS83">
        <v>0.29386997808199999</v>
      </c>
      <c r="CT83">
        <v>52.333486737455097</v>
      </c>
      <c r="CU83">
        <v>0.49405168624023199</v>
      </c>
      <c r="CV83">
        <v>11.7665658125203</v>
      </c>
      <c r="CW83">
        <v>0.38332100000000002</v>
      </c>
    </row>
    <row r="84" spans="1:101" x14ac:dyDescent="0.25">
      <c r="A84" t="s">
        <v>10</v>
      </c>
      <c r="B84">
        <v>15</v>
      </c>
      <c r="C84" t="s">
        <v>11</v>
      </c>
      <c r="D84" t="s">
        <v>94</v>
      </c>
      <c r="E84" t="s">
        <v>105</v>
      </c>
      <c r="F84" t="s">
        <v>145</v>
      </c>
      <c r="G84" t="s">
        <v>266</v>
      </c>
      <c r="H84" t="s">
        <v>759</v>
      </c>
      <c r="I84" t="s">
        <v>699</v>
      </c>
      <c r="J84" t="s">
        <v>358</v>
      </c>
      <c r="K84">
        <v>3</v>
      </c>
      <c r="L84">
        <v>10</v>
      </c>
      <c r="M84">
        <v>20</v>
      </c>
      <c r="N84">
        <v>10</v>
      </c>
      <c r="O84">
        <v>-10</v>
      </c>
      <c r="P84">
        <v>65</v>
      </c>
      <c r="Q84">
        <v>65</v>
      </c>
      <c r="R84">
        <v>60</v>
      </c>
      <c r="S84">
        <v>62.5</v>
      </c>
      <c r="T84">
        <v>6.25</v>
      </c>
      <c r="U84" t="s">
        <v>15</v>
      </c>
      <c r="V84" t="s">
        <v>121</v>
      </c>
      <c r="W84" t="s">
        <v>114</v>
      </c>
      <c r="X84">
        <v>19.3</v>
      </c>
      <c r="Y84">
        <v>20.3</v>
      </c>
      <c r="Z84">
        <v>22.3</v>
      </c>
      <c r="AA84">
        <v>20.633333329999999</v>
      </c>
      <c r="AB84">
        <v>20.633333329999999</v>
      </c>
      <c r="AC84">
        <v>18.399999999999999</v>
      </c>
      <c r="AD84">
        <v>15.4</v>
      </c>
      <c r="AE84">
        <v>17.399999999999999</v>
      </c>
      <c r="AF84">
        <v>17.06666667</v>
      </c>
      <c r="AG84">
        <v>16.399999999999999</v>
      </c>
      <c r="AH84">
        <v>24.3</v>
      </c>
      <c r="AI84">
        <v>25.7</v>
      </c>
      <c r="AJ84">
        <v>22.133333329999999</v>
      </c>
      <c r="AK84">
        <v>19.3</v>
      </c>
      <c r="AL84">
        <v>23.8</v>
      </c>
      <c r="AM84">
        <v>22.3</v>
      </c>
      <c r="AN84">
        <v>21.8</v>
      </c>
      <c r="AO84">
        <v>22.133333329999999</v>
      </c>
      <c r="AP84">
        <v>8.5</v>
      </c>
      <c r="AQ84">
        <v>9</v>
      </c>
      <c r="AR84">
        <v>11</v>
      </c>
      <c r="AS84">
        <v>9.5</v>
      </c>
      <c r="AT84">
        <v>6.6</v>
      </c>
      <c r="AU84">
        <v>9</v>
      </c>
      <c r="AV84">
        <v>9</v>
      </c>
      <c r="AW84">
        <v>8.1999999999999993</v>
      </c>
      <c r="AX84">
        <v>9.5</v>
      </c>
      <c r="AY84">
        <v>-11.133333329999999</v>
      </c>
      <c r="AZ84">
        <v>5</v>
      </c>
      <c r="BA84">
        <v>20</v>
      </c>
      <c r="BB84">
        <v>5</v>
      </c>
      <c r="BC84">
        <v>40</v>
      </c>
      <c r="BD84">
        <v>2</v>
      </c>
      <c r="BE84">
        <v>1</v>
      </c>
      <c r="BF84">
        <v>0</v>
      </c>
      <c r="BG84">
        <v>1</v>
      </c>
      <c r="BI84">
        <v>18.3</v>
      </c>
      <c r="BJ84">
        <v>2.7770000000000001</v>
      </c>
      <c r="BK84">
        <v>0</v>
      </c>
      <c r="BL84">
        <v>7</v>
      </c>
      <c r="BM84">
        <v>5</v>
      </c>
      <c r="BN84">
        <v>195</v>
      </c>
      <c r="BO84">
        <v>582</v>
      </c>
      <c r="BP84">
        <v>-387</v>
      </c>
      <c r="BQ84">
        <v>550</v>
      </c>
      <c r="BR84">
        <v>-355</v>
      </c>
      <c r="BS84">
        <v>26.96875</v>
      </c>
      <c r="BT84">
        <v>1.9901746485</v>
      </c>
      <c r="BU84">
        <v>16.84640954</v>
      </c>
      <c r="BV84">
        <v>-26.96875</v>
      </c>
      <c r="BW84">
        <v>-1.9901746485</v>
      </c>
      <c r="BX84">
        <v>16.84640954</v>
      </c>
      <c r="BY84">
        <v>758.064453125</v>
      </c>
      <c r="BZ84">
        <v>8.1031878126122702E-4</v>
      </c>
      <c r="CA84">
        <v>10.4395371023649</v>
      </c>
      <c r="CB84">
        <v>758.064453125</v>
      </c>
      <c r="CC84">
        <v>8.1031878126122702E-4</v>
      </c>
      <c r="CD84">
        <v>10.4395371023649</v>
      </c>
      <c r="CE84">
        <v>1.7595697400000001</v>
      </c>
      <c r="CF84">
        <v>1.02121028001792E-2</v>
      </c>
      <c r="CG84">
        <v>1.78338862</v>
      </c>
      <c r="CH84">
        <v>20.4791666666667</v>
      </c>
      <c r="CI84">
        <v>1.9834651246666699</v>
      </c>
      <c r="CJ84">
        <v>17.607969966666701</v>
      </c>
      <c r="CK84">
        <v>1.78338862</v>
      </c>
      <c r="CL84">
        <v>-20.4791666666667</v>
      </c>
      <c r="CM84">
        <v>-1.9834651246666699</v>
      </c>
      <c r="CN84">
        <v>17.607969966666701</v>
      </c>
      <c r="CO84">
        <v>6.8080685334527902E-3</v>
      </c>
      <c r="CP84">
        <v>505.37630208333297</v>
      </c>
      <c r="CQ84">
        <v>5.4021252084081805E-4</v>
      </c>
      <c r="CR84">
        <v>6.9596914015765803</v>
      </c>
      <c r="CS84">
        <v>6.8080685334527902E-3</v>
      </c>
      <c r="CT84">
        <v>505.37630208333297</v>
      </c>
      <c r="CU84">
        <v>5.4021252084081805E-4</v>
      </c>
      <c r="CV84">
        <v>6.9596914015765803</v>
      </c>
      <c r="CW84">
        <v>1.7595697400000001</v>
      </c>
    </row>
    <row r="85" spans="1:101" x14ac:dyDescent="0.25">
      <c r="A85" t="s">
        <v>10</v>
      </c>
      <c r="B85">
        <v>15</v>
      </c>
      <c r="C85" t="s">
        <v>11</v>
      </c>
      <c r="D85" t="s">
        <v>94</v>
      </c>
      <c r="E85" t="s">
        <v>103</v>
      </c>
      <c r="F85" t="s">
        <v>145</v>
      </c>
      <c r="G85" t="s">
        <v>260</v>
      </c>
      <c r="H85" t="s">
        <v>771</v>
      </c>
      <c r="I85" t="s">
        <v>700</v>
      </c>
      <c r="J85" t="s">
        <v>359</v>
      </c>
      <c r="K85">
        <v>1</v>
      </c>
      <c r="L85">
        <v>50</v>
      </c>
      <c r="M85">
        <v>60</v>
      </c>
      <c r="N85">
        <v>50</v>
      </c>
      <c r="O85">
        <v>-10</v>
      </c>
      <c r="P85">
        <v>20</v>
      </c>
      <c r="Q85">
        <v>20</v>
      </c>
      <c r="R85">
        <v>13</v>
      </c>
      <c r="S85">
        <v>16.5</v>
      </c>
      <c r="T85">
        <v>0.33</v>
      </c>
      <c r="U85" t="s">
        <v>15</v>
      </c>
      <c r="V85" t="s">
        <v>121</v>
      </c>
      <c r="W85" t="s">
        <v>114</v>
      </c>
      <c r="X85">
        <v>19.3</v>
      </c>
      <c r="Y85">
        <v>20.3</v>
      </c>
      <c r="Z85">
        <v>22.3</v>
      </c>
      <c r="AA85">
        <v>20.633333329999999</v>
      </c>
      <c r="AB85">
        <v>20.633333329999999</v>
      </c>
      <c r="AC85">
        <v>18.899999999999999</v>
      </c>
      <c r="AD85">
        <v>21.3</v>
      </c>
      <c r="AE85">
        <v>22.3</v>
      </c>
      <c r="AF85">
        <v>20.833333329999999</v>
      </c>
      <c r="AG85">
        <v>16.399999999999999</v>
      </c>
      <c r="AH85">
        <v>24.3</v>
      </c>
      <c r="AI85">
        <v>25.7</v>
      </c>
      <c r="AJ85">
        <v>22.133333329999999</v>
      </c>
      <c r="AK85">
        <v>24.3</v>
      </c>
      <c r="AL85">
        <v>24.3</v>
      </c>
      <c r="AM85">
        <v>19.3</v>
      </c>
      <c r="AN85">
        <v>22.633333329999999</v>
      </c>
      <c r="AO85">
        <v>22.133333329999999</v>
      </c>
      <c r="AP85">
        <v>8.5</v>
      </c>
      <c r="AQ85">
        <v>9</v>
      </c>
      <c r="AR85">
        <v>11</v>
      </c>
      <c r="AS85">
        <v>9.5</v>
      </c>
      <c r="AT85">
        <v>8.5</v>
      </c>
      <c r="AU85">
        <v>8.5</v>
      </c>
      <c r="AV85">
        <v>8.5</v>
      </c>
      <c r="AW85">
        <v>8.5</v>
      </c>
      <c r="AX85">
        <v>9.5</v>
      </c>
      <c r="AY85">
        <v>-11.133333329999999</v>
      </c>
      <c r="AZ85">
        <v>5</v>
      </c>
      <c r="BA85">
        <v>20</v>
      </c>
      <c r="BB85">
        <v>5</v>
      </c>
      <c r="BC85">
        <v>40</v>
      </c>
      <c r="BD85">
        <v>2</v>
      </c>
      <c r="BE85">
        <v>1</v>
      </c>
      <c r="BF85">
        <v>0</v>
      </c>
      <c r="BG85">
        <v>1</v>
      </c>
      <c r="BI85">
        <v>18.3</v>
      </c>
      <c r="BJ85">
        <v>2.7770000000000001</v>
      </c>
      <c r="BK85">
        <v>0</v>
      </c>
      <c r="BL85">
        <v>3</v>
      </c>
      <c r="BM85">
        <v>3</v>
      </c>
      <c r="BN85">
        <v>155</v>
      </c>
      <c r="BO85">
        <v>274</v>
      </c>
      <c r="BP85">
        <v>-119</v>
      </c>
      <c r="BQ85">
        <v>402</v>
      </c>
      <c r="BR85">
        <v>-247</v>
      </c>
      <c r="BS85" t="s">
        <v>114</v>
      </c>
      <c r="BT85" t="s">
        <v>114</v>
      </c>
      <c r="BU85" t="s">
        <v>114</v>
      </c>
      <c r="BV85" t="s">
        <v>114</v>
      </c>
      <c r="BW85" t="s">
        <v>114</v>
      </c>
      <c r="BX85" t="s">
        <v>114</v>
      </c>
      <c r="BY85" t="s">
        <v>114</v>
      </c>
      <c r="BZ85" t="s">
        <v>114</v>
      </c>
      <c r="CA85" t="s">
        <v>114</v>
      </c>
      <c r="CB85" t="s">
        <v>114</v>
      </c>
      <c r="CC85" t="s">
        <v>114</v>
      </c>
      <c r="CD85" t="s">
        <v>114</v>
      </c>
      <c r="CE85" t="s">
        <v>114</v>
      </c>
      <c r="CF85" t="s">
        <v>114</v>
      </c>
      <c r="CG85" t="s">
        <v>114</v>
      </c>
      <c r="CH85" t="s">
        <v>114</v>
      </c>
      <c r="CI85" t="s">
        <v>114</v>
      </c>
      <c r="CJ85" t="s">
        <v>114</v>
      </c>
      <c r="CK85" t="s">
        <v>114</v>
      </c>
      <c r="CL85" t="s">
        <v>114</v>
      </c>
      <c r="CM85" t="s">
        <v>114</v>
      </c>
      <c r="CN85" t="s">
        <v>114</v>
      </c>
      <c r="CO85" t="s">
        <v>114</v>
      </c>
      <c r="CP85" t="s">
        <v>114</v>
      </c>
      <c r="CQ85" t="s">
        <v>114</v>
      </c>
      <c r="CR85" t="s">
        <v>114</v>
      </c>
      <c r="CS85" t="s">
        <v>114</v>
      </c>
      <c r="CT85" t="s">
        <v>114</v>
      </c>
      <c r="CU85" t="s">
        <v>114</v>
      </c>
      <c r="CV85" t="s">
        <v>114</v>
      </c>
      <c r="CW85" t="s">
        <v>114</v>
      </c>
    </row>
    <row r="86" spans="1:101" x14ac:dyDescent="0.25">
      <c r="A86" t="s">
        <v>10</v>
      </c>
      <c r="B86">
        <v>15</v>
      </c>
      <c r="C86" t="s">
        <v>11</v>
      </c>
      <c r="D86" t="s">
        <v>94</v>
      </c>
      <c r="E86" t="s">
        <v>104</v>
      </c>
      <c r="F86" t="s">
        <v>145</v>
      </c>
      <c r="G86" t="s">
        <v>264</v>
      </c>
      <c r="H86" t="s">
        <v>779</v>
      </c>
      <c r="I86" t="s">
        <v>701</v>
      </c>
      <c r="J86" t="s">
        <v>360</v>
      </c>
      <c r="K86">
        <v>6</v>
      </c>
      <c r="L86">
        <v>40</v>
      </c>
      <c r="M86">
        <v>20</v>
      </c>
      <c r="N86">
        <v>40</v>
      </c>
      <c r="O86">
        <v>20</v>
      </c>
      <c r="P86">
        <v>7</v>
      </c>
      <c r="Q86">
        <v>7</v>
      </c>
      <c r="R86">
        <v>5</v>
      </c>
      <c r="S86">
        <v>6</v>
      </c>
      <c r="T86">
        <v>0.15</v>
      </c>
      <c r="U86" t="s">
        <v>29</v>
      </c>
      <c r="V86" t="s">
        <v>121</v>
      </c>
      <c r="W86" t="s">
        <v>114</v>
      </c>
      <c r="X86">
        <v>19.3</v>
      </c>
      <c r="Y86">
        <v>20.3</v>
      </c>
      <c r="Z86">
        <v>22.3</v>
      </c>
      <c r="AA86">
        <v>20.633333329999999</v>
      </c>
      <c r="AB86">
        <v>20.633333329999999</v>
      </c>
      <c r="AC86">
        <v>19.8</v>
      </c>
      <c r="AD86">
        <v>18.899999999999999</v>
      </c>
      <c r="AE86">
        <v>22</v>
      </c>
      <c r="AF86">
        <v>20.233333330000001</v>
      </c>
      <c r="AG86">
        <v>16.399999999999999</v>
      </c>
      <c r="AH86">
        <v>24.3</v>
      </c>
      <c r="AI86">
        <v>25.7</v>
      </c>
      <c r="AJ86">
        <v>22.133333329999999</v>
      </c>
      <c r="AK86">
        <v>25.7</v>
      </c>
      <c r="AL86">
        <v>24.3</v>
      </c>
      <c r="AM86">
        <v>22.3</v>
      </c>
      <c r="AN86">
        <v>24.1</v>
      </c>
      <c r="AO86">
        <v>22.133333329999999</v>
      </c>
      <c r="AP86">
        <v>8.5</v>
      </c>
      <c r="AQ86">
        <v>9</v>
      </c>
      <c r="AR86">
        <v>11</v>
      </c>
      <c r="AS86">
        <v>9.5</v>
      </c>
      <c r="AT86">
        <v>13</v>
      </c>
      <c r="AU86">
        <v>9</v>
      </c>
      <c r="AV86">
        <v>9</v>
      </c>
      <c r="AW86">
        <v>10.33333333</v>
      </c>
      <c r="AX86">
        <v>9.5</v>
      </c>
      <c r="AY86">
        <v>-11.133333329999999</v>
      </c>
      <c r="AZ86">
        <v>5</v>
      </c>
      <c r="BA86">
        <v>20</v>
      </c>
      <c r="BB86">
        <v>5</v>
      </c>
      <c r="BC86">
        <v>40</v>
      </c>
      <c r="BD86">
        <v>2</v>
      </c>
      <c r="BE86">
        <v>1</v>
      </c>
      <c r="BF86">
        <v>0</v>
      </c>
      <c r="BG86">
        <v>1</v>
      </c>
      <c r="BI86">
        <v>18.3</v>
      </c>
      <c r="BJ86">
        <v>2.7770000000000001</v>
      </c>
      <c r="BK86">
        <v>0</v>
      </c>
      <c r="BL86">
        <v>2</v>
      </c>
      <c r="BM86">
        <v>2</v>
      </c>
      <c r="BN86">
        <v>4</v>
      </c>
      <c r="BO86">
        <v>31</v>
      </c>
      <c r="BP86">
        <v>-27</v>
      </c>
      <c r="BQ86">
        <v>20</v>
      </c>
      <c r="BR86">
        <v>-16</v>
      </c>
      <c r="BS86">
        <v>25.4375</v>
      </c>
      <c r="BT86" t="s">
        <v>114</v>
      </c>
      <c r="BU86">
        <v>9.6620416299999992</v>
      </c>
      <c r="BV86">
        <v>-25.4375</v>
      </c>
      <c r="BW86" t="s">
        <v>114</v>
      </c>
      <c r="BX86">
        <v>9.6620416299999992</v>
      </c>
      <c r="BY86" t="s">
        <v>114</v>
      </c>
      <c r="BZ86" t="s">
        <v>114</v>
      </c>
      <c r="CA86" t="s">
        <v>114</v>
      </c>
      <c r="CB86" t="s">
        <v>114</v>
      </c>
      <c r="CC86" t="s">
        <v>114</v>
      </c>
      <c r="CD86" t="s">
        <v>114</v>
      </c>
      <c r="CE86" t="s">
        <v>114</v>
      </c>
      <c r="CF86" t="s">
        <v>114</v>
      </c>
      <c r="CG86" t="s">
        <v>114</v>
      </c>
      <c r="CH86">
        <v>25.4375</v>
      </c>
      <c r="CI86" t="s">
        <v>114</v>
      </c>
      <c r="CJ86">
        <v>9.6620416299999992</v>
      </c>
      <c r="CK86" t="s">
        <v>114</v>
      </c>
      <c r="CL86">
        <v>-25.4375</v>
      </c>
      <c r="CM86" t="s">
        <v>114</v>
      </c>
      <c r="CN86">
        <v>9.6620416299999992</v>
      </c>
      <c r="CO86" t="s">
        <v>114</v>
      </c>
      <c r="CP86">
        <v>0</v>
      </c>
      <c r="CQ86" t="s">
        <v>114</v>
      </c>
      <c r="CR86">
        <v>0</v>
      </c>
      <c r="CS86" t="s">
        <v>114</v>
      </c>
      <c r="CT86">
        <v>0</v>
      </c>
      <c r="CU86" t="s">
        <v>114</v>
      </c>
      <c r="CV86">
        <v>0</v>
      </c>
      <c r="CW86" t="s">
        <v>114</v>
      </c>
    </row>
    <row r="87" spans="1:101" x14ac:dyDescent="0.25">
      <c r="A87" t="s">
        <v>14</v>
      </c>
      <c r="B87">
        <v>15</v>
      </c>
      <c r="C87" t="s">
        <v>15</v>
      </c>
      <c r="D87" t="s">
        <v>94</v>
      </c>
      <c r="E87" t="s">
        <v>102</v>
      </c>
      <c r="F87" t="s">
        <v>145</v>
      </c>
      <c r="G87" t="s">
        <v>265</v>
      </c>
      <c r="H87" t="s">
        <v>755</v>
      </c>
      <c r="I87" t="s">
        <v>698</v>
      </c>
      <c r="J87" t="s">
        <v>361</v>
      </c>
      <c r="K87" t="s">
        <v>114</v>
      </c>
      <c r="L87">
        <v>40</v>
      </c>
      <c r="M87">
        <v>30</v>
      </c>
      <c r="N87">
        <v>40</v>
      </c>
      <c r="O87">
        <v>10</v>
      </c>
      <c r="P87">
        <v>110</v>
      </c>
      <c r="Q87">
        <v>110</v>
      </c>
      <c r="R87">
        <v>70</v>
      </c>
      <c r="S87">
        <v>90</v>
      </c>
      <c r="T87">
        <v>2.25</v>
      </c>
      <c r="U87" t="s">
        <v>15</v>
      </c>
      <c r="V87" t="s">
        <v>121</v>
      </c>
      <c r="W87" t="s">
        <v>114</v>
      </c>
      <c r="X87">
        <v>23.8</v>
      </c>
      <c r="Y87">
        <v>22.3</v>
      </c>
      <c r="Z87">
        <v>18.399999999999999</v>
      </c>
      <c r="AA87">
        <v>21.5</v>
      </c>
      <c r="AB87">
        <v>21.5</v>
      </c>
      <c r="AC87">
        <v>19.3</v>
      </c>
      <c r="AD87">
        <v>21.3</v>
      </c>
      <c r="AE87">
        <v>23.3</v>
      </c>
      <c r="AF87">
        <v>21.3</v>
      </c>
      <c r="AG87">
        <v>21.8</v>
      </c>
      <c r="AH87">
        <v>27.2</v>
      </c>
      <c r="AI87">
        <v>24.3</v>
      </c>
      <c r="AJ87">
        <v>24.43333333</v>
      </c>
      <c r="AK87">
        <v>28.7</v>
      </c>
      <c r="AL87">
        <v>22.8</v>
      </c>
      <c r="AM87">
        <v>26.7</v>
      </c>
      <c r="AN87">
        <v>26.06666667</v>
      </c>
      <c r="AO87">
        <v>24.43333333</v>
      </c>
      <c r="AP87">
        <v>6.1</v>
      </c>
      <c r="AQ87">
        <v>9.5</v>
      </c>
      <c r="AR87">
        <v>9.5</v>
      </c>
      <c r="AS87">
        <v>8.3666666670000005</v>
      </c>
      <c r="AT87">
        <v>8.5</v>
      </c>
      <c r="AU87">
        <v>9.5</v>
      </c>
      <c r="AV87">
        <v>10.5</v>
      </c>
      <c r="AW87">
        <v>9.5</v>
      </c>
      <c r="AX87">
        <v>8.3666666670000005</v>
      </c>
      <c r="AY87">
        <v>-13.133333329999999</v>
      </c>
      <c r="AZ87">
        <v>40</v>
      </c>
      <c r="BA87">
        <v>20</v>
      </c>
      <c r="BB87">
        <v>20</v>
      </c>
      <c r="BC87">
        <v>10</v>
      </c>
      <c r="BD87">
        <v>0</v>
      </c>
      <c r="BE87">
        <v>1</v>
      </c>
      <c r="BF87">
        <v>1</v>
      </c>
      <c r="BG87">
        <v>1</v>
      </c>
      <c r="BI87">
        <v>13.6</v>
      </c>
      <c r="BJ87">
        <v>2.15</v>
      </c>
      <c r="BK87">
        <v>0</v>
      </c>
      <c r="BL87">
        <v>13</v>
      </c>
      <c r="BM87">
        <v>13</v>
      </c>
      <c r="BN87">
        <v>393</v>
      </c>
      <c r="BO87">
        <v>383.66669999999999</v>
      </c>
      <c r="BP87">
        <v>9.3333000000000084</v>
      </c>
      <c r="BQ87">
        <v>325</v>
      </c>
      <c r="BR87">
        <v>68</v>
      </c>
      <c r="BS87" t="s">
        <v>114</v>
      </c>
      <c r="BT87" t="s">
        <v>114</v>
      </c>
      <c r="BU87" t="s">
        <v>114</v>
      </c>
      <c r="BV87" t="s">
        <v>114</v>
      </c>
      <c r="BW87" t="s">
        <v>114</v>
      </c>
      <c r="BX87" t="s">
        <v>114</v>
      </c>
      <c r="BY87" t="s">
        <v>114</v>
      </c>
      <c r="BZ87" t="s">
        <v>114</v>
      </c>
      <c r="CA87" t="s">
        <v>114</v>
      </c>
      <c r="CB87" t="s">
        <v>114</v>
      </c>
      <c r="CC87" t="s">
        <v>114</v>
      </c>
      <c r="CD87" t="s">
        <v>114</v>
      </c>
      <c r="CE87" t="s">
        <v>114</v>
      </c>
      <c r="CF87" t="s">
        <v>114</v>
      </c>
      <c r="CG87" t="s">
        <v>114</v>
      </c>
      <c r="CH87" t="s">
        <v>114</v>
      </c>
      <c r="CI87" t="s">
        <v>114</v>
      </c>
      <c r="CJ87" t="s">
        <v>114</v>
      </c>
      <c r="CK87" t="s">
        <v>114</v>
      </c>
      <c r="CL87" t="s">
        <v>114</v>
      </c>
      <c r="CM87" t="s">
        <v>114</v>
      </c>
      <c r="CN87" t="s">
        <v>114</v>
      </c>
      <c r="CO87" t="s">
        <v>114</v>
      </c>
      <c r="CP87" t="s">
        <v>114</v>
      </c>
      <c r="CQ87" t="s">
        <v>114</v>
      </c>
      <c r="CR87" t="s">
        <v>114</v>
      </c>
      <c r="CS87" t="s">
        <v>114</v>
      </c>
      <c r="CT87" t="s">
        <v>114</v>
      </c>
      <c r="CU87" t="s">
        <v>114</v>
      </c>
      <c r="CV87" t="s">
        <v>114</v>
      </c>
      <c r="CW87" t="s">
        <v>114</v>
      </c>
    </row>
    <row r="88" spans="1:101" x14ac:dyDescent="0.25">
      <c r="A88" t="s">
        <v>14</v>
      </c>
      <c r="B88">
        <v>15</v>
      </c>
      <c r="C88" t="s">
        <v>15</v>
      </c>
      <c r="D88" t="s">
        <v>94</v>
      </c>
      <c r="E88" t="s">
        <v>110</v>
      </c>
      <c r="F88" t="s">
        <v>145</v>
      </c>
      <c r="G88" t="s">
        <v>262</v>
      </c>
      <c r="H88" t="s">
        <v>767</v>
      </c>
      <c r="I88" t="s">
        <v>702</v>
      </c>
      <c r="J88" t="s">
        <v>362</v>
      </c>
      <c r="K88" t="s">
        <v>114</v>
      </c>
      <c r="L88">
        <v>35</v>
      </c>
      <c r="M88">
        <v>20</v>
      </c>
      <c r="N88">
        <v>35</v>
      </c>
      <c r="O88">
        <v>15</v>
      </c>
      <c r="P88">
        <v>20</v>
      </c>
      <c r="Q88">
        <v>20</v>
      </c>
      <c r="R88">
        <v>0</v>
      </c>
      <c r="S88">
        <v>10</v>
      </c>
      <c r="T88">
        <v>0.2857142857142857</v>
      </c>
      <c r="U88" t="s">
        <v>23</v>
      </c>
      <c r="V88" t="s">
        <v>121</v>
      </c>
      <c r="W88" t="s">
        <v>114</v>
      </c>
      <c r="X88">
        <v>23.8</v>
      </c>
      <c r="Y88">
        <v>22.3</v>
      </c>
      <c r="Z88">
        <v>18.399999999999999</v>
      </c>
      <c r="AA88">
        <v>21.5</v>
      </c>
      <c r="AB88">
        <v>21.5</v>
      </c>
      <c r="AC88">
        <v>19.3</v>
      </c>
      <c r="AD88">
        <v>17.899999999999999</v>
      </c>
      <c r="AE88">
        <v>19.8</v>
      </c>
      <c r="AF88">
        <v>19</v>
      </c>
      <c r="AG88">
        <v>21.8</v>
      </c>
      <c r="AH88">
        <v>27.2</v>
      </c>
      <c r="AI88">
        <v>24.3</v>
      </c>
      <c r="AJ88">
        <v>24.43333333</v>
      </c>
      <c r="AK88">
        <v>29.2</v>
      </c>
      <c r="AL88">
        <v>22.3</v>
      </c>
      <c r="AM88">
        <v>25.2</v>
      </c>
      <c r="AN88">
        <v>25.56666667</v>
      </c>
      <c r="AO88">
        <v>24.43333333</v>
      </c>
      <c r="AP88">
        <v>6.1</v>
      </c>
      <c r="AQ88">
        <v>9.5</v>
      </c>
      <c r="AR88">
        <v>9.5</v>
      </c>
      <c r="AS88">
        <v>8.3666666670000005</v>
      </c>
      <c r="AT88">
        <v>9.5</v>
      </c>
      <c r="AU88">
        <v>10</v>
      </c>
      <c r="AV88">
        <v>8.1</v>
      </c>
      <c r="AW88">
        <v>9.1999999999999993</v>
      </c>
      <c r="AX88">
        <v>8.3666666670000005</v>
      </c>
      <c r="AY88">
        <v>-13.133333329999999</v>
      </c>
      <c r="AZ88">
        <v>40</v>
      </c>
      <c r="BA88">
        <v>20</v>
      </c>
      <c r="BB88">
        <v>20</v>
      </c>
      <c r="BC88">
        <v>10</v>
      </c>
      <c r="BD88">
        <v>0</v>
      </c>
      <c r="BE88">
        <v>1</v>
      </c>
      <c r="BF88">
        <v>1</v>
      </c>
      <c r="BG88">
        <v>1</v>
      </c>
      <c r="BI88">
        <v>13.6</v>
      </c>
      <c r="BJ88">
        <v>2.15</v>
      </c>
      <c r="BK88">
        <v>0</v>
      </c>
      <c r="BL88">
        <v>5</v>
      </c>
      <c r="BM88">
        <v>0</v>
      </c>
      <c r="BN88">
        <v>5</v>
      </c>
      <c r="BO88">
        <v>6</v>
      </c>
      <c r="BP88">
        <v>-1</v>
      </c>
      <c r="BQ88">
        <v>5</v>
      </c>
      <c r="BR88">
        <v>0</v>
      </c>
      <c r="BS88" t="s">
        <v>114</v>
      </c>
      <c r="BT88" t="s">
        <v>114</v>
      </c>
      <c r="BU88" t="s">
        <v>114</v>
      </c>
      <c r="BV88" t="s">
        <v>114</v>
      </c>
      <c r="BW88" t="s">
        <v>114</v>
      </c>
      <c r="BX88" t="s">
        <v>114</v>
      </c>
      <c r="BY88" t="s">
        <v>114</v>
      </c>
      <c r="BZ88" t="s">
        <v>114</v>
      </c>
      <c r="CA88" t="s">
        <v>114</v>
      </c>
      <c r="CB88" t="s">
        <v>114</v>
      </c>
      <c r="CC88" t="s">
        <v>114</v>
      </c>
      <c r="CD88" t="s">
        <v>114</v>
      </c>
      <c r="CE88" t="s">
        <v>114</v>
      </c>
      <c r="CF88" t="s">
        <v>114</v>
      </c>
      <c r="CG88" t="s">
        <v>114</v>
      </c>
      <c r="CH88" t="s">
        <v>114</v>
      </c>
      <c r="CI88" t="s">
        <v>114</v>
      </c>
      <c r="CJ88" t="s">
        <v>114</v>
      </c>
      <c r="CK88" t="s">
        <v>114</v>
      </c>
      <c r="CL88" t="s">
        <v>114</v>
      </c>
      <c r="CM88" t="s">
        <v>114</v>
      </c>
      <c r="CN88" t="s">
        <v>114</v>
      </c>
      <c r="CO88" t="s">
        <v>114</v>
      </c>
      <c r="CP88" t="s">
        <v>114</v>
      </c>
      <c r="CQ88" t="s">
        <v>114</v>
      </c>
      <c r="CR88" t="s">
        <v>114</v>
      </c>
      <c r="CS88" t="s">
        <v>114</v>
      </c>
      <c r="CT88" t="s">
        <v>114</v>
      </c>
      <c r="CU88" t="s">
        <v>114</v>
      </c>
      <c r="CV88" t="s">
        <v>114</v>
      </c>
      <c r="CW88" t="s">
        <v>114</v>
      </c>
    </row>
    <row r="89" spans="1:101" x14ac:dyDescent="0.25">
      <c r="A89" t="s">
        <v>14</v>
      </c>
      <c r="B89">
        <v>15</v>
      </c>
      <c r="C89" t="s">
        <v>15</v>
      </c>
      <c r="D89" t="s">
        <v>94</v>
      </c>
      <c r="E89" t="s">
        <v>111</v>
      </c>
      <c r="F89" t="s">
        <v>145</v>
      </c>
      <c r="G89" t="s">
        <v>263</v>
      </c>
      <c r="H89" t="s">
        <v>775</v>
      </c>
      <c r="I89" t="s">
        <v>703</v>
      </c>
      <c r="J89" t="s">
        <v>363</v>
      </c>
      <c r="K89">
        <v>1</v>
      </c>
      <c r="L89">
        <v>240</v>
      </c>
      <c r="M89">
        <v>260</v>
      </c>
      <c r="N89">
        <v>240</v>
      </c>
      <c r="O89">
        <v>-20</v>
      </c>
      <c r="P89">
        <v>82</v>
      </c>
      <c r="Q89">
        <v>170</v>
      </c>
      <c r="R89">
        <v>110</v>
      </c>
      <c r="S89">
        <v>140</v>
      </c>
      <c r="T89">
        <v>0.58333333333333337</v>
      </c>
      <c r="U89" t="s">
        <v>15</v>
      </c>
      <c r="V89" t="s">
        <v>114</v>
      </c>
      <c r="W89" t="s">
        <v>114</v>
      </c>
      <c r="X89">
        <v>23.8</v>
      </c>
      <c r="Y89">
        <v>22.3</v>
      </c>
      <c r="Z89">
        <v>18.399999999999999</v>
      </c>
      <c r="AA89">
        <v>21.5</v>
      </c>
      <c r="AB89">
        <v>21.5</v>
      </c>
      <c r="AC89">
        <v>24.3</v>
      </c>
      <c r="AD89">
        <v>19.8</v>
      </c>
      <c r="AE89">
        <v>14.9</v>
      </c>
      <c r="AF89">
        <v>19.666666670000001</v>
      </c>
      <c r="AG89">
        <v>21.8</v>
      </c>
      <c r="AH89">
        <v>27.2</v>
      </c>
      <c r="AI89">
        <v>24.3</v>
      </c>
      <c r="AJ89">
        <v>24.43333333</v>
      </c>
      <c r="AK89">
        <v>20.8</v>
      </c>
      <c r="AL89">
        <v>23.8</v>
      </c>
      <c r="AM89">
        <v>25.7</v>
      </c>
      <c r="AN89">
        <v>23.43333333</v>
      </c>
      <c r="AO89">
        <v>24.43333333</v>
      </c>
      <c r="AP89">
        <v>6.1</v>
      </c>
      <c r="AQ89">
        <v>9.5</v>
      </c>
      <c r="AR89">
        <v>9.5</v>
      </c>
      <c r="AS89">
        <v>8.3666666670000005</v>
      </c>
      <c r="AT89">
        <v>4.5999999999999996</v>
      </c>
      <c r="AU89">
        <v>6.6</v>
      </c>
      <c r="AV89">
        <v>8.5</v>
      </c>
      <c r="AW89">
        <v>6.5666666669999998</v>
      </c>
      <c r="AX89">
        <v>8.3666666670000005</v>
      </c>
      <c r="AY89">
        <v>-13.133333329999999</v>
      </c>
      <c r="AZ89">
        <v>40</v>
      </c>
      <c r="BA89">
        <v>20</v>
      </c>
      <c r="BB89">
        <v>20</v>
      </c>
      <c r="BC89">
        <v>10</v>
      </c>
      <c r="BD89">
        <v>0</v>
      </c>
      <c r="BE89">
        <v>1</v>
      </c>
      <c r="BF89">
        <v>1</v>
      </c>
      <c r="BG89">
        <v>1</v>
      </c>
      <c r="BI89">
        <v>13.6</v>
      </c>
      <c r="BJ89">
        <v>2.15</v>
      </c>
      <c r="BK89">
        <v>0</v>
      </c>
      <c r="BL89">
        <v>56</v>
      </c>
      <c r="BM89">
        <v>38</v>
      </c>
      <c r="BN89">
        <v>3116</v>
      </c>
      <c r="BO89">
        <v>2240.3332999999998</v>
      </c>
      <c r="BP89">
        <v>875.66670000000022</v>
      </c>
      <c r="BQ89">
        <v>2374</v>
      </c>
      <c r="BR89">
        <v>742</v>
      </c>
      <c r="BS89">
        <v>21.710559</v>
      </c>
      <c r="BT89">
        <v>0.93538222199999999</v>
      </c>
      <c r="BU89">
        <v>10.137912419999999</v>
      </c>
      <c r="BV89">
        <v>21.710559</v>
      </c>
      <c r="BW89">
        <v>-0.93538222199999999</v>
      </c>
      <c r="BX89">
        <v>-10.137912419999999</v>
      </c>
      <c r="BY89" t="s">
        <v>114</v>
      </c>
      <c r="BZ89" t="s">
        <v>114</v>
      </c>
      <c r="CA89" t="s">
        <v>114</v>
      </c>
      <c r="CB89" t="s">
        <v>114</v>
      </c>
      <c r="CC89" t="s">
        <v>114</v>
      </c>
      <c r="CD89" t="s">
        <v>114</v>
      </c>
      <c r="CE89">
        <v>0.5184628</v>
      </c>
      <c r="CF89" t="s">
        <v>114</v>
      </c>
      <c r="CG89">
        <v>0.5184628</v>
      </c>
      <c r="CH89">
        <v>21.710559</v>
      </c>
      <c r="CI89">
        <v>0.93538222199999999</v>
      </c>
      <c r="CJ89">
        <v>10.137912419999999</v>
      </c>
      <c r="CK89">
        <v>-0.5184628</v>
      </c>
      <c r="CL89">
        <v>21.710559</v>
      </c>
      <c r="CM89">
        <v>-0.93538222199999999</v>
      </c>
      <c r="CN89">
        <v>-10.137912419999999</v>
      </c>
      <c r="CO89" t="s">
        <v>114</v>
      </c>
      <c r="CP89" t="s">
        <v>114</v>
      </c>
      <c r="CQ89" t="s">
        <v>114</v>
      </c>
      <c r="CR89" t="s">
        <v>114</v>
      </c>
      <c r="CS89" t="s">
        <v>114</v>
      </c>
      <c r="CT89" t="s">
        <v>114</v>
      </c>
      <c r="CU89" t="s">
        <v>114</v>
      </c>
      <c r="CV89" t="s">
        <v>114</v>
      </c>
      <c r="CW89">
        <v>-0.5184628</v>
      </c>
    </row>
    <row r="90" spans="1:101" x14ac:dyDescent="0.25">
      <c r="A90" t="s">
        <v>14</v>
      </c>
      <c r="B90">
        <v>15</v>
      </c>
      <c r="C90" t="s">
        <v>15</v>
      </c>
      <c r="D90" t="s">
        <v>94</v>
      </c>
      <c r="E90" t="s">
        <v>104</v>
      </c>
      <c r="F90" t="s">
        <v>145</v>
      </c>
      <c r="G90" t="s">
        <v>264</v>
      </c>
      <c r="H90" t="s">
        <v>779</v>
      </c>
      <c r="I90" t="s">
        <v>701</v>
      </c>
      <c r="J90" t="s">
        <v>364</v>
      </c>
      <c r="K90">
        <v>3</v>
      </c>
      <c r="L90">
        <v>55</v>
      </c>
      <c r="M90">
        <v>70</v>
      </c>
      <c r="N90">
        <v>55</v>
      </c>
      <c r="O90">
        <v>-15</v>
      </c>
      <c r="P90">
        <v>20</v>
      </c>
      <c r="Q90">
        <v>20</v>
      </c>
      <c r="R90">
        <v>10</v>
      </c>
      <c r="S90">
        <v>15</v>
      </c>
      <c r="T90">
        <v>0.27272727272727271</v>
      </c>
      <c r="U90" t="s">
        <v>15</v>
      </c>
      <c r="V90" t="s">
        <v>104</v>
      </c>
      <c r="W90">
        <v>55</v>
      </c>
      <c r="X90">
        <v>23.8</v>
      </c>
      <c r="Y90">
        <v>22.3</v>
      </c>
      <c r="Z90">
        <v>18.399999999999999</v>
      </c>
      <c r="AA90">
        <v>21.5</v>
      </c>
      <c r="AB90">
        <v>21.5</v>
      </c>
      <c r="AC90">
        <v>22.3</v>
      </c>
      <c r="AD90">
        <v>23.3</v>
      </c>
      <c r="AE90">
        <v>23.8</v>
      </c>
      <c r="AF90">
        <v>23.133333329999999</v>
      </c>
      <c r="AG90">
        <v>21.8</v>
      </c>
      <c r="AH90">
        <v>27.2</v>
      </c>
      <c r="AI90">
        <v>24.3</v>
      </c>
      <c r="AJ90">
        <v>24.43333333</v>
      </c>
      <c r="AK90">
        <v>18.399999999999999</v>
      </c>
      <c r="AL90">
        <v>24.7</v>
      </c>
      <c r="AM90">
        <v>24.3</v>
      </c>
      <c r="AN90">
        <v>22.466666669999999</v>
      </c>
      <c r="AO90">
        <v>24.43333333</v>
      </c>
      <c r="AP90">
        <v>6.1</v>
      </c>
      <c r="AQ90">
        <v>9.5</v>
      </c>
      <c r="AR90">
        <v>9.5</v>
      </c>
      <c r="AS90">
        <v>8.3666666670000005</v>
      </c>
      <c r="AT90">
        <v>10</v>
      </c>
      <c r="AU90">
        <v>9</v>
      </c>
      <c r="AV90">
        <v>10.5</v>
      </c>
      <c r="AW90">
        <v>9.8333333330000006</v>
      </c>
      <c r="AX90">
        <v>8.3666666670000005</v>
      </c>
      <c r="AY90">
        <v>-13.133333329999999</v>
      </c>
      <c r="AZ90">
        <v>40</v>
      </c>
      <c r="BA90">
        <v>20</v>
      </c>
      <c r="BB90">
        <v>20</v>
      </c>
      <c r="BC90">
        <v>10</v>
      </c>
      <c r="BD90">
        <v>0</v>
      </c>
      <c r="BE90">
        <v>1</v>
      </c>
      <c r="BF90">
        <v>1</v>
      </c>
      <c r="BG90">
        <v>1</v>
      </c>
      <c r="BI90">
        <v>13.6</v>
      </c>
      <c r="BJ90">
        <v>2.15</v>
      </c>
      <c r="BK90">
        <v>0</v>
      </c>
      <c r="BL90">
        <v>2</v>
      </c>
      <c r="BM90">
        <v>2</v>
      </c>
      <c r="BN90">
        <v>10</v>
      </c>
      <c r="BO90">
        <v>31</v>
      </c>
      <c r="BP90">
        <v>-21</v>
      </c>
      <c r="BQ90">
        <v>42</v>
      </c>
      <c r="BR90">
        <v>-32</v>
      </c>
      <c r="BS90">
        <v>20.338315215000002</v>
      </c>
      <c r="BT90">
        <v>0.68398333349999996</v>
      </c>
      <c r="BU90">
        <v>0.53916149999999996</v>
      </c>
      <c r="BV90">
        <v>20.338315215000002</v>
      </c>
      <c r="BW90">
        <v>0.68398333349999996</v>
      </c>
      <c r="BX90">
        <v>-0.53916149999999996</v>
      </c>
      <c r="BY90">
        <v>827.29413156940097</v>
      </c>
      <c r="BZ90">
        <v>0.93566640101154397</v>
      </c>
      <c r="CA90">
        <v>0.58139024616449997</v>
      </c>
      <c r="CB90">
        <v>827.29413156940097</v>
      </c>
      <c r="CC90">
        <v>0.93566640101154397</v>
      </c>
      <c r="CD90">
        <v>0.58139024616449997</v>
      </c>
      <c r="CE90">
        <v>0.25102455000000001</v>
      </c>
      <c r="CF90">
        <v>0.12602664940540501</v>
      </c>
      <c r="CG90">
        <v>0.16734969999999999</v>
      </c>
      <c r="CH90">
        <v>13.558876809999999</v>
      </c>
      <c r="CI90">
        <v>0.45598888900000001</v>
      </c>
      <c r="CJ90">
        <v>0.35944100000000001</v>
      </c>
      <c r="CK90">
        <v>-0.16734969999999999</v>
      </c>
      <c r="CL90">
        <v>13.558876809999999</v>
      </c>
      <c r="CM90">
        <v>0.45598888900000001</v>
      </c>
      <c r="CN90">
        <v>-0.35944100000000001</v>
      </c>
      <c r="CO90">
        <v>8.4017766270269995E-2</v>
      </c>
      <c r="CP90">
        <v>551.52942104626698</v>
      </c>
      <c r="CQ90">
        <v>0.62377760067436305</v>
      </c>
      <c r="CR90">
        <v>0.38759349744299998</v>
      </c>
      <c r="CS90">
        <v>8.4017766270269995E-2</v>
      </c>
      <c r="CT90">
        <v>551.52942104626698</v>
      </c>
      <c r="CU90">
        <v>0.62377760067436305</v>
      </c>
      <c r="CV90">
        <v>0.38759349744299998</v>
      </c>
      <c r="CW90">
        <v>-0.25102455000000001</v>
      </c>
    </row>
    <row r="91" spans="1:101" x14ac:dyDescent="0.25">
      <c r="A91" t="s">
        <v>16</v>
      </c>
      <c r="B91">
        <v>15</v>
      </c>
      <c r="C91" t="s">
        <v>17</v>
      </c>
      <c r="D91" t="s">
        <v>95</v>
      </c>
      <c r="E91" t="s">
        <v>113</v>
      </c>
      <c r="F91" t="s">
        <v>145</v>
      </c>
      <c r="G91" t="s">
        <v>259</v>
      </c>
      <c r="H91" t="s">
        <v>764</v>
      </c>
      <c r="I91" t="s">
        <v>704</v>
      </c>
      <c r="J91" t="s">
        <v>365</v>
      </c>
      <c r="K91">
        <v>4</v>
      </c>
      <c r="L91">
        <v>100</v>
      </c>
      <c r="M91">
        <v>90</v>
      </c>
      <c r="N91">
        <v>100</v>
      </c>
      <c r="O91">
        <v>10</v>
      </c>
      <c r="P91">
        <v>8</v>
      </c>
      <c r="Q91">
        <v>20</v>
      </c>
      <c r="R91">
        <v>5</v>
      </c>
      <c r="S91">
        <v>12.5</v>
      </c>
      <c r="T91">
        <v>0.125</v>
      </c>
      <c r="V91" t="s">
        <v>104</v>
      </c>
      <c r="W91">
        <v>50</v>
      </c>
      <c r="X91">
        <v>13.9</v>
      </c>
      <c r="Y91">
        <v>15.4</v>
      </c>
      <c r="Z91">
        <v>15.9</v>
      </c>
      <c r="AA91">
        <v>15.06666667</v>
      </c>
      <c r="AB91">
        <v>15.06666667</v>
      </c>
      <c r="AC91">
        <v>26.7</v>
      </c>
      <c r="AD91">
        <v>17.899999999999999</v>
      </c>
      <c r="AE91">
        <v>21.3</v>
      </c>
      <c r="AF91">
        <v>21.966666669999999</v>
      </c>
      <c r="AG91">
        <v>22.3</v>
      </c>
      <c r="AH91">
        <v>22.3</v>
      </c>
      <c r="AI91">
        <v>23.4</v>
      </c>
      <c r="AJ91">
        <v>22.666666670000001</v>
      </c>
      <c r="AK91">
        <v>22.3</v>
      </c>
      <c r="AL91">
        <v>23.7</v>
      </c>
      <c r="AM91">
        <v>33.6</v>
      </c>
      <c r="AN91">
        <v>26.533333330000001</v>
      </c>
      <c r="AO91">
        <v>22.666666670000001</v>
      </c>
      <c r="AP91">
        <v>8.1</v>
      </c>
      <c r="AQ91">
        <v>8.5</v>
      </c>
      <c r="AR91">
        <v>12.5</v>
      </c>
      <c r="AS91">
        <v>9.6999999999999993</v>
      </c>
      <c r="AT91">
        <v>11</v>
      </c>
      <c r="AU91">
        <v>8.1</v>
      </c>
      <c r="AV91">
        <v>9.5</v>
      </c>
      <c r="AW91">
        <v>9.5333333329999999</v>
      </c>
      <c r="AX91">
        <v>9.6999999999999993</v>
      </c>
      <c r="AY91">
        <v>-5.3666666669999996</v>
      </c>
      <c r="AZ91">
        <v>10</v>
      </c>
      <c r="BA91">
        <v>15</v>
      </c>
      <c r="BB91">
        <v>2</v>
      </c>
      <c r="BC91">
        <v>25</v>
      </c>
      <c r="BD91">
        <v>1</v>
      </c>
      <c r="BE91">
        <v>1</v>
      </c>
      <c r="BF91">
        <v>2</v>
      </c>
      <c r="BG91">
        <v>1</v>
      </c>
      <c r="BI91">
        <v>6.6</v>
      </c>
      <c r="BJ91">
        <v>42.4</v>
      </c>
      <c r="BK91">
        <v>0</v>
      </c>
      <c r="BL91">
        <v>7</v>
      </c>
      <c r="BM91">
        <v>5</v>
      </c>
      <c r="BN91">
        <v>15</v>
      </c>
      <c r="BO91">
        <v>22</v>
      </c>
      <c r="BP91">
        <v>-7</v>
      </c>
      <c r="BQ91">
        <v>60</v>
      </c>
      <c r="BR91">
        <v>-45</v>
      </c>
      <c r="BS91">
        <v>15.089962119999999</v>
      </c>
      <c r="BT91">
        <v>0.84872999999999998</v>
      </c>
      <c r="BU91">
        <v>5.38276384</v>
      </c>
      <c r="BV91">
        <v>-15.089962119999999</v>
      </c>
      <c r="BW91">
        <v>-0.84872999999999998</v>
      </c>
      <c r="BX91">
        <v>-5.38276384</v>
      </c>
      <c r="BY91">
        <v>455.41391356606999</v>
      </c>
      <c r="BZ91">
        <v>1.4406852258</v>
      </c>
      <c r="CA91">
        <v>57.948293114423102</v>
      </c>
      <c r="CB91">
        <v>455.41391356606999</v>
      </c>
      <c r="CC91">
        <v>1.4406852258</v>
      </c>
      <c r="CD91">
        <v>57.948293114423102</v>
      </c>
      <c r="CE91">
        <v>9.6954100000000001E-2</v>
      </c>
      <c r="CF91">
        <v>1.880019501362E-2</v>
      </c>
      <c r="CG91">
        <v>4.8477050000000001E-2</v>
      </c>
      <c r="CH91">
        <v>7.5449810599999996</v>
      </c>
      <c r="CI91">
        <v>0.42436499999999999</v>
      </c>
      <c r="CJ91">
        <v>2.69138192</v>
      </c>
      <c r="CK91">
        <v>-4.8477050000000001E-2</v>
      </c>
      <c r="CL91">
        <v>-7.5449810599999996</v>
      </c>
      <c r="CM91">
        <v>-0.42436499999999999</v>
      </c>
      <c r="CN91">
        <v>-2.69138192</v>
      </c>
      <c r="CO91">
        <v>9.4000975068099998E-3</v>
      </c>
      <c r="CP91">
        <v>227.706956783035</v>
      </c>
      <c r="CQ91">
        <v>0.72034261290000001</v>
      </c>
      <c r="CR91">
        <v>28.974146557211501</v>
      </c>
      <c r="CS91">
        <v>9.4000975068099998E-3</v>
      </c>
      <c r="CT91">
        <v>227.706956783035</v>
      </c>
      <c r="CU91">
        <v>0.72034261290000001</v>
      </c>
      <c r="CV91">
        <v>28.974146557211501</v>
      </c>
      <c r="CW91">
        <v>-9.6954100000000001E-2</v>
      </c>
    </row>
    <row r="92" spans="1:101" x14ac:dyDescent="0.25">
      <c r="A92" t="s">
        <v>16</v>
      </c>
      <c r="B92">
        <v>15</v>
      </c>
      <c r="C92" t="s">
        <v>17</v>
      </c>
      <c r="D92" t="s">
        <v>95</v>
      </c>
      <c r="E92" t="s">
        <v>110</v>
      </c>
      <c r="F92" t="s">
        <v>145</v>
      </c>
      <c r="G92" t="s">
        <v>262</v>
      </c>
      <c r="H92" t="s">
        <v>768</v>
      </c>
      <c r="I92" t="s">
        <v>705</v>
      </c>
      <c r="J92" t="s">
        <v>366</v>
      </c>
      <c r="K92">
        <v>2</v>
      </c>
      <c r="L92">
        <v>80</v>
      </c>
      <c r="M92">
        <v>40</v>
      </c>
      <c r="N92">
        <v>80</v>
      </c>
      <c r="O92">
        <v>40</v>
      </c>
      <c r="P92">
        <v>10</v>
      </c>
      <c r="Q92">
        <v>170</v>
      </c>
      <c r="R92">
        <v>70</v>
      </c>
      <c r="S92">
        <v>120</v>
      </c>
      <c r="T92">
        <v>1.5</v>
      </c>
      <c r="V92" t="s">
        <v>121</v>
      </c>
      <c r="W92" t="s">
        <v>114</v>
      </c>
      <c r="X92">
        <v>13.9</v>
      </c>
      <c r="Y92">
        <v>15.4</v>
      </c>
      <c r="Z92">
        <v>15.9</v>
      </c>
      <c r="AA92">
        <v>15.06666667</v>
      </c>
      <c r="AB92">
        <v>15.06666667</v>
      </c>
      <c r="AC92">
        <v>17.399999999999999</v>
      </c>
      <c r="AD92">
        <v>13.5</v>
      </c>
      <c r="AE92">
        <v>16.899999999999999</v>
      </c>
      <c r="AF92">
        <v>15.93333333</v>
      </c>
      <c r="AG92">
        <v>22.3</v>
      </c>
      <c r="AH92">
        <v>22.3</v>
      </c>
      <c r="AI92">
        <v>23.4</v>
      </c>
      <c r="AJ92">
        <v>22.666666670000001</v>
      </c>
      <c r="AK92">
        <v>23.8</v>
      </c>
      <c r="AL92">
        <v>20.8</v>
      </c>
      <c r="AM92">
        <v>18.399999999999999</v>
      </c>
      <c r="AN92">
        <v>21</v>
      </c>
      <c r="AO92">
        <v>22.666666670000001</v>
      </c>
      <c r="AP92">
        <v>8.1</v>
      </c>
      <c r="AQ92">
        <v>8.5</v>
      </c>
      <c r="AR92">
        <v>12.5</v>
      </c>
      <c r="AS92">
        <v>9.6999999999999993</v>
      </c>
      <c r="AT92">
        <v>7.6</v>
      </c>
      <c r="AU92">
        <v>7.6</v>
      </c>
      <c r="AV92">
        <v>6.1</v>
      </c>
      <c r="AW92">
        <v>7.1</v>
      </c>
      <c r="AX92">
        <v>9.6999999999999993</v>
      </c>
      <c r="AY92">
        <v>-5.3666666669999996</v>
      </c>
      <c r="AZ92">
        <v>10</v>
      </c>
      <c r="BA92">
        <v>15</v>
      </c>
      <c r="BB92">
        <v>2</v>
      </c>
      <c r="BC92">
        <v>25</v>
      </c>
      <c r="BD92">
        <v>1</v>
      </c>
      <c r="BE92">
        <v>1</v>
      </c>
      <c r="BF92">
        <v>2</v>
      </c>
      <c r="BG92">
        <v>1</v>
      </c>
      <c r="BI92">
        <v>6.6</v>
      </c>
      <c r="BJ92">
        <v>42.4</v>
      </c>
      <c r="BK92">
        <v>0</v>
      </c>
      <c r="BL92">
        <v>46</v>
      </c>
      <c r="BM92">
        <v>41</v>
      </c>
      <c r="BN92">
        <v>41</v>
      </c>
      <c r="BO92">
        <v>4.6666670000000003</v>
      </c>
      <c r="BP92">
        <v>36.333332999999996</v>
      </c>
      <c r="BQ92">
        <v>11</v>
      </c>
      <c r="BR92">
        <v>30</v>
      </c>
      <c r="BS92">
        <v>40.707880430000003</v>
      </c>
      <c r="BT92">
        <v>0.94623444450000005</v>
      </c>
      <c r="BU92">
        <v>2.550690565</v>
      </c>
      <c r="BV92">
        <v>-40.707880430000003</v>
      </c>
      <c r="BW92">
        <v>-0.42173222249999998</v>
      </c>
      <c r="BX92">
        <v>2.550690565</v>
      </c>
      <c r="BY92">
        <v>1.953125E-3</v>
      </c>
      <c r="BZ92">
        <v>0.35571613498957899</v>
      </c>
      <c r="CA92">
        <v>4.3357324929280603</v>
      </c>
      <c r="CB92">
        <v>1.953125E-3</v>
      </c>
      <c r="CC92">
        <v>1.79071924791645</v>
      </c>
      <c r="CD92">
        <v>4.3357324929280603</v>
      </c>
      <c r="CE92">
        <v>0.563843235</v>
      </c>
      <c r="CF92">
        <v>7.6370302407964396E-3</v>
      </c>
      <c r="CG92">
        <v>0.563843235</v>
      </c>
      <c r="CH92">
        <v>40.707880430000003</v>
      </c>
      <c r="CI92">
        <v>0.94623444450000005</v>
      </c>
      <c r="CJ92">
        <v>2.550690565</v>
      </c>
      <c r="CK92">
        <v>0.563843235</v>
      </c>
      <c r="CL92">
        <v>-40.707880430000003</v>
      </c>
      <c r="CM92">
        <v>-0.42173222249999998</v>
      </c>
      <c r="CN92">
        <v>2.550690565</v>
      </c>
      <c r="CO92">
        <v>7.6370302407964396E-3</v>
      </c>
      <c r="CP92">
        <v>1.953125E-3</v>
      </c>
      <c r="CQ92">
        <v>0.35571613498957899</v>
      </c>
      <c r="CR92">
        <v>4.3357324929280603</v>
      </c>
      <c r="CS92">
        <v>7.6370302407964396E-3</v>
      </c>
      <c r="CT92">
        <v>1.953125E-3</v>
      </c>
      <c r="CU92">
        <v>1.79071924791645</v>
      </c>
      <c r="CV92">
        <v>4.3357324929280603</v>
      </c>
      <c r="CW92">
        <v>0.563843235</v>
      </c>
    </row>
    <row r="93" spans="1:101" x14ac:dyDescent="0.25">
      <c r="A93" t="s">
        <v>16</v>
      </c>
      <c r="B93">
        <v>15</v>
      </c>
      <c r="C93" t="s">
        <v>17</v>
      </c>
      <c r="D93" t="s">
        <v>95</v>
      </c>
      <c r="E93" t="s">
        <v>111</v>
      </c>
      <c r="F93" t="s">
        <v>145</v>
      </c>
      <c r="G93" t="s">
        <v>263</v>
      </c>
      <c r="H93" t="s">
        <v>776</v>
      </c>
      <c r="I93" t="s">
        <v>706</v>
      </c>
      <c r="J93" t="s">
        <v>367</v>
      </c>
      <c r="K93">
        <v>5</v>
      </c>
      <c r="L93">
        <v>320</v>
      </c>
      <c r="M93">
        <v>210</v>
      </c>
      <c r="N93">
        <v>320</v>
      </c>
      <c r="O93">
        <v>110</v>
      </c>
      <c r="P93">
        <v>60</v>
      </c>
      <c r="Q93">
        <v>230</v>
      </c>
      <c r="R93">
        <v>100</v>
      </c>
      <c r="S93">
        <v>165</v>
      </c>
      <c r="T93">
        <v>0.515625</v>
      </c>
      <c r="V93" t="s">
        <v>113</v>
      </c>
      <c r="W93">
        <v>50</v>
      </c>
      <c r="X93">
        <v>13.9</v>
      </c>
      <c r="Y93">
        <v>15.4</v>
      </c>
      <c r="Z93">
        <v>15.9</v>
      </c>
      <c r="AA93">
        <v>15.06666667</v>
      </c>
      <c r="AB93">
        <v>15.06666667</v>
      </c>
      <c r="AC93">
        <v>15.9</v>
      </c>
      <c r="AD93">
        <v>26.2</v>
      </c>
      <c r="AE93">
        <v>19.3</v>
      </c>
      <c r="AF93">
        <v>20.466666669999999</v>
      </c>
      <c r="AG93">
        <v>22.3</v>
      </c>
      <c r="AH93">
        <v>22.3</v>
      </c>
      <c r="AI93">
        <v>23.4</v>
      </c>
      <c r="AJ93">
        <v>22.666666670000001</v>
      </c>
      <c r="AK93">
        <v>20.8</v>
      </c>
      <c r="AL93">
        <v>24.7</v>
      </c>
      <c r="AM93">
        <v>29.7</v>
      </c>
      <c r="AN93">
        <v>25.06666667</v>
      </c>
      <c r="AO93">
        <v>22.666666670000001</v>
      </c>
      <c r="AP93">
        <v>8.1</v>
      </c>
      <c r="AQ93">
        <v>8.5</v>
      </c>
      <c r="AR93">
        <v>12.5</v>
      </c>
      <c r="AS93">
        <v>9.6999999999999993</v>
      </c>
      <c r="AT93">
        <v>8.1</v>
      </c>
      <c r="AU93">
        <v>8.5</v>
      </c>
      <c r="AV93">
        <v>12</v>
      </c>
      <c r="AW93">
        <v>9.5333333329999999</v>
      </c>
      <c r="AX93">
        <v>9.6999999999999993</v>
      </c>
      <c r="AY93">
        <v>-5.3666666669999996</v>
      </c>
      <c r="AZ93">
        <v>10</v>
      </c>
      <c r="BA93">
        <v>15</v>
      </c>
      <c r="BB93">
        <v>2</v>
      </c>
      <c r="BC93">
        <v>25</v>
      </c>
      <c r="BD93">
        <v>1</v>
      </c>
      <c r="BE93">
        <v>1</v>
      </c>
      <c r="BF93">
        <v>2</v>
      </c>
      <c r="BG93">
        <v>1</v>
      </c>
      <c r="BI93">
        <v>6.6</v>
      </c>
      <c r="BJ93">
        <v>42.4</v>
      </c>
      <c r="BK93">
        <v>0</v>
      </c>
      <c r="BL93">
        <v>23</v>
      </c>
      <c r="BM93">
        <v>18</v>
      </c>
      <c r="BN93">
        <v>1827</v>
      </c>
      <c r="BO93">
        <v>731.75</v>
      </c>
      <c r="BP93">
        <v>1095.25</v>
      </c>
      <c r="BQ93">
        <v>98</v>
      </c>
      <c r="BR93">
        <v>1729</v>
      </c>
      <c r="BS93">
        <v>20.1971183</v>
      </c>
      <c r="BT93">
        <v>0.32375983250000001</v>
      </c>
      <c r="BU93">
        <v>1.53833219</v>
      </c>
      <c r="BV93">
        <v>20.1971183</v>
      </c>
      <c r="BW93">
        <v>-0.28212905649999998</v>
      </c>
      <c r="BX93">
        <v>1.53833219</v>
      </c>
      <c r="BY93">
        <v>161.39811772765</v>
      </c>
      <c r="BZ93">
        <v>0.15919360904315999</v>
      </c>
      <c r="CA93">
        <v>5.6183589401689799E-2</v>
      </c>
      <c r="CB93">
        <v>161.39811772765</v>
      </c>
      <c r="CC93">
        <v>0.20964085828085599</v>
      </c>
      <c r="CD93">
        <v>5.6183589401689799E-2</v>
      </c>
      <c r="CE93">
        <v>0.19757292500000001</v>
      </c>
      <c r="CF93">
        <v>8.0628630096124998E-4</v>
      </c>
      <c r="CG93">
        <v>0.20158861</v>
      </c>
      <c r="CH93">
        <v>21.993771398</v>
      </c>
      <c r="CI93">
        <v>0.26733402119999999</v>
      </c>
      <c r="CJ93">
        <v>1.5048109759999999</v>
      </c>
      <c r="CK93">
        <v>0.20158861</v>
      </c>
      <c r="CL93">
        <v>21.993771398</v>
      </c>
      <c r="CM93">
        <v>-0.21737709</v>
      </c>
      <c r="CN93">
        <v>1.5048109759999999</v>
      </c>
      <c r="CO93">
        <v>4.8377178057675002E-4</v>
      </c>
      <c r="CP93">
        <v>96.838870636589903</v>
      </c>
      <c r="CQ93">
        <v>9.5516165425896193E-2</v>
      </c>
      <c r="CR93">
        <v>3.3710153641013901E-2</v>
      </c>
      <c r="CS93">
        <v>4.8377178057675002E-4</v>
      </c>
      <c r="CT93">
        <v>96.838870636589903</v>
      </c>
      <c r="CU93">
        <v>0.12578451496851401</v>
      </c>
      <c r="CV93">
        <v>3.3710153641013901E-2</v>
      </c>
      <c r="CW93">
        <v>0.19757292500000001</v>
      </c>
    </row>
    <row r="94" spans="1:101" x14ac:dyDescent="0.25">
      <c r="A94" t="s">
        <v>16</v>
      </c>
      <c r="B94">
        <v>15</v>
      </c>
      <c r="C94" t="s">
        <v>17</v>
      </c>
      <c r="D94" t="s">
        <v>95</v>
      </c>
      <c r="E94" t="s">
        <v>104</v>
      </c>
      <c r="F94" t="s">
        <v>145</v>
      </c>
      <c r="G94" t="s">
        <v>264</v>
      </c>
      <c r="H94" t="s">
        <v>780</v>
      </c>
      <c r="I94" t="s">
        <v>707</v>
      </c>
      <c r="J94" t="s">
        <v>368</v>
      </c>
      <c r="K94">
        <v>2</v>
      </c>
      <c r="L94">
        <v>65</v>
      </c>
      <c r="M94">
        <v>110</v>
      </c>
      <c r="N94">
        <v>65</v>
      </c>
      <c r="O94">
        <v>-45</v>
      </c>
      <c r="P94">
        <v>15</v>
      </c>
      <c r="Q94">
        <v>20</v>
      </c>
      <c r="R94">
        <v>10</v>
      </c>
      <c r="S94">
        <v>15</v>
      </c>
      <c r="T94">
        <v>0.23076923076923078</v>
      </c>
      <c r="V94" t="s">
        <v>121</v>
      </c>
      <c r="W94" t="s">
        <v>114</v>
      </c>
      <c r="X94">
        <v>13.9</v>
      </c>
      <c r="Y94">
        <v>15.4</v>
      </c>
      <c r="Z94">
        <v>15.9</v>
      </c>
      <c r="AA94">
        <v>15.06666667</v>
      </c>
      <c r="AB94">
        <v>15.06666667</v>
      </c>
      <c r="AC94">
        <v>14.4</v>
      </c>
      <c r="AD94">
        <v>18.899999999999999</v>
      </c>
      <c r="AE94">
        <v>17.899999999999999</v>
      </c>
      <c r="AF94">
        <v>17.06666667</v>
      </c>
      <c r="AG94">
        <v>22.3</v>
      </c>
      <c r="AH94">
        <v>22.3</v>
      </c>
      <c r="AI94">
        <v>23.4</v>
      </c>
      <c r="AJ94">
        <v>22.666666670000001</v>
      </c>
      <c r="AK94">
        <v>27.7</v>
      </c>
      <c r="AL94">
        <v>21.8</v>
      </c>
      <c r="AM94">
        <v>32.1</v>
      </c>
      <c r="AN94">
        <v>27.2</v>
      </c>
      <c r="AO94">
        <v>22.666666670000001</v>
      </c>
      <c r="AP94">
        <v>8.1</v>
      </c>
      <c r="AQ94">
        <v>8.5</v>
      </c>
      <c r="AR94">
        <v>12.5</v>
      </c>
      <c r="AS94">
        <v>9.6999999999999993</v>
      </c>
      <c r="AT94">
        <v>7.1</v>
      </c>
      <c r="AU94">
        <v>8.1</v>
      </c>
      <c r="AV94">
        <v>15.4</v>
      </c>
      <c r="AW94">
        <v>10.199999999999999</v>
      </c>
      <c r="AX94">
        <v>9.6999999999999993</v>
      </c>
      <c r="AY94">
        <v>-5.3666666669999996</v>
      </c>
      <c r="AZ94">
        <v>10</v>
      </c>
      <c r="BA94">
        <v>15</v>
      </c>
      <c r="BB94">
        <v>2</v>
      </c>
      <c r="BC94">
        <v>25</v>
      </c>
      <c r="BD94">
        <v>1</v>
      </c>
      <c r="BE94">
        <v>1</v>
      </c>
      <c r="BF94">
        <v>2</v>
      </c>
      <c r="BG94">
        <v>1</v>
      </c>
      <c r="BI94">
        <v>6.6</v>
      </c>
      <c r="BJ94">
        <v>42.4</v>
      </c>
      <c r="BK94">
        <v>0</v>
      </c>
      <c r="BL94">
        <v>2</v>
      </c>
      <c r="BM94">
        <v>2</v>
      </c>
      <c r="BN94">
        <v>8</v>
      </c>
      <c r="BO94">
        <v>154.66666699999999</v>
      </c>
      <c r="BP94">
        <v>-146.66666699999999</v>
      </c>
      <c r="BQ94">
        <v>232</v>
      </c>
      <c r="BR94">
        <v>-224</v>
      </c>
      <c r="BS94">
        <v>33.556263325000003</v>
      </c>
      <c r="BT94">
        <v>2.3241642769999999</v>
      </c>
      <c r="BU94">
        <v>9.7449524800000003</v>
      </c>
      <c r="BV94">
        <v>33.556263325000003</v>
      </c>
      <c r="BW94">
        <v>2.3241642769999999</v>
      </c>
      <c r="BX94">
        <v>9.7449524800000003</v>
      </c>
      <c r="BY94">
        <v>425.74739906584699</v>
      </c>
      <c r="BZ94">
        <v>8.6656075518108298E-4</v>
      </c>
      <c r="CA94">
        <v>0.93944504802512796</v>
      </c>
      <c r="CB94">
        <v>425.74739906584699</v>
      </c>
      <c r="CC94">
        <v>8.6656075518108298E-4</v>
      </c>
      <c r="CD94">
        <v>0.93944504802512796</v>
      </c>
      <c r="CE94">
        <v>0.12523937499999999</v>
      </c>
      <c r="CF94">
        <v>2.3686055078411299E-2</v>
      </c>
      <c r="CG94">
        <v>0.12523937499999999</v>
      </c>
      <c r="CH94">
        <v>33.556263325000003</v>
      </c>
      <c r="CI94">
        <v>2.3241642769999999</v>
      </c>
      <c r="CJ94">
        <v>9.7449524800000003</v>
      </c>
      <c r="CK94">
        <v>0.12523937499999999</v>
      </c>
      <c r="CL94">
        <v>33.556263325000003</v>
      </c>
      <c r="CM94">
        <v>2.3241642769999999</v>
      </c>
      <c r="CN94">
        <v>9.7449524800000003</v>
      </c>
      <c r="CO94">
        <v>2.3686055078411299E-2</v>
      </c>
      <c r="CP94">
        <v>425.74739906584699</v>
      </c>
      <c r="CQ94">
        <v>8.6656075518108298E-4</v>
      </c>
      <c r="CR94">
        <v>0.93944504802512796</v>
      </c>
      <c r="CS94">
        <v>2.3686055078411299E-2</v>
      </c>
      <c r="CT94">
        <v>425.74739906584699</v>
      </c>
      <c r="CU94">
        <v>8.6656075518108298E-4</v>
      </c>
      <c r="CV94">
        <v>0.93944504802512796</v>
      </c>
      <c r="CW94">
        <v>0.12523937499999999</v>
      </c>
    </row>
    <row r="95" spans="1:101" x14ac:dyDescent="0.25">
      <c r="A95" t="s">
        <v>18</v>
      </c>
      <c r="B95">
        <v>15</v>
      </c>
      <c r="C95" t="s">
        <v>19</v>
      </c>
      <c r="D95" t="s">
        <v>95</v>
      </c>
      <c r="E95" t="s">
        <v>113</v>
      </c>
      <c r="F95" t="s">
        <v>145</v>
      </c>
      <c r="G95" t="s">
        <v>259</v>
      </c>
      <c r="H95" t="s">
        <v>764</v>
      </c>
      <c r="I95" t="s">
        <v>704</v>
      </c>
      <c r="J95" t="s">
        <v>369</v>
      </c>
      <c r="K95">
        <v>19</v>
      </c>
      <c r="L95">
        <v>75</v>
      </c>
      <c r="M95">
        <v>45</v>
      </c>
      <c r="N95">
        <v>75</v>
      </c>
      <c r="O95">
        <v>30</v>
      </c>
      <c r="P95">
        <v>5</v>
      </c>
      <c r="Q95">
        <v>20</v>
      </c>
      <c r="R95">
        <v>10</v>
      </c>
      <c r="S95">
        <v>15</v>
      </c>
      <c r="T95">
        <v>0.2</v>
      </c>
      <c r="V95" t="s">
        <v>121</v>
      </c>
      <c r="W95" t="s">
        <v>114</v>
      </c>
      <c r="X95">
        <v>16.899999999999999</v>
      </c>
      <c r="Y95">
        <v>15.9</v>
      </c>
      <c r="Z95">
        <v>15.4</v>
      </c>
      <c r="AA95">
        <v>16.06666667</v>
      </c>
      <c r="AB95">
        <v>16.06666667</v>
      </c>
      <c r="AC95">
        <v>13.9</v>
      </c>
      <c r="AD95">
        <v>12</v>
      </c>
      <c r="AE95">
        <v>13.5</v>
      </c>
      <c r="AF95">
        <v>13.133333329999999</v>
      </c>
      <c r="AG95">
        <v>16.399999999999999</v>
      </c>
      <c r="AH95">
        <v>20.8</v>
      </c>
      <c r="AI95">
        <v>17.899999999999999</v>
      </c>
      <c r="AJ95">
        <v>18.366666670000001</v>
      </c>
      <c r="AK95">
        <v>16.899999999999999</v>
      </c>
      <c r="AL95">
        <v>15.4</v>
      </c>
      <c r="AM95">
        <v>17.399999999999999</v>
      </c>
      <c r="AN95">
        <v>16.56666667</v>
      </c>
      <c r="AO95">
        <v>18.366666670000001</v>
      </c>
      <c r="AP95">
        <v>5.6</v>
      </c>
      <c r="AQ95">
        <v>5.6</v>
      </c>
      <c r="AR95" t="s">
        <v>114</v>
      </c>
      <c r="AS95">
        <v>5.6</v>
      </c>
      <c r="AT95">
        <v>4.0999999999999996</v>
      </c>
      <c r="AU95">
        <v>5.0999999999999996</v>
      </c>
      <c r="AV95">
        <v>6.1</v>
      </c>
      <c r="AW95">
        <v>5.0999999999999996</v>
      </c>
      <c r="AX95">
        <v>5.6</v>
      </c>
      <c r="AY95">
        <v>-10.46666667</v>
      </c>
      <c r="AZ95">
        <v>20</v>
      </c>
      <c r="BA95">
        <v>35</v>
      </c>
      <c r="BB95">
        <v>1</v>
      </c>
      <c r="BC95">
        <v>30</v>
      </c>
      <c r="BD95">
        <v>1</v>
      </c>
      <c r="BE95">
        <v>1</v>
      </c>
      <c r="BF95">
        <v>2</v>
      </c>
      <c r="BG95">
        <v>1</v>
      </c>
      <c r="BI95">
        <v>9.1</v>
      </c>
      <c r="BJ95">
        <v>45.177</v>
      </c>
      <c r="BK95">
        <v>0</v>
      </c>
      <c r="BL95">
        <v>3</v>
      </c>
      <c r="BM95">
        <v>3</v>
      </c>
      <c r="BN95">
        <v>3</v>
      </c>
      <c r="BO95">
        <v>22</v>
      </c>
      <c r="BP95">
        <v>-19</v>
      </c>
      <c r="BQ95">
        <v>6</v>
      </c>
      <c r="BR95">
        <v>-3</v>
      </c>
      <c r="BS95">
        <v>24.883838393333299</v>
      </c>
      <c r="BT95" t="s">
        <v>114</v>
      </c>
      <c r="BU95">
        <v>1.8502932166666699</v>
      </c>
      <c r="BV95">
        <v>-24.883838393333299</v>
      </c>
      <c r="BW95" t="s">
        <v>114</v>
      </c>
      <c r="BX95">
        <v>-1.8502932166666699</v>
      </c>
      <c r="BY95">
        <v>798.98912872386995</v>
      </c>
      <c r="BZ95" t="s">
        <v>114</v>
      </c>
      <c r="CA95">
        <v>5.3631181664687597</v>
      </c>
      <c r="CB95">
        <v>798.98912872386995</v>
      </c>
      <c r="CC95" t="s">
        <v>114</v>
      </c>
      <c r="CD95">
        <v>5.3631181664687597</v>
      </c>
      <c r="CE95" t="s">
        <v>114</v>
      </c>
      <c r="CF95" t="s">
        <v>114</v>
      </c>
      <c r="CG95" t="s">
        <v>114</v>
      </c>
      <c r="CH95">
        <v>44.910287081052601</v>
      </c>
      <c r="CI95" t="s">
        <v>114</v>
      </c>
      <c r="CJ95">
        <v>1.10524654473684</v>
      </c>
      <c r="CK95" t="s">
        <v>114</v>
      </c>
      <c r="CL95">
        <v>-44.910287081052601</v>
      </c>
      <c r="CM95" t="s">
        <v>114</v>
      </c>
      <c r="CN95">
        <v>-1.10524654473684</v>
      </c>
      <c r="CO95" t="s">
        <v>114</v>
      </c>
      <c r="CP95">
        <v>468.89005421919899</v>
      </c>
      <c r="CQ95" t="s">
        <v>114</v>
      </c>
      <c r="CR95">
        <v>0.82415017794934198</v>
      </c>
      <c r="CS95" t="s">
        <v>114</v>
      </c>
      <c r="CT95">
        <v>468.89005421919899</v>
      </c>
      <c r="CU95" t="s">
        <v>114</v>
      </c>
      <c r="CV95">
        <v>0.82415017794934198</v>
      </c>
      <c r="CW95" t="s">
        <v>114</v>
      </c>
    </row>
    <row r="96" spans="1:101" x14ac:dyDescent="0.25">
      <c r="A96" t="s">
        <v>18</v>
      </c>
      <c r="B96">
        <v>15</v>
      </c>
      <c r="C96" t="s">
        <v>19</v>
      </c>
      <c r="D96" t="s">
        <v>95</v>
      </c>
      <c r="E96" t="s">
        <v>111</v>
      </c>
      <c r="F96" t="s">
        <v>145</v>
      </c>
      <c r="G96" t="s">
        <v>263</v>
      </c>
      <c r="H96" t="s">
        <v>776</v>
      </c>
      <c r="I96" t="s">
        <v>706</v>
      </c>
      <c r="J96" t="s">
        <v>370</v>
      </c>
      <c r="K96">
        <v>4</v>
      </c>
      <c r="L96">
        <v>230</v>
      </c>
      <c r="M96">
        <v>230</v>
      </c>
      <c r="N96">
        <v>230</v>
      </c>
      <c r="O96">
        <v>0</v>
      </c>
      <c r="P96">
        <v>65</v>
      </c>
      <c r="Q96">
        <v>80</v>
      </c>
      <c r="R96">
        <v>40</v>
      </c>
      <c r="S96">
        <v>60</v>
      </c>
      <c r="T96">
        <v>0.2608695652173913</v>
      </c>
      <c r="V96" t="s">
        <v>121</v>
      </c>
      <c r="W96" t="s">
        <v>114</v>
      </c>
      <c r="X96">
        <v>16.899999999999999</v>
      </c>
      <c r="Y96">
        <v>15.9</v>
      </c>
      <c r="Z96">
        <v>15.4</v>
      </c>
      <c r="AA96">
        <v>16.06666667</v>
      </c>
      <c r="AB96">
        <v>16.06666667</v>
      </c>
      <c r="AC96">
        <v>13.9</v>
      </c>
      <c r="AD96">
        <v>12</v>
      </c>
      <c r="AE96">
        <v>12.5</v>
      </c>
      <c r="AF96">
        <v>12.8</v>
      </c>
      <c r="AG96">
        <v>16.399999999999999</v>
      </c>
      <c r="AH96">
        <v>20.8</v>
      </c>
      <c r="AI96">
        <v>17.899999999999999</v>
      </c>
      <c r="AJ96">
        <v>18.366666670000001</v>
      </c>
      <c r="AK96">
        <v>18.899999999999999</v>
      </c>
      <c r="AL96">
        <v>15.4</v>
      </c>
      <c r="AM96">
        <v>18.399999999999999</v>
      </c>
      <c r="AN96">
        <v>17.56666667</v>
      </c>
      <c r="AO96">
        <v>18.366666670000001</v>
      </c>
      <c r="AP96">
        <v>5.6</v>
      </c>
      <c r="AQ96">
        <v>5.6</v>
      </c>
      <c r="AR96" t="s">
        <v>114</v>
      </c>
      <c r="AS96">
        <v>5.6</v>
      </c>
      <c r="AT96">
        <v>4.0999999999999996</v>
      </c>
      <c r="AU96">
        <v>4.5999999999999996</v>
      </c>
      <c r="AV96">
        <v>5.6</v>
      </c>
      <c r="AW96">
        <v>4.766666667</v>
      </c>
      <c r="AX96">
        <v>5.6</v>
      </c>
      <c r="AY96">
        <v>-10.46666667</v>
      </c>
      <c r="AZ96">
        <v>20</v>
      </c>
      <c r="BA96">
        <v>35</v>
      </c>
      <c r="BB96">
        <v>1</v>
      </c>
      <c r="BC96">
        <v>30</v>
      </c>
      <c r="BD96">
        <v>1</v>
      </c>
      <c r="BE96">
        <v>1</v>
      </c>
      <c r="BF96">
        <v>2</v>
      </c>
      <c r="BG96">
        <v>1</v>
      </c>
      <c r="BI96">
        <v>9.1</v>
      </c>
      <c r="BJ96">
        <v>45.177</v>
      </c>
      <c r="BK96">
        <v>0</v>
      </c>
      <c r="BL96">
        <v>21</v>
      </c>
      <c r="BM96">
        <v>13</v>
      </c>
      <c r="BN96">
        <v>490</v>
      </c>
      <c r="BO96">
        <v>731.75</v>
      </c>
      <c r="BP96">
        <v>-241.75</v>
      </c>
      <c r="BQ96">
        <v>1659</v>
      </c>
      <c r="BR96">
        <v>-1169</v>
      </c>
      <c r="BS96">
        <v>27.808712119999999</v>
      </c>
      <c r="BT96" t="s">
        <v>114</v>
      </c>
      <c r="BU96">
        <v>1.154195235</v>
      </c>
      <c r="BV96">
        <v>-16.59485931</v>
      </c>
      <c r="BW96" t="s">
        <v>114</v>
      </c>
      <c r="BX96">
        <v>1.154195235</v>
      </c>
      <c r="BY96">
        <v>550.77871103738698</v>
      </c>
      <c r="BZ96" t="s">
        <v>114</v>
      </c>
      <c r="CA96">
        <v>0.60884073127230098</v>
      </c>
      <c r="CB96">
        <v>1546.6489395460701</v>
      </c>
      <c r="CC96" t="s">
        <v>114</v>
      </c>
      <c r="CD96">
        <v>0.60884073127230098</v>
      </c>
      <c r="CE96" t="s">
        <v>114</v>
      </c>
      <c r="CF96" t="s">
        <v>114</v>
      </c>
      <c r="CG96" t="s">
        <v>114</v>
      </c>
      <c r="CH96">
        <v>27.808712119999999</v>
      </c>
      <c r="CI96" t="s">
        <v>114</v>
      </c>
      <c r="CJ96">
        <v>1.154195235</v>
      </c>
      <c r="CK96" t="s">
        <v>114</v>
      </c>
      <c r="CL96">
        <v>-16.59485931</v>
      </c>
      <c r="CM96" t="s">
        <v>114</v>
      </c>
      <c r="CN96">
        <v>1.154195235</v>
      </c>
      <c r="CO96" t="s">
        <v>114</v>
      </c>
      <c r="CP96">
        <v>367.18580735825799</v>
      </c>
      <c r="CQ96" t="s">
        <v>114</v>
      </c>
      <c r="CR96">
        <v>0.40589382084820103</v>
      </c>
      <c r="CS96" t="s">
        <v>114</v>
      </c>
      <c r="CT96">
        <v>1031.09929303071</v>
      </c>
      <c r="CU96" t="s">
        <v>114</v>
      </c>
      <c r="CV96">
        <v>0.40589382084820103</v>
      </c>
      <c r="CW96" t="s">
        <v>114</v>
      </c>
    </row>
    <row r="97" spans="1:101" x14ac:dyDescent="0.25">
      <c r="A97" t="s">
        <v>18</v>
      </c>
      <c r="B97">
        <v>15</v>
      </c>
      <c r="C97" t="s">
        <v>19</v>
      </c>
      <c r="D97" t="s">
        <v>95</v>
      </c>
      <c r="E97" t="s">
        <v>104</v>
      </c>
      <c r="F97" t="s">
        <v>145</v>
      </c>
      <c r="G97" t="s">
        <v>264</v>
      </c>
      <c r="H97" t="s">
        <v>780</v>
      </c>
      <c r="I97" t="s">
        <v>707</v>
      </c>
      <c r="J97" t="s">
        <v>371</v>
      </c>
      <c r="K97">
        <v>4</v>
      </c>
      <c r="L97">
        <v>110</v>
      </c>
      <c r="M97">
        <v>90</v>
      </c>
      <c r="N97">
        <v>110</v>
      </c>
      <c r="O97">
        <v>20</v>
      </c>
      <c r="P97">
        <v>20</v>
      </c>
      <c r="Q97">
        <v>30</v>
      </c>
      <c r="R97">
        <v>10</v>
      </c>
      <c r="S97">
        <v>20</v>
      </c>
      <c r="T97">
        <v>0.18181818181818182</v>
      </c>
      <c r="V97" t="s">
        <v>121</v>
      </c>
      <c r="W97" t="s">
        <v>114</v>
      </c>
      <c r="X97">
        <v>16.899999999999999</v>
      </c>
      <c r="Y97">
        <v>15.9</v>
      </c>
      <c r="Z97">
        <v>15.4</v>
      </c>
      <c r="AA97">
        <v>16.06666667</v>
      </c>
      <c r="AB97">
        <v>16.06666667</v>
      </c>
      <c r="AC97">
        <v>12.5</v>
      </c>
      <c r="AD97">
        <v>11.5</v>
      </c>
      <c r="AE97">
        <v>12</v>
      </c>
      <c r="AF97">
        <v>12</v>
      </c>
      <c r="AG97">
        <v>16.399999999999999</v>
      </c>
      <c r="AH97">
        <v>20.8</v>
      </c>
      <c r="AI97">
        <v>17.899999999999999</v>
      </c>
      <c r="AJ97">
        <v>18.366666670000001</v>
      </c>
      <c r="AK97">
        <v>17.399999999999999</v>
      </c>
      <c r="AL97">
        <v>18.399999999999999</v>
      </c>
      <c r="AM97">
        <v>16.899999999999999</v>
      </c>
      <c r="AN97">
        <v>17.56666667</v>
      </c>
      <c r="AO97">
        <v>18.366666670000001</v>
      </c>
      <c r="AP97">
        <v>5.6</v>
      </c>
      <c r="AQ97">
        <v>5.6</v>
      </c>
      <c r="AR97" t="s">
        <v>114</v>
      </c>
      <c r="AS97">
        <v>5.6</v>
      </c>
      <c r="AT97">
        <v>5.0999999999999996</v>
      </c>
      <c r="AU97">
        <v>5.0999999999999996</v>
      </c>
      <c r="AV97">
        <v>5.6</v>
      </c>
      <c r="AW97">
        <v>5.266666667</v>
      </c>
      <c r="AX97">
        <v>5.6</v>
      </c>
      <c r="AY97">
        <v>-10.46666667</v>
      </c>
      <c r="AZ97">
        <v>20</v>
      </c>
      <c r="BA97">
        <v>35</v>
      </c>
      <c r="BB97">
        <v>1</v>
      </c>
      <c r="BC97">
        <v>30</v>
      </c>
      <c r="BD97">
        <v>1</v>
      </c>
      <c r="BE97">
        <v>1</v>
      </c>
      <c r="BF97">
        <v>2</v>
      </c>
      <c r="BG97">
        <v>1</v>
      </c>
      <c r="BI97">
        <v>9.1</v>
      </c>
      <c r="BJ97">
        <v>45.177</v>
      </c>
      <c r="BK97">
        <v>0</v>
      </c>
      <c r="BL97">
        <v>14</v>
      </c>
      <c r="BM97">
        <v>14</v>
      </c>
      <c r="BN97">
        <v>76</v>
      </c>
      <c r="BO97">
        <v>154.66666699999999</v>
      </c>
      <c r="BP97">
        <v>-78.66666699999999</v>
      </c>
      <c r="BQ97">
        <v>58</v>
      </c>
      <c r="BR97">
        <v>18</v>
      </c>
      <c r="BS97">
        <v>39.163189729999999</v>
      </c>
      <c r="BT97">
        <v>2.0212198324999999</v>
      </c>
      <c r="BU97">
        <v>10.59792161</v>
      </c>
      <c r="BV97">
        <v>39.163189729999999</v>
      </c>
      <c r="BW97">
        <v>2.0212198324999999</v>
      </c>
      <c r="BX97">
        <v>10.59792161</v>
      </c>
      <c r="BY97">
        <v>161.39811772765</v>
      </c>
      <c r="BZ97">
        <v>0.20964085828085599</v>
      </c>
      <c r="CA97">
        <v>5.6183589401689597E-2</v>
      </c>
      <c r="CB97">
        <v>161.39811772765</v>
      </c>
      <c r="CC97">
        <v>0.20964085828085599</v>
      </c>
      <c r="CD97">
        <v>5.6183589401689597E-2</v>
      </c>
      <c r="CE97">
        <v>0.21398662500000001</v>
      </c>
      <c r="CF97">
        <v>8.0628630096124998E-4</v>
      </c>
      <c r="CG97">
        <v>0.20394741250000001</v>
      </c>
      <c r="CH97">
        <v>34.671556985000002</v>
      </c>
      <c r="CI97">
        <v>1.8593399162499999</v>
      </c>
      <c r="CJ97">
        <v>10.681724644999999</v>
      </c>
      <c r="CK97">
        <v>0.20394741250000001</v>
      </c>
      <c r="CL97">
        <v>34.671556985000002</v>
      </c>
      <c r="CM97">
        <v>1.8593399162499999</v>
      </c>
      <c r="CN97">
        <v>10.681724644999999</v>
      </c>
      <c r="CO97">
        <v>4.0314315048062499E-4</v>
      </c>
      <c r="CP97">
        <v>80.699058863825002</v>
      </c>
      <c r="CQ97">
        <v>0.104820429140428</v>
      </c>
      <c r="CR97">
        <v>2.8091794700844799E-2</v>
      </c>
      <c r="CS97">
        <v>4.0314315048062499E-4</v>
      </c>
      <c r="CT97">
        <v>80.699058863825002</v>
      </c>
      <c r="CU97">
        <v>0.104820429140428</v>
      </c>
      <c r="CV97">
        <v>2.8091794700844799E-2</v>
      </c>
      <c r="CW97">
        <v>0.21398662500000001</v>
      </c>
    </row>
    <row r="98" spans="1:101" x14ac:dyDescent="0.25">
      <c r="A98" t="s">
        <v>18</v>
      </c>
      <c r="B98">
        <v>15</v>
      </c>
      <c r="C98" t="s">
        <v>19</v>
      </c>
      <c r="D98" t="s">
        <v>95</v>
      </c>
      <c r="E98" t="s">
        <v>112</v>
      </c>
      <c r="F98" t="s">
        <v>145</v>
      </c>
      <c r="G98" t="s">
        <v>261</v>
      </c>
      <c r="H98" t="s">
        <v>784</v>
      </c>
      <c r="I98" t="s">
        <v>708</v>
      </c>
      <c r="J98" t="s">
        <v>372</v>
      </c>
      <c r="K98">
        <v>1</v>
      </c>
      <c r="L98">
        <v>30</v>
      </c>
      <c r="M98">
        <v>70</v>
      </c>
      <c r="N98">
        <v>30</v>
      </c>
      <c r="O98">
        <v>-40</v>
      </c>
      <c r="P98">
        <v>20</v>
      </c>
      <c r="Q98">
        <v>20</v>
      </c>
      <c r="R98">
        <v>20</v>
      </c>
      <c r="S98">
        <v>20</v>
      </c>
      <c r="T98">
        <v>0.66666666666666663</v>
      </c>
      <c r="V98" t="s">
        <v>113</v>
      </c>
      <c r="W98" t="s">
        <v>114</v>
      </c>
      <c r="X98">
        <v>16.899999999999999</v>
      </c>
      <c r="Y98">
        <v>15.9</v>
      </c>
      <c r="Z98">
        <v>15.4</v>
      </c>
      <c r="AA98">
        <v>16.06666667</v>
      </c>
      <c r="AB98">
        <v>16.06666667</v>
      </c>
      <c r="AC98">
        <v>13</v>
      </c>
      <c r="AD98">
        <v>13.9</v>
      </c>
      <c r="AE98">
        <v>13.9</v>
      </c>
      <c r="AF98">
        <v>13.6</v>
      </c>
      <c r="AG98">
        <v>16.399999999999999</v>
      </c>
      <c r="AH98">
        <v>20.8</v>
      </c>
      <c r="AI98">
        <v>17.899999999999999</v>
      </c>
      <c r="AJ98">
        <v>18.366666670000001</v>
      </c>
      <c r="AK98">
        <v>16.899999999999999</v>
      </c>
      <c r="AL98">
        <v>19.3</v>
      </c>
      <c r="AM98">
        <v>17.899999999999999</v>
      </c>
      <c r="AN98">
        <v>18.033333330000001</v>
      </c>
      <c r="AO98">
        <v>18.366666670000001</v>
      </c>
      <c r="AP98">
        <v>5.6</v>
      </c>
      <c r="AQ98">
        <v>5.6</v>
      </c>
      <c r="AR98" t="s">
        <v>114</v>
      </c>
      <c r="AS98">
        <v>5.6</v>
      </c>
      <c r="AT98">
        <v>5.6</v>
      </c>
      <c r="AU98">
        <v>6.6</v>
      </c>
      <c r="AV98">
        <v>5.6</v>
      </c>
      <c r="AW98">
        <v>5.9333333330000002</v>
      </c>
      <c r="AX98">
        <v>5.6</v>
      </c>
      <c r="AY98">
        <v>-10.46666667</v>
      </c>
      <c r="AZ98">
        <v>20</v>
      </c>
      <c r="BA98">
        <v>35</v>
      </c>
      <c r="BB98">
        <v>1</v>
      </c>
      <c r="BC98">
        <v>30</v>
      </c>
      <c r="BD98">
        <v>1</v>
      </c>
      <c r="BE98">
        <v>1</v>
      </c>
      <c r="BF98">
        <v>2</v>
      </c>
      <c r="BG98">
        <v>1</v>
      </c>
      <c r="BI98">
        <v>9.1</v>
      </c>
      <c r="BJ98">
        <v>45.177</v>
      </c>
      <c r="BK98">
        <v>0</v>
      </c>
      <c r="BL98">
        <v>0</v>
      </c>
      <c r="BM98">
        <v>0</v>
      </c>
      <c r="BN98">
        <v>0</v>
      </c>
      <c r="BO98">
        <v>31.75</v>
      </c>
      <c r="BP98">
        <v>-31.75</v>
      </c>
      <c r="BQ98">
        <v>30</v>
      </c>
      <c r="BR98">
        <v>-30</v>
      </c>
      <c r="BS98">
        <v>18.663825760000002</v>
      </c>
      <c r="BT98">
        <v>1.5594277780000001</v>
      </c>
      <c r="BU98">
        <v>15.285372730000001</v>
      </c>
      <c r="BV98">
        <v>-18.663825760000002</v>
      </c>
      <c r="BW98">
        <v>1.5594277780000001</v>
      </c>
      <c r="BX98">
        <v>15.285372730000001</v>
      </c>
      <c r="BY98" t="s">
        <v>114</v>
      </c>
      <c r="BZ98" t="s">
        <v>114</v>
      </c>
      <c r="CA98" t="s">
        <v>114</v>
      </c>
      <c r="CB98" t="s">
        <v>114</v>
      </c>
      <c r="CC98" t="s">
        <v>114</v>
      </c>
      <c r="CD98" t="s">
        <v>114</v>
      </c>
      <c r="CE98">
        <v>1.9981640000000001</v>
      </c>
      <c r="CF98" t="s">
        <v>114</v>
      </c>
      <c r="CG98">
        <v>1.9981640000000001</v>
      </c>
      <c r="CH98">
        <v>18.663825760000002</v>
      </c>
      <c r="CI98">
        <v>1.5594277780000001</v>
      </c>
      <c r="CJ98">
        <v>15.285372730000001</v>
      </c>
      <c r="CK98">
        <v>1.9981640000000001</v>
      </c>
      <c r="CL98">
        <v>-18.663825760000002</v>
      </c>
      <c r="CM98">
        <v>1.5594277780000001</v>
      </c>
      <c r="CN98">
        <v>15.285372730000001</v>
      </c>
      <c r="CO98" t="s">
        <v>114</v>
      </c>
      <c r="CP98" t="s">
        <v>114</v>
      </c>
      <c r="CQ98" t="s">
        <v>114</v>
      </c>
      <c r="CR98" t="s">
        <v>114</v>
      </c>
      <c r="CS98" t="s">
        <v>114</v>
      </c>
      <c r="CT98" t="s">
        <v>114</v>
      </c>
      <c r="CU98" t="s">
        <v>114</v>
      </c>
      <c r="CV98" t="s">
        <v>114</v>
      </c>
      <c r="CW98">
        <v>1.9981640000000001</v>
      </c>
    </row>
    <row r="99" spans="1:101" x14ac:dyDescent="0.25">
      <c r="A99" t="s">
        <v>20</v>
      </c>
      <c r="B99">
        <v>15</v>
      </c>
      <c r="C99" t="s">
        <v>21</v>
      </c>
      <c r="D99" t="s">
        <v>94</v>
      </c>
      <c r="E99" t="s">
        <v>102</v>
      </c>
      <c r="F99" t="s">
        <v>145</v>
      </c>
      <c r="G99" t="s">
        <v>265</v>
      </c>
      <c r="H99" t="s">
        <v>755</v>
      </c>
      <c r="I99" t="s">
        <v>698</v>
      </c>
      <c r="J99" t="s">
        <v>373</v>
      </c>
      <c r="K99">
        <v>1</v>
      </c>
      <c r="L99">
        <v>100</v>
      </c>
      <c r="M99">
        <v>70</v>
      </c>
      <c r="N99">
        <v>100</v>
      </c>
      <c r="O99">
        <v>30</v>
      </c>
      <c r="P99">
        <v>130</v>
      </c>
      <c r="Q99">
        <v>130</v>
      </c>
      <c r="R99">
        <v>80</v>
      </c>
      <c r="S99">
        <v>105</v>
      </c>
      <c r="T99">
        <v>1.05</v>
      </c>
      <c r="U99" t="s">
        <v>792</v>
      </c>
      <c r="V99" t="s">
        <v>121</v>
      </c>
      <c r="W99" t="s">
        <v>114</v>
      </c>
      <c r="X99">
        <v>23.8</v>
      </c>
      <c r="Y99">
        <v>13.5</v>
      </c>
      <c r="Z99">
        <v>13.9</v>
      </c>
      <c r="AA99">
        <v>17.06666667</v>
      </c>
      <c r="AB99">
        <v>17.06666667</v>
      </c>
      <c r="AC99">
        <v>21.8</v>
      </c>
      <c r="AD99">
        <v>16.899999999999999</v>
      </c>
      <c r="AE99">
        <v>14.9</v>
      </c>
      <c r="AF99">
        <v>17.866666670000001</v>
      </c>
      <c r="AG99">
        <v>16.899999999999999</v>
      </c>
      <c r="AH99">
        <v>26.2</v>
      </c>
      <c r="AI99">
        <v>20.3</v>
      </c>
      <c r="AJ99">
        <v>21.133333329999999</v>
      </c>
      <c r="AK99">
        <v>24.7</v>
      </c>
      <c r="AL99">
        <v>19.3</v>
      </c>
      <c r="AM99">
        <v>15.9</v>
      </c>
      <c r="AN99">
        <v>19.966666669999999</v>
      </c>
      <c r="AO99">
        <v>21.133333329999999</v>
      </c>
      <c r="AP99">
        <v>8.5</v>
      </c>
      <c r="AQ99">
        <v>5.6</v>
      </c>
      <c r="AR99">
        <v>6.6</v>
      </c>
      <c r="AS99">
        <v>6.9</v>
      </c>
      <c r="AT99">
        <v>6.1</v>
      </c>
      <c r="AU99">
        <v>6.6</v>
      </c>
      <c r="AV99">
        <v>8.1</v>
      </c>
      <c r="AW99">
        <v>6.9333333330000002</v>
      </c>
      <c r="AX99">
        <v>6.9</v>
      </c>
      <c r="AY99">
        <v>-10.16666667</v>
      </c>
      <c r="AZ99">
        <v>20</v>
      </c>
      <c r="BA99">
        <v>20</v>
      </c>
      <c r="BB99">
        <v>10</v>
      </c>
      <c r="BC99">
        <v>20</v>
      </c>
      <c r="BD99">
        <v>1</v>
      </c>
      <c r="BE99">
        <v>1</v>
      </c>
      <c r="BF99">
        <v>0</v>
      </c>
      <c r="BG99">
        <v>0</v>
      </c>
      <c r="BI99">
        <v>10.7</v>
      </c>
      <c r="BJ99">
        <v>0</v>
      </c>
      <c r="BK99">
        <v>0</v>
      </c>
      <c r="BL99">
        <v>16</v>
      </c>
      <c r="BM99">
        <v>14</v>
      </c>
      <c r="BN99">
        <v>541</v>
      </c>
      <c r="BO99">
        <v>383.66669999999999</v>
      </c>
      <c r="BP99">
        <v>157.33330000000001</v>
      </c>
      <c r="BQ99">
        <v>623</v>
      </c>
      <c r="BR99">
        <v>-82</v>
      </c>
      <c r="BS99">
        <v>35.50925926</v>
      </c>
      <c r="BT99">
        <v>0.20661001500000001</v>
      </c>
      <c r="BU99">
        <v>1.5034360600000001</v>
      </c>
      <c r="BV99">
        <v>-35.50925926</v>
      </c>
      <c r="BW99">
        <v>0.20661001500000001</v>
      </c>
      <c r="BX99">
        <v>-1.5034360600000001</v>
      </c>
      <c r="BY99" t="s">
        <v>114</v>
      </c>
      <c r="BZ99" t="s">
        <v>114</v>
      </c>
      <c r="CA99" t="s">
        <v>114</v>
      </c>
      <c r="CB99" t="s">
        <v>114</v>
      </c>
      <c r="CC99" t="s">
        <v>114</v>
      </c>
      <c r="CD99" t="s">
        <v>114</v>
      </c>
      <c r="CE99" t="s">
        <v>114</v>
      </c>
      <c r="CF99" t="s">
        <v>114</v>
      </c>
      <c r="CG99" t="s">
        <v>114</v>
      </c>
      <c r="CH99">
        <v>35.50925926</v>
      </c>
      <c r="CI99">
        <v>0.20661001500000001</v>
      </c>
      <c r="CJ99">
        <v>1.5034360600000001</v>
      </c>
      <c r="CK99" t="s">
        <v>114</v>
      </c>
      <c r="CL99">
        <v>-35.50925926</v>
      </c>
      <c r="CM99">
        <v>0.20661001500000001</v>
      </c>
      <c r="CN99">
        <v>-1.5034360600000001</v>
      </c>
      <c r="CO99" t="s">
        <v>114</v>
      </c>
      <c r="CP99" t="s">
        <v>114</v>
      </c>
      <c r="CQ99" t="s">
        <v>114</v>
      </c>
      <c r="CR99" t="s">
        <v>114</v>
      </c>
      <c r="CS99" t="s">
        <v>114</v>
      </c>
      <c r="CT99" t="s">
        <v>114</v>
      </c>
      <c r="CU99" t="s">
        <v>114</v>
      </c>
      <c r="CV99" t="s">
        <v>114</v>
      </c>
      <c r="CW99" t="s">
        <v>114</v>
      </c>
    </row>
    <row r="100" spans="1:101" x14ac:dyDescent="0.25">
      <c r="A100" t="s">
        <v>20</v>
      </c>
      <c r="B100">
        <v>15</v>
      </c>
      <c r="C100" t="s">
        <v>21</v>
      </c>
      <c r="D100" t="s">
        <v>94</v>
      </c>
      <c r="E100" t="s">
        <v>113</v>
      </c>
      <c r="F100" t="s">
        <v>145</v>
      </c>
      <c r="G100" t="s">
        <v>259</v>
      </c>
      <c r="H100" t="s">
        <v>763</v>
      </c>
      <c r="I100" t="s">
        <v>709</v>
      </c>
      <c r="J100" t="s">
        <v>374</v>
      </c>
      <c r="K100">
        <v>1</v>
      </c>
      <c r="L100">
        <v>90</v>
      </c>
      <c r="M100">
        <v>10</v>
      </c>
      <c r="N100">
        <v>90</v>
      </c>
      <c r="O100">
        <v>80</v>
      </c>
      <c r="P100">
        <v>10</v>
      </c>
      <c r="Q100">
        <v>80</v>
      </c>
      <c r="R100">
        <v>20</v>
      </c>
      <c r="S100">
        <v>50</v>
      </c>
      <c r="T100">
        <v>0.55555555555555558</v>
      </c>
      <c r="U100" t="s">
        <v>23</v>
      </c>
      <c r="V100" t="s">
        <v>113</v>
      </c>
      <c r="W100">
        <v>60</v>
      </c>
      <c r="X100">
        <v>23.8</v>
      </c>
      <c r="Y100">
        <v>13.5</v>
      </c>
      <c r="Z100">
        <v>13.9</v>
      </c>
      <c r="AA100">
        <v>17.06666667</v>
      </c>
      <c r="AB100">
        <v>17.06666667</v>
      </c>
      <c r="AC100">
        <v>11.5</v>
      </c>
      <c r="AD100">
        <v>13.9</v>
      </c>
      <c r="AE100">
        <v>11</v>
      </c>
      <c r="AF100">
        <v>12.133333329999999</v>
      </c>
      <c r="AG100">
        <v>16.899999999999999</v>
      </c>
      <c r="AH100">
        <v>26.2</v>
      </c>
      <c r="AI100">
        <v>20.3</v>
      </c>
      <c r="AJ100">
        <v>21.133333329999999</v>
      </c>
      <c r="AK100">
        <v>14.4</v>
      </c>
      <c r="AL100">
        <v>19.3</v>
      </c>
      <c r="AM100">
        <v>18.399999999999999</v>
      </c>
      <c r="AN100">
        <v>17.366666670000001</v>
      </c>
      <c r="AO100">
        <v>21.133333329999999</v>
      </c>
      <c r="AP100">
        <v>8.5</v>
      </c>
      <c r="AQ100">
        <v>5.6</v>
      </c>
      <c r="AR100">
        <v>6.6</v>
      </c>
      <c r="AS100">
        <v>6.9</v>
      </c>
      <c r="AT100">
        <v>7.6</v>
      </c>
      <c r="AU100">
        <v>7.6</v>
      </c>
      <c r="AV100" t="s">
        <v>114</v>
      </c>
      <c r="AW100">
        <v>7.6</v>
      </c>
      <c r="AX100">
        <v>6.9</v>
      </c>
      <c r="AY100">
        <v>-10.16666667</v>
      </c>
      <c r="AZ100">
        <v>20</v>
      </c>
      <c r="BA100">
        <v>20</v>
      </c>
      <c r="BB100">
        <v>10</v>
      </c>
      <c r="BC100">
        <v>20</v>
      </c>
      <c r="BD100">
        <v>1</v>
      </c>
      <c r="BE100">
        <v>1</v>
      </c>
      <c r="BF100">
        <v>0</v>
      </c>
      <c r="BG100">
        <v>0</v>
      </c>
      <c r="BI100">
        <v>10.7</v>
      </c>
      <c r="BJ100">
        <v>0</v>
      </c>
      <c r="BK100">
        <v>0</v>
      </c>
      <c r="BL100">
        <v>4</v>
      </c>
      <c r="BM100">
        <v>4</v>
      </c>
      <c r="BN100">
        <v>60</v>
      </c>
      <c r="BO100">
        <v>8.5</v>
      </c>
      <c r="BP100">
        <v>51.5</v>
      </c>
      <c r="BQ100">
        <v>0</v>
      </c>
      <c r="BR100">
        <v>60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 t="s">
        <v>114</v>
      </c>
      <c r="BZ100" t="s">
        <v>114</v>
      </c>
      <c r="CA100" t="s">
        <v>114</v>
      </c>
      <c r="CB100" t="s">
        <v>114</v>
      </c>
      <c r="CC100" t="s">
        <v>114</v>
      </c>
      <c r="CD100" t="s">
        <v>114</v>
      </c>
      <c r="CE100">
        <v>0</v>
      </c>
      <c r="CF100" t="s">
        <v>114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 t="s">
        <v>114</v>
      </c>
      <c r="CP100" t="s">
        <v>114</v>
      </c>
      <c r="CQ100" t="s">
        <v>114</v>
      </c>
      <c r="CR100" t="s">
        <v>114</v>
      </c>
      <c r="CS100" t="s">
        <v>114</v>
      </c>
      <c r="CT100" t="s">
        <v>114</v>
      </c>
      <c r="CU100" t="s">
        <v>114</v>
      </c>
      <c r="CV100" t="s">
        <v>114</v>
      </c>
      <c r="CW100">
        <v>0</v>
      </c>
    </row>
    <row r="101" spans="1:101" x14ac:dyDescent="0.25">
      <c r="A101" t="s">
        <v>20</v>
      </c>
      <c r="B101">
        <v>15</v>
      </c>
      <c r="C101" t="s">
        <v>21</v>
      </c>
      <c r="D101" t="s">
        <v>94</v>
      </c>
      <c r="E101" t="s">
        <v>110</v>
      </c>
      <c r="F101" t="s">
        <v>145</v>
      </c>
      <c r="G101" t="s">
        <v>262</v>
      </c>
      <c r="H101" t="s">
        <v>767</v>
      </c>
      <c r="I101" t="s">
        <v>702</v>
      </c>
      <c r="J101" t="s">
        <v>375</v>
      </c>
      <c r="K101">
        <v>3</v>
      </c>
      <c r="L101">
        <v>30</v>
      </c>
      <c r="M101">
        <v>20</v>
      </c>
      <c r="N101">
        <v>30</v>
      </c>
      <c r="O101">
        <v>10</v>
      </c>
      <c r="P101">
        <v>5</v>
      </c>
      <c r="Q101">
        <v>55</v>
      </c>
      <c r="R101">
        <v>22</v>
      </c>
      <c r="S101">
        <v>38.5</v>
      </c>
      <c r="T101">
        <v>1.2833333333333334</v>
      </c>
      <c r="U101" t="s">
        <v>795</v>
      </c>
      <c r="V101" t="s">
        <v>121</v>
      </c>
      <c r="W101" t="s">
        <v>114</v>
      </c>
      <c r="X101">
        <v>23.8</v>
      </c>
      <c r="Y101">
        <v>13.5</v>
      </c>
      <c r="Z101">
        <v>13.9</v>
      </c>
      <c r="AA101">
        <v>17.06666667</v>
      </c>
      <c r="AB101">
        <v>17.06666667</v>
      </c>
      <c r="AC101">
        <v>14.9</v>
      </c>
      <c r="AD101">
        <v>13.9</v>
      </c>
      <c r="AE101">
        <v>14.9</v>
      </c>
      <c r="AF101">
        <v>14.56666667</v>
      </c>
      <c r="AG101">
        <v>16.899999999999999</v>
      </c>
      <c r="AH101">
        <v>26.2</v>
      </c>
      <c r="AI101">
        <v>20.3</v>
      </c>
      <c r="AJ101">
        <v>21.133333329999999</v>
      </c>
      <c r="AK101">
        <v>18.399999999999999</v>
      </c>
      <c r="AL101">
        <v>19.8</v>
      </c>
      <c r="AM101">
        <v>17.399999999999999</v>
      </c>
      <c r="AN101">
        <v>18.533333330000001</v>
      </c>
      <c r="AO101">
        <v>21.133333329999999</v>
      </c>
      <c r="AP101">
        <v>8.5</v>
      </c>
      <c r="AQ101">
        <v>5.6</v>
      </c>
      <c r="AR101">
        <v>6.6</v>
      </c>
      <c r="AS101">
        <v>6.9</v>
      </c>
      <c r="AT101">
        <v>5.6</v>
      </c>
      <c r="AU101">
        <v>8.1</v>
      </c>
      <c r="AV101" t="s">
        <v>114</v>
      </c>
      <c r="AW101">
        <v>6.85</v>
      </c>
      <c r="AX101">
        <v>6.9</v>
      </c>
      <c r="AY101">
        <v>-10.16666667</v>
      </c>
      <c r="AZ101">
        <v>20</v>
      </c>
      <c r="BA101">
        <v>20</v>
      </c>
      <c r="BB101">
        <v>10</v>
      </c>
      <c r="BC101">
        <v>20</v>
      </c>
      <c r="BD101">
        <v>1</v>
      </c>
      <c r="BE101">
        <v>1</v>
      </c>
      <c r="BF101">
        <v>0</v>
      </c>
      <c r="BG101">
        <v>0</v>
      </c>
      <c r="BI101">
        <v>10.7</v>
      </c>
      <c r="BJ101">
        <v>0</v>
      </c>
      <c r="BK101">
        <v>0</v>
      </c>
      <c r="BL101">
        <v>6</v>
      </c>
      <c r="BM101">
        <v>6</v>
      </c>
      <c r="BN101">
        <v>6</v>
      </c>
      <c r="BO101">
        <v>6</v>
      </c>
      <c r="BP101">
        <v>0</v>
      </c>
      <c r="BQ101">
        <v>7</v>
      </c>
      <c r="BR101">
        <v>-1</v>
      </c>
      <c r="BS101">
        <v>10.98828868</v>
      </c>
      <c r="BT101">
        <v>0.19407250000000001</v>
      </c>
      <c r="BU101">
        <v>8.5653335899999998</v>
      </c>
      <c r="BV101">
        <v>-10.98828868</v>
      </c>
      <c r="BW101">
        <v>0.13542083299999999</v>
      </c>
      <c r="BX101">
        <v>8.5653335899999998</v>
      </c>
      <c r="BY101">
        <v>0.48330668894919998</v>
      </c>
      <c r="BZ101">
        <v>3.66776040208278E-2</v>
      </c>
      <c r="CA101">
        <v>21.4973486188441</v>
      </c>
      <c r="CB101">
        <v>0.48330668894919998</v>
      </c>
      <c r="CC101">
        <v>7.5328270512500003E-2</v>
      </c>
      <c r="CD101">
        <v>21.4973486188441</v>
      </c>
      <c r="CE101">
        <v>0.47206825000000002</v>
      </c>
      <c r="CF101">
        <v>0.44569686531612501</v>
      </c>
      <c r="CG101">
        <v>0.54669793333333305</v>
      </c>
      <c r="CH101">
        <v>10.824427849999999</v>
      </c>
      <c r="CI101">
        <v>0.23921277766666699</v>
      </c>
      <c r="CJ101">
        <v>9.6581726200000002</v>
      </c>
      <c r="CK101">
        <v>0.38124513333333299</v>
      </c>
      <c r="CL101">
        <v>-10.824427849999999</v>
      </c>
      <c r="CM101">
        <v>0.20011166633333299</v>
      </c>
      <c r="CN101">
        <v>9.6581726200000002</v>
      </c>
      <c r="CO101">
        <v>6.6835075613203301E-2</v>
      </c>
      <c r="CP101">
        <v>0.32220445929946701</v>
      </c>
      <c r="CQ101">
        <v>2.44517360138852E-2</v>
      </c>
      <c r="CR101">
        <v>14.3315657458961</v>
      </c>
      <c r="CS101">
        <v>0.29713124354408299</v>
      </c>
      <c r="CT101">
        <v>0.32220445929946701</v>
      </c>
      <c r="CU101">
        <v>5.0218847008333303E-2</v>
      </c>
      <c r="CV101">
        <v>14.3315657458961</v>
      </c>
      <c r="CW101">
        <v>0.22388905000000001</v>
      </c>
    </row>
    <row r="102" spans="1:101" x14ac:dyDescent="0.25">
      <c r="A102" t="s">
        <v>20</v>
      </c>
      <c r="B102">
        <v>15</v>
      </c>
      <c r="C102" t="s">
        <v>21</v>
      </c>
      <c r="D102" t="s">
        <v>94</v>
      </c>
      <c r="E102" t="s">
        <v>111</v>
      </c>
      <c r="F102" t="s">
        <v>145</v>
      </c>
      <c r="G102" t="s">
        <v>263</v>
      </c>
      <c r="H102" t="s">
        <v>775</v>
      </c>
      <c r="I102" t="s">
        <v>703</v>
      </c>
      <c r="J102" t="s">
        <v>376</v>
      </c>
      <c r="K102">
        <v>1</v>
      </c>
      <c r="L102">
        <v>250</v>
      </c>
      <c r="M102">
        <v>180</v>
      </c>
      <c r="N102">
        <v>250</v>
      </c>
      <c r="O102">
        <v>70</v>
      </c>
      <c r="P102">
        <v>90</v>
      </c>
      <c r="Q102">
        <v>200</v>
      </c>
      <c r="R102">
        <v>150</v>
      </c>
      <c r="S102">
        <v>175</v>
      </c>
      <c r="T102">
        <v>0.7</v>
      </c>
      <c r="U102" t="s">
        <v>792</v>
      </c>
      <c r="V102" t="s">
        <v>121</v>
      </c>
      <c r="W102" t="s">
        <v>114</v>
      </c>
      <c r="X102">
        <v>23.8</v>
      </c>
      <c r="Y102">
        <v>13.5</v>
      </c>
      <c r="Z102">
        <v>13.9</v>
      </c>
      <c r="AA102">
        <v>17.06666667</v>
      </c>
      <c r="AB102">
        <v>17.06666667</v>
      </c>
      <c r="AC102">
        <v>13</v>
      </c>
      <c r="AD102">
        <v>13.9</v>
      </c>
      <c r="AE102">
        <v>12</v>
      </c>
      <c r="AF102">
        <v>12.96666667</v>
      </c>
      <c r="AG102">
        <v>16.899999999999999</v>
      </c>
      <c r="AH102">
        <v>26.2</v>
      </c>
      <c r="AI102">
        <v>20.3</v>
      </c>
      <c r="AJ102">
        <v>21.133333329999999</v>
      </c>
      <c r="AK102">
        <v>16.399999999999999</v>
      </c>
      <c r="AL102">
        <v>16.399999999999999</v>
      </c>
      <c r="AM102">
        <v>18.399999999999999</v>
      </c>
      <c r="AN102">
        <v>17.06666667</v>
      </c>
      <c r="AO102">
        <v>21.133333329999999</v>
      </c>
      <c r="AP102">
        <v>8.5</v>
      </c>
      <c r="AQ102">
        <v>5.6</v>
      </c>
      <c r="AR102">
        <v>6.6</v>
      </c>
      <c r="AS102">
        <v>6.9</v>
      </c>
      <c r="AT102">
        <v>4.5999999999999996</v>
      </c>
      <c r="AU102">
        <v>5.6</v>
      </c>
      <c r="AV102" t="s">
        <v>114</v>
      </c>
      <c r="AW102">
        <v>5.0999999999999996</v>
      </c>
      <c r="AX102">
        <v>6.9</v>
      </c>
      <c r="AY102">
        <v>-10.16666667</v>
      </c>
      <c r="AZ102">
        <v>20</v>
      </c>
      <c r="BA102">
        <v>20</v>
      </c>
      <c r="BB102">
        <v>10</v>
      </c>
      <c r="BC102">
        <v>20</v>
      </c>
      <c r="BD102">
        <v>1</v>
      </c>
      <c r="BE102">
        <v>1</v>
      </c>
      <c r="BF102">
        <v>0</v>
      </c>
      <c r="BG102">
        <v>0</v>
      </c>
      <c r="BI102">
        <v>10.7</v>
      </c>
      <c r="BJ102">
        <v>0</v>
      </c>
      <c r="BK102">
        <v>0</v>
      </c>
      <c r="BL102">
        <v>106</v>
      </c>
      <c r="BM102">
        <v>92</v>
      </c>
      <c r="BN102">
        <v>8449</v>
      </c>
      <c r="BO102">
        <v>2240.3332999999998</v>
      </c>
      <c r="BP102">
        <v>6208.6666999999998</v>
      </c>
      <c r="BQ102">
        <v>2965</v>
      </c>
      <c r="BR102">
        <v>5484</v>
      </c>
      <c r="BS102">
        <v>21.710559</v>
      </c>
      <c r="BT102">
        <v>0.93538222199999999</v>
      </c>
      <c r="BU102">
        <v>10.137912419999999</v>
      </c>
      <c r="BV102">
        <v>21.710559</v>
      </c>
      <c r="BW102">
        <v>-0.93538222199999999</v>
      </c>
      <c r="BX102">
        <v>-10.137912419999999</v>
      </c>
      <c r="BY102" t="s">
        <v>114</v>
      </c>
      <c r="BZ102" t="s">
        <v>114</v>
      </c>
      <c r="CA102" t="s">
        <v>114</v>
      </c>
      <c r="CB102" t="s">
        <v>114</v>
      </c>
      <c r="CC102" t="s">
        <v>114</v>
      </c>
      <c r="CD102" t="s">
        <v>114</v>
      </c>
      <c r="CE102">
        <v>0.5184628</v>
      </c>
      <c r="CF102" t="s">
        <v>114</v>
      </c>
      <c r="CG102">
        <v>0.5184628</v>
      </c>
      <c r="CH102">
        <v>21.710559</v>
      </c>
      <c r="CI102">
        <v>0.93538222199999999</v>
      </c>
      <c r="CJ102">
        <v>10.137912419999999</v>
      </c>
      <c r="CK102">
        <v>-0.5184628</v>
      </c>
      <c r="CL102">
        <v>21.710559</v>
      </c>
      <c r="CM102">
        <v>-0.93538222199999999</v>
      </c>
      <c r="CN102">
        <v>-10.137912419999999</v>
      </c>
      <c r="CO102" t="s">
        <v>114</v>
      </c>
      <c r="CP102" t="s">
        <v>114</v>
      </c>
      <c r="CQ102" t="s">
        <v>114</v>
      </c>
      <c r="CR102" t="s">
        <v>114</v>
      </c>
      <c r="CS102" t="s">
        <v>114</v>
      </c>
      <c r="CT102" t="s">
        <v>114</v>
      </c>
      <c r="CU102" t="s">
        <v>114</v>
      </c>
      <c r="CV102" t="s">
        <v>114</v>
      </c>
      <c r="CW102">
        <v>-0.5184628</v>
      </c>
    </row>
    <row r="103" spans="1:101" x14ac:dyDescent="0.25">
      <c r="A103" t="s">
        <v>22</v>
      </c>
      <c r="B103">
        <v>15</v>
      </c>
      <c r="C103" t="s">
        <v>23</v>
      </c>
      <c r="D103" t="s">
        <v>95</v>
      </c>
      <c r="E103" t="s">
        <v>102</v>
      </c>
      <c r="F103" t="s">
        <v>145</v>
      </c>
      <c r="G103" t="s">
        <v>265</v>
      </c>
      <c r="H103" t="s">
        <v>756</v>
      </c>
      <c r="I103" t="s">
        <v>710</v>
      </c>
      <c r="J103" t="s">
        <v>377</v>
      </c>
      <c r="K103">
        <v>1</v>
      </c>
      <c r="L103">
        <v>170</v>
      </c>
      <c r="M103">
        <v>130</v>
      </c>
      <c r="N103">
        <v>170</v>
      </c>
      <c r="O103">
        <v>40</v>
      </c>
      <c r="P103">
        <v>190</v>
      </c>
      <c r="Q103">
        <v>190</v>
      </c>
      <c r="R103">
        <v>140</v>
      </c>
      <c r="S103">
        <v>165</v>
      </c>
      <c r="T103">
        <v>0.97058823529411764</v>
      </c>
      <c r="V103" t="s">
        <v>121</v>
      </c>
      <c r="W103" t="s">
        <v>114</v>
      </c>
      <c r="X103">
        <v>11</v>
      </c>
      <c r="Y103">
        <v>11</v>
      </c>
      <c r="Z103">
        <v>13.5</v>
      </c>
      <c r="AA103">
        <v>11.83333333</v>
      </c>
      <c r="AB103">
        <v>11.83333333</v>
      </c>
      <c r="AC103">
        <v>13.9</v>
      </c>
      <c r="AD103">
        <v>14.4</v>
      </c>
      <c r="AE103">
        <v>14.9</v>
      </c>
      <c r="AF103">
        <v>14.4</v>
      </c>
      <c r="AG103">
        <v>16.899999999999999</v>
      </c>
      <c r="AH103">
        <v>14.9</v>
      </c>
      <c r="AI103">
        <v>15.9</v>
      </c>
      <c r="AJ103">
        <v>15.9</v>
      </c>
      <c r="AK103">
        <v>17.899999999999999</v>
      </c>
      <c r="AL103">
        <v>17.899999999999999</v>
      </c>
      <c r="AM103">
        <v>18.899999999999999</v>
      </c>
      <c r="AN103">
        <v>18.233333330000001</v>
      </c>
      <c r="AO103">
        <v>15.9</v>
      </c>
      <c r="AP103">
        <v>5.6</v>
      </c>
      <c r="AQ103">
        <v>5.6</v>
      </c>
      <c r="AR103">
        <v>8.1</v>
      </c>
      <c r="AS103">
        <v>6.4333333330000002</v>
      </c>
      <c r="AT103">
        <v>7.1</v>
      </c>
      <c r="AU103">
        <v>7.6</v>
      </c>
      <c r="AV103">
        <v>9.5</v>
      </c>
      <c r="AW103">
        <v>8.0666666669999998</v>
      </c>
      <c r="AX103">
        <v>6.4333333330000002</v>
      </c>
      <c r="AY103">
        <v>-5.4</v>
      </c>
      <c r="AZ103">
        <v>5</v>
      </c>
      <c r="BA103">
        <v>90</v>
      </c>
      <c r="BB103">
        <v>5</v>
      </c>
      <c r="BC103">
        <v>15</v>
      </c>
      <c r="BD103">
        <v>1</v>
      </c>
      <c r="BE103">
        <v>1</v>
      </c>
      <c r="BF103">
        <v>10</v>
      </c>
      <c r="BG103">
        <v>0</v>
      </c>
      <c r="BI103">
        <v>4.4000000000000004</v>
      </c>
      <c r="BJ103">
        <v>46.103999999999999</v>
      </c>
      <c r="BK103">
        <v>0</v>
      </c>
      <c r="BL103">
        <v>34</v>
      </c>
      <c r="BM103">
        <v>34</v>
      </c>
      <c r="BN103">
        <v>1482</v>
      </c>
      <c r="BO103">
        <v>880</v>
      </c>
      <c r="BP103">
        <v>602</v>
      </c>
      <c r="BQ103">
        <v>880</v>
      </c>
      <c r="BR103">
        <v>602</v>
      </c>
      <c r="BS103">
        <v>28.59259256</v>
      </c>
      <c r="BT103">
        <v>0.56747201599999997</v>
      </c>
      <c r="BU103">
        <v>2.7506882400000001</v>
      </c>
      <c r="BV103">
        <v>-28.59259256</v>
      </c>
      <c r="BW103">
        <v>-0.56747201599999997</v>
      </c>
      <c r="BX103">
        <v>2.7506882400000001</v>
      </c>
      <c r="BY103" t="s">
        <v>114</v>
      </c>
      <c r="BZ103" t="s">
        <v>114</v>
      </c>
      <c r="CA103" t="s">
        <v>114</v>
      </c>
      <c r="CB103" t="s">
        <v>114</v>
      </c>
      <c r="CC103" t="s">
        <v>114</v>
      </c>
      <c r="CD103" t="s">
        <v>114</v>
      </c>
      <c r="CE103">
        <v>1.0678641900000001</v>
      </c>
      <c r="CF103" t="s">
        <v>114</v>
      </c>
      <c r="CG103">
        <v>1.0678641900000001</v>
      </c>
      <c r="CH103">
        <v>28.59259256</v>
      </c>
      <c r="CI103">
        <v>0.56747201599999997</v>
      </c>
      <c r="CJ103">
        <v>2.7506882400000001</v>
      </c>
      <c r="CK103">
        <v>1.0678641900000001</v>
      </c>
      <c r="CL103">
        <v>-28.59259256</v>
      </c>
      <c r="CM103">
        <v>-0.56747201599999997</v>
      </c>
      <c r="CN103">
        <v>2.7506882400000001</v>
      </c>
      <c r="CO103" t="s">
        <v>114</v>
      </c>
      <c r="CP103" t="s">
        <v>114</v>
      </c>
      <c r="CQ103" t="s">
        <v>114</v>
      </c>
      <c r="CR103" t="s">
        <v>114</v>
      </c>
      <c r="CS103" t="s">
        <v>114</v>
      </c>
      <c r="CT103" t="s">
        <v>114</v>
      </c>
      <c r="CU103" t="s">
        <v>114</v>
      </c>
      <c r="CV103" t="s">
        <v>114</v>
      </c>
      <c r="CW103">
        <v>1.0678641900000001</v>
      </c>
    </row>
    <row r="104" spans="1:101" x14ac:dyDescent="0.25">
      <c r="A104" t="s">
        <v>22</v>
      </c>
      <c r="B104">
        <v>15</v>
      </c>
      <c r="C104" t="s">
        <v>23</v>
      </c>
      <c r="D104" t="s">
        <v>95</v>
      </c>
      <c r="E104" t="s">
        <v>105</v>
      </c>
      <c r="F104" t="s">
        <v>145</v>
      </c>
      <c r="G104" t="s">
        <v>266</v>
      </c>
      <c r="H104" t="s">
        <v>760</v>
      </c>
      <c r="I104" t="s">
        <v>711</v>
      </c>
      <c r="J104" t="s">
        <v>378</v>
      </c>
      <c r="K104">
        <v>6</v>
      </c>
      <c r="L104">
        <v>35</v>
      </c>
      <c r="M104">
        <v>30</v>
      </c>
      <c r="N104">
        <v>35</v>
      </c>
      <c r="O104">
        <v>5</v>
      </c>
      <c r="P104">
        <v>45</v>
      </c>
      <c r="Q104">
        <v>45</v>
      </c>
      <c r="R104">
        <v>20</v>
      </c>
      <c r="S104">
        <v>32.5</v>
      </c>
      <c r="T104">
        <v>0.9285714285714286</v>
      </c>
      <c r="U104" t="s">
        <v>793</v>
      </c>
      <c r="V104" t="s">
        <v>121</v>
      </c>
      <c r="W104" t="s">
        <v>114</v>
      </c>
      <c r="X104">
        <v>11</v>
      </c>
      <c r="Y104">
        <v>11</v>
      </c>
      <c r="Z104">
        <v>13.5</v>
      </c>
      <c r="AA104">
        <v>11.83333333</v>
      </c>
      <c r="AB104">
        <v>11.83333333</v>
      </c>
      <c r="AC104">
        <v>13</v>
      </c>
      <c r="AD104">
        <v>12</v>
      </c>
      <c r="AE104">
        <v>12</v>
      </c>
      <c r="AF104">
        <v>12.33333333</v>
      </c>
      <c r="AG104">
        <v>16.899999999999999</v>
      </c>
      <c r="AH104">
        <v>14.9</v>
      </c>
      <c r="AI104">
        <v>15.9</v>
      </c>
      <c r="AJ104">
        <v>15.9</v>
      </c>
      <c r="AK104">
        <v>13.9</v>
      </c>
      <c r="AL104">
        <v>15.9</v>
      </c>
      <c r="AM104">
        <v>17.899999999999999</v>
      </c>
      <c r="AN104">
        <v>15.9</v>
      </c>
      <c r="AO104">
        <v>15.9</v>
      </c>
      <c r="AP104">
        <v>5.6</v>
      </c>
      <c r="AQ104">
        <v>5.6</v>
      </c>
      <c r="AR104">
        <v>8.1</v>
      </c>
      <c r="AS104">
        <v>6.4333333330000002</v>
      </c>
      <c r="AT104">
        <v>6.1</v>
      </c>
      <c r="AU104">
        <v>6.1</v>
      </c>
      <c r="AV104">
        <v>6.6</v>
      </c>
      <c r="AW104">
        <v>6.266666667</v>
      </c>
      <c r="AX104">
        <v>6.4333333330000002</v>
      </c>
      <c r="AY104">
        <v>-5.4</v>
      </c>
      <c r="AZ104">
        <v>5</v>
      </c>
      <c r="BA104">
        <v>90</v>
      </c>
      <c r="BB104">
        <v>5</v>
      </c>
      <c r="BC104">
        <v>15</v>
      </c>
      <c r="BD104">
        <v>1</v>
      </c>
      <c r="BE104">
        <v>1</v>
      </c>
      <c r="BF104">
        <v>10</v>
      </c>
      <c r="BG104">
        <v>0</v>
      </c>
      <c r="BI104">
        <v>4.4000000000000004</v>
      </c>
      <c r="BJ104">
        <v>46.103999999999999</v>
      </c>
      <c r="BK104">
        <v>0</v>
      </c>
      <c r="BL104">
        <v>7</v>
      </c>
      <c r="BM104">
        <v>6</v>
      </c>
      <c r="BN104">
        <v>164</v>
      </c>
      <c r="BO104">
        <v>97.333332999999996</v>
      </c>
      <c r="BP104">
        <v>66.666667000000004</v>
      </c>
      <c r="BQ104">
        <v>108</v>
      </c>
      <c r="BR104">
        <v>56</v>
      </c>
      <c r="BS104">
        <v>23.12058081</v>
      </c>
      <c r="BT104">
        <v>0.35698940566666698</v>
      </c>
      <c r="BU104">
        <v>18.710630040000002</v>
      </c>
      <c r="BV104">
        <v>-23.12058081</v>
      </c>
      <c r="BW104">
        <v>0.14842725900000001</v>
      </c>
      <c r="BX104">
        <v>18.710630040000002</v>
      </c>
      <c r="BY104">
        <v>53.299695591653901</v>
      </c>
      <c r="BZ104">
        <v>1.65401905967286E-3</v>
      </c>
      <c r="CA104">
        <v>37.762262179586799</v>
      </c>
      <c r="CB104">
        <v>53.299695591653901</v>
      </c>
      <c r="CC104">
        <v>0.159770195875653</v>
      </c>
      <c r="CD104">
        <v>37.762262179586799</v>
      </c>
      <c r="CE104">
        <v>1.31084242333333</v>
      </c>
      <c r="CF104">
        <v>1.56442152235577</v>
      </c>
      <c r="CG104">
        <v>1.5964318616666699</v>
      </c>
      <c r="CH104">
        <v>19.689078285000001</v>
      </c>
      <c r="CI104">
        <v>0.33491631283333301</v>
      </c>
      <c r="CJ104">
        <v>22.018942989999999</v>
      </c>
      <c r="CK104">
        <v>1.4683878716666701</v>
      </c>
      <c r="CL104">
        <v>-19.689078285000001</v>
      </c>
      <c r="CM104">
        <v>-8.22079805E-2</v>
      </c>
      <c r="CN104">
        <v>22.018942989999999</v>
      </c>
      <c r="CO104">
        <v>0.36016164783996901</v>
      </c>
      <c r="CP104">
        <v>35.450129731559201</v>
      </c>
      <c r="CQ104">
        <v>1.24627333654389E-3</v>
      </c>
      <c r="CR104">
        <v>28.238826362000001</v>
      </c>
      <c r="CS104">
        <v>0.83107974458405198</v>
      </c>
      <c r="CT104">
        <v>35.450129731559201</v>
      </c>
      <c r="CU104">
        <v>0.12773921478932801</v>
      </c>
      <c r="CV104">
        <v>28.238826362000001</v>
      </c>
      <c r="CW104">
        <v>1.05475444333333</v>
      </c>
    </row>
    <row r="105" spans="1:101" x14ac:dyDescent="0.25">
      <c r="A105" t="s">
        <v>22</v>
      </c>
      <c r="B105">
        <v>15</v>
      </c>
      <c r="C105" t="s">
        <v>23</v>
      </c>
      <c r="D105" t="s">
        <v>95</v>
      </c>
      <c r="E105" t="s">
        <v>103</v>
      </c>
      <c r="F105" t="s">
        <v>145</v>
      </c>
      <c r="G105" t="s">
        <v>260</v>
      </c>
      <c r="H105" t="s">
        <v>772</v>
      </c>
      <c r="I105" t="s">
        <v>712</v>
      </c>
      <c r="J105" t="s">
        <v>379</v>
      </c>
      <c r="K105">
        <v>10</v>
      </c>
      <c r="L105">
        <v>70</v>
      </c>
      <c r="M105">
        <v>170</v>
      </c>
      <c r="N105">
        <v>70</v>
      </c>
      <c r="O105">
        <v>-100</v>
      </c>
      <c r="P105">
        <v>20</v>
      </c>
      <c r="Q105">
        <v>20</v>
      </c>
      <c r="R105">
        <v>3</v>
      </c>
      <c r="S105">
        <v>11.5</v>
      </c>
      <c r="T105">
        <v>0.16428571428571428</v>
      </c>
      <c r="V105" t="s">
        <v>103</v>
      </c>
      <c r="W105">
        <v>25</v>
      </c>
      <c r="X105">
        <v>11</v>
      </c>
      <c r="Y105">
        <v>11</v>
      </c>
      <c r="Z105">
        <v>13.5</v>
      </c>
      <c r="AA105">
        <v>11.83333333</v>
      </c>
      <c r="AB105">
        <v>11.83333333</v>
      </c>
      <c r="AC105">
        <v>10</v>
      </c>
      <c r="AD105">
        <v>11</v>
      </c>
      <c r="AE105">
        <v>8.5</v>
      </c>
      <c r="AF105">
        <v>9.8333333330000006</v>
      </c>
      <c r="AG105">
        <v>16.899999999999999</v>
      </c>
      <c r="AH105">
        <v>14.9</v>
      </c>
      <c r="AI105">
        <v>15.9</v>
      </c>
      <c r="AJ105">
        <v>15.9</v>
      </c>
      <c r="AK105" t="s">
        <v>114</v>
      </c>
      <c r="AL105" t="s">
        <v>114</v>
      </c>
      <c r="AM105" t="s">
        <v>114</v>
      </c>
      <c r="AN105" t="s">
        <v>114</v>
      </c>
      <c r="AO105">
        <v>15.9</v>
      </c>
      <c r="AP105">
        <v>5.6</v>
      </c>
      <c r="AQ105">
        <v>5.6</v>
      </c>
      <c r="AR105">
        <v>8.1</v>
      </c>
      <c r="AS105">
        <v>6.4333333330000002</v>
      </c>
      <c r="AT105">
        <v>4.5999999999999996</v>
      </c>
      <c r="AU105">
        <v>5.6</v>
      </c>
      <c r="AV105">
        <v>6.1</v>
      </c>
      <c r="AW105">
        <v>5.4333333330000002</v>
      </c>
      <c r="AX105">
        <v>6.4333333330000002</v>
      </c>
      <c r="AY105">
        <v>-5.4</v>
      </c>
      <c r="AZ105">
        <v>5</v>
      </c>
      <c r="BA105">
        <v>90</v>
      </c>
      <c r="BB105">
        <v>5</v>
      </c>
      <c r="BC105">
        <v>15</v>
      </c>
      <c r="BD105">
        <v>1</v>
      </c>
      <c r="BE105">
        <v>1</v>
      </c>
      <c r="BF105">
        <v>10</v>
      </c>
      <c r="BG105">
        <v>0</v>
      </c>
      <c r="BI105">
        <v>4.4000000000000004</v>
      </c>
      <c r="BJ105">
        <v>46.103999999999999</v>
      </c>
      <c r="BK105">
        <v>0</v>
      </c>
      <c r="BL105">
        <v>1</v>
      </c>
      <c r="BM105">
        <v>1</v>
      </c>
      <c r="BN105">
        <v>39</v>
      </c>
      <c r="BO105">
        <v>216</v>
      </c>
      <c r="BP105">
        <v>-177</v>
      </c>
      <c r="BQ105">
        <v>387</v>
      </c>
      <c r="BR105">
        <v>-348</v>
      </c>
      <c r="BS105">
        <v>7.184294875</v>
      </c>
      <c r="BT105">
        <v>2.2424311499999999E-2</v>
      </c>
      <c r="BU105">
        <v>7.0020024550000004</v>
      </c>
      <c r="BV105">
        <v>7.184294875</v>
      </c>
      <c r="BW105">
        <v>2.2424311499999999E-2</v>
      </c>
      <c r="BX105">
        <v>-7.0020024550000004</v>
      </c>
      <c r="BY105">
        <v>103.228185701903</v>
      </c>
      <c r="BZ105">
        <v>1.00569949249806E-3</v>
      </c>
      <c r="CA105">
        <v>98.0560767596521</v>
      </c>
      <c r="CB105">
        <v>103.228185701903</v>
      </c>
      <c r="CC105">
        <v>1.00569949249806E-3</v>
      </c>
      <c r="CD105">
        <v>98.0560767596521</v>
      </c>
      <c r="CE105">
        <v>0.12424071</v>
      </c>
      <c r="CF105">
        <v>3.0871508042608201E-2</v>
      </c>
      <c r="CG105">
        <v>9.9392568000000001E-2</v>
      </c>
      <c r="CH105">
        <v>5.7474359000000002</v>
      </c>
      <c r="CI105">
        <v>1.7939449199999999E-2</v>
      </c>
      <c r="CJ105">
        <v>5.6016019640000003</v>
      </c>
      <c r="CK105">
        <v>9.9392568000000001E-2</v>
      </c>
      <c r="CL105">
        <v>5.7474359000000002</v>
      </c>
      <c r="CM105">
        <v>1.7939449199999999E-2</v>
      </c>
      <c r="CN105">
        <v>-5.6016019640000003</v>
      </c>
      <c r="CO105">
        <v>1.6464804289391E-2</v>
      </c>
      <c r="CP105">
        <v>55.055032374348002</v>
      </c>
      <c r="CQ105">
        <v>5.36373062665634E-4</v>
      </c>
      <c r="CR105">
        <v>52.2965742718144</v>
      </c>
      <c r="CS105">
        <v>1.6464804289391E-2</v>
      </c>
      <c r="CT105">
        <v>55.055032374348002</v>
      </c>
      <c r="CU105">
        <v>5.36373062665634E-4</v>
      </c>
      <c r="CV105">
        <v>52.2965742718144</v>
      </c>
      <c r="CW105">
        <v>0.12424071</v>
      </c>
    </row>
    <row r="106" spans="1:101" x14ac:dyDescent="0.25">
      <c r="A106" t="s">
        <v>22</v>
      </c>
      <c r="B106">
        <v>15</v>
      </c>
      <c r="C106" t="s">
        <v>23</v>
      </c>
      <c r="D106" t="s">
        <v>95</v>
      </c>
      <c r="E106" t="s">
        <v>111</v>
      </c>
      <c r="F106" t="s">
        <v>145</v>
      </c>
      <c r="G106" t="s">
        <v>263</v>
      </c>
      <c r="H106" t="s">
        <v>776</v>
      </c>
      <c r="I106" t="s">
        <v>706</v>
      </c>
      <c r="J106" t="s">
        <v>380</v>
      </c>
      <c r="K106">
        <v>7</v>
      </c>
      <c r="L106">
        <v>220</v>
      </c>
      <c r="M106">
        <v>260</v>
      </c>
      <c r="N106">
        <v>220</v>
      </c>
      <c r="O106">
        <v>-40</v>
      </c>
      <c r="P106">
        <v>60</v>
      </c>
      <c r="Q106">
        <v>40</v>
      </c>
      <c r="R106">
        <v>35</v>
      </c>
      <c r="S106">
        <v>37.5</v>
      </c>
      <c r="T106">
        <v>0.17045454545454544</v>
      </c>
      <c r="V106" t="s">
        <v>121</v>
      </c>
      <c r="W106" t="s">
        <v>114</v>
      </c>
      <c r="X106">
        <v>11</v>
      </c>
      <c r="Y106">
        <v>11</v>
      </c>
      <c r="Z106">
        <v>13.5</v>
      </c>
      <c r="AA106">
        <v>11.83333333</v>
      </c>
      <c r="AB106">
        <v>11.83333333</v>
      </c>
      <c r="AC106">
        <v>14.4</v>
      </c>
      <c r="AD106">
        <v>14.4</v>
      </c>
      <c r="AE106">
        <v>13.9</v>
      </c>
      <c r="AF106">
        <v>14.233333330000001</v>
      </c>
      <c r="AG106">
        <v>16.899999999999999</v>
      </c>
      <c r="AH106">
        <v>14.9</v>
      </c>
      <c r="AI106">
        <v>15.9</v>
      </c>
      <c r="AJ106">
        <v>15.9</v>
      </c>
      <c r="AK106">
        <v>18.399999999999999</v>
      </c>
      <c r="AL106">
        <v>16.899999999999999</v>
      </c>
      <c r="AM106">
        <v>17.899999999999999</v>
      </c>
      <c r="AN106">
        <v>17.733333330000001</v>
      </c>
      <c r="AO106">
        <v>15.9</v>
      </c>
      <c r="AP106">
        <v>5.6</v>
      </c>
      <c r="AQ106">
        <v>5.6</v>
      </c>
      <c r="AR106">
        <v>8.1</v>
      </c>
      <c r="AS106">
        <v>6.4333333330000002</v>
      </c>
      <c r="AT106">
        <v>6.1</v>
      </c>
      <c r="AU106">
        <v>7.1</v>
      </c>
      <c r="AV106">
        <v>7.1</v>
      </c>
      <c r="AW106">
        <v>6.766666667</v>
      </c>
      <c r="AX106">
        <v>6.4333333330000002</v>
      </c>
      <c r="AY106">
        <v>-5.4</v>
      </c>
      <c r="AZ106">
        <v>5</v>
      </c>
      <c r="BA106">
        <v>90</v>
      </c>
      <c r="BB106">
        <v>5</v>
      </c>
      <c r="BC106">
        <v>15</v>
      </c>
      <c r="BD106">
        <v>1</v>
      </c>
      <c r="BE106">
        <v>1</v>
      </c>
      <c r="BF106">
        <v>10</v>
      </c>
      <c r="BG106">
        <v>0</v>
      </c>
      <c r="BI106">
        <v>4.4000000000000004</v>
      </c>
      <c r="BJ106">
        <v>46.103999999999999</v>
      </c>
      <c r="BK106">
        <v>1</v>
      </c>
      <c r="BL106" t="s">
        <v>114</v>
      </c>
      <c r="BM106" t="s">
        <v>114</v>
      </c>
      <c r="BN106" t="s">
        <v>114</v>
      </c>
      <c r="BO106">
        <v>731.75</v>
      </c>
      <c r="BP106" t="s">
        <v>114</v>
      </c>
      <c r="BQ106">
        <v>562</v>
      </c>
      <c r="BR106" t="s">
        <v>114</v>
      </c>
      <c r="BS106">
        <v>15.4697157166667</v>
      </c>
      <c r="BT106">
        <v>0.97255393533333301</v>
      </c>
      <c r="BU106">
        <v>12.0071815333333</v>
      </c>
      <c r="BV106">
        <v>11.81430443</v>
      </c>
      <c r="BW106">
        <v>-0.89455643533333296</v>
      </c>
      <c r="BX106">
        <v>-12.0071815333333</v>
      </c>
      <c r="BY106">
        <v>163.435004559448</v>
      </c>
      <c r="BZ106">
        <v>1.1341845651292599</v>
      </c>
      <c r="CA106">
        <v>78.980362736870603</v>
      </c>
      <c r="CB106">
        <v>313.03647734409702</v>
      </c>
      <c r="CC106">
        <v>1.35262947683337</v>
      </c>
      <c r="CD106">
        <v>78.980362736870603</v>
      </c>
      <c r="CE106">
        <v>0.68318961</v>
      </c>
      <c r="CF106">
        <v>1.2374847192729099</v>
      </c>
      <c r="CG106">
        <v>0.41298332999999998</v>
      </c>
      <c r="CH106">
        <v>12.9432219642857</v>
      </c>
      <c r="CI106">
        <v>0.483663829428571</v>
      </c>
      <c r="CJ106">
        <v>16.576344982857101</v>
      </c>
      <c r="CK106">
        <v>-0.112513872857143</v>
      </c>
      <c r="CL106">
        <v>11.3766171271429</v>
      </c>
      <c r="CM106">
        <v>-0.31652632942857101</v>
      </c>
      <c r="CN106">
        <v>-16.576344982857101</v>
      </c>
      <c r="CO106">
        <v>0.39041438757507602</v>
      </c>
      <c r="CP106">
        <v>60.063609198866899</v>
      </c>
      <c r="CQ106">
        <v>0.58719836540487702</v>
      </c>
      <c r="CR106">
        <v>44.594385378863102</v>
      </c>
      <c r="CS106">
        <v>0.57462622339308</v>
      </c>
      <c r="CT106">
        <v>104.51311635123</v>
      </c>
      <c r="CU106">
        <v>0.74323044519352699</v>
      </c>
      <c r="CV106">
        <v>44.594385378863102</v>
      </c>
      <c r="CW106">
        <v>-0.54297052999999995</v>
      </c>
    </row>
    <row r="107" spans="1:101" x14ac:dyDescent="0.25">
      <c r="A107" t="s">
        <v>22</v>
      </c>
      <c r="B107">
        <v>15</v>
      </c>
      <c r="C107" t="s">
        <v>23</v>
      </c>
      <c r="D107" t="s">
        <v>95</v>
      </c>
      <c r="E107" t="s">
        <v>112</v>
      </c>
      <c r="F107" t="s">
        <v>145</v>
      </c>
      <c r="G107" t="s">
        <v>261</v>
      </c>
      <c r="H107" t="s">
        <v>784</v>
      </c>
      <c r="I107" t="s">
        <v>708</v>
      </c>
      <c r="J107" t="s">
        <v>381</v>
      </c>
      <c r="K107">
        <v>9</v>
      </c>
      <c r="L107">
        <v>50</v>
      </c>
      <c r="M107">
        <v>60</v>
      </c>
      <c r="N107">
        <v>50</v>
      </c>
      <c r="O107">
        <v>-10</v>
      </c>
      <c r="P107">
        <v>25</v>
      </c>
      <c r="Q107">
        <v>25</v>
      </c>
      <c r="R107">
        <v>20</v>
      </c>
      <c r="S107">
        <v>22.5</v>
      </c>
      <c r="T107">
        <v>0.45</v>
      </c>
      <c r="V107" t="s">
        <v>103</v>
      </c>
      <c r="W107">
        <v>50</v>
      </c>
      <c r="X107">
        <v>11</v>
      </c>
      <c r="Y107">
        <v>11</v>
      </c>
      <c r="Z107">
        <v>13.5</v>
      </c>
      <c r="AA107">
        <v>11.83333333</v>
      </c>
      <c r="AB107">
        <v>11.83333333</v>
      </c>
      <c r="AC107">
        <v>13.5</v>
      </c>
      <c r="AD107">
        <v>11.5</v>
      </c>
      <c r="AE107">
        <v>12</v>
      </c>
      <c r="AF107">
        <v>12.33333333</v>
      </c>
      <c r="AG107">
        <v>16.899999999999999</v>
      </c>
      <c r="AH107">
        <v>14.9</v>
      </c>
      <c r="AI107">
        <v>15.9</v>
      </c>
      <c r="AJ107">
        <v>15.9</v>
      </c>
      <c r="AK107">
        <v>14.9</v>
      </c>
      <c r="AL107">
        <v>15.9</v>
      </c>
      <c r="AM107">
        <v>16.899999999999999</v>
      </c>
      <c r="AN107">
        <v>15.9</v>
      </c>
      <c r="AO107">
        <v>15.9</v>
      </c>
      <c r="AP107">
        <v>5.6</v>
      </c>
      <c r="AQ107">
        <v>5.6</v>
      </c>
      <c r="AR107">
        <v>8.1</v>
      </c>
      <c r="AS107">
        <v>6.4333333330000002</v>
      </c>
      <c r="AT107">
        <v>6.1</v>
      </c>
      <c r="AU107">
        <v>7.6</v>
      </c>
      <c r="AV107">
        <v>7.6</v>
      </c>
      <c r="AW107">
        <v>7.1</v>
      </c>
      <c r="AX107">
        <v>6.4333333330000002</v>
      </c>
      <c r="AY107">
        <v>-5.4</v>
      </c>
      <c r="AZ107">
        <v>5</v>
      </c>
      <c r="BA107">
        <v>90</v>
      </c>
      <c r="BB107">
        <v>5</v>
      </c>
      <c r="BC107">
        <v>15</v>
      </c>
      <c r="BD107">
        <v>1</v>
      </c>
      <c r="BE107">
        <v>1</v>
      </c>
      <c r="BF107">
        <v>10</v>
      </c>
      <c r="BG107">
        <v>0</v>
      </c>
      <c r="BI107">
        <v>4.4000000000000004</v>
      </c>
      <c r="BJ107">
        <v>46.103999999999999</v>
      </c>
      <c r="BK107">
        <v>0</v>
      </c>
      <c r="BL107">
        <v>35</v>
      </c>
      <c r="BM107">
        <v>30</v>
      </c>
      <c r="BN107">
        <v>77</v>
      </c>
      <c r="BO107">
        <v>31.75</v>
      </c>
      <c r="BP107">
        <v>45.25</v>
      </c>
      <c r="BQ107">
        <v>46</v>
      </c>
      <c r="BR107">
        <v>31</v>
      </c>
      <c r="BS107">
        <v>17.8470910325</v>
      </c>
      <c r="BT107">
        <v>2.0715381079999999</v>
      </c>
      <c r="BU107">
        <v>11.0598845575</v>
      </c>
      <c r="BV107">
        <v>-17.8470910325</v>
      </c>
      <c r="BW107">
        <v>2.0715381079999999</v>
      </c>
      <c r="BX107">
        <v>7.8479930075000004</v>
      </c>
      <c r="BY107">
        <v>177.131734069663</v>
      </c>
      <c r="BZ107">
        <v>0.117516732469115</v>
      </c>
      <c r="CA107">
        <v>22.196829155184702</v>
      </c>
      <c r="CB107">
        <v>177.131734069663</v>
      </c>
      <c r="CC107">
        <v>0.117516732469115</v>
      </c>
      <c r="CD107">
        <v>103.170232061129</v>
      </c>
      <c r="CE107">
        <v>1.9624999175</v>
      </c>
      <c r="CF107">
        <v>1.47022343043732E-2</v>
      </c>
      <c r="CG107">
        <v>1.9416881455555599</v>
      </c>
      <c r="CH107">
        <v>21.567408563333299</v>
      </c>
      <c r="CI107">
        <v>2.0983482924444399</v>
      </c>
      <c r="CJ107">
        <v>9.7258800866666704</v>
      </c>
      <c r="CK107">
        <v>1.9416881455555599</v>
      </c>
      <c r="CL107">
        <v>-21.567408563333299</v>
      </c>
      <c r="CM107">
        <v>2.0983482924444399</v>
      </c>
      <c r="CN107">
        <v>5.4433580199999998</v>
      </c>
      <c r="CO107">
        <v>1.44565482106556E-2</v>
      </c>
      <c r="CP107">
        <v>110.090083154412</v>
      </c>
      <c r="CQ107">
        <v>9.4031644026191602E-2</v>
      </c>
      <c r="CR107">
        <v>16.954013191100898</v>
      </c>
      <c r="CS107">
        <v>1.44565482106556E-2</v>
      </c>
      <c r="CT107">
        <v>110.090083154412</v>
      </c>
      <c r="CU107">
        <v>9.4031644026191602E-2</v>
      </c>
      <c r="CV107">
        <v>90.036934733211893</v>
      </c>
      <c r="CW107">
        <v>1.9624999175</v>
      </c>
    </row>
    <row r="108" spans="1:101" x14ac:dyDescent="0.25">
      <c r="A108" t="s">
        <v>24</v>
      </c>
      <c r="B108">
        <v>15</v>
      </c>
      <c r="C108" t="s">
        <v>25</v>
      </c>
      <c r="D108" t="s">
        <v>95</v>
      </c>
      <c r="E108" t="s">
        <v>105</v>
      </c>
      <c r="F108" t="s">
        <v>145</v>
      </c>
      <c r="G108" t="s">
        <v>266</v>
      </c>
      <c r="H108" t="s">
        <v>760</v>
      </c>
      <c r="I108" t="s">
        <v>711</v>
      </c>
      <c r="J108" t="s">
        <v>382</v>
      </c>
      <c r="K108">
        <v>2</v>
      </c>
      <c r="L108">
        <v>20</v>
      </c>
      <c r="M108">
        <v>20</v>
      </c>
      <c r="N108">
        <v>20</v>
      </c>
      <c r="O108">
        <v>0</v>
      </c>
      <c r="P108">
        <v>50</v>
      </c>
      <c r="Q108">
        <v>50</v>
      </c>
      <c r="R108">
        <v>20</v>
      </c>
      <c r="S108">
        <v>35</v>
      </c>
      <c r="T108">
        <v>1.75</v>
      </c>
      <c r="V108" t="s">
        <v>121</v>
      </c>
      <c r="W108" t="s">
        <v>114</v>
      </c>
      <c r="X108">
        <v>11.5</v>
      </c>
      <c r="Y108">
        <v>13.5</v>
      </c>
      <c r="Z108">
        <v>11</v>
      </c>
      <c r="AA108">
        <v>12</v>
      </c>
      <c r="AB108">
        <v>12</v>
      </c>
      <c r="AC108">
        <v>11.5</v>
      </c>
      <c r="AD108">
        <v>11.5</v>
      </c>
      <c r="AE108">
        <v>9.5</v>
      </c>
      <c r="AF108">
        <v>10.83333333</v>
      </c>
      <c r="AG108">
        <v>15.4</v>
      </c>
      <c r="AH108">
        <v>15.4</v>
      </c>
      <c r="AI108">
        <v>16.899999999999999</v>
      </c>
      <c r="AJ108">
        <v>15.9</v>
      </c>
      <c r="AK108">
        <v>13.9</v>
      </c>
      <c r="AL108">
        <v>14.9</v>
      </c>
      <c r="AM108">
        <v>14.9</v>
      </c>
      <c r="AN108">
        <v>14.56666667</v>
      </c>
      <c r="AO108">
        <v>15.9</v>
      </c>
      <c r="AP108" t="s">
        <v>114</v>
      </c>
      <c r="AQ108" t="s">
        <v>114</v>
      </c>
      <c r="AR108" t="s">
        <v>114</v>
      </c>
      <c r="AS108" t="s">
        <v>114</v>
      </c>
      <c r="AT108" t="s">
        <v>114</v>
      </c>
      <c r="AU108" t="s">
        <v>114</v>
      </c>
      <c r="AV108" t="s">
        <v>114</v>
      </c>
      <c r="AW108" t="s">
        <v>114</v>
      </c>
      <c r="AX108" t="s">
        <v>114</v>
      </c>
      <c r="AY108" t="s">
        <v>114</v>
      </c>
      <c r="AZ108">
        <v>10</v>
      </c>
      <c r="BA108">
        <v>30</v>
      </c>
      <c r="BB108">
        <v>5</v>
      </c>
      <c r="BC108">
        <v>70</v>
      </c>
      <c r="BD108">
        <v>1</v>
      </c>
      <c r="BE108">
        <v>1</v>
      </c>
      <c r="BF108">
        <v>2</v>
      </c>
      <c r="BG108">
        <v>3</v>
      </c>
      <c r="BI108">
        <v>8.4</v>
      </c>
      <c r="BJ108">
        <v>91.049000000000007</v>
      </c>
      <c r="BK108">
        <v>0</v>
      </c>
      <c r="BL108">
        <v>2</v>
      </c>
      <c r="BM108">
        <v>2</v>
      </c>
      <c r="BN108">
        <v>100</v>
      </c>
      <c r="BO108">
        <v>97.333332999999996</v>
      </c>
      <c r="BP108">
        <v>2.6666670000000039</v>
      </c>
      <c r="BQ108">
        <v>96</v>
      </c>
      <c r="BR108">
        <v>4</v>
      </c>
      <c r="BS108">
        <v>36.954464285</v>
      </c>
      <c r="BT108">
        <v>1.1516744445</v>
      </c>
      <c r="BU108">
        <v>19.09152297</v>
      </c>
      <c r="BV108">
        <v>-36.954464285</v>
      </c>
      <c r="BW108">
        <v>-0.85862877550000005</v>
      </c>
      <c r="BX108">
        <v>19.09152297</v>
      </c>
      <c r="BY108">
        <v>179.85593274393099</v>
      </c>
      <c r="BZ108">
        <v>1.47448674823326</v>
      </c>
      <c r="CA108">
        <v>41.038080229488003</v>
      </c>
      <c r="CB108">
        <v>179.85593274393099</v>
      </c>
      <c r="CC108">
        <v>2.6527080522287698</v>
      </c>
      <c r="CD108">
        <v>41.038080229488003</v>
      </c>
      <c r="CE108">
        <v>1.6963199499999999</v>
      </c>
      <c r="CF108">
        <v>1.3470477384499999E-4</v>
      </c>
      <c r="CG108">
        <v>1.6963199499999999</v>
      </c>
      <c r="CH108">
        <v>36.954464285</v>
      </c>
      <c r="CI108">
        <v>1.1516744445</v>
      </c>
      <c r="CJ108">
        <v>19.09152297</v>
      </c>
      <c r="CK108">
        <v>1.6963199499999999</v>
      </c>
      <c r="CL108">
        <v>-36.954464285</v>
      </c>
      <c r="CM108">
        <v>-0.85862877550000005</v>
      </c>
      <c r="CN108">
        <v>19.09152297</v>
      </c>
      <c r="CO108">
        <v>1.3470477384499999E-4</v>
      </c>
      <c r="CP108">
        <v>179.85593274393099</v>
      </c>
      <c r="CQ108">
        <v>1.47448674823326</v>
      </c>
      <c r="CR108">
        <v>41.038080229488003</v>
      </c>
      <c r="CS108">
        <v>1.3470477384499999E-4</v>
      </c>
      <c r="CT108">
        <v>179.85593274393099</v>
      </c>
      <c r="CU108">
        <v>2.6527080522287698</v>
      </c>
      <c r="CV108">
        <v>41.038080229488003</v>
      </c>
      <c r="CW108">
        <v>1.6963199499999999</v>
      </c>
    </row>
    <row r="109" spans="1:101" x14ac:dyDescent="0.25">
      <c r="A109" t="s">
        <v>24</v>
      </c>
      <c r="B109">
        <v>15</v>
      </c>
      <c r="C109" t="s">
        <v>25</v>
      </c>
      <c r="D109" t="s">
        <v>95</v>
      </c>
      <c r="E109" t="s">
        <v>112</v>
      </c>
      <c r="F109" t="s">
        <v>145</v>
      </c>
      <c r="G109" t="s">
        <v>261</v>
      </c>
      <c r="H109" t="s">
        <v>784</v>
      </c>
      <c r="I109" t="s">
        <v>708</v>
      </c>
      <c r="J109" t="s">
        <v>383</v>
      </c>
      <c r="K109">
        <v>1</v>
      </c>
      <c r="L109">
        <v>80</v>
      </c>
      <c r="M109">
        <v>40</v>
      </c>
      <c r="N109">
        <v>80</v>
      </c>
      <c r="O109">
        <v>40</v>
      </c>
      <c r="P109">
        <v>70</v>
      </c>
      <c r="Q109">
        <v>120</v>
      </c>
      <c r="R109">
        <v>110</v>
      </c>
      <c r="S109">
        <v>115</v>
      </c>
      <c r="T109">
        <v>1.4375</v>
      </c>
      <c r="V109" t="s">
        <v>112</v>
      </c>
      <c r="W109">
        <v>70</v>
      </c>
      <c r="X109">
        <v>11.5</v>
      </c>
      <c r="Y109">
        <v>13.5</v>
      </c>
      <c r="Z109">
        <v>11</v>
      </c>
      <c r="AA109">
        <v>12</v>
      </c>
      <c r="AB109">
        <v>12</v>
      </c>
      <c r="AC109">
        <v>12</v>
      </c>
      <c r="AD109">
        <v>12</v>
      </c>
      <c r="AE109">
        <v>12.5</v>
      </c>
      <c r="AF109">
        <v>12.16666667</v>
      </c>
      <c r="AG109">
        <v>15.4</v>
      </c>
      <c r="AH109">
        <v>15.4</v>
      </c>
      <c r="AI109">
        <v>16.899999999999999</v>
      </c>
      <c r="AJ109">
        <v>15.9</v>
      </c>
      <c r="AK109">
        <v>13.5</v>
      </c>
      <c r="AL109">
        <v>15.4</v>
      </c>
      <c r="AM109">
        <v>15.4</v>
      </c>
      <c r="AN109">
        <v>14.766666669999999</v>
      </c>
      <c r="AO109">
        <v>15.9</v>
      </c>
      <c r="AP109" t="s">
        <v>114</v>
      </c>
      <c r="AQ109" t="s">
        <v>114</v>
      </c>
      <c r="AR109" t="s">
        <v>114</v>
      </c>
      <c r="AS109" t="s">
        <v>114</v>
      </c>
      <c r="AT109" t="s">
        <v>114</v>
      </c>
      <c r="AU109" t="s">
        <v>114</v>
      </c>
      <c r="AV109" t="s">
        <v>114</v>
      </c>
      <c r="AW109" t="s">
        <v>114</v>
      </c>
      <c r="AX109" t="s">
        <v>114</v>
      </c>
      <c r="AY109" t="s">
        <v>114</v>
      </c>
      <c r="AZ109">
        <v>10</v>
      </c>
      <c r="BA109">
        <v>30</v>
      </c>
      <c r="BB109">
        <v>5</v>
      </c>
      <c r="BC109">
        <v>70</v>
      </c>
      <c r="BD109">
        <v>1</v>
      </c>
      <c r="BE109">
        <v>1</v>
      </c>
      <c r="BF109">
        <v>2</v>
      </c>
      <c r="BG109">
        <v>3</v>
      </c>
      <c r="BI109">
        <v>8.4</v>
      </c>
      <c r="BJ109">
        <v>91.049000000000007</v>
      </c>
      <c r="BK109">
        <v>0</v>
      </c>
      <c r="BL109">
        <v>22</v>
      </c>
      <c r="BM109">
        <v>19</v>
      </c>
      <c r="BN109">
        <v>63</v>
      </c>
      <c r="BO109">
        <v>31.75</v>
      </c>
      <c r="BP109">
        <v>31.25</v>
      </c>
      <c r="BQ109">
        <v>4</v>
      </c>
      <c r="BR109">
        <v>59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 t="s">
        <v>114</v>
      </c>
      <c r="BZ109" t="s">
        <v>114</v>
      </c>
      <c r="CA109" t="s">
        <v>114</v>
      </c>
      <c r="CB109" t="s">
        <v>114</v>
      </c>
      <c r="CC109" t="s">
        <v>114</v>
      </c>
      <c r="CD109" t="s">
        <v>114</v>
      </c>
      <c r="CE109">
        <v>0</v>
      </c>
      <c r="CF109" t="s">
        <v>114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 t="s">
        <v>114</v>
      </c>
      <c r="CP109" t="s">
        <v>114</v>
      </c>
      <c r="CQ109" t="s">
        <v>114</v>
      </c>
      <c r="CR109" t="s">
        <v>114</v>
      </c>
      <c r="CS109" t="s">
        <v>114</v>
      </c>
      <c r="CT109" t="s">
        <v>114</v>
      </c>
      <c r="CU109" t="s">
        <v>114</v>
      </c>
      <c r="CV109" t="s">
        <v>114</v>
      </c>
      <c r="CW109">
        <v>0</v>
      </c>
    </row>
    <row r="110" spans="1:101" x14ac:dyDescent="0.25">
      <c r="A110" t="s">
        <v>26</v>
      </c>
      <c r="B110">
        <v>15</v>
      </c>
      <c r="C110" t="s">
        <v>27</v>
      </c>
      <c r="D110" t="s">
        <v>95</v>
      </c>
      <c r="E110" t="s">
        <v>105</v>
      </c>
      <c r="F110" t="s">
        <v>145</v>
      </c>
      <c r="G110" t="s">
        <v>266</v>
      </c>
      <c r="H110" t="s">
        <v>760</v>
      </c>
      <c r="I110" t="s">
        <v>711</v>
      </c>
      <c r="J110" t="s">
        <v>384</v>
      </c>
      <c r="K110">
        <v>3</v>
      </c>
      <c r="L110">
        <v>60</v>
      </c>
      <c r="M110">
        <v>40</v>
      </c>
      <c r="N110">
        <v>60</v>
      </c>
      <c r="O110">
        <v>20</v>
      </c>
      <c r="P110">
        <v>65</v>
      </c>
      <c r="Q110">
        <v>65</v>
      </c>
      <c r="R110">
        <v>60</v>
      </c>
      <c r="S110">
        <v>62.5</v>
      </c>
      <c r="T110">
        <v>1.0416666666666667</v>
      </c>
      <c r="U110" t="s">
        <v>15</v>
      </c>
      <c r="V110" t="s">
        <v>102</v>
      </c>
      <c r="W110">
        <v>80</v>
      </c>
      <c r="X110">
        <v>21.8</v>
      </c>
      <c r="Y110">
        <v>19.8</v>
      </c>
      <c r="Z110">
        <v>21.3</v>
      </c>
      <c r="AA110">
        <v>20.966666669999999</v>
      </c>
      <c r="AB110">
        <v>20.966666669999999</v>
      </c>
      <c r="AC110">
        <v>24.7</v>
      </c>
      <c r="AD110">
        <v>26.7</v>
      </c>
      <c r="AE110">
        <v>25.2</v>
      </c>
      <c r="AF110">
        <v>25.533333330000001</v>
      </c>
      <c r="AG110">
        <v>26.2</v>
      </c>
      <c r="AH110">
        <v>28.2</v>
      </c>
      <c r="AI110">
        <v>28.2</v>
      </c>
      <c r="AJ110">
        <v>27.533333330000001</v>
      </c>
      <c r="AK110">
        <v>28.2</v>
      </c>
      <c r="AL110">
        <v>31.1</v>
      </c>
      <c r="AM110">
        <v>31.6</v>
      </c>
      <c r="AN110">
        <v>30.3</v>
      </c>
      <c r="AO110">
        <v>27.533333330000001</v>
      </c>
      <c r="AP110">
        <v>18.399999999999999</v>
      </c>
      <c r="AQ110">
        <v>10</v>
      </c>
      <c r="AR110">
        <v>11.5</v>
      </c>
      <c r="AS110">
        <v>13.3</v>
      </c>
      <c r="AT110">
        <v>13.9</v>
      </c>
      <c r="AU110">
        <v>13.9</v>
      </c>
      <c r="AV110">
        <v>14.9</v>
      </c>
      <c r="AW110">
        <v>14.233333330000001</v>
      </c>
      <c r="AX110">
        <v>13.3</v>
      </c>
      <c r="AY110">
        <v>-7.6666666670000003</v>
      </c>
      <c r="AZ110">
        <v>5</v>
      </c>
      <c r="BA110">
        <v>30</v>
      </c>
      <c r="BB110">
        <v>0</v>
      </c>
      <c r="BC110">
        <v>2</v>
      </c>
      <c r="BD110">
        <v>3</v>
      </c>
      <c r="BE110">
        <v>1</v>
      </c>
      <c r="BF110">
        <v>0</v>
      </c>
      <c r="BG110">
        <v>0</v>
      </c>
      <c r="BI110">
        <v>13.3</v>
      </c>
      <c r="BJ110">
        <v>46.45</v>
      </c>
      <c r="BK110">
        <v>0</v>
      </c>
      <c r="BL110">
        <v>3</v>
      </c>
      <c r="BM110">
        <v>3</v>
      </c>
      <c r="BN110">
        <v>140</v>
      </c>
      <c r="BO110">
        <v>97.333332999999996</v>
      </c>
      <c r="BP110">
        <v>42.666667000000004</v>
      </c>
      <c r="BQ110">
        <v>88</v>
      </c>
      <c r="BR110">
        <v>52</v>
      </c>
      <c r="BS110">
        <v>38.86238977</v>
      </c>
      <c r="BT110" t="s">
        <v>114</v>
      </c>
      <c r="BU110">
        <v>22.20510311</v>
      </c>
      <c r="BV110">
        <v>-38.86238977</v>
      </c>
      <c r="BW110" t="s">
        <v>114</v>
      </c>
      <c r="BX110">
        <v>22.20510311</v>
      </c>
      <c r="BY110">
        <v>843.54106901715295</v>
      </c>
      <c r="BZ110" t="s">
        <v>114</v>
      </c>
      <c r="CA110">
        <v>8.9395445827668407</v>
      </c>
      <c r="CB110">
        <v>843.54106901715295</v>
      </c>
      <c r="CC110" t="s">
        <v>114</v>
      </c>
      <c r="CD110">
        <v>8.9395445827668407</v>
      </c>
      <c r="CE110" t="s">
        <v>114</v>
      </c>
      <c r="CF110" t="s">
        <v>114</v>
      </c>
      <c r="CG110" t="s">
        <v>114</v>
      </c>
      <c r="CH110">
        <v>38.86238977</v>
      </c>
      <c r="CI110" t="s">
        <v>114</v>
      </c>
      <c r="CJ110">
        <v>22.20510311</v>
      </c>
      <c r="CK110" t="s">
        <v>114</v>
      </c>
      <c r="CL110">
        <v>-38.86238977</v>
      </c>
      <c r="CM110" t="s">
        <v>114</v>
      </c>
      <c r="CN110">
        <v>22.20510311</v>
      </c>
      <c r="CO110" t="s">
        <v>114</v>
      </c>
      <c r="CP110">
        <v>843.54106901715295</v>
      </c>
      <c r="CQ110" t="s">
        <v>114</v>
      </c>
      <c r="CR110">
        <v>8.9395445827668407</v>
      </c>
      <c r="CS110" t="s">
        <v>114</v>
      </c>
      <c r="CT110">
        <v>843.54106901715295</v>
      </c>
      <c r="CU110" t="s">
        <v>114</v>
      </c>
      <c r="CV110">
        <v>8.9395445827668407</v>
      </c>
      <c r="CW110" t="s">
        <v>114</v>
      </c>
    </row>
    <row r="111" spans="1:101" x14ac:dyDescent="0.25">
      <c r="A111" t="s">
        <v>26</v>
      </c>
      <c r="B111">
        <v>15</v>
      </c>
      <c r="C111" t="s">
        <v>27</v>
      </c>
      <c r="D111" t="s">
        <v>95</v>
      </c>
      <c r="E111" t="s">
        <v>110</v>
      </c>
      <c r="F111" t="s">
        <v>145</v>
      </c>
      <c r="G111" t="s">
        <v>262</v>
      </c>
      <c r="H111" t="s">
        <v>768</v>
      </c>
      <c r="I111" t="s">
        <v>705</v>
      </c>
      <c r="J111" t="s">
        <v>385</v>
      </c>
      <c r="K111">
        <v>9</v>
      </c>
      <c r="L111">
        <v>100</v>
      </c>
      <c r="M111">
        <v>60</v>
      </c>
      <c r="N111">
        <v>100</v>
      </c>
      <c r="O111">
        <v>40</v>
      </c>
      <c r="P111">
        <v>12</v>
      </c>
      <c r="Q111">
        <v>60</v>
      </c>
      <c r="R111">
        <v>40</v>
      </c>
      <c r="S111">
        <v>50</v>
      </c>
      <c r="T111">
        <v>0.5</v>
      </c>
      <c r="U111" t="s">
        <v>793</v>
      </c>
      <c r="V111" t="s">
        <v>111</v>
      </c>
      <c r="W111">
        <v>200</v>
      </c>
      <c r="X111">
        <v>21.8</v>
      </c>
      <c r="Y111">
        <v>19.8</v>
      </c>
      <c r="Z111">
        <v>21.3</v>
      </c>
      <c r="AA111">
        <v>20.966666669999999</v>
      </c>
      <c r="AB111">
        <v>20.966666669999999</v>
      </c>
      <c r="AC111">
        <v>25.2</v>
      </c>
      <c r="AD111">
        <v>29.2</v>
      </c>
      <c r="AE111">
        <v>28.9</v>
      </c>
      <c r="AF111">
        <v>27.766666669999999</v>
      </c>
      <c r="AG111">
        <v>26.2</v>
      </c>
      <c r="AH111">
        <v>28.2</v>
      </c>
      <c r="AI111">
        <v>28.2</v>
      </c>
      <c r="AJ111">
        <v>27.533333330000001</v>
      </c>
      <c r="AK111">
        <v>30.6</v>
      </c>
      <c r="AL111">
        <v>28.2</v>
      </c>
      <c r="AM111">
        <v>30.6</v>
      </c>
      <c r="AN111">
        <v>29.8</v>
      </c>
      <c r="AO111">
        <v>27.533333330000001</v>
      </c>
      <c r="AP111">
        <v>18.399999999999999</v>
      </c>
      <c r="AQ111">
        <v>10</v>
      </c>
      <c r="AR111">
        <v>11.5</v>
      </c>
      <c r="AS111">
        <v>13.3</v>
      </c>
      <c r="AT111">
        <v>13</v>
      </c>
      <c r="AU111">
        <v>14.9</v>
      </c>
      <c r="AV111">
        <v>13.9</v>
      </c>
      <c r="AW111">
        <v>13.93333333</v>
      </c>
      <c r="AX111">
        <v>13.3</v>
      </c>
      <c r="AY111">
        <v>-7.6666666670000003</v>
      </c>
      <c r="AZ111">
        <v>5</v>
      </c>
      <c r="BA111">
        <v>30</v>
      </c>
      <c r="BB111">
        <v>0</v>
      </c>
      <c r="BC111">
        <v>2</v>
      </c>
      <c r="BD111">
        <v>3</v>
      </c>
      <c r="BE111">
        <v>1</v>
      </c>
      <c r="BF111">
        <v>0</v>
      </c>
      <c r="BG111">
        <v>0</v>
      </c>
      <c r="BI111">
        <v>13.3</v>
      </c>
      <c r="BJ111">
        <v>46.45</v>
      </c>
      <c r="BK111">
        <v>0</v>
      </c>
      <c r="BL111">
        <v>6</v>
      </c>
      <c r="BM111">
        <v>6</v>
      </c>
      <c r="BN111">
        <v>6</v>
      </c>
      <c r="BO111">
        <v>4.6666670000000003</v>
      </c>
      <c r="BP111">
        <v>1.3333329999999997</v>
      </c>
      <c r="BQ111">
        <v>1</v>
      </c>
      <c r="BR111">
        <v>5</v>
      </c>
      <c r="BS111">
        <v>43.912344715000003</v>
      </c>
      <c r="BT111" t="s">
        <v>114</v>
      </c>
      <c r="BU111">
        <v>10.439138525000001</v>
      </c>
      <c r="BV111">
        <v>-43.912344715000003</v>
      </c>
      <c r="BW111" t="s">
        <v>114</v>
      </c>
      <c r="BX111">
        <v>10.439138525000001</v>
      </c>
      <c r="BY111">
        <v>985.83857786955605</v>
      </c>
      <c r="BZ111" t="s">
        <v>114</v>
      </c>
      <c r="CA111">
        <v>0.18147433266694299</v>
      </c>
      <c r="CB111">
        <v>985.83857786955605</v>
      </c>
      <c r="CC111" t="s">
        <v>114</v>
      </c>
      <c r="CD111">
        <v>0.18147433266694299</v>
      </c>
      <c r="CE111" t="s">
        <v>114</v>
      </c>
      <c r="CF111" t="s">
        <v>114</v>
      </c>
      <c r="CG111" t="s">
        <v>114</v>
      </c>
      <c r="CH111">
        <v>61.180400271111097</v>
      </c>
      <c r="CI111" t="s">
        <v>114</v>
      </c>
      <c r="CJ111">
        <v>10.6734254955556</v>
      </c>
      <c r="CK111" t="s">
        <v>114</v>
      </c>
      <c r="CL111">
        <v>-61.180400271111097</v>
      </c>
      <c r="CM111" t="s">
        <v>114</v>
      </c>
      <c r="CN111">
        <v>10.6734254955556</v>
      </c>
      <c r="CO111" t="s">
        <v>114</v>
      </c>
      <c r="CP111">
        <v>219.075239526568</v>
      </c>
      <c r="CQ111" t="s">
        <v>114</v>
      </c>
      <c r="CR111">
        <v>4.0327629481542802E-2</v>
      </c>
      <c r="CS111" t="s">
        <v>114</v>
      </c>
      <c r="CT111">
        <v>219.075239526568</v>
      </c>
      <c r="CU111" t="s">
        <v>114</v>
      </c>
      <c r="CV111">
        <v>4.0327629481542802E-2</v>
      </c>
      <c r="CW111" t="s">
        <v>114</v>
      </c>
    </row>
    <row r="112" spans="1:101" x14ac:dyDescent="0.25">
      <c r="A112" t="s">
        <v>26</v>
      </c>
      <c r="B112">
        <v>15</v>
      </c>
      <c r="C112" t="s">
        <v>27</v>
      </c>
      <c r="D112" t="s">
        <v>95</v>
      </c>
      <c r="E112" t="s">
        <v>111</v>
      </c>
      <c r="F112" t="s">
        <v>145</v>
      </c>
      <c r="G112" t="s">
        <v>263</v>
      </c>
      <c r="H112" t="s">
        <v>776</v>
      </c>
      <c r="I112" t="s">
        <v>706</v>
      </c>
      <c r="J112" t="s">
        <v>386</v>
      </c>
      <c r="K112">
        <v>6</v>
      </c>
      <c r="L112">
        <v>190</v>
      </c>
      <c r="M112">
        <v>180</v>
      </c>
      <c r="N112">
        <v>190</v>
      </c>
      <c r="O112">
        <v>10</v>
      </c>
      <c r="P112">
        <v>60</v>
      </c>
      <c r="Q112">
        <v>60</v>
      </c>
      <c r="R112">
        <v>30</v>
      </c>
      <c r="S112">
        <v>45</v>
      </c>
      <c r="T112">
        <v>0.23684210526315788</v>
      </c>
      <c r="U112" t="s">
        <v>15</v>
      </c>
      <c r="V112" t="s">
        <v>102</v>
      </c>
      <c r="W112">
        <v>170</v>
      </c>
      <c r="X112">
        <v>21.8</v>
      </c>
      <c r="Y112">
        <v>19.8</v>
      </c>
      <c r="Z112">
        <v>21.3</v>
      </c>
      <c r="AA112">
        <v>20.966666669999999</v>
      </c>
      <c r="AB112">
        <v>20.966666669999999</v>
      </c>
      <c r="AC112">
        <v>15.4</v>
      </c>
      <c r="AD112">
        <v>14.4</v>
      </c>
      <c r="AE112">
        <v>15.9</v>
      </c>
      <c r="AF112">
        <v>15.233333330000001</v>
      </c>
      <c r="AG112">
        <v>26.2</v>
      </c>
      <c r="AH112">
        <v>28.2</v>
      </c>
      <c r="AI112">
        <v>28.2</v>
      </c>
      <c r="AJ112">
        <v>27.533333330000001</v>
      </c>
      <c r="AK112">
        <v>18.399999999999999</v>
      </c>
      <c r="AL112">
        <v>19.8</v>
      </c>
      <c r="AM112">
        <v>20.8</v>
      </c>
      <c r="AN112">
        <v>19.666666670000001</v>
      </c>
      <c r="AO112">
        <v>27.533333330000001</v>
      </c>
      <c r="AP112">
        <v>18.399999999999999</v>
      </c>
      <c r="AQ112">
        <v>10</v>
      </c>
      <c r="AR112">
        <v>11.5</v>
      </c>
      <c r="AS112">
        <v>13.3</v>
      </c>
      <c r="AT112">
        <v>7.1</v>
      </c>
      <c r="AU112">
        <v>7.1</v>
      </c>
      <c r="AV112">
        <v>6.6</v>
      </c>
      <c r="AW112">
        <v>6.9333333330000002</v>
      </c>
      <c r="AX112">
        <v>13.3</v>
      </c>
      <c r="AY112">
        <v>-7.6666666670000003</v>
      </c>
      <c r="AZ112">
        <v>5</v>
      </c>
      <c r="BA112">
        <v>30</v>
      </c>
      <c r="BB112">
        <v>0</v>
      </c>
      <c r="BC112">
        <v>2</v>
      </c>
      <c r="BD112">
        <v>3</v>
      </c>
      <c r="BE112">
        <v>1</v>
      </c>
      <c r="BF112">
        <v>0</v>
      </c>
      <c r="BG112">
        <v>0</v>
      </c>
      <c r="BI112">
        <v>13.3</v>
      </c>
      <c r="BJ112">
        <v>46.45</v>
      </c>
      <c r="BK112">
        <v>0</v>
      </c>
      <c r="BL112">
        <v>7</v>
      </c>
      <c r="BM112">
        <v>2</v>
      </c>
      <c r="BN112">
        <v>31</v>
      </c>
      <c r="BO112">
        <v>731.75</v>
      </c>
      <c r="BP112">
        <v>-700.75</v>
      </c>
      <c r="BQ112">
        <v>608</v>
      </c>
      <c r="BR112">
        <v>-577</v>
      </c>
      <c r="BS112">
        <v>23.24189814</v>
      </c>
      <c r="BT112" t="s">
        <v>114</v>
      </c>
      <c r="BU112">
        <v>3.0110456674999999</v>
      </c>
      <c r="BV112">
        <v>-8.1408399399999993</v>
      </c>
      <c r="BW112" t="s">
        <v>114</v>
      </c>
      <c r="BX112">
        <v>-2.7098195624999999</v>
      </c>
      <c r="BY112">
        <v>217.206105684563</v>
      </c>
      <c r="BZ112" t="s">
        <v>114</v>
      </c>
      <c r="CA112">
        <v>4.06811530658696</v>
      </c>
      <c r="CB112">
        <v>849.08951131314495</v>
      </c>
      <c r="CC112" t="s">
        <v>114</v>
      </c>
      <c r="CD112">
        <v>6.3658139072040703</v>
      </c>
      <c r="CE112" t="s">
        <v>114</v>
      </c>
      <c r="CF112" t="s">
        <v>114</v>
      </c>
      <c r="CG112" t="s">
        <v>114</v>
      </c>
      <c r="CH112">
        <v>30.2957892366667</v>
      </c>
      <c r="CI112" t="s">
        <v>114</v>
      </c>
      <c r="CJ112">
        <v>2.2081811816666699</v>
      </c>
      <c r="CK112" t="s">
        <v>114</v>
      </c>
      <c r="CL112">
        <v>-20.2284171033333</v>
      </c>
      <c r="CM112" t="s">
        <v>114</v>
      </c>
      <c r="CN112">
        <v>-1.6057289716666701</v>
      </c>
      <c r="CO112" t="s">
        <v>114</v>
      </c>
      <c r="CP112">
        <v>249.741374459458</v>
      </c>
      <c r="CQ112" t="s">
        <v>114</v>
      </c>
      <c r="CR112">
        <v>3.9878885022219901</v>
      </c>
      <c r="CS112" t="s">
        <v>114</v>
      </c>
      <c r="CT112">
        <v>860.11655881877698</v>
      </c>
      <c r="CU112" t="s">
        <v>114</v>
      </c>
      <c r="CV112">
        <v>6.7451268229625203</v>
      </c>
      <c r="CW112" t="s">
        <v>114</v>
      </c>
    </row>
    <row r="113" spans="1:101" x14ac:dyDescent="0.25">
      <c r="A113" t="s">
        <v>28</v>
      </c>
      <c r="B113">
        <v>15</v>
      </c>
      <c r="C113" t="s">
        <v>29</v>
      </c>
      <c r="D113" t="s">
        <v>94</v>
      </c>
      <c r="E113" t="s">
        <v>113</v>
      </c>
      <c r="F113" t="s">
        <v>145</v>
      </c>
      <c r="G113" t="s">
        <v>259</v>
      </c>
      <c r="H113" t="s">
        <v>763</v>
      </c>
      <c r="I113" t="s">
        <v>709</v>
      </c>
      <c r="J113" t="s">
        <v>387</v>
      </c>
      <c r="K113">
        <v>16</v>
      </c>
      <c r="L113">
        <v>60</v>
      </c>
      <c r="M113">
        <v>60</v>
      </c>
      <c r="N113">
        <v>60</v>
      </c>
      <c r="O113">
        <v>0</v>
      </c>
      <c r="P113">
        <v>4</v>
      </c>
      <c r="Q113">
        <v>4</v>
      </c>
      <c r="R113">
        <v>2</v>
      </c>
      <c r="S113">
        <v>3</v>
      </c>
      <c r="T113">
        <v>0.05</v>
      </c>
      <c r="U113" t="s">
        <v>15</v>
      </c>
      <c r="V113" t="s">
        <v>113</v>
      </c>
      <c r="W113">
        <v>30</v>
      </c>
      <c r="X113">
        <v>12.5</v>
      </c>
      <c r="Y113">
        <v>13</v>
      </c>
      <c r="Z113">
        <v>11.5</v>
      </c>
      <c r="AA113">
        <v>12.33333333</v>
      </c>
      <c r="AB113">
        <v>12.33333333</v>
      </c>
      <c r="AC113">
        <v>11.5</v>
      </c>
      <c r="AD113">
        <v>12</v>
      </c>
      <c r="AE113">
        <v>12</v>
      </c>
      <c r="AF113">
        <v>11.83333333</v>
      </c>
      <c r="AG113">
        <v>15.4</v>
      </c>
      <c r="AH113">
        <v>16.399999999999999</v>
      </c>
      <c r="AI113">
        <v>16.899999999999999</v>
      </c>
      <c r="AJ113">
        <v>16.233333330000001</v>
      </c>
      <c r="AK113">
        <v>13.9</v>
      </c>
      <c r="AL113">
        <v>14.4</v>
      </c>
      <c r="AM113">
        <v>15.9</v>
      </c>
      <c r="AN113">
        <v>14.733333330000001</v>
      </c>
      <c r="AO113">
        <v>16.233333330000001</v>
      </c>
      <c r="AP113">
        <v>4.0999999999999996</v>
      </c>
      <c r="AQ113">
        <v>4.5999999999999996</v>
      </c>
      <c r="AR113">
        <v>4.5999999999999996</v>
      </c>
      <c r="AS113">
        <v>4.4333333330000002</v>
      </c>
      <c r="AT113">
        <v>3.1</v>
      </c>
      <c r="AU113">
        <v>4.5999999999999996</v>
      </c>
      <c r="AV113">
        <v>4.0999999999999996</v>
      </c>
      <c r="AW113">
        <v>3.9333333330000002</v>
      </c>
      <c r="AX113">
        <v>4.4333333330000002</v>
      </c>
      <c r="AY113">
        <v>-7.9</v>
      </c>
      <c r="AZ113">
        <v>10</v>
      </c>
      <c r="BA113">
        <v>60</v>
      </c>
      <c r="BB113">
        <v>1</v>
      </c>
      <c r="BC113">
        <v>2</v>
      </c>
      <c r="BD113">
        <v>1</v>
      </c>
      <c r="BE113">
        <v>0</v>
      </c>
      <c r="BF113">
        <v>0</v>
      </c>
      <c r="BG113">
        <v>0</v>
      </c>
      <c r="BI113">
        <v>11.1</v>
      </c>
      <c r="BJ113">
        <v>7.282</v>
      </c>
      <c r="BK113">
        <v>0</v>
      </c>
      <c r="BL113">
        <v>1</v>
      </c>
      <c r="BM113">
        <v>1</v>
      </c>
      <c r="BN113" t="s">
        <v>114</v>
      </c>
      <c r="BO113">
        <v>8.5</v>
      </c>
      <c r="BP113" t="s">
        <v>114</v>
      </c>
      <c r="BQ113">
        <v>17</v>
      </c>
      <c r="BR113" t="s">
        <v>114</v>
      </c>
      <c r="BS113">
        <v>8.70725047</v>
      </c>
      <c r="BT113">
        <v>0.34996620099999998</v>
      </c>
      <c r="BU113">
        <v>6.5472996974999997</v>
      </c>
      <c r="BV113">
        <v>0.27601502</v>
      </c>
      <c r="BW113">
        <v>0.33523620100000001</v>
      </c>
      <c r="BX113">
        <v>-6.5472996974999997</v>
      </c>
      <c r="BY113">
        <v>99.449193866158595</v>
      </c>
      <c r="BZ113">
        <v>0.15093572165975699</v>
      </c>
      <c r="CA113">
        <v>105.703634413638</v>
      </c>
      <c r="CB113">
        <v>200.43589580755801</v>
      </c>
      <c r="CC113">
        <v>0.164393096835037</v>
      </c>
      <c r="CD113">
        <v>105.703634413638</v>
      </c>
      <c r="CE113">
        <v>6.7264044999999995E-2</v>
      </c>
      <c r="CF113">
        <v>1.24484671575155E-2</v>
      </c>
      <c r="CG113">
        <v>3.9389468749999997E-2</v>
      </c>
      <c r="CH113">
        <v>2.290594665</v>
      </c>
      <c r="CI113">
        <v>0.58447508331249998</v>
      </c>
      <c r="CJ113">
        <v>16.5618695575</v>
      </c>
      <c r="CK113">
        <v>1.48813175E-2</v>
      </c>
      <c r="CL113">
        <v>-4.47782924999999E-2</v>
      </c>
      <c r="CM113">
        <v>0.58079258331250005</v>
      </c>
      <c r="CN113">
        <v>-16.5618695575</v>
      </c>
      <c r="CO113">
        <v>1.87777389558958E-3</v>
      </c>
      <c r="CP113">
        <v>34.530969256805903</v>
      </c>
      <c r="CQ113">
        <v>8.1675115346389507E-2</v>
      </c>
      <c r="CR113">
        <v>85.600865339038506</v>
      </c>
      <c r="CS113">
        <v>3.2965223093190999E-3</v>
      </c>
      <c r="CT113">
        <v>40.125442668909599</v>
      </c>
      <c r="CU113">
        <v>8.6252286740892498E-2</v>
      </c>
      <c r="CV113">
        <v>85.600865339038506</v>
      </c>
      <c r="CW113">
        <v>-3.076856E-2</v>
      </c>
    </row>
    <row r="114" spans="1:101" x14ac:dyDescent="0.25">
      <c r="A114" t="s">
        <v>28</v>
      </c>
      <c r="B114">
        <v>15</v>
      </c>
      <c r="C114" t="s">
        <v>29</v>
      </c>
      <c r="D114" t="s">
        <v>94</v>
      </c>
      <c r="E114" t="s">
        <v>103</v>
      </c>
      <c r="F114" t="s">
        <v>145</v>
      </c>
      <c r="G114" t="s">
        <v>260</v>
      </c>
      <c r="H114" t="s">
        <v>771</v>
      </c>
      <c r="I114" t="s">
        <v>700</v>
      </c>
      <c r="J114" t="s">
        <v>388</v>
      </c>
      <c r="K114">
        <v>3</v>
      </c>
      <c r="L114">
        <v>75</v>
      </c>
      <c r="M114">
        <v>25</v>
      </c>
      <c r="N114">
        <v>75</v>
      </c>
      <c r="O114">
        <v>50</v>
      </c>
      <c r="P114">
        <v>20</v>
      </c>
      <c r="Q114">
        <v>10</v>
      </c>
      <c r="R114">
        <v>0</v>
      </c>
      <c r="S114">
        <v>5</v>
      </c>
      <c r="T114">
        <v>6.6666666666666666E-2</v>
      </c>
      <c r="U114" t="s">
        <v>15</v>
      </c>
      <c r="V114" t="s">
        <v>103</v>
      </c>
      <c r="W114">
        <v>50</v>
      </c>
      <c r="X114">
        <v>12.5</v>
      </c>
      <c r="Y114">
        <v>13</v>
      </c>
      <c r="Z114">
        <v>11.5</v>
      </c>
      <c r="AA114">
        <v>12.33333333</v>
      </c>
      <c r="AB114">
        <v>12.33333333</v>
      </c>
      <c r="AC114">
        <v>12.5</v>
      </c>
      <c r="AD114">
        <v>12</v>
      </c>
      <c r="AE114">
        <v>9.5</v>
      </c>
      <c r="AF114">
        <v>11.33333333</v>
      </c>
      <c r="AG114">
        <v>15.4</v>
      </c>
      <c r="AH114">
        <v>16.399999999999999</v>
      </c>
      <c r="AI114">
        <v>16.899999999999999</v>
      </c>
      <c r="AJ114">
        <v>16.233333330000001</v>
      </c>
      <c r="AK114">
        <v>15.4</v>
      </c>
      <c r="AL114">
        <v>13</v>
      </c>
      <c r="AM114">
        <v>14.4</v>
      </c>
      <c r="AN114">
        <v>14.266666669999999</v>
      </c>
      <c r="AO114">
        <v>16.233333330000001</v>
      </c>
      <c r="AP114">
        <v>4.0999999999999996</v>
      </c>
      <c r="AQ114">
        <v>4.5999999999999996</v>
      </c>
      <c r="AR114">
        <v>4.5999999999999996</v>
      </c>
      <c r="AS114">
        <v>4.4333333330000002</v>
      </c>
      <c r="AT114">
        <v>4.5999999999999996</v>
      </c>
      <c r="AU114">
        <v>3.1</v>
      </c>
      <c r="AV114">
        <v>4.0999999999999996</v>
      </c>
      <c r="AW114">
        <v>3.9333333330000002</v>
      </c>
      <c r="AX114">
        <v>4.4333333330000002</v>
      </c>
      <c r="AY114">
        <v>-7.9</v>
      </c>
      <c r="AZ114">
        <v>10</v>
      </c>
      <c r="BA114">
        <v>60</v>
      </c>
      <c r="BB114">
        <v>1</v>
      </c>
      <c r="BC114">
        <v>2</v>
      </c>
      <c r="BD114">
        <v>1</v>
      </c>
      <c r="BE114">
        <v>0</v>
      </c>
      <c r="BF114">
        <v>0</v>
      </c>
      <c r="BG114">
        <v>0</v>
      </c>
      <c r="BI114">
        <v>11.1</v>
      </c>
      <c r="BJ114">
        <v>7.282</v>
      </c>
      <c r="BK114">
        <v>0</v>
      </c>
      <c r="BL114">
        <v>1</v>
      </c>
      <c r="BM114">
        <v>1</v>
      </c>
      <c r="BN114">
        <v>43</v>
      </c>
      <c r="BO114">
        <v>274</v>
      </c>
      <c r="BP114">
        <v>-231</v>
      </c>
      <c r="BQ114">
        <v>146</v>
      </c>
      <c r="BR114">
        <v>-103</v>
      </c>
      <c r="BS114">
        <v>6.775462965</v>
      </c>
      <c r="BT114">
        <v>0.53309075800000005</v>
      </c>
      <c r="BU114">
        <v>0.57405837000000004</v>
      </c>
      <c r="BV114">
        <v>6.775462965</v>
      </c>
      <c r="BW114">
        <v>-0.53309075800000005</v>
      </c>
      <c r="BX114">
        <v>0.57405837000000004</v>
      </c>
      <c r="BY114">
        <v>91.813796780173206</v>
      </c>
      <c r="BZ114">
        <v>0.56837151253002904</v>
      </c>
      <c r="CA114">
        <v>0.65908602433411401</v>
      </c>
      <c r="CB114">
        <v>91.813796780173206</v>
      </c>
      <c r="CC114">
        <v>0.56837151253002904</v>
      </c>
      <c r="CD114">
        <v>0.65908602433411401</v>
      </c>
      <c r="CE114">
        <v>0.36424459999999997</v>
      </c>
      <c r="CF114">
        <v>0.26534825725832001</v>
      </c>
      <c r="CG114">
        <v>0.24282973333333299</v>
      </c>
      <c r="CH114">
        <v>4.5169753100000003</v>
      </c>
      <c r="CI114">
        <v>0.35539383866666702</v>
      </c>
      <c r="CJ114">
        <v>0.38270557999999999</v>
      </c>
      <c r="CK114">
        <v>-0.24282973333333299</v>
      </c>
      <c r="CL114">
        <v>4.5169753100000003</v>
      </c>
      <c r="CM114">
        <v>-0.35539383866666702</v>
      </c>
      <c r="CN114">
        <v>0.38270557999999999</v>
      </c>
      <c r="CO114">
        <v>0.176898838172213</v>
      </c>
      <c r="CP114">
        <v>61.209197853448799</v>
      </c>
      <c r="CQ114">
        <v>0.37891434168668597</v>
      </c>
      <c r="CR114">
        <v>0.43939068288940902</v>
      </c>
      <c r="CS114">
        <v>0.176898838172213</v>
      </c>
      <c r="CT114">
        <v>61.209197853448799</v>
      </c>
      <c r="CU114">
        <v>0.37891434168668597</v>
      </c>
      <c r="CV114">
        <v>0.43939068288940902</v>
      </c>
      <c r="CW114">
        <v>-0.36424459999999997</v>
      </c>
    </row>
    <row r="115" spans="1:101" x14ac:dyDescent="0.25">
      <c r="A115" t="s">
        <v>28</v>
      </c>
      <c r="B115">
        <v>15</v>
      </c>
      <c r="C115" t="s">
        <v>29</v>
      </c>
      <c r="D115" t="s">
        <v>94</v>
      </c>
      <c r="E115" t="s">
        <v>111</v>
      </c>
      <c r="F115" t="s">
        <v>145</v>
      </c>
      <c r="G115" t="s">
        <v>263</v>
      </c>
      <c r="H115" t="s">
        <v>775</v>
      </c>
      <c r="I115" t="s">
        <v>703</v>
      </c>
      <c r="J115" t="s">
        <v>389</v>
      </c>
      <c r="K115">
        <v>5</v>
      </c>
      <c r="L115">
        <v>320</v>
      </c>
      <c r="M115">
        <v>200</v>
      </c>
      <c r="N115">
        <v>320</v>
      </c>
      <c r="O115">
        <v>120</v>
      </c>
      <c r="P115">
        <v>110</v>
      </c>
      <c r="Q115">
        <v>250</v>
      </c>
      <c r="R115">
        <v>200</v>
      </c>
      <c r="S115">
        <v>225</v>
      </c>
      <c r="T115">
        <v>0.703125</v>
      </c>
      <c r="U115" t="s">
        <v>15</v>
      </c>
      <c r="V115" t="s">
        <v>121</v>
      </c>
      <c r="W115" t="s">
        <v>114</v>
      </c>
      <c r="X115">
        <v>12.5</v>
      </c>
      <c r="Y115">
        <v>13</v>
      </c>
      <c r="Z115">
        <v>11.5</v>
      </c>
      <c r="AA115">
        <v>12.33333333</v>
      </c>
      <c r="AB115">
        <v>12.33333333</v>
      </c>
      <c r="AC115">
        <v>11.5</v>
      </c>
      <c r="AD115">
        <v>11.5</v>
      </c>
      <c r="AE115">
        <v>12.5</v>
      </c>
      <c r="AF115">
        <v>11.83333333</v>
      </c>
      <c r="AG115">
        <v>15.4</v>
      </c>
      <c r="AH115">
        <v>16.399999999999999</v>
      </c>
      <c r="AI115">
        <v>16.899999999999999</v>
      </c>
      <c r="AJ115">
        <v>16.233333330000001</v>
      </c>
      <c r="AK115">
        <v>15.9</v>
      </c>
      <c r="AL115">
        <v>14.4</v>
      </c>
      <c r="AM115">
        <v>16.399999999999999</v>
      </c>
      <c r="AN115">
        <v>15.56666667</v>
      </c>
      <c r="AO115">
        <v>16.233333330000001</v>
      </c>
      <c r="AP115">
        <v>4.0999999999999996</v>
      </c>
      <c r="AQ115">
        <v>4.5999999999999996</v>
      </c>
      <c r="AR115">
        <v>4.5999999999999996</v>
      </c>
      <c r="AS115">
        <v>4.4333333330000002</v>
      </c>
      <c r="AT115">
        <v>3.6</v>
      </c>
      <c r="AU115">
        <v>4.5999999999999996</v>
      </c>
      <c r="AV115">
        <v>4.0999999999999996</v>
      </c>
      <c r="AW115">
        <v>4.0999999999999996</v>
      </c>
      <c r="AX115">
        <v>4.4333333330000002</v>
      </c>
      <c r="AY115">
        <v>-7.9</v>
      </c>
      <c r="AZ115">
        <v>10</v>
      </c>
      <c r="BA115">
        <v>60</v>
      </c>
      <c r="BB115">
        <v>1</v>
      </c>
      <c r="BC115">
        <v>2</v>
      </c>
      <c r="BD115">
        <v>1</v>
      </c>
      <c r="BE115">
        <v>0</v>
      </c>
      <c r="BF115">
        <v>0</v>
      </c>
      <c r="BG115">
        <v>0</v>
      </c>
      <c r="BI115">
        <v>11.1</v>
      </c>
      <c r="BJ115">
        <v>7.282</v>
      </c>
      <c r="BK115">
        <v>0</v>
      </c>
      <c r="BL115">
        <v>30</v>
      </c>
      <c r="BM115">
        <v>23</v>
      </c>
      <c r="BN115">
        <v>2038</v>
      </c>
      <c r="BO115">
        <v>2240.3332999999998</v>
      </c>
      <c r="BP115">
        <v>-202.33329999999978</v>
      </c>
      <c r="BQ115">
        <v>1382</v>
      </c>
      <c r="BR115">
        <v>656</v>
      </c>
      <c r="BS115">
        <v>17.1475294166667</v>
      </c>
      <c r="BT115">
        <v>0.25483863833333298</v>
      </c>
      <c r="BU115">
        <v>7.69329398333333</v>
      </c>
      <c r="BV115">
        <v>17.1475294166667</v>
      </c>
      <c r="BW115">
        <v>-0.14908728766666701</v>
      </c>
      <c r="BX115">
        <v>-5.6421843966666696</v>
      </c>
      <c r="BY115">
        <v>108.599035935876</v>
      </c>
      <c r="BZ115">
        <v>9.38471975376583E-2</v>
      </c>
      <c r="CA115">
        <v>113.67875582688001</v>
      </c>
      <c r="CB115">
        <v>108.599035935876</v>
      </c>
      <c r="CC115">
        <v>0.15792076590333401</v>
      </c>
      <c r="CD115">
        <v>154.70754714888599</v>
      </c>
      <c r="CE115">
        <v>0.20182482333333299</v>
      </c>
      <c r="CF115">
        <v>4.5737906879163298E-4</v>
      </c>
      <c r="CG115">
        <v>0.19209269400000001</v>
      </c>
      <c r="CH115">
        <v>14.774058774</v>
      </c>
      <c r="CI115">
        <v>0.39525873859999999</v>
      </c>
      <c r="CJ115">
        <v>5.2983516939999999</v>
      </c>
      <c r="CK115">
        <v>0.19209269400000001</v>
      </c>
      <c r="CL115">
        <v>14.774058774</v>
      </c>
      <c r="CM115">
        <v>-0.33180792819999999</v>
      </c>
      <c r="CN115">
        <v>-2.7029353340000002</v>
      </c>
      <c r="CO115">
        <v>4.0627892444717998E-4</v>
      </c>
      <c r="CP115">
        <v>64.862073389688803</v>
      </c>
      <c r="CQ115">
        <v>8.3894482316767993E-2</v>
      </c>
      <c r="CR115">
        <v>67.593906480759799</v>
      </c>
      <c r="CS115">
        <v>4.0627892444717998E-4</v>
      </c>
      <c r="CT115">
        <v>64.862073389688803</v>
      </c>
      <c r="CU115">
        <v>0.141560693845876</v>
      </c>
      <c r="CV115">
        <v>93.552245547668505</v>
      </c>
      <c r="CW115">
        <v>0.20182482333333299</v>
      </c>
    </row>
    <row r="116" spans="1:101" x14ac:dyDescent="0.25">
      <c r="A116" t="s">
        <v>28</v>
      </c>
      <c r="B116">
        <v>15</v>
      </c>
      <c r="C116" t="s">
        <v>29</v>
      </c>
      <c r="D116" t="s">
        <v>94</v>
      </c>
      <c r="E116" t="s">
        <v>112</v>
      </c>
      <c r="F116" t="s">
        <v>145</v>
      </c>
      <c r="G116" t="s">
        <v>261</v>
      </c>
      <c r="H116" t="s">
        <v>783</v>
      </c>
      <c r="I116" t="s">
        <v>713</v>
      </c>
      <c r="J116" t="s">
        <v>390</v>
      </c>
      <c r="K116">
        <v>13</v>
      </c>
      <c r="L116">
        <v>110</v>
      </c>
      <c r="M116">
        <v>40</v>
      </c>
      <c r="N116">
        <v>110</v>
      </c>
      <c r="O116">
        <v>70</v>
      </c>
      <c r="P116">
        <v>60</v>
      </c>
      <c r="Q116">
        <v>130</v>
      </c>
      <c r="R116">
        <v>120</v>
      </c>
      <c r="S116">
        <v>125</v>
      </c>
      <c r="T116">
        <v>1.1363636363636365</v>
      </c>
      <c r="U116" t="s">
        <v>792</v>
      </c>
      <c r="V116" t="s">
        <v>103</v>
      </c>
      <c r="W116">
        <v>10</v>
      </c>
      <c r="X116">
        <v>12.5</v>
      </c>
      <c r="Y116">
        <v>13</v>
      </c>
      <c r="Z116">
        <v>11.5</v>
      </c>
      <c r="AA116">
        <v>12.33333333</v>
      </c>
      <c r="AB116">
        <v>12.33333333</v>
      </c>
      <c r="AC116">
        <v>11.5</v>
      </c>
      <c r="AD116">
        <v>12</v>
      </c>
      <c r="AE116">
        <v>13.5</v>
      </c>
      <c r="AF116">
        <v>12.33333333</v>
      </c>
      <c r="AG116">
        <v>15.4</v>
      </c>
      <c r="AH116">
        <v>16.399999999999999</v>
      </c>
      <c r="AI116">
        <v>16.899999999999999</v>
      </c>
      <c r="AJ116">
        <v>16.233333330000001</v>
      </c>
      <c r="AK116">
        <v>16.899999999999999</v>
      </c>
      <c r="AL116">
        <v>13.5</v>
      </c>
      <c r="AM116">
        <v>17.399999999999999</v>
      </c>
      <c r="AN116">
        <v>15.93333333</v>
      </c>
      <c r="AO116">
        <v>16.233333330000001</v>
      </c>
      <c r="AP116">
        <v>4.0999999999999996</v>
      </c>
      <c r="AQ116">
        <v>4.5999999999999996</v>
      </c>
      <c r="AR116">
        <v>4.5999999999999996</v>
      </c>
      <c r="AS116">
        <v>4.4333333330000002</v>
      </c>
      <c r="AT116">
        <v>4.5999999999999996</v>
      </c>
      <c r="AU116">
        <v>4.5999999999999996</v>
      </c>
      <c r="AV116">
        <v>5.0999999999999996</v>
      </c>
      <c r="AW116">
        <v>4.766666667</v>
      </c>
      <c r="AX116">
        <v>4.4333333330000002</v>
      </c>
      <c r="AY116">
        <v>-7.9</v>
      </c>
      <c r="AZ116">
        <v>10</v>
      </c>
      <c r="BA116">
        <v>60</v>
      </c>
      <c r="BB116">
        <v>1</v>
      </c>
      <c r="BC116">
        <v>2</v>
      </c>
      <c r="BD116">
        <v>1</v>
      </c>
      <c r="BE116">
        <v>0</v>
      </c>
      <c r="BF116">
        <v>0</v>
      </c>
      <c r="BG116">
        <v>0</v>
      </c>
      <c r="BI116">
        <v>11.1</v>
      </c>
      <c r="BJ116">
        <v>7.282</v>
      </c>
      <c r="BK116">
        <v>0</v>
      </c>
      <c r="BL116">
        <v>63</v>
      </c>
      <c r="BM116">
        <v>63</v>
      </c>
      <c r="BN116">
        <v>213</v>
      </c>
      <c r="BO116">
        <v>76</v>
      </c>
      <c r="BP116">
        <v>137</v>
      </c>
      <c r="BQ116">
        <v>41</v>
      </c>
      <c r="BR116">
        <v>172</v>
      </c>
      <c r="BS116">
        <v>23.563689783333299</v>
      </c>
      <c r="BT116">
        <v>2.0264016630000001</v>
      </c>
      <c r="BU116">
        <v>9.7631258800000005</v>
      </c>
      <c r="BV116">
        <v>-23.563689783333299</v>
      </c>
      <c r="BW116">
        <v>2.0264016630000001</v>
      </c>
      <c r="BX116">
        <v>5.4806038133333299</v>
      </c>
      <c r="BY116">
        <v>69.620593436318501</v>
      </c>
      <c r="BZ116">
        <v>0.16405130670024401</v>
      </c>
      <c r="CA116">
        <v>23.205745326747799</v>
      </c>
      <c r="CB116">
        <v>69.620593436318501</v>
      </c>
      <c r="CC116">
        <v>0.16405130670024401</v>
      </c>
      <c r="CD116">
        <v>121.128158511751</v>
      </c>
      <c r="CE116">
        <v>1.9372262733333301</v>
      </c>
      <c r="CF116">
        <v>1.8220808919780101E-2</v>
      </c>
      <c r="CG116">
        <v>1.93938808923077</v>
      </c>
      <c r="CH116">
        <v>23.174046307692301</v>
      </c>
      <c r="CI116">
        <v>1.9348740457692299</v>
      </c>
      <c r="CJ116">
        <v>10.86957484</v>
      </c>
      <c r="CK116">
        <v>1.93938808923077</v>
      </c>
      <c r="CL116">
        <v>-23.174046307692301</v>
      </c>
      <c r="CM116">
        <v>1.9348740457692299</v>
      </c>
      <c r="CN116">
        <v>7.9047518707692301</v>
      </c>
      <c r="CO116">
        <v>1.2028280864158299E-2</v>
      </c>
      <c r="CP116">
        <v>48.382850347310502</v>
      </c>
      <c r="CQ116">
        <v>0.13117867840957001</v>
      </c>
      <c r="CR116">
        <v>18.297516003517298</v>
      </c>
      <c r="CS116">
        <v>1.2028280864158299E-2</v>
      </c>
      <c r="CT116">
        <v>48.382850347310502</v>
      </c>
      <c r="CU116">
        <v>0.13117867840957001</v>
      </c>
      <c r="CV116">
        <v>78.598617322776306</v>
      </c>
      <c r="CW116">
        <v>1.9372262733333301</v>
      </c>
    </row>
    <row r="117" spans="1:101" x14ac:dyDescent="0.25">
      <c r="A117" t="s">
        <v>30</v>
      </c>
      <c r="B117">
        <v>15</v>
      </c>
      <c r="C117" t="s">
        <v>31</v>
      </c>
      <c r="D117" t="s">
        <v>95</v>
      </c>
      <c r="E117" t="s">
        <v>113</v>
      </c>
      <c r="F117" t="s">
        <v>145</v>
      </c>
      <c r="G117" t="s">
        <v>259</v>
      </c>
      <c r="H117" t="s">
        <v>764</v>
      </c>
      <c r="I117" t="s">
        <v>704</v>
      </c>
      <c r="J117" t="s">
        <v>391</v>
      </c>
      <c r="K117">
        <v>13</v>
      </c>
      <c r="L117">
        <v>100</v>
      </c>
      <c r="M117">
        <v>70</v>
      </c>
      <c r="N117">
        <v>100</v>
      </c>
      <c r="O117">
        <v>30</v>
      </c>
      <c r="P117">
        <v>10</v>
      </c>
      <c r="Q117">
        <v>10</v>
      </c>
      <c r="R117">
        <v>10</v>
      </c>
      <c r="S117">
        <v>10</v>
      </c>
      <c r="T117">
        <v>0.1</v>
      </c>
      <c r="V117" t="s">
        <v>121</v>
      </c>
      <c r="W117" t="s">
        <v>114</v>
      </c>
      <c r="X117">
        <v>15.4</v>
      </c>
      <c r="Y117">
        <v>14.9</v>
      </c>
      <c r="Z117">
        <v>12</v>
      </c>
      <c r="AA117">
        <v>14.1</v>
      </c>
      <c r="AB117">
        <v>14.1</v>
      </c>
      <c r="AC117">
        <v>13.9</v>
      </c>
      <c r="AD117">
        <v>13.5</v>
      </c>
      <c r="AE117">
        <v>13</v>
      </c>
      <c r="AF117">
        <v>13.46666667</v>
      </c>
      <c r="AG117">
        <v>16.899999999999999</v>
      </c>
      <c r="AH117">
        <v>18.399999999999999</v>
      </c>
      <c r="AI117">
        <v>18.399999999999999</v>
      </c>
      <c r="AJ117">
        <v>17.899999999999999</v>
      </c>
      <c r="AK117">
        <v>18.399999999999999</v>
      </c>
      <c r="AL117">
        <v>16.899999999999999</v>
      </c>
      <c r="AM117">
        <v>17.399999999999999</v>
      </c>
      <c r="AN117">
        <v>17.56666667</v>
      </c>
      <c r="AO117">
        <v>17.899999999999999</v>
      </c>
      <c r="AP117">
        <v>7.6</v>
      </c>
      <c r="AQ117">
        <v>8.1</v>
      </c>
      <c r="AR117">
        <v>8.5</v>
      </c>
      <c r="AS117">
        <v>8.0666666669999998</v>
      </c>
      <c r="AT117">
        <v>6.1</v>
      </c>
      <c r="AU117">
        <v>7.1</v>
      </c>
      <c r="AV117">
        <v>7.6</v>
      </c>
      <c r="AW117">
        <v>6.9333333330000002</v>
      </c>
      <c r="AX117">
        <v>8.0666666669999998</v>
      </c>
      <c r="AY117">
        <v>-6.0333333329999999</v>
      </c>
      <c r="AZ117">
        <v>3</v>
      </c>
      <c r="BA117">
        <v>90</v>
      </c>
      <c r="BB117">
        <v>25</v>
      </c>
      <c r="BC117">
        <v>5</v>
      </c>
      <c r="BD117">
        <v>0</v>
      </c>
      <c r="BE117">
        <v>1</v>
      </c>
      <c r="BF117">
        <v>2</v>
      </c>
      <c r="BG117">
        <v>0</v>
      </c>
      <c r="BI117">
        <v>2.7</v>
      </c>
      <c r="BJ117">
        <v>44.411999999999999</v>
      </c>
      <c r="BK117">
        <v>0</v>
      </c>
      <c r="BL117">
        <v>3</v>
      </c>
      <c r="BM117">
        <v>3</v>
      </c>
      <c r="BN117">
        <v>6</v>
      </c>
      <c r="BO117">
        <v>22</v>
      </c>
      <c r="BP117">
        <v>-16</v>
      </c>
      <c r="BQ117">
        <v>0</v>
      </c>
      <c r="BR117">
        <v>6</v>
      </c>
      <c r="BS117">
        <v>6.47836122</v>
      </c>
      <c r="BT117">
        <v>0.50170263599999998</v>
      </c>
      <c r="BU117">
        <v>7.7800612525000004</v>
      </c>
      <c r="BV117">
        <v>-6.47836122</v>
      </c>
      <c r="BW117">
        <v>0.50170263599999998</v>
      </c>
      <c r="BX117">
        <v>-7.7800612525000004</v>
      </c>
      <c r="BY117">
        <v>56.3803425570838</v>
      </c>
      <c r="BZ117">
        <v>0.11419188238424299</v>
      </c>
      <c r="CA117">
        <v>97.1498701758414</v>
      </c>
      <c r="CB117">
        <v>56.3803425570838</v>
      </c>
      <c r="CC117">
        <v>0.11419188238424299</v>
      </c>
      <c r="CD117">
        <v>97.1498701758414</v>
      </c>
      <c r="CE117">
        <v>0.10649398</v>
      </c>
      <c r="CF117">
        <v>1.55435762989896E-2</v>
      </c>
      <c r="CG117">
        <v>6.9561244615384599E-2</v>
      </c>
      <c r="CH117">
        <v>3.2131957746153801</v>
      </c>
      <c r="CI117">
        <v>0.65137909015384599</v>
      </c>
      <c r="CJ117">
        <v>16.346049428461502</v>
      </c>
      <c r="CK117">
        <v>-2.4098616923076899E-2</v>
      </c>
      <c r="CL117">
        <v>-3.2131957746153801</v>
      </c>
      <c r="CM117">
        <v>0.65137909015384599</v>
      </c>
      <c r="CN117">
        <v>-16.346049428461502</v>
      </c>
      <c r="CO117">
        <v>5.9425467223884797E-3</v>
      </c>
      <c r="CP117">
        <v>34.521371299350498</v>
      </c>
      <c r="CQ117">
        <v>3.9483612449204397E-2</v>
      </c>
      <c r="CR117">
        <v>74.1435527898076</v>
      </c>
      <c r="CS117">
        <v>1.0555405421794299E-2</v>
      </c>
      <c r="CT117">
        <v>34.521371299350498</v>
      </c>
      <c r="CU117">
        <v>3.9483612449204397E-2</v>
      </c>
      <c r="CV117">
        <v>74.1435527898076</v>
      </c>
      <c r="CW117">
        <v>-9.0076920000000005E-2</v>
      </c>
    </row>
    <row r="118" spans="1:101" x14ac:dyDescent="0.25">
      <c r="A118" t="s">
        <v>30</v>
      </c>
      <c r="B118">
        <v>15</v>
      </c>
      <c r="C118" t="s">
        <v>31</v>
      </c>
      <c r="D118" t="s">
        <v>95</v>
      </c>
      <c r="E118" t="s">
        <v>103</v>
      </c>
      <c r="F118" t="s">
        <v>145</v>
      </c>
      <c r="G118" t="s">
        <v>260</v>
      </c>
      <c r="H118" t="s">
        <v>772</v>
      </c>
      <c r="I118" t="s">
        <v>712</v>
      </c>
      <c r="J118" t="s">
        <v>392</v>
      </c>
      <c r="K118">
        <v>7</v>
      </c>
      <c r="L118">
        <v>90</v>
      </c>
      <c r="M118">
        <v>20</v>
      </c>
      <c r="N118">
        <v>90</v>
      </c>
      <c r="O118">
        <v>70</v>
      </c>
      <c r="P118">
        <v>30</v>
      </c>
      <c r="Q118">
        <v>25</v>
      </c>
      <c r="R118">
        <v>10</v>
      </c>
      <c r="S118">
        <v>17.5</v>
      </c>
      <c r="T118">
        <v>0.19444444444444445</v>
      </c>
      <c r="V118" t="s">
        <v>113</v>
      </c>
      <c r="W118">
        <v>35</v>
      </c>
      <c r="X118">
        <v>15.4</v>
      </c>
      <c r="Y118">
        <v>14.9</v>
      </c>
      <c r="Z118">
        <v>12</v>
      </c>
      <c r="AA118">
        <v>14.1</v>
      </c>
      <c r="AB118">
        <v>14.1</v>
      </c>
      <c r="AC118">
        <v>13</v>
      </c>
      <c r="AD118">
        <v>13.5</v>
      </c>
      <c r="AE118">
        <v>12</v>
      </c>
      <c r="AF118">
        <v>12.83333333</v>
      </c>
      <c r="AG118">
        <v>16.899999999999999</v>
      </c>
      <c r="AH118">
        <v>18.399999999999999</v>
      </c>
      <c r="AI118">
        <v>18.399999999999999</v>
      </c>
      <c r="AJ118">
        <v>17.899999999999999</v>
      </c>
      <c r="AK118">
        <v>17.899999999999999</v>
      </c>
      <c r="AL118">
        <v>16.399999999999999</v>
      </c>
      <c r="AM118">
        <v>16.899999999999999</v>
      </c>
      <c r="AN118">
        <v>17.06666667</v>
      </c>
      <c r="AO118">
        <v>17.899999999999999</v>
      </c>
      <c r="AP118">
        <v>7.6</v>
      </c>
      <c r="AQ118">
        <v>8.1</v>
      </c>
      <c r="AR118">
        <v>8.5</v>
      </c>
      <c r="AS118">
        <v>8.0666666669999998</v>
      </c>
      <c r="AT118">
        <v>7.1</v>
      </c>
      <c r="AU118">
        <v>6.1</v>
      </c>
      <c r="AV118">
        <v>6.1</v>
      </c>
      <c r="AW118">
        <v>6.4333333330000002</v>
      </c>
      <c r="AX118">
        <v>8.0666666669999998</v>
      </c>
      <c r="AY118">
        <v>-6.0333333329999999</v>
      </c>
      <c r="AZ118">
        <v>3</v>
      </c>
      <c r="BA118">
        <v>90</v>
      </c>
      <c r="BB118">
        <v>25</v>
      </c>
      <c r="BC118">
        <v>5</v>
      </c>
      <c r="BD118">
        <v>0</v>
      </c>
      <c r="BE118">
        <v>1</v>
      </c>
      <c r="BF118">
        <v>2</v>
      </c>
      <c r="BG118">
        <v>0</v>
      </c>
      <c r="BI118">
        <v>2.7</v>
      </c>
      <c r="BJ118">
        <v>44.411999999999999</v>
      </c>
      <c r="BK118">
        <v>0</v>
      </c>
      <c r="BL118">
        <v>3</v>
      </c>
      <c r="BM118">
        <v>3</v>
      </c>
      <c r="BN118">
        <v>187</v>
      </c>
      <c r="BO118">
        <v>216</v>
      </c>
      <c r="BP118">
        <v>-29</v>
      </c>
      <c r="BQ118">
        <v>45</v>
      </c>
      <c r="BR118">
        <v>142</v>
      </c>
      <c r="BS118">
        <v>14.908490179999999</v>
      </c>
      <c r="BT118">
        <v>0.25829340519999999</v>
      </c>
      <c r="BU118">
        <v>5.1259039700000004</v>
      </c>
      <c r="BV118">
        <v>8.6251568479999996</v>
      </c>
      <c r="BW118">
        <v>-0.24719804319999999</v>
      </c>
      <c r="BX118">
        <v>3.3038169740000001</v>
      </c>
      <c r="BY118">
        <v>121.471702261457</v>
      </c>
      <c r="BZ118">
        <v>9.1594441753561004E-2</v>
      </c>
      <c r="CA118">
        <v>9.5061625289510001</v>
      </c>
      <c r="CB118">
        <v>306.30888825465098</v>
      </c>
      <c r="CC118">
        <v>9.8605205013438904E-2</v>
      </c>
      <c r="CD118">
        <v>28.705768668915098</v>
      </c>
      <c r="CE118">
        <v>0.54108751799999999</v>
      </c>
      <c r="CF118">
        <v>0.98739109537588199</v>
      </c>
      <c r="CG118">
        <v>0.44810459857142898</v>
      </c>
      <c r="CH118">
        <v>14.801518959999999</v>
      </c>
      <c r="CI118">
        <v>0.378220008285714</v>
      </c>
      <c r="CJ118">
        <v>5.8628316700000003</v>
      </c>
      <c r="CK118">
        <v>-0.13775424999999999</v>
      </c>
      <c r="CL118">
        <v>10.313423722857101</v>
      </c>
      <c r="CM118">
        <v>-0.370294749714286</v>
      </c>
      <c r="CN118">
        <v>4.5613409585714297</v>
      </c>
      <c r="CO118">
        <v>0.50441888865794404</v>
      </c>
      <c r="CP118">
        <v>81.014509796537297</v>
      </c>
      <c r="CQ118">
        <v>0.103011599041436</v>
      </c>
      <c r="CR118">
        <v>7.9213737881302597</v>
      </c>
      <c r="CS118">
        <v>0.71654396950370902</v>
      </c>
      <c r="CT118">
        <v>212.51914020525899</v>
      </c>
      <c r="CU118">
        <v>0.109932467543396</v>
      </c>
      <c r="CV118">
        <v>23.7494982802795</v>
      </c>
      <c r="CW118">
        <v>-0.27911487000000001</v>
      </c>
    </row>
    <row r="119" spans="1:101" x14ac:dyDescent="0.25">
      <c r="A119" t="s">
        <v>30</v>
      </c>
      <c r="B119">
        <v>15</v>
      </c>
      <c r="C119" t="s">
        <v>31</v>
      </c>
      <c r="D119" t="s">
        <v>95</v>
      </c>
      <c r="E119" t="s">
        <v>112</v>
      </c>
      <c r="F119" t="s">
        <v>145</v>
      </c>
      <c r="G119" t="s">
        <v>261</v>
      </c>
      <c r="H119" t="s">
        <v>784</v>
      </c>
      <c r="I119" t="s">
        <v>708</v>
      </c>
      <c r="J119" t="s">
        <v>393</v>
      </c>
      <c r="K119" t="s">
        <v>114</v>
      </c>
      <c r="L119">
        <v>60</v>
      </c>
      <c r="M119">
        <v>100</v>
      </c>
      <c r="N119">
        <v>60</v>
      </c>
      <c r="O119">
        <v>-40</v>
      </c>
      <c r="P119">
        <v>60</v>
      </c>
      <c r="Q119">
        <v>35</v>
      </c>
      <c r="R119">
        <v>20</v>
      </c>
      <c r="S119">
        <v>27.5</v>
      </c>
      <c r="T119">
        <v>0.45833333333333331</v>
      </c>
      <c r="V119" t="s">
        <v>103</v>
      </c>
      <c r="W119">
        <v>50</v>
      </c>
      <c r="X119">
        <v>15.4</v>
      </c>
      <c r="Y119">
        <v>14.9</v>
      </c>
      <c r="Z119">
        <v>12</v>
      </c>
      <c r="AA119">
        <v>14.1</v>
      </c>
      <c r="AB119">
        <v>14.1</v>
      </c>
      <c r="AC119">
        <v>13</v>
      </c>
      <c r="AD119">
        <v>12</v>
      </c>
      <c r="AE119">
        <v>12</v>
      </c>
      <c r="AF119">
        <v>12.33333333</v>
      </c>
      <c r="AG119">
        <v>16.899999999999999</v>
      </c>
      <c r="AH119">
        <v>18.399999999999999</v>
      </c>
      <c r="AI119">
        <v>18.399999999999999</v>
      </c>
      <c r="AJ119">
        <v>17.899999999999999</v>
      </c>
      <c r="AK119">
        <v>14.9</v>
      </c>
      <c r="AL119">
        <v>16.899999999999999</v>
      </c>
      <c r="AM119">
        <v>16.899999999999999</v>
      </c>
      <c r="AN119">
        <v>16.233333330000001</v>
      </c>
      <c r="AO119">
        <v>17.899999999999999</v>
      </c>
      <c r="AP119">
        <v>7.6</v>
      </c>
      <c r="AQ119">
        <v>8.1</v>
      </c>
      <c r="AR119">
        <v>8.5</v>
      </c>
      <c r="AS119">
        <v>8.0666666669999998</v>
      </c>
      <c r="AT119">
        <v>5.6</v>
      </c>
      <c r="AU119">
        <v>6.1</v>
      </c>
      <c r="AV119">
        <v>6.1</v>
      </c>
      <c r="AW119">
        <v>5.9333333330000002</v>
      </c>
      <c r="AX119">
        <v>8.0666666669999998</v>
      </c>
      <c r="AY119">
        <v>-6.0333333329999999</v>
      </c>
      <c r="AZ119">
        <v>3</v>
      </c>
      <c r="BA119">
        <v>90</v>
      </c>
      <c r="BB119">
        <v>25</v>
      </c>
      <c r="BC119">
        <v>5</v>
      </c>
      <c r="BD119">
        <v>0</v>
      </c>
      <c r="BE119">
        <v>1</v>
      </c>
      <c r="BF119">
        <v>2</v>
      </c>
      <c r="BG119">
        <v>0</v>
      </c>
      <c r="BI119">
        <v>2.7</v>
      </c>
      <c r="BJ119">
        <v>44.411999999999999</v>
      </c>
      <c r="BK119">
        <v>0</v>
      </c>
      <c r="BL119">
        <v>13</v>
      </c>
      <c r="BM119">
        <v>12</v>
      </c>
      <c r="BN119">
        <v>33</v>
      </c>
      <c r="BO119">
        <v>31.75</v>
      </c>
      <c r="BP119">
        <v>1.25</v>
      </c>
      <c r="BQ119">
        <v>47</v>
      </c>
      <c r="BR119">
        <v>-14</v>
      </c>
      <c r="BS119" t="s">
        <v>114</v>
      </c>
      <c r="BT119" t="s">
        <v>114</v>
      </c>
      <c r="BU119" t="s">
        <v>114</v>
      </c>
      <c r="BV119" t="s">
        <v>114</v>
      </c>
      <c r="BW119" t="s">
        <v>114</v>
      </c>
      <c r="BX119" t="s">
        <v>114</v>
      </c>
      <c r="BY119" t="s">
        <v>114</v>
      </c>
      <c r="BZ119" t="s">
        <v>114</v>
      </c>
      <c r="CA119" t="s">
        <v>114</v>
      </c>
      <c r="CB119" t="s">
        <v>114</v>
      </c>
      <c r="CC119" t="s">
        <v>114</v>
      </c>
      <c r="CD119" t="s">
        <v>114</v>
      </c>
      <c r="CE119" t="s">
        <v>114</v>
      </c>
      <c r="CF119" t="s">
        <v>114</v>
      </c>
      <c r="CG119" t="s">
        <v>114</v>
      </c>
      <c r="CH119" t="s">
        <v>114</v>
      </c>
      <c r="CI119" t="s">
        <v>114</v>
      </c>
      <c r="CJ119" t="s">
        <v>114</v>
      </c>
      <c r="CK119" t="s">
        <v>114</v>
      </c>
      <c r="CL119" t="s">
        <v>114</v>
      </c>
      <c r="CM119" t="s">
        <v>114</v>
      </c>
      <c r="CN119" t="s">
        <v>114</v>
      </c>
      <c r="CO119" t="s">
        <v>114</v>
      </c>
      <c r="CP119" t="s">
        <v>114</v>
      </c>
      <c r="CQ119" t="s">
        <v>114</v>
      </c>
      <c r="CR119" t="s">
        <v>114</v>
      </c>
      <c r="CS119" t="s">
        <v>114</v>
      </c>
      <c r="CT119" t="s">
        <v>114</v>
      </c>
      <c r="CU119" t="s">
        <v>114</v>
      </c>
      <c r="CV119" t="s">
        <v>114</v>
      </c>
      <c r="CW119" t="s">
        <v>114</v>
      </c>
    </row>
    <row r="120" spans="1:101" x14ac:dyDescent="0.25">
      <c r="A120" t="s">
        <v>32</v>
      </c>
      <c r="B120">
        <v>15</v>
      </c>
      <c r="C120" t="s">
        <v>33</v>
      </c>
      <c r="D120" t="s">
        <v>94</v>
      </c>
      <c r="E120" t="s">
        <v>105</v>
      </c>
      <c r="F120" t="s">
        <v>145</v>
      </c>
      <c r="G120" t="s">
        <v>266</v>
      </c>
      <c r="H120" t="s">
        <v>759</v>
      </c>
      <c r="I120" t="s">
        <v>699</v>
      </c>
      <c r="J120" t="s">
        <v>394</v>
      </c>
      <c r="K120">
        <v>3</v>
      </c>
      <c r="L120">
        <v>40</v>
      </c>
      <c r="M120">
        <v>30</v>
      </c>
      <c r="N120">
        <v>40</v>
      </c>
      <c r="O120">
        <v>10</v>
      </c>
      <c r="P120">
        <v>80</v>
      </c>
      <c r="Q120">
        <v>80</v>
      </c>
      <c r="R120">
        <v>60</v>
      </c>
      <c r="S120">
        <v>70</v>
      </c>
      <c r="T120">
        <v>1.75</v>
      </c>
      <c r="U120" t="s">
        <v>15</v>
      </c>
      <c r="V120" t="s">
        <v>114</v>
      </c>
      <c r="W120" t="s">
        <v>114</v>
      </c>
      <c r="X120">
        <v>10.5</v>
      </c>
      <c r="Y120">
        <v>11</v>
      </c>
      <c r="Z120">
        <v>11.5</v>
      </c>
      <c r="AA120">
        <v>11</v>
      </c>
      <c r="AB120">
        <v>11</v>
      </c>
      <c r="AC120">
        <v>16.399999999999999</v>
      </c>
      <c r="AD120">
        <v>16.399999999999999</v>
      </c>
      <c r="AE120">
        <v>15.9</v>
      </c>
      <c r="AF120">
        <v>16.233333330000001</v>
      </c>
      <c r="AG120">
        <v>12.5</v>
      </c>
      <c r="AH120">
        <v>13</v>
      </c>
      <c r="AI120">
        <v>15.4</v>
      </c>
      <c r="AJ120">
        <v>13.633333329999999</v>
      </c>
      <c r="AK120">
        <v>20.3</v>
      </c>
      <c r="AL120">
        <v>18.399999999999999</v>
      </c>
      <c r="AM120">
        <v>17.399999999999999</v>
      </c>
      <c r="AN120">
        <v>18.7</v>
      </c>
      <c r="AO120">
        <v>13.633333329999999</v>
      </c>
      <c r="AP120">
        <v>5.6</v>
      </c>
      <c r="AQ120">
        <v>5.6</v>
      </c>
      <c r="AR120">
        <v>8.5</v>
      </c>
      <c r="AS120">
        <v>6.5666666669999998</v>
      </c>
      <c r="AT120">
        <v>5.0999999999999996</v>
      </c>
      <c r="AU120">
        <v>5.0999999999999996</v>
      </c>
      <c r="AV120">
        <v>6.6</v>
      </c>
      <c r="AW120">
        <v>5.6</v>
      </c>
      <c r="AX120">
        <v>6.5666666669999998</v>
      </c>
      <c r="AY120">
        <v>-4.4333333330000002</v>
      </c>
      <c r="AZ120">
        <v>0</v>
      </c>
      <c r="BA120">
        <v>3</v>
      </c>
      <c r="BB120">
        <v>0</v>
      </c>
      <c r="BC120">
        <v>90</v>
      </c>
      <c r="BD120">
        <v>0</v>
      </c>
      <c r="BE120">
        <v>0</v>
      </c>
      <c r="BF120">
        <v>15</v>
      </c>
      <c r="BG120">
        <v>0</v>
      </c>
      <c r="BI120">
        <v>14.5</v>
      </c>
      <c r="BJ120">
        <v>28.347999999999999</v>
      </c>
      <c r="BK120">
        <v>0</v>
      </c>
      <c r="BL120">
        <v>7</v>
      </c>
      <c r="BM120">
        <v>7</v>
      </c>
      <c r="BN120">
        <v>485</v>
      </c>
      <c r="BO120">
        <v>582</v>
      </c>
      <c r="BP120">
        <v>-97</v>
      </c>
      <c r="BQ120">
        <v>614</v>
      </c>
      <c r="BR120">
        <v>-129</v>
      </c>
      <c r="BS120">
        <v>7.9378109449999998</v>
      </c>
      <c r="BT120">
        <v>0.31519093050000002</v>
      </c>
      <c r="BU120">
        <v>12.555538224999999</v>
      </c>
      <c r="BV120">
        <v>-6.2288557249999998</v>
      </c>
      <c r="BW120">
        <v>0.31519093050000002</v>
      </c>
      <c r="BX120">
        <v>12.436505575</v>
      </c>
      <c r="BY120">
        <v>77.597287285730502</v>
      </c>
      <c r="BZ120">
        <v>7.5937055065941996E-4</v>
      </c>
      <c r="CA120">
        <v>309.333341834012</v>
      </c>
      <c r="CB120">
        <v>126.017685197124</v>
      </c>
      <c r="CC120">
        <v>7.5937055065941996E-4</v>
      </c>
      <c r="CD120">
        <v>315.283080238872</v>
      </c>
      <c r="CE120" t="s">
        <v>114</v>
      </c>
      <c r="CF120" t="s">
        <v>114</v>
      </c>
      <c r="CG120" t="s">
        <v>114</v>
      </c>
      <c r="CH120">
        <v>5.8615257033333297</v>
      </c>
      <c r="CI120">
        <v>0.32168610199999997</v>
      </c>
      <c r="CJ120">
        <v>16.7010400833333</v>
      </c>
      <c r="CK120" t="s">
        <v>114</v>
      </c>
      <c r="CL120">
        <v>-3.5829187433333298</v>
      </c>
      <c r="CM120">
        <v>0.32168610199999997</v>
      </c>
      <c r="CN120">
        <v>16.621684983333299</v>
      </c>
      <c r="CO120" t="s">
        <v>114</v>
      </c>
      <c r="CP120">
        <v>51.731524857153701</v>
      </c>
      <c r="CQ120">
        <v>5.0624703377294704E-4</v>
      </c>
      <c r="CR120">
        <v>206.22222788934101</v>
      </c>
      <c r="CS120" t="s">
        <v>114</v>
      </c>
      <c r="CT120">
        <v>84.011790131415694</v>
      </c>
      <c r="CU120">
        <v>5.0624703377294704E-4</v>
      </c>
      <c r="CV120">
        <v>210.18872015924799</v>
      </c>
      <c r="CW120" t="s">
        <v>114</v>
      </c>
    </row>
    <row r="121" spans="1:101" x14ac:dyDescent="0.25">
      <c r="A121" t="s">
        <v>34</v>
      </c>
      <c r="B121">
        <v>15</v>
      </c>
      <c r="C121" t="s">
        <v>35</v>
      </c>
      <c r="D121" t="s">
        <v>94</v>
      </c>
      <c r="E121" t="s">
        <v>112</v>
      </c>
      <c r="F121" t="s">
        <v>145</v>
      </c>
      <c r="G121" t="s">
        <v>261</v>
      </c>
      <c r="H121" t="s">
        <v>783</v>
      </c>
      <c r="I121" t="s">
        <v>713</v>
      </c>
      <c r="J121" t="s">
        <v>395</v>
      </c>
      <c r="K121">
        <v>1</v>
      </c>
      <c r="L121">
        <v>35</v>
      </c>
      <c r="M121">
        <v>10</v>
      </c>
      <c r="N121">
        <v>35</v>
      </c>
      <c r="O121">
        <v>25</v>
      </c>
      <c r="P121">
        <v>35</v>
      </c>
      <c r="Q121">
        <v>35</v>
      </c>
      <c r="R121">
        <v>20</v>
      </c>
      <c r="S121">
        <v>27.5</v>
      </c>
      <c r="T121">
        <v>0.7857142857142857</v>
      </c>
      <c r="V121" t="s">
        <v>112</v>
      </c>
      <c r="W121">
        <v>10</v>
      </c>
      <c r="X121">
        <v>8.5</v>
      </c>
      <c r="Y121">
        <v>8.5</v>
      </c>
      <c r="Z121">
        <v>10</v>
      </c>
      <c r="AA121">
        <v>9</v>
      </c>
      <c r="AB121">
        <v>9</v>
      </c>
      <c r="AC121">
        <v>8.1</v>
      </c>
      <c r="AD121">
        <v>8.5</v>
      </c>
      <c r="AE121">
        <v>9.5</v>
      </c>
      <c r="AF121">
        <v>8.6999999999999993</v>
      </c>
      <c r="AG121">
        <v>12</v>
      </c>
      <c r="AH121">
        <v>10</v>
      </c>
      <c r="AI121">
        <v>10.5</v>
      </c>
      <c r="AJ121">
        <v>10.83333333</v>
      </c>
      <c r="AK121">
        <v>9</v>
      </c>
      <c r="AL121">
        <v>8.5</v>
      </c>
      <c r="AM121">
        <v>10.5</v>
      </c>
      <c r="AN121">
        <v>9.3333333330000006</v>
      </c>
      <c r="AO121">
        <v>10.83333333</v>
      </c>
      <c r="AP121">
        <v>4.0999999999999996</v>
      </c>
      <c r="AQ121">
        <v>4.5999999999999996</v>
      </c>
      <c r="AR121">
        <v>4.0999999999999996</v>
      </c>
      <c r="AS121">
        <v>4.266666667</v>
      </c>
      <c r="AT121">
        <v>2.2000000000000002</v>
      </c>
      <c r="AU121">
        <v>4.0999999999999996</v>
      </c>
      <c r="AV121">
        <v>4.0999999999999996</v>
      </c>
      <c r="AW121">
        <v>3.4666666670000001</v>
      </c>
      <c r="AX121">
        <v>4.266666667</v>
      </c>
      <c r="AY121">
        <v>-4.733333333</v>
      </c>
      <c r="AZ121">
        <v>80</v>
      </c>
      <c r="BA121">
        <v>1</v>
      </c>
      <c r="BB121">
        <v>4</v>
      </c>
      <c r="BC121">
        <v>1</v>
      </c>
      <c r="BD121">
        <v>1</v>
      </c>
      <c r="BE121">
        <v>0</v>
      </c>
      <c r="BF121">
        <v>10</v>
      </c>
      <c r="BG121">
        <v>0</v>
      </c>
      <c r="BI121">
        <v>6.7</v>
      </c>
      <c r="BJ121">
        <v>8.1159999999999997</v>
      </c>
      <c r="BK121">
        <v>0</v>
      </c>
      <c r="BL121">
        <v>124</v>
      </c>
      <c r="BM121">
        <v>83</v>
      </c>
      <c r="BN121">
        <v>267</v>
      </c>
      <c r="BO121">
        <v>76</v>
      </c>
      <c r="BP121">
        <v>191</v>
      </c>
      <c r="BQ121">
        <v>111</v>
      </c>
      <c r="BR121">
        <v>156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 t="s">
        <v>114</v>
      </c>
      <c r="BZ121" t="s">
        <v>114</v>
      </c>
      <c r="CA121" t="s">
        <v>114</v>
      </c>
      <c r="CB121" t="s">
        <v>114</v>
      </c>
      <c r="CC121" t="s">
        <v>114</v>
      </c>
      <c r="CD121" t="s">
        <v>114</v>
      </c>
      <c r="CE121">
        <v>0</v>
      </c>
      <c r="CF121" t="s">
        <v>114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 t="s">
        <v>114</v>
      </c>
      <c r="CP121" t="s">
        <v>114</v>
      </c>
      <c r="CQ121" t="s">
        <v>114</v>
      </c>
      <c r="CR121" t="s">
        <v>114</v>
      </c>
      <c r="CS121" t="s">
        <v>114</v>
      </c>
      <c r="CT121" t="s">
        <v>114</v>
      </c>
      <c r="CU121" t="s">
        <v>114</v>
      </c>
      <c r="CV121" t="s">
        <v>114</v>
      </c>
      <c r="CW121">
        <v>0</v>
      </c>
    </row>
    <row r="122" spans="1:101" x14ac:dyDescent="0.25">
      <c r="A122" t="s">
        <v>36</v>
      </c>
      <c r="B122">
        <v>15</v>
      </c>
      <c r="C122" t="s">
        <v>37</v>
      </c>
      <c r="D122" t="s">
        <v>95</v>
      </c>
      <c r="E122" t="s">
        <v>110</v>
      </c>
      <c r="F122" t="s">
        <v>145</v>
      </c>
      <c r="G122" t="s">
        <v>262</v>
      </c>
      <c r="H122" t="s">
        <v>768</v>
      </c>
      <c r="I122" t="s">
        <v>705</v>
      </c>
      <c r="J122" t="s">
        <v>396</v>
      </c>
      <c r="K122">
        <v>1</v>
      </c>
      <c r="L122">
        <v>120</v>
      </c>
      <c r="M122">
        <v>55</v>
      </c>
      <c r="N122">
        <v>120</v>
      </c>
      <c r="O122">
        <v>65</v>
      </c>
      <c r="P122">
        <v>10</v>
      </c>
      <c r="Q122">
        <v>30</v>
      </c>
      <c r="R122">
        <v>10</v>
      </c>
      <c r="S122">
        <v>20</v>
      </c>
      <c r="T122">
        <v>0.16666666666666666</v>
      </c>
      <c r="V122" t="s">
        <v>121</v>
      </c>
      <c r="W122" t="s">
        <v>114</v>
      </c>
      <c r="X122">
        <v>20.8</v>
      </c>
      <c r="Y122">
        <v>24.7</v>
      </c>
      <c r="Z122">
        <v>17.399999999999999</v>
      </c>
      <c r="AA122">
        <v>20.966666669999999</v>
      </c>
      <c r="AB122">
        <v>20.966666669999999</v>
      </c>
      <c r="AC122">
        <v>19.8</v>
      </c>
      <c r="AD122">
        <v>17.899999999999999</v>
      </c>
      <c r="AE122">
        <v>21.3</v>
      </c>
      <c r="AF122">
        <v>19.666666670000001</v>
      </c>
      <c r="AG122">
        <v>25.7</v>
      </c>
      <c r="AH122">
        <v>26.7</v>
      </c>
      <c r="AI122">
        <v>25.7</v>
      </c>
      <c r="AJ122">
        <v>26.033333330000001</v>
      </c>
      <c r="AK122">
        <v>22.8</v>
      </c>
      <c r="AL122">
        <v>21.3</v>
      </c>
      <c r="AM122">
        <v>21.8</v>
      </c>
      <c r="AN122">
        <v>21.966666669999999</v>
      </c>
      <c r="AO122">
        <v>26.033333330000001</v>
      </c>
      <c r="AP122">
        <v>13</v>
      </c>
      <c r="AQ122">
        <v>9.5</v>
      </c>
      <c r="AR122">
        <v>8.5</v>
      </c>
      <c r="AS122">
        <v>10.33333333</v>
      </c>
      <c r="AT122">
        <v>8.5</v>
      </c>
      <c r="AU122">
        <v>10.5</v>
      </c>
      <c r="AV122">
        <v>11.5</v>
      </c>
      <c r="AW122">
        <v>10.16666667</v>
      </c>
      <c r="AX122">
        <v>10.33333333</v>
      </c>
      <c r="AY122">
        <v>-10.633333329999999</v>
      </c>
      <c r="AZ122">
        <v>50</v>
      </c>
      <c r="BA122">
        <v>1</v>
      </c>
      <c r="BB122">
        <v>0</v>
      </c>
      <c r="BC122">
        <v>15</v>
      </c>
      <c r="BD122">
        <v>1</v>
      </c>
      <c r="BE122">
        <v>1</v>
      </c>
      <c r="BF122">
        <v>0</v>
      </c>
      <c r="BG122">
        <v>0</v>
      </c>
      <c r="BI122">
        <v>9</v>
      </c>
      <c r="BJ122">
        <v>45.8</v>
      </c>
      <c r="BK122">
        <v>0</v>
      </c>
      <c r="BL122">
        <v>3</v>
      </c>
      <c r="BM122">
        <v>3</v>
      </c>
      <c r="BN122">
        <v>3</v>
      </c>
      <c r="BO122">
        <v>4.6666670000000003</v>
      </c>
      <c r="BP122">
        <v>-1.6666670000000003</v>
      </c>
      <c r="BQ122">
        <v>2</v>
      </c>
      <c r="BR122">
        <v>1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 t="s">
        <v>114</v>
      </c>
      <c r="BZ122" t="s">
        <v>114</v>
      </c>
      <c r="CA122" t="s">
        <v>114</v>
      </c>
      <c r="CB122" t="s">
        <v>114</v>
      </c>
      <c r="CC122" t="s">
        <v>114</v>
      </c>
      <c r="CD122" t="s">
        <v>114</v>
      </c>
      <c r="CE122">
        <v>0</v>
      </c>
      <c r="CF122" t="s">
        <v>114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 t="s">
        <v>114</v>
      </c>
      <c r="CP122" t="s">
        <v>114</v>
      </c>
      <c r="CQ122" t="s">
        <v>114</v>
      </c>
      <c r="CR122" t="s">
        <v>114</v>
      </c>
      <c r="CS122" t="s">
        <v>114</v>
      </c>
      <c r="CT122" t="s">
        <v>114</v>
      </c>
      <c r="CU122" t="s">
        <v>114</v>
      </c>
      <c r="CV122" t="s">
        <v>114</v>
      </c>
      <c r="CW122">
        <v>0</v>
      </c>
    </row>
    <row r="123" spans="1:101" x14ac:dyDescent="0.25">
      <c r="A123" t="s">
        <v>36</v>
      </c>
      <c r="B123">
        <v>15</v>
      </c>
      <c r="C123" t="s">
        <v>37</v>
      </c>
      <c r="D123" t="s">
        <v>95</v>
      </c>
      <c r="E123" t="s">
        <v>104</v>
      </c>
      <c r="F123" t="s">
        <v>145</v>
      </c>
      <c r="G123" t="s">
        <v>264</v>
      </c>
      <c r="H123" t="s">
        <v>780</v>
      </c>
      <c r="I123" t="s">
        <v>707</v>
      </c>
      <c r="J123" t="s">
        <v>397</v>
      </c>
      <c r="K123">
        <v>3</v>
      </c>
      <c r="L123">
        <v>55</v>
      </c>
      <c r="M123">
        <v>80</v>
      </c>
      <c r="N123">
        <v>55</v>
      </c>
      <c r="O123">
        <v>-25</v>
      </c>
      <c r="P123">
        <v>15</v>
      </c>
      <c r="Q123">
        <v>30</v>
      </c>
      <c r="R123">
        <v>15</v>
      </c>
      <c r="S123">
        <v>22.5</v>
      </c>
      <c r="T123">
        <v>0.40909090909090912</v>
      </c>
      <c r="V123" t="s">
        <v>121</v>
      </c>
      <c r="W123" t="s">
        <v>114</v>
      </c>
      <c r="X123">
        <v>20.8</v>
      </c>
      <c r="Y123">
        <v>24.7</v>
      </c>
      <c r="Z123">
        <v>17.399999999999999</v>
      </c>
      <c r="AA123">
        <v>20.966666669999999</v>
      </c>
      <c r="AB123">
        <v>20.966666669999999</v>
      </c>
      <c r="AC123">
        <v>21.3</v>
      </c>
      <c r="AD123">
        <v>21.8</v>
      </c>
      <c r="AE123">
        <v>17.899999999999999</v>
      </c>
      <c r="AF123">
        <v>20.333333329999999</v>
      </c>
      <c r="AG123">
        <v>25.7</v>
      </c>
      <c r="AH123">
        <v>26.7</v>
      </c>
      <c r="AI123">
        <v>25.7</v>
      </c>
      <c r="AJ123">
        <v>26.033333330000001</v>
      </c>
      <c r="AK123">
        <v>24.3</v>
      </c>
      <c r="AL123">
        <v>23.8</v>
      </c>
      <c r="AM123">
        <v>26.7</v>
      </c>
      <c r="AN123">
        <v>24.93333333</v>
      </c>
      <c r="AO123">
        <v>26.033333330000001</v>
      </c>
      <c r="AP123">
        <v>13</v>
      </c>
      <c r="AQ123">
        <v>9.5</v>
      </c>
      <c r="AR123">
        <v>8.5</v>
      </c>
      <c r="AS123">
        <v>10.33333333</v>
      </c>
      <c r="AT123">
        <v>9</v>
      </c>
      <c r="AU123">
        <v>11</v>
      </c>
      <c r="AV123">
        <v>12</v>
      </c>
      <c r="AW123">
        <v>10.66666667</v>
      </c>
      <c r="AX123">
        <v>10.33333333</v>
      </c>
      <c r="AY123">
        <v>-10.633333329999999</v>
      </c>
      <c r="AZ123">
        <v>50</v>
      </c>
      <c r="BA123">
        <v>1</v>
      </c>
      <c r="BB123">
        <v>0</v>
      </c>
      <c r="BC123">
        <v>15</v>
      </c>
      <c r="BD123">
        <v>1</v>
      </c>
      <c r="BE123">
        <v>1</v>
      </c>
      <c r="BF123">
        <v>0</v>
      </c>
      <c r="BG123">
        <v>0</v>
      </c>
      <c r="BI123">
        <v>9</v>
      </c>
      <c r="BJ123">
        <v>45.8</v>
      </c>
      <c r="BK123">
        <v>0</v>
      </c>
      <c r="BL123">
        <v>10</v>
      </c>
      <c r="BM123">
        <v>8</v>
      </c>
      <c r="BN123">
        <v>38</v>
      </c>
      <c r="BO123">
        <v>154.66666699999999</v>
      </c>
      <c r="BP123">
        <v>-116.66666699999999</v>
      </c>
      <c r="BQ123">
        <v>174</v>
      </c>
      <c r="BR123">
        <v>-136</v>
      </c>
      <c r="BS123">
        <v>16.788369963333299</v>
      </c>
      <c r="BT123">
        <v>1.0841662963333301</v>
      </c>
      <c r="BU123">
        <v>3.7815373033333302</v>
      </c>
      <c r="BV123">
        <v>16.788369963333299</v>
      </c>
      <c r="BW123">
        <v>0.45139962966666702</v>
      </c>
      <c r="BX123">
        <v>2.2581889766666698</v>
      </c>
      <c r="BY123">
        <v>250.031691811581</v>
      </c>
      <c r="BZ123">
        <v>1.3400260763210601</v>
      </c>
      <c r="CA123">
        <v>22.198707554638599</v>
      </c>
      <c r="CB123">
        <v>250.031691811581</v>
      </c>
      <c r="CC123">
        <v>2.7975084749839598</v>
      </c>
      <c r="CD123">
        <v>35.999617937882597</v>
      </c>
      <c r="CE123" t="s">
        <v>114</v>
      </c>
      <c r="CF123" t="s">
        <v>114</v>
      </c>
      <c r="CG123" t="s">
        <v>114</v>
      </c>
      <c r="CH123">
        <v>16.788369963333299</v>
      </c>
      <c r="CI123">
        <v>1.0841662963333301</v>
      </c>
      <c r="CJ123">
        <v>3.7815373033333302</v>
      </c>
      <c r="CK123" t="s">
        <v>114</v>
      </c>
      <c r="CL123">
        <v>16.788369963333299</v>
      </c>
      <c r="CM123">
        <v>0.45139962966666702</v>
      </c>
      <c r="CN123">
        <v>2.2581889766666698</v>
      </c>
      <c r="CO123" t="s">
        <v>114</v>
      </c>
      <c r="CP123">
        <v>250.031691811581</v>
      </c>
      <c r="CQ123">
        <v>1.3400260763210601</v>
      </c>
      <c r="CR123">
        <v>22.198707554638599</v>
      </c>
      <c r="CS123" t="s">
        <v>114</v>
      </c>
      <c r="CT123">
        <v>250.031691811581</v>
      </c>
      <c r="CU123">
        <v>2.7975084749839598</v>
      </c>
      <c r="CV123">
        <v>35.999617937882597</v>
      </c>
      <c r="CW123" t="s">
        <v>114</v>
      </c>
    </row>
    <row r="124" spans="1:101" x14ac:dyDescent="0.25">
      <c r="A124" t="s">
        <v>38</v>
      </c>
      <c r="B124">
        <v>2</v>
      </c>
      <c r="C124" t="s">
        <v>11</v>
      </c>
      <c r="D124" t="s">
        <v>95</v>
      </c>
      <c r="E124" t="s">
        <v>113</v>
      </c>
      <c r="F124" t="s">
        <v>145</v>
      </c>
      <c r="G124" t="s">
        <v>259</v>
      </c>
      <c r="H124" t="s">
        <v>764</v>
      </c>
      <c r="I124" t="s">
        <v>714</v>
      </c>
      <c r="J124" t="s">
        <v>398</v>
      </c>
      <c r="K124">
        <v>3</v>
      </c>
      <c r="L124">
        <v>50</v>
      </c>
      <c r="M124">
        <v>70</v>
      </c>
      <c r="N124">
        <v>50</v>
      </c>
      <c r="O124">
        <v>-20</v>
      </c>
      <c r="P124">
        <v>9</v>
      </c>
      <c r="Q124">
        <v>7</v>
      </c>
      <c r="R124">
        <v>5</v>
      </c>
      <c r="S124">
        <v>6</v>
      </c>
      <c r="T124">
        <v>0.12</v>
      </c>
      <c r="V124" t="s">
        <v>103</v>
      </c>
      <c r="W124">
        <v>60</v>
      </c>
      <c r="X124">
        <v>18.399999999999999</v>
      </c>
      <c r="Y124">
        <v>16.399999999999999</v>
      </c>
      <c r="Z124">
        <v>18.399999999999999</v>
      </c>
      <c r="AA124">
        <v>17.733333330000001</v>
      </c>
      <c r="AB124">
        <v>17.733333330000001</v>
      </c>
      <c r="AC124">
        <v>18.399999999999999</v>
      </c>
      <c r="AD124">
        <v>18.399999999999999</v>
      </c>
      <c r="AE124">
        <v>17.899999999999999</v>
      </c>
      <c r="AF124">
        <v>18.233333330000001</v>
      </c>
      <c r="AG124">
        <v>15.9</v>
      </c>
      <c r="AH124">
        <v>18.399999999999999</v>
      </c>
      <c r="AI124">
        <v>17.399999999999999</v>
      </c>
      <c r="AJ124">
        <v>17.233333330000001</v>
      </c>
      <c r="AK124">
        <v>18.399999999999999</v>
      </c>
      <c r="AL124">
        <v>16.899999999999999</v>
      </c>
      <c r="AM124">
        <v>17.399999999999999</v>
      </c>
      <c r="AN124">
        <v>17.56666667</v>
      </c>
      <c r="AO124">
        <v>17.233333330000001</v>
      </c>
      <c r="AP124">
        <v>6.1</v>
      </c>
      <c r="AQ124">
        <v>6.1</v>
      </c>
      <c r="AR124" t="s">
        <v>114</v>
      </c>
      <c r="AS124">
        <v>6.1</v>
      </c>
      <c r="AT124">
        <v>4.0999999999999996</v>
      </c>
      <c r="AU124" t="s">
        <v>114</v>
      </c>
      <c r="AV124" t="s">
        <v>114</v>
      </c>
      <c r="AW124">
        <v>4.0999999999999996</v>
      </c>
      <c r="AX124">
        <v>6.1</v>
      </c>
      <c r="AY124">
        <v>-11.633333329999999</v>
      </c>
      <c r="AZ124">
        <v>75</v>
      </c>
      <c r="BA124">
        <v>20</v>
      </c>
      <c r="BB124">
        <v>1</v>
      </c>
      <c r="BC124">
        <v>1</v>
      </c>
      <c r="BD124">
        <v>4</v>
      </c>
      <c r="BE124">
        <v>0</v>
      </c>
      <c r="BF124">
        <v>1</v>
      </c>
      <c r="BG124">
        <v>0</v>
      </c>
      <c r="BI124">
        <v>4.7</v>
      </c>
      <c r="BJ124">
        <v>42.4</v>
      </c>
      <c r="BK124">
        <v>0</v>
      </c>
      <c r="BL124">
        <v>1</v>
      </c>
      <c r="BM124">
        <v>1</v>
      </c>
      <c r="BN124" t="s">
        <v>114</v>
      </c>
      <c r="BO124">
        <v>0</v>
      </c>
      <c r="BP124" t="s">
        <v>114</v>
      </c>
      <c r="BQ124" t="s">
        <v>114</v>
      </c>
      <c r="BR124" t="s">
        <v>114</v>
      </c>
      <c r="BS124">
        <v>14.53409091</v>
      </c>
      <c r="BT124">
        <v>0.67803651600000003</v>
      </c>
      <c r="BU124">
        <v>7.7051509200000003</v>
      </c>
      <c r="BV124">
        <v>-14.53409091</v>
      </c>
      <c r="BW124">
        <v>0.67803651600000003</v>
      </c>
      <c r="BX124">
        <v>-7.7051509200000003</v>
      </c>
      <c r="BY124" t="s">
        <v>114</v>
      </c>
      <c r="BZ124" t="s">
        <v>114</v>
      </c>
      <c r="CA124" t="s">
        <v>114</v>
      </c>
      <c r="CB124" t="s">
        <v>114</v>
      </c>
      <c r="CC124" t="s">
        <v>114</v>
      </c>
      <c r="CD124" t="s">
        <v>114</v>
      </c>
      <c r="CE124">
        <v>0.21564729999999999</v>
      </c>
      <c r="CF124" t="s">
        <v>114</v>
      </c>
      <c r="CG124">
        <v>0.21564729999999999</v>
      </c>
      <c r="CH124">
        <v>14.53409091</v>
      </c>
      <c r="CI124">
        <v>0.67803651600000003</v>
      </c>
      <c r="CJ124">
        <v>7.7051509200000003</v>
      </c>
      <c r="CK124">
        <v>-0.21564729999999999</v>
      </c>
      <c r="CL124">
        <v>-14.53409091</v>
      </c>
      <c r="CM124">
        <v>0.67803651600000003</v>
      </c>
      <c r="CN124">
        <v>-7.7051509200000003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-0.21564729999999999</v>
      </c>
    </row>
    <row r="125" spans="1:101" x14ac:dyDescent="0.25">
      <c r="A125" t="s">
        <v>38</v>
      </c>
      <c r="B125">
        <v>2</v>
      </c>
      <c r="C125" t="s">
        <v>11</v>
      </c>
      <c r="D125" t="s">
        <v>95</v>
      </c>
      <c r="E125" t="s">
        <v>103</v>
      </c>
      <c r="F125" t="s">
        <v>145</v>
      </c>
      <c r="G125" t="s">
        <v>260</v>
      </c>
      <c r="H125" t="s">
        <v>772</v>
      </c>
      <c r="I125" t="s">
        <v>715</v>
      </c>
      <c r="J125" t="s">
        <v>399</v>
      </c>
      <c r="K125">
        <v>9</v>
      </c>
      <c r="L125">
        <v>90</v>
      </c>
      <c r="M125">
        <v>35</v>
      </c>
      <c r="N125">
        <v>90</v>
      </c>
      <c r="O125">
        <v>55</v>
      </c>
      <c r="P125">
        <v>23</v>
      </c>
      <c r="Q125">
        <v>25</v>
      </c>
      <c r="R125">
        <v>25</v>
      </c>
      <c r="S125">
        <v>25</v>
      </c>
      <c r="T125">
        <v>0.27777777777777779</v>
      </c>
      <c r="V125" t="s">
        <v>103</v>
      </c>
      <c r="W125">
        <v>50</v>
      </c>
      <c r="X125">
        <v>18.399999999999999</v>
      </c>
      <c r="Y125">
        <v>16.399999999999999</v>
      </c>
      <c r="Z125">
        <v>18.399999999999999</v>
      </c>
      <c r="AA125">
        <v>17.733333330000001</v>
      </c>
      <c r="AB125">
        <v>17.733333330000001</v>
      </c>
      <c r="AC125">
        <v>18.399999999999999</v>
      </c>
      <c r="AD125">
        <v>18.899999999999999</v>
      </c>
      <c r="AE125">
        <v>17.399999999999999</v>
      </c>
      <c r="AF125">
        <v>18.233333330000001</v>
      </c>
      <c r="AG125">
        <v>15.9</v>
      </c>
      <c r="AH125">
        <v>18.399999999999999</v>
      </c>
      <c r="AI125">
        <v>17.399999999999999</v>
      </c>
      <c r="AJ125">
        <v>17.233333330000001</v>
      </c>
      <c r="AK125">
        <v>19.3</v>
      </c>
      <c r="AL125">
        <v>20.8</v>
      </c>
      <c r="AM125">
        <v>19.8</v>
      </c>
      <c r="AN125">
        <v>19.966666669999999</v>
      </c>
      <c r="AO125">
        <v>17.233333330000001</v>
      </c>
      <c r="AP125">
        <v>6.1</v>
      </c>
      <c r="AQ125">
        <v>6.1</v>
      </c>
      <c r="AR125" t="s">
        <v>114</v>
      </c>
      <c r="AS125">
        <v>6.1</v>
      </c>
      <c r="AT125">
        <v>4.0999999999999996</v>
      </c>
      <c r="AU125" t="s">
        <v>114</v>
      </c>
      <c r="AV125" t="s">
        <v>114</v>
      </c>
      <c r="AW125">
        <v>4.0999999999999996</v>
      </c>
      <c r="AX125">
        <v>6.1</v>
      </c>
      <c r="AY125">
        <v>-11.633333329999999</v>
      </c>
      <c r="AZ125">
        <v>75</v>
      </c>
      <c r="BA125">
        <v>20</v>
      </c>
      <c r="BB125">
        <v>1</v>
      </c>
      <c r="BC125">
        <v>1</v>
      </c>
      <c r="BD125">
        <v>4</v>
      </c>
      <c r="BE125">
        <v>0</v>
      </c>
      <c r="BF125">
        <v>1</v>
      </c>
      <c r="BG125">
        <v>0</v>
      </c>
      <c r="BI125">
        <v>4.7</v>
      </c>
      <c r="BJ125">
        <v>42.4</v>
      </c>
      <c r="BK125">
        <v>0</v>
      </c>
      <c r="BL125">
        <v>5</v>
      </c>
      <c r="BM125">
        <v>5</v>
      </c>
      <c r="BN125">
        <v>247</v>
      </c>
      <c r="BO125">
        <v>196.5</v>
      </c>
      <c r="BP125">
        <v>50.5</v>
      </c>
      <c r="BQ125">
        <v>175</v>
      </c>
      <c r="BR125">
        <v>72</v>
      </c>
      <c r="BS125">
        <v>7.2670454549999999</v>
      </c>
      <c r="BT125">
        <v>0.33901825800000002</v>
      </c>
      <c r="BU125">
        <v>3.8525754600000002</v>
      </c>
      <c r="BV125">
        <v>7.2670454549999999</v>
      </c>
      <c r="BW125">
        <v>-0.33901825800000002</v>
      </c>
      <c r="BX125">
        <v>3.8525754600000002</v>
      </c>
      <c r="BY125">
        <v>105.619899290072</v>
      </c>
      <c r="BZ125">
        <v>0.229866758514709</v>
      </c>
      <c r="CA125">
        <v>29.6846753499884</v>
      </c>
      <c r="CB125">
        <v>105.619899290072</v>
      </c>
      <c r="CC125">
        <v>0.229866758514709</v>
      </c>
      <c r="CD125">
        <v>29.6846753499884</v>
      </c>
      <c r="CE125">
        <v>0.10782364999999999</v>
      </c>
      <c r="CF125">
        <v>2.3251878998645E-2</v>
      </c>
      <c r="CG125">
        <v>4.7921622222222203E-2</v>
      </c>
      <c r="CH125">
        <v>3.2297979799999998</v>
      </c>
      <c r="CI125">
        <v>0.15067478133333301</v>
      </c>
      <c r="CJ125">
        <v>1.7122557599999999</v>
      </c>
      <c r="CK125">
        <v>4.7921622222222203E-2</v>
      </c>
      <c r="CL125">
        <v>3.2297979799999998</v>
      </c>
      <c r="CM125">
        <v>-0.15067478133333301</v>
      </c>
      <c r="CN125">
        <v>1.7122557599999999</v>
      </c>
      <c r="CO125">
        <v>9.0423973883619405E-3</v>
      </c>
      <c r="CP125">
        <v>41.0744052794726</v>
      </c>
      <c r="CQ125">
        <v>8.9392628311275799E-2</v>
      </c>
      <c r="CR125">
        <v>11.544040413884399</v>
      </c>
      <c r="CS125">
        <v>9.0423973883619405E-3</v>
      </c>
      <c r="CT125">
        <v>41.0744052794726</v>
      </c>
      <c r="CU125">
        <v>8.9392628311275799E-2</v>
      </c>
      <c r="CV125">
        <v>11.544040413884399</v>
      </c>
      <c r="CW125">
        <v>0.10782364999999999</v>
      </c>
    </row>
    <row r="126" spans="1:101" x14ac:dyDescent="0.25">
      <c r="A126" t="s">
        <v>38</v>
      </c>
      <c r="B126">
        <v>2</v>
      </c>
      <c r="C126" t="s">
        <v>11</v>
      </c>
      <c r="D126" t="s">
        <v>95</v>
      </c>
      <c r="E126" t="s">
        <v>111</v>
      </c>
      <c r="F126" t="s">
        <v>145</v>
      </c>
      <c r="G126" t="s">
        <v>263</v>
      </c>
      <c r="H126" t="s">
        <v>776</v>
      </c>
      <c r="I126" t="s">
        <v>716</v>
      </c>
      <c r="J126" t="s">
        <v>400</v>
      </c>
      <c r="K126">
        <v>2</v>
      </c>
      <c r="L126">
        <v>270</v>
      </c>
      <c r="M126">
        <v>230</v>
      </c>
      <c r="N126">
        <v>270</v>
      </c>
      <c r="O126">
        <v>40</v>
      </c>
      <c r="P126">
        <v>75</v>
      </c>
      <c r="Q126">
        <v>200</v>
      </c>
      <c r="R126">
        <v>60</v>
      </c>
      <c r="S126">
        <v>130</v>
      </c>
      <c r="T126">
        <v>0.48148148148148145</v>
      </c>
      <c r="V126" t="s">
        <v>103</v>
      </c>
      <c r="W126">
        <v>50</v>
      </c>
      <c r="X126">
        <v>18.399999999999999</v>
      </c>
      <c r="Y126">
        <v>16.399999999999999</v>
      </c>
      <c r="Z126">
        <v>18.399999999999999</v>
      </c>
      <c r="AA126">
        <v>17.733333330000001</v>
      </c>
      <c r="AB126">
        <v>17.733333330000001</v>
      </c>
      <c r="AC126">
        <v>17.399999999999999</v>
      </c>
      <c r="AD126">
        <v>17.899999999999999</v>
      </c>
      <c r="AE126">
        <v>18.399999999999999</v>
      </c>
      <c r="AF126">
        <v>17.899999999999999</v>
      </c>
      <c r="AG126">
        <v>15.9</v>
      </c>
      <c r="AH126">
        <v>18.399999999999999</v>
      </c>
      <c r="AI126">
        <v>17.399999999999999</v>
      </c>
      <c r="AJ126">
        <v>17.233333330000001</v>
      </c>
      <c r="AK126">
        <v>18.399999999999999</v>
      </c>
      <c r="AL126">
        <v>21.3</v>
      </c>
      <c r="AM126">
        <v>20.8</v>
      </c>
      <c r="AN126">
        <v>20.166666670000001</v>
      </c>
      <c r="AO126">
        <v>17.233333330000001</v>
      </c>
      <c r="AP126">
        <v>6.1</v>
      </c>
      <c r="AQ126">
        <v>6.1</v>
      </c>
      <c r="AR126" t="s">
        <v>114</v>
      </c>
      <c r="AS126">
        <v>6.1</v>
      </c>
      <c r="AT126">
        <v>5.0999999999999996</v>
      </c>
      <c r="AU126" t="s">
        <v>114</v>
      </c>
      <c r="AV126" t="s">
        <v>114</v>
      </c>
      <c r="AW126">
        <v>5.0999999999999996</v>
      </c>
      <c r="AX126">
        <v>6.1</v>
      </c>
      <c r="AY126">
        <v>-11.633333329999999</v>
      </c>
      <c r="AZ126">
        <v>75</v>
      </c>
      <c r="BA126">
        <v>20</v>
      </c>
      <c r="BB126">
        <v>1</v>
      </c>
      <c r="BC126">
        <v>1</v>
      </c>
      <c r="BD126">
        <v>4</v>
      </c>
      <c r="BE126">
        <v>0</v>
      </c>
      <c r="BF126">
        <v>1</v>
      </c>
      <c r="BG126">
        <v>0</v>
      </c>
      <c r="BI126">
        <v>4.7</v>
      </c>
      <c r="BJ126">
        <v>42.4</v>
      </c>
      <c r="BK126">
        <v>0</v>
      </c>
      <c r="BL126">
        <v>51</v>
      </c>
      <c r="BM126">
        <v>38</v>
      </c>
      <c r="BN126">
        <v>2226</v>
      </c>
      <c r="BO126">
        <v>177.5</v>
      </c>
      <c r="BP126">
        <v>2048.5</v>
      </c>
      <c r="BQ126">
        <v>355</v>
      </c>
      <c r="BR126">
        <v>1871</v>
      </c>
      <c r="BS126">
        <v>3.3202381000000001</v>
      </c>
      <c r="BT126">
        <v>7.2147627000000006E-2</v>
      </c>
      <c r="BU126">
        <v>5.9992126600000004</v>
      </c>
      <c r="BV126">
        <v>-3.3202381000000001</v>
      </c>
      <c r="BW126">
        <v>7.2147627000000006E-2</v>
      </c>
      <c r="BX126">
        <v>-5.9992126600000004</v>
      </c>
      <c r="BY126" t="s">
        <v>114</v>
      </c>
      <c r="BZ126" t="s">
        <v>114</v>
      </c>
      <c r="CA126" t="s">
        <v>114</v>
      </c>
      <c r="CB126" t="s">
        <v>114</v>
      </c>
      <c r="CC126" t="s">
        <v>114</v>
      </c>
      <c r="CD126" t="s">
        <v>114</v>
      </c>
      <c r="CE126">
        <v>3.8152800000000001E-2</v>
      </c>
      <c r="CF126" t="s">
        <v>114</v>
      </c>
      <c r="CG126">
        <v>3.8152800000000001E-2</v>
      </c>
      <c r="CH126">
        <v>3.3202381000000001</v>
      </c>
      <c r="CI126">
        <v>7.2147627000000006E-2</v>
      </c>
      <c r="CJ126">
        <v>5.9992126600000004</v>
      </c>
      <c r="CK126">
        <v>-3.8152800000000001E-2</v>
      </c>
      <c r="CL126">
        <v>-3.3202381000000001</v>
      </c>
      <c r="CM126">
        <v>7.2147627000000006E-2</v>
      </c>
      <c r="CN126">
        <v>-5.9992126600000004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-3.8152800000000001E-2</v>
      </c>
    </row>
    <row r="127" spans="1:101" x14ac:dyDescent="0.25">
      <c r="A127" t="s">
        <v>39</v>
      </c>
      <c r="B127">
        <v>2</v>
      </c>
      <c r="C127" t="s">
        <v>15</v>
      </c>
      <c r="D127" t="s">
        <v>94</v>
      </c>
      <c r="E127" t="s">
        <v>102</v>
      </c>
      <c r="F127" t="s">
        <v>145</v>
      </c>
      <c r="G127" t="s">
        <v>265</v>
      </c>
      <c r="H127" t="s">
        <v>755</v>
      </c>
      <c r="I127" t="s">
        <v>717</v>
      </c>
      <c r="J127" t="s">
        <v>401</v>
      </c>
      <c r="K127">
        <v>8</v>
      </c>
      <c r="L127">
        <v>70</v>
      </c>
      <c r="M127">
        <v>90</v>
      </c>
      <c r="N127">
        <v>70</v>
      </c>
      <c r="O127">
        <v>-20</v>
      </c>
      <c r="P127">
        <v>90</v>
      </c>
      <c r="Q127">
        <v>90</v>
      </c>
      <c r="R127">
        <v>0</v>
      </c>
      <c r="S127">
        <v>45</v>
      </c>
      <c r="T127">
        <v>0.6428571428571429</v>
      </c>
      <c r="V127" t="s">
        <v>102</v>
      </c>
      <c r="W127">
        <v>60</v>
      </c>
      <c r="X127">
        <v>14.4</v>
      </c>
      <c r="Y127">
        <v>12</v>
      </c>
      <c r="Z127">
        <v>13.5</v>
      </c>
      <c r="AA127">
        <v>13.3</v>
      </c>
      <c r="AB127">
        <v>13.3</v>
      </c>
      <c r="AC127">
        <v>13</v>
      </c>
      <c r="AD127">
        <v>14.4</v>
      </c>
      <c r="AE127">
        <v>15.9</v>
      </c>
      <c r="AF127">
        <v>14.43333333</v>
      </c>
      <c r="AG127">
        <v>12</v>
      </c>
      <c r="AH127">
        <v>13.9</v>
      </c>
      <c r="AI127">
        <v>13.9</v>
      </c>
      <c r="AJ127">
        <v>13.266666669999999</v>
      </c>
      <c r="AK127">
        <v>13.9</v>
      </c>
      <c r="AL127">
        <v>14.9</v>
      </c>
      <c r="AM127">
        <v>15.9</v>
      </c>
      <c r="AN127">
        <v>14.9</v>
      </c>
      <c r="AO127">
        <v>13.266666669999999</v>
      </c>
      <c r="AP127">
        <v>4.0999999999999996</v>
      </c>
      <c r="AQ127">
        <v>4.5999999999999996</v>
      </c>
      <c r="AR127">
        <v>5.0999999999999996</v>
      </c>
      <c r="AS127">
        <v>4.5999999999999996</v>
      </c>
      <c r="AT127">
        <v>4.5999999999999996</v>
      </c>
      <c r="AU127">
        <v>5.6</v>
      </c>
      <c r="AV127">
        <v>5.0999999999999996</v>
      </c>
      <c r="AW127">
        <v>5.0999999999999996</v>
      </c>
      <c r="AX127">
        <v>4.5999999999999996</v>
      </c>
      <c r="AY127">
        <v>-8.6999999999999993</v>
      </c>
      <c r="AZ127">
        <v>60</v>
      </c>
      <c r="BA127">
        <v>4</v>
      </c>
      <c r="BB127">
        <v>5</v>
      </c>
      <c r="BC127">
        <v>1</v>
      </c>
      <c r="BD127">
        <v>1</v>
      </c>
      <c r="BE127">
        <v>0</v>
      </c>
      <c r="BF127">
        <v>0</v>
      </c>
      <c r="BG127">
        <v>5</v>
      </c>
      <c r="BI127">
        <v>7.3</v>
      </c>
      <c r="BJ127">
        <v>0</v>
      </c>
      <c r="BK127">
        <v>0</v>
      </c>
      <c r="BL127">
        <v>12</v>
      </c>
      <c r="BM127">
        <v>11</v>
      </c>
      <c r="BN127">
        <v>228</v>
      </c>
      <c r="BO127">
        <v>161.5</v>
      </c>
      <c r="BP127">
        <v>66.5</v>
      </c>
      <c r="BQ127">
        <v>182</v>
      </c>
      <c r="BR127">
        <v>46</v>
      </c>
      <c r="BS127">
        <v>22.515230018</v>
      </c>
      <c r="BT127">
        <v>0.97674781919999998</v>
      </c>
      <c r="BU127">
        <v>8.8847458400000008</v>
      </c>
      <c r="BV127">
        <v>-22.121964026000001</v>
      </c>
      <c r="BW127">
        <v>0.45302181920000001</v>
      </c>
      <c r="BX127">
        <v>-2.667305984</v>
      </c>
      <c r="BY127">
        <v>303.97852928224398</v>
      </c>
      <c r="BZ127">
        <v>0.119915514464565</v>
      </c>
      <c r="CA127">
        <v>75.361265896047598</v>
      </c>
      <c r="CB127">
        <v>325.92139227700602</v>
      </c>
      <c r="CC127">
        <v>1.05592493151541</v>
      </c>
      <c r="CD127">
        <v>165.14150018244101</v>
      </c>
      <c r="CE127">
        <v>0.77484417999999999</v>
      </c>
      <c r="CF127">
        <v>9.2138132273325603E-3</v>
      </c>
      <c r="CG127">
        <v>0.78441697499999996</v>
      </c>
      <c r="CH127">
        <v>17.582645866250001</v>
      </c>
      <c r="CI127">
        <v>0.92553089099999997</v>
      </c>
      <c r="CJ127">
        <v>6.6596246074999996</v>
      </c>
      <c r="CK127">
        <v>0.78441697499999996</v>
      </c>
      <c r="CL127">
        <v>-17.091063376249998</v>
      </c>
      <c r="CM127">
        <v>0.59820214100000002</v>
      </c>
      <c r="CN127">
        <v>-1.1344661524999999</v>
      </c>
      <c r="CO127">
        <v>9.8685148041453199E-3</v>
      </c>
      <c r="CP127">
        <v>235.08833516873401</v>
      </c>
      <c r="CQ127">
        <v>0.117303817000161</v>
      </c>
      <c r="CR127">
        <v>55.280692689092199</v>
      </c>
      <c r="CS127">
        <v>9.8685148041453199E-3</v>
      </c>
      <c r="CT127">
        <v>254.56832182812201</v>
      </c>
      <c r="CU127">
        <v>0.68731710694104098</v>
      </c>
      <c r="CV127">
        <v>104.49622007383699</v>
      </c>
      <c r="CW127">
        <v>0.77484417999999999</v>
      </c>
    </row>
    <row r="128" spans="1:101" x14ac:dyDescent="0.25">
      <c r="A128" t="s">
        <v>39</v>
      </c>
      <c r="B128">
        <v>2</v>
      </c>
      <c r="C128" t="s">
        <v>15</v>
      </c>
      <c r="D128" t="s">
        <v>94</v>
      </c>
      <c r="E128" t="s">
        <v>113</v>
      </c>
      <c r="F128" t="s">
        <v>145</v>
      </c>
      <c r="G128" t="s">
        <v>259</v>
      </c>
      <c r="H128" t="s">
        <v>763</v>
      </c>
      <c r="I128" t="s">
        <v>718</v>
      </c>
      <c r="J128" t="s">
        <v>402</v>
      </c>
      <c r="K128">
        <v>10</v>
      </c>
      <c r="L128">
        <v>60</v>
      </c>
      <c r="M128">
        <v>70</v>
      </c>
      <c r="N128">
        <v>60</v>
      </c>
      <c r="O128">
        <v>-10</v>
      </c>
      <c r="P128">
        <v>3</v>
      </c>
      <c r="Q128">
        <v>25</v>
      </c>
      <c r="R128">
        <v>25</v>
      </c>
      <c r="S128">
        <v>25</v>
      </c>
      <c r="T128">
        <v>0.41666666666666669</v>
      </c>
      <c r="V128" t="s">
        <v>113</v>
      </c>
      <c r="W128">
        <v>50</v>
      </c>
      <c r="X128">
        <v>14.4</v>
      </c>
      <c r="Y128">
        <v>12</v>
      </c>
      <c r="Z128">
        <v>13.5</v>
      </c>
      <c r="AA128">
        <v>13.3</v>
      </c>
      <c r="AB128">
        <v>13.3</v>
      </c>
      <c r="AC128">
        <v>15.4</v>
      </c>
      <c r="AD128">
        <v>16.399999999999999</v>
      </c>
      <c r="AE128">
        <v>14.9</v>
      </c>
      <c r="AF128">
        <v>15.56666667</v>
      </c>
      <c r="AG128">
        <v>12</v>
      </c>
      <c r="AH128">
        <v>13.9</v>
      </c>
      <c r="AI128">
        <v>13.9</v>
      </c>
      <c r="AJ128">
        <v>13.266666669999999</v>
      </c>
      <c r="AK128">
        <v>14.9</v>
      </c>
      <c r="AL128">
        <v>16.399999999999999</v>
      </c>
      <c r="AM128">
        <v>17.399999999999999</v>
      </c>
      <c r="AN128">
        <v>16.233333330000001</v>
      </c>
      <c r="AO128">
        <v>13.266666669999999</v>
      </c>
      <c r="AP128">
        <v>4.0999999999999996</v>
      </c>
      <c r="AQ128">
        <v>4.5999999999999996</v>
      </c>
      <c r="AR128">
        <v>5.0999999999999996</v>
      </c>
      <c r="AS128">
        <v>4.5999999999999996</v>
      </c>
      <c r="AT128">
        <v>4.5999999999999996</v>
      </c>
      <c r="AU128">
        <v>5.6</v>
      </c>
      <c r="AV128">
        <v>6.1</v>
      </c>
      <c r="AW128">
        <v>5.4333333330000002</v>
      </c>
      <c r="AX128">
        <v>4.5999999999999996</v>
      </c>
      <c r="AY128">
        <v>-8.6999999999999993</v>
      </c>
      <c r="AZ128">
        <v>60</v>
      </c>
      <c r="BA128">
        <v>4</v>
      </c>
      <c r="BB128">
        <v>5</v>
      </c>
      <c r="BC128">
        <v>1</v>
      </c>
      <c r="BD128">
        <v>1</v>
      </c>
      <c r="BE128">
        <v>0</v>
      </c>
      <c r="BF128">
        <v>0</v>
      </c>
      <c r="BG128">
        <v>5</v>
      </c>
      <c r="BI128">
        <v>7.3</v>
      </c>
      <c r="BJ128">
        <v>0</v>
      </c>
      <c r="BK128">
        <v>0</v>
      </c>
      <c r="BL128">
        <v>1</v>
      </c>
      <c r="BM128">
        <v>1</v>
      </c>
      <c r="BN128">
        <v>1</v>
      </c>
      <c r="BO128">
        <v>2</v>
      </c>
      <c r="BP128">
        <v>-1</v>
      </c>
      <c r="BQ128" t="s">
        <v>114</v>
      </c>
      <c r="BR128" t="s">
        <v>114</v>
      </c>
      <c r="BS128">
        <v>9.4504675266666691</v>
      </c>
      <c r="BT128">
        <v>0.45285198433333301</v>
      </c>
      <c r="BU128">
        <v>14.075093426666699</v>
      </c>
      <c r="BV128">
        <v>-9.4504675266666691</v>
      </c>
      <c r="BW128">
        <v>0.45285198433333301</v>
      </c>
      <c r="BX128">
        <v>-14.075093426666699</v>
      </c>
      <c r="BY128">
        <v>132.930522250243</v>
      </c>
      <c r="BZ128">
        <v>0.15450827785381399</v>
      </c>
      <c r="CA128">
        <v>229.004661259513</v>
      </c>
      <c r="CB128">
        <v>132.930522250243</v>
      </c>
      <c r="CC128">
        <v>0.15450827785381399</v>
      </c>
      <c r="CD128">
        <v>229.004661259513</v>
      </c>
      <c r="CE128">
        <v>0.83400958666666702</v>
      </c>
      <c r="CF128">
        <v>1.5521859589793601</v>
      </c>
      <c r="CG128">
        <v>0.32096552299999997</v>
      </c>
      <c r="CH128">
        <v>9.5240837599999999</v>
      </c>
      <c r="CI128">
        <v>0.3316899049</v>
      </c>
      <c r="CJ128">
        <v>13.246694078000001</v>
      </c>
      <c r="CK128">
        <v>-0.32096552299999997</v>
      </c>
      <c r="CL128">
        <v>-9.5240837599999999</v>
      </c>
      <c r="CM128">
        <v>0.3316899049</v>
      </c>
      <c r="CN128">
        <v>-13.246694078000001</v>
      </c>
      <c r="CO128">
        <v>0.48086788452400198</v>
      </c>
      <c r="CP128">
        <v>124.234686482393</v>
      </c>
      <c r="CQ128">
        <v>0.122492067993643</v>
      </c>
      <c r="CR128">
        <v>223.56712711834399</v>
      </c>
      <c r="CS128">
        <v>0.48086788452400198</v>
      </c>
      <c r="CT128">
        <v>124.234686482393</v>
      </c>
      <c r="CU128">
        <v>0.122492067993643</v>
      </c>
      <c r="CV128">
        <v>223.56712711834399</v>
      </c>
      <c r="CW128">
        <v>-0.83400958666666702</v>
      </c>
    </row>
    <row r="129" spans="1:101" x14ac:dyDescent="0.25">
      <c r="A129" t="s">
        <v>39</v>
      </c>
      <c r="B129">
        <v>2</v>
      </c>
      <c r="C129" t="s">
        <v>15</v>
      </c>
      <c r="D129" t="s">
        <v>94</v>
      </c>
      <c r="E129" t="s">
        <v>103</v>
      </c>
      <c r="F129" t="s">
        <v>145</v>
      </c>
      <c r="G129" t="s">
        <v>260</v>
      </c>
      <c r="H129" t="s">
        <v>771</v>
      </c>
      <c r="I129" t="s">
        <v>719</v>
      </c>
      <c r="J129" t="s">
        <v>403</v>
      </c>
      <c r="K129">
        <v>8</v>
      </c>
      <c r="L129">
        <v>40</v>
      </c>
      <c r="M129">
        <v>50</v>
      </c>
      <c r="N129">
        <v>40</v>
      </c>
      <c r="O129">
        <v>-10</v>
      </c>
      <c r="P129">
        <v>15</v>
      </c>
      <c r="Q129">
        <v>18</v>
      </c>
      <c r="R129">
        <v>10</v>
      </c>
      <c r="S129">
        <v>14</v>
      </c>
      <c r="T129">
        <v>0.35</v>
      </c>
      <c r="V129" t="s">
        <v>103</v>
      </c>
      <c r="W129">
        <v>60</v>
      </c>
      <c r="X129">
        <v>14.4</v>
      </c>
      <c r="Y129">
        <v>12</v>
      </c>
      <c r="Z129">
        <v>13.5</v>
      </c>
      <c r="AA129">
        <v>13.3</v>
      </c>
      <c r="AB129">
        <v>13.3</v>
      </c>
      <c r="AC129">
        <v>15.4</v>
      </c>
      <c r="AD129">
        <v>14.4</v>
      </c>
      <c r="AE129">
        <v>17.899999999999999</v>
      </c>
      <c r="AF129">
        <v>15.9</v>
      </c>
      <c r="AG129">
        <v>12</v>
      </c>
      <c r="AH129">
        <v>13.9</v>
      </c>
      <c r="AI129">
        <v>13.9</v>
      </c>
      <c r="AJ129">
        <v>13.266666669999999</v>
      </c>
      <c r="AK129">
        <v>17.399999999999999</v>
      </c>
      <c r="AL129">
        <v>14.4</v>
      </c>
      <c r="AM129">
        <v>14.9</v>
      </c>
      <c r="AN129">
        <v>15.56666667</v>
      </c>
      <c r="AO129">
        <v>13.266666669999999</v>
      </c>
      <c r="AP129">
        <v>4.0999999999999996</v>
      </c>
      <c r="AQ129">
        <v>4.5999999999999996</v>
      </c>
      <c r="AR129">
        <v>5.0999999999999996</v>
      </c>
      <c r="AS129">
        <v>4.5999999999999996</v>
      </c>
      <c r="AT129">
        <v>5.0999999999999996</v>
      </c>
      <c r="AU129">
        <v>5.0999999999999996</v>
      </c>
      <c r="AV129">
        <v>5.6</v>
      </c>
      <c r="AW129">
        <v>5.266666667</v>
      </c>
      <c r="AX129">
        <v>4.5999999999999996</v>
      </c>
      <c r="AY129">
        <v>-8.6999999999999993</v>
      </c>
      <c r="AZ129">
        <v>60</v>
      </c>
      <c r="BA129">
        <v>4</v>
      </c>
      <c r="BB129">
        <v>5</v>
      </c>
      <c r="BC129">
        <v>1</v>
      </c>
      <c r="BD129">
        <v>1</v>
      </c>
      <c r="BE129">
        <v>0</v>
      </c>
      <c r="BF129">
        <v>0</v>
      </c>
      <c r="BG129">
        <v>5</v>
      </c>
      <c r="BI129">
        <v>7.3</v>
      </c>
      <c r="BJ129">
        <v>0</v>
      </c>
      <c r="BK129">
        <v>0</v>
      </c>
      <c r="BL129">
        <v>2</v>
      </c>
      <c r="BM129">
        <v>2</v>
      </c>
      <c r="BN129">
        <v>144</v>
      </c>
      <c r="BO129">
        <v>333</v>
      </c>
      <c r="BP129">
        <v>-189</v>
      </c>
      <c r="BQ129">
        <v>240</v>
      </c>
      <c r="BR129">
        <v>-96</v>
      </c>
      <c r="BS129">
        <v>10.0599747466667</v>
      </c>
      <c r="BT129">
        <v>1.017844344</v>
      </c>
      <c r="BU129">
        <v>3.58850922666667</v>
      </c>
      <c r="BV129">
        <v>-0.37058080666666698</v>
      </c>
      <c r="BW129">
        <v>-1.017844344</v>
      </c>
      <c r="BX129">
        <v>1.5482580533333301</v>
      </c>
      <c r="BY129">
        <v>76.211311729785194</v>
      </c>
      <c r="BZ129">
        <v>1.4973479443595901</v>
      </c>
      <c r="CA129">
        <v>15.0515306017548</v>
      </c>
      <c r="CB129">
        <v>227.80995438373699</v>
      </c>
      <c r="CC129">
        <v>1.4973479443595901</v>
      </c>
      <c r="CD129">
        <v>30.771973806995199</v>
      </c>
      <c r="CE129">
        <v>7.9128799999999999E-2</v>
      </c>
      <c r="CF129">
        <v>1.4096122748889999E-2</v>
      </c>
      <c r="CG129">
        <v>0.11054103749999999</v>
      </c>
      <c r="CH129">
        <v>9.2227746212500001</v>
      </c>
      <c r="CI129">
        <v>0.63595532249999998</v>
      </c>
      <c r="CJ129">
        <v>4.2351225550000002</v>
      </c>
      <c r="CK129">
        <v>0.11054103749999999</v>
      </c>
      <c r="CL129">
        <v>5.3113162887499996</v>
      </c>
      <c r="CM129">
        <v>-0.63595532249999998</v>
      </c>
      <c r="CN129">
        <v>3.4700283650000001</v>
      </c>
      <c r="CO129">
        <v>1.26761503836227E-2</v>
      </c>
      <c r="CP129">
        <v>58.4678173136761</v>
      </c>
      <c r="CQ129">
        <v>0.60662919827388295</v>
      </c>
      <c r="CR129">
        <v>14.764743466585401</v>
      </c>
      <c r="CS129">
        <v>1.26761503836227E-2</v>
      </c>
      <c r="CT129">
        <v>123.43866416537</v>
      </c>
      <c r="CU129">
        <v>0.60662919827388295</v>
      </c>
      <c r="CV129">
        <v>21.502076268831299</v>
      </c>
      <c r="CW129">
        <v>7.9128799999999999E-2</v>
      </c>
    </row>
    <row r="130" spans="1:101" x14ac:dyDescent="0.25">
      <c r="A130" t="s">
        <v>39</v>
      </c>
      <c r="B130">
        <v>2</v>
      </c>
      <c r="C130" t="s">
        <v>15</v>
      </c>
      <c r="D130" t="s">
        <v>94</v>
      </c>
      <c r="E130" t="s">
        <v>111</v>
      </c>
      <c r="F130" t="s">
        <v>145</v>
      </c>
      <c r="G130" t="s">
        <v>263</v>
      </c>
      <c r="H130" t="s">
        <v>775</v>
      </c>
      <c r="I130" t="s">
        <v>720</v>
      </c>
      <c r="J130" t="s">
        <v>404</v>
      </c>
      <c r="K130">
        <v>3</v>
      </c>
      <c r="L130">
        <v>400</v>
      </c>
      <c r="M130">
        <v>210</v>
      </c>
      <c r="N130">
        <v>400</v>
      </c>
      <c r="O130">
        <v>190</v>
      </c>
      <c r="P130">
        <v>75</v>
      </c>
      <c r="Q130">
        <v>220</v>
      </c>
      <c r="R130">
        <v>20</v>
      </c>
      <c r="S130">
        <v>120</v>
      </c>
      <c r="T130">
        <v>0.3</v>
      </c>
      <c r="V130" t="s">
        <v>104</v>
      </c>
      <c r="W130">
        <v>40</v>
      </c>
      <c r="X130">
        <v>14.4</v>
      </c>
      <c r="Y130">
        <v>12</v>
      </c>
      <c r="Z130">
        <v>13.5</v>
      </c>
      <c r="AA130">
        <v>13.3</v>
      </c>
      <c r="AB130">
        <v>13.3</v>
      </c>
      <c r="AC130">
        <v>16.899999999999999</v>
      </c>
      <c r="AD130">
        <v>14.4</v>
      </c>
      <c r="AE130">
        <v>16.899999999999999</v>
      </c>
      <c r="AF130">
        <v>16.06666667</v>
      </c>
      <c r="AG130">
        <v>12</v>
      </c>
      <c r="AH130">
        <v>13.9</v>
      </c>
      <c r="AI130">
        <v>13.9</v>
      </c>
      <c r="AJ130">
        <v>13.266666669999999</v>
      </c>
      <c r="AK130">
        <v>14.9</v>
      </c>
      <c r="AL130">
        <v>14.4</v>
      </c>
      <c r="AM130">
        <v>15.4</v>
      </c>
      <c r="AN130">
        <v>14.9</v>
      </c>
      <c r="AO130">
        <v>13.266666669999999</v>
      </c>
      <c r="AP130">
        <v>4.0999999999999996</v>
      </c>
      <c r="AQ130">
        <v>4.5999999999999996</v>
      </c>
      <c r="AR130">
        <v>5.0999999999999996</v>
      </c>
      <c r="AS130">
        <v>4.5999999999999996</v>
      </c>
      <c r="AT130">
        <v>5.0999999999999996</v>
      </c>
      <c r="AU130">
        <v>5.0999999999999996</v>
      </c>
      <c r="AV130">
        <v>5.6</v>
      </c>
      <c r="AW130">
        <v>5.266666667</v>
      </c>
      <c r="AX130">
        <v>4.5999999999999996</v>
      </c>
      <c r="AY130">
        <v>-8.6999999999999993</v>
      </c>
      <c r="AZ130">
        <v>60</v>
      </c>
      <c r="BA130">
        <v>4</v>
      </c>
      <c r="BB130">
        <v>5</v>
      </c>
      <c r="BC130">
        <v>1</v>
      </c>
      <c r="BD130">
        <v>1</v>
      </c>
      <c r="BE130">
        <v>0</v>
      </c>
      <c r="BF130">
        <v>0</v>
      </c>
      <c r="BG130">
        <v>5</v>
      </c>
      <c r="BI130">
        <v>7.3</v>
      </c>
      <c r="BJ130">
        <v>0</v>
      </c>
      <c r="BK130">
        <v>0</v>
      </c>
      <c r="BL130">
        <v>107</v>
      </c>
      <c r="BM130">
        <v>40</v>
      </c>
      <c r="BN130">
        <v>3885</v>
      </c>
      <c r="BO130">
        <v>1464.6667</v>
      </c>
      <c r="BP130">
        <v>2420.3333000000002</v>
      </c>
      <c r="BQ130">
        <v>481</v>
      </c>
      <c r="BR130">
        <v>3404</v>
      </c>
      <c r="BS130">
        <v>13.549404753333301</v>
      </c>
      <c r="BT130">
        <v>1.31233414033333</v>
      </c>
      <c r="BU130">
        <v>5.7197365866666701</v>
      </c>
      <c r="BV130">
        <v>-13.549404753333301</v>
      </c>
      <c r="BW130">
        <v>-1.26423572233333</v>
      </c>
      <c r="BX130">
        <v>-5.7197365866666701</v>
      </c>
      <c r="BY130">
        <v>78.568142166597198</v>
      </c>
      <c r="BZ130">
        <v>1.29112969411792</v>
      </c>
      <c r="CA130">
        <v>12.1661327792617</v>
      </c>
      <c r="CB130">
        <v>78.568142166597198</v>
      </c>
      <c r="CC130">
        <v>1.47702309550904</v>
      </c>
      <c r="CD130">
        <v>12.1661327792617</v>
      </c>
      <c r="CE130">
        <v>0.11859623</v>
      </c>
      <c r="CF130">
        <v>3.6090088487066997E-2</v>
      </c>
      <c r="CG130">
        <v>0.11859623</v>
      </c>
      <c r="CH130">
        <v>13.549404753333301</v>
      </c>
      <c r="CI130">
        <v>1.31233414033333</v>
      </c>
      <c r="CJ130">
        <v>5.7197365866666701</v>
      </c>
      <c r="CK130">
        <v>8.22185633333333E-2</v>
      </c>
      <c r="CL130">
        <v>-13.549404753333301</v>
      </c>
      <c r="CM130">
        <v>-1.26423572233333</v>
      </c>
      <c r="CN130">
        <v>-5.7197365866666701</v>
      </c>
      <c r="CO130">
        <v>2.51323280666437E-2</v>
      </c>
      <c r="CP130">
        <v>78.568142166597198</v>
      </c>
      <c r="CQ130">
        <v>1.29112969411792</v>
      </c>
      <c r="CR130">
        <v>12.1661327792617</v>
      </c>
      <c r="CS130">
        <v>3.6090088487066997E-2</v>
      </c>
      <c r="CT130">
        <v>78.568142166597198</v>
      </c>
      <c r="CU130">
        <v>1.47702309550904</v>
      </c>
      <c r="CV130">
        <v>12.1661327792617</v>
      </c>
      <c r="CW130">
        <v>8.22185633333333E-2</v>
      </c>
    </row>
    <row r="131" spans="1:101" x14ac:dyDescent="0.25">
      <c r="A131" t="s">
        <v>39</v>
      </c>
      <c r="B131">
        <v>2</v>
      </c>
      <c r="C131" t="s">
        <v>15</v>
      </c>
      <c r="D131" t="s">
        <v>94</v>
      </c>
      <c r="E131" t="s">
        <v>104</v>
      </c>
      <c r="F131" t="s">
        <v>145</v>
      </c>
      <c r="G131" t="s">
        <v>264</v>
      </c>
      <c r="H131" t="s">
        <v>779</v>
      </c>
      <c r="I131" t="s">
        <v>721</v>
      </c>
      <c r="J131" t="s">
        <v>405</v>
      </c>
      <c r="K131">
        <v>4</v>
      </c>
      <c r="L131">
        <v>70</v>
      </c>
      <c r="M131">
        <v>35</v>
      </c>
      <c r="N131">
        <v>70</v>
      </c>
      <c r="O131">
        <v>35</v>
      </c>
      <c r="P131">
        <v>25</v>
      </c>
      <c r="Q131">
        <v>20</v>
      </c>
      <c r="R131">
        <v>20</v>
      </c>
      <c r="S131">
        <v>20</v>
      </c>
      <c r="T131">
        <v>0.2857142857142857</v>
      </c>
      <c r="V131" t="s">
        <v>104</v>
      </c>
      <c r="W131">
        <v>80</v>
      </c>
      <c r="X131">
        <v>14.4</v>
      </c>
      <c r="Y131">
        <v>12</v>
      </c>
      <c r="Z131">
        <v>13.5</v>
      </c>
      <c r="AA131">
        <v>13.3</v>
      </c>
      <c r="AB131">
        <v>13.3</v>
      </c>
      <c r="AC131">
        <v>15.9</v>
      </c>
      <c r="AD131">
        <v>14.4</v>
      </c>
      <c r="AE131">
        <v>13.5</v>
      </c>
      <c r="AF131">
        <v>14.6</v>
      </c>
      <c r="AG131">
        <v>12</v>
      </c>
      <c r="AH131">
        <v>13.9</v>
      </c>
      <c r="AI131">
        <v>13.9</v>
      </c>
      <c r="AJ131">
        <v>13.266666669999999</v>
      </c>
      <c r="AK131">
        <v>14.9</v>
      </c>
      <c r="AL131">
        <v>15.9</v>
      </c>
      <c r="AM131">
        <v>16.899999999999999</v>
      </c>
      <c r="AN131">
        <v>15.9</v>
      </c>
      <c r="AO131">
        <v>13.266666669999999</v>
      </c>
      <c r="AP131">
        <v>4.0999999999999996</v>
      </c>
      <c r="AQ131">
        <v>4.5999999999999996</v>
      </c>
      <c r="AR131">
        <v>5.0999999999999996</v>
      </c>
      <c r="AS131">
        <v>4.5999999999999996</v>
      </c>
      <c r="AT131">
        <v>5.0999999999999996</v>
      </c>
      <c r="AU131">
        <v>5.6</v>
      </c>
      <c r="AV131">
        <v>6.1</v>
      </c>
      <c r="AW131">
        <v>5.6</v>
      </c>
      <c r="AX131">
        <v>4.5999999999999996</v>
      </c>
      <c r="AY131">
        <v>-8.6999999999999993</v>
      </c>
      <c r="AZ131">
        <v>60</v>
      </c>
      <c r="BA131">
        <v>4</v>
      </c>
      <c r="BB131">
        <v>5</v>
      </c>
      <c r="BC131">
        <v>1</v>
      </c>
      <c r="BD131">
        <v>1</v>
      </c>
      <c r="BE131">
        <v>0</v>
      </c>
      <c r="BF131">
        <v>0</v>
      </c>
      <c r="BG131">
        <v>5</v>
      </c>
      <c r="BI131">
        <v>7.3</v>
      </c>
      <c r="BJ131">
        <v>0</v>
      </c>
      <c r="BK131">
        <v>0</v>
      </c>
      <c r="BL131">
        <v>2</v>
      </c>
      <c r="BM131">
        <v>2</v>
      </c>
      <c r="BN131">
        <v>14</v>
      </c>
      <c r="BO131">
        <v>35</v>
      </c>
      <c r="BP131">
        <v>-21</v>
      </c>
      <c r="BQ131">
        <v>56</v>
      </c>
      <c r="BR131">
        <v>-42</v>
      </c>
      <c r="BS131">
        <v>15.089962119999999</v>
      </c>
      <c r="BT131">
        <v>0.84872999999999998</v>
      </c>
      <c r="BU131">
        <v>5.38276384</v>
      </c>
      <c r="BV131">
        <v>15.089962119999999</v>
      </c>
      <c r="BW131">
        <v>0.84872999999999998</v>
      </c>
      <c r="BX131">
        <v>5.38276384</v>
      </c>
      <c r="BY131">
        <v>455.41391356606999</v>
      </c>
      <c r="BZ131">
        <v>1.4406852258</v>
      </c>
      <c r="CA131">
        <v>57.948293114423102</v>
      </c>
      <c r="CB131">
        <v>455.41391356606999</v>
      </c>
      <c r="CC131">
        <v>1.4406852258</v>
      </c>
      <c r="CD131">
        <v>57.948293114423102</v>
      </c>
      <c r="CE131">
        <v>9.6954100000000001E-2</v>
      </c>
      <c r="CF131">
        <v>1.880019501362E-2</v>
      </c>
      <c r="CG131">
        <v>4.8477050000000001E-2</v>
      </c>
      <c r="CH131">
        <v>7.5449810599999996</v>
      </c>
      <c r="CI131">
        <v>0.42436499999999999</v>
      </c>
      <c r="CJ131">
        <v>2.69138192</v>
      </c>
      <c r="CK131">
        <v>4.8477050000000001E-2</v>
      </c>
      <c r="CL131">
        <v>7.5449810599999996</v>
      </c>
      <c r="CM131">
        <v>0.42436499999999999</v>
      </c>
      <c r="CN131">
        <v>2.69138192</v>
      </c>
      <c r="CO131">
        <v>9.4000975068099998E-3</v>
      </c>
      <c r="CP131">
        <v>227.706956783035</v>
      </c>
      <c r="CQ131">
        <v>0.72034261290000001</v>
      </c>
      <c r="CR131">
        <v>28.974146557211501</v>
      </c>
      <c r="CS131">
        <v>9.4000975068099998E-3</v>
      </c>
      <c r="CT131">
        <v>227.706956783035</v>
      </c>
      <c r="CU131">
        <v>0.72034261290000001</v>
      </c>
      <c r="CV131">
        <v>28.974146557211501</v>
      </c>
      <c r="CW131">
        <v>9.6954100000000001E-2</v>
      </c>
    </row>
    <row r="132" spans="1:101" x14ac:dyDescent="0.25">
      <c r="A132" t="s">
        <v>40</v>
      </c>
      <c r="B132">
        <v>2</v>
      </c>
      <c r="C132" t="s">
        <v>17</v>
      </c>
      <c r="D132" t="s">
        <v>95</v>
      </c>
      <c r="E132" t="s">
        <v>113</v>
      </c>
      <c r="F132" t="s">
        <v>145</v>
      </c>
      <c r="G132" t="s">
        <v>259</v>
      </c>
      <c r="H132" t="s">
        <v>764</v>
      </c>
      <c r="I132" t="s">
        <v>714</v>
      </c>
      <c r="J132" t="s">
        <v>406</v>
      </c>
      <c r="K132">
        <v>3</v>
      </c>
      <c r="L132">
        <v>60</v>
      </c>
      <c r="M132">
        <v>70</v>
      </c>
      <c r="N132">
        <v>60</v>
      </c>
      <c r="O132">
        <v>-10</v>
      </c>
      <c r="P132">
        <v>8</v>
      </c>
      <c r="Q132">
        <v>20</v>
      </c>
      <c r="R132">
        <v>8</v>
      </c>
      <c r="S132">
        <v>14</v>
      </c>
      <c r="T132">
        <v>0.23333333333333334</v>
      </c>
      <c r="V132" t="s">
        <v>113</v>
      </c>
      <c r="W132">
        <v>35</v>
      </c>
      <c r="X132">
        <v>14.9</v>
      </c>
      <c r="Y132">
        <v>17.399999999999999</v>
      </c>
      <c r="Z132">
        <v>16.399999999999999</v>
      </c>
      <c r="AA132">
        <v>16.233333330000001</v>
      </c>
      <c r="AB132">
        <v>16.233333330000001</v>
      </c>
      <c r="AC132">
        <v>13</v>
      </c>
      <c r="AD132">
        <v>13.5</v>
      </c>
      <c r="AE132">
        <v>16.399999999999999</v>
      </c>
      <c r="AF132">
        <v>14.3</v>
      </c>
      <c r="AG132">
        <v>16.399999999999999</v>
      </c>
      <c r="AH132">
        <v>15.4</v>
      </c>
      <c r="AI132">
        <v>17.899999999999999</v>
      </c>
      <c r="AJ132">
        <v>16.56666667</v>
      </c>
      <c r="AK132">
        <v>13.9</v>
      </c>
      <c r="AL132">
        <v>13.9</v>
      </c>
      <c r="AM132">
        <v>17.399999999999999</v>
      </c>
      <c r="AN132">
        <v>15.06666667</v>
      </c>
      <c r="AO132">
        <v>16.56666667</v>
      </c>
      <c r="AP132">
        <v>8.5</v>
      </c>
      <c r="AQ132">
        <v>9</v>
      </c>
      <c r="AR132">
        <v>8.5</v>
      </c>
      <c r="AS132">
        <v>8.6666666669999994</v>
      </c>
      <c r="AT132">
        <v>6.6</v>
      </c>
      <c r="AU132">
        <v>7.6</v>
      </c>
      <c r="AV132">
        <v>8.1</v>
      </c>
      <c r="AW132">
        <v>7.4333333330000002</v>
      </c>
      <c r="AX132">
        <v>8.6666666669999994</v>
      </c>
      <c r="AY132">
        <v>-7.5666666669999998</v>
      </c>
      <c r="AZ132">
        <v>55</v>
      </c>
      <c r="BA132">
        <v>15</v>
      </c>
      <c r="BB132">
        <v>2</v>
      </c>
      <c r="BC132">
        <v>1</v>
      </c>
      <c r="BD132">
        <v>1</v>
      </c>
      <c r="BE132">
        <v>0</v>
      </c>
      <c r="BF132">
        <v>1</v>
      </c>
      <c r="BG132">
        <v>1</v>
      </c>
      <c r="BI132">
        <v>9.6999999999999993</v>
      </c>
      <c r="BJ132">
        <v>46.179000000000002</v>
      </c>
      <c r="BK132">
        <v>0</v>
      </c>
      <c r="BL132">
        <v>2</v>
      </c>
      <c r="BM132">
        <v>2</v>
      </c>
      <c r="BN132">
        <v>4</v>
      </c>
      <c r="BO132">
        <v>0</v>
      </c>
      <c r="BP132">
        <v>4</v>
      </c>
      <c r="BQ132">
        <v>0</v>
      </c>
      <c r="BR132">
        <v>4</v>
      </c>
      <c r="BS132">
        <v>7.2670454549999999</v>
      </c>
      <c r="BT132">
        <v>0.33901825800000002</v>
      </c>
      <c r="BU132">
        <v>3.8525754600000002</v>
      </c>
      <c r="BV132">
        <v>-7.2670454549999999</v>
      </c>
      <c r="BW132">
        <v>0.33901825800000002</v>
      </c>
      <c r="BX132">
        <v>-3.8525754600000002</v>
      </c>
      <c r="BY132">
        <v>105.619899290072</v>
      </c>
      <c r="BZ132">
        <v>0.229866758514709</v>
      </c>
      <c r="CA132">
        <v>29.6846753499884</v>
      </c>
      <c r="CB132">
        <v>105.619899290072</v>
      </c>
      <c r="CC132">
        <v>0.229866758514709</v>
      </c>
      <c r="CD132">
        <v>29.6846753499884</v>
      </c>
      <c r="CE132">
        <v>0.10782364999999999</v>
      </c>
      <c r="CF132">
        <v>2.3251878998645E-2</v>
      </c>
      <c r="CG132">
        <v>0.14376486666666699</v>
      </c>
      <c r="CH132">
        <v>9.6893939400000004</v>
      </c>
      <c r="CI132">
        <v>0.45202434400000002</v>
      </c>
      <c r="CJ132">
        <v>5.1367672799999999</v>
      </c>
      <c r="CK132">
        <v>-0.14376486666666699</v>
      </c>
      <c r="CL132">
        <v>-9.6893939400000004</v>
      </c>
      <c r="CM132">
        <v>0.45202434400000002</v>
      </c>
      <c r="CN132">
        <v>-5.1367672799999999</v>
      </c>
      <c r="CO132">
        <v>1.55012526657633E-2</v>
      </c>
      <c r="CP132">
        <v>70.413266193381503</v>
      </c>
      <c r="CQ132">
        <v>0.15324450567647299</v>
      </c>
      <c r="CR132">
        <v>19.789783566659001</v>
      </c>
      <c r="CS132">
        <v>1.55012526657633E-2</v>
      </c>
      <c r="CT132">
        <v>70.413266193381503</v>
      </c>
      <c r="CU132">
        <v>0.15324450567647299</v>
      </c>
      <c r="CV132">
        <v>19.789783566659001</v>
      </c>
      <c r="CW132">
        <v>-0.10782364999999999</v>
      </c>
    </row>
    <row r="133" spans="1:101" x14ac:dyDescent="0.25">
      <c r="A133" t="s">
        <v>40</v>
      </c>
      <c r="B133">
        <v>2</v>
      </c>
      <c r="C133" t="s">
        <v>17</v>
      </c>
      <c r="D133" t="s">
        <v>95</v>
      </c>
      <c r="E133" t="s">
        <v>103</v>
      </c>
      <c r="F133" t="s">
        <v>145</v>
      </c>
      <c r="G133" t="s">
        <v>260</v>
      </c>
      <c r="H133" t="s">
        <v>772</v>
      </c>
      <c r="I133" t="s">
        <v>715</v>
      </c>
      <c r="J133" t="s">
        <v>407</v>
      </c>
      <c r="K133">
        <v>6</v>
      </c>
      <c r="L133">
        <v>90</v>
      </c>
      <c r="M133">
        <v>40</v>
      </c>
      <c r="N133">
        <v>90</v>
      </c>
      <c r="O133">
        <v>50</v>
      </c>
      <c r="P133">
        <v>22</v>
      </c>
      <c r="Q133">
        <v>20</v>
      </c>
      <c r="R133">
        <v>0</v>
      </c>
      <c r="S133">
        <v>10</v>
      </c>
      <c r="T133">
        <v>0.1111111111111111</v>
      </c>
      <c r="U133" t="s">
        <v>15</v>
      </c>
      <c r="V133" t="s">
        <v>103</v>
      </c>
      <c r="W133">
        <v>35</v>
      </c>
      <c r="X133">
        <v>14.9</v>
      </c>
      <c r="Y133">
        <v>17.399999999999999</v>
      </c>
      <c r="Z133">
        <v>16.399999999999999</v>
      </c>
      <c r="AA133">
        <v>16.233333330000001</v>
      </c>
      <c r="AB133">
        <v>16.233333330000001</v>
      </c>
      <c r="AC133">
        <v>14.9</v>
      </c>
      <c r="AD133">
        <v>13.9</v>
      </c>
      <c r="AE133">
        <v>16.399999999999999</v>
      </c>
      <c r="AF133">
        <v>15.06666667</v>
      </c>
      <c r="AG133">
        <v>16.399999999999999</v>
      </c>
      <c r="AH133">
        <v>15.4</v>
      </c>
      <c r="AI133">
        <v>17.899999999999999</v>
      </c>
      <c r="AJ133">
        <v>16.56666667</v>
      </c>
      <c r="AK133">
        <v>18.899999999999999</v>
      </c>
      <c r="AL133">
        <v>16.899999999999999</v>
      </c>
      <c r="AM133">
        <v>17.899999999999999</v>
      </c>
      <c r="AN133">
        <v>17.899999999999999</v>
      </c>
      <c r="AO133">
        <v>16.56666667</v>
      </c>
      <c r="AP133">
        <v>8.5</v>
      </c>
      <c r="AQ133">
        <v>9</v>
      </c>
      <c r="AR133">
        <v>8.5</v>
      </c>
      <c r="AS133">
        <v>8.6666666669999994</v>
      </c>
      <c r="AT133">
        <v>7.1</v>
      </c>
      <c r="AU133">
        <v>7.6</v>
      </c>
      <c r="AV133">
        <v>7.6</v>
      </c>
      <c r="AW133">
        <v>7.4333333330000002</v>
      </c>
      <c r="AX133">
        <v>8.6666666669999994</v>
      </c>
      <c r="AY133">
        <v>-7.5666666669999998</v>
      </c>
      <c r="AZ133">
        <v>55</v>
      </c>
      <c r="BA133">
        <v>15</v>
      </c>
      <c r="BB133">
        <v>2</v>
      </c>
      <c r="BC133">
        <v>1</v>
      </c>
      <c r="BD133">
        <v>1</v>
      </c>
      <c r="BE133">
        <v>0</v>
      </c>
      <c r="BF133">
        <v>1</v>
      </c>
      <c r="BG133">
        <v>1</v>
      </c>
      <c r="BI133">
        <v>9.6999999999999993</v>
      </c>
      <c r="BJ133">
        <v>46.179000000000002</v>
      </c>
      <c r="BK133">
        <v>0</v>
      </c>
      <c r="BL133">
        <v>1</v>
      </c>
      <c r="BM133">
        <v>1</v>
      </c>
      <c r="BN133">
        <v>46</v>
      </c>
      <c r="BO133">
        <v>196.5</v>
      </c>
      <c r="BP133">
        <v>-150.5</v>
      </c>
      <c r="BQ133">
        <v>218</v>
      </c>
      <c r="BR133">
        <v>-172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 t="s">
        <v>114</v>
      </c>
      <c r="BZ133" t="s">
        <v>114</v>
      </c>
      <c r="CA133" t="s">
        <v>114</v>
      </c>
      <c r="CB133" t="s">
        <v>114</v>
      </c>
      <c r="CC133" t="s">
        <v>114</v>
      </c>
      <c r="CD133" t="s">
        <v>114</v>
      </c>
      <c r="CE133">
        <v>0</v>
      </c>
      <c r="CF133" t="s">
        <v>114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</row>
    <row r="134" spans="1:101" x14ac:dyDescent="0.25">
      <c r="A134" t="s">
        <v>40</v>
      </c>
      <c r="B134">
        <v>2</v>
      </c>
      <c r="C134" t="s">
        <v>17</v>
      </c>
      <c r="D134" t="s">
        <v>95</v>
      </c>
      <c r="E134" t="s">
        <v>112</v>
      </c>
      <c r="F134" t="s">
        <v>145</v>
      </c>
      <c r="G134" t="s">
        <v>261</v>
      </c>
      <c r="H134" t="s">
        <v>784</v>
      </c>
      <c r="I134" t="s">
        <v>722</v>
      </c>
      <c r="J134" t="s">
        <v>408</v>
      </c>
      <c r="K134">
        <v>12</v>
      </c>
      <c r="L134">
        <v>100</v>
      </c>
      <c r="M134">
        <v>60</v>
      </c>
      <c r="N134">
        <v>100</v>
      </c>
      <c r="O134">
        <v>40</v>
      </c>
      <c r="P134">
        <v>70</v>
      </c>
      <c r="Q134">
        <v>190</v>
      </c>
      <c r="R134">
        <v>50</v>
      </c>
      <c r="S134">
        <v>120</v>
      </c>
      <c r="T134">
        <v>1.2</v>
      </c>
      <c r="V134" t="s">
        <v>103</v>
      </c>
      <c r="W134">
        <v>50</v>
      </c>
      <c r="X134">
        <v>14.9</v>
      </c>
      <c r="Y134">
        <v>17.399999999999999</v>
      </c>
      <c r="Z134">
        <v>16.399999999999999</v>
      </c>
      <c r="AA134">
        <v>16.233333330000001</v>
      </c>
      <c r="AB134">
        <v>16.233333330000001</v>
      </c>
      <c r="AC134">
        <v>14.4</v>
      </c>
      <c r="AD134">
        <v>17.899999999999999</v>
      </c>
      <c r="AE134">
        <v>17.399999999999999</v>
      </c>
      <c r="AF134">
        <v>16.56666667</v>
      </c>
      <c r="AG134">
        <v>16.399999999999999</v>
      </c>
      <c r="AH134">
        <v>15.4</v>
      </c>
      <c r="AI134">
        <v>17.899999999999999</v>
      </c>
      <c r="AJ134">
        <v>16.56666667</v>
      </c>
      <c r="AK134">
        <v>18.399999999999999</v>
      </c>
      <c r="AL134">
        <v>19.8</v>
      </c>
      <c r="AM134">
        <v>13</v>
      </c>
      <c r="AN134">
        <v>17.06666667</v>
      </c>
      <c r="AO134">
        <v>16.56666667</v>
      </c>
      <c r="AP134">
        <v>8.5</v>
      </c>
      <c r="AQ134">
        <v>9</v>
      </c>
      <c r="AR134">
        <v>8.5</v>
      </c>
      <c r="AS134">
        <v>8.6666666669999994</v>
      </c>
      <c r="AT134">
        <v>8.5</v>
      </c>
      <c r="AU134">
        <v>10</v>
      </c>
      <c r="AV134">
        <v>10</v>
      </c>
      <c r="AW134">
        <v>9.5</v>
      </c>
      <c r="AX134">
        <v>8.6666666669999994</v>
      </c>
      <c r="AY134">
        <v>-7.5666666669999998</v>
      </c>
      <c r="AZ134">
        <v>55</v>
      </c>
      <c r="BA134">
        <v>15</v>
      </c>
      <c r="BB134">
        <v>2</v>
      </c>
      <c r="BC134">
        <v>1</v>
      </c>
      <c r="BD134">
        <v>1</v>
      </c>
      <c r="BE134">
        <v>0</v>
      </c>
      <c r="BF134">
        <v>1</v>
      </c>
      <c r="BG134">
        <v>1</v>
      </c>
      <c r="BI134">
        <v>9.6999999999999993</v>
      </c>
      <c r="BJ134">
        <v>46.179000000000002</v>
      </c>
      <c r="BK134">
        <v>1</v>
      </c>
      <c r="BL134">
        <v>46</v>
      </c>
      <c r="BM134">
        <v>42</v>
      </c>
      <c r="BN134">
        <v>164</v>
      </c>
      <c r="BO134">
        <v>116.5</v>
      </c>
      <c r="BP134">
        <v>47.5</v>
      </c>
      <c r="BQ134">
        <v>57</v>
      </c>
      <c r="BR134">
        <v>107</v>
      </c>
      <c r="BS134">
        <v>25.930871215</v>
      </c>
      <c r="BT134">
        <v>1.8984460359999999</v>
      </c>
      <c r="BU134">
        <v>11.43279727</v>
      </c>
      <c r="BV134">
        <v>-25.930871215</v>
      </c>
      <c r="BW134">
        <v>1.8984460359999999</v>
      </c>
      <c r="BX134">
        <v>11.43279727</v>
      </c>
      <c r="BY134">
        <v>105.619899290072</v>
      </c>
      <c r="BZ134">
        <v>0.229866758514709</v>
      </c>
      <c r="CA134">
        <v>29.6846753499884</v>
      </c>
      <c r="CB134">
        <v>105.619899290072</v>
      </c>
      <c r="CC134">
        <v>0.229866758514709</v>
      </c>
      <c r="CD134">
        <v>29.6846753499884</v>
      </c>
      <c r="CE134">
        <v>1.89034035</v>
      </c>
      <c r="CF134">
        <v>2.3251878998645E-2</v>
      </c>
      <c r="CG134">
        <v>1.87236974166667</v>
      </c>
      <c r="CH134">
        <v>27.1420454575</v>
      </c>
      <c r="CI134">
        <v>1.9549490789999999</v>
      </c>
      <c r="CJ134">
        <v>10.79070136</v>
      </c>
      <c r="CK134">
        <v>1.87236974166667</v>
      </c>
      <c r="CL134">
        <v>-27.1420454575</v>
      </c>
      <c r="CM134">
        <v>1.9549490789999999</v>
      </c>
      <c r="CN134">
        <v>10.79070136</v>
      </c>
      <c r="CO134">
        <v>1.23305418932208E-2</v>
      </c>
      <c r="CP134">
        <v>56.010552653826203</v>
      </c>
      <c r="CQ134">
        <v>0.121899038606285</v>
      </c>
      <c r="CR134">
        <v>15.7418732916605</v>
      </c>
      <c r="CS134">
        <v>1.23305418932208E-2</v>
      </c>
      <c r="CT134">
        <v>56.010552653826203</v>
      </c>
      <c r="CU134">
        <v>0.121899038606285</v>
      </c>
      <c r="CV134">
        <v>15.7418732916605</v>
      </c>
      <c r="CW134">
        <v>1.89034035</v>
      </c>
    </row>
    <row r="135" spans="1:101" x14ac:dyDescent="0.25">
      <c r="A135" t="s">
        <v>41</v>
      </c>
      <c r="B135">
        <v>2</v>
      </c>
      <c r="C135" t="s">
        <v>19</v>
      </c>
      <c r="D135" t="s">
        <v>94</v>
      </c>
      <c r="E135" t="s">
        <v>105</v>
      </c>
      <c r="F135" t="s">
        <v>145</v>
      </c>
      <c r="G135" t="s">
        <v>266</v>
      </c>
      <c r="H135" t="s">
        <v>759</v>
      </c>
      <c r="I135" t="s">
        <v>723</v>
      </c>
      <c r="J135" t="s">
        <v>409</v>
      </c>
      <c r="K135" t="s">
        <v>114</v>
      </c>
      <c r="L135">
        <v>30</v>
      </c>
      <c r="M135">
        <v>25</v>
      </c>
      <c r="N135">
        <v>30</v>
      </c>
      <c r="O135">
        <v>5</v>
      </c>
      <c r="P135">
        <v>40</v>
      </c>
      <c r="Q135">
        <v>40</v>
      </c>
      <c r="R135">
        <v>35</v>
      </c>
      <c r="S135">
        <v>37.5</v>
      </c>
      <c r="T135">
        <v>1.25</v>
      </c>
      <c r="V135" t="s">
        <v>104</v>
      </c>
      <c r="W135">
        <v>90</v>
      </c>
      <c r="X135">
        <v>14.9</v>
      </c>
      <c r="Y135">
        <v>17.899999999999999</v>
      </c>
      <c r="Z135">
        <v>14.9</v>
      </c>
      <c r="AA135">
        <v>15.9</v>
      </c>
      <c r="AB135">
        <v>15.9</v>
      </c>
      <c r="AC135">
        <v>13.9</v>
      </c>
      <c r="AD135">
        <v>11.5</v>
      </c>
      <c r="AE135">
        <v>15.4</v>
      </c>
      <c r="AF135">
        <v>13.6</v>
      </c>
      <c r="AG135">
        <v>14.4</v>
      </c>
      <c r="AH135">
        <v>15.4</v>
      </c>
      <c r="AI135">
        <v>17.899999999999999</v>
      </c>
      <c r="AJ135">
        <v>15.9</v>
      </c>
      <c r="AK135">
        <v>14.9</v>
      </c>
      <c r="AL135">
        <v>15.4</v>
      </c>
      <c r="AM135">
        <v>17.399999999999999</v>
      </c>
      <c r="AN135">
        <v>15.9</v>
      </c>
      <c r="AO135">
        <v>15.9</v>
      </c>
      <c r="AP135">
        <v>6.6</v>
      </c>
      <c r="AQ135">
        <v>7.6</v>
      </c>
      <c r="AR135">
        <v>8.1</v>
      </c>
      <c r="AS135">
        <v>7.4333333330000002</v>
      </c>
      <c r="AT135">
        <v>6.1</v>
      </c>
      <c r="AU135">
        <v>7.1</v>
      </c>
      <c r="AV135">
        <v>7.1</v>
      </c>
      <c r="AW135">
        <v>6.766666667</v>
      </c>
      <c r="AX135">
        <v>7.4333333330000002</v>
      </c>
      <c r="AY135">
        <v>-8.4666666670000001</v>
      </c>
      <c r="AZ135">
        <v>30</v>
      </c>
      <c r="BA135">
        <v>25</v>
      </c>
      <c r="BB135">
        <v>1</v>
      </c>
      <c r="BC135">
        <v>15</v>
      </c>
      <c r="BD135">
        <v>5</v>
      </c>
      <c r="BE135">
        <v>1</v>
      </c>
      <c r="BF135">
        <v>0</v>
      </c>
      <c r="BG135">
        <v>1</v>
      </c>
      <c r="BI135">
        <v>9.9</v>
      </c>
      <c r="BJ135">
        <v>4.4909999999999997</v>
      </c>
      <c r="BK135">
        <v>0</v>
      </c>
      <c r="BL135">
        <v>4</v>
      </c>
      <c r="BM135">
        <v>4</v>
      </c>
      <c r="BN135">
        <v>113</v>
      </c>
      <c r="BO135">
        <v>305.33330000000001</v>
      </c>
      <c r="BP135">
        <v>-192.33330000000001</v>
      </c>
      <c r="BQ135">
        <v>267</v>
      </c>
      <c r="BR135">
        <v>-154</v>
      </c>
      <c r="BS135">
        <v>28.009627537499998</v>
      </c>
      <c r="BT135">
        <v>0.69507322000000005</v>
      </c>
      <c r="BU135">
        <v>19.495425462499998</v>
      </c>
      <c r="BV135">
        <v>-28.009627537499998</v>
      </c>
      <c r="BW135">
        <v>-0.69507322000000005</v>
      </c>
      <c r="BX135">
        <v>19.495425462499998</v>
      </c>
      <c r="BY135">
        <v>212.396994948187</v>
      </c>
      <c r="BZ135">
        <v>0.77901441719999998</v>
      </c>
      <c r="CA135">
        <v>22.626831642451801</v>
      </c>
      <c r="CB135">
        <v>212.396994948187</v>
      </c>
      <c r="CC135">
        <v>0.77901441719999998</v>
      </c>
      <c r="CD135">
        <v>22.626831642451801</v>
      </c>
      <c r="CE135">
        <v>1.77566775</v>
      </c>
      <c r="CF135">
        <v>1.06845652683327E-2</v>
      </c>
      <c r="CG135">
        <v>1.7464828666666701</v>
      </c>
      <c r="CH135">
        <v>34.152251691666699</v>
      </c>
      <c r="CI135">
        <v>1.13348322</v>
      </c>
      <c r="CJ135">
        <v>17.850859728333301</v>
      </c>
      <c r="CK135">
        <v>1.7464828666666701</v>
      </c>
      <c r="CL135">
        <v>-34.152251691666699</v>
      </c>
      <c r="CM135">
        <v>-1.13348322</v>
      </c>
      <c r="CN135">
        <v>17.850859728333301</v>
      </c>
      <c r="CO135">
        <v>8.4549569574322997E-3</v>
      </c>
      <c r="CP135">
        <v>217.99459256735699</v>
      </c>
      <c r="CQ135">
        <v>0.92869663776</v>
      </c>
      <c r="CR135">
        <v>20.0671304750594</v>
      </c>
      <c r="CS135">
        <v>8.4549569574322997E-3</v>
      </c>
      <c r="CT135">
        <v>217.99459256735699</v>
      </c>
      <c r="CU135">
        <v>0.92869663776</v>
      </c>
      <c r="CV135">
        <v>20.0671304750594</v>
      </c>
      <c r="CW135">
        <v>1.77566775</v>
      </c>
    </row>
    <row r="136" spans="1:101" x14ac:dyDescent="0.25">
      <c r="A136" t="s">
        <v>41</v>
      </c>
      <c r="B136">
        <v>2</v>
      </c>
      <c r="C136" t="s">
        <v>19</v>
      </c>
      <c r="D136" t="s">
        <v>94</v>
      </c>
      <c r="E136" t="s">
        <v>113</v>
      </c>
      <c r="F136" t="s">
        <v>145</v>
      </c>
      <c r="G136" t="s">
        <v>259</v>
      </c>
      <c r="H136" t="s">
        <v>763</v>
      </c>
      <c r="I136" t="s">
        <v>718</v>
      </c>
      <c r="J136" t="s">
        <v>410</v>
      </c>
      <c r="K136">
        <v>6</v>
      </c>
      <c r="L136">
        <v>60</v>
      </c>
      <c r="M136">
        <v>55</v>
      </c>
      <c r="N136">
        <v>60</v>
      </c>
      <c r="O136">
        <v>5</v>
      </c>
      <c r="P136">
        <v>5</v>
      </c>
      <c r="Q136">
        <v>3</v>
      </c>
      <c r="R136">
        <v>2</v>
      </c>
      <c r="S136">
        <v>2.5</v>
      </c>
      <c r="T136">
        <v>4.1666666666666664E-2</v>
      </c>
      <c r="V136" t="s">
        <v>104</v>
      </c>
      <c r="W136">
        <v>15</v>
      </c>
      <c r="X136">
        <v>14.9</v>
      </c>
      <c r="Y136">
        <v>17.899999999999999</v>
      </c>
      <c r="Z136">
        <v>14.9</v>
      </c>
      <c r="AA136">
        <v>15.9</v>
      </c>
      <c r="AB136">
        <v>15.9</v>
      </c>
      <c r="AC136">
        <v>14.4</v>
      </c>
      <c r="AD136">
        <v>12.5</v>
      </c>
      <c r="AE136">
        <v>13.5</v>
      </c>
      <c r="AF136">
        <v>13.46666667</v>
      </c>
      <c r="AG136">
        <v>14.4</v>
      </c>
      <c r="AH136">
        <v>15.4</v>
      </c>
      <c r="AI136">
        <v>17.899999999999999</v>
      </c>
      <c r="AJ136">
        <v>15.9</v>
      </c>
      <c r="AK136">
        <v>10</v>
      </c>
      <c r="AL136">
        <v>13.9</v>
      </c>
      <c r="AM136">
        <v>17.399999999999999</v>
      </c>
      <c r="AN136">
        <v>13.766666669999999</v>
      </c>
      <c r="AO136">
        <v>15.9</v>
      </c>
      <c r="AP136">
        <v>6.6</v>
      </c>
      <c r="AQ136">
        <v>7.6</v>
      </c>
      <c r="AR136">
        <v>8.1</v>
      </c>
      <c r="AS136">
        <v>7.4333333330000002</v>
      </c>
      <c r="AT136">
        <v>6.1</v>
      </c>
      <c r="AU136">
        <v>5.6</v>
      </c>
      <c r="AV136">
        <v>5.6</v>
      </c>
      <c r="AW136">
        <v>5.766666667</v>
      </c>
      <c r="AX136">
        <v>7.4333333330000002</v>
      </c>
      <c r="AY136">
        <v>-8.4666666670000001</v>
      </c>
      <c r="AZ136">
        <v>30</v>
      </c>
      <c r="BA136">
        <v>25</v>
      </c>
      <c r="BB136">
        <v>1</v>
      </c>
      <c r="BC136">
        <v>15</v>
      </c>
      <c r="BD136">
        <v>5</v>
      </c>
      <c r="BE136">
        <v>1</v>
      </c>
      <c r="BF136">
        <v>0</v>
      </c>
      <c r="BG136">
        <v>1</v>
      </c>
      <c r="BI136">
        <v>9.9</v>
      </c>
      <c r="BJ136">
        <v>4.4909999999999997</v>
      </c>
      <c r="BK136">
        <v>0</v>
      </c>
      <c r="BL136">
        <v>1</v>
      </c>
      <c r="BM136">
        <v>1</v>
      </c>
      <c r="BN136">
        <v>7</v>
      </c>
      <c r="BO136">
        <v>2</v>
      </c>
      <c r="BP136">
        <v>5</v>
      </c>
      <c r="BQ136">
        <v>2</v>
      </c>
      <c r="BR136">
        <v>5</v>
      </c>
      <c r="BS136">
        <v>8.5134154024999997</v>
      </c>
      <c r="BT136">
        <v>0.64837556225000004</v>
      </c>
      <c r="BU136">
        <v>6.5127057050000001</v>
      </c>
      <c r="BV136">
        <v>-8.5134154024999997</v>
      </c>
      <c r="BW136">
        <v>-0.20035443775</v>
      </c>
      <c r="BX136">
        <v>-6.5127057050000001</v>
      </c>
      <c r="BY136">
        <v>211.64594740009699</v>
      </c>
      <c r="BZ136">
        <v>0.57542465136565402</v>
      </c>
      <c r="CA136">
        <v>21.418165875897198</v>
      </c>
      <c r="CB136">
        <v>211.64594740009699</v>
      </c>
      <c r="CC136">
        <v>1.0824232766948301</v>
      </c>
      <c r="CD136">
        <v>21.418165875897198</v>
      </c>
      <c r="CE136">
        <v>7.8261010000000006E-2</v>
      </c>
      <c r="CF136">
        <v>1.35191778193952E-2</v>
      </c>
      <c r="CG136">
        <v>3.1304404000000001E-2</v>
      </c>
      <c r="CH136">
        <v>3.4053661609999999</v>
      </c>
      <c r="CI136">
        <v>0.25935022489999998</v>
      </c>
      <c r="CJ136">
        <v>2.6050822820000001</v>
      </c>
      <c r="CK136">
        <v>-1.4565394000000001E-2</v>
      </c>
      <c r="CL136">
        <v>-3.4053661609999999</v>
      </c>
      <c r="CM136">
        <v>-8.0141775100000007E-2</v>
      </c>
      <c r="CN136">
        <v>-2.6050822820000001</v>
      </c>
      <c r="CO136">
        <v>4.0068493244016E-3</v>
      </c>
      <c r="CP136">
        <v>89.876180284172307</v>
      </c>
      <c r="CQ136">
        <v>0.30391244904801901</v>
      </c>
      <c r="CR136">
        <v>18.450144785282902</v>
      </c>
      <c r="CS136">
        <v>4.8599771104238E-3</v>
      </c>
      <c r="CT136">
        <v>89.876180284172307</v>
      </c>
      <c r="CU136">
        <v>0.37151226575857599</v>
      </c>
      <c r="CV136">
        <v>18.450144785282902</v>
      </c>
      <c r="CW136">
        <v>-3.6413485000000002E-2</v>
      </c>
    </row>
    <row r="137" spans="1:101" x14ac:dyDescent="0.25">
      <c r="A137" t="s">
        <v>41</v>
      </c>
      <c r="B137">
        <v>2</v>
      </c>
      <c r="C137" t="s">
        <v>19</v>
      </c>
      <c r="D137" t="s">
        <v>94</v>
      </c>
      <c r="E137" t="s">
        <v>103</v>
      </c>
      <c r="F137" t="s">
        <v>145</v>
      </c>
      <c r="G137" t="s">
        <v>260</v>
      </c>
      <c r="H137" t="s">
        <v>771</v>
      </c>
      <c r="I137" t="s">
        <v>719</v>
      </c>
      <c r="J137" t="s">
        <v>411</v>
      </c>
      <c r="K137">
        <v>10</v>
      </c>
      <c r="L137">
        <v>50</v>
      </c>
      <c r="M137">
        <v>40</v>
      </c>
      <c r="N137">
        <v>50</v>
      </c>
      <c r="O137">
        <v>10</v>
      </c>
      <c r="P137">
        <v>12</v>
      </c>
      <c r="Q137">
        <v>10</v>
      </c>
      <c r="R137">
        <v>10</v>
      </c>
      <c r="S137">
        <v>10</v>
      </c>
      <c r="T137">
        <v>0.2</v>
      </c>
      <c r="V137" t="s">
        <v>113</v>
      </c>
      <c r="W137">
        <v>70</v>
      </c>
      <c r="X137">
        <v>14.9</v>
      </c>
      <c r="Y137">
        <v>17.899999999999999</v>
      </c>
      <c r="Z137">
        <v>14.9</v>
      </c>
      <c r="AA137">
        <v>15.9</v>
      </c>
      <c r="AB137">
        <v>15.9</v>
      </c>
      <c r="AC137">
        <v>14.4</v>
      </c>
      <c r="AD137">
        <v>14.9</v>
      </c>
      <c r="AE137">
        <v>18.399999999999999</v>
      </c>
      <c r="AF137">
        <v>15.9</v>
      </c>
      <c r="AG137">
        <v>14.4</v>
      </c>
      <c r="AH137">
        <v>15.4</v>
      </c>
      <c r="AI137">
        <v>17.899999999999999</v>
      </c>
      <c r="AJ137">
        <v>15.9</v>
      </c>
      <c r="AK137">
        <v>12.5</v>
      </c>
      <c r="AL137">
        <v>15.9</v>
      </c>
      <c r="AM137">
        <v>18.899999999999999</v>
      </c>
      <c r="AN137">
        <v>15.766666669999999</v>
      </c>
      <c r="AO137">
        <v>15.9</v>
      </c>
      <c r="AP137">
        <v>6.6</v>
      </c>
      <c r="AQ137">
        <v>7.6</v>
      </c>
      <c r="AR137">
        <v>8.1</v>
      </c>
      <c r="AS137">
        <v>7.4333333330000002</v>
      </c>
      <c r="AT137">
        <v>6.6</v>
      </c>
      <c r="AU137">
        <v>7.1</v>
      </c>
      <c r="AV137">
        <v>8.5</v>
      </c>
      <c r="AW137">
        <v>7.4</v>
      </c>
      <c r="AX137">
        <v>7.4333333330000002</v>
      </c>
      <c r="AY137">
        <v>-8.4666666670000001</v>
      </c>
      <c r="AZ137">
        <v>30</v>
      </c>
      <c r="BA137">
        <v>25</v>
      </c>
      <c r="BB137">
        <v>1</v>
      </c>
      <c r="BC137">
        <v>15</v>
      </c>
      <c r="BD137">
        <v>5</v>
      </c>
      <c r="BE137">
        <v>1</v>
      </c>
      <c r="BF137">
        <v>0</v>
      </c>
      <c r="BG137">
        <v>1</v>
      </c>
      <c r="BI137">
        <v>9.9</v>
      </c>
      <c r="BJ137">
        <v>4.4909999999999997</v>
      </c>
      <c r="BK137">
        <v>0</v>
      </c>
      <c r="BL137">
        <v>4</v>
      </c>
      <c r="BM137">
        <v>3</v>
      </c>
      <c r="BN137">
        <v>103</v>
      </c>
      <c r="BO137">
        <v>333</v>
      </c>
      <c r="BP137">
        <v>-230</v>
      </c>
      <c r="BQ137">
        <v>426</v>
      </c>
      <c r="BR137">
        <v>-323</v>
      </c>
      <c r="BS137">
        <v>7.2670454549999999</v>
      </c>
      <c r="BT137">
        <v>0.33901825800000002</v>
      </c>
      <c r="BU137">
        <v>3.8525754600000002</v>
      </c>
      <c r="BV137">
        <v>7.2670454549999999</v>
      </c>
      <c r="BW137">
        <v>-0.33901825800000002</v>
      </c>
      <c r="BX137">
        <v>3.8525754600000002</v>
      </c>
      <c r="BY137">
        <v>105.619899290072</v>
      </c>
      <c r="BZ137">
        <v>0.229866758514709</v>
      </c>
      <c r="CA137">
        <v>29.6846753499884</v>
      </c>
      <c r="CB137">
        <v>105.619899290072</v>
      </c>
      <c r="CC137">
        <v>0.229866758514709</v>
      </c>
      <c r="CD137">
        <v>29.6846753499884</v>
      </c>
      <c r="CE137">
        <v>0.10782364999999999</v>
      </c>
      <c r="CF137">
        <v>2.3251878998645E-2</v>
      </c>
      <c r="CG137">
        <v>0.12938838</v>
      </c>
      <c r="CH137">
        <v>8.7204545459999991</v>
      </c>
      <c r="CI137">
        <v>0.40682190959999998</v>
      </c>
      <c r="CJ137">
        <v>4.6230905519999999</v>
      </c>
      <c r="CK137">
        <v>0.12938838</v>
      </c>
      <c r="CL137">
        <v>8.7204545459999991</v>
      </c>
      <c r="CM137">
        <v>-0.40682190959999998</v>
      </c>
      <c r="CN137">
        <v>4.6230905519999999</v>
      </c>
      <c r="CO137">
        <v>1.3951127399187E-2</v>
      </c>
      <c r="CP137">
        <v>63.371939574043402</v>
      </c>
      <c r="CQ137">
        <v>0.13792005510882499</v>
      </c>
      <c r="CR137">
        <v>17.810805209993099</v>
      </c>
      <c r="CS137">
        <v>1.3951127399187E-2</v>
      </c>
      <c r="CT137">
        <v>63.371939574043402</v>
      </c>
      <c r="CU137">
        <v>0.13792005510882499</v>
      </c>
      <c r="CV137">
        <v>17.810805209993099</v>
      </c>
      <c r="CW137">
        <v>0.10782364999999999</v>
      </c>
    </row>
    <row r="138" spans="1:101" x14ac:dyDescent="0.25">
      <c r="A138" t="s">
        <v>42</v>
      </c>
      <c r="B138">
        <v>2</v>
      </c>
      <c r="C138" t="s">
        <v>21</v>
      </c>
      <c r="D138" t="s">
        <v>94</v>
      </c>
      <c r="E138" t="s">
        <v>105</v>
      </c>
      <c r="F138" t="s">
        <v>145</v>
      </c>
      <c r="G138" t="s">
        <v>266</v>
      </c>
      <c r="H138" t="s">
        <v>759</v>
      </c>
      <c r="I138" t="s">
        <v>723</v>
      </c>
      <c r="J138" t="s">
        <v>412</v>
      </c>
      <c r="K138">
        <v>5</v>
      </c>
      <c r="L138">
        <v>40</v>
      </c>
      <c r="M138">
        <v>30</v>
      </c>
      <c r="N138">
        <v>40</v>
      </c>
      <c r="O138">
        <v>10</v>
      </c>
      <c r="P138">
        <v>70</v>
      </c>
      <c r="Q138">
        <v>70</v>
      </c>
      <c r="R138">
        <v>40</v>
      </c>
      <c r="S138">
        <v>55</v>
      </c>
      <c r="T138">
        <v>1.375</v>
      </c>
      <c r="U138" t="s">
        <v>15</v>
      </c>
      <c r="V138" t="s">
        <v>121</v>
      </c>
      <c r="W138" t="s">
        <v>114</v>
      </c>
      <c r="X138">
        <v>27.7</v>
      </c>
      <c r="Y138">
        <v>20.8</v>
      </c>
      <c r="Z138">
        <v>22.8</v>
      </c>
      <c r="AA138">
        <v>23.766666669999999</v>
      </c>
      <c r="AB138">
        <v>23.766666669999999</v>
      </c>
      <c r="AC138">
        <v>23.3</v>
      </c>
      <c r="AD138">
        <v>22.8</v>
      </c>
      <c r="AE138">
        <v>22.8</v>
      </c>
      <c r="AF138">
        <v>22.966666669999999</v>
      </c>
      <c r="AG138">
        <v>24.7</v>
      </c>
      <c r="AH138">
        <v>16.899999999999999</v>
      </c>
      <c r="AI138">
        <v>19.8</v>
      </c>
      <c r="AJ138">
        <v>20.466666669999999</v>
      </c>
      <c r="AK138">
        <v>19.3</v>
      </c>
      <c r="AL138">
        <v>17.399999999999999</v>
      </c>
      <c r="AM138">
        <v>24.3</v>
      </c>
      <c r="AN138">
        <v>20.333333329999999</v>
      </c>
      <c r="AO138">
        <v>20.466666669999999</v>
      </c>
      <c r="AP138">
        <v>9.5</v>
      </c>
      <c r="AQ138">
        <v>9</v>
      </c>
      <c r="AR138">
        <v>8.5</v>
      </c>
      <c r="AS138">
        <v>9</v>
      </c>
      <c r="AT138">
        <v>8.5</v>
      </c>
      <c r="AU138">
        <v>8.5</v>
      </c>
      <c r="AV138">
        <v>9.5</v>
      </c>
      <c r="AW138">
        <v>8.8333333330000006</v>
      </c>
      <c r="AX138">
        <v>9</v>
      </c>
      <c r="AY138">
        <v>-14.766666669999999</v>
      </c>
      <c r="AZ138">
        <v>15</v>
      </c>
      <c r="BA138">
        <v>5</v>
      </c>
      <c r="BB138">
        <v>0</v>
      </c>
      <c r="BC138">
        <v>10</v>
      </c>
      <c r="BD138">
        <v>1</v>
      </c>
      <c r="BE138">
        <v>1</v>
      </c>
      <c r="BF138">
        <v>2</v>
      </c>
      <c r="BG138">
        <v>3</v>
      </c>
      <c r="BI138">
        <v>17.2</v>
      </c>
      <c r="BJ138">
        <v>26.582000000000001</v>
      </c>
      <c r="BK138">
        <v>0</v>
      </c>
      <c r="BL138">
        <v>6</v>
      </c>
      <c r="BM138">
        <v>6</v>
      </c>
      <c r="BN138">
        <v>308</v>
      </c>
      <c r="BO138">
        <v>305.33330000000001</v>
      </c>
      <c r="BP138">
        <v>2.6666999999999916</v>
      </c>
      <c r="BQ138">
        <v>238</v>
      </c>
      <c r="BR138">
        <v>70</v>
      </c>
      <c r="BS138">
        <v>71.875</v>
      </c>
      <c r="BT138" t="s">
        <v>114</v>
      </c>
      <c r="BU138">
        <v>24.22376989</v>
      </c>
      <c r="BV138">
        <v>-71.875</v>
      </c>
      <c r="BW138" t="s">
        <v>114</v>
      </c>
      <c r="BX138">
        <v>24.22376989</v>
      </c>
      <c r="BY138" t="s">
        <v>114</v>
      </c>
      <c r="BZ138" t="s">
        <v>114</v>
      </c>
      <c r="CA138" t="s">
        <v>114</v>
      </c>
      <c r="CB138" t="s">
        <v>114</v>
      </c>
      <c r="CC138" t="s">
        <v>114</v>
      </c>
      <c r="CD138" t="s">
        <v>114</v>
      </c>
      <c r="CE138" t="s">
        <v>114</v>
      </c>
      <c r="CF138" t="s">
        <v>114</v>
      </c>
      <c r="CG138" t="s">
        <v>114</v>
      </c>
      <c r="CH138">
        <v>71.875</v>
      </c>
      <c r="CI138" t="s">
        <v>114</v>
      </c>
      <c r="CJ138">
        <v>24.22376989</v>
      </c>
      <c r="CK138" t="s">
        <v>114</v>
      </c>
      <c r="CL138">
        <v>-71.875</v>
      </c>
      <c r="CM138" t="s">
        <v>114</v>
      </c>
      <c r="CN138">
        <v>24.22376989</v>
      </c>
      <c r="CO138" t="s">
        <v>114</v>
      </c>
      <c r="CP138">
        <v>0</v>
      </c>
      <c r="CQ138" t="s">
        <v>114</v>
      </c>
      <c r="CR138">
        <v>0</v>
      </c>
      <c r="CS138" t="s">
        <v>114</v>
      </c>
      <c r="CT138">
        <v>0</v>
      </c>
      <c r="CU138" t="s">
        <v>114</v>
      </c>
      <c r="CV138">
        <v>0</v>
      </c>
      <c r="CW138" t="s">
        <v>114</v>
      </c>
    </row>
    <row r="139" spans="1:101" x14ac:dyDescent="0.25">
      <c r="A139" t="s">
        <v>42</v>
      </c>
      <c r="B139">
        <v>2</v>
      </c>
      <c r="C139" t="s">
        <v>21</v>
      </c>
      <c r="D139" t="s">
        <v>94</v>
      </c>
      <c r="E139" t="s">
        <v>110</v>
      </c>
      <c r="F139" t="s">
        <v>145</v>
      </c>
      <c r="G139" t="s">
        <v>262</v>
      </c>
      <c r="H139" t="s">
        <v>767</v>
      </c>
      <c r="I139" t="s">
        <v>724</v>
      </c>
      <c r="J139" t="s">
        <v>413</v>
      </c>
      <c r="K139">
        <v>6</v>
      </c>
      <c r="L139">
        <v>70</v>
      </c>
      <c r="M139">
        <v>40</v>
      </c>
      <c r="N139">
        <v>70</v>
      </c>
      <c r="O139">
        <v>30</v>
      </c>
      <c r="P139">
        <v>15</v>
      </c>
      <c r="Q139">
        <v>20</v>
      </c>
      <c r="R139">
        <v>15</v>
      </c>
      <c r="S139">
        <v>17.5</v>
      </c>
      <c r="T139">
        <v>0.25</v>
      </c>
      <c r="V139" t="s">
        <v>113</v>
      </c>
      <c r="W139">
        <v>40</v>
      </c>
      <c r="X139">
        <v>27.7</v>
      </c>
      <c r="Y139">
        <v>20.8</v>
      </c>
      <c r="Z139">
        <v>22.8</v>
      </c>
      <c r="AA139">
        <v>23.766666669999999</v>
      </c>
      <c r="AB139">
        <v>23.766666669999999</v>
      </c>
      <c r="AC139">
        <v>22.8</v>
      </c>
      <c r="AD139">
        <v>20.8</v>
      </c>
      <c r="AE139">
        <v>20.8</v>
      </c>
      <c r="AF139">
        <v>21.466666669999999</v>
      </c>
      <c r="AG139">
        <v>24.7</v>
      </c>
      <c r="AH139">
        <v>16.899999999999999</v>
      </c>
      <c r="AI139">
        <v>19.8</v>
      </c>
      <c r="AJ139">
        <v>20.466666669999999</v>
      </c>
      <c r="AK139">
        <v>17.899999999999999</v>
      </c>
      <c r="AL139">
        <v>18.399999999999999</v>
      </c>
      <c r="AM139">
        <v>19.8</v>
      </c>
      <c r="AN139">
        <v>18.7</v>
      </c>
      <c r="AO139">
        <v>20.466666669999999</v>
      </c>
      <c r="AP139">
        <v>9.5</v>
      </c>
      <c r="AQ139">
        <v>9</v>
      </c>
      <c r="AR139">
        <v>8.5</v>
      </c>
      <c r="AS139">
        <v>9</v>
      </c>
      <c r="AT139">
        <v>8.5</v>
      </c>
      <c r="AU139">
        <v>8</v>
      </c>
      <c r="AV139">
        <v>11</v>
      </c>
      <c r="AW139">
        <v>9.1666666669999994</v>
      </c>
      <c r="AX139">
        <v>9</v>
      </c>
      <c r="AY139">
        <v>-14.766666669999999</v>
      </c>
      <c r="AZ139">
        <v>15</v>
      </c>
      <c r="BA139">
        <v>5</v>
      </c>
      <c r="BB139">
        <v>0</v>
      </c>
      <c r="BC139">
        <v>10</v>
      </c>
      <c r="BD139">
        <v>1</v>
      </c>
      <c r="BE139">
        <v>1</v>
      </c>
      <c r="BF139">
        <v>2</v>
      </c>
      <c r="BG139">
        <v>3</v>
      </c>
      <c r="BI139">
        <v>17.2</v>
      </c>
      <c r="BJ139">
        <v>26.582000000000001</v>
      </c>
      <c r="BK139">
        <v>0</v>
      </c>
      <c r="BL139">
        <v>8</v>
      </c>
      <c r="BM139">
        <v>7</v>
      </c>
      <c r="BN139">
        <v>7</v>
      </c>
      <c r="BO139">
        <v>2.5</v>
      </c>
      <c r="BP139">
        <v>4.5</v>
      </c>
      <c r="BQ139">
        <v>4</v>
      </c>
      <c r="BR139">
        <v>3</v>
      </c>
      <c r="BS139">
        <v>39.095822349999999</v>
      </c>
      <c r="BT139" t="s">
        <v>114</v>
      </c>
      <c r="BU139">
        <v>7.8875127699999998</v>
      </c>
      <c r="BV139">
        <v>-39.095822349999999</v>
      </c>
      <c r="BW139" t="s">
        <v>114</v>
      </c>
      <c r="BX139">
        <v>7.8875127699999998</v>
      </c>
      <c r="BY139">
        <v>775.19868541237997</v>
      </c>
      <c r="BZ139" t="s">
        <v>114</v>
      </c>
      <c r="CA139">
        <v>35.078219358540601</v>
      </c>
      <c r="CB139">
        <v>775.19868541237997</v>
      </c>
      <c r="CC139" t="s">
        <v>114</v>
      </c>
      <c r="CD139">
        <v>35.078219358540601</v>
      </c>
      <c r="CE139" t="s">
        <v>114</v>
      </c>
      <c r="CF139" t="s">
        <v>114</v>
      </c>
      <c r="CG139" t="s">
        <v>114</v>
      </c>
      <c r="CH139">
        <v>48.101925043333303</v>
      </c>
      <c r="CI139" t="s">
        <v>114</v>
      </c>
      <c r="CJ139">
        <v>8.8384633899999994</v>
      </c>
      <c r="CK139" t="s">
        <v>114</v>
      </c>
      <c r="CL139">
        <v>-48.101925043333303</v>
      </c>
      <c r="CM139" t="s">
        <v>114</v>
      </c>
      <c r="CN139">
        <v>8.8384633899999994</v>
      </c>
      <c r="CO139" t="s">
        <v>114</v>
      </c>
      <c r="CP139">
        <v>570.096585582638</v>
      </c>
      <c r="CQ139" t="s">
        <v>114</v>
      </c>
      <c r="CR139">
        <v>19.5738006130467</v>
      </c>
      <c r="CS139" t="s">
        <v>114</v>
      </c>
      <c r="CT139">
        <v>570.096585582638</v>
      </c>
      <c r="CU139" t="s">
        <v>114</v>
      </c>
      <c r="CV139">
        <v>19.5738006130467</v>
      </c>
      <c r="CW139" t="s">
        <v>114</v>
      </c>
    </row>
    <row r="140" spans="1:101" x14ac:dyDescent="0.25">
      <c r="A140" t="s">
        <v>42</v>
      </c>
      <c r="B140">
        <v>2</v>
      </c>
      <c r="C140" t="s">
        <v>21</v>
      </c>
      <c r="D140" t="s">
        <v>94</v>
      </c>
      <c r="E140" t="s">
        <v>111</v>
      </c>
      <c r="F140" t="s">
        <v>145</v>
      </c>
      <c r="G140" t="s">
        <v>263</v>
      </c>
      <c r="H140" t="s">
        <v>775</v>
      </c>
      <c r="I140" t="s">
        <v>720</v>
      </c>
      <c r="J140" t="s">
        <v>414</v>
      </c>
      <c r="K140">
        <v>9</v>
      </c>
      <c r="L140">
        <v>290</v>
      </c>
      <c r="M140">
        <v>250</v>
      </c>
      <c r="N140">
        <v>290</v>
      </c>
      <c r="O140">
        <v>40</v>
      </c>
      <c r="P140">
        <v>85</v>
      </c>
      <c r="Q140">
        <v>140</v>
      </c>
      <c r="R140">
        <v>35</v>
      </c>
      <c r="S140">
        <v>87.5</v>
      </c>
      <c r="T140">
        <v>0.30172413793103448</v>
      </c>
      <c r="V140" t="s">
        <v>110</v>
      </c>
      <c r="W140">
        <v>100</v>
      </c>
      <c r="X140">
        <v>27.7</v>
      </c>
      <c r="Y140">
        <v>20.8</v>
      </c>
      <c r="Z140">
        <v>22.8</v>
      </c>
      <c r="AA140">
        <v>23.766666669999999</v>
      </c>
      <c r="AB140">
        <v>23.766666669999999</v>
      </c>
      <c r="AC140">
        <v>28.2</v>
      </c>
      <c r="AD140">
        <v>23.8</v>
      </c>
      <c r="AE140">
        <v>21.8</v>
      </c>
      <c r="AF140">
        <v>24.6</v>
      </c>
      <c r="AG140">
        <v>24.7</v>
      </c>
      <c r="AH140">
        <v>16.899999999999999</v>
      </c>
      <c r="AI140">
        <v>19.8</v>
      </c>
      <c r="AJ140">
        <v>20.466666669999999</v>
      </c>
      <c r="AK140">
        <v>23.8</v>
      </c>
      <c r="AL140">
        <v>20.3</v>
      </c>
      <c r="AM140">
        <v>19.8</v>
      </c>
      <c r="AN140">
        <v>21.3</v>
      </c>
      <c r="AO140">
        <v>20.466666669999999</v>
      </c>
      <c r="AP140">
        <v>9.5</v>
      </c>
      <c r="AQ140">
        <v>9</v>
      </c>
      <c r="AR140">
        <v>8.5</v>
      </c>
      <c r="AS140">
        <v>9</v>
      </c>
      <c r="AT140">
        <v>10</v>
      </c>
      <c r="AU140">
        <v>8.5</v>
      </c>
      <c r="AV140">
        <v>11</v>
      </c>
      <c r="AW140">
        <v>9.8333333330000006</v>
      </c>
      <c r="AX140">
        <v>9</v>
      </c>
      <c r="AY140">
        <v>-14.766666669999999</v>
      </c>
      <c r="AZ140">
        <v>15</v>
      </c>
      <c r="BA140">
        <v>5</v>
      </c>
      <c r="BB140">
        <v>0</v>
      </c>
      <c r="BC140">
        <v>10</v>
      </c>
      <c r="BD140">
        <v>1</v>
      </c>
      <c r="BE140">
        <v>1</v>
      </c>
      <c r="BF140">
        <v>2</v>
      </c>
      <c r="BG140">
        <v>3</v>
      </c>
      <c r="BI140">
        <v>17.2</v>
      </c>
      <c r="BJ140">
        <v>26.582000000000001</v>
      </c>
      <c r="BK140">
        <v>0</v>
      </c>
      <c r="BL140">
        <v>23</v>
      </c>
      <c r="BM140">
        <v>17</v>
      </c>
      <c r="BN140">
        <v>1527</v>
      </c>
      <c r="BO140">
        <v>1464.6667</v>
      </c>
      <c r="BP140">
        <v>62.333300000000008</v>
      </c>
      <c r="BQ140">
        <v>1464</v>
      </c>
      <c r="BR140">
        <v>63</v>
      </c>
      <c r="BS140">
        <v>16.462205905000001</v>
      </c>
      <c r="BT140">
        <v>0.77063555549999996</v>
      </c>
      <c r="BU140">
        <v>5.9219253399999996</v>
      </c>
      <c r="BV140">
        <v>16.462205905000001</v>
      </c>
      <c r="BW140">
        <v>-0.77063555549999996</v>
      </c>
      <c r="BX140">
        <v>-4.2159870799999997</v>
      </c>
      <c r="BY140">
        <v>55.0904204195921</v>
      </c>
      <c r="BZ140">
        <v>5.42829282457244E-2</v>
      </c>
      <c r="CA140">
        <v>35.549094117453798</v>
      </c>
      <c r="CB140">
        <v>55.0904204195921</v>
      </c>
      <c r="CC140">
        <v>5.42829282457244E-2</v>
      </c>
      <c r="CD140">
        <v>70.138399465068204</v>
      </c>
      <c r="CE140">
        <v>0.34797865</v>
      </c>
      <c r="CF140">
        <v>0.24217828171164499</v>
      </c>
      <c r="CG140">
        <v>0.34797865</v>
      </c>
      <c r="CH140">
        <v>16.462205905000001</v>
      </c>
      <c r="CI140">
        <v>0.77063555549999996</v>
      </c>
      <c r="CJ140">
        <v>5.9219253399999996</v>
      </c>
      <c r="CK140">
        <v>-0.17048415</v>
      </c>
      <c r="CL140">
        <v>16.462205905000001</v>
      </c>
      <c r="CM140">
        <v>-0.77063555549999996</v>
      </c>
      <c r="CN140">
        <v>-4.2159870799999997</v>
      </c>
      <c r="CO140">
        <v>5.8129690802444997E-2</v>
      </c>
      <c r="CP140">
        <v>55.0904204195921</v>
      </c>
      <c r="CQ140">
        <v>5.42829282457244E-2</v>
      </c>
      <c r="CR140">
        <v>35.549094117453798</v>
      </c>
      <c r="CS140">
        <v>0.24217828171164499</v>
      </c>
      <c r="CT140">
        <v>55.0904204195921</v>
      </c>
      <c r="CU140">
        <v>5.42829282457244E-2</v>
      </c>
      <c r="CV140">
        <v>70.138399465068204</v>
      </c>
      <c r="CW140">
        <v>-0.17048415</v>
      </c>
    </row>
    <row r="141" spans="1:101" x14ac:dyDescent="0.25">
      <c r="A141" t="s">
        <v>42</v>
      </c>
      <c r="B141">
        <v>2</v>
      </c>
      <c r="C141" t="s">
        <v>21</v>
      </c>
      <c r="D141" t="s">
        <v>94</v>
      </c>
      <c r="E141" t="s">
        <v>104</v>
      </c>
      <c r="F141" t="s">
        <v>145</v>
      </c>
      <c r="G141" t="s">
        <v>264</v>
      </c>
      <c r="H141" t="s">
        <v>779</v>
      </c>
      <c r="I141" t="s">
        <v>721</v>
      </c>
      <c r="J141" t="s">
        <v>415</v>
      </c>
      <c r="K141">
        <v>2</v>
      </c>
      <c r="L141">
        <v>70</v>
      </c>
      <c r="M141">
        <v>50</v>
      </c>
      <c r="N141">
        <v>70</v>
      </c>
      <c r="O141">
        <v>20</v>
      </c>
      <c r="P141">
        <v>30</v>
      </c>
      <c r="Q141">
        <v>30</v>
      </c>
      <c r="R141">
        <v>25</v>
      </c>
      <c r="S141">
        <v>27.5</v>
      </c>
      <c r="T141">
        <v>0.39285714285714285</v>
      </c>
      <c r="V141" t="s">
        <v>110</v>
      </c>
      <c r="W141">
        <v>60</v>
      </c>
      <c r="X141">
        <v>27.7</v>
      </c>
      <c r="Y141">
        <v>20.8</v>
      </c>
      <c r="Z141">
        <v>22.8</v>
      </c>
      <c r="AA141">
        <v>23.766666669999999</v>
      </c>
      <c r="AB141">
        <v>23.766666669999999</v>
      </c>
      <c r="AC141">
        <v>15.4</v>
      </c>
      <c r="AD141">
        <v>19.3</v>
      </c>
      <c r="AE141">
        <v>20.3</v>
      </c>
      <c r="AF141">
        <v>18.333333329999999</v>
      </c>
      <c r="AG141">
        <v>24.7</v>
      </c>
      <c r="AH141">
        <v>16.899999999999999</v>
      </c>
      <c r="AI141">
        <v>19.8</v>
      </c>
      <c r="AJ141">
        <v>20.466666669999999</v>
      </c>
      <c r="AK141">
        <v>18.399999999999999</v>
      </c>
      <c r="AL141">
        <v>14.9</v>
      </c>
      <c r="AM141">
        <v>18.899999999999999</v>
      </c>
      <c r="AN141">
        <v>17.399999999999999</v>
      </c>
      <c r="AO141">
        <v>20.466666669999999</v>
      </c>
      <c r="AP141">
        <v>9.5</v>
      </c>
      <c r="AQ141">
        <v>9</v>
      </c>
      <c r="AR141">
        <v>8.5</v>
      </c>
      <c r="AS141">
        <v>9</v>
      </c>
      <c r="AT141">
        <v>8.1</v>
      </c>
      <c r="AU141">
        <v>6.1</v>
      </c>
      <c r="AV141">
        <v>9</v>
      </c>
      <c r="AW141">
        <v>7.733333333</v>
      </c>
      <c r="AX141">
        <v>9</v>
      </c>
      <c r="AY141">
        <v>-14.766666669999999</v>
      </c>
      <c r="AZ141">
        <v>15</v>
      </c>
      <c r="BA141">
        <v>5</v>
      </c>
      <c r="BB141">
        <v>0</v>
      </c>
      <c r="BC141">
        <v>10</v>
      </c>
      <c r="BD141">
        <v>1</v>
      </c>
      <c r="BE141">
        <v>1</v>
      </c>
      <c r="BF141">
        <v>2</v>
      </c>
      <c r="BG141">
        <v>3</v>
      </c>
      <c r="BI141">
        <v>17.2</v>
      </c>
      <c r="BJ141">
        <v>26.582000000000001</v>
      </c>
      <c r="BK141">
        <v>1</v>
      </c>
      <c r="BL141">
        <v>4</v>
      </c>
      <c r="BM141">
        <v>4</v>
      </c>
      <c r="BN141">
        <v>22</v>
      </c>
      <c r="BO141">
        <v>35</v>
      </c>
      <c r="BP141">
        <v>-13</v>
      </c>
      <c r="BQ141">
        <v>38</v>
      </c>
      <c r="BR141">
        <v>-16</v>
      </c>
      <c r="BS141">
        <v>16.614432376666699</v>
      </c>
      <c r="BT141">
        <v>1.89298712066667</v>
      </c>
      <c r="BU141">
        <v>4.8153994200000003</v>
      </c>
      <c r="BV141">
        <v>16.572765709999999</v>
      </c>
      <c r="BW141">
        <v>1.89298712066667</v>
      </c>
      <c r="BX141">
        <v>-2.8522426666666698</v>
      </c>
      <c r="BY141">
        <v>454.67996554685101</v>
      </c>
      <c r="BZ141">
        <v>0.27591882755715103</v>
      </c>
      <c r="CA141">
        <v>24.455940462696301</v>
      </c>
      <c r="CB141">
        <v>456.75416542726799</v>
      </c>
      <c r="CC141">
        <v>0.27591882755715103</v>
      </c>
      <c r="CD141">
        <v>47.035115479570102</v>
      </c>
      <c r="CE141" t="s">
        <v>114</v>
      </c>
      <c r="CF141" t="s">
        <v>114</v>
      </c>
      <c r="CG141" t="s">
        <v>114</v>
      </c>
      <c r="CH141">
        <v>19.924818852000001</v>
      </c>
      <c r="CI141">
        <v>1.8930907669999999</v>
      </c>
      <c r="CJ141">
        <v>5.1895322779999997</v>
      </c>
      <c r="CK141" t="s">
        <v>114</v>
      </c>
      <c r="CL141">
        <v>19.899818851999999</v>
      </c>
      <c r="CM141">
        <v>1.8930907669999999</v>
      </c>
      <c r="CN141">
        <v>-4.0116382259999996</v>
      </c>
      <c r="CO141" t="s">
        <v>114</v>
      </c>
      <c r="CP141">
        <v>372.49002592632701</v>
      </c>
      <c r="CQ141">
        <v>0.27591874698793201</v>
      </c>
      <c r="CR141">
        <v>23.406124996931901</v>
      </c>
      <c r="CS141" t="s">
        <v>114</v>
      </c>
      <c r="CT141">
        <v>373.73454585457699</v>
      </c>
      <c r="CU141">
        <v>0.27591874698793201</v>
      </c>
      <c r="CV141">
        <v>36.953630007056198</v>
      </c>
      <c r="CW141" t="s">
        <v>114</v>
      </c>
    </row>
    <row r="142" spans="1:101" x14ac:dyDescent="0.25">
      <c r="A142" t="s">
        <v>43</v>
      </c>
      <c r="B142">
        <v>2</v>
      </c>
      <c r="C142" t="s">
        <v>23</v>
      </c>
      <c r="D142" t="s">
        <v>94</v>
      </c>
      <c r="E142" t="s">
        <v>105</v>
      </c>
      <c r="F142" t="s">
        <v>145</v>
      </c>
      <c r="G142" t="s">
        <v>266</v>
      </c>
      <c r="H142" t="s">
        <v>759</v>
      </c>
      <c r="I142" t="s">
        <v>723</v>
      </c>
      <c r="J142" t="s">
        <v>416</v>
      </c>
      <c r="K142">
        <v>5</v>
      </c>
      <c r="L142">
        <v>40</v>
      </c>
      <c r="M142">
        <v>50</v>
      </c>
      <c r="N142">
        <v>40</v>
      </c>
      <c r="O142">
        <v>-10</v>
      </c>
      <c r="P142">
        <v>80</v>
      </c>
      <c r="Q142">
        <v>80</v>
      </c>
      <c r="R142">
        <v>50</v>
      </c>
      <c r="S142">
        <v>65</v>
      </c>
      <c r="T142">
        <v>1.625</v>
      </c>
      <c r="V142" t="s">
        <v>104</v>
      </c>
      <c r="W142">
        <v>45</v>
      </c>
      <c r="X142">
        <v>28.2</v>
      </c>
      <c r="Y142">
        <v>23.3</v>
      </c>
      <c r="Z142">
        <v>23.8</v>
      </c>
      <c r="AA142">
        <v>25.1</v>
      </c>
      <c r="AB142">
        <v>25.1</v>
      </c>
      <c r="AC142">
        <v>14.9</v>
      </c>
      <c r="AD142">
        <v>19.3</v>
      </c>
      <c r="AE142">
        <v>22.8</v>
      </c>
      <c r="AF142">
        <v>19</v>
      </c>
      <c r="AG142">
        <v>23.3</v>
      </c>
      <c r="AH142">
        <v>22.3</v>
      </c>
      <c r="AI142">
        <v>16.399999999999999</v>
      </c>
      <c r="AJ142">
        <v>20.666666670000001</v>
      </c>
      <c r="AK142">
        <v>22.3</v>
      </c>
      <c r="AL142">
        <v>16.399999999999999</v>
      </c>
      <c r="AM142">
        <v>18.899999999999999</v>
      </c>
      <c r="AN142">
        <v>19.2</v>
      </c>
      <c r="AO142">
        <v>20.666666670000001</v>
      </c>
      <c r="AP142">
        <v>12</v>
      </c>
      <c r="AQ142">
        <v>10</v>
      </c>
      <c r="AR142">
        <v>11</v>
      </c>
      <c r="AS142">
        <v>11</v>
      </c>
      <c r="AT142">
        <v>8.5</v>
      </c>
      <c r="AU142">
        <v>7.1</v>
      </c>
      <c r="AV142">
        <v>9.5</v>
      </c>
      <c r="AW142">
        <v>8.3666666670000005</v>
      </c>
      <c r="AX142">
        <v>11</v>
      </c>
      <c r="AY142">
        <v>-14.1</v>
      </c>
      <c r="AZ142">
        <v>5</v>
      </c>
      <c r="BA142">
        <v>30</v>
      </c>
      <c r="BB142">
        <v>5</v>
      </c>
      <c r="BC142">
        <v>10</v>
      </c>
      <c r="BD142">
        <v>0</v>
      </c>
      <c r="BE142">
        <v>1</v>
      </c>
      <c r="BF142">
        <v>3</v>
      </c>
      <c r="BG142">
        <v>3</v>
      </c>
      <c r="BI142">
        <v>18.7</v>
      </c>
      <c r="BJ142">
        <v>19.202000000000002</v>
      </c>
      <c r="BK142">
        <v>0</v>
      </c>
      <c r="BL142">
        <v>6</v>
      </c>
      <c r="BM142">
        <v>6</v>
      </c>
      <c r="BN142">
        <v>393</v>
      </c>
      <c r="BO142">
        <v>305.33330000000001</v>
      </c>
      <c r="BP142">
        <v>87.666699999999992</v>
      </c>
      <c r="BQ142">
        <v>411</v>
      </c>
      <c r="BR142">
        <v>-18</v>
      </c>
      <c r="BS142">
        <v>46.4375</v>
      </c>
      <c r="BT142">
        <v>2.0103032199999999</v>
      </c>
      <c r="BU142">
        <v>14.561728260000001</v>
      </c>
      <c r="BV142">
        <v>-46.4375</v>
      </c>
      <c r="BW142">
        <v>-2.0103032199999999</v>
      </c>
      <c r="BX142">
        <v>14.561728260000001</v>
      </c>
      <c r="BY142" t="s">
        <v>114</v>
      </c>
      <c r="BZ142" t="s">
        <v>114</v>
      </c>
      <c r="CA142" t="s">
        <v>114</v>
      </c>
      <c r="CB142" t="s">
        <v>114</v>
      </c>
      <c r="CC142" t="s">
        <v>114</v>
      </c>
      <c r="CD142" t="s">
        <v>114</v>
      </c>
      <c r="CE142">
        <v>1.6881131</v>
      </c>
      <c r="CF142" t="s">
        <v>114</v>
      </c>
      <c r="CG142">
        <v>1.6881131</v>
      </c>
      <c r="CH142">
        <v>46.4375</v>
      </c>
      <c r="CI142">
        <v>2.0103032199999999</v>
      </c>
      <c r="CJ142">
        <v>14.561728260000001</v>
      </c>
      <c r="CK142">
        <v>1.6881131</v>
      </c>
      <c r="CL142">
        <v>-46.4375</v>
      </c>
      <c r="CM142">
        <v>-2.0103032199999999</v>
      </c>
      <c r="CN142">
        <v>14.561728260000001</v>
      </c>
      <c r="CO142" t="s">
        <v>114</v>
      </c>
      <c r="CP142" t="s">
        <v>114</v>
      </c>
      <c r="CQ142" t="s">
        <v>114</v>
      </c>
      <c r="CR142" t="s">
        <v>114</v>
      </c>
      <c r="CS142" t="s">
        <v>114</v>
      </c>
      <c r="CT142" t="s">
        <v>114</v>
      </c>
      <c r="CU142" t="s">
        <v>114</v>
      </c>
      <c r="CV142" t="s">
        <v>114</v>
      </c>
      <c r="CW142">
        <v>1.6881131</v>
      </c>
    </row>
    <row r="143" spans="1:101" x14ac:dyDescent="0.25">
      <c r="A143" t="s">
        <v>43</v>
      </c>
      <c r="B143">
        <v>2</v>
      </c>
      <c r="C143" t="s">
        <v>23</v>
      </c>
      <c r="D143" t="s">
        <v>94</v>
      </c>
      <c r="E143" t="s">
        <v>110</v>
      </c>
      <c r="F143" t="s">
        <v>145</v>
      </c>
      <c r="G143" t="s">
        <v>262</v>
      </c>
      <c r="H143" t="s">
        <v>767</v>
      </c>
      <c r="I143" t="s">
        <v>724</v>
      </c>
      <c r="J143" t="s">
        <v>417</v>
      </c>
      <c r="K143">
        <v>1</v>
      </c>
      <c r="L143">
        <v>95</v>
      </c>
      <c r="M143">
        <v>20</v>
      </c>
      <c r="N143">
        <v>95</v>
      </c>
      <c r="O143">
        <v>75</v>
      </c>
      <c r="P143">
        <v>15</v>
      </c>
      <c r="Q143">
        <v>70</v>
      </c>
      <c r="R143">
        <v>0</v>
      </c>
      <c r="S143">
        <v>35</v>
      </c>
      <c r="T143">
        <v>0.36842105263157893</v>
      </c>
      <c r="V143" t="s">
        <v>110</v>
      </c>
      <c r="W143">
        <v>10</v>
      </c>
      <c r="X143">
        <v>28.2</v>
      </c>
      <c r="Y143">
        <v>23.3</v>
      </c>
      <c r="Z143">
        <v>23.8</v>
      </c>
      <c r="AA143">
        <v>25.1</v>
      </c>
      <c r="AB143">
        <v>25.1</v>
      </c>
      <c r="AC143">
        <v>24.3</v>
      </c>
      <c r="AD143">
        <v>23.3</v>
      </c>
      <c r="AE143">
        <v>26.7</v>
      </c>
      <c r="AF143">
        <v>24.766666669999999</v>
      </c>
      <c r="AG143">
        <v>23.3</v>
      </c>
      <c r="AH143">
        <v>22.3</v>
      </c>
      <c r="AI143">
        <v>16.399999999999999</v>
      </c>
      <c r="AJ143">
        <v>20.666666670000001</v>
      </c>
      <c r="AK143">
        <v>21.8</v>
      </c>
      <c r="AL143">
        <v>22.8</v>
      </c>
      <c r="AM143">
        <v>19.8</v>
      </c>
      <c r="AN143">
        <v>21.466666669999999</v>
      </c>
      <c r="AO143">
        <v>20.666666670000001</v>
      </c>
      <c r="AP143">
        <v>12</v>
      </c>
      <c r="AQ143">
        <v>10</v>
      </c>
      <c r="AR143">
        <v>11</v>
      </c>
      <c r="AS143">
        <v>11</v>
      </c>
      <c r="AT143">
        <v>7.1</v>
      </c>
      <c r="AU143">
        <v>6.6</v>
      </c>
      <c r="AV143">
        <v>8.5</v>
      </c>
      <c r="AW143">
        <v>7.4</v>
      </c>
      <c r="AX143">
        <v>11</v>
      </c>
      <c r="AY143">
        <v>-14.1</v>
      </c>
      <c r="AZ143">
        <v>5</v>
      </c>
      <c r="BA143">
        <v>30</v>
      </c>
      <c r="BB143">
        <v>5</v>
      </c>
      <c r="BC143">
        <v>10</v>
      </c>
      <c r="BD143">
        <v>0</v>
      </c>
      <c r="BE143">
        <v>1</v>
      </c>
      <c r="BF143">
        <v>3</v>
      </c>
      <c r="BG143">
        <v>3</v>
      </c>
      <c r="BI143">
        <v>18.7</v>
      </c>
      <c r="BJ143">
        <v>19.202000000000002</v>
      </c>
      <c r="BK143">
        <v>0</v>
      </c>
      <c r="BL143">
        <v>8</v>
      </c>
      <c r="BM143">
        <v>8</v>
      </c>
      <c r="BN143">
        <v>8</v>
      </c>
      <c r="BO143">
        <v>2.5</v>
      </c>
      <c r="BP143">
        <v>5.5</v>
      </c>
      <c r="BQ143">
        <v>1</v>
      </c>
      <c r="BR143">
        <v>7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 t="s">
        <v>114</v>
      </c>
      <c r="BZ143" t="s">
        <v>114</v>
      </c>
      <c r="CA143" t="s">
        <v>114</v>
      </c>
      <c r="CB143" t="s">
        <v>114</v>
      </c>
      <c r="CC143" t="s">
        <v>114</v>
      </c>
      <c r="CD143" t="s">
        <v>114</v>
      </c>
      <c r="CE143">
        <v>0</v>
      </c>
      <c r="CF143" t="s">
        <v>114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 t="s">
        <v>114</v>
      </c>
      <c r="CP143" t="s">
        <v>114</v>
      </c>
      <c r="CQ143" t="s">
        <v>114</v>
      </c>
      <c r="CR143" t="s">
        <v>114</v>
      </c>
      <c r="CS143" t="s">
        <v>114</v>
      </c>
      <c r="CT143" t="s">
        <v>114</v>
      </c>
      <c r="CU143" t="s">
        <v>114</v>
      </c>
      <c r="CV143" t="s">
        <v>114</v>
      </c>
      <c r="CW143">
        <v>0</v>
      </c>
    </row>
    <row r="144" spans="1:101" x14ac:dyDescent="0.25">
      <c r="A144" t="s">
        <v>43</v>
      </c>
      <c r="B144">
        <v>2</v>
      </c>
      <c r="C144" t="s">
        <v>23</v>
      </c>
      <c r="D144" t="s">
        <v>94</v>
      </c>
      <c r="E144" t="s">
        <v>111</v>
      </c>
      <c r="F144" t="s">
        <v>145</v>
      </c>
      <c r="G144" t="s">
        <v>263</v>
      </c>
      <c r="H144" t="s">
        <v>775</v>
      </c>
      <c r="I144" t="s">
        <v>720</v>
      </c>
      <c r="J144" t="s">
        <v>418</v>
      </c>
      <c r="K144">
        <v>1</v>
      </c>
      <c r="L144">
        <v>280</v>
      </c>
      <c r="M144">
        <v>260</v>
      </c>
      <c r="N144">
        <v>280</v>
      </c>
      <c r="O144">
        <v>20</v>
      </c>
      <c r="P144">
        <v>110</v>
      </c>
      <c r="Q144">
        <v>170</v>
      </c>
      <c r="R144">
        <v>80</v>
      </c>
      <c r="S144">
        <v>125</v>
      </c>
      <c r="T144">
        <v>0.44642857142857145</v>
      </c>
      <c r="V144" t="s">
        <v>121</v>
      </c>
      <c r="W144" t="s">
        <v>114</v>
      </c>
      <c r="X144">
        <v>28.2</v>
      </c>
      <c r="Y144">
        <v>23.3</v>
      </c>
      <c r="Z144">
        <v>23.8</v>
      </c>
      <c r="AA144">
        <v>25.1</v>
      </c>
      <c r="AB144">
        <v>25.1</v>
      </c>
      <c r="AC144" t="s">
        <v>114</v>
      </c>
      <c r="AD144" t="s">
        <v>114</v>
      </c>
      <c r="AE144" t="s">
        <v>114</v>
      </c>
      <c r="AF144" t="s">
        <v>114</v>
      </c>
      <c r="AG144">
        <v>23.3</v>
      </c>
      <c r="AH144">
        <v>22.3</v>
      </c>
      <c r="AI144">
        <v>16.399999999999999</v>
      </c>
      <c r="AJ144">
        <v>20.666666670000001</v>
      </c>
      <c r="AK144">
        <v>25.2</v>
      </c>
      <c r="AL144">
        <v>25.7</v>
      </c>
      <c r="AM144">
        <v>17.899999999999999</v>
      </c>
      <c r="AN144">
        <v>22.93333333</v>
      </c>
      <c r="AO144">
        <v>20.666666670000001</v>
      </c>
      <c r="AP144">
        <v>12</v>
      </c>
      <c r="AQ144">
        <v>10</v>
      </c>
      <c r="AR144">
        <v>11</v>
      </c>
      <c r="AS144">
        <v>11</v>
      </c>
      <c r="AT144">
        <v>13</v>
      </c>
      <c r="AU144">
        <v>11</v>
      </c>
      <c r="AV144">
        <v>9.5</v>
      </c>
      <c r="AW144">
        <v>11.16666667</v>
      </c>
      <c r="AX144">
        <v>11</v>
      </c>
      <c r="AY144">
        <v>-14.1</v>
      </c>
      <c r="AZ144">
        <v>5</v>
      </c>
      <c r="BA144">
        <v>30</v>
      </c>
      <c r="BB144">
        <v>5</v>
      </c>
      <c r="BC144">
        <v>10</v>
      </c>
      <c r="BD144">
        <v>0</v>
      </c>
      <c r="BE144">
        <v>1</v>
      </c>
      <c r="BF144">
        <v>3</v>
      </c>
      <c r="BG144">
        <v>3</v>
      </c>
      <c r="BI144">
        <v>18.7</v>
      </c>
      <c r="BJ144">
        <v>19.202000000000002</v>
      </c>
      <c r="BK144">
        <v>0</v>
      </c>
      <c r="BL144">
        <v>38</v>
      </c>
      <c r="BM144">
        <v>36</v>
      </c>
      <c r="BN144">
        <v>4925</v>
      </c>
      <c r="BO144">
        <v>1464.6667</v>
      </c>
      <c r="BP144">
        <v>3460.3333000000002</v>
      </c>
      <c r="BQ144">
        <v>2449</v>
      </c>
      <c r="BR144">
        <v>2476</v>
      </c>
      <c r="BS144" t="s">
        <v>114</v>
      </c>
      <c r="BT144" t="s">
        <v>114</v>
      </c>
      <c r="BU144" t="s">
        <v>114</v>
      </c>
      <c r="BV144" t="s">
        <v>114</v>
      </c>
      <c r="BW144" t="s">
        <v>114</v>
      </c>
      <c r="BX144" t="s">
        <v>114</v>
      </c>
      <c r="BY144" t="s">
        <v>114</v>
      </c>
      <c r="BZ144" t="s">
        <v>114</v>
      </c>
      <c r="CA144" t="s">
        <v>114</v>
      </c>
      <c r="CB144" t="s">
        <v>114</v>
      </c>
      <c r="CC144" t="s">
        <v>114</v>
      </c>
      <c r="CD144" t="s">
        <v>114</v>
      </c>
      <c r="CE144" t="s">
        <v>114</v>
      </c>
      <c r="CF144" t="s">
        <v>114</v>
      </c>
      <c r="CG144" t="s">
        <v>114</v>
      </c>
      <c r="CH144" t="s">
        <v>114</v>
      </c>
      <c r="CI144" t="s">
        <v>114</v>
      </c>
      <c r="CJ144" t="s">
        <v>114</v>
      </c>
      <c r="CK144" t="s">
        <v>114</v>
      </c>
      <c r="CL144" t="s">
        <v>114</v>
      </c>
      <c r="CM144" t="s">
        <v>114</v>
      </c>
      <c r="CN144" t="s">
        <v>114</v>
      </c>
      <c r="CO144" t="s">
        <v>114</v>
      </c>
      <c r="CP144" t="s">
        <v>114</v>
      </c>
      <c r="CQ144" t="s">
        <v>114</v>
      </c>
      <c r="CR144" t="s">
        <v>114</v>
      </c>
      <c r="CS144" t="s">
        <v>114</v>
      </c>
      <c r="CT144" t="s">
        <v>114</v>
      </c>
      <c r="CU144" t="s">
        <v>114</v>
      </c>
      <c r="CV144" t="s">
        <v>114</v>
      </c>
      <c r="CW144" t="s">
        <v>114</v>
      </c>
    </row>
    <row r="145" spans="1:101" x14ac:dyDescent="0.25">
      <c r="A145" t="s">
        <v>43</v>
      </c>
      <c r="B145">
        <v>2</v>
      </c>
      <c r="C145" t="s">
        <v>23</v>
      </c>
      <c r="D145" t="s">
        <v>94</v>
      </c>
      <c r="E145" t="s">
        <v>104</v>
      </c>
      <c r="F145" t="s">
        <v>145</v>
      </c>
      <c r="G145" t="s">
        <v>264</v>
      </c>
      <c r="H145" t="s">
        <v>779</v>
      </c>
      <c r="I145" t="s">
        <v>721</v>
      </c>
      <c r="J145" t="s">
        <v>419</v>
      </c>
      <c r="K145" t="s">
        <v>114</v>
      </c>
      <c r="L145">
        <v>70</v>
      </c>
      <c r="M145">
        <v>50</v>
      </c>
      <c r="N145">
        <v>70</v>
      </c>
      <c r="O145">
        <v>20</v>
      </c>
      <c r="P145">
        <v>40</v>
      </c>
      <c r="Q145">
        <v>35</v>
      </c>
      <c r="R145">
        <v>20</v>
      </c>
      <c r="S145">
        <v>27.5</v>
      </c>
      <c r="T145">
        <v>0.39285714285714285</v>
      </c>
      <c r="V145" t="s">
        <v>104</v>
      </c>
      <c r="W145">
        <v>25</v>
      </c>
      <c r="X145">
        <v>28.2</v>
      </c>
      <c r="Y145">
        <v>23.3</v>
      </c>
      <c r="Z145">
        <v>23.8</v>
      </c>
      <c r="AA145">
        <v>25.1</v>
      </c>
      <c r="AB145">
        <v>25.1</v>
      </c>
      <c r="AC145">
        <v>21.8</v>
      </c>
      <c r="AD145">
        <v>25.7</v>
      </c>
      <c r="AE145">
        <v>28.7</v>
      </c>
      <c r="AF145">
        <v>25.4</v>
      </c>
      <c r="AG145">
        <v>23.3</v>
      </c>
      <c r="AH145">
        <v>22.3</v>
      </c>
      <c r="AI145">
        <v>16.399999999999999</v>
      </c>
      <c r="AJ145">
        <v>20.666666670000001</v>
      </c>
      <c r="AK145">
        <v>28.7</v>
      </c>
      <c r="AL145">
        <v>25.2</v>
      </c>
      <c r="AM145">
        <v>29.2</v>
      </c>
      <c r="AN145">
        <v>27.7</v>
      </c>
      <c r="AO145">
        <v>20.666666670000001</v>
      </c>
      <c r="AP145">
        <v>12</v>
      </c>
      <c r="AQ145">
        <v>10</v>
      </c>
      <c r="AR145">
        <v>11</v>
      </c>
      <c r="AS145">
        <v>11</v>
      </c>
      <c r="AT145">
        <v>6.6</v>
      </c>
      <c r="AU145">
        <v>12</v>
      </c>
      <c r="AV145">
        <v>10</v>
      </c>
      <c r="AW145">
        <v>9.5333333329999999</v>
      </c>
      <c r="AX145">
        <v>11</v>
      </c>
      <c r="AY145">
        <v>-14.1</v>
      </c>
      <c r="AZ145">
        <v>5</v>
      </c>
      <c r="BA145">
        <v>30</v>
      </c>
      <c r="BB145">
        <v>5</v>
      </c>
      <c r="BC145">
        <v>10</v>
      </c>
      <c r="BD145">
        <v>0</v>
      </c>
      <c r="BE145">
        <v>1</v>
      </c>
      <c r="BF145">
        <v>3</v>
      </c>
      <c r="BG145">
        <v>3</v>
      </c>
      <c r="BI145">
        <v>18.7</v>
      </c>
      <c r="BJ145">
        <v>19.202000000000002</v>
      </c>
      <c r="BK145">
        <v>0</v>
      </c>
      <c r="BL145">
        <v>5</v>
      </c>
      <c r="BM145">
        <v>5</v>
      </c>
      <c r="BN145">
        <v>30</v>
      </c>
      <c r="BO145">
        <v>35</v>
      </c>
      <c r="BP145">
        <v>-5</v>
      </c>
      <c r="BQ145">
        <v>14</v>
      </c>
      <c r="BR145">
        <v>16</v>
      </c>
      <c r="BS145">
        <v>5.5729166499999998</v>
      </c>
      <c r="BT145">
        <v>1.965242497</v>
      </c>
      <c r="BU145">
        <v>3.15906704</v>
      </c>
      <c r="BV145">
        <v>5.5729166499999998</v>
      </c>
      <c r="BW145">
        <v>-1.965242497</v>
      </c>
      <c r="BX145">
        <v>3.15906704</v>
      </c>
      <c r="BY145">
        <v>62.114799975694403</v>
      </c>
      <c r="BZ145">
        <v>7.7243561440295903</v>
      </c>
      <c r="CA145">
        <v>19.959409126428699</v>
      </c>
      <c r="CB145">
        <v>62.114799975694403</v>
      </c>
      <c r="CC145">
        <v>7.7243561440295903</v>
      </c>
      <c r="CD145">
        <v>19.959409126428699</v>
      </c>
      <c r="CE145" t="s">
        <v>114</v>
      </c>
      <c r="CF145" t="s">
        <v>114</v>
      </c>
      <c r="CG145" t="s">
        <v>114</v>
      </c>
      <c r="CH145">
        <v>5.5729166499999998</v>
      </c>
      <c r="CI145">
        <v>1.965242497</v>
      </c>
      <c r="CJ145">
        <v>3.15906704</v>
      </c>
      <c r="CK145" t="s">
        <v>114</v>
      </c>
      <c r="CL145">
        <v>5.5729166499999998</v>
      </c>
      <c r="CM145">
        <v>-1.965242497</v>
      </c>
      <c r="CN145">
        <v>3.15906704</v>
      </c>
      <c r="CO145" t="s">
        <v>114</v>
      </c>
      <c r="CP145">
        <v>62.114799975694403</v>
      </c>
      <c r="CQ145">
        <v>7.7243561440295903</v>
      </c>
      <c r="CR145">
        <v>19.959409126428699</v>
      </c>
      <c r="CS145" t="s">
        <v>114</v>
      </c>
      <c r="CT145">
        <v>62.114799975694403</v>
      </c>
      <c r="CU145">
        <v>7.7243561440295903</v>
      </c>
      <c r="CV145">
        <v>19.959409126428699</v>
      </c>
      <c r="CW145" t="s">
        <v>114</v>
      </c>
    </row>
    <row r="146" spans="1:101" x14ac:dyDescent="0.25">
      <c r="A146" t="s">
        <v>44</v>
      </c>
      <c r="B146">
        <v>2</v>
      </c>
      <c r="C146" t="s">
        <v>25</v>
      </c>
      <c r="D146" t="s">
        <v>95</v>
      </c>
      <c r="E146" t="s">
        <v>102</v>
      </c>
      <c r="F146" t="s">
        <v>145</v>
      </c>
      <c r="G146" t="s">
        <v>265</v>
      </c>
      <c r="H146" t="s">
        <v>756</v>
      </c>
      <c r="I146" t="s">
        <v>725</v>
      </c>
      <c r="J146" t="s">
        <v>420</v>
      </c>
      <c r="K146">
        <v>2</v>
      </c>
      <c r="L146">
        <v>170</v>
      </c>
      <c r="M146">
        <v>210</v>
      </c>
      <c r="N146">
        <v>170</v>
      </c>
      <c r="O146">
        <v>-40</v>
      </c>
      <c r="P146">
        <v>35</v>
      </c>
      <c r="Q146">
        <v>75</v>
      </c>
      <c r="R146">
        <v>30</v>
      </c>
      <c r="S146">
        <v>52.5</v>
      </c>
      <c r="T146">
        <v>0.30882352941176472</v>
      </c>
      <c r="V146" t="s">
        <v>102</v>
      </c>
      <c r="W146">
        <v>190</v>
      </c>
      <c r="X146">
        <v>17.399999999999999</v>
      </c>
      <c r="Y146">
        <v>15.9</v>
      </c>
      <c r="Z146">
        <v>17.899999999999999</v>
      </c>
      <c r="AA146">
        <v>17.06666667</v>
      </c>
      <c r="AB146">
        <v>17.06666667</v>
      </c>
      <c r="AC146">
        <v>15.9</v>
      </c>
      <c r="AD146">
        <v>13</v>
      </c>
      <c r="AE146">
        <v>13.5</v>
      </c>
      <c r="AF146">
        <v>14.133333329999999</v>
      </c>
      <c r="AG146">
        <v>20.8</v>
      </c>
      <c r="AH146">
        <v>17.399999999999999</v>
      </c>
      <c r="AI146">
        <v>20.3</v>
      </c>
      <c r="AJ146">
        <v>19.5</v>
      </c>
      <c r="AK146">
        <v>14.9</v>
      </c>
      <c r="AL146">
        <v>12.5</v>
      </c>
      <c r="AM146">
        <v>13.9</v>
      </c>
      <c r="AN146">
        <v>13.766666669999999</v>
      </c>
      <c r="AO146">
        <v>19.5</v>
      </c>
      <c r="AP146">
        <v>8.1</v>
      </c>
      <c r="AQ146">
        <v>7.1</v>
      </c>
      <c r="AR146">
        <v>8.5</v>
      </c>
      <c r="AS146">
        <v>7.9</v>
      </c>
      <c r="AT146">
        <v>5.6</v>
      </c>
      <c r="AU146">
        <v>5.6</v>
      </c>
      <c r="AV146">
        <v>6.1</v>
      </c>
      <c r="AW146">
        <v>5.766666667</v>
      </c>
      <c r="AX146">
        <v>7.9</v>
      </c>
      <c r="AY146">
        <v>-9.1666666669999994</v>
      </c>
      <c r="AZ146">
        <v>30</v>
      </c>
      <c r="BA146">
        <v>0</v>
      </c>
      <c r="BB146">
        <v>10</v>
      </c>
      <c r="BC146">
        <v>20</v>
      </c>
      <c r="BD146">
        <v>1</v>
      </c>
      <c r="BE146">
        <v>1</v>
      </c>
      <c r="BF146">
        <v>3</v>
      </c>
      <c r="BG146">
        <v>1</v>
      </c>
      <c r="BI146">
        <v>6.4</v>
      </c>
      <c r="BJ146">
        <v>50.609000000000002</v>
      </c>
      <c r="BK146">
        <v>0</v>
      </c>
      <c r="BL146">
        <v>19</v>
      </c>
      <c r="BM146">
        <v>16</v>
      </c>
      <c r="BN146">
        <v>675</v>
      </c>
      <c r="BO146">
        <v>486.66669999999999</v>
      </c>
      <c r="BP146">
        <v>188.33330000000001</v>
      </c>
      <c r="BQ146">
        <v>532</v>
      </c>
      <c r="BR146">
        <v>143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 t="s">
        <v>114</v>
      </c>
      <c r="BZ146" t="s">
        <v>114</v>
      </c>
      <c r="CA146" t="s">
        <v>114</v>
      </c>
      <c r="CB146" t="s">
        <v>114</v>
      </c>
      <c r="CC146" t="s">
        <v>114</v>
      </c>
      <c r="CD146" t="s">
        <v>114</v>
      </c>
      <c r="CE146">
        <v>0</v>
      </c>
      <c r="CF146" t="s">
        <v>114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 t="s">
        <v>114</v>
      </c>
      <c r="CP146" t="s">
        <v>114</v>
      </c>
      <c r="CQ146" t="s">
        <v>114</v>
      </c>
      <c r="CR146" t="s">
        <v>114</v>
      </c>
      <c r="CS146" t="s">
        <v>114</v>
      </c>
      <c r="CT146" t="s">
        <v>114</v>
      </c>
      <c r="CU146" t="s">
        <v>114</v>
      </c>
      <c r="CV146" t="s">
        <v>114</v>
      </c>
      <c r="CW146">
        <v>0</v>
      </c>
    </row>
    <row r="147" spans="1:101" x14ac:dyDescent="0.25">
      <c r="A147" t="s">
        <v>44</v>
      </c>
      <c r="B147">
        <v>2</v>
      </c>
      <c r="C147" t="s">
        <v>25</v>
      </c>
      <c r="D147" t="s">
        <v>95</v>
      </c>
      <c r="E147" t="s">
        <v>110</v>
      </c>
      <c r="F147" t="s">
        <v>145</v>
      </c>
      <c r="G147" t="s">
        <v>262</v>
      </c>
      <c r="H147" t="s">
        <v>768</v>
      </c>
      <c r="I147" t="s">
        <v>726</v>
      </c>
      <c r="J147" t="s">
        <v>421</v>
      </c>
      <c r="K147">
        <v>1</v>
      </c>
      <c r="L147">
        <v>60</v>
      </c>
      <c r="M147">
        <v>110</v>
      </c>
      <c r="N147">
        <v>60</v>
      </c>
      <c r="O147">
        <v>-50</v>
      </c>
      <c r="P147">
        <v>18</v>
      </c>
      <c r="Q147">
        <v>30</v>
      </c>
      <c r="R147">
        <v>5</v>
      </c>
      <c r="S147">
        <v>17.5</v>
      </c>
      <c r="T147">
        <v>0.29166666666666669</v>
      </c>
      <c r="V147" t="s">
        <v>121</v>
      </c>
      <c r="W147" t="s">
        <v>114</v>
      </c>
      <c r="X147">
        <v>17.399999999999999</v>
      </c>
      <c r="Y147">
        <v>15.9</v>
      </c>
      <c r="Z147">
        <v>17.899999999999999</v>
      </c>
      <c r="AA147">
        <v>17.06666667</v>
      </c>
      <c r="AB147">
        <v>17.06666667</v>
      </c>
      <c r="AC147">
        <v>12</v>
      </c>
      <c r="AD147">
        <v>16.899999999999999</v>
      </c>
      <c r="AE147">
        <v>15.9</v>
      </c>
      <c r="AF147">
        <v>14.93333333</v>
      </c>
      <c r="AG147">
        <v>20.8</v>
      </c>
      <c r="AH147">
        <v>17.399999999999999</v>
      </c>
      <c r="AI147">
        <v>20.3</v>
      </c>
      <c r="AJ147">
        <v>19.5</v>
      </c>
      <c r="AK147">
        <v>16.899999999999999</v>
      </c>
      <c r="AL147">
        <v>18.899999999999999</v>
      </c>
      <c r="AM147">
        <v>14.9</v>
      </c>
      <c r="AN147">
        <v>16.899999999999999</v>
      </c>
      <c r="AO147">
        <v>19.5</v>
      </c>
      <c r="AP147">
        <v>8.1</v>
      </c>
      <c r="AQ147">
        <v>7.1</v>
      </c>
      <c r="AR147">
        <v>8.5</v>
      </c>
      <c r="AS147">
        <v>7.9</v>
      </c>
      <c r="AT147">
        <v>7.6</v>
      </c>
      <c r="AU147">
        <v>9</v>
      </c>
      <c r="AV147">
        <v>8.5</v>
      </c>
      <c r="AW147">
        <v>8.3666666670000005</v>
      </c>
      <c r="AX147">
        <v>7.9</v>
      </c>
      <c r="AY147">
        <v>-9.1666666669999994</v>
      </c>
      <c r="AZ147">
        <v>30</v>
      </c>
      <c r="BA147">
        <v>0</v>
      </c>
      <c r="BB147">
        <v>10</v>
      </c>
      <c r="BC147">
        <v>20</v>
      </c>
      <c r="BD147">
        <v>1</v>
      </c>
      <c r="BE147">
        <v>1</v>
      </c>
      <c r="BF147">
        <v>3</v>
      </c>
      <c r="BG147">
        <v>1</v>
      </c>
      <c r="BI147">
        <v>6.4</v>
      </c>
      <c r="BJ147">
        <v>50.609000000000002</v>
      </c>
      <c r="BK147">
        <v>1</v>
      </c>
      <c r="BL147">
        <v>2</v>
      </c>
      <c r="BM147">
        <v>2</v>
      </c>
      <c r="BN147">
        <v>2</v>
      </c>
      <c r="BO147">
        <v>3</v>
      </c>
      <c r="BP147">
        <v>-1</v>
      </c>
      <c r="BQ147">
        <v>3</v>
      </c>
      <c r="BR147">
        <v>-1</v>
      </c>
      <c r="BS147" t="s">
        <v>114</v>
      </c>
      <c r="BT147" t="s">
        <v>114</v>
      </c>
      <c r="BU147" t="s">
        <v>114</v>
      </c>
      <c r="BV147" t="s">
        <v>114</v>
      </c>
      <c r="BW147" t="s">
        <v>114</v>
      </c>
      <c r="BX147" t="s">
        <v>114</v>
      </c>
      <c r="BY147" t="s">
        <v>114</v>
      </c>
      <c r="BZ147" t="s">
        <v>114</v>
      </c>
      <c r="CA147" t="s">
        <v>114</v>
      </c>
      <c r="CB147" t="s">
        <v>114</v>
      </c>
      <c r="CC147" t="s">
        <v>114</v>
      </c>
      <c r="CD147" t="s">
        <v>114</v>
      </c>
      <c r="CE147" t="s">
        <v>114</v>
      </c>
      <c r="CF147" t="s">
        <v>114</v>
      </c>
      <c r="CG147" t="s">
        <v>114</v>
      </c>
      <c r="CH147" t="s">
        <v>114</v>
      </c>
      <c r="CI147" t="s">
        <v>114</v>
      </c>
      <c r="CJ147" t="s">
        <v>114</v>
      </c>
      <c r="CK147" t="s">
        <v>114</v>
      </c>
      <c r="CL147" t="s">
        <v>114</v>
      </c>
      <c r="CM147" t="s">
        <v>114</v>
      </c>
      <c r="CN147" t="s">
        <v>114</v>
      </c>
      <c r="CO147" t="s">
        <v>114</v>
      </c>
      <c r="CP147" t="s">
        <v>114</v>
      </c>
      <c r="CQ147" t="s">
        <v>114</v>
      </c>
      <c r="CR147" t="s">
        <v>114</v>
      </c>
      <c r="CS147" t="s">
        <v>114</v>
      </c>
      <c r="CT147" t="s">
        <v>114</v>
      </c>
      <c r="CU147" t="s">
        <v>114</v>
      </c>
      <c r="CV147" t="s">
        <v>114</v>
      </c>
      <c r="CW147" t="s">
        <v>114</v>
      </c>
    </row>
    <row r="148" spans="1:101" x14ac:dyDescent="0.25">
      <c r="A148" t="s">
        <v>44</v>
      </c>
      <c r="B148">
        <v>2</v>
      </c>
      <c r="C148" t="s">
        <v>25</v>
      </c>
      <c r="D148" t="s">
        <v>95</v>
      </c>
      <c r="E148" t="s">
        <v>104</v>
      </c>
      <c r="F148" t="s">
        <v>145</v>
      </c>
      <c r="G148" t="s">
        <v>264</v>
      </c>
      <c r="H148" t="s">
        <v>780</v>
      </c>
      <c r="I148" t="s">
        <v>727</v>
      </c>
      <c r="J148" t="s">
        <v>422</v>
      </c>
      <c r="K148">
        <v>0</v>
      </c>
      <c r="L148">
        <v>130</v>
      </c>
      <c r="M148">
        <v>140</v>
      </c>
      <c r="N148">
        <v>130</v>
      </c>
      <c r="O148">
        <v>-10</v>
      </c>
      <c r="P148">
        <v>40</v>
      </c>
      <c r="Q148">
        <v>35</v>
      </c>
      <c r="R148">
        <v>20</v>
      </c>
      <c r="S148">
        <v>27.5</v>
      </c>
      <c r="T148">
        <v>0.21153846153846154</v>
      </c>
      <c r="V148" t="s">
        <v>112</v>
      </c>
      <c r="W148">
        <v>30</v>
      </c>
      <c r="X148">
        <v>17.399999999999999</v>
      </c>
      <c r="Y148">
        <v>15.9</v>
      </c>
      <c r="Z148">
        <v>17.899999999999999</v>
      </c>
      <c r="AA148">
        <v>17.06666667</v>
      </c>
      <c r="AB148">
        <v>17.06666667</v>
      </c>
      <c r="AC148">
        <v>13</v>
      </c>
      <c r="AD148">
        <v>13.5</v>
      </c>
      <c r="AE148">
        <v>14.9</v>
      </c>
      <c r="AF148">
        <v>13.8</v>
      </c>
      <c r="AG148">
        <v>20.8</v>
      </c>
      <c r="AH148">
        <v>17.399999999999999</v>
      </c>
      <c r="AI148">
        <v>20.3</v>
      </c>
      <c r="AJ148">
        <v>19.5</v>
      </c>
      <c r="AK148">
        <v>14.9</v>
      </c>
      <c r="AL148">
        <v>16.899999999999999</v>
      </c>
      <c r="AM148">
        <v>15.4</v>
      </c>
      <c r="AN148">
        <v>15.733333330000001</v>
      </c>
      <c r="AO148">
        <v>19.5</v>
      </c>
      <c r="AP148">
        <v>8.1</v>
      </c>
      <c r="AQ148">
        <v>7.1</v>
      </c>
      <c r="AR148">
        <v>8.5</v>
      </c>
      <c r="AS148">
        <v>7.9</v>
      </c>
      <c r="AT148">
        <v>4.5999999999999996</v>
      </c>
      <c r="AU148">
        <v>5.0999999999999996</v>
      </c>
      <c r="AV148">
        <v>6.6</v>
      </c>
      <c r="AW148">
        <v>5.4333333330000002</v>
      </c>
      <c r="AX148">
        <v>7.9</v>
      </c>
      <c r="AY148">
        <v>-9.1666666669999994</v>
      </c>
      <c r="AZ148">
        <v>30</v>
      </c>
      <c r="BA148">
        <v>0</v>
      </c>
      <c r="BB148">
        <v>10</v>
      </c>
      <c r="BC148">
        <v>20</v>
      </c>
      <c r="BD148">
        <v>1</v>
      </c>
      <c r="BE148">
        <v>1</v>
      </c>
      <c r="BF148">
        <v>3</v>
      </c>
      <c r="BG148">
        <v>1</v>
      </c>
      <c r="BI148">
        <v>6.4</v>
      </c>
      <c r="BJ148">
        <v>50.609000000000002</v>
      </c>
      <c r="BK148">
        <v>0</v>
      </c>
      <c r="BL148">
        <v>14</v>
      </c>
      <c r="BM148">
        <v>14</v>
      </c>
      <c r="BN148">
        <v>86</v>
      </c>
      <c r="BO148">
        <v>134</v>
      </c>
      <c r="BP148">
        <v>-48</v>
      </c>
      <c r="BQ148">
        <v>202</v>
      </c>
      <c r="BR148">
        <v>-116</v>
      </c>
      <c r="BS148">
        <v>36.807570900000002</v>
      </c>
      <c r="BT148">
        <v>0.928214074</v>
      </c>
      <c r="BU148">
        <v>5.8567984066666696</v>
      </c>
      <c r="BV148">
        <v>36.807570900000002</v>
      </c>
      <c r="BW148">
        <v>0.29544740733333302</v>
      </c>
      <c r="BX148">
        <v>1.32022004666667</v>
      </c>
      <c r="BY148">
        <v>109.023765365809</v>
      </c>
      <c r="BZ148">
        <v>0.60828248344761204</v>
      </c>
      <c r="CA148">
        <v>19.3203252778309</v>
      </c>
      <c r="CB148">
        <v>109.023765365809</v>
      </c>
      <c r="CC148">
        <v>1.7697207784551501</v>
      </c>
      <c r="CD148">
        <v>68.158985184899905</v>
      </c>
      <c r="CE148" t="s">
        <v>114</v>
      </c>
      <c r="CF148" t="s">
        <v>114</v>
      </c>
      <c r="CG148" t="s">
        <v>114</v>
      </c>
      <c r="CH148">
        <v>36.807570900000002</v>
      </c>
      <c r="CI148">
        <v>0.928214074</v>
      </c>
      <c r="CJ148">
        <v>5.8567984066666696</v>
      </c>
      <c r="CK148" t="s">
        <v>114</v>
      </c>
      <c r="CL148">
        <v>36.807570900000002</v>
      </c>
      <c r="CM148">
        <v>0.29544740733333302</v>
      </c>
      <c r="CN148">
        <v>1.32022004666667</v>
      </c>
      <c r="CO148" t="s">
        <v>114</v>
      </c>
      <c r="CP148">
        <v>109.023765365809</v>
      </c>
      <c r="CQ148">
        <v>0.60828248344761204</v>
      </c>
      <c r="CR148">
        <v>19.3203252778309</v>
      </c>
      <c r="CS148" t="s">
        <v>114</v>
      </c>
      <c r="CT148">
        <v>109.023765365809</v>
      </c>
      <c r="CU148">
        <v>1.7697207784551501</v>
      </c>
      <c r="CV148">
        <v>68.158985184899905</v>
      </c>
      <c r="CW148" t="s">
        <v>114</v>
      </c>
    </row>
    <row r="149" spans="1:101" x14ac:dyDescent="0.25">
      <c r="A149" t="s">
        <v>44</v>
      </c>
      <c r="B149">
        <v>2</v>
      </c>
      <c r="C149" t="s">
        <v>25</v>
      </c>
      <c r="D149" t="s">
        <v>95</v>
      </c>
      <c r="E149" t="s">
        <v>112</v>
      </c>
      <c r="F149" t="s">
        <v>145</v>
      </c>
      <c r="G149" t="s">
        <v>261</v>
      </c>
      <c r="H149" t="s">
        <v>784</v>
      </c>
      <c r="I149" t="s">
        <v>722</v>
      </c>
      <c r="J149" t="s">
        <v>423</v>
      </c>
      <c r="K149">
        <v>3</v>
      </c>
      <c r="L149">
        <v>120</v>
      </c>
      <c r="M149">
        <v>70</v>
      </c>
      <c r="N149">
        <v>120</v>
      </c>
      <c r="O149">
        <v>50</v>
      </c>
      <c r="P149">
        <v>65</v>
      </c>
      <c r="Q149">
        <v>150</v>
      </c>
      <c r="R149">
        <v>45</v>
      </c>
      <c r="S149">
        <v>97.5</v>
      </c>
      <c r="T149">
        <v>0.8125</v>
      </c>
      <c r="V149" t="s">
        <v>121</v>
      </c>
      <c r="W149" t="s">
        <v>114</v>
      </c>
      <c r="X149">
        <v>17.399999999999999</v>
      </c>
      <c r="Y149">
        <v>15.9</v>
      </c>
      <c r="Z149">
        <v>17.899999999999999</v>
      </c>
      <c r="AA149">
        <v>17.06666667</v>
      </c>
      <c r="AB149">
        <v>17.06666667</v>
      </c>
      <c r="AC149">
        <v>18.399999999999999</v>
      </c>
      <c r="AD149">
        <v>18.399999999999999</v>
      </c>
      <c r="AE149">
        <v>17.899999999999999</v>
      </c>
      <c r="AF149">
        <v>18.233333330000001</v>
      </c>
      <c r="AG149">
        <v>20.8</v>
      </c>
      <c r="AH149">
        <v>17.399999999999999</v>
      </c>
      <c r="AI149">
        <v>20.3</v>
      </c>
      <c r="AJ149">
        <v>19.5</v>
      </c>
      <c r="AK149">
        <v>17.399999999999999</v>
      </c>
      <c r="AL149">
        <v>19.3</v>
      </c>
      <c r="AM149">
        <v>19.8</v>
      </c>
      <c r="AN149">
        <v>18.833333329999999</v>
      </c>
      <c r="AO149">
        <v>19.5</v>
      </c>
      <c r="AP149">
        <v>8.1</v>
      </c>
      <c r="AQ149">
        <v>7.1</v>
      </c>
      <c r="AR149">
        <v>8.5</v>
      </c>
      <c r="AS149">
        <v>7.9</v>
      </c>
      <c r="AT149">
        <v>7.1</v>
      </c>
      <c r="AU149">
        <v>7.1</v>
      </c>
      <c r="AV149">
        <v>8.5</v>
      </c>
      <c r="AW149">
        <v>7.5666666669999998</v>
      </c>
      <c r="AX149">
        <v>7.9</v>
      </c>
      <c r="AY149">
        <v>-9.1666666669999994</v>
      </c>
      <c r="AZ149">
        <v>30</v>
      </c>
      <c r="BA149">
        <v>0</v>
      </c>
      <c r="BB149">
        <v>10</v>
      </c>
      <c r="BC149">
        <v>20</v>
      </c>
      <c r="BD149">
        <v>1</v>
      </c>
      <c r="BE149">
        <v>1</v>
      </c>
      <c r="BF149">
        <v>3</v>
      </c>
      <c r="BG149">
        <v>1</v>
      </c>
      <c r="BI149">
        <v>6.4</v>
      </c>
      <c r="BJ149">
        <v>50.609000000000002</v>
      </c>
      <c r="BK149">
        <v>0</v>
      </c>
      <c r="BL149">
        <v>20</v>
      </c>
      <c r="BM149">
        <v>20</v>
      </c>
      <c r="BN149">
        <v>64</v>
      </c>
      <c r="BO149">
        <v>116.5</v>
      </c>
      <c r="BP149">
        <v>-52.5</v>
      </c>
      <c r="BQ149">
        <v>83</v>
      </c>
      <c r="BR149">
        <v>-19</v>
      </c>
      <c r="BS149" t="s">
        <v>114</v>
      </c>
      <c r="BT149" t="s">
        <v>114</v>
      </c>
      <c r="BU149" t="s">
        <v>114</v>
      </c>
      <c r="BV149" t="s">
        <v>114</v>
      </c>
      <c r="BW149" t="s">
        <v>114</v>
      </c>
      <c r="BX149" t="s">
        <v>114</v>
      </c>
      <c r="BY149" t="s">
        <v>114</v>
      </c>
      <c r="BZ149" t="s">
        <v>114</v>
      </c>
      <c r="CA149" t="s">
        <v>114</v>
      </c>
      <c r="CB149" t="s">
        <v>114</v>
      </c>
      <c r="CC149" t="s">
        <v>114</v>
      </c>
      <c r="CD149" t="s">
        <v>114</v>
      </c>
      <c r="CE149" t="s">
        <v>114</v>
      </c>
      <c r="CF149" t="s">
        <v>114</v>
      </c>
      <c r="CG149" t="s">
        <v>114</v>
      </c>
      <c r="CH149" t="s">
        <v>114</v>
      </c>
      <c r="CI149" t="s">
        <v>114</v>
      </c>
      <c r="CJ149" t="s">
        <v>114</v>
      </c>
      <c r="CK149" t="s">
        <v>114</v>
      </c>
      <c r="CL149" t="s">
        <v>114</v>
      </c>
      <c r="CM149" t="s">
        <v>114</v>
      </c>
      <c r="CN149" t="s">
        <v>114</v>
      </c>
      <c r="CO149" t="s">
        <v>114</v>
      </c>
      <c r="CP149" t="s">
        <v>114</v>
      </c>
      <c r="CQ149" t="s">
        <v>114</v>
      </c>
      <c r="CR149" t="s">
        <v>114</v>
      </c>
      <c r="CS149" t="s">
        <v>114</v>
      </c>
      <c r="CT149" t="s">
        <v>114</v>
      </c>
      <c r="CU149" t="s">
        <v>114</v>
      </c>
      <c r="CV149" t="s">
        <v>114</v>
      </c>
      <c r="CW149" t="s">
        <v>114</v>
      </c>
    </row>
    <row r="150" spans="1:101" x14ac:dyDescent="0.25">
      <c r="A150" t="s">
        <v>45</v>
      </c>
      <c r="B150">
        <v>2</v>
      </c>
      <c r="C150" t="s">
        <v>27</v>
      </c>
      <c r="D150" t="s">
        <v>95</v>
      </c>
      <c r="E150" t="s">
        <v>102</v>
      </c>
      <c r="F150" t="s">
        <v>145</v>
      </c>
      <c r="G150" t="s">
        <v>265</v>
      </c>
      <c r="H150" t="s">
        <v>756</v>
      </c>
      <c r="I150" t="s">
        <v>725</v>
      </c>
      <c r="J150" t="s">
        <v>424</v>
      </c>
      <c r="K150">
        <v>2</v>
      </c>
      <c r="L150">
        <v>170</v>
      </c>
      <c r="M150">
        <v>145</v>
      </c>
      <c r="N150">
        <v>170</v>
      </c>
      <c r="O150">
        <v>25</v>
      </c>
      <c r="P150">
        <v>160</v>
      </c>
      <c r="Q150">
        <v>160</v>
      </c>
      <c r="R150">
        <v>105</v>
      </c>
      <c r="S150">
        <v>132.5</v>
      </c>
      <c r="T150">
        <v>0.77941176470588236</v>
      </c>
      <c r="V150" t="s">
        <v>113</v>
      </c>
      <c r="W150">
        <v>50</v>
      </c>
      <c r="X150">
        <v>12.5</v>
      </c>
      <c r="Y150">
        <v>14.9</v>
      </c>
      <c r="Z150">
        <v>17.899999999999999</v>
      </c>
      <c r="AA150">
        <v>15.1</v>
      </c>
      <c r="AB150">
        <v>15.1</v>
      </c>
      <c r="AC150">
        <v>12.5</v>
      </c>
      <c r="AD150">
        <v>13.9</v>
      </c>
      <c r="AE150">
        <v>14.4</v>
      </c>
      <c r="AF150">
        <v>13.6</v>
      </c>
      <c r="AG150">
        <v>15.4</v>
      </c>
      <c r="AH150">
        <v>15.9</v>
      </c>
      <c r="AI150">
        <v>17.399999999999999</v>
      </c>
      <c r="AJ150">
        <v>16.233333330000001</v>
      </c>
      <c r="AK150">
        <v>13.9</v>
      </c>
      <c r="AL150">
        <v>13</v>
      </c>
      <c r="AM150">
        <v>14.4</v>
      </c>
      <c r="AN150">
        <v>13.766666669999999</v>
      </c>
      <c r="AO150">
        <v>16.233333330000001</v>
      </c>
      <c r="AP150">
        <v>7.6</v>
      </c>
      <c r="AQ150">
        <v>7.1</v>
      </c>
      <c r="AR150">
        <v>8.5</v>
      </c>
      <c r="AS150">
        <v>7.733333333</v>
      </c>
      <c r="AT150">
        <v>5.0999999999999996</v>
      </c>
      <c r="AU150">
        <v>5.0999999999999996</v>
      </c>
      <c r="AV150">
        <v>5.6</v>
      </c>
      <c r="AW150">
        <v>5.266666667</v>
      </c>
      <c r="AX150">
        <v>7.733333333</v>
      </c>
      <c r="AY150">
        <v>-7.3666666669999996</v>
      </c>
      <c r="AZ150">
        <v>20</v>
      </c>
      <c r="BA150">
        <v>35</v>
      </c>
      <c r="BB150">
        <v>5</v>
      </c>
      <c r="BC150">
        <v>0</v>
      </c>
      <c r="BD150">
        <v>1</v>
      </c>
      <c r="BE150">
        <v>0</v>
      </c>
      <c r="BF150">
        <v>1</v>
      </c>
      <c r="BG150">
        <v>0</v>
      </c>
      <c r="BI150">
        <v>11</v>
      </c>
      <c r="BJ150">
        <v>42.4</v>
      </c>
      <c r="BK150">
        <v>0</v>
      </c>
      <c r="BL150">
        <v>45</v>
      </c>
      <c r="BM150">
        <v>38</v>
      </c>
      <c r="BN150">
        <v>1335</v>
      </c>
      <c r="BO150">
        <v>486.66669999999999</v>
      </c>
      <c r="BP150">
        <v>848.33330000000001</v>
      </c>
      <c r="BQ150">
        <v>774</v>
      </c>
      <c r="BR150">
        <v>561</v>
      </c>
      <c r="BS150">
        <v>0.98316497999999997</v>
      </c>
      <c r="BT150">
        <v>0.38814500000000002</v>
      </c>
      <c r="BU150">
        <v>6.5570341799999996</v>
      </c>
      <c r="BV150">
        <v>0.98316497999999997</v>
      </c>
      <c r="BW150">
        <v>0.38814500000000002</v>
      </c>
      <c r="BX150">
        <v>6.5570341799999996</v>
      </c>
      <c r="BY150" t="s">
        <v>114</v>
      </c>
      <c r="BZ150" t="s">
        <v>114</v>
      </c>
      <c r="CA150" t="s">
        <v>114</v>
      </c>
      <c r="CB150" t="s">
        <v>114</v>
      </c>
      <c r="CC150" t="s">
        <v>114</v>
      </c>
      <c r="CD150" t="s">
        <v>114</v>
      </c>
      <c r="CE150">
        <v>0.94413650000000005</v>
      </c>
      <c r="CF150" t="s">
        <v>114</v>
      </c>
      <c r="CG150">
        <v>0.94413650000000005</v>
      </c>
      <c r="CH150">
        <v>0.98316497999999997</v>
      </c>
      <c r="CI150">
        <v>0.38814500000000002</v>
      </c>
      <c r="CJ150">
        <v>6.5570341799999996</v>
      </c>
      <c r="CK150">
        <v>0.94413650000000005</v>
      </c>
      <c r="CL150">
        <v>0.98316497999999997</v>
      </c>
      <c r="CM150">
        <v>0.38814500000000002</v>
      </c>
      <c r="CN150">
        <v>6.5570341799999996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0.94413650000000005</v>
      </c>
    </row>
    <row r="151" spans="1:101" x14ac:dyDescent="0.25">
      <c r="A151" t="s">
        <v>45</v>
      </c>
      <c r="B151">
        <v>2</v>
      </c>
      <c r="C151" t="s">
        <v>27</v>
      </c>
      <c r="D151" t="s">
        <v>95</v>
      </c>
      <c r="E151" t="s">
        <v>105</v>
      </c>
      <c r="F151" t="s">
        <v>145</v>
      </c>
      <c r="G151" t="s">
        <v>266</v>
      </c>
      <c r="H151" t="s">
        <v>760</v>
      </c>
      <c r="I151" t="s">
        <v>728</v>
      </c>
      <c r="J151" t="s">
        <v>425</v>
      </c>
      <c r="K151">
        <v>6</v>
      </c>
      <c r="L151">
        <v>20</v>
      </c>
      <c r="M151">
        <v>80</v>
      </c>
      <c r="N151">
        <v>20</v>
      </c>
      <c r="O151">
        <v>-60</v>
      </c>
      <c r="P151">
        <v>37</v>
      </c>
      <c r="Q151">
        <v>37</v>
      </c>
      <c r="R151">
        <v>17</v>
      </c>
      <c r="S151">
        <v>27</v>
      </c>
      <c r="T151">
        <v>1.35</v>
      </c>
      <c r="V151" t="s">
        <v>113</v>
      </c>
      <c r="W151">
        <v>40</v>
      </c>
      <c r="X151">
        <v>12.5</v>
      </c>
      <c r="Y151">
        <v>14.9</v>
      </c>
      <c r="Z151">
        <v>17.899999999999999</v>
      </c>
      <c r="AA151">
        <v>15.1</v>
      </c>
      <c r="AB151">
        <v>15.1</v>
      </c>
      <c r="AC151">
        <v>14.9</v>
      </c>
      <c r="AD151">
        <v>16.399999999999999</v>
      </c>
      <c r="AE151">
        <v>16.399999999999999</v>
      </c>
      <c r="AF151">
        <v>15.9</v>
      </c>
      <c r="AG151">
        <v>15.4</v>
      </c>
      <c r="AH151">
        <v>15.9</v>
      </c>
      <c r="AI151">
        <v>17.399999999999999</v>
      </c>
      <c r="AJ151">
        <v>16.233333330000001</v>
      </c>
      <c r="AK151">
        <v>14.9</v>
      </c>
      <c r="AL151">
        <v>16.399999999999999</v>
      </c>
      <c r="AM151">
        <v>14.4</v>
      </c>
      <c r="AN151">
        <v>15.233333330000001</v>
      </c>
      <c r="AO151">
        <v>16.233333330000001</v>
      </c>
      <c r="AP151">
        <v>7.6</v>
      </c>
      <c r="AQ151">
        <v>7.1</v>
      </c>
      <c r="AR151">
        <v>8.5</v>
      </c>
      <c r="AS151">
        <v>7.733333333</v>
      </c>
      <c r="AT151">
        <v>8.5</v>
      </c>
      <c r="AU151">
        <v>8.5</v>
      </c>
      <c r="AV151">
        <v>8.1</v>
      </c>
      <c r="AW151">
        <v>8.3666666670000005</v>
      </c>
      <c r="AX151">
        <v>7.733333333</v>
      </c>
      <c r="AY151">
        <v>-7.3666666669999996</v>
      </c>
      <c r="AZ151">
        <v>20</v>
      </c>
      <c r="BA151">
        <v>35</v>
      </c>
      <c r="BB151">
        <v>5</v>
      </c>
      <c r="BC151">
        <v>0</v>
      </c>
      <c r="BD151">
        <v>1</v>
      </c>
      <c r="BE151">
        <v>0</v>
      </c>
      <c r="BF151">
        <v>1</v>
      </c>
      <c r="BG151">
        <v>0</v>
      </c>
      <c r="BI151">
        <v>11</v>
      </c>
      <c r="BJ151">
        <v>42.4</v>
      </c>
      <c r="BK151">
        <v>0</v>
      </c>
      <c r="BL151">
        <v>2</v>
      </c>
      <c r="BM151">
        <v>2</v>
      </c>
      <c r="BN151" t="s">
        <v>114</v>
      </c>
      <c r="BO151">
        <v>320</v>
      </c>
      <c r="BP151" t="s">
        <v>114</v>
      </c>
      <c r="BQ151">
        <v>499</v>
      </c>
      <c r="BR151" t="s">
        <v>114</v>
      </c>
      <c r="BS151">
        <v>16.257575760000002</v>
      </c>
      <c r="BT151">
        <v>0.31284321999999998</v>
      </c>
      <c r="BU151">
        <v>25.327255940000001</v>
      </c>
      <c r="BV151">
        <v>-16.257575760000002</v>
      </c>
      <c r="BW151">
        <v>-0.31284321999999998</v>
      </c>
      <c r="BX151">
        <v>25.327255940000001</v>
      </c>
      <c r="BY151" t="s">
        <v>114</v>
      </c>
      <c r="BZ151" t="s">
        <v>114</v>
      </c>
      <c r="CA151" t="s">
        <v>114</v>
      </c>
      <c r="CB151" t="s">
        <v>114</v>
      </c>
      <c r="CC151" t="s">
        <v>114</v>
      </c>
      <c r="CD151" t="s">
        <v>114</v>
      </c>
      <c r="CE151">
        <v>1.8820212999999999</v>
      </c>
      <c r="CF151" t="s">
        <v>114</v>
      </c>
      <c r="CG151">
        <v>1.8820212999999999</v>
      </c>
      <c r="CH151">
        <v>16.257575760000002</v>
      </c>
      <c r="CI151">
        <v>0.31284321999999998</v>
      </c>
      <c r="CJ151">
        <v>25.327255940000001</v>
      </c>
      <c r="CK151">
        <v>1.8820212999999999</v>
      </c>
      <c r="CL151">
        <v>-16.257575760000002</v>
      </c>
      <c r="CM151">
        <v>-0.31284321999999998</v>
      </c>
      <c r="CN151">
        <v>25.327255940000001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1.8820212999999999</v>
      </c>
    </row>
    <row r="152" spans="1:101" x14ac:dyDescent="0.25">
      <c r="A152" t="s">
        <v>45</v>
      </c>
      <c r="B152">
        <v>2</v>
      </c>
      <c r="C152" t="s">
        <v>27</v>
      </c>
      <c r="D152" t="s">
        <v>95</v>
      </c>
      <c r="E152" t="s">
        <v>112</v>
      </c>
      <c r="F152" t="s">
        <v>145</v>
      </c>
      <c r="G152" t="s">
        <v>261</v>
      </c>
      <c r="H152" t="s">
        <v>784</v>
      </c>
      <c r="I152" t="s">
        <v>722</v>
      </c>
      <c r="J152" t="s">
        <v>426</v>
      </c>
      <c r="K152">
        <v>9</v>
      </c>
      <c r="L152">
        <v>90</v>
      </c>
      <c r="M152">
        <v>30</v>
      </c>
      <c r="N152">
        <v>90</v>
      </c>
      <c r="O152">
        <v>60</v>
      </c>
      <c r="P152">
        <v>45</v>
      </c>
      <c r="Q152">
        <v>90</v>
      </c>
      <c r="R152">
        <v>20</v>
      </c>
      <c r="S152">
        <v>55</v>
      </c>
      <c r="T152">
        <v>0.61111111111111116</v>
      </c>
      <c r="V152" t="s">
        <v>121</v>
      </c>
      <c r="W152" t="s">
        <v>114</v>
      </c>
      <c r="X152">
        <v>12.5</v>
      </c>
      <c r="Y152">
        <v>14.9</v>
      </c>
      <c r="Z152">
        <v>17.899999999999999</v>
      </c>
      <c r="AA152">
        <v>15.1</v>
      </c>
      <c r="AB152">
        <v>15.1</v>
      </c>
      <c r="AC152">
        <v>13.9</v>
      </c>
      <c r="AD152">
        <v>13.9</v>
      </c>
      <c r="AE152">
        <v>13.9</v>
      </c>
      <c r="AF152">
        <v>13.9</v>
      </c>
      <c r="AG152">
        <v>15.4</v>
      </c>
      <c r="AH152">
        <v>15.9</v>
      </c>
      <c r="AI152">
        <v>17.399999999999999</v>
      </c>
      <c r="AJ152">
        <v>16.233333330000001</v>
      </c>
      <c r="AK152">
        <v>12.5</v>
      </c>
      <c r="AL152">
        <v>14.4</v>
      </c>
      <c r="AM152">
        <v>14.9</v>
      </c>
      <c r="AN152">
        <v>13.93333333</v>
      </c>
      <c r="AO152">
        <v>16.233333330000001</v>
      </c>
      <c r="AP152">
        <v>7.6</v>
      </c>
      <c r="AQ152">
        <v>7.1</v>
      </c>
      <c r="AR152">
        <v>8.5</v>
      </c>
      <c r="AS152">
        <v>7.733333333</v>
      </c>
      <c r="AT152">
        <v>6.1</v>
      </c>
      <c r="AU152">
        <v>6.6</v>
      </c>
      <c r="AV152">
        <v>8.1</v>
      </c>
      <c r="AW152">
        <v>6.9333333330000002</v>
      </c>
      <c r="AX152">
        <v>7.733333333</v>
      </c>
      <c r="AY152">
        <v>-7.3666666669999996</v>
      </c>
      <c r="AZ152">
        <v>20</v>
      </c>
      <c r="BA152">
        <v>35</v>
      </c>
      <c r="BB152">
        <v>5</v>
      </c>
      <c r="BC152">
        <v>0</v>
      </c>
      <c r="BD152">
        <v>1</v>
      </c>
      <c r="BE152">
        <v>0</v>
      </c>
      <c r="BF152">
        <v>1</v>
      </c>
      <c r="BG152">
        <v>0</v>
      </c>
      <c r="BI152">
        <v>11</v>
      </c>
      <c r="BJ152">
        <v>42.4</v>
      </c>
      <c r="BK152">
        <v>0</v>
      </c>
      <c r="BL152">
        <v>17</v>
      </c>
      <c r="BM152">
        <v>15</v>
      </c>
      <c r="BN152">
        <v>46</v>
      </c>
      <c r="BO152">
        <v>116.5</v>
      </c>
      <c r="BP152">
        <v>-70.5</v>
      </c>
      <c r="BQ152">
        <v>153</v>
      </c>
      <c r="BR152">
        <v>-107</v>
      </c>
      <c r="BS152">
        <v>25.930871215</v>
      </c>
      <c r="BT152">
        <v>1.8984460359999999</v>
      </c>
      <c r="BU152">
        <v>11.43279727</v>
      </c>
      <c r="BV152">
        <v>-25.930871215</v>
      </c>
      <c r="BW152">
        <v>1.8984460359999999</v>
      </c>
      <c r="BX152">
        <v>11.43279727</v>
      </c>
      <c r="BY152">
        <v>105.619899290072</v>
      </c>
      <c r="BZ152">
        <v>0.229866758514709</v>
      </c>
      <c r="CA152">
        <v>29.6846753499884</v>
      </c>
      <c r="CB152">
        <v>105.619899290072</v>
      </c>
      <c r="CC152">
        <v>0.229866758514709</v>
      </c>
      <c r="CD152">
        <v>29.6846753499884</v>
      </c>
      <c r="CE152">
        <v>1.89034035</v>
      </c>
      <c r="CF152">
        <v>2.3251878998645E-2</v>
      </c>
      <c r="CG152">
        <v>1.97420318888889</v>
      </c>
      <c r="CH152">
        <v>20.278724749999999</v>
      </c>
      <c r="CI152">
        <v>1.63476516866667</v>
      </c>
      <c r="CJ152">
        <v>14.42924485</v>
      </c>
      <c r="CK152">
        <v>1.97420318888889</v>
      </c>
      <c r="CL152">
        <v>-20.278724749999999</v>
      </c>
      <c r="CM152">
        <v>1.63476516866667</v>
      </c>
      <c r="CN152">
        <v>14.42924485</v>
      </c>
      <c r="CO152">
        <v>5.1670842219211201E-3</v>
      </c>
      <c r="CP152">
        <v>23.4710887311272</v>
      </c>
      <c r="CQ152">
        <v>5.1081501892157599E-2</v>
      </c>
      <c r="CR152">
        <v>6.5965945222196503</v>
      </c>
      <c r="CS152">
        <v>5.1670842219211201E-3</v>
      </c>
      <c r="CT152">
        <v>23.4710887311272</v>
      </c>
      <c r="CU152">
        <v>5.1081501892157599E-2</v>
      </c>
      <c r="CV152">
        <v>6.5965945222196503</v>
      </c>
      <c r="CW152">
        <v>1.89034035</v>
      </c>
    </row>
    <row r="153" spans="1:101" x14ac:dyDescent="0.25">
      <c r="A153" t="s">
        <v>46</v>
      </c>
      <c r="B153">
        <v>2</v>
      </c>
      <c r="C153" t="s">
        <v>29</v>
      </c>
      <c r="D153" t="s">
        <v>95</v>
      </c>
      <c r="E153" t="s">
        <v>102</v>
      </c>
      <c r="F153" t="s">
        <v>145</v>
      </c>
      <c r="G153" t="s">
        <v>265</v>
      </c>
      <c r="H153" t="s">
        <v>756</v>
      </c>
      <c r="I153" t="s">
        <v>725</v>
      </c>
      <c r="J153" t="s">
        <v>427</v>
      </c>
      <c r="K153" t="s">
        <v>114</v>
      </c>
      <c r="L153">
        <v>100</v>
      </c>
      <c r="M153">
        <v>110</v>
      </c>
      <c r="N153">
        <v>100</v>
      </c>
      <c r="O153">
        <v>-10</v>
      </c>
      <c r="P153">
        <v>200</v>
      </c>
      <c r="Q153">
        <v>200</v>
      </c>
      <c r="R153">
        <v>180</v>
      </c>
      <c r="S153">
        <v>190</v>
      </c>
      <c r="T153">
        <v>1.9</v>
      </c>
      <c r="V153" t="s">
        <v>113</v>
      </c>
      <c r="W153">
        <v>20</v>
      </c>
      <c r="X153">
        <v>13</v>
      </c>
      <c r="Y153">
        <v>22</v>
      </c>
      <c r="Z153">
        <v>14.9</v>
      </c>
      <c r="AA153">
        <v>16.633333329999999</v>
      </c>
      <c r="AB153">
        <v>16.633333329999999</v>
      </c>
      <c r="AC153">
        <v>13.5</v>
      </c>
      <c r="AD153">
        <v>14.9</v>
      </c>
      <c r="AE153">
        <v>14.4</v>
      </c>
      <c r="AF153">
        <v>14.266666669999999</v>
      </c>
      <c r="AG153">
        <v>24.3</v>
      </c>
      <c r="AH153">
        <v>15.4</v>
      </c>
      <c r="AI153">
        <v>14.9</v>
      </c>
      <c r="AJ153">
        <v>18.2</v>
      </c>
      <c r="AK153">
        <v>14.4</v>
      </c>
      <c r="AL153">
        <v>17.399999999999999</v>
      </c>
      <c r="AM153">
        <v>18.399999999999999</v>
      </c>
      <c r="AN153">
        <v>16.733333330000001</v>
      </c>
      <c r="AO153">
        <v>18.2</v>
      </c>
      <c r="AP153">
        <v>6.1</v>
      </c>
      <c r="AQ153">
        <v>8.5</v>
      </c>
      <c r="AR153">
        <v>10.5</v>
      </c>
      <c r="AS153">
        <v>8.3666666670000005</v>
      </c>
      <c r="AT153">
        <v>5.6</v>
      </c>
      <c r="AU153">
        <v>6.6</v>
      </c>
      <c r="AV153">
        <v>6.6</v>
      </c>
      <c r="AW153">
        <v>6.266666667</v>
      </c>
      <c r="AX153">
        <v>8.3666666670000005</v>
      </c>
      <c r="AY153">
        <v>-8.2666666670000009</v>
      </c>
      <c r="AZ153">
        <v>50</v>
      </c>
      <c r="BA153">
        <v>1</v>
      </c>
      <c r="BB153">
        <v>5</v>
      </c>
      <c r="BC153">
        <v>3</v>
      </c>
      <c r="BD153">
        <v>1</v>
      </c>
      <c r="BE153">
        <v>0</v>
      </c>
      <c r="BF153">
        <v>1</v>
      </c>
      <c r="BG153">
        <v>1</v>
      </c>
      <c r="BI153">
        <v>13.8</v>
      </c>
      <c r="BJ153">
        <v>42.4</v>
      </c>
      <c r="BK153">
        <v>0</v>
      </c>
      <c r="BL153">
        <v>15</v>
      </c>
      <c r="BM153">
        <v>13</v>
      </c>
      <c r="BN153">
        <v>468</v>
      </c>
      <c r="BO153">
        <v>486.66669999999999</v>
      </c>
      <c r="BP153">
        <v>-18.666699999999992</v>
      </c>
      <c r="BQ153">
        <v>154</v>
      </c>
      <c r="BR153">
        <v>314</v>
      </c>
      <c r="BS153" t="s">
        <v>114</v>
      </c>
      <c r="BT153" t="s">
        <v>114</v>
      </c>
      <c r="BU153" t="s">
        <v>114</v>
      </c>
      <c r="BV153" t="s">
        <v>114</v>
      </c>
      <c r="BW153" t="s">
        <v>114</v>
      </c>
      <c r="BX153" t="s">
        <v>114</v>
      </c>
      <c r="BY153" t="s">
        <v>114</v>
      </c>
      <c r="BZ153" t="s">
        <v>114</v>
      </c>
      <c r="CA153" t="s">
        <v>114</v>
      </c>
      <c r="CB153" t="s">
        <v>114</v>
      </c>
      <c r="CC153" t="s">
        <v>114</v>
      </c>
      <c r="CD153" t="s">
        <v>114</v>
      </c>
      <c r="CE153" t="s">
        <v>114</v>
      </c>
      <c r="CF153" t="s">
        <v>114</v>
      </c>
      <c r="CG153" t="s">
        <v>114</v>
      </c>
      <c r="CH153" t="s">
        <v>114</v>
      </c>
      <c r="CI153" t="s">
        <v>114</v>
      </c>
      <c r="CJ153" t="s">
        <v>114</v>
      </c>
      <c r="CK153" t="s">
        <v>114</v>
      </c>
      <c r="CL153" t="s">
        <v>114</v>
      </c>
      <c r="CM153" t="s">
        <v>114</v>
      </c>
      <c r="CN153" t="s">
        <v>114</v>
      </c>
      <c r="CO153" t="s">
        <v>114</v>
      </c>
      <c r="CP153" t="s">
        <v>114</v>
      </c>
      <c r="CQ153" t="s">
        <v>114</v>
      </c>
      <c r="CR153" t="s">
        <v>114</v>
      </c>
      <c r="CS153" t="s">
        <v>114</v>
      </c>
      <c r="CT153" t="s">
        <v>114</v>
      </c>
      <c r="CU153" t="s">
        <v>114</v>
      </c>
      <c r="CV153" t="s">
        <v>114</v>
      </c>
      <c r="CW153" t="s">
        <v>114</v>
      </c>
    </row>
    <row r="154" spans="1:101" x14ac:dyDescent="0.25">
      <c r="A154" t="s">
        <v>46</v>
      </c>
      <c r="B154">
        <v>2</v>
      </c>
      <c r="C154" t="s">
        <v>29</v>
      </c>
      <c r="D154" t="s">
        <v>95</v>
      </c>
      <c r="E154" t="s">
        <v>110</v>
      </c>
      <c r="F154" t="s">
        <v>145</v>
      </c>
      <c r="G154" t="s">
        <v>262</v>
      </c>
      <c r="H154" t="s">
        <v>768</v>
      </c>
      <c r="I154" t="s">
        <v>726</v>
      </c>
      <c r="J154" t="s">
        <v>428</v>
      </c>
      <c r="K154">
        <v>3</v>
      </c>
      <c r="L154">
        <v>50</v>
      </c>
      <c r="M154">
        <v>65</v>
      </c>
      <c r="N154">
        <v>50</v>
      </c>
      <c r="O154">
        <v>-15</v>
      </c>
      <c r="P154">
        <v>13</v>
      </c>
      <c r="Q154">
        <v>10</v>
      </c>
      <c r="R154">
        <v>6</v>
      </c>
      <c r="S154">
        <v>8</v>
      </c>
      <c r="T154">
        <v>0.16</v>
      </c>
      <c r="U154" t="s">
        <v>29</v>
      </c>
      <c r="V154" t="s">
        <v>113</v>
      </c>
      <c r="W154">
        <v>30</v>
      </c>
      <c r="X154">
        <v>13</v>
      </c>
      <c r="Y154">
        <v>22</v>
      </c>
      <c r="Z154">
        <v>14.9</v>
      </c>
      <c r="AA154">
        <v>16.633333329999999</v>
      </c>
      <c r="AB154">
        <v>16.633333329999999</v>
      </c>
      <c r="AC154">
        <v>14.4</v>
      </c>
      <c r="AD154">
        <v>15.4</v>
      </c>
      <c r="AE154">
        <v>15.9</v>
      </c>
      <c r="AF154">
        <v>15.233333330000001</v>
      </c>
      <c r="AG154">
        <v>24.3</v>
      </c>
      <c r="AH154">
        <v>15.4</v>
      </c>
      <c r="AI154">
        <v>14.9</v>
      </c>
      <c r="AJ154">
        <v>18.2</v>
      </c>
      <c r="AK154">
        <v>16.399999999999999</v>
      </c>
      <c r="AL154">
        <v>16.399999999999999</v>
      </c>
      <c r="AM154">
        <v>18.399999999999999</v>
      </c>
      <c r="AN154">
        <v>17.06666667</v>
      </c>
      <c r="AO154">
        <v>18.2</v>
      </c>
      <c r="AP154">
        <v>6.1</v>
      </c>
      <c r="AQ154">
        <v>8.5</v>
      </c>
      <c r="AR154">
        <v>10.5</v>
      </c>
      <c r="AS154">
        <v>8.3666666670000005</v>
      </c>
      <c r="AT154">
        <v>5.6</v>
      </c>
      <c r="AU154">
        <v>7.6</v>
      </c>
      <c r="AV154">
        <v>6.1</v>
      </c>
      <c r="AW154">
        <v>6.4333333330000002</v>
      </c>
      <c r="AX154">
        <v>8.3666666670000005</v>
      </c>
      <c r="AY154">
        <v>-8.2666666670000009</v>
      </c>
      <c r="AZ154">
        <v>50</v>
      </c>
      <c r="BA154">
        <v>1</v>
      </c>
      <c r="BB154">
        <v>5</v>
      </c>
      <c r="BC154">
        <v>3</v>
      </c>
      <c r="BD154">
        <v>1</v>
      </c>
      <c r="BE154">
        <v>0</v>
      </c>
      <c r="BF154">
        <v>1</v>
      </c>
      <c r="BG154">
        <v>1</v>
      </c>
      <c r="BI154">
        <v>13.8</v>
      </c>
      <c r="BJ154">
        <v>42.4</v>
      </c>
      <c r="BK154">
        <v>0</v>
      </c>
      <c r="BL154">
        <v>1</v>
      </c>
      <c r="BM154">
        <v>1</v>
      </c>
      <c r="BN154">
        <v>1</v>
      </c>
      <c r="BO154">
        <v>3</v>
      </c>
      <c r="BP154">
        <v>-2</v>
      </c>
      <c r="BQ154">
        <v>3</v>
      </c>
      <c r="BR154">
        <v>-2</v>
      </c>
      <c r="BS154">
        <v>10.496706189999999</v>
      </c>
      <c r="BT154">
        <v>0.329493333</v>
      </c>
      <c r="BU154">
        <v>11.843850679999999</v>
      </c>
      <c r="BV154">
        <v>-10.496706189999999</v>
      </c>
      <c r="BW154">
        <v>0.329493333</v>
      </c>
      <c r="BX154">
        <v>11.843850679999999</v>
      </c>
      <c r="BY154" t="s">
        <v>114</v>
      </c>
      <c r="BZ154" t="s">
        <v>114</v>
      </c>
      <c r="CA154" t="s">
        <v>114</v>
      </c>
      <c r="CB154" t="s">
        <v>114</v>
      </c>
      <c r="CC154" t="s">
        <v>114</v>
      </c>
      <c r="CD154" t="s">
        <v>114</v>
      </c>
      <c r="CE154">
        <v>0.6959573</v>
      </c>
      <c r="CF154" t="s">
        <v>114</v>
      </c>
      <c r="CG154">
        <v>0.6959573</v>
      </c>
      <c r="CH154">
        <v>10.496706189999999</v>
      </c>
      <c r="CI154">
        <v>0.329493333</v>
      </c>
      <c r="CJ154">
        <v>11.843850679999999</v>
      </c>
      <c r="CK154">
        <v>0.6959573</v>
      </c>
      <c r="CL154">
        <v>-10.496706189999999</v>
      </c>
      <c r="CM154">
        <v>0.329493333</v>
      </c>
      <c r="CN154">
        <v>11.843850679999999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0.6959573</v>
      </c>
    </row>
    <row r="155" spans="1:101" x14ac:dyDescent="0.25">
      <c r="A155" t="s">
        <v>46</v>
      </c>
      <c r="B155">
        <v>2</v>
      </c>
      <c r="C155" t="s">
        <v>29</v>
      </c>
      <c r="D155" t="s">
        <v>95</v>
      </c>
      <c r="E155" t="s">
        <v>112</v>
      </c>
      <c r="F155" t="s">
        <v>145</v>
      </c>
      <c r="G155" t="s">
        <v>261</v>
      </c>
      <c r="H155" t="s">
        <v>784</v>
      </c>
      <c r="I155" t="s">
        <v>722</v>
      </c>
      <c r="J155" t="s">
        <v>429</v>
      </c>
      <c r="K155" t="s">
        <v>114</v>
      </c>
      <c r="L155">
        <v>60</v>
      </c>
      <c r="M155">
        <v>45</v>
      </c>
      <c r="N155">
        <v>60</v>
      </c>
      <c r="O155">
        <v>15</v>
      </c>
      <c r="P155">
        <v>65</v>
      </c>
      <c r="Q155">
        <v>210</v>
      </c>
      <c r="R155">
        <v>50</v>
      </c>
      <c r="S155">
        <v>130</v>
      </c>
      <c r="T155">
        <v>2.1666666666666665</v>
      </c>
      <c r="U155" t="s">
        <v>29</v>
      </c>
      <c r="V155" t="s">
        <v>112</v>
      </c>
      <c r="W155">
        <v>80</v>
      </c>
      <c r="X155">
        <v>13</v>
      </c>
      <c r="Y155">
        <v>22</v>
      </c>
      <c r="Z155">
        <v>14.9</v>
      </c>
      <c r="AA155">
        <v>16.633333329999999</v>
      </c>
      <c r="AB155">
        <v>16.633333329999999</v>
      </c>
      <c r="AC155">
        <v>20.8</v>
      </c>
      <c r="AD155">
        <v>14.9</v>
      </c>
      <c r="AE155">
        <v>12.5</v>
      </c>
      <c r="AF155">
        <v>16.06666667</v>
      </c>
      <c r="AG155">
        <v>24.3</v>
      </c>
      <c r="AH155">
        <v>15.4</v>
      </c>
      <c r="AI155">
        <v>14.9</v>
      </c>
      <c r="AJ155">
        <v>18.2</v>
      </c>
      <c r="AK155">
        <v>16.899999999999999</v>
      </c>
      <c r="AL155">
        <v>17.899999999999999</v>
      </c>
      <c r="AM155">
        <v>14.4</v>
      </c>
      <c r="AN155">
        <v>16.399999999999999</v>
      </c>
      <c r="AO155">
        <v>18.2</v>
      </c>
      <c r="AP155">
        <v>6.1</v>
      </c>
      <c r="AQ155">
        <v>8.5</v>
      </c>
      <c r="AR155">
        <v>10.5</v>
      </c>
      <c r="AS155">
        <v>8.3666666670000005</v>
      </c>
      <c r="AT155">
        <v>5.6</v>
      </c>
      <c r="AU155">
        <v>6.6</v>
      </c>
      <c r="AV155">
        <v>8.5</v>
      </c>
      <c r="AW155">
        <v>6.9</v>
      </c>
      <c r="AX155">
        <v>8.3666666670000005</v>
      </c>
      <c r="AY155">
        <v>-8.2666666670000009</v>
      </c>
      <c r="AZ155">
        <v>50</v>
      </c>
      <c r="BA155">
        <v>1</v>
      </c>
      <c r="BB155">
        <v>5</v>
      </c>
      <c r="BC155">
        <v>3</v>
      </c>
      <c r="BD155">
        <v>1</v>
      </c>
      <c r="BE155">
        <v>0</v>
      </c>
      <c r="BF155">
        <v>1</v>
      </c>
      <c r="BG155">
        <v>1</v>
      </c>
      <c r="BI155">
        <v>13.8</v>
      </c>
      <c r="BJ155">
        <v>42.4</v>
      </c>
      <c r="BK155">
        <v>0</v>
      </c>
      <c r="BL155">
        <v>86</v>
      </c>
      <c r="BM155">
        <v>82</v>
      </c>
      <c r="BN155">
        <v>323</v>
      </c>
      <c r="BO155">
        <v>116.5</v>
      </c>
      <c r="BP155">
        <v>206.5</v>
      </c>
      <c r="BQ155">
        <v>173</v>
      </c>
      <c r="BR155">
        <v>150</v>
      </c>
      <c r="BS155" t="s">
        <v>114</v>
      </c>
      <c r="BT155" t="s">
        <v>114</v>
      </c>
      <c r="BU155" t="s">
        <v>114</v>
      </c>
      <c r="BV155" t="s">
        <v>114</v>
      </c>
      <c r="BW155" t="s">
        <v>114</v>
      </c>
      <c r="BX155" t="s">
        <v>114</v>
      </c>
      <c r="BY155" t="s">
        <v>114</v>
      </c>
      <c r="BZ155" t="s">
        <v>114</v>
      </c>
      <c r="CA155" t="s">
        <v>114</v>
      </c>
      <c r="CB155" t="s">
        <v>114</v>
      </c>
      <c r="CC155" t="s">
        <v>114</v>
      </c>
      <c r="CD155" t="s">
        <v>114</v>
      </c>
      <c r="CE155" t="s">
        <v>114</v>
      </c>
      <c r="CF155" t="s">
        <v>114</v>
      </c>
      <c r="CG155" t="s">
        <v>114</v>
      </c>
      <c r="CH155" t="s">
        <v>114</v>
      </c>
      <c r="CI155" t="s">
        <v>114</v>
      </c>
      <c r="CJ155" t="s">
        <v>114</v>
      </c>
      <c r="CK155" t="s">
        <v>114</v>
      </c>
      <c r="CL155" t="s">
        <v>114</v>
      </c>
      <c r="CM155" t="s">
        <v>114</v>
      </c>
      <c r="CN155" t="s">
        <v>114</v>
      </c>
      <c r="CO155" t="s">
        <v>114</v>
      </c>
      <c r="CP155" t="s">
        <v>114</v>
      </c>
      <c r="CQ155" t="s">
        <v>114</v>
      </c>
      <c r="CR155" t="s">
        <v>114</v>
      </c>
      <c r="CS155" t="s">
        <v>114</v>
      </c>
      <c r="CT155" t="s">
        <v>114</v>
      </c>
      <c r="CU155" t="s">
        <v>114</v>
      </c>
      <c r="CV155" t="s">
        <v>114</v>
      </c>
      <c r="CW155" t="s">
        <v>114</v>
      </c>
    </row>
    <row r="156" spans="1:101" x14ac:dyDescent="0.25">
      <c r="A156" t="s">
        <v>47</v>
      </c>
      <c r="B156">
        <v>2</v>
      </c>
      <c r="C156" t="s">
        <v>31</v>
      </c>
      <c r="D156" t="s">
        <v>94</v>
      </c>
      <c r="E156" t="s">
        <v>112</v>
      </c>
      <c r="F156" t="s">
        <v>145</v>
      </c>
      <c r="G156" t="s">
        <v>261</v>
      </c>
      <c r="H156" t="s">
        <v>783</v>
      </c>
      <c r="I156" t="s">
        <v>729</v>
      </c>
      <c r="J156" t="s">
        <v>430</v>
      </c>
      <c r="K156">
        <v>2</v>
      </c>
      <c r="L156">
        <v>65</v>
      </c>
      <c r="M156">
        <v>40</v>
      </c>
      <c r="N156">
        <v>65</v>
      </c>
      <c r="O156">
        <v>25</v>
      </c>
      <c r="P156">
        <v>60</v>
      </c>
      <c r="Q156">
        <v>270</v>
      </c>
      <c r="R156">
        <v>140</v>
      </c>
      <c r="S156">
        <v>205</v>
      </c>
      <c r="T156">
        <v>3.1538461538461537</v>
      </c>
      <c r="V156" t="s">
        <v>112</v>
      </c>
      <c r="W156">
        <v>110</v>
      </c>
      <c r="X156">
        <v>14.4</v>
      </c>
      <c r="Y156">
        <v>12</v>
      </c>
      <c r="Z156">
        <v>14.4</v>
      </c>
      <c r="AA156">
        <v>13.6</v>
      </c>
      <c r="AB156">
        <v>13.6</v>
      </c>
      <c r="AC156" t="s">
        <v>114</v>
      </c>
      <c r="AD156" t="s">
        <v>114</v>
      </c>
      <c r="AE156" t="s">
        <v>114</v>
      </c>
      <c r="AF156" t="s">
        <v>114</v>
      </c>
      <c r="AG156">
        <v>16.899999999999999</v>
      </c>
      <c r="AH156">
        <v>15.9</v>
      </c>
      <c r="AI156">
        <v>17.899999999999999</v>
      </c>
      <c r="AJ156">
        <v>16.899999999999999</v>
      </c>
      <c r="AK156" t="s">
        <v>114</v>
      </c>
      <c r="AL156" t="s">
        <v>114</v>
      </c>
      <c r="AM156" t="s">
        <v>114</v>
      </c>
      <c r="AN156" t="s">
        <v>114</v>
      </c>
      <c r="AO156">
        <v>16.899999999999999</v>
      </c>
      <c r="AP156">
        <v>4.5999999999999996</v>
      </c>
      <c r="AQ156">
        <v>5.6</v>
      </c>
      <c r="AR156">
        <v>6.1</v>
      </c>
      <c r="AS156">
        <v>5.4333333330000002</v>
      </c>
      <c r="AT156">
        <v>4.0999999999999996</v>
      </c>
      <c r="AU156">
        <v>5.0999999999999996</v>
      </c>
      <c r="AV156">
        <v>6.1</v>
      </c>
      <c r="AW156">
        <v>5.0999999999999996</v>
      </c>
      <c r="AX156">
        <v>5.4333333330000002</v>
      </c>
      <c r="AY156">
        <v>-8.1666666669999994</v>
      </c>
      <c r="AZ156">
        <v>30</v>
      </c>
      <c r="BA156">
        <v>25</v>
      </c>
      <c r="BB156">
        <v>0</v>
      </c>
      <c r="BC156">
        <v>1</v>
      </c>
      <c r="BD156">
        <v>1</v>
      </c>
      <c r="BE156">
        <v>0</v>
      </c>
      <c r="BF156">
        <v>3</v>
      </c>
      <c r="BG156">
        <v>0</v>
      </c>
      <c r="BI156">
        <v>11.5</v>
      </c>
      <c r="BJ156">
        <v>0</v>
      </c>
      <c r="BK156">
        <v>0</v>
      </c>
      <c r="BL156">
        <v>91</v>
      </c>
      <c r="BM156">
        <v>91</v>
      </c>
      <c r="BN156">
        <v>364</v>
      </c>
      <c r="BO156">
        <v>193</v>
      </c>
      <c r="BP156">
        <v>171</v>
      </c>
      <c r="BQ156">
        <v>80</v>
      </c>
      <c r="BR156">
        <v>284</v>
      </c>
      <c r="BS156">
        <v>9.3319128800000009</v>
      </c>
      <c r="BT156">
        <v>0.77971388900000005</v>
      </c>
      <c r="BU156">
        <v>7.6426863650000003</v>
      </c>
      <c r="BV156">
        <v>-9.3319128800000009</v>
      </c>
      <c r="BW156">
        <v>0.77971388900000005</v>
      </c>
      <c r="BX156">
        <v>7.6426863650000003</v>
      </c>
      <c r="BY156">
        <v>174.16919599982</v>
      </c>
      <c r="BZ156">
        <v>1.2159074973990101</v>
      </c>
      <c r="CA156">
        <v>116.82130974751399</v>
      </c>
      <c r="CB156">
        <v>174.16919599982</v>
      </c>
      <c r="CC156">
        <v>1.2159074973990101</v>
      </c>
      <c r="CD156">
        <v>116.82130974751399</v>
      </c>
      <c r="CE156">
        <v>0.99908200000000003</v>
      </c>
      <c r="CF156">
        <v>1.9963296854479999</v>
      </c>
      <c r="CG156">
        <v>0.99908200000000003</v>
      </c>
      <c r="CH156">
        <v>9.3319128800000009</v>
      </c>
      <c r="CI156">
        <v>0.77971388900000005</v>
      </c>
      <c r="CJ156">
        <v>7.6426863650000003</v>
      </c>
      <c r="CK156">
        <v>0.99908200000000003</v>
      </c>
      <c r="CL156">
        <v>-9.3319128800000009</v>
      </c>
      <c r="CM156">
        <v>0.77971388900000005</v>
      </c>
      <c r="CN156">
        <v>7.6426863650000003</v>
      </c>
      <c r="CO156">
        <v>1.9963296854479999</v>
      </c>
      <c r="CP156">
        <v>174.16919599982</v>
      </c>
      <c r="CQ156">
        <v>1.2159074973990101</v>
      </c>
      <c r="CR156">
        <v>116.82130974751399</v>
      </c>
      <c r="CS156">
        <v>1.9963296854479999</v>
      </c>
      <c r="CT156">
        <v>174.16919599982</v>
      </c>
      <c r="CU156">
        <v>1.2159074973990101</v>
      </c>
      <c r="CV156">
        <v>116.82130974751399</v>
      </c>
      <c r="CW156">
        <v>0.99908200000000003</v>
      </c>
    </row>
    <row r="157" spans="1:101" x14ac:dyDescent="0.25">
      <c r="A157" t="s">
        <v>48</v>
      </c>
      <c r="B157">
        <v>2</v>
      </c>
      <c r="C157" t="s">
        <v>33</v>
      </c>
      <c r="D157" t="s">
        <v>95</v>
      </c>
      <c r="E157" t="s">
        <v>105</v>
      </c>
      <c r="F157" t="s">
        <v>145</v>
      </c>
      <c r="G157" t="s">
        <v>266</v>
      </c>
      <c r="H157" t="s">
        <v>760</v>
      </c>
      <c r="I157" t="s">
        <v>728</v>
      </c>
      <c r="J157" t="s">
        <v>431</v>
      </c>
      <c r="K157">
        <v>3</v>
      </c>
      <c r="L157">
        <v>30</v>
      </c>
      <c r="M157">
        <v>45</v>
      </c>
      <c r="N157">
        <v>30</v>
      </c>
      <c r="O157">
        <v>-15</v>
      </c>
      <c r="P157">
        <v>80</v>
      </c>
      <c r="Q157">
        <v>80</v>
      </c>
      <c r="R157">
        <v>60</v>
      </c>
      <c r="S157">
        <v>70</v>
      </c>
      <c r="T157">
        <v>2.3333333333333335</v>
      </c>
      <c r="V157" t="s">
        <v>104</v>
      </c>
      <c r="W157">
        <v>35</v>
      </c>
      <c r="X157">
        <v>13.9</v>
      </c>
      <c r="Y157">
        <v>13</v>
      </c>
      <c r="Z157">
        <v>13.1</v>
      </c>
      <c r="AA157">
        <v>13.33333333</v>
      </c>
      <c r="AB157">
        <v>13.33333333</v>
      </c>
      <c r="AC157">
        <v>13</v>
      </c>
      <c r="AD157">
        <v>13.5</v>
      </c>
      <c r="AE157">
        <v>13.5</v>
      </c>
      <c r="AF157">
        <v>13.33333333</v>
      </c>
      <c r="AG157">
        <v>15.9</v>
      </c>
      <c r="AH157">
        <v>23.3</v>
      </c>
      <c r="AI157">
        <v>15.4</v>
      </c>
      <c r="AJ157">
        <v>18.2</v>
      </c>
      <c r="AK157">
        <v>13.5</v>
      </c>
      <c r="AL157">
        <v>12.5</v>
      </c>
      <c r="AM157">
        <v>13.9</v>
      </c>
      <c r="AN157">
        <v>13.3</v>
      </c>
      <c r="AO157">
        <v>18.2</v>
      </c>
      <c r="AP157">
        <v>4.0999999999999996</v>
      </c>
      <c r="AQ157">
        <v>5.6</v>
      </c>
      <c r="AR157">
        <v>7.1</v>
      </c>
      <c r="AS157">
        <v>5.6</v>
      </c>
      <c r="AT157">
        <v>6.1</v>
      </c>
      <c r="AU157">
        <v>6.1</v>
      </c>
      <c r="AV157">
        <v>8.5</v>
      </c>
      <c r="AW157">
        <v>6.9</v>
      </c>
      <c r="AX157">
        <v>5.6</v>
      </c>
      <c r="AY157">
        <v>-7.733333333</v>
      </c>
      <c r="AZ157">
        <v>80</v>
      </c>
      <c r="BA157">
        <v>1</v>
      </c>
      <c r="BB157">
        <v>3</v>
      </c>
      <c r="BC157">
        <v>2</v>
      </c>
      <c r="BD157">
        <v>5</v>
      </c>
      <c r="BE157">
        <v>0</v>
      </c>
      <c r="BF157">
        <v>3</v>
      </c>
      <c r="BG157">
        <v>0</v>
      </c>
      <c r="BI157">
        <v>10.7</v>
      </c>
      <c r="BJ157">
        <v>55.920999999999999</v>
      </c>
      <c r="BK157">
        <v>0</v>
      </c>
      <c r="BL157">
        <v>4</v>
      </c>
      <c r="BM157">
        <v>3</v>
      </c>
      <c r="BN157">
        <v>197</v>
      </c>
      <c r="BO157">
        <v>320</v>
      </c>
      <c r="BP157">
        <v>-123</v>
      </c>
      <c r="BQ157">
        <v>141</v>
      </c>
      <c r="BR157">
        <v>56</v>
      </c>
      <c r="BS157">
        <v>38.614583334999999</v>
      </c>
      <c r="BT157">
        <v>1.1877482580000001</v>
      </c>
      <c r="BU157">
        <v>16.091916640000001</v>
      </c>
      <c r="BV157">
        <v>-38.614583334999999</v>
      </c>
      <c r="BW157">
        <v>-0.822554962</v>
      </c>
      <c r="BX157">
        <v>16.091916640000001</v>
      </c>
      <c r="BY157">
        <v>122.396050295069</v>
      </c>
      <c r="BZ157">
        <v>1.35319333102164</v>
      </c>
      <c r="CA157">
        <v>4.6829529565740504</v>
      </c>
      <c r="CB157">
        <v>122.396050295069</v>
      </c>
      <c r="CC157">
        <v>2.8214918487640701</v>
      </c>
      <c r="CD157">
        <v>4.6829529565740504</v>
      </c>
      <c r="CE157">
        <v>1.67724355</v>
      </c>
      <c r="CF157">
        <v>2.3629423440500001E-4</v>
      </c>
      <c r="CG157">
        <v>1.68086673333333</v>
      </c>
      <c r="CH157">
        <v>41.222222223333297</v>
      </c>
      <c r="CI157">
        <v>1.46193324533333</v>
      </c>
      <c r="CJ157">
        <v>15.5818538466667</v>
      </c>
      <c r="CK157">
        <v>1.68086673333333</v>
      </c>
      <c r="CL157">
        <v>-41.222222223333297</v>
      </c>
      <c r="CM157">
        <v>-1.2184710480000001</v>
      </c>
      <c r="CN157">
        <v>15.5818538466667</v>
      </c>
      <c r="CO157">
        <v>1.57529489603333E-4</v>
      </c>
      <c r="CP157">
        <v>81.597366863379605</v>
      </c>
      <c r="CQ157">
        <v>0.90212888734776198</v>
      </c>
      <c r="CR157">
        <v>3.1219686377160301</v>
      </c>
      <c r="CS157">
        <v>1.57529489603333E-4</v>
      </c>
      <c r="CT157">
        <v>81.597366863379605</v>
      </c>
      <c r="CU157">
        <v>1.8809945658427101</v>
      </c>
      <c r="CV157">
        <v>3.1219686377160301</v>
      </c>
      <c r="CW157">
        <v>1.67724355</v>
      </c>
    </row>
    <row r="158" spans="1:101" x14ac:dyDescent="0.25">
      <c r="A158" t="s">
        <v>48</v>
      </c>
      <c r="B158">
        <v>2</v>
      </c>
      <c r="C158" t="s">
        <v>33</v>
      </c>
      <c r="D158" t="s">
        <v>95</v>
      </c>
      <c r="E158" t="s">
        <v>111</v>
      </c>
      <c r="F158" t="s">
        <v>145</v>
      </c>
      <c r="G158" t="s">
        <v>263</v>
      </c>
      <c r="H158" t="s">
        <v>776</v>
      </c>
      <c r="I158" t="s">
        <v>716</v>
      </c>
      <c r="J158" t="s">
        <v>432</v>
      </c>
      <c r="K158">
        <v>2</v>
      </c>
      <c r="L158">
        <v>270</v>
      </c>
      <c r="M158">
        <v>78</v>
      </c>
      <c r="N158">
        <v>270</v>
      </c>
      <c r="O158">
        <v>192</v>
      </c>
      <c r="P158">
        <v>70</v>
      </c>
      <c r="Q158">
        <v>80</v>
      </c>
      <c r="R158">
        <v>50</v>
      </c>
      <c r="S158">
        <v>65</v>
      </c>
      <c r="T158">
        <v>0.24074074074074073</v>
      </c>
      <c r="U158" t="s">
        <v>15</v>
      </c>
      <c r="V158" t="s">
        <v>113</v>
      </c>
      <c r="W158">
        <v>30</v>
      </c>
      <c r="X158">
        <v>13.9</v>
      </c>
      <c r="Y158">
        <v>13</v>
      </c>
      <c r="Z158">
        <v>13.1</v>
      </c>
      <c r="AA158">
        <v>13.33333333</v>
      </c>
      <c r="AB158">
        <v>13.33333333</v>
      </c>
      <c r="AC158">
        <v>13</v>
      </c>
      <c r="AD158">
        <v>14.4</v>
      </c>
      <c r="AE158">
        <v>14.9</v>
      </c>
      <c r="AF158">
        <v>14.1</v>
      </c>
      <c r="AG158">
        <v>15.9</v>
      </c>
      <c r="AH158">
        <v>23.3</v>
      </c>
      <c r="AI158">
        <v>15.4</v>
      </c>
      <c r="AJ158">
        <v>18.2</v>
      </c>
      <c r="AK158">
        <v>12</v>
      </c>
      <c r="AL158">
        <v>12.5</v>
      </c>
      <c r="AM158">
        <v>13.5</v>
      </c>
      <c r="AN158">
        <v>12.66666667</v>
      </c>
      <c r="AO158">
        <v>18.2</v>
      </c>
      <c r="AP158">
        <v>4.0999999999999996</v>
      </c>
      <c r="AQ158">
        <v>5.6</v>
      </c>
      <c r="AR158">
        <v>7.1</v>
      </c>
      <c r="AS158">
        <v>5.6</v>
      </c>
      <c r="AT158">
        <v>5.6</v>
      </c>
      <c r="AU158">
        <v>6.1</v>
      </c>
      <c r="AV158">
        <v>5.0999999999999996</v>
      </c>
      <c r="AW158">
        <v>5.6</v>
      </c>
      <c r="AX158">
        <v>5.6</v>
      </c>
      <c r="AY158">
        <v>-7.733333333</v>
      </c>
      <c r="AZ158">
        <v>80</v>
      </c>
      <c r="BA158">
        <v>1</v>
      </c>
      <c r="BB158">
        <v>3</v>
      </c>
      <c r="BC158">
        <v>2</v>
      </c>
      <c r="BD158">
        <v>5</v>
      </c>
      <c r="BE158">
        <v>0</v>
      </c>
      <c r="BF158">
        <v>3</v>
      </c>
      <c r="BG158">
        <v>0</v>
      </c>
      <c r="BI158">
        <v>10.7</v>
      </c>
      <c r="BJ158">
        <v>55.920999999999999</v>
      </c>
      <c r="BK158">
        <v>0</v>
      </c>
      <c r="BL158">
        <v>9</v>
      </c>
      <c r="BM158">
        <v>7</v>
      </c>
      <c r="BN158">
        <v>452</v>
      </c>
      <c r="BO158">
        <v>177.5</v>
      </c>
      <c r="BP158">
        <v>274.5</v>
      </c>
      <c r="BQ158">
        <v>0</v>
      </c>
      <c r="BR158">
        <v>452</v>
      </c>
      <c r="BS158">
        <v>15.121212119999999</v>
      </c>
      <c r="BT158">
        <v>0.50838444449999998</v>
      </c>
      <c r="BU158">
        <v>3.9103962750000001</v>
      </c>
      <c r="BV158">
        <v>-3.9073593099999999</v>
      </c>
      <c r="BW158">
        <v>-0.50838444449999998</v>
      </c>
      <c r="BX158">
        <v>-2.2044580150000002</v>
      </c>
      <c r="BY158">
        <v>30.5349135548873</v>
      </c>
      <c r="BZ158">
        <v>1.90142333945072E-2</v>
      </c>
      <c r="CA158">
        <v>9.7192702797954809</v>
      </c>
      <c r="CB158">
        <v>457.30211195607001</v>
      </c>
      <c r="CC158">
        <v>1.90142333945072E-2</v>
      </c>
      <c r="CD158">
        <v>30.582398055067799</v>
      </c>
      <c r="CE158">
        <v>0.14233453500000001</v>
      </c>
      <c r="CF158">
        <v>2.4724462776024498E-3</v>
      </c>
      <c r="CG158">
        <v>0.14233453500000001</v>
      </c>
      <c r="CH158">
        <v>15.121212119999999</v>
      </c>
      <c r="CI158">
        <v>0.50838444449999998</v>
      </c>
      <c r="CJ158">
        <v>3.9103962750000001</v>
      </c>
      <c r="CK158">
        <v>0.14233453500000001</v>
      </c>
      <c r="CL158">
        <v>-3.9073593099999999</v>
      </c>
      <c r="CM158">
        <v>-0.50838444449999998</v>
      </c>
      <c r="CN158">
        <v>-2.2044580150000002</v>
      </c>
      <c r="CO158">
        <v>2.4724462776024498E-3</v>
      </c>
      <c r="CP158">
        <v>30.5349135548873</v>
      </c>
      <c r="CQ158">
        <v>1.90142333945072E-2</v>
      </c>
      <c r="CR158">
        <v>9.7192702797954809</v>
      </c>
      <c r="CS158">
        <v>2.4724462776024498E-3</v>
      </c>
      <c r="CT158">
        <v>457.30211195607001</v>
      </c>
      <c r="CU158">
        <v>1.90142333945072E-2</v>
      </c>
      <c r="CV158">
        <v>30.582398055067799</v>
      </c>
      <c r="CW158">
        <v>0.14233453500000001</v>
      </c>
    </row>
    <row r="159" spans="1:101" x14ac:dyDescent="0.25">
      <c r="A159" t="s">
        <v>48</v>
      </c>
      <c r="B159">
        <v>2</v>
      </c>
      <c r="C159" t="s">
        <v>33</v>
      </c>
      <c r="D159" t="s">
        <v>95</v>
      </c>
      <c r="E159" t="s">
        <v>104</v>
      </c>
      <c r="F159" t="s">
        <v>145</v>
      </c>
      <c r="G159" t="s">
        <v>264</v>
      </c>
      <c r="H159" t="s">
        <v>780</v>
      </c>
      <c r="I159" t="s">
        <v>727</v>
      </c>
      <c r="J159" t="s">
        <v>433</v>
      </c>
      <c r="K159">
        <v>8</v>
      </c>
      <c r="L159">
        <v>45</v>
      </c>
      <c r="M159">
        <v>90</v>
      </c>
      <c r="N159">
        <v>45</v>
      </c>
      <c r="O159">
        <v>-45</v>
      </c>
      <c r="P159">
        <v>40</v>
      </c>
      <c r="Q159">
        <v>35</v>
      </c>
      <c r="R159">
        <v>30</v>
      </c>
      <c r="S159">
        <v>32.5</v>
      </c>
      <c r="T159">
        <v>0.72222222222222221</v>
      </c>
      <c r="V159" t="s">
        <v>121</v>
      </c>
      <c r="W159" t="s">
        <v>114</v>
      </c>
      <c r="X159">
        <v>13.9</v>
      </c>
      <c r="Y159">
        <v>13</v>
      </c>
      <c r="Z159">
        <v>13.1</v>
      </c>
      <c r="AA159">
        <v>13.33333333</v>
      </c>
      <c r="AB159">
        <v>13.33333333</v>
      </c>
      <c r="AC159">
        <v>14.4</v>
      </c>
      <c r="AD159">
        <v>15.4</v>
      </c>
      <c r="AE159">
        <v>15.4</v>
      </c>
      <c r="AF159">
        <v>15.06666667</v>
      </c>
      <c r="AG159">
        <v>15.9</v>
      </c>
      <c r="AH159">
        <v>23.3</v>
      </c>
      <c r="AI159">
        <v>15.4</v>
      </c>
      <c r="AJ159">
        <v>18.2</v>
      </c>
      <c r="AK159">
        <v>14.4</v>
      </c>
      <c r="AL159">
        <v>14.9</v>
      </c>
      <c r="AM159">
        <v>15.4</v>
      </c>
      <c r="AN159">
        <v>14.9</v>
      </c>
      <c r="AO159">
        <v>18.2</v>
      </c>
      <c r="AP159">
        <v>4.0999999999999996</v>
      </c>
      <c r="AQ159">
        <v>5.6</v>
      </c>
      <c r="AR159">
        <v>7.1</v>
      </c>
      <c r="AS159">
        <v>5.6</v>
      </c>
      <c r="AT159">
        <v>6.6</v>
      </c>
      <c r="AU159">
        <v>6.6</v>
      </c>
      <c r="AV159">
        <v>5.6</v>
      </c>
      <c r="AW159">
        <v>6.266666667</v>
      </c>
      <c r="AX159">
        <v>5.6</v>
      </c>
      <c r="AY159">
        <v>-7.733333333</v>
      </c>
      <c r="AZ159">
        <v>80</v>
      </c>
      <c r="BA159">
        <v>1</v>
      </c>
      <c r="BB159">
        <v>3</v>
      </c>
      <c r="BC159">
        <v>2</v>
      </c>
      <c r="BD159">
        <v>5</v>
      </c>
      <c r="BE159">
        <v>0</v>
      </c>
      <c r="BF159">
        <v>3</v>
      </c>
      <c r="BG159">
        <v>0</v>
      </c>
      <c r="BI159">
        <v>10.7</v>
      </c>
      <c r="BJ159">
        <v>55.920999999999999</v>
      </c>
      <c r="BK159">
        <v>0</v>
      </c>
      <c r="BL159">
        <v>3</v>
      </c>
      <c r="BM159">
        <v>3</v>
      </c>
      <c r="BN159">
        <v>14</v>
      </c>
      <c r="BO159">
        <v>134</v>
      </c>
      <c r="BP159">
        <v>-120</v>
      </c>
      <c r="BQ159">
        <v>66</v>
      </c>
      <c r="BR159">
        <v>-52</v>
      </c>
      <c r="BS159">
        <v>15.2752525233333</v>
      </c>
      <c r="BT159">
        <v>1.3576521720000001</v>
      </c>
      <c r="BU159">
        <v>4.6086348133333299</v>
      </c>
      <c r="BV159">
        <v>15.2752525233333</v>
      </c>
      <c r="BW159">
        <v>1.3576521720000001</v>
      </c>
      <c r="BX159">
        <v>4.6086348133333299</v>
      </c>
      <c r="BY159">
        <v>227.80995438373699</v>
      </c>
      <c r="BZ159">
        <v>1.4973479443595901</v>
      </c>
      <c r="CA159">
        <v>30.771973806995199</v>
      </c>
      <c r="CB159">
        <v>227.80995438373699</v>
      </c>
      <c r="CC159">
        <v>1.4973479443595901</v>
      </c>
      <c r="CD159">
        <v>30.771973806995199</v>
      </c>
      <c r="CE159">
        <v>7.1882433333333301E-2</v>
      </c>
      <c r="CF159">
        <v>1.4096122748889999E-2</v>
      </c>
      <c r="CG159">
        <v>0.1239100125</v>
      </c>
      <c r="CH159">
        <v>20.81818181625</v>
      </c>
      <c r="CI159">
        <v>1.3578495644999999</v>
      </c>
      <c r="CJ159">
        <v>7.1110018950000002</v>
      </c>
      <c r="CK159">
        <v>0.1184752375</v>
      </c>
      <c r="CL159">
        <v>20.81818181625</v>
      </c>
      <c r="CM159">
        <v>1.3578495644999999</v>
      </c>
      <c r="CN159">
        <v>7.1110018950000002</v>
      </c>
      <c r="CO159">
        <v>9.3778584318583904E-3</v>
      </c>
      <c r="CP159">
        <v>190.251097596471</v>
      </c>
      <c r="CQ159">
        <v>0.757113205289346</v>
      </c>
      <c r="CR159">
        <v>26.331150493118599</v>
      </c>
      <c r="CS159">
        <v>1.0883354771365501E-2</v>
      </c>
      <c r="CT159">
        <v>190.251097596471</v>
      </c>
      <c r="CU159">
        <v>0.757113205289346</v>
      </c>
      <c r="CV159">
        <v>26.331150493118599</v>
      </c>
      <c r="CW159">
        <v>5.7389700000000002E-2</v>
      </c>
    </row>
    <row r="160" spans="1:101" x14ac:dyDescent="0.25">
      <c r="A160" t="s">
        <v>49</v>
      </c>
      <c r="B160">
        <v>2</v>
      </c>
      <c r="C160" t="s">
        <v>35</v>
      </c>
      <c r="D160" t="s">
        <v>94</v>
      </c>
      <c r="E160" t="s">
        <v>102</v>
      </c>
      <c r="F160" t="s">
        <v>145</v>
      </c>
      <c r="G160" t="s">
        <v>265</v>
      </c>
      <c r="H160" t="s">
        <v>755</v>
      </c>
      <c r="I160" t="s">
        <v>717</v>
      </c>
      <c r="J160" t="s">
        <v>434</v>
      </c>
      <c r="K160">
        <v>6</v>
      </c>
      <c r="L160">
        <v>90</v>
      </c>
      <c r="M160">
        <v>60</v>
      </c>
      <c r="N160">
        <v>90</v>
      </c>
      <c r="O160">
        <v>30</v>
      </c>
      <c r="P160">
        <v>75</v>
      </c>
      <c r="Q160">
        <v>75</v>
      </c>
      <c r="R160">
        <v>40</v>
      </c>
      <c r="S160">
        <v>57.5</v>
      </c>
      <c r="T160">
        <v>0.63888888888888884</v>
      </c>
      <c r="V160" t="s">
        <v>112</v>
      </c>
      <c r="W160">
        <v>50</v>
      </c>
      <c r="X160">
        <v>10.5</v>
      </c>
      <c r="Y160">
        <v>10.5</v>
      </c>
      <c r="Z160">
        <v>12.5</v>
      </c>
      <c r="AA160">
        <v>11.16666667</v>
      </c>
      <c r="AB160">
        <v>11.16666667</v>
      </c>
      <c r="AC160">
        <v>10.5</v>
      </c>
      <c r="AD160">
        <v>11</v>
      </c>
      <c r="AE160">
        <v>13.5</v>
      </c>
      <c r="AF160">
        <v>11.66666667</v>
      </c>
      <c r="AG160">
        <v>13.9</v>
      </c>
      <c r="AH160">
        <v>13</v>
      </c>
      <c r="AI160">
        <v>15.9</v>
      </c>
      <c r="AJ160">
        <v>14.266666669999999</v>
      </c>
      <c r="AK160">
        <v>13.9</v>
      </c>
      <c r="AL160">
        <v>13</v>
      </c>
      <c r="AM160">
        <v>14.9</v>
      </c>
      <c r="AN160">
        <v>13.93333333</v>
      </c>
      <c r="AO160">
        <v>14.266666669999999</v>
      </c>
      <c r="AP160">
        <v>4.5999999999999996</v>
      </c>
      <c r="AQ160">
        <v>4.0999999999999996</v>
      </c>
      <c r="AR160">
        <v>5.0999999999999996</v>
      </c>
      <c r="AS160">
        <v>4.5999999999999996</v>
      </c>
      <c r="AT160">
        <v>4.0999999999999996</v>
      </c>
      <c r="AU160">
        <v>5.0999999999999996</v>
      </c>
      <c r="AV160">
        <v>5.6</v>
      </c>
      <c r="AW160">
        <v>4.9333333330000002</v>
      </c>
      <c r="AX160">
        <v>4.5999999999999996</v>
      </c>
      <c r="AY160">
        <v>-6.5666666669999998</v>
      </c>
      <c r="AZ160">
        <v>20</v>
      </c>
      <c r="BA160">
        <v>5</v>
      </c>
      <c r="BB160">
        <v>2</v>
      </c>
      <c r="BC160">
        <v>2</v>
      </c>
      <c r="BD160">
        <v>5</v>
      </c>
      <c r="BE160">
        <v>0</v>
      </c>
      <c r="BF160">
        <v>5</v>
      </c>
      <c r="BG160">
        <v>1</v>
      </c>
      <c r="BI160">
        <v>7.5</v>
      </c>
      <c r="BJ160">
        <v>0</v>
      </c>
      <c r="BK160">
        <v>0</v>
      </c>
      <c r="BL160">
        <v>9</v>
      </c>
      <c r="BM160">
        <v>9</v>
      </c>
      <c r="BN160">
        <v>351</v>
      </c>
      <c r="BO160">
        <v>161.5</v>
      </c>
      <c r="BP160">
        <v>189.5</v>
      </c>
      <c r="BQ160">
        <v>141</v>
      </c>
      <c r="BR160">
        <v>210</v>
      </c>
      <c r="BS160">
        <v>24.421875</v>
      </c>
      <c r="BT160">
        <v>1.240298889</v>
      </c>
      <c r="BU160">
        <v>6.4684160249999998</v>
      </c>
      <c r="BV160">
        <v>-4.7748842600000003</v>
      </c>
      <c r="BW160">
        <v>-1.240298889</v>
      </c>
      <c r="BX160">
        <v>-6.4684160249999998</v>
      </c>
      <c r="BY160">
        <v>45.599039392791497</v>
      </c>
      <c r="BZ160">
        <v>9.5264471551286603E-3</v>
      </c>
      <c r="CA160">
        <v>10.214499638004799</v>
      </c>
      <c r="CB160">
        <v>1192.85595703125</v>
      </c>
      <c r="CC160">
        <v>9.5264471551286603E-3</v>
      </c>
      <c r="CD160">
        <v>10.214499638004799</v>
      </c>
      <c r="CE160">
        <v>0.90212789999999998</v>
      </c>
      <c r="CF160">
        <v>1.6276694959168201</v>
      </c>
      <c r="CG160">
        <v>0.8008615</v>
      </c>
      <c r="CH160">
        <v>27.605131173333302</v>
      </c>
      <c r="CI160">
        <v>1.2863096296666701</v>
      </c>
      <c r="CJ160">
        <v>4.9618010083333299</v>
      </c>
      <c r="CK160">
        <v>0.449519</v>
      </c>
      <c r="CL160">
        <v>-21.05613426</v>
      </c>
      <c r="CM160">
        <v>-1.2863096296666701</v>
      </c>
      <c r="CN160">
        <v>-4.9618010083333299</v>
      </c>
      <c r="CO160">
        <v>1.5382325653440001E-2</v>
      </c>
      <c r="CP160">
        <v>15.1996797975972</v>
      </c>
      <c r="CQ160">
        <v>3.1754823850428898E-3</v>
      </c>
      <c r="CR160">
        <v>3.4048332126682501</v>
      </c>
      <c r="CS160">
        <v>0.54255649863893995</v>
      </c>
      <c r="CT160">
        <v>397.61865234375</v>
      </c>
      <c r="CU160">
        <v>3.1754823850428898E-3</v>
      </c>
      <c r="CV160">
        <v>3.4048332126682501</v>
      </c>
      <c r="CW160">
        <v>-0.1518996</v>
      </c>
    </row>
    <row r="161" spans="1:101" x14ac:dyDescent="0.25">
      <c r="A161" t="s">
        <v>49</v>
      </c>
      <c r="B161">
        <v>2</v>
      </c>
      <c r="C161" t="s">
        <v>35</v>
      </c>
      <c r="D161" t="s">
        <v>94</v>
      </c>
      <c r="E161" t="s">
        <v>112</v>
      </c>
      <c r="F161" t="s">
        <v>145</v>
      </c>
      <c r="G161" t="s">
        <v>261</v>
      </c>
      <c r="H161" t="s">
        <v>783</v>
      </c>
      <c r="I161" t="s">
        <v>729</v>
      </c>
      <c r="J161" t="s">
        <v>435</v>
      </c>
      <c r="K161">
        <v>2</v>
      </c>
      <c r="L161">
        <v>80</v>
      </c>
      <c r="M161">
        <v>45</v>
      </c>
      <c r="N161">
        <v>80</v>
      </c>
      <c r="O161">
        <v>35</v>
      </c>
      <c r="P161">
        <v>60</v>
      </c>
      <c r="Q161">
        <v>80</v>
      </c>
      <c r="R161">
        <v>35</v>
      </c>
      <c r="S161">
        <v>57.5</v>
      </c>
      <c r="T161">
        <v>0.71875</v>
      </c>
      <c r="V161" t="s">
        <v>112</v>
      </c>
      <c r="W161">
        <v>60</v>
      </c>
      <c r="X161">
        <v>10.5</v>
      </c>
      <c r="Y161">
        <v>10.5</v>
      </c>
      <c r="Z161">
        <v>12.5</v>
      </c>
      <c r="AA161">
        <v>11.16666667</v>
      </c>
      <c r="AB161">
        <v>11.16666667</v>
      </c>
      <c r="AC161">
        <v>12</v>
      </c>
      <c r="AD161">
        <v>10</v>
      </c>
      <c r="AE161">
        <v>10</v>
      </c>
      <c r="AF161">
        <v>10.66666667</v>
      </c>
      <c r="AG161">
        <v>13.9</v>
      </c>
      <c r="AH161">
        <v>13</v>
      </c>
      <c r="AI161">
        <v>15.9</v>
      </c>
      <c r="AJ161">
        <v>14.266666669999999</v>
      </c>
      <c r="AK161">
        <v>13</v>
      </c>
      <c r="AL161">
        <v>11.5</v>
      </c>
      <c r="AM161">
        <v>13.9</v>
      </c>
      <c r="AN161">
        <v>12.8</v>
      </c>
      <c r="AO161">
        <v>14.266666669999999</v>
      </c>
      <c r="AP161">
        <v>4.5999999999999996</v>
      </c>
      <c r="AQ161">
        <v>4.0999999999999996</v>
      </c>
      <c r="AR161">
        <v>5.0999999999999996</v>
      </c>
      <c r="AS161">
        <v>4.5999999999999996</v>
      </c>
      <c r="AT161">
        <v>5.0999999999999996</v>
      </c>
      <c r="AU161">
        <v>4.0999999999999996</v>
      </c>
      <c r="AV161">
        <v>4.5999999999999996</v>
      </c>
      <c r="AW161">
        <v>4.5999999999999996</v>
      </c>
      <c r="AX161">
        <v>4.5999999999999996</v>
      </c>
      <c r="AY161">
        <v>-6.5666666669999998</v>
      </c>
      <c r="AZ161">
        <v>20</v>
      </c>
      <c r="BA161">
        <v>5</v>
      </c>
      <c r="BB161">
        <v>2</v>
      </c>
      <c r="BC161">
        <v>2</v>
      </c>
      <c r="BD161">
        <v>5</v>
      </c>
      <c r="BE161">
        <v>0</v>
      </c>
      <c r="BF161">
        <v>5</v>
      </c>
      <c r="BG161">
        <v>1</v>
      </c>
      <c r="BI161">
        <v>7.5</v>
      </c>
      <c r="BJ161">
        <v>0</v>
      </c>
      <c r="BK161">
        <v>0</v>
      </c>
      <c r="BL161">
        <v>42</v>
      </c>
      <c r="BM161">
        <v>42</v>
      </c>
      <c r="BN161">
        <v>151</v>
      </c>
      <c r="BO161">
        <v>193</v>
      </c>
      <c r="BP161">
        <v>-42</v>
      </c>
      <c r="BQ161">
        <v>306</v>
      </c>
      <c r="BR161">
        <v>-155</v>
      </c>
      <c r="BS161">
        <v>16.598958334999999</v>
      </c>
      <c r="BT161">
        <v>1.118732147</v>
      </c>
      <c r="BU161">
        <v>3.7901109050000001</v>
      </c>
      <c r="BV161">
        <v>-16.598958334999999</v>
      </c>
      <c r="BW161">
        <v>1.118732147</v>
      </c>
      <c r="BX161">
        <v>3.7901109050000001</v>
      </c>
      <c r="BY161">
        <v>551.05083561413198</v>
      </c>
      <c r="BZ161">
        <v>2.50312323346246</v>
      </c>
      <c r="CA161">
        <v>28.7298813443998</v>
      </c>
      <c r="CB161">
        <v>551.05083561413198</v>
      </c>
      <c r="CC161">
        <v>2.50312323346246</v>
      </c>
      <c r="CD161">
        <v>28.7298813443998</v>
      </c>
      <c r="CE161">
        <v>0.89125834999999998</v>
      </c>
      <c r="CF161">
        <v>1.5886828928894401</v>
      </c>
      <c r="CG161">
        <v>0.89125834999999998</v>
      </c>
      <c r="CH161">
        <v>16.598958334999999</v>
      </c>
      <c r="CI161">
        <v>1.118732147</v>
      </c>
      <c r="CJ161">
        <v>3.7901109050000001</v>
      </c>
      <c r="CK161">
        <v>0.89125834999999998</v>
      </c>
      <c r="CL161">
        <v>-16.598958334999999</v>
      </c>
      <c r="CM161">
        <v>1.118732147</v>
      </c>
      <c r="CN161">
        <v>3.7901109050000001</v>
      </c>
      <c r="CO161">
        <v>1.5886828928894401</v>
      </c>
      <c r="CP161">
        <v>551.05083561413198</v>
      </c>
      <c r="CQ161">
        <v>2.50312323346246</v>
      </c>
      <c r="CR161">
        <v>28.7298813443998</v>
      </c>
      <c r="CS161">
        <v>1.5886828928894401</v>
      </c>
      <c r="CT161">
        <v>551.05083561413198</v>
      </c>
      <c r="CU161">
        <v>2.50312323346246</v>
      </c>
      <c r="CV161">
        <v>28.7298813443998</v>
      </c>
      <c r="CW161">
        <v>0.89125834999999998</v>
      </c>
    </row>
    <row r="162" spans="1:101" x14ac:dyDescent="0.25">
      <c r="A162" t="s">
        <v>79</v>
      </c>
      <c r="B162">
        <v>6</v>
      </c>
      <c r="C162" t="s">
        <v>11</v>
      </c>
      <c r="D162" t="s">
        <v>95</v>
      </c>
      <c r="E162" t="s">
        <v>113</v>
      </c>
      <c r="F162" t="s">
        <v>145</v>
      </c>
      <c r="G162" t="s">
        <v>259</v>
      </c>
      <c r="H162" t="s">
        <v>764</v>
      </c>
      <c r="I162" t="s">
        <v>730</v>
      </c>
      <c r="J162" t="s">
        <v>436</v>
      </c>
      <c r="K162">
        <v>4</v>
      </c>
      <c r="L162">
        <v>50</v>
      </c>
      <c r="M162">
        <v>30</v>
      </c>
      <c r="N162">
        <v>50</v>
      </c>
      <c r="O162">
        <v>20</v>
      </c>
      <c r="P162">
        <v>7</v>
      </c>
      <c r="Q162">
        <v>7</v>
      </c>
      <c r="R162">
        <v>3</v>
      </c>
      <c r="S162">
        <v>5</v>
      </c>
      <c r="T162">
        <v>0.1</v>
      </c>
      <c r="U162" t="s">
        <v>15</v>
      </c>
      <c r="V162" t="s">
        <v>113</v>
      </c>
      <c r="W162">
        <v>60</v>
      </c>
      <c r="X162">
        <v>16.899999999999999</v>
      </c>
      <c r="Y162">
        <v>18.899999999999999</v>
      </c>
      <c r="Z162">
        <v>18.399999999999999</v>
      </c>
      <c r="AA162">
        <v>18.06666667</v>
      </c>
      <c r="AB162">
        <v>18.06666667</v>
      </c>
      <c r="AC162">
        <v>17.399999999999999</v>
      </c>
      <c r="AD162">
        <v>14.9</v>
      </c>
      <c r="AE162">
        <v>16.899999999999999</v>
      </c>
      <c r="AF162">
        <v>16.399999999999999</v>
      </c>
      <c r="AG162">
        <v>16.899999999999999</v>
      </c>
      <c r="AH162">
        <v>17.399999999999999</v>
      </c>
      <c r="AI162">
        <v>18.399999999999999</v>
      </c>
      <c r="AJ162">
        <v>17.56666667</v>
      </c>
      <c r="AK162">
        <v>13.5</v>
      </c>
      <c r="AL162">
        <v>14.4</v>
      </c>
      <c r="AM162">
        <v>16.899999999999999</v>
      </c>
      <c r="AN162">
        <v>14.93333333</v>
      </c>
      <c r="AO162">
        <v>17.56666667</v>
      </c>
      <c r="AP162">
        <v>7.6</v>
      </c>
      <c r="AQ162">
        <v>8.1</v>
      </c>
      <c r="AR162">
        <v>6.1</v>
      </c>
      <c r="AS162">
        <v>7.266666667</v>
      </c>
      <c r="AT162">
        <v>6.6</v>
      </c>
      <c r="AU162">
        <v>7.6</v>
      </c>
      <c r="AV162">
        <v>8.5</v>
      </c>
      <c r="AW162">
        <v>7.5666666669999998</v>
      </c>
      <c r="AX162">
        <v>7.266666667</v>
      </c>
      <c r="AY162">
        <v>-10.8</v>
      </c>
      <c r="AZ162">
        <v>5</v>
      </c>
      <c r="BA162">
        <v>85</v>
      </c>
      <c r="BB162">
        <v>5</v>
      </c>
      <c r="BC162">
        <v>5</v>
      </c>
      <c r="BD162">
        <v>1</v>
      </c>
      <c r="BE162">
        <v>0</v>
      </c>
      <c r="BF162">
        <v>0</v>
      </c>
      <c r="BG162">
        <v>0</v>
      </c>
      <c r="BI162">
        <v>9.9</v>
      </c>
      <c r="BJ162">
        <v>42.4</v>
      </c>
      <c r="BK162">
        <v>0</v>
      </c>
      <c r="BL162">
        <v>1</v>
      </c>
      <c r="BM162">
        <v>1</v>
      </c>
      <c r="BN162">
        <v>3</v>
      </c>
      <c r="BO162">
        <v>0</v>
      </c>
      <c r="BP162">
        <v>3</v>
      </c>
      <c r="BQ162">
        <v>0</v>
      </c>
      <c r="BR162">
        <v>3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 t="s">
        <v>114</v>
      </c>
      <c r="BZ162" t="s">
        <v>114</v>
      </c>
      <c r="CA162" t="s">
        <v>114</v>
      </c>
      <c r="CB162" t="s">
        <v>114</v>
      </c>
      <c r="CC162" t="s">
        <v>114</v>
      </c>
      <c r="CD162" t="s">
        <v>114</v>
      </c>
      <c r="CE162">
        <v>0</v>
      </c>
      <c r="CF162" t="s">
        <v>114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</row>
    <row r="163" spans="1:101" x14ac:dyDescent="0.25">
      <c r="A163" t="s">
        <v>79</v>
      </c>
      <c r="B163">
        <v>6</v>
      </c>
      <c r="C163" t="s">
        <v>11</v>
      </c>
      <c r="D163" t="s">
        <v>95</v>
      </c>
      <c r="E163" t="s">
        <v>103</v>
      </c>
      <c r="F163" t="s">
        <v>145</v>
      </c>
      <c r="G163" t="s">
        <v>260</v>
      </c>
      <c r="H163" t="s">
        <v>772</v>
      </c>
      <c r="I163" t="s">
        <v>731</v>
      </c>
      <c r="J163" t="s">
        <v>437</v>
      </c>
      <c r="K163">
        <v>11</v>
      </c>
      <c r="L163">
        <v>55</v>
      </c>
      <c r="M163">
        <v>70</v>
      </c>
      <c r="N163">
        <v>55</v>
      </c>
      <c r="O163">
        <v>-15</v>
      </c>
      <c r="P163">
        <v>25</v>
      </c>
      <c r="Q163">
        <v>20</v>
      </c>
      <c r="R163">
        <v>10</v>
      </c>
      <c r="S163">
        <v>15</v>
      </c>
      <c r="T163">
        <v>0.27272727272727271</v>
      </c>
      <c r="U163" t="s">
        <v>15</v>
      </c>
      <c r="V163" t="s">
        <v>113</v>
      </c>
      <c r="W163">
        <v>100</v>
      </c>
      <c r="X163">
        <v>16.899999999999999</v>
      </c>
      <c r="Y163">
        <v>18.899999999999999</v>
      </c>
      <c r="Z163">
        <v>18.399999999999999</v>
      </c>
      <c r="AA163">
        <v>18.06666667</v>
      </c>
      <c r="AB163">
        <v>18.06666667</v>
      </c>
      <c r="AC163">
        <v>14.5</v>
      </c>
      <c r="AD163">
        <v>14.9</v>
      </c>
      <c r="AE163">
        <v>14.9</v>
      </c>
      <c r="AF163">
        <v>14.766666669999999</v>
      </c>
      <c r="AG163">
        <v>16.899999999999999</v>
      </c>
      <c r="AH163">
        <v>17.399999999999999</v>
      </c>
      <c r="AI163">
        <v>18.399999999999999</v>
      </c>
      <c r="AJ163">
        <v>17.56666667</v>
      </c>
      <c r="AK163">
        <v>15.9</v>
      </c>
      <c r="AL163">
        <v>14.4</v>
      </c>
      <c r="AM163">
        <v>14.4</v>
      </c>
      <c r="AN163">
        <v>14.9</v>
      </c>
      <c r="AO163">
        <v>17.56666667</v>
      </c>
      <c r="AP163">
        <v>7.6</v>
      </c>
      <c r="AQ163">
        <v>8.1</v>
      </c>
      <c r="AR163">
        <v>6.1</v>
      </c>
      <c r="AS163">
        <v>7.266666667</v>
      </c>
      <c r="AT163">
        <v>6.6</v>
      </c>
      <c r="AU163">
        <v>6.1</v>
      </c>
      <c r="AV163">
        <v>5.6</v>
      </c>
      <c r="AW163">
        <v>6.1</v>
      </c>
      <c r="AX163">
        <v>7.266666667</v>
      </c>
      <c r="AY163">
        <v>-10.8</v>
      </c>
      <c r="AZ163">
        <v>5</v>
      </c>
      <c r="BA163">
        <v>85</v>
      </c>
      <c r="BB163">
        <v>5</v>
      </c>
      <c r="BC163">
        <v>5</v>
      </c>
      <c r="BD163">
        <v>1</v>
      </c>
      <c r="BE163">
        <v>0</v>
      </c>
      <c r="BF163">
        <v>0</v>
      </c>
      <c r="BG163">
        <v>0</v>
      </c>
      <c r="BI163">
        <v>9.9</v>
      </c>
      <c r="BJ163">
        <v>42.4</v>
      </c>
      <c r="BK163">
        <v>0</v>
      </c>
      <c r="BL163">
        <v>3</v>
      </c>
      <c r="BM163">
        <v>3</v>
      </c>
      <c r="BN163">
        <v>148</v>
      </c>
      <c r="BO163">
        <v>406</v>
      </c>
      <c r="BP163">
        <v>-258</v>
      </c>
      <c r="BQ163">
        <v>356</v>
      </c>
      <c r="BR163">
        <v>-208</v>
      </c>
      <c r="BS163">
        <v>7.2670454549999999</v>
      </c>
      <c r="BT163">
        <v>0.33901825800000002</v>
      </c>
      <c r="BU163">
        <v>3.8525754600000002</v>
      </c>
      <c r="BV163">
        <v>7.2670454549999999</v>
      </c>
      <c r="BW163">
        <v>-0.33901825800000002</v>
      </c>
      <c r="BX163">
        <v>3.8525754600000002</v>
      </c>
      <c r="BY163">
        <v>105.619899290072</v>
      </c>
      <c r="BZ163">
        <v>0.229866758514709</v>
      </c>
      <c r="CA163">
        <v>29.6846753499884</v>
      </c>
      <c r="CB163">
        <v>105.619899290072</v>
      </c>
      <c r="CC163">
        <v>0.229866758514709</v>
      </c>
      <c r="CD163">
        <v>29.6846753499884</v>
      </c>
      <c r="CE163">
        <v>0.10782364999999999</v>
      </c>
      <c r="CF163">
        <v>2.3251878998645E-2</v>
      </c>
      <c r="CG163">
        <v>0.13723009999999999</v>
      </c>
      <c r="CH163">
        <v>9.2489669427272698</v>
      </c>
      <c r="CI163">
        <v>0.431477782909091</v>
      </c>
      <c r="CJ163">
        <v>4.9032778581818199</v>
      </c>
      <c r="CK163">
        <v>0.13723009999999999</v>
      </c>
      <c r="CL163">
        <v>9.2489669427272698</v>
      </c>
      <c r="CM163">
        <v>-0.431477782909091</v>
      </c>
      <c r="CN163">
        <v>4.9032778581818199</v>
      </c>
      <c r="CO163">
        <v>1.1837320217492E-2</v>
      </c>
      <c r="CP163">
        <v>53.770130547673197</v>
      </c>
      <c r="CQ163">
        <v>0.11702307706203401</v>
      </c>
      <c r="CR163">
        <v>15.1121983599941</v>
      </c>
      <c r="CS163">
        <v>1.1837320217492E-2</v>
      </c>
      <c r="CT163">
        <v>53.770130547673197</v>
      </c>
      <c r="CU163">
        <v>0.11702307706203401</v>
      </c>
      <c r="CV163">
        <v>15.1121983599941</v>
      </c>
      <c r="CW163">
        <v>0.10782364999999999</v>
      </c>
    </row>
    <row r="164" spans="1:101" x14ac:dyDescent="0.25">
      <c r="A164" t="s">
        <v>79</v>
      </c>
      <c r="B164">
        <v>6</v>
      </c>
      <c r="C164" t="s">
        <v>11</v>
      </c>
      <c r="D164" t="s">
        <v>95</v>
      </c>
      <c r="E164" t="s">
        <v>111</v>
      </c>
      <c r="F164" t="s">
        <v>145</v>
      </c>
      <c r="G164" t="s">
        <v>263</v>
      </c>
      <c r="H164" t="s">
        <v>776</v>
      </c>
      <c r="I164" t="s">
        <v>732</v>
      </c>
      <c r="J164" t="s">
        <v>438</v>
      </c>
      <c r="K164">
        <v>7</v>
      </c>
      <c r="L164">
        <v>380</v>
      </c>
      <c r="M164">
        <v>280</v>
      </c>
      <c r="N164">
        <v>380</v>
      </c>
      <c r="O164">
        <v>100</v>
      </c>
      <c r="P164">
        <v>110</v>
      </c>
      <c r="Q164">
        <v>280</v>
      </c>
      <c r="R164">
        <v>160</v>
      </c>
      <c r="S164">
        <v>220</v>
      </c>
      <c r="T164">
        <v>0.57894736842105265</v>
      </c>
      <c r="U164" t="s">
        <v>15</v>
      </c>
      <c r="V164" t="s">
        <v>113</v>
      </c>
      <c r="W164">
        <v>40</v>
      </c>
      <c r="X164">
        <v>16.899999999999999</v>
      </c>
      <c r="Y164">
        <v>18.899999999999999</v>
      </c>
      <c r="Z164">
        <v>18.399999999999999</v>
      </c>
      <c r="AA164">
        <v>18.06666667</v>
      </c>
      <c r="AB164">
        <v>18.06666667</v>
      </c>
      <c r="AC164">
        <v>15.9</v>
      </c>
      <c r="AD164">
        <v>15.9</v>
      </c>
      <c r="AE164">
        <v>18.899999999999999</v>
      </c>
      <c r="AF164">
        <v>16.899999999999999</v>
      </c>
      <c r="AG164">
        <v>16.899999999999999</v>
      </c>
      <c r="AH164">
        <v>17.399999999999999</v>
      </c>
      <c r="AI164">
        <v>18.399999999999999</v>
      </c>
      <c r="AJ164">
        <v>17.56666667</v>
      </c>
      <c r="AK164">
        <v>19.3</v>
      </c>
      <c r="AL164">
        <v>15.9</v>
      </c>
      <c r="AM164">
        <v>18.399999999999999</v>
      </c>
      <c r="AN164">
        <v>17.866666670000001</v>
      </c>
      <c r="AO164">
        <v>17.56666667</v>
      </c>
      <c r="AP164">
        <v>7.6</v>
      </c>
      <c r="AQ164">
        <v>8.1</v>
      </c>
      <c r="AR164">
        <v>6.1</v>
      </c>
      <c r="AS164">
        <v>7.266666667</v>
      </c>
      <c r="AT164">
        <v>6.6</v>
      </c>
      <c r="AU164">
        <v>8.1</v>
      </c>
      <c r="AV164">
        <v>8.1</v>
      </c>
      <c r="AW164">
        <v>7.6</v>
      </c>
      <c r="AX164">
        <v>7.266666667</v>
      </c>
      <c r="AY164">
        <v>-10.8</v>
      </c>
      <c r="AZ164">
        <v>5</v>
      </c>
      <c r="BA164">
        <v>85</v>
      </c>
      <c r="BB164">
        <v>5</v>
      </c>
      <c r="BC164">
        <v>5</v>
      </c>
      <c r="BD164">
        <v>1</v>
      </c>
      <c r="BE164">
        <v>0</v>
      </c>
      <c r="BF164">
        <v>0</v>
      </c>
      <c r="BG164">
        <v>0</v>
      </c>
      <c r="BI164">
        <v>9.9</v>
      </c>
      <c r="BJ164">
        <v>42.4</v>
      </c>
      <c r="BK164">
        <v>0</v>
      </c>
      <c r="BL164">
        <v>74</v>
      </c>
      <c r="BM164">
        <v>56</v>
      </c>
      <c r="BN164">
        <v>3631</v>
      </c>
      <c r="BO164">
        <v>2858</v>
      </c>
      <c r="BP164">
        <v>773</v>
      </c>
      <c r="BQ164">
        <v>3443</v>
      </c>
      <c r="BR164">
        <v>188</v>
      </c>
      <c r="BS164">
        <v>6.5643398266666697</v>
      </c>
      <c r="BT164">
        <v>0.25930751600000002</v>
      </c>
      <c r="BU164">
        <v>6.0479798133333302</v>
      </c>
      <c r="BV164">
        <v>4.3508477599999997</v>
      </c>
      <c r="BW164">
        <v>-0.14461841</v>
      </c>
      <c r="BX164">
        <v>-4.9106876399999999</v>
      </c>
      <c r="BY164">
        <v>17.058673897756101</v>
      </c>
      <c r="BZ164">
        <v>9.0281340860909901E-2</v>
      </c>
      <c r="CA164">
        <v>19.067452092328701</v>
      </c>
      <c r="CB164">
        <v>53.299695591653901</v>
      </c>
      <c r="CC164">
        <v>0.159770195875653</v>
      </c>
      <c r="CD164">
        <v>37.762262179586799</v>
      </c>
      <c r="CE164">
        <v>0.76810202333333299</v>
      </c>
      <c r="CF164">
        <v>1.56442152235577</v>
      </c>
      <c r="CG164">
        <v>0.43061200999999999</v>
      </c>
      <c r="CH164">
        <v>9.2212043885714294</v>
      </c>
      <c r="CI164">
        <v>0.457354014857143</v>
      </c>
      <c r="CJ164">
        <v>3.56681321142857</v>
      </c>
      <c r="CK164">
        <v>-0.17704843857142899</v>
      </c>
      <c r="CL164">
        <v>8.2725649314285707</v>
      </c>
      <c r="CM164">
        <v>-0.408201540857143</v>
      </c>
      <c r="CN164">
        <v>-1.12975855428571</v>
      </c>
      <c r="CO164">
        <v>0.53724760986721998</v>
      </c>
      <c r="CP164">
        <v>11.8627877703526</v>
      </c>
      <c r="CQ164">
        <v>6.4413394032845697E-2</v>
      </c>
      <c r="CR164">
        <v>11.742481607216201</v>
      </c>
      <c r="CS164">
        <v>0.71700825568215598</v>
      </c>
      <c r="CT164">
        <v>31.223947573311001</v>
      </c>
      <c r="CU164">
        <v>0.11404829047194801</v>
      </c>
      <c r="CV164">
        <v>25.0959173838292</v>
      </c>
      <c r="CW164">
        <v>-0.64977235666666699</v>
      </c>
    </row>
    <row r="165" spans="1:101" x14ac:dyDescent="0.25">
      <c r="A165" t="s">
        <v>80</v>
      </c>
      <c r="B165">
        <v>6</v>
      </c>
      <c r="C165" t="s">
        <v>15</v>
      </c>
      <c r="D165" t="s">
        <v>95</v>
      </c>
      <c r="E165" t="s">
        <v>105</v>
      </c>
      <c r="F165" t="s">
        <v>145</v>
      </c>
      <c r="G165" t="s">
        <v>266</v>
      </c>
      <c r="H165" t="s">
        <v>760</v>
      </c>
      <c r="I165" t="s">
        <v>733</v>
      </c>
      <c r="J165" t="s">
        <v>439</v>
      </c>
      <c r="K165">
        <v>10</v>
      </c>
      <c r="L165">
        <v>60</v>
      </c>
      <c r="M165">
        <v>45</v>
      </c>
      <c r="N165">
        <v>60</v>
      </c>
      <c r="O165">
        <v>15</v>
      </c>
      <c r="P165">
        <v>80</v>
      </c>
      <c r="Q165">
        <v>50</v>
      </c>
      <c r="R165">
        <v>0</v>
      </c>
      <c r="S165">
        <v>25</v>
      </c>
      <c r="T165">
        <v>0.41666666666666669</v>
      </c>
      <c r="V165" t="s">
        <v>121</v>
      </c>
      <c r="W165" t="s">
        <v>114</v>
      </c>
      <c r="X165">
        <v>15.9</v>
      </c>
      <c r="Y165">
        <v>14.9</v>
      </c>
      <c r="Z165">
        <v>17.899999999999999</v>
      </c>
      <c r="AA165">
        <v>16.233333330000001</v>
      </c>
      <c r="AB165">
        <v>16.233333330000001</v>
      </c>
      <c r="AC165">
        <v>15.4</v>
      </c>
      <c r="AD165">
        <v>16.399999999999999</v>
      </c>
      <c r="AE165">
        <v>16.899999999999999</v>
      </c>
      <c r="AF165">
        <v>16.233333330000001</v>
      </c>
      <c r="AG165">
        <v>12</v>
      </c>
      <c r="AH165">
        <v>15.9</v>
      </c>
      <c r="AI165">
        <v>14.9</v>
      </c>
      <c r="AJ165">
        <v>14.266666669999999</v>
      </c>
      <c r="AK165">
        <v>14.4</v>
      </c>
      <c r="AL165">
        <v>13.5</v>
      </c>
      <c r="AM165">
        <v>15.9</v>
      </c>
      <c r="AN165">
        <v>14.6</v>
      </c>
      <c r="AO165">
        <v>14.266666669999999</v>
      </c>
      <c r="AP165">
        <v>11</v>
      </c>
      <c r="AQ165">
        <v>8.1</v>
      </c>
      <c r="AR165">
        <v>8.5</v>
      </c>
      <c r="AS165">
        <v>9.1999999999999993</v>
      </c>
      <c r="AT165">
        <v>9.5</v>
      </c>
      <c r="AU165">
        <v>9</v>
      </c>
      <c r="AV165">
        <v>10.5</v>
      </c>
      <c r="AW165">
        <v>9.6666666669999994</v>
      </c>
      <c r="AX165">
        <v>9.1999999999999993</v>
      </c>
      <c r="AY165">
        <v>-7.0333333329999999</v>
      </c>
      <c r="AZ165">
        <v>5</v>
      </c>
      <c r="BA165">
        <v>85</v>
      </c>
      <c r="BB165">
        <v>1</v>
      </c>
      <c r="BC165">
        <v>20</v>
      </c>
      <c r="BD165">
        <v>0</v>
      </c>
      <c r="BE165">
        <v>1</v>
      </c>
      <c r="BF165">
        <v>0</v>
      </c>
      <c r="BG165">
        <v>0</v>
      </c>
      <c r="BI165">
        <v>12.2</v>
      </c>
      <c r="BJ165">
        <v>42.4</v>
      </c>
      <c r="BK165">
        <v>0</v>
      </c>
      <c r="BL165">
        <v>3</v>
      </c>
      <c r="BM165">
        <v>3</v>
      </c>
      <c r="BN165">
        <v>137</v>
      </c>
      <c r="BO165">
        <v>315.5</v>
      </c>
      <c r="BP165">
        <v>-178.5</v>
      </c>
      <c r="BQ165">
        <v>80</v>
      </c>
      <c r="BR165">
        <v>57</v>
      </c>
      <c r="BS165">
        <v>23.524621215</v>
      </c>
      <c r="BT165">
        <v>0.33901825800000002</v>
      </c>
      <c r="BU165">
        <v>21.47468048</v>
      </c>
      <c r="BV165">
        <v>-23.524621215</v>
      </c>
      <c r="BW165">
        <v>2.6175038000000001E-2</v>
      </c>
      <c r="BX165">
        <v>21.47468048</v>
      </c>
      <c r="BY165">
        <v>105.619899290072</v>
      </c>
      <c r="BZ165">
        <v>1.3702652286028899E-3</v>
      </c>
      <c r="CA165">
        <v>29.6846753499884</v>
      </c>
      <c r="CB165">
        <v>105.619899290072</v>
      </c>
      <c r="CC165">
        <v>0.229866758514709</v>
      </c>
      <c r="CD165">
        <v>29.6846753499884</v>
      </c>
      <c r="CE165">
        <v>1.7741976500000001</v>
      </c>
      <c r="CF165">
        <v>2.3251878998645E-2</v>
      </c>
      <c r="CG165">
        <v>1.6879387299999999</v>
      </c>
      <c r="CH165">
        <v>29.338257579</v>
      </c>
      <c r="CI165">
        <v>0.35995828839999999</v>
      </c>
      <c r="CJ165">
        <v>18.392620111999999</v>
      </c>
      <c r="CK165">
        <v>1.6879387299999999</v>
      </c>
      <c r="CL165">
        <v>-29.338257579</v>
      </c>
      <c r="CM165">
        <v>0.29738964439999999</v>
      </c>
      <c r="CN165">
        <v>18.392620111999999</v>
      </c>
      <c r="CO165">
        <v>4.6503757997289896E-3</v>
      </c>
      <c r="CP165">
        <v>21.123979858014501</v>
      </c>
      <c r="CQ165">
        <v>2.74053045720578E-4</v>
      </c>
      <c r="CR165">
        <v>5.9369350699976904</v>
      </c>
      <c r="CS165">
        <v>4.6503757997289896E-3</v>
      </c>
      <c r="CT165">
        <v>21.123979858014501</v>
      </c>
      <c r="CU165">
        <v>4.5973351702941798E-2</v>
      </c>
      <c r="CV165">
        <v>5.9369350699976904</v>
      </c>
      <c r="CW165">
        <v>1.7741976500000001</v>
      </c>
    </row>
    <row r="166" spans="1:101" x14ac:dyDescent="0.25">
      <c r="A166" t="s">
        <v>80</v>
      </c>
      <c r="B166">
        <v>6</v>
      </c>
      <c r="C166" t="s">
        <v>15</v>
      </c>
      <c r="D166" t="s">
        <v>95</v>
      </c>
      <c r="E166" t="s">
        <v>113</v>
      </c>
      <c r="F166" t="s">
        <v>145</v>
      </c>
      <c r="G166" t="s">
        <v>259</v>
      </c>
      <c r="H166" t="s">
        <v>764</v>
      </c>
      <c r="I166" t="s">
        <v>730</v>
      </c>
      <c r="J166" t="s">
        <v>440</v>
      </c>
      <c r="K166">
        <v>6</v>
      </c>
      <c r="L166">
        <v>60</v>
      </c>
      <c r="M166">
        <v>30</v>
      </c>
      <c r="N166">
        <v>60</v>
      </c>
      <c r="O166">
        <v>30</v>
      </c>
      <c r="P166">
        <v>4</v>
      </c>
      <c r="Q166">
        <v>2</v>
      </c>
      <c r="R166">
        <v>2</v>
      </c>
      <c r="S166">
        <v>2</v>
      </c>
      <c r="T166">
        <v>3.3333333333333333E-2</v>
      </c>
      <c r="V166" t="s">
        <v>113</v>
      </c>
      <c r="W166">
        <v>50</v>
      </c>
      <c r="X166">
        <v>15.9</v>
      </c>
      <c r="Y166">
        <v>14.9</v>
      </c>
      <c r="Z166">
        <v>17.899999999999999</v>
      </c>
      <c r="AA166">
        <v>16.233333330000001</v>
      </c>
      <c r="AB166">
        <v>16.233333330000001</v>
      </c>
      <c r="AC166">
        <v>13.9</v>
      </c>
      <c r="AD166">
        <v>13.9</v>
      </c>
      <c r="AE166">
        <v>15.4</v>
      </c>
      <c r="AF166">
        <v>14.4</v>
      </c>
      <c r="AG166">
        <v>12</v>
      </c>
      <c r="AH166">
        <v>15.9</v>
      </c>
      <c r="AI166">
        <v>14.9</v>
      </c>
      <c r="AJ166">
        <v>14.266666669999999</v>
      </c>
      <c r="AK166">
        <v>11.5</v>
      </c>
      <c r="AL166">
        <v>13.5</v>
      </c>
      <c r="AM166">
        <v>15.4</v>
      </c>
      <c r="AN166">
        <v>13.46666667</v>
      </c>
      <c r="AO166">
        <v>14.266666669999999</v>
      </c>
      <c r="AP166">
        <v>11</v>
      </c>
      <c r="AQ166">
        <v>8.1</v>
      </c>
      <c r="AR166">
        <v>8.5</v>
      </c>
      <c r="AS166">
        <v>9.1999999999999993</v>
      </c>
      <c r="AT166">
        <v>8.5</v>
      </c>
      <c r="AU166">
        <v>7.1</v>
      </c>
      <c r="AV166">
        <v>9</v>
      </c>
      <c r="AW166">
        <v>8.1999999999999993</v>
      </c>
      <c r="AX166">
        <v>9.1999999999999993</v>
      </c>
      <c r="AY166">
        <v>-7.0333333329999999</v>
      </c>
      <c r="AZ166">
        <v>5</v>
      </c>
      <c r="BA166">
        <v>85</v>
      </c>
      <c r="BB166">
        <v>1</v>
      </c>
      <c r="BC166">
        <v>20</v>
      </c>
      <c r="BD166">
        <v>0</v>
      </c>
      <c r="BE166">
        <v>1</v>
      </c>
      <c r="BF166">
        <v>0</v>
      </c>
      <c r="BG166">
        <v>0</v>
      </c>
      <c r="BI166">
        <v>12.2</v>
      </c>
      <c r="BJ166">
        <v>42.4</v>
      </c>
      <c r="BK166">
        <v>0</v>
      </c>
      <c r="BL166">
        <v>1</v>
      </c>
      <c r="BM166">
        <v>1</v>
      </c>
      <c r="BN166">
        <v>3</v>
      </c>
      <c r="BO166">
        <v>0</v>
      </c>
      <c r="BP166">
        <v>3</v>
      </c>
      <c r="BQ166">
        <v>0</v>
      </c>
      <c r="BR166">
        <v>3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 t="s">
        <v>114</v>
      </c>
      <c r="BZ166" t="s">
        <v>114</v>
      </c>
      <c r="CA166" t="s">
        <v>114</v>
      </c>
      <c r="CB166" t="s">
        <v>114</v>
      </c>
      <c r="CC166" t="s">
        <v>114</v>
      </c>
      <c r="CD166" t="s">
        <v>114</v>
      </c>
      <c r="CE166">
        <v>0</v>
      </c>
      <c r="CF166" t="s">
        <v>114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</row>
    <row r="167" spans="1:101" x14ac:dyDescent="0.25">
      <c r="A167" t="s">
        <v>80</v>
      </c>
      <c r="B167">
        <v>6</v>
      </c>
      <c r="C167" t="s">
        <v>15</v>
      </c>
      <c r="D167" t="s">
        <v>95</v>
      </c>
      <c r="E167" t="s">
        <v>103</v>
      </c>
      <c r="F167" t="s">
        <v>145</v>
      </c>
      <c r="G167" t="s">
        <v>260</v>
      </c>
      <c r="H167" t="s">
        <v>772</v>
      </c>
      <c r="I167" t="s">
        <v>731</v>
      </c>
      <c r="J167" t="s">
        <v>441</v>
      </c>
      <c r="K167">
        <v>3</v>
      </c>
      <c r="L167">
        <v>40</v>
      </c>
      <c r="M167">
        <v>70</v>
      </c>
      <c r="N167">
        <v>40</v>
      </c>
      <c r="O167">
        <v>-30</v>
      </c>
      <c r="P167">
        <v>32</v>
      </c>
      <c r="Q167">
        <v>26</v>
      </c>
      <c r="R167">
        <v>3</v>
      </c>
      <c r="S167">
        <v>14.5</v>
      </c>
      <c r="T167">
        <v>0.36249999999999999</v>
      </c>
      <c r="V167" t="s">
        <v>103</v>
      </c>
      <c r="W167" t="s">
        <v>114</v>
      </c>
      <c r="X167">
        <v>15.9</v>
      </c>
      <c r="Y167">
        <v>14.9</v>
      </c>
      <c r="Z167">
        <v>17.899999999999999</v>
      </c>
      <c r="AA167">
        <v>16.233333330000001</v>
      </c>
      <c r="AB167">
        <v>16.233333330000001</v>
      </c>
      <c r="AC167">
        <v>14.9</v>
      </c>
      <c r="AD167">
        <v>14.4</v>
      </c>
      <c r="AE167">
        <v>15.9</v>
      </c>
      <c r="AF167">
        <v>15.06666667</v>
      </c>
      <c r="AG167">
        <v>12</v>
      </c>
      <c r="AH167">
        <v>15.9</v>
      </c>
      <c r="AI167">
        <v>14.9</v>
      </c>
      <c r="AJ167">
        <v>14.266666669999999</v>
      </c>
      <c r="AK167">
        <v>13</v>
      </c>
      <c r="AL167">
        <v>13.9</v>
      </c>
      <c r="AM167">
        <v>14.4</v>
      </c>
      <c r="AN167">
        <v>13.766666669999999</v>
      </c>
      <c r="AO167">
        <v>14.266666669999999</v>
      </c>
      <c r="AP167">
        <v>11</v>
      </c>
      <c r="AQ167">
        <v>8.1</v>
      </c>
      <c r="AR167">
        <v>8.5</v>
      </c>
      <c r="AS167">
        <v>9.1999999999999993</v>
      </c>
      <c r="AT167">
        <v>8.1</v>
      </c>
      <c r="AU167">
        <v>8.5</v>
      </c>
      <c r="AV167">
        <v>11.5</v>
      </c>
      <c r="AW167">
        <v>9.3666666670000005</v>
      </c>
      <c r="AX167">
        <v>9.1999999999999993</v>
      </c>
      <c r="AY167">
        <v>-7.0333333329999999</v>
      </c>
      <c r="AZ167">
        <v>5</v>
      </c>
      <c r="BA167">
        <v>85</v>
      </c>
      <c r="BB167">
        <v>1</v>
      </c>
      <c r="BC167">
        <v>20</v>
      </c>
      <c r="BD167">
        <v>0</v>
      </c>
      <c r="BE167">
        <v>1</v>
      </c>
      <c r="BF167">
        <v>0</v>
      </c>
      <c r="BG167">
        <v>0</v>
      </c>
      <c r="BI167">
        <v>12.2</v>
      </c>
      <c r="BJ167">
        <v>42.4</v>
      </c>
      <c r="BK167">
        <v>0</v>
      </c>
      <c r="BL167">
        <v>4</v>
      </c>
      <c r="BM167">
        <v>4</v>
      </c>
      <c r="BN167">
        <v>171</v>
      </c>
      <c r="BO167">
        <v>406</v>
      </c>
      <c r="BP167">
        <v>-235</v>
      </c>
      <c r="BQ167">
        <v>456</v>
      </c>
      <c r="BR167">
        <v>-285</v>
      </c>
      <c r="BS167">
        <v>7.2670454549999999</v>
      </c>
      <c r="BT167">
        <v>0.33901825800000002</v>
      </c>
      <c r="BU167">
        <v>3.8525754600000002</v>
      </c>
      <c r="BV167">
        <v>7.2670454549999999</v>
      </c>
      <c r="BW167">
        <v>-0.33901825800000002</v>
      </c>
      <c r="BX167">
        <v>3.8525754600000002</v>
      </c>
      <c r="BY167">
        <v>105.619899290072</v>
      </c>
      <c r="BZ167">
        <v>0.229866758514709</v>
      </c>
      <c r="CA167">
        <v>29.6846753499884</v>
      </c>
      <c r="CB167">
        <v>105.619899290072</v>
      </c>
      <c r="CC167">
        <v>0.229866758514709</v>
      </c>
      <c r="CD167">
        <v>29.6846753499884</v>
      </c>
      <c r="CE167">
        <v>0.10782364999999999</v>
      </c>
      <c r="CF167">
        <v>2.3251878998645E-2</v>
      </c>
      <c r="CG167">
        <v>7.1882433333333301E-2</v>
      </c>
      <c r="CH167">
        <v>4.8446969700000002</v>
      </c>
      <c r="CI167">
        <v>0.22601217200000001</v>
      </c>
      <c r="CJ167">
        <v>2.56838364</v>
      </c>
      <c r="CK167">
        <v>7.1882433333333301E-2</v>
      </c>
      <c r="CL167">
        <v>4.8446969700000002</v>
      </c>
      <c r="CM167">
        <v>-0.22601217200000001</v>
      </c>
      <c r="CN167">
        <v>2.56838364</v>
      </c>
      <c r="CO167">
        <v>1.55012526657633E-2</v>
      </c>
      <c r="CP167">
        <v>70.413266193381503</v>
      </c>
      <c r="CQ167">
        <v>0.15324450567647299</v>
      </c>
      <c r="CR167">
        <v>19.789783566659001</v>
      </c>
      <c r="CS167">
        <v>1.55012526657633E-2</v>
      </c>
      <c r="CT167">
        <v>70.413266193381503</v>
      </c>
      <c r="CU167">
        <v>0.15324450567647299</v>
      </c>
      <c r="CV167">
        <v>19.789783566659001</v>
      </c>
      <c r="CW167">
        <v>0.10782364999999999</v>
      </c>
    </row>
    <row r="168" spans="1:101" x14ac:dyDescent="0.25">
      <c r="A168" t="s">
        <v>81</v>
      </c>
      <c r="B168">
        <v>6</v>
      </c>
      <c r="C168" t="s">
        <v>17</v>
      </c>
      <c r="D168" t="s">
        <v>94</v>
      </c>
      <c r="E168" t="s">
        <v>105</v>
      </c>
      <c r="F168" t="s">
        <v>145</v>
      </c>
      <c r="G168" t="s">
        <v>266</v>
      </c>
      <c r="H168" t="s">
        <v>759</v>
      </c>
      <c r="I168" t="s">
        <v>734</v>
      </c>
      <c r="J168" t="s">
        <v>442</v>
      </c>
      <c r="K168">
        <v>6</v>
      </c>
      <c r="L168">
        <v>30</v>
      </c>
      <c r="M168">
        <v>40</v>
      </c>
      <c r="N168">
        <v>30</v>
      </c>
      <c r="O168">
        <v>-10</v>
      </c>
      <c r="P168">
        <v>55</v>
      </c>
      <c r="Q168">
        <v>55</v>
      </c>
      <c r="R168">
        <v>55</v>
      </c>
      <c r="S168">
        <v>55</v>
      </c>
      <c r="T168">
        <v>1.8333333333333333</v>
      </c>
      <c r="V168" t="s">
        <v>113</v>
      </c>
      <c r="W168">
        <v>60</v>
      </c>
      <c r="X168">
        <v>13.9</v>
      </c>
      <c r="Y168">
        <v>14.4</v>
      </c>
      <c r="Z168">
        <v>14.9</v>
      </c>
      <c r="AA168">
        <v>14.4</v>
      </c>
      <c r="AB168">
        <v>14.4</v>
      </c>
      <c r="AC168">
        <v>11</v>
      </c>
      <c r="AD168">
        <v>11.5</v>
      </c>
      <c r="AE168">
        <v>12</v>
      </c>
      <c r="AF168">
        <v>11.5</v>
      </c>
      <c r="AG168">
        <v>13.9</v>
      </c>
      <c r="AH168">
        <v>13.9</v>
      </c>
      <c r="AI168">
        <v>14.9</v>
      </c>
      <c r="AJ168">
        <v>14.233333330000001</v>
      </c>
      <c r="AK168">
        <v>10</v>
      </c>
      <c r="AL168">
        <v>12</v>
      </c>
      <c r="AM168">
        <v>9.5</v>
      </c>
      <c r="AN168">
        <v>10.5</v>
      </c>
      <c r="AO168">
        <v>14.233333330000001</v>
      </c>
      <c r="AP168">
        <v>8.5</v>
      </c>
      <c r="AQ168">
        <v>6.6</v>
      </c>
      <c r="AR168">
        <v>8.1</v>
      </c>
      <c r="AS168">
        <v>7.733333333</v>
      </c>
      <c r="AT168">
        <v>6.6</v>
      </c>
      <c r="AU168">
        <v>6.1</v>
      </c>
      <c r="AV168">
        <v>7.1</v>
      </c>
      <c r="AW168">
        <v>6.6</v>
      </c>
      <c r="AX168">
        <v>7.733333333</v>
      </c>
      <c r="AY168">
        <v>-6.6666666670000003</v>
      </c>
      <c r="AZ168">
        <v>8</v>
      </c>
      <c r="BA168">
        <v>80</v>
      </c>
      <c r="BB168">
        <v>3</v>
      </c>
      <c r="BC168">
        <v>10</v>
      </c>
      <c r="BD168">
        <v>0</v>
      </c>
      <c r="BE168">
        <v>1</v>
      </c>
      <c r="BF168">
        <v>0</v>
      </c>
      <c r="BG168">
        <v>0</v>
      </c>
      <c r="BI168">
        <v>10.6</v>
      </c>
      <c r="BJ168">
        <v>1.0569999999999999</v>
      </c>
      <c r="BK168">
        <v>0</v>
      </c>
      <c r="BL168">
        <v>5</v>
      </c>
      <c r="BM168">
        <v>4</v>
      </c>
      <c r="BN168">
        <v>104</v>
      </c>
      <c r="BO168">
        <v>199.5</v>
      </c>
      <c r="BP168">
        <v>-95.5</v>
      </c>
      <c r="BQ168">
        <v>333</v>
      </c>
      <c r="BR168">
        <v>-229</v>
      </c>
      <c r="BS168">
        <v>16.257575760000002</v>
      </c>
      <c r="BT168">
        <v>0.31284321999999998</v>
      </c>
      <c r="BU168">
        <v>25.327255940000001</v>
      </c>
      <c r="BV168">
        <v>-16.257575760000002</v>
      </c>
      <c r="BW168">
        <v>-0.31284321999999998</v>
      </c>
      <c r="BX168">
        <v>25.327255940000001</v>
      </c>
      <c r="BY168" t="s">
        <v>114</v>
      </c>
      <c r="BZ168" t="s">
        <v>114</v>
      </c>
      <c r="CA168" t="s">
        <v>114</v>
      </c>
      <c r="CB168" t="s">
        <v>114</v>
      </c>
      <c r="CC168" t="s">
        <v>114</v>
      </c>
      <c r="CD168" t="s">
        <v>114</v>
      </c>
      <c r="CE168">
        <v>1.8820212999999999</v>
      </c>
      <c r="CF168" t="s">
        <v>114</v>
      </c>
      <c r="CG168">
        <v>1.8820212999999999</v>
      </c>
      <c r="CH168">
        <v>16.257575760000002</v>
      </c>
      <c r="CI168">
        <v>0.31284321999999998</v>
      </c>
      <c r="CJ168">
        <v>25.327255940000001</v>
      </c>
      <c r="CK168">
        <v>1.8820212999999999</v>
      </c>
      <c r="CL168">
        <v>-16.257575760000002</v>
      </c>
      <c r="CM168">
        <v>-0.31284321999999998</v>
      </c>
      <c r="CN168">
        <v>25.327255940000001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1.8820212999999999</v>
      </c>
    </row>
    <row r="169" spans="1:101" x14ac:dyDescent="0.25">
      <c r="A169" t="s">
        <v>81</v>
      </c>
      <c r="B169">
        <v>6</v>
      </c>
      <c r="C169" t="s">
        <v>17</v>
      </c>
      <c r="D169" t="s">
        <v>94</v>
      </c>
      <c r="E169" t="s">
        <v>113</v>
      </c>
      <c r="F169" t="s">
        <v>145</v>
      </c>
      <c r="G169" t="s">
        <v>259</v>
      </c>
      <c r="H169" t="s">
        <v>763</v>
      </c>
      <c r="I169" t="s">
        <v>735</v>
      </c>
      <c r="J169" t="s">
        <v>443</v>
      </c>
      <c r="K169">
        <v>6</v>
      </c>
      <c r="L169">
        <v>70</v>
      </c>
      <c r="M169">
        <v>110</v>
      </c>
      <c r="N169">
        <v>70</v>
      </c>
      <c r="O169">
        <v>-40</v>
      </c>
      <c r="P169">
        <v>5</v>
      </c>
      <c r="Q169">
        <v>25</v>
      </c>
      <c r="R169">
        <v>15</v>
      </c>
      <c r="S169">
        <v>20</v>
      </c>
      <c r="T169">
        <v>0.2857142857142857</v>
      </c>
      <c r="V169" t="s">
        <v>113</v>
      </c>
      <c r="W169">
        <v>80</v>
      </c>
      <c r="X169">
        <v>13.9</v>
      </c>
      <c r="Y169">
        <v>14.4</v>
      </c>
      <c r="Z169">
        <v>14.9</v>
      </c>
      <c r="AA169">
        <v>14.4</v>
      </c>
      <c r="AB169">
        <v>14.4</v>
      </c>
      <c r="AC169">
        <v>14.4</v>
      </c>
      <c r="AD169">
        <v>14.9</v>
      </c>
      <c r="AE169">
        <v>12.5</v>
      </c>
      <c r="AF169">
        <v>13.93333333</v>
      </c>
      <c r="AG169">
        <v>13.9</v>
      </c>
      <c r="AH169">
        <v>13.9</v>
      </c>
      <c r="AI169">
        <v>14.9</v>
      </c>
      <c r="AJ169">
        <v>14.233333330000001</v>
      </c>
      <c r="AK169">
        <v>11.5</v>
      </c>
      <c r="AL169">
        <v>13.9</v>
      </c>
      <c r="AM169">
        <v>13.9</v>
      </c>
      <c r="AN169">
        <v>13.1</v>
      </c>
      <c r="AO169">
        <v>14.233333330000001</v>
      </c>
      <c r="AP169">
        <v>8.5</v>
      </c>
      <c r="AQ169">
        <v>6.6</v>
      </c>
      <c r="AR169">
        <v>8.1</v>
      </c>
      <c r="AS169">
        <v>7.733333333</v>
      </c>
      <c r="AT169">
        <v>7.6</v>
      </c>
      <c r="AU169">
        <v>7.6</v>
      </c>
      <c r="AV169">
        <v>8.5</v>
      </c>
      <c r="AW169">
        <v>7.9</v>
      </c>
      <c r="AX169">
        <v>7.733333333</v>
      </c>
      <c r="AY169">
        <v>-6.6666666670000003</v>
      </c>
      <c r="AZ169">
        <v>8</v>
      </c>
      <c r="BA169">
        <v>80</v>
      </c>
      <c r="BB169">
        <v>3</v>
      </c>
      <c r="BC169">
        <v>10</v>
      </c>
      <c r="BD169">
        <v>0</v>
      </c>
      <c r="BE169">
        <v>1</v>
      </c>
      <c r="BF169">
        <v>0</v>
      </c>
      <c r="BG169">
        <v>0</v>
      </c>
      <c r="BI169">
        <v>10.6</v>
      </c>
      <c r="BJ169">
        <v>1.0569999999999999</v>
      </c>
      <c r="BK169">
        <v>0</v>
      </c>
      <c r="BL169">
        <v>4</v>
      </c>
      <c r="BM169">
        <v>4</v>
      </c>
      <c r="BN169">
        <v>8</v>
      </c>
      <c r="BO169">
        <v>2</v>
      </c>
      <c r="BP169">
        <v>6</v>
      </c>
      <c r="BQ169">
        <v>1</v>
      </c>
      <c r="BR169">
        <v>7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 t="s">
        <v>114</v>
      </c>
      <c r="BZ169" t="s">
        <v>114</v>
      </c>
      <c r="CA169" t="s">
        <v>114</v>
      </c>
      <c r="CB169" t="s">
        <v>114</v>
      </c>
      <c r="CC169" t="s">
        <v>114</v>
      </c>
      <c r="CD169" t="s">
        <v>114</v>
      </c>
      <c r="CE169">
        <v>0</v>
      </c>
      <c r="CF169" t="s">
        <v>114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</row>
    <row r="170" spans="1:101" x14ac:dyDescent="0.25">
      <c r="A170" t="s">
        <v>81</v>
      </c>
      <c r="B170">
        <v>6</v>
      </c>
      <c r="C170" t="s">
        <v>17</v>
      </c>
      <c r="D170" t="s">
        <v>94</v>
      </c>
      <c r="E170" t="s">
        <v>103</v>
      </c>
      <c r="F170" t="s">
        <v>145</v>
      </c>
      <c r="G170" t="s">
        <v>260</v>
      </c>
      <c r="H170" t="s">
        <v>771</v>
      </c>
      <c r="I170" t="s">
        <v>736</v>
      </c>
      <c r="J170" t="s">
        <v>444</v>
      </c>
      <c r="K170">
        <v>6</v>
      </c>
      <c r="L170">
        <v>100</v>
      </c>
      <c r="M170">
        <v>50</v>
      </c>
      <c r="N170">
        <v>100</v>
      </c>
      <c r="O170">
        <v>50</v>
      </c>
      <c r="P170">
        <v>30</v>
      </c>
      <c r="Q170">
        <v>15</v>
      </c>
      <c r="R170">
        <v>10</v>
      </c>
      <c r="S170">
        <v>12.5</v>
      </c>
      <c r="T170">
        <v>0.125</v>
      </c>
      <c r="V170" t="s">
        <v>113</v>
      </c>
      <c r="W170">
        <v>70</v>
      </c>
      <c r="X170">
        <v>13.9</v>
      </c>
      <c r="Y170">
        <v>14.4</v>
      </c>
      <c r="Z170">
        <v>14.9</v>
      </c>
      <c r="AA170">
        <v>14.4</v>
      </c>
      <c r="AB170">
        <v>14.4</v>
      </c>
      <c r="AC170">
        <v>14.4</v>
      </c>
      <c r="AD170">
        <v>14.9</v>
      </c>
      <c r="AE170">
        <v>14.9</v>
      </c>
      <c r="AF170">
        <v>14.733333330000001</v>
      </c>
      <c r="AG170">
        <v>13.9</v>
      </c>
      <c r="AH170">
        <v>13.9</v>
      </c>
      <c r="AI170">
        <v>14.9</v>
      </c>
      <c r="AJ170">
        <v>14.233333330000001</v>
      </c>
      <c r="AK170">
        <v>13.5</v>
      </c>
      <c r="AL170">
        <v>13.5</v>
      </c>
      <c r="AM170">
        <v>13.9</v>
      </c>
      <c r="AN170">
        <v>13.633333329999999</v>
      </c>
      <c r="AO170">
        <v>14.233333330000001</v>
      </c>
      <c r="AP170">
        <v>8.5</v>
      </c>
      <c r="AQ170">
        <v>6.6</v>
      </c>
      <c r="AR170">
        <v>8.1</v>
      </c>
      <c r="AS170">
        <v>7.733333333</v>
      </c>
      <c r="AT170">
        <v>7.6</v>
      </c>
      <c r="AU170">
        <v>7.6</v>
      </c>
      <c r="AV170">
        <v>8.1</v>
      </c>
      <c r="AW170">
        <v>7.766666667</v>
      </c>
      <c r="AX170">
        <v>7.733333333</v>
      </c>
      <c r="AY170">
        <v>-6.6666666670000003</v>
      </c>
      <c r="AZ170">
        <v>8</v>
      </c>
      <c r="BA170">
        <v>80</v>
      </c>
      <c r="BB170">
        <v>3</v>
      </c>
      <c r="BC170">
        <v>10</v>
      </c>
      <c r="BD170">
        <v>0</v>
      </c>
      <c r="BE170">
        <v>1</v>
      </c>
      <c r="BF170">
        <v>0</v>
      </c>
      <c r="BG170">
        <v>0</v>
      </c>
      <c r="BI170">
        <v>10.6</v>
      </c>
      <c r="BJ170">
        <v>1.0569999999999999</v>
      </c>
      <c r="BK170">
        <v>0</v>
      </c>
      <c r="BL170">
        <v>2</v>
      </c>
      <c r="BM170">
        <v>2</v>
      </c>
      <c r="BN170">
        <v>122</v>
      </c>
      <c r="BO170">
        <v>828</v>
      </c>
      <c r="BP170">
        <v>-706</v>
      </c>
      <c r="BQ170">
        <v>273</v>
      </c>
      <c r="BR170">
        <v>-151</v>
      </c>
      <c r="BS170">
        <v>7.2670454549999999</v>
      </c>
      <c r="BT170">
        <v>0.33901825800000002</v>
      </c>
      <c r="BU170">
        <v>3.8525754600000002</v>
      </c>
      <c r="BV170">
        <v>7.2670454549999999</v>
      </c>
      <c r="BW170">
        <v>-0.33901825800000002</v>
      </c>
      <c r="BX170">
        <v>3.8525754600000002</v>
      </c>
      <c r="BY170">
        <v>105.619899290072</v>
      </c>
      <c r="BZ170">
        <v>0.229866758514709</v>
      </c>
      <c r="CA170">
        <v>29.6846753499884</v>
      </c>
      <c r="CB170">
        <v>105.619899290072</v>
      </c>
      <c r="CC170">
        <v>0.229866758514709</v>
      </c>
      <c r="CD170">
        <v>29.6846753499884</v>
      </c>
      <c r="CE170">
        <v>0.10782364999999999</v>
      </c>
      <c r="CF170">
        <v>2.3251878998645E-2</v>
      </c>
      <c r="CG170">
        <v>0.17970608333333299</v>
      </c>
      <c r="CH170">
        <v>12.111742424999999</v>
      </c>
      <c r="CI170">
        <v>0.56503042999999997</v>
      </c>
      <c r="CJ170">
        <v>6.4209591000000001</v>
      </c>
      <c r="CK170">
        <v>0.17970608333333299</v>
      </c>
      <c r="CL170">
        <v>12.111742424999999</v>
      </c>
      <c r="CM170">
        <v>-0.56503042999999997</v>
      </c>
      <c r="CN170">
        <v>6.4209591000000001</v>
      </c>
      <c r="CO170">
        <v>7.7506263328816702E-3</v>
      </c>
      <c r="CP170">
        <v>35.206633096690801</v>
      </c>
      <c r="CQ170">
        <v>7.6622252838236399E-2</v>
      </c>
      <c r="CR170">
        <v>9.8948917833294807</v>
      </c>
      <c r="CS170">
        <v>7.7506263328816702E-3</v>
      </c>
      <c r="CT170">
        <v>35.206633096690801</v>
      </c>
      <c r="CU170">
        <v>7.6622252838236399E-2</v>
      </c>
      <c r="CV170">
        <v>9.8948917833294807</v>
      </c>
      <c r="CW170">
        <v>0.10782364999999999</v>
      </c>
    </row>
    <row r="171" spans="1:101" x14ac:dyDescent="0.25">
      <c r="A171" t="s">
        <v>82</v>
      </c>
      <c r="B171">
        <v>6</v>
      </c>
      <c r="C171" t="s">
        <v>19</v>
      </c>
      <c r="D171" t="s">
        <v>94</v>
      </c>
      <c r="E171" t="s">
        <v>102</v>
      </c>
      <c r="F171" t="s">
        <v>145</v>
      </c>
      <c r="G171" t="s">
        <v>265</v>
      </c>
      <c r="H171" t="s">
        <v>755</v>
      </c>
      <c r="I171" t="s">
        <v>737</v>
      </c>
      <c r="J171" t="s">
        <v>445</v>
      </c>
      <c r="K171">
        <v>1</v>
      </c>
      <c r="L171">
        <v>90</v>
      </c>
      <c r="M171">
        <v>70</v>
      </c>
      <c r="N171">
        <v>90</v>
      </c>
      <c r="O171">
        <v>20</v>
      </c>
      <c r="P171">
        <v>110</v>
      </c>
      <c r="Q171">
        <v>110</v>
      </c>
      <c r="R171">
        <v>55</v>
      </c>
      <c r="S171">
        <v>82.5</v>
      </c>
      <c r="T171">
        <v>0.91666666666666663</v>
      </c>
      <c r="V171" t="s">
        <v>102</v>
      </c>
      <c r="W171">
        <v>90</v>
      </c>
      <c r="X171">
        <v>13</v>
      </c>
      <c r="Y171">
        <v>13.5</v>
      </c>
      <c r="Z171">
        <v>13.9</v>
      </c>
      <c r="AA171">
        <v>13.46666667</v>
      </c>
      <c r="AB171">
        <v>13.46666667</v>
      </c>
      <c r="AC171">
        <v>16.899999999999999</v>
      </c>
      <c r="AD171">
        <v>11.9</v>
      </c>
      <c r="AE171">
        <v>14.9</v>
      </c>
      <c r="AF171">
        <v>14.56666667</v>
      </c>
      <c r="AG171">
        <v>13</v>
      </c>
      <c r="AH171">
        <v>13.5</v>
      </c>
      <c r="AI171">
        <v>14.4</v>
      </c>
      <c r="AJ171">
        <v>13.633333329999999</v>
      </c>
      <c r="AK171">
        <v>13.9</v>
      </c>
      <c r="AL171">
        <v>16.899999999999999</v>
      </c>
      <c r="AM171">
        <v>11.5</v>
      </c>
      <c r="AN171">
        <v>14.1</v>
      </c>
      <c r="AO171">
        <v>13.633333329999999</v>
      </c>
      <c r="AP171">
        <v>8.5</v>
      </c>
      <c r="AQ171">
        <v>8.1</v>
      </c>
      <c r="AR171">
        <v>6.6</v>
      </c>
      <c r="AS171">
        <v>7.733333333</v>
      </c>
      <c r="AT171">
        <v>6.6</v>
      </c>
      <c r="AU171">
        <v>7.1</v>
      </c>
      <c r="AV171">
        <v>7.1</v>
      </c>
      <c r="AW171">
        <v>6.9333333330000002</v>
      </c>
      <c r="AX171">
        <v>7.733333333</v>
      </c>
      <c r="AY171">
        <v>-5.733333333</v>
      </c>
      <c r="AZ171">
        <v>10</v>
      </c>
      <c r="BA171">
        <v>55</v>
      </c>
      <c r="BB171">
        <v>10</v>
      </c>
      <c r="BC171">
        <v>1</v>
      </c>
      <c r="BD171">
        <v>0</v>
      </c>
      <c r="BE171">
        <v>1</v>
      </c>
      <c r="BF171">
        <v>0</v>
      </c>
      <c r="BG171">
        <v>0</v>
      </c>
      <c r="BI171">
        <v>9.3000000000000007</v>
      </c>
      <c r="BJ171">
        <v>0</v>
      </c>
      <c r="BK171">
        <v>0</v>
      </c>
      <c r="BL171">
        <v>18</v>
      </c>
      <c r="BM171">
        <v>18</v>
      </c>
      <c r="BN171">
        <v>765</v>
      </c>
      <c r="BO171">
        <v>824</v>
      </c>
      <c r="BP171">
        <v>-59</v>
      </c>
      <c r="BQ171">
        <v>618</v>
      </c>
      <c r="BR171">
        <v>147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 t="s">
        <v>114</v>
      </c>
      <c r="BZ171" t="s">
        <v>114</v>
      </c>
      <c r="CA171" t="s">
        <v>114</v>
      </c>
      <c r="CB171" t="s">
        <v>114</v>
      </c>
      <c r="CC171" t="s">
        <v>114</v>
      </c>
      <c r="CD171" t="s">
        <v>114</v>
      </c>
      <c r="CE171">
        <v>0</v>
      </c>
      <c r="CF171" t="s">
        <v>114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 t="s">
        <v>114</v>
      </c>
      <c r="CP171" t="s">
        <v>114</v>
      </c>
      <c r="CQ171" t="s">
        <v>114</v>
      </c>
      <c r="CR171" t="s">
        <v>114</v>
      </c>
      <c r="CS171" t="s">
        <v>114</v>
      </c>
      <c r="CT171" t="s">
        <v>114</v>
      </c>
      <c r="CU171" t="s">
        <v>114</v>
      </c>
      <c r="CV171" t="s">
        <v>114</v>
      </c>
      <c r="CW171">
        <v>0</v>
      </c>
    </row>
    <row r="172" spans="1:101" x14ac:dyDescent="0.25">
      <c r="A172" t="s">
        <v>82</v>
      </c>
      <c r="B172">
        <v>6</v>
      </c>
      <c r="C172" t="s">
        <v>19</v>
      </c>
      <c r="D172" t="s">
        <v>94</v>
      </c>
      <c r="E172" t="s">
        <v>113</v>
      </c>
      <c r="F172" t="s">
        <v>145</v>
      </c>
      <c r="G172" t="s">
        <v>259</v>
      </c>
      <c r="H172" t="s">
        <v>763</v>
      </c>
      <c r="I172" t="s">
        <v>735</v>
      </c>
      <c r="J172" t="s">
        <v>446</v>
      </c>
      <c r="K172">
        <v>7</v>
      </c>
      <c r="L172">
        <v>90</v>
      </c>
      <c r="M172">
        <v>40</v>
      </c>
      <c r="N172">
        <v>90</v>
      </c>
      <c r="O172">
        <v>50</v>
      </c>
      <c r="P172">
        <v>3</v>
      </c>
      <c r="Q172">
        <v>4</v>
      </c>
      <c r="R172">
        <v>2</v>
      </c>
      <c r="S172">
        <v>3</v>
      </c>
      <c r="T172">
        <v>3.3333333333333333E-2</v>
      </c>
      <c r="V172" t="s">
        <v>113</v>
      </c>
      <c r="W172">
        <v>120</v>
      </c>
      <c r="X172">
        <v>13</v>
      </c>
      <c r="Y172">
        <v>13.5</v>
      </c>
      <c r="Z172">
        <v>13.9</v>
      </c>
      <c r="AA172">
        <v>13.46666667</v>
      </c>
      <c r="AB172">
        <v>13.46666667</v>
      </c>
      <c r="AC172">
        <v>11.5</v>
      </c>
      <c r="AD172">
        <v>15.4</v>
      </c>
      <c r="AE172">
        <v>14.9</v>
      </c>
      <c r="AF172">
        <v>13.93333333</v>
      </c>
      <c r="AG172">
        <v>13</v>
      </c>
      <c r="AH172">
        <v>13.5</v>
      </c>
      <c r="AI172">
        <v>14.4</v>
      </c>
      <c r="AJ172">
        <v>13.633333329999999</v>
      </c>
      <c r="AK172">
        <v>11.5</v>
      </c>
      <c r="AL172">
        <v>12</v>
      </c>
      <c r="AM172">
        <v>13</v>
      </c>
      <c r="AN172">
        <v>12.16666667</v>
      </c>
      <c r="AO172">
        <v>13.633333329999999</v>
      </c>
      <c r="AP172">
        <v>8.5</v>
      </c>
      <c r="AQ172">
        <v>8.1</v>
      </c>
      <c r="AR172">
        <v>6.6</v>
      </c>
      <c r="AS172">
        <v>7.733333333</v>
      </c>
      <c r="AT172">
        <v>4.5999999999999996</v>
      </c>
      <c r="AU172">
        <v>5.0999999999999996</v>
      </c>
      <c r="AV172">
        <v>6.6</v>
      </c>
      <c r="AW172">
        <v>5.4333333330000002</v>
      </c>
      <c r="AX172">
        <v>7.733333333</v>
      </c>
      <c r="AY172">
        <v>-5.733333333</v>
      </c>
      <c r="AZ172">
        <v>10</v>
      </c>
      <c r="BA172">
        <v>55</v>
      </c>
      <c r="BB172">
        <v>10</v>
      </c>
      <c r="BC172">
        <v>1</v>
      </c>
      <c r="BD172">
        <v>0</v>
      </c>
      <c r="BE172">
        <v>1</v>
      </c>
      <c r="BF172">
        <v>0</v>
      </c>
      <c r="BG172">
        <v>0</v>
      </c>
      <c r="BI172">
        <v>9.3000000000000007</v>
      </c>
      <c r="BJ172">
        <v>0</v>
      </c>
      <c r="BK172">
        <v>0</v>
      </c>
      <c r="BL172">
        <v>4</v>
      </c>
      <c r="BM172">
        <v>1</v>
      </c>
      <c r="BN172">
        <v>0</v>
      </c>
      <c r="BO172">
        <v>2</v>
      </c>
      <c r="BP172">
        <v>-2</v>
      </c>
      <c r="BQ172">
        <v>3</v>
      </c>
      <c r="BR172">
        <v>-3</v>
      </c>
      <c r="BS172">
        <v>15.9526515225</v>
      </c>
      <c r="BT172">
        <v>1.62524759975</v>
      </c>
      <c r="BU172">
        <v>4.9933342674999999</v>
      </c>
      <c r="BV172">
        <v>-15.9526515225</v>
      </c>
      <c r="BW172">
        <v>-1.18872489725</v>
      </c>
      <c r="BX172">
        <v>-4.9933342674999999</v>
      </c>
      <c r="BY172">
        <v>156.73075933706301</v>
      </c>
      <c r="BZ172">
        <v>7.2019359324451804</v>
      </c>
      <c r="CA172">
        <v>13.5266360718248</v>
      </c>
      <c r="CB172">
        <v>156.73075933706301</v>
      </c>
      <c r="CC172">
        <v>8.83975310464667</v>
      </c>
      <c r="CD172">
        <v>13.5266360718248</v>
      </c>
      <c r="CE172" t="s">
        <v>114</v>
      </c>
      <c r="CF172" t="s">
        <v>114</v>
      </c>
      <c r="CG172" t="s">
        <v>114</v>
      </c>
      <c r="CH172">
        <v>9.1158008699999993</v>
      </c>
      <c r="CI172">
        <v>0.92871291414285695</v>
      </c>
      <c r="CJ172">
        <v>2.8533338671428599</v>
      </c>
      <c r="CK172" t="s">
        <v>114</v>
      </c>
      <c r="CL172">
        <v>-9.1158008699999993</v>
      </c>
      <c r="CM172">
        <v>-0.67927136985714298</v>
      </c>
      <c r="CN172">
        <v>-2.8533338671428599</v>
      </c>
      <c r="CO172" t="s">
        <v>114</v>
      </c>
      <c r="CP172">
        <v>151.07597698233701</v>
      </c>
      <c r="CQ172">
        <v>4.3556621835063396</v>
      </c>
      <c r="CR172">
        <v>13.887142923623699</v>
      </c>
      <c r="CS172" t="s">
        <v>114</v>
      </c>
      <c r="CT172">
        <v>151.07597698233701</v>
      </c>
      <c r="CU172">
        <v>4.8236099469924802</v>
      </c>
      <c r="CV172">
        <v>13.887142923623699</v>
      </c>
      <c r="CW172" t="s">
        <v>114</v>
      </c>
    </row>
    <row r="173" spans="1:101" x14ac:dyDescent="0.25">
      <c r="A173" t="s">
        <v>82</v>
      </c>
      <c r="B173">
        <v>6</v>
      </c>
      <c r="C173" t="s">
        <v>19</v>
      </c>
      <c r="D173" t="s">
        <v>94</v>
      </c>
      <c r="E173" t="s">
        <v>104</v>
      </c>
      <c r="F173" t="s">
        <v>145</v>
      </c>
      <c r="G173" t="s">
        <v>264</v>
      </c>
      <c r="H173" t="s">
        <v>779</v>
      </c>
      <c r="I173" t="s">
        <v>738</v>
      </c>
      <c r="J173" t="s">
        <v>447</v>
      </c>
      <c r="K173">
        <v>3</v>
      </c>
      <c r="L173">
        <v>50</v>
      </c>
      <c r="M173">
        <v>80</v>
      </c>
      <c r="N173">
        <v>50</v>
      </c>
      <c r="O173">
        <v>-30</v>
      </c>
      <c r="P173">
        <v>16</v>
      </c>
      <c r="Q173">
        <v>10</v>
      </c>
      <c r="R173">
        <v>10</v>
      </c>
      <c r="S173">
        <v>10</v>
      </c>
      <c r="T173">
        <v>0.2</v>
      </c>
      <c r="V173" t="s">
        <v>113</v>
      </c>
      <c r="W173">
        <v>20</v>
      </c>
      <c r="X173">
        <v>13</v>
      </c>
      <c r="Y173">
        <v>13.5</v>
      </c>
      <c r="Z173">
        <v>13.9</v>
      </c>
      <c r="AA173">
        <v>13.46666667</v>
      </c>
      <c r="AB173">
        <v>13.46666667</v>
      </c>
      <c r="AC173">
        <v>10</v>
      </c>
      <c r="AD173">
        <v>11.5</v>
      </c>
      <c r="AE173">
        <v>13.5</v>
      </c>
      <c r="AF173">
        <v>11.66666667</v>
      </c>
      <c r="AG173">
        <v>13</v>
      </c>
      <c r="AH173">
        <v>13.5</v>
      </c>
      <c r="AI173">
        <v>14.4</v>
      </c>
      <c r="AJ173">
        <v>13.633333329999999</v>
      </c>
      <c r="AK173">
        <v>13</v>
      </c>
      <c r="AL173">
        <v>9</v>
      </c>
      <c r="AM173">
        <v>13</v>
      </c>
      <c r="AN173">
        <v>11.66666667</v>
      </c>
      <c r="AO173">
        <v>13.633333329999999</v>
      </c>
      <c r="AP173">
        <v>8.5</v>
      </c>
      <c r="AQ173">
        <v>8.1</v>
      </c>
      <c r="AR173">
        <v>6.6</v>
      </c>
      <c r="AS173">
        <v>7.733333333</v>
      </c>
      <c r="AT173">
        <v>3.1</v>
      </c>
      <c r="AU173">
        <v>5.0999999999999996</v>
      </c>
      <c r="AV173">
        <v>6.1</v>
      </c>
      <c r="AW173">
        <v>4.766666667</v>
      </c>
      <c r="AX173">
        <v>7.733333333</v>
      </c>
      <c r="AY173">
        <v>-5.733333333</v>
      </c>
      <c r="AZ173">
        <v>10</v>
      </c>
      <c r="BA173">
        <v>55</v>
      </c>
      <c r="BB173">
        <v>10</v>
      </c>
      <c r="BC173">
        <v>1</v>
      </c>
      <c r="BD173">
        <v>0</v>
      </c>
      <c r="BE173">
        <v>1</v>
      </c>
      <c r="BF173">
        <v>0</v>
      </c>
      <c r="BG173">
        <v>0</v>
      </c>
      <c r="BI173">
        <v>9.3000000000000007</v>
      </c>
      <c r="BJ173">
        <v>0</v>
      </c>
      <c r="BK173">
        <v>0</v>
      </c>
      <c r="BL173">
        <v>3</v>
      </c>
      <c r="BM173">
        <v>3</v>
      </c>
      <c r="BN173">
        <v>18</v>
      </c>
      <c r="BO173">
        <v>48</v>
      </c>
      <c r="BP173">
        <v>-30</v>
      </c>
      <c r="BQ173">
        <v>48</v>
      </c>
      <c r="BR173">
        <v>-30</v>
      </c>
      <c r="BS173">
        <v>30.179924239999998</v>
      </c>
      <c r="BT173">
        <v>1.69746</v>
      </c>
      <c r="BU173">
        <v>10.76552768</v>
      </c>
      <c r="BV173">
        <v>30.179924239999998</v>
      </c>
      <c r="BW173">
        <v>1.69746</v>
      </c>
      <c r="BX173">
        <v>10.76552768</v>
      </c>
      <c r="BY173" t="s">
        <v>114</v>
      </c>
      <c r="BZ173" t="s">
        <v>114</v>
      </c>
      <c r="CA173" t="s">
        <v>114</v>
      </c>
      <c r="CB173" t="s">
        <v>114</v>
      </c>
      <c r="CC173" t="s">
        <v>114</v>
      </c>
      <c r="CD173" t="s">
        <v>114</v>
      </c>
      <c r="CE173">
        <v>0.1939082</v>
      </c>
      <c r="CF173" t="s">
        <v>114</v>
      </c>
      <c r="CG173">
        <v>0.1939082</v>
      </c>
      <c r="CH173">
        <v>30.179924239999998</v>
      </c>
      <c r="CI173">
        <v>1.69746</v>
      </c>
      <c r="CJ173">
        <v>10.76552768</v>
      </c>
      <c r="CK173">
        <v>0.1939082</v>
      </c>
      <c r="CL173">
        <v>30.179924239999998</v>
      </c>
      <c r="CM173">
        <v>1.69746</v>
      </c>
      <c r="CN173">
        <v>10.76552768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0.1939082</v>
      </c>
    </row>
    <row r="174" spans="1:101" x14ac:dyDescent="0.25">
      <c r="A174" t="s">
        <v>83</v>
      </c>
      <c r="B174">
        <v>6</v>
      </c>
      <c r="C174" t="s">
        <v>21</v>
      </c>
      <c r="D174" t="s">
        <v>94</v>
      </c>
      <c r="E174" t="s">
        <v>102</v>
      </c>
      <c r="F174" t="s">
        <v>145</v>
      </c>
      <c r="G174" t="s">
        <v>265</v>
      </c>
      <c r="H174" t="s">
        <v>755</v>
      </c>
      <c r="I174" t="s">
        <v>737</v>
      </c>
      <c r="J174" t="s">
        <v>448</v>
      </c>
      <c r="K174">
        <v>0</v>
      </c>
      <c r="L174">
        <v>180</v>
      </c>
      <c r="M174">
        <v>150</v>
      </c>
      <c r="N174">
        <v>180</v>
      </c>
      <c r="O174">
        <v>30</v>
      </c>
      <c r="P174">
        <v>180</v>
      </c>
      <c r="Q174">
        <v>160</v>
      </c>
      <c r="R174">
        <v>110</v>
      </c>
      <c r="S174">
        <v>135</v>
      </c>
      <c r="T174">
        <v>0.75</v>
      </c>
      <c r="V174" t="s">
        <v>121</v>
      </c>
      <c r="W174" t="s">
        <v>114</v>
      </c>
      <c r="X174">
        <v>9</v>
      </c>
      <c r="Y174">
        <v>9.5</v>
      </c>
      <c r="Z174">
        <v>13.5</v>
      </c>
      <c r="AA174">
        <v>10.66666667</v>
      </c>
      <c r="AB174">
        <v>10.66666667</v>
      </c>
      <c r="AC174">
        <v>12.5</v>
      </c>
      <c r="AD174">
        <v>12.5</v>
      </c>
      <c r="AE174">
        <v>13</v>
      </c>
      <c r="AF174">
        <v>12.66666667</v>
      </c>
      <c r="AG174">
        <v>11</v>
      </c>
      <c r="AH174">
        <v>11.5</v>
      </c>
      <c r="AI174">
        <v>11.5</v>
      </c>
      <c r="AJ174">
        <v>11.33333333</v>
      </c>
      <c r="AK174">
        <v>10.5</v>
      </c>
      <c r="AL174">
        <v>13.5</v>
      </c>
      <c r="AM174">
        <v>13.5</v>
      </c>
      <c r="AN174">
        <v>12.5</v>
      </c>
      <c r="AO174">
        <v>11.33333333</v>
      </c>
      <c r="AP174">
        <v>5.6</v>
      </c>
      <c r="AQ174">
        <v>5.0999999999999996</v>
      </c>
      <c r="AR174">
        <v>4.5999999999999996</v>
      </c>
      <c r="AS174">
        <v>5.0999999999999996</v>
      </c>
      <c r="AT174">
        <v>6.6</v>
      </c>
      <c r="AU174">
        <v>6.1</v>
      </c>
      <c r="AV174">
        <v>6.6</v>
      </c>
      <c r="AW174">
        <v>6.4333333330000002</v>
      </c>
      <c r="AX174">
        <v>5.0999999999999996</v>
      </c>
      <c r="AY174">
        <v>-5.5666666669999998</v>
      </c>
      <c r="AZ174">
        <v>40</v>
      </c>
      <c r="BA174">
        <v>3</v>
      </c>
      <c r="BB174">
        <v>2</v>
      </c>
      <c r="BC174">
        <v>2</v>
      </c>
      <c r="BD174">
        <v>0</v>
      </c>
      <c r="BE174">
        <v>0</v>
      </c>
      <c r="BF174">
        <v>0</v>
      </c>
      <c r="BG174">
        <v>0</v>
      </c>
      <c r="BI174">
        <v>13.3</v>
      </c>
      <c r="BJ174">
        <v>8.8239999999999998</v>
      </c>
      <c r="BK174">
        <v>0</v>
      </c>
      <c r="BL174">
        <v>28</v>
      </c>
      <c r="BM174">
        <v>28</v>
      </c>
      <c r="BN174">
        <v>820</v>
      </c>
      <c r="BO174">
        <v>824</v>
      </c>
      <c r="BP174">
        <v>-4</v>
      </c>
      <c r="BQ174">
        <v>1030</v>
      </c>
      <c r="BR174">
        <v>-210</v>
      </c>
      <c r="BS174" t="s">
        <v>114</v>
      </c>
      <c r="BT174" t="s">
        <v>114</v>
      </c>
      <c r="BU174" t="s">
        <v>114</v>
      </c>
      <c r="BV174" t="s">
        <v>114</v>
      </c>
      <c r="BW174" t="s">
        <v>114</v>
      </c>
      <c r="BX174" t="s">
        <v>114</v>
      </c>
      <c r="BY174" t="s">
        <v>114</v>
      </c>
      <c r="BZ174" t="s">
        <v>114</v>
      </c>
      <c r="CA174" t="s">
        <v>114</v>
      </c>
      <c r="CB174" t="s">
        <v>114</v>
      </c>
      <c r="CC174" t="s">
        <v>114</v>
      </c>
      <c r="CD174" t="s">
        <v>114</v>
      </c>
      <c r="CE174" t="s">
        <v>114</v>
      </c>
      <c r="CF174" t="s">
        <v>114</v>
      </c>
      <c r="CG174" t="s">
        <v>114</v>
      </c>
      <c r="CH174" t="s">
        <v>114</v>
      </c>
      <c r="CI174" t="s">
        <v>114</v>
      </c>
      <c r="CJ174" t="s">
        <v>114</v>
      </c>
      <c r="CK174" t="s">
        <v>114</v>
      </c>
      <c r="CL174" t="s">
        <v>114</v>
      </c>
      <c r="CM174" t="s">
        <v>114</v>
      </c>
      <c r="CN174" t="s">
        <v>114</v>
      </c>
      <c r="CO174" t="s">
        <v>114</v>
      </c>
      <c r="CP174" t="s">
        <v>114</v>
      </c>
      <c r="CQ174" t="s">
        <v>114</v>
      </c>
      <c r="CR174" t="s">
        <v>114</v>
      </c>
      <c r="CS174" t="s">
        <v>114</v>
      </c>
      <c r="CT174" t="s">
        <v>114</v>
      </c>
      <c r="CU174" t="s">
        <v>114</v>
      </c>
      <c r="CV174" t="s">
        <v>114</v>
      </c>
      <c r="CW174" t="s">
        <v>114</v>
      </c>
    </row>
    <row r="175" spans="1:101" x14ac:dyDescent="0.25">
      <c r="A175" t="s">
        <v>83</v>
      </c>
      <c r="B175">
        <v>6</v>
      </c>
      <c r="C175" t="s">
        <v>21</v>
      </c>
      <c r="D175" t="s">
        <v>94</v>
      </c>
      <c r="E175" t="s">
        <v>103</v>
      </c>
      <c r="F175" t="s">
        <v>145</v>
      </c>
      <c r="G175" t="s">
        <v>260</v>
      </c>
      <c r="H175" t="s">
        <v>771</v>
      </c>
      <c r="I175" t="s">
        <v>736</v>
      </c>
      <c r="J175" t="s">
        <v>449</v>
      </c>
      <c r="K175">
        <v>4</v>
      </c>
      <c r="L175">
        <v>60</v>
      </c>
      <c r="M175">
        <v>40</v>
      </c>
      <c r="N175">
        <v>60</v>
      </c>
      <c r="O175">
        <v>20</v>
      </c>
      <c r="P175">
        <v>30</v>
      </c>
      <c r="Q175">
        <v>55</v>
      </c>
      <c r="R175">
        <v>30</v>
      </c>
      <c r="S175">
        <v>42.5</v>
      </c>
      <c r="T175">
        <v>0.70833333333333337</v>
      </c>
      <c r="V175" t="s">
        <v>103</v>
      </c>
      <c r="W175" t="s">
        <v>114</v>
      </c>
      <c r="X175">
        <v>9</v>
      </c>
      <c r="Y175">
        <v>9.5</v>
      </c>
      <c r="Z175">
        <v>13.5</v>
      </c>
      <c r="AA175">
        <v>10.66666667</v>
      </c>
      <c r="AB175">
        <v>10.66666667</v>
      </c>
      <c r="AC175">
        <v>10</v>
      </c>
      <c r="AD175">
        <v>8.5</v>
      </c>
      <c r="AE175">
        <v>9.5</v>
      </c>
      <c r="AF175">
        <v>9.3333333330000006</v>
      </c>
      <c r="AG175">
        <v>11</v>
      </c>
      <c r="AH175">
        <v>11.5</v>
      </c>
      <c r="AI175">
        <v>11.5</v>
      </c>
      <c r="AJ175">
        <v>11.33333333</v>
      </c>
      <c r="AK175">
        <v>8.5</v>
      </c>
      <c r="AL175">
        <v>8.5</v>
      </c>
      <c r="AM175">
        <v>10.5</v>
      </c>
      <c r="AN175">
        <v>9.1666666669999994</v>
      </c>
      <c r="AO175">
        <v>11.33333333</v>
      </c>
      <c r="AP175">
        <v>5.6</v>
      </c>
      <c r="AQ175">
        <v>5.0999999999999996</v>
      </c>
      <c r="AR175">
        <v>4.5999999999999996</v>
      </c>
      <c r="AS175">
        <v>5.0999999999999996</v>
      </c>
      <c r="AT175">
        <v>4.5999999999999996</v>
      </c>
      <c r="AU175">
        <v>4.0999999999999996</v>
      </c>
      <c r="AV175">
        <v>5.6</v>
      </c>
      <c r="AW175">
        <v>4.766666667</v>
      </c>
      <c r="AX175">
        <v>5.0999999999999996</v>
      </c>
      <c r="AY175">
        <v>-5.5666666669999998</v>
      </c>
      <c r="AZ175">
        <v>40</v>
      </c>
      <c r="BA175">
        <v>3</v>
      </c>
      <c r="BB175">
        <v>2</v>
      </c>
      <c r="BC175">
        <v>2</v>
      </c>
      <c r="BD175">
        <v>0</v>
      </c>
      <c r="BE175">
        <v>0</v>
      </c>
      <c r="BF175">
        <v>0</v>
      </c>
      <c r="BG175">
        <v>0</v>
      </c>
      <c r="BI175">
        <v>13.3</v>
      </c>
      <c r="BJ175">
        <v>8.8239999999999998</v>
      </c>
      <c r="BK175">
        <v>0</v>
      </c>
      <c r="BL175">
        <v>6</v>
      </c>
      <c r="BM175">
        <v>4</v>
      </c>
      <c r="BN175">
        <v>124</v>
      </c>
      <c r="BO175">
        <v>828</v>
      </c>
      <c r="BP175">
        <v>-704</v>
      </c>
      <c r="BQ175">
        <v>1383</v>
      </c>
      <c r="BR175">
        <v>-1259</v>
      </c>
      <c r="BS175">
        <v>8.0404040533333294</v>
      </c>
      <c r="BT175">
        <v>0.52235600566666696</v>
      </c>
      <c r="BU175">
        <v>1.30521314</v>
      </c>
      <c r="BV175">
        <v>-8.0404040533333294</v>
      </c>
      <c r="BW175">
        <v>-0.52235600566666696</v>
      </c>
      <c r="BX175">
        <v>1.06833359333333</v>
      </c>
      <c r="BY175">
        <v>146.451077721037</v>
      </c>
      <c r="BZ175">
        <v>0.21042354775771399</v>
      </c>
      <c r="CA175">
        <v>3.8456935055716501</v>
      </c>
      <c r="CB175">
        <v>146.451077721037</v>
      </c>
      <c r="CC175">
        <v>0.21042354775771399</v>
      </c>
      <c r="CD175">
        <v>4.6890605168478698</v>
      </c>
      <c r="CE175" t="s">
        <v>114</v>
      </c>
      <c r="CF175" t="s">
        <v>114</v>
      </c>
      <c r="CG175" t="s">
        <v>114</v>
      </c>
      <c r="CH175">
        <v>6.0303030399999997</v>
      </c>
      <c r="CI175">
        <v>0.39176700424999999</v>
      </c>
      <c r="CJ175">
        <v>0.97890985500000005</v>
      </c>
      <c r="CK175" t="s">
        <v>114</v>
      </c>
      <c r="CL175">
        <v>-6.0303030399999997</v>
      </c>
      <c r="CM175">
        <v>-0.39176700424999999</v>
      </c>
      <c r="CN175">
        <v>0.80125019500000005</v>
      </c>
      <c r="CO175" t="s">
        <v>114</v>
      </c>
      <c r="CP175">
        <v>113.796076149239</v>
      </c>
      <c r="CQ175">
        <v>0.208496314335818</v>
      </c>
      <c r="CR175">
        <v>2.9896910055882602</v>
      </c>
      <c r="CS175" t="s">
        <v>114</v>
      </c>
      <c r="CT175">
        <v>113.796076149239</v>
      </c>
      <c r="CU175">
        <v>0.208496314335818</v>
      </c>
      <c r="CV175">
        <v>3.41137451122637</v>
      </c>
      <c r="CW175" t="s">
        <v>114</v>
      </c>
    </row>
    <row r="176" spans="1:101" x14ac:dyDescent="0.25">
      <c r="A176" t="s">
        <v>83</v>
      </c>
      <c r="B176">
        <v>6</v>
      </c>
      <c r="C176" t="s">
        <v>21</v>
      </c>
      <c r="D176" t="s">
        <v>94</v>
      </c>
      <c r="E176" t="s">
        <v>111</v>
      </c>
      <c r="F176" t="s">
        <v>145</v>
      </c>
      <c r="G176" t="s">
        <v>263</v>
      </c>
      <c r="H176" t="s">
        <v>775</v>
      </c>
      <c r="I176" t="s">
        <v>739</v>
      </c>
      <c r="J176" t="s">
        <v>450</v>
      </c>
      <c r="K176">
        <v>0</v>
      </c>
      <c r="L176">
        <v>150</v>
      </c>
      <c r="M176">
        <v>220</v>
      </c>
      <c r="N176">
        <v>150</v>
      </c>
      <c r="O176">
        <v>-70</v>
      </c>
      <c r="P176">
        <v>60</v>
      </c>
      <c r="Q176">
        <v>140</v>
      </c>
      <c r="R176">
        <v>50</v>
      </c>
      <c r="S176">
        <v>95</v>
      </c>
      <c r="T176">
        <v>0.6333333333333333</v>
      </c>
      <c r="V176" t="s">
        <v>121</v>
      </c>
      <c r="W176" t="s">
        <v>114</v>
      </c>
      <c r="X176">
        <v>9</v>
      </c>
      <c r="Y176">
        <v>9.5</v>
      </c>
      <c r="Z176">
        <v>13.5</v>
      </c>
      <c r="AA176">
        <v>10.66666667</v>
      </c>
      <c r="AB176">
        <v>10.66666667</v>
      </c>
      <c r="AC176">
        <v>9.5</v>
      </c>
      <c r="AD176">
        <v>10.5</v>
      </c>
      <c r="AE176">
        <v>11</v>
      </c>
      <c r="AF176">
        <v>10.33333333</v>
      </c>
      <c r="AG176">
        <v>11</v>
      </c>
      <c r="AH176">
        <v>11.5</v>
      </c>
      <c r="AI176">
        <v>11.5</v>
      </c>
      <c r="AJ176">
        <v>11.33333333</v>
      </c>
      <c r="AK176">
        <v>8.5</v>
      </c>
      <c r="AL176">
        <v>8.5</v>
      </c>
      <c r="AM176">
        <v>11.5</v>
      </c>
      <c r="AN176">
        <v>9.5</v>
      </c>
      <c r="AO176">
        <v>11.33333333</v>
      </c>
      <c r="AP176">
        <v>5.6</v>
      </c>
      <c r="AQ176">
        <v>5.0999999999999996</v>
      </c>
      <c r="AR176">
        <v>4.5999999999999996</v>
      </c>
      <c r="AS176">
        <v>5.0999999999999996</v>
      </c>
      <c r="AT176">
        <v>5.0999999999999996</v>
      </c>
      <c r="AU176">
        <v>5.0999999999999996</v>
      </c>
      <c r="AV176">
        <v>5.0999999999999996</v>
      </c>
      <c r="AW176">
        <v>5.0999999999999996</v>
      </c>
      <c r="AX176">
        <v>5.0999999999999996</v>
      </c>
      <c r="AY176">
        <v>-5.5666666669999998</v>
      </c>
      <c r="AZ176">
        <v>40</v>
      </c>
      <c r="BA176">
        <v>3</v>
      </c>
      <c r="BB176">
        <v>2</v>
      </c>
      <c r="BC176">
        <v>2</v>
      </c>
      <c r="BD176">
        <v>0</v>
      </c>
      <c r="BE176">
        <v>0</v>
      </c>
      <c r="BF176">
        <v>0</v>
      </c>
      <c r="BG176">
        <v>0</v>
      </c>
      <c r="BI176">
        <v>13.3</v>
      </c>
      <c r="BJ176">
        <v>8.8239999999999998</v>
      </c>
      <c r="BK176">
        <v>0</v>
      </c>
      <c r="BL176">
        <v>49</v>
      </c>
      <c r="BM176">
        <v>44</v>
      </c>
      <c r="BN176">
        <v>4268</v>
      </c>
      <c r="BO176">
        <v>4600</v>
      </c>
      <c r="BP176">
        <v>-332</v>
      </c>
      <c r="BQ176">
        <v>4758</v>
      </c>
      <c r="BR176">
        <v>-490</v>
      </c>
      <c r="BS176" t="s">
        <v>114</v>
      </c>
      <c r="BT176" t="s">
        <v>114</v>
      </c>
      <c r="BU176" t="s">
        <v>114</v>
      </c>
      <c r="BV176" t="s">
        <v>114</v>
      </c>
      <c r="BW176" t="s">
        <v>114</v>
      </c>
      <c r="BX176" t="s">
        <v>114</v>
      </c>
      <c r="BY176" t="s">
        <v>114</v>
      </c>
      <c r="BZ176" t="s">
        <v>114</v>
      </c>
      <c r="CA176" t="s">
        <v>114</v>
      </c>
      <c r="CB176" t="s">
        <v>114</v>
      </c>
      <c r="CC176" t="s">
        <v>114</v>
      </c>
      <c r="CD176" t="s">
        <v>114</v>
      </c>
      <c r="CE176" t="s">
        <v>114</v>
      </c>
      <c r="CF176" t="s">
        <v>114</v>
      </c>
      <c r="CG176" t="s">
        <v>114</v>
      </c>
      <c r="CH176" t="s">
        <v>114</v>
      </c>
      <c r="CI176" t="s">
        <v>114</v>
      </c>
      <c r="CJ176" t="s">
        <v>114</v>
      </c>
      <c r="CK176" t="s">
        <v>114</v>
      </c>
      <c r="CL176" t="s">
        <v>114</v>
      </c>
      <c r="CM176" t="s">
        <v>114</v>
      </c>
      <c r="CN176" t="s">
        <v>114</v>
      </c>
      <c r="CO176" t="s">
        <v>114</v>
      </c>
      <c r="CP176" t="s">
        <v>114</v>
      </c>
      <c r="CQ176" t="s">
        <v>114</v>
      </c>
      <c r="CR176" t="s">
        <v>114</v>
      </c>
      <c r="CS176" t="s">
        <v>114</v>
      </c>
      <c r="CT176" t="s">
        <v>114</v>
      </c>
      <c r="CU176" t="s">
        <v>114</v>
      </c>
      <c r="CV176" t="s">
        <v>114</v>
      </c>
      <c r="CW176" t="s">
        <v>114</v>
      </c>
    </row>
    <row r="177" spans="1:101" x14ac:dyDescent="0.25">
      <c r="A177" t="s">
        <v>84</v>
      </c>
      <c r="B177">
        <v>6</v>
      </c>
      <c r="C177" t="s">
        <v>23</v>
      </c>
      <c r="D177" t="s">
        <v>95</v>
      </c>
      <c r="E177" t="s">
        <v>102</v>
      </c>
      <c r="F177" t="s">
        <v>145</v>
      </c>
      <c r="G177" t="s">
        <v>265</v>
      </c>
      <c r="H177" t="s">
        <v>756</v>
      </c>
      <c r="I177" t="s">
        <v>740</v>
      </c>
      <c r="J177" t="s">
        <v>451</v>
      </c>
      <c r="K177">
        <v>10</v>
      </c>
      <c r="L177">
        <v>120</v>
      </c>
      <c r="M177">
        <v>200</v>
      </c>
      <c r="N177">
        <v>120</v>
      </c>
      <c r="O177">
        <v>-80</v>
      </c>
      <c r="P177">
        <v>65</v>
      </c>
      <c r="Q177">
        <v>60</v>
      </c>
      <c r="R177">
        <v>30</v>
      </c>
      <c r="S177">
        <v>45</v>
      </c>
      <c r="T177">
        <v>0.375</v>
      </c>
      <c r="V177" t="s">
        <v>121</v>
      </c>
      <c r="W177" t="s">
        <v>114</v>
      </c>
      <c r="X177">
        <v>15.4</v>
      </c>
      <c r="Y177">
        <v>15.9</v>
      </c>
      <c r="Z177">
        <v>13</v>
      </c>
      <c r="AA177">
        <v>14.766666669999999</v>
      </c>
      <c r="AB177">
        <v>14.766666669999999</v>
      </c>
      <c r="AC177">
        <v>11</v>
      </c>
      <c r="AD177">
        <v>11.5</v>
      </c>
      <c r="AE177">
        <v>13.9</v>
      </c>
      <c r="AF177">
        <v>12.133333329999999</v>
      </c>
      <c r="AG177">
        <v>11.5</v>
      </c>
      <c r="AH177">
        <v>13</v>
      </c>
      <c r="AI177">
        <v>11.5</v>
      </c>
      <c r="AJ177">
        <v>12</v>
      </c>
      <c r="AK177">
        <v>10.5</v>
      </c>
      <c r="AL177">
        <v>13</v>
      </c>
      <c r="AM177">
        <v>13.9</v>
      </c>
      <c r="AN177">
        <v>12.46666667</v>
      </c>
      <c r="AO177">
        <v>12</v>
      </c>
      <c r="AP177">
        <v>5.6</v>
      </c>
      <c r="AQ177">
        <v>5.6</v>
      </c>
      <c r="AR177">
        <v>8.5</v>
      </c>
      <c r="AS177">
        <v>6.5666666669999998</v>
      </c>
      <c r="AT177">
        <v>5.6</v>
      </c>
      <c r="AU177">
        <v>4.0999999999999996</v>
      </c>
      <c r="AV177">
        <v>6.1</v>
      </c>
      <c r="AW177">
        <v>5.266666667</v>
      </c>
      <c r="AX177">
        <v>6.5666666669999998</v>
      </c>
      <c r="AY177">
        <v>-8.1999999999999993</v>
      </c>
      <c r="AZ177">
        <v>5</v>
      </c>
      <c r="BA177">
        <v>15</v>
      </c>
      <c r="BB177">
        <v>0</v>
      </c>
      <c r="BC177">
        <v>25</v>
      </c>
      <c r="BD177">
        <v>0</v>
      </c>
      <c r="BE177">
        <v>1</v>
      </c>
      <c r="BF177">
        <v>0</v>
      </c>
      <c r="BG177">
        <v>0</v>
      </c>
      <c r="BI177">
        <v>14.2</v>
      </c>
      <c r="BJ177">
        <v>58.783000000000001</v>
      </c>
      <c r="BK177">
        <v>0</v>
      </c>
      <c r="BL177">
        <v>28</v>
      </c>
      <c r="BM177">
        <v>27</v>
      </c>
      <c r="BN177">
        <v>1534</v>
      </c>
      <c r="BO177">
        <v>567</v>
      </c>
      <c r="BP177">
        <v>967</v>
      </c>
      <c r="BQ177">
        <v>772</v>
      </c>
      <c r="BR177">
        <v>762</v>
      </c>
      <c r="BS177" t="s">
        <v>114</v>
      </c>
      <c r="BT177" t="s">
        <v>114</v>
      </c>
      <c r="BU177" t="s">
        <v>114</v>
      </c>
      <c r="BV177" t="s">
        <v>114</v>
      </c>
      <c r="BW177" t="s">
        <v>114</v>
      </c>
      <c r="BX177" t="s">
        <v>114</v>
      </c>
      <c r="BY177" t="s">
        <v>114</v>
      </c>
      <c r="BZ177" t="s">
        <v>114</v>
      </c>
      <c r="CA177" t="s">
        <v>114</v>
      </c>
      <c r="CB177" t="s">
        <v>114</v>
      </c>
      <c r="CC177" t="s">
        <v>114</v>
      </c>
      <c r="CD177" t="s">
        <v>114</v>
      </c>
      <c r="CE177" t="s">
        <v>114</v>
      </c>
      <c r="CF177" t="s">
        <v>114</v>
      </c>
      <c r="CG177" t="s">
        <v>114</v>
      </c>
      <c r="CH177" t="s">
        <v>114</v>
      </c>
      <c r="CI177" t="s">
        <v>114</v>
      </c>
      <c r="CJ177" t="s">
        <v>114</v>
      </c>
      <c r="CK177" t="s">
        <v>114</v>
      </c>
      <c r="CL177" t="s">
        <v>114</v>
      </c>
      <c r="CM177" t="s">
        <v>114</v>
      </c>
      <c r="CN177" t="s">
        <v>114</v>
      </c>
      <c r="CO177" t="s">
        <v>114</v>
      </c>
      <c r="CP177" t="s">
        <v>114</v>
      </c>
      <c r="CQ177" t="s">
        <v>114</v>
      </c>
      <c r="CR177" t="s">
        <v>114</v>
      </c>
      <c r="CS177" t="s">
        <v>114</v>
      </c>
      <c r="CT177" t="s">
        <v>114</v>
      </c>
      <c r="CU177" t="s">
        <v>114</v>
      </c>
      <c r="CV177" t="s">
        <v>114</v>
      </c>
      <c r="CW177" t="s">
        <v>114</v>
      </c>
    </row>
    <row r="178" spans="1:101" x14ac:dyDescent="0.25">
      <c r="A178" t="s">
        <v>84</v>
      </c>
      <c r="B178">
        <v>6</v>
      </c>
      <c r="C178" t="s">
        <v>23</v>
      </c>
      <c r="D178" t="s">
        <v>95</v>
      </c>
      <c r="E178" t="s">
        <v>105</v>
      </c>
      <c r="F178" t="s">
        <v>145</v>
      </c>
      <c r="G178" t="s">
        <v>266</v>
      </c>
      <c r="H178" t="s">
        <v>760</v>
      </c>
      <c r="I178" t="s">
        <v>733</v>
      </c>
      <c r="J178" t="s">
        <v>452</v>
      </c>
      <c r="K178" t="s">
        <v>114</v>
      </c>
      <c r="L178">
        <v>30</v>
      </c>
      <c r="M178">
        <v>60</v>
      </c>
      <c r="N178">
        <v>30</v>
      </c>
      <c r="O178">
        <v>-30</v>
      </c>
      <c r="P178">
        <v>50</v>
      </c>
      <c r="Q178">
        <v>60</v>
      </c>
      <c r="R178">
        <v>50</v>
      </c>
      <c r="S178">
        <v>55</v>
      </c>
      <c r="T178">
        <v>1.8333333333333333</v>
      </c>
      <c r="V178" t="s">
        <v>103</v>
      </c>
      <c r="W178">
        <v>50</v>
      </c>
      <c r="X178">
        <v>15.4</v>
      </c>
      <c r="Y178">
        <v>15.9</v>
      </c>
      <c r="Z178">
        <v>13</v>
      </c>
      <c r="AA178">
        <v>14.766666669999999</v>
      </c>
      <c r="AB178">
        <v>14.766666669999999</v>
      </c>
      <c r="AC178">
        <v>11</v>
      </c>
      <c r="AD178">
        <v>10</v>
      </c>
      <c r="AE178">
        <v>12.5</v>
      </c>
      <c r="AF178">
        <v>11.16666667</v>
      </c>
      <c r="AG178">
        <v>11.5</v>
      </c>
      <c r="AH178">
        <v>13</v>
      </c>
      <c r="AI178">
        <v>11.5</v>
      </c>
      <c r="AJ178">
        <v>12</v>
      </c>
      <c r="AK178">
        <v>7.6</v>
      </c>
      <c r="AL178">
        <v>8.5</v>
      </c>
      <c r="AM178">
        <v>11.5</v>
      </c>
      <c r="AN178">
        <v>9.1999999999999993</v>
      </c>
      <c r="AO178">
        <v>12</v>
      </c>
      <c r="AP178">
        <v>5.6</v>
      </c>
      <c r="AQ178">
        <v>5.6</v>
      </c>
      <c r="AR178">
        <v>8.5</v>
      </c>
      <c r="AS178">
        <v>6.5666666669999998</v>
      </c>
      <c r="AT178">
        <v>4.0999999999999996</v>
      </c>
      <c r="AU178">
        <v>4.5999999999999996</v>
      </c>
      <c r="AV178">
        <v>3.6</v>
      </c>
      <c r="AW178">
        <v>4.0999999999999996</v>
      </c>
      <c r="AX178">
        <v>6.5666666669999998</v>
      </c>
      <c r="AY178">
        <v>-8.1999999999999993</v>
      </c>
      <c r="AZ178">
        <v>5</v>
      </c>
      <c r="BA178">
        <v>15</v>
      </c>
      <c r="BB178">
        <v>0</v>
      </c>
      <c r="BC178">
        <v>25</v>
      </c>
      <c r="BD178">
        <v>0</v>
      </c>
      <c r="BE178">
        <v>1</v>
      </c>
      <c r="BF178">
        <v>0</v>
      </c>
      <c r="BG178">
        <v>0</v>
      </c>
      <c r="BI178">
        <v>14.2</v>
      </c>
      <c r="BJ178">
        <v>58.783000000000001</v>
      </c>
      <c r="BK178">
        <v>0</v>
      </c>
      <c r="BL178">
        <v>11</v>
      </c>
      <c r="BM178">
        <v>11</v>
      </c>
      <c r="BN178">
        <v>631</v>
      </c>
      <c r="BO178">
        <v>315.5</v>
      </c>
      <c r="BP178">
        <v>315.5</v>
      </c>
      <c r="BQ178">
        <v>551</v>
      </c>
      <c r="BR178">
        <v>80</v>
      </c>
      <c r="BS178" t="s">
        <v>114</v>
      </c>
      <c r="BT178" t="s">
        <v>114</v>
      </c>
      <c r="BU178" t="s">
        <v>114</v>
      </c>
      <c r="BV178" t="s">
        <v>114</v>
      </c>
      <c r="BW178" t="s">
        <v>114</v>
      </c>
      <c r="BX178" t="s">
        <v>114</v>
      </c>
      <c r="BY178" t="s">
        <v>114</v>
      </c>
      <c r="BZ178" t="s">
        <v>114</v>
      </c>
      <c r="CA178" t="s">
        <v>114</v>
      </c>
      <c r="CB178" t="s">
        <v>114</v>
      </c>
      <c r="CC178" t="s">
        <v>114</v>
      </c>
      <c r="CD178" t="s">
        <v>114</v>
      </c>
      <c r="CE178" t="s">
        <v>114</v>
      </c>
      <c r="CF178" t="s">
        <v>114</v>
      </c>
      <c r="CG178" t="s">
        <v>114</v>
      </c>
      <c r="CH178" t="s">
        <v>114</v>
      </c>
      <c r="CI178" t="s">
        <v>114</v>
      </c>
      <c r="CJ178" t="s">
        <v>114</v>
      </c>
      <c r="CK178" t="s">
        <v>114</v>
      </c>
      <c r="CL178" t="s">
        <v>114</v>
      </c>
      <c r="CM178" t="s">
        <v>114</v>
      </c>
      <c r="CN178" t="s">
        <v>114</v>
      </c>
      <c r="CO178" t="s">
        <v>114</v>
      </c>
      <c r="CP178" t="s">
        <v>114</v>
      </c>
      <c r="CQ178" t="s">
        <v>114</v>
      </c>
      <c r="CR178" t="s">
        <v>114</v>
      </c>
      <c r="CS178" t="s">
        <v>114</v>
      </c>
      <c r="CT178" t="s">
        <v>114</v>
      </c>
      <c r="CU178" t="s">
        <v>114</v>
      </c>
      <c r="CV178" t="s">
        <v>114</v>
      </c>
      <c r="CW178" t="s">
        <v>114</v>
      </c>
    </row>
    <row r="179" spans="1:101" x14ac:dyDescent="0.25">
      <c r="A179" t="s">
        <v>84</v>
      </c>
      <c r="B179">
        <v>6</v>
      </c>
      <c r="C179" t="s">
        <v>23</v>
      </c>
      <c r="D179" t="s">
        <v>95</v>
      </c>
      <c r="E179" t="s">
        <v>111</v>
      </c>
      <c r="F179" t="s">
        <v>145</v>
      </c>
      <c r="G179" t="s">
        <v>263</v>
      </c>
      <c r="H179" t="s">
        <v>776</v>
      </c>
      <c r="I179" t="s">
        <v>732</v>
      </c>
      <c r="J179" t="s">
        <v>453</v>
      </c>
      <c r="K179">
        <v>5</v>
      </c>
      <c r="L179">
        <v>350</v>
      </c>
      <c r="M179">
        <v>340</v>
      </c>
      <c r="N179">
        <v>350</v>
      </c>
      <c r="O179">
        <v>10</v>
      </c>
      <c r="P179">
        <v>75</v>
      </c>
      <c r="Q179">
        <v>300</v>
      </c>
      <c r="R179">
        <v>50</v>
      </c>
      <c r="S179">
        <v>175</v>
      </c>
      <c r="T179">
        <v>0.5</v>
      </c>
      <c r="V179" t="s">
        <v>103</v>
      </c>
      <c r="W179">
        <v>40</v>
      </c>
      <c r="X179">
        <v>15.4</v>
      </c>
      <c r="Y179">
        <v>15.9</v>
      </c>
      <c r="Z179">
        <v>13</v>
      </c>
      <c r="AA179">
        <v>14.766666669999999</v>
      </c>
      <c r="AB179">
        <v>14.766666669999999</v>
      </c>
      <c r="AC179">
        <v>13</v>
      </c>
      <c r="AD179">
        <v>13.5</v>
      </c>
      <c r="AE179">
        <v>13.9</v>
      </c>
      <c r="AF179">
        <v>13.46666667</v>
      </c>
      <c r="AG179">
        <v>11.5</v>
      </c>
      <c r="AH179">
        <v>13</v>
      </c>
      <c r="AI179">
        <v>11.5</v>
      </c>
      <c r="AJ179">
        <v>12</v>
      </c>
      <c r="AK179">
        <v>13</v>
      </c>
      <c r="AL179">
        <v>13.5</v>
      </c>
      <c r="AM179">
        <v>12.5</v>
      </c>
      <c r="AN179">
        <v>13</v>
      </c>
      <c r="AO179">
        <v>12</v>
      </c>
      <c r="AP179">
        <v>5.6</v>
      </c>
      <c r="AQ179">
        <v>5.6</v>
      </c>
      <c r="AR179">
        <v>8.5</v>
      </c>
      <c r="AS179">
        <v>6.5666666669999998</v>
      </c>
      <c r="AT179">
        <v>6.1</v>
      </c>
      <c r="AU179">
        <v>6.6</v>
      </c>
      <c r="AV179">
        <v>6.6</v>
      </c>
      <c r="AW179">
        <v>6.4333333330000002</v>
      </c>
      <c r="AX179">
        <v>6.5666666669999998</v>
      </c>
      <c r="AY179">
        <v>-8.1999999999999993</v>
      </c>
      <c r="AZ179">
        <v>5</v>
      </c>
      <c r="BA179">
        <v>15</v>
      </c>
      <c r="BB179">
        <v>0</v>
      </c>
      <c r="BC179">
        <v>25</v>
      </c>
      <c r="BD179">
        <v>0</v>
      </c>
      <c r="BE179">
        <v>1</v>
      </c>
      <c r="BF179">
        <v>0</v>
      </c>
      <c r="BG179">
        <v>0</v>
      </c>
      <c r="BI179">
        <v>14.2</v>
      </c>
      <c r="BJ179">
        <v>58.783000000000001</v>
      </c>
      <c r="BK179">
        <v>0</v>
      </c>
      <c r="BL179">
        <v>27</v>
      </c>
      <c r="BM179">
        <v>21</v>
      </c>
      <c r="BN179">
        <v>1026</v>
      </c>
      <c r="BO179">
        <v>2858</v>
      </c>
      <c r="BP179">
        <v>-1832</v>
      </c>
      <c r="BQ179">
        <v>2273</v>
      </c>
      <c r="BR179">
        <v>-1247</v>
      </c>
      <c r="BS179">
        <v>12.8508713875</v>
      </c>
      <c r="BT179">
        <v>1.5986261072500001</v>
      </c>
      <c r="BU179">
        <v>9.6215023399999993</v>
      </c>
      <c r="BV179">
        <v>1.7393205075</v>
      </c>
      <c r="BW179">
        <v>-1.5182908342500001</v>
      </c>
      <c r="BX179">
        <v>-8.9361392800000008</v>
      </c>
      <c r="BY179">
        <v>128.639970182745</v>
      </c>
      <c r="BZ179">
        <v>9.5491334774603107</v>
      </c>
      <c r="CA179">
        <v>160.070193640236</v>
      </c>
      <c r="CB179">
        <v>344.79951630308699</v>
      </c>
      <c r="CC179">
        <v>9.8829979753452797</v>
      </c>
      <c r="CD179">
        <v>177.02848970299101</v>
      </c>
      <c r="CE179" t="s">
        <v>114</v>
      </c>
      <c r="CF179" t="s">
        <v>114</v>
      </c>
      <c r="CG179" t="s">
        <v>114</v>
      </c>
      <c r="CH179">
        <v>10.94474473</v>
      </c>
      <c r="CI179">
        <v>1.2933304111999999</v>
      </c>
      <c r="CJ179">
        <v>8.8970444040000007</v>
      </c>
      <c r="CK179" t="s">
        <v>114</v>
      </c>
      <c r="CL179">
        <v>0.72740878600000003</v>
      </c>
      <c r="CM179">
        <v>-1.2002031419999999</v>
      </c>
      <c r="CN179">
        <v>-8.3487539559999995</v>
      </c>
      <c r="CO179" t="s">
        <v>114</v>
      </c>
      <c r="CP179">
        <v>114.646571809219</v>
      </c>
      <c r="CQ179">
        <v>7.6278774182284996</v>
      </c>
      <c r="CR179">
        <v>122.676841735344</v>
      </c>
      <c r="CS179" t="s">
        <v>114</v>
      </c>
      <c r="CT179">
        <v>263.71946388786</v>
      </c>
      <c r="CU179">
        <v>7.9181473813136103</v>
      </c>
      <c r="CV179">
        <v>134.49647487149599</v>
      </c>
      <c r="CW179" t="s">
        <v>114</v>
      </c>
    </row>
    <row r="180" spans="1:101" x14ac:dyDescent="0.25">
      <c r="A180" t="s">
        <v>84</v>
      </c>
      <c r="B180">
        <v>6</v>
      </c>
      <c r="C180" t="s">
        <v>23</v>
      </c>
      <c r="D180" t="s">
        <v>95</v>
      </c>
      <c r="E180" t="s">
        <v>112</v>
      </c>
      <c r="F180" t="s">
        <v>145</v>
      </c>
      <c r="G180" t="s">
        <v>261</v>
      </c>
      <c r="H180" t="s">
        <v>784</v>
      </c>
      <c r="I180" t="s">
        <v>741</v>
      </c>
      <c r="J180" t="s">
        <v>454</v>
      </c>
      <c r="K180">
        <v>6</v>
      </c>
      <c r="L180">
        <v>60</v>
      </c>
      <c r="M180">
        <v>60</v>
      </c>
      <c r="N180">
        <v>60</v>
      </c>
      <c r="O180">
        <v>0</v>
      </c>
      <c r="P180">
        <v>35</v>
      </c>
      <c r="Q180">
        <v>45</v>
      </c>
      <c r="R180">
        <v>45</v>
      </c>
      <c r="S180">
        <v>45</v>
      </c>
      <c r="T180">
        <v>0.75</v>
      </c>
      <c r="V180" t="s">
        <v>103</v>
      </c>
      <c r="W180">
        <v>50</v>
      </c>
      <c r="X180">
        <v>15.4</v>
      </c>
      <c r="Y180">
        <v>15.9</v>
      </c>
      <c r="Z180">
        <v>13</v>
      </c>
      <c r="AA180">
        <v>14.766666669999999</v>
      </c>
      <c r="AB180">
        <v>14.766666669999999</v>
      </c>
      <c r="AC180">
        <v>14.9</v>
      </c>
      <c r="AD180">
        <v>14.9</v>
      </c>
      <c r="AE180">
        <v>15.4</v>
      </c>
      <c r="AF180">
        <v>15.06666667</v>
      </c>
      <c r="AG180">
        <v>11.5</v>
      </c>
      <c r="AH180">
        <v>13</v>
      </c>
      <c r="AI180">
        <v>11.5</v>
      </c>
      <c r="AJ180">
        <v>12</v>
      </c>
      <c r="AK180">
        <v>16.899999999999999</v>
      </c>
      <c r="AL180">
        <v>16.899999999999999</v>
      </c>
      <c r="AM180">
        <v>16.899999999999999</v>
      </c>
      <c r="AN180">
        <v>16.899999999999999</v>
      </c>
      <c r="AO180">
        <v>12</v>
      </c>
      <c r="AP180">
        <v>5.6</v>
      </c>
      <c r="AQ180">
        <v>5.6</v>
      </c>
      <c r="AR180">
        <v>8.5</v>
      </c>
      <c r="AS180">
        <v>6.5666666669999998</v>
      </c>
      <c r="AT180">
        <v>6.6</v>
      </c>
      <c r="AU180">
        <v>8.1</v>
      </c>
      <c r="AV180">
        <v>7.1</v>
      </c>
      <c r="AW180">
        <v>7.266666667</v>
      </c>
      <c r="AX180">
        <v>6.5666666669999998</v>
      </c>
      <c r="AY180">
        <v>-8.1999999999999993</v>
      </c>
      <c r="AZ180">
        <v>5</v>
      </c>
      <c r="BA180">
        <v>15</v>
      </c>
      <c r="BB180">
        <v>0</v>
      </c>
      <c r="BC180">
        <v>25</v>
      </c>
      <c r="BD180">
        <v>0</v>
      </c>
      <c r="BE180">
        <v>1</v>
      </c>
      <c r="BF180">
        <v>0</v>
      </c>
      <c r="BG180">
        <v>0</v>
      </c>
      <c r="BI180">
        <v>14.2</v>
      </c>
      <c r="BJ180">
        <v>58.783000000000001</v>
      </c>
      <c r="BK180">
        <v>0</v>
      </c>
      <c r="BL180">
        <v>0</v>
      </c>
      <c r="BM180">
        <v>0</v>
      </c>
      <c r="BN180">
        <v>0</v>
      </c>
      <c r="BO180">
        <v>50</v>
      </c>
      <c r="BP180">
        <v>-50</v>
      </c>
      <c r="BQ180">
        <v>24</v>
      </c>
      <c r="BR180">
        <v>-24</v>
      </c>
      <c r="BS180">
        <v>38.624053042500002</v>
      </c>
      <c r="BT180">
        <v>2.1099400125000001</v>
      </c>
      <c r="BU180">
        <v>10.25944241</v>
      </c>
      <c r="BV180">
        <v>-38.624053042500002</v>
      </c>
      <c r="BW180">
        <v>7.5681404499999994E-2</v>
      </c>
      <c r="BX180">
        <v>10.25944241</v>
      </c>
      <c r="BY180">
        <v>44.469318793149299</v>
      </c>
      <c r="BZ180">
        <v>2.1523600721482001</v>
      </c>
      <c r="CA180">
        <v>3.25888338289765</v>
      </c>
      <c r="CB180">
        <v>44.469318793149299</v>
      </c>
      <c r="CC180">
        <v>8.0805189806300692</v>
      </c>
      <c r="CD180">
        <v>3.25888338289765</v>
      </c>
      <c r="CE180" t="s">
        <v>114</v>
      </c>
      <c r="CF180" t="s">
        <v>114</v>
      </c>
      <c r="CG180" t="s">
        <v>114</v>
      </c>
      <c r="CH180">
        <v>37.175820723333302</v>
      </c>
      <c r="CI180">
        <v>2.0345320203333301</v>
      </c>
      <c r="CJ180">
        <v>9.9597555599999996</v>
      </c>
      <c r="CK180" t="s">
        <v>114</v>
      </c>
      <c r="CL180">
        <v>-37.175820723333302</v>
      </c>
      <c r="CM180">
        <v>0.67835961499999997</v>
      </c>
      <c r="CN180">
        <v>9.9597555599999996</v>
      </c>
      <c r="CO180" t="s">
        <v>114</v>
      </c>
      <c r="CP180">
        <v>32.183100199885097</v>
      </c>
      <c r="CQ180">
        <v>1.35511845198239</v>
      </c>
      <c r="CR180">
        <v>3.4384672505360099</v>
      </c>
      <c r="CS180" t="s">
        <v>114</v>
      </c>
      <c r="CT180">
        <v>32.183100199885097</v>
      </c>
      <c r="CU180">
        <v>5.7700969813808101</v>
      </c>
      <c r="CV180">
        <v>3.4384672505360099</v>
      </c>
      <c r="CW180" t="s">
        <v>114</v>
      </c>
    </row>
    <row r="181" spans="1:101" x14ac:dyDescent="0.25">
      <c r="A181" t="s">
        <v>85</v>
      </c>
      <c r="B181">
        <v>6</v>
      </c>
      <c r="C181" t="s">
        <v>25</v>
      </c>
      <c r="D181" t="s">
        <v>94</v>
      </c>
      <c r="E181" t="s">
        <v>105</v>
      </c>
      <c r="F181" t="s">
        <v>145</v>
      </c>
      <c r="G181" t="s">
        <v>266</v>
      </c>
      <c r="H181" t="s">
        <v>759</v>
      </c>
      <c r="I181" t="s">
        <v>734</v>
      </c>
      <c r="J181" t="s">
        <v>455</v>
      </c>
      <c r="K181">
        <v>7</v>
      </c>
      <c r="L181">
        <v>45</v>
      </c>
      <c r="M181">
        <v>15</v>
      </c>
      <c r="N181">
        <v>45</v>
      </c>
      <c r="O181">
        <v>30</v>
      </c>
      <c r="P181">
        <v>60</v>
      </c>
      <c r="Q181">
        <v>60</v>
      </c>
      <c r="R181">
        <v>40</v>
      </c>
      <c r="S181">
        <v>50</v>
      </c>
      <c r="T181">
        <v>1.1111111111111112</v>
      </c>
      <c r="V181" t="s">
        <v>103</v>
      </c>
      <c r="W181">
        <v>20</v>
      </c>
      <c r="X181">
        <v>9.5</v>
      </c>
      <c r="Y181">
        <v>10</v>
      </c>
      <c r="Z181">
        <v>11.5</v>
      </c>
      <c r="AA181">
        <v>10.33333333</v>
      </c>
      <c r="AB181">
        <v>10.33333333</v>
      </c>
      <c r="AC181">
        <v>12.5</v>
      </c>
      <c r="AD181">
        <v>10.5</v>
      </c>
      <c r="AE181">
        <v>13.9</v>
      </c>
      <c r="AF181">
        <v>12.3</v>
      </c>
      <c r="AG181">
        <v>11.5</v>
      </c>
      <c r="AH181">
        <v>12</v>
      </c>
      <c r="AI181">
        <v>11</v>
      </c>
      <c r="AJ181">
        <v>11.5</v>
      </c>
      <c r="AK181">
        <v>9</v>
      </c>
      <c r="AL181">
        <v>12.5</v>
      </c>
      <c r="AM181">
        <v>12.5</v>
      </c>
      <c r="AN181">
        <v>11.33333333</v>
      </c>
      <c r="AO181">
        <v>11.5</v>
      </c>
      <c r="AP181">
        <v>6.1</v>
      </c>
      <c r="AQ181">
        <v>5.0999999999999996</v>
      </c>
      <c r="AR181">
        <v>6.6</v>
      </c>
      <c r="AS181">
        <v>5.9333333330000002</v>
      </c>
      <c r="AT181">
        <v>6.6</v>
      </c>
      <c r="AU181">
        <v>5.6</v>
      </c>
      <c r="AV181">
        <v>5.6</v>
      </c>
      <c r="AW181">
        <v>5.9333333330000002</v>
      </c>
      <c r="AX181">
        <v>5.9333333330000002</v>
      </c>
      <c r="AY181">
        <v>-4.4000000000000004</v>
      </c>
      <c r="AZ181">
        <v>20</v>
      </c>
      <c r="BA181">
        <v>0</v>
      </c>
      <c r="BB181">
        <v>1</v>
      </c>
      <c r="BC181">
        <v>20</v>
      </c>
      <c r="BD181">
        <v>0</v>
      </c>
      <c r="BE181">
        <v>0</v>
      </c>
      <c r="BF181">
        <v>0</v>
      </c>
      <c r="BG181">
        <v>0</v>
      </c>
      <c r="BI181">
        <v>10.6</v>
      </c>
      <c r="BJ181">
        <v>4.2060000000000004</v>
      </c>
      <c r="BK181">
        <v>0</v>
      </c>
      <c r="BL181">
        <v>1</v>
      </c>
      <c r="BM181">
        <v>1</v>
      </c>
      <c r="BN181">
        <v>0</v>
      </c>
      <c r="BO181">
        <v>199.5</v>
      </c>
      <c r="BP181">
        <v>-199.5</v>
      </c>
      <c r="BQ181">
        <v>66</v>
      </c>
      <c r="BR181">
        <v>-66</v>
      </c>
      <c r="BS181">
        <v>23.136397949999999</v>
      </c>
      <c r="BT181">
        <v>1.03945407425</v>
      </c>
      <c r="BU181">
        <v>18.803840910000002</v>
      </c>
      <c r="BV181">
        <v>-23.136397949999999</v>
      </c>
      <c r="BW181">
        <v>-0.85685742625000005</v>
      </c>
      <c r="BX181">
        <v>18.803840910000002</v>
      </c>
      <c r="BY181">
        <v>362.63092080871002</v>
      </c>
      <c r="BZ181">
        <v>0.52166136577574496</v>
      </c>
      <c r="CA181">
        <v>54.379565903426297</v>
      </c>
      <c r="CB181">
        <v>362.63092080871002</v>
      </c>
      <c r="CC181">
        <v>0.98334153051594597</v>
      </c>
      <c r="CD181">
        <v>54.379565903426297</v>
      </c>
      <c r="CE181" t="s">
        <v>114</v>
      </c>
      <c r="CF181" t="s">
        <v>114</v>
      </c>
      <c r="CG181" t="s">
        <v>114</v>
      </c>
      <c r="CH181">
        <v>26.417227401428601</v>
      </c>
      <c r="CI181">
        <v>0.75048516928571396</v>
      </c>
      <c r="CJ181">
        <v>18.297382671428601</v>
      </c>
      <c r="CK181" t="s">
        <v>114</v>
      </c>
      <c r="CL181">
        <v>-26.417227401428601</v>
      </c>
      <c r="CM181">
        <v>-0.33312140242857102</v>
      </c>
      <c r="CN181">
        <v>18.297382671428601</v>
      </c>
      <c r="CO181" t="s">
        <v>114</v>
      </c>
      <c r="CP181">
        <v>198.059214454472</v>
      </c>
      <c r="CQ181">
        <v>0.39072428205538601</v>
      </c>
      <c r="CR181">
        <v>27.5887828699172</v>
      </c>
      <c r="CS181" t="s">
        <v>114</v>
      </c>
      <c r="CT181">
        <v>198.059214454472</v>
      </c>
      <c r="CU181">
        <v>0.91835875604418604</v>
      </c>
      <c r="CV181">
        <v>27.5887828699172</v>
      </c>
      <c r="CW181" t="s">
        <v>114</v>
      </c>
    </row>
    <row r="182" spans="1:101" x14ac:dyDescent="0.25">
      <c r="A182" t="s">
        <v>85</v>
      </c>
      <c r="B182">
        <v>6</v>
      </c>
      <c r="C182" t="s">
        <v>25</v>
      </c>
      <c r="D182" t="s">
        <v>94</v>
      </c>
      <c r="E182" t="s">
        <v>110</v>
      </c>
      <c r="F182" t="s">
        <v>145</v>
      </c>
      <c r="G182" t="s">
        <v>262</v>
      </c>
      <c r="H182" t="s">
        <v>767</v>
      </c>
      <c r="I182" t="s">
        <v>742</v>
      </c>
      <c r="J182" t="s">
        <v>456</v>
      </c>
      <c r="K182">
        <v>17</v>
      </c>
      <c r="L182">
        <v>90</v>
      </c>
      <c r="M182">
        <v>50</v>
      </c>
      <c r="N182">
        <v>90</v>
      </c>
      <c r="O182">
        <v>40</v>
      </c>
      <c r="P182">
        <v>10</v>
      </c>
      <c r="Q182">
        <v>45</v>
      </c>
      <c r="R182">
        <v>5</v>
      </c>
      <c r="S182">
        <v>25</v>
      </c>
      <c r="T182">
        <v>0.27777777777777779</v>
      </c>
      <c r="V182" t="s">
        <v>103</v>
      </c>
      <c r="W182">
        <v>30</v>
      </c>
      <c r="X182">
        <v>9.5</v>
      </c>
      <c r="Y182">
        <v>10</v>
      </c>
      <c r="Z182">
        <v>11.5</v>
      </c>
      <c r="AA182">
        <v>10.33333333</v>
      </c>
      <c r="AB182">
        <v>10.33333333</v>
      </c>
      <c r="AC182">
        <v>9.5</v>
      </c>
      <c r="AD182">
        <v>10</v>
      </c>
      <c r="AE182">
        <v>12</v>
      </c>
      <c r="AF182">
        <v>10.5</v>
      </c>
      <c r="AG182">
        <v>11.5</v>
      </c>
      <c r="AH182">
        <v>12</v>
      </c>
      <c r="AI182">
        <v>11</v>
      </c>
      <c r="AJ182">
        <v>11.5</v>
      </c>
      <c r="AK182">
        <v>8.5</v>
      </c>
      <c r="AL182">
        <v>11</v>
      </c>
      <c r="AM182">
        <v>11</v>
      </c>
      <c r="AN182">
        <v>10.16666667</v>
      </c>
      <c r="AO182">
        <v>11.5</v>
      </c>
      <c r="AP182">
        <v>6.1</v>
      </c>
      <c r="AQ182">
        <v>5.0999999999999996</v>
      </c>
      <c r="AR182">
        <v>6.6</v>
      </c>
      <c r="AS182">
        <v>5.9333333330000002</v>
      </c>
      <c r="AT182">
        <v>6.6</v>
      </c>
      <c r="AU182">
        <v>5.6</v>
      </c>
      <c r="AV182">
        <v>6.1</v>
      </c>
      <c r="AW182">
        <v>6.1</v>
      </c>
      <c r="AX182">
        <v>5.9333333330000002</v>
      </c>
      <c r="AY182">
        <v>-4.4000000000000004</v>
      </c>
      <c r="AZ182">
        <v>20</v>
      </c>
      <c r="BA182">
        <v>0</v>
      </c>
      <c r="BB182">
        <v>1</v>
      </c>
      <c r="BC182">
        <v>20</v>
      </c>
      <c r="BD182">
        <v>0</v>
      </c>
      <c r="BE182">
        <v>0</v>
      </c>
      <c r="BF182">
        <v>0</v>
      </c>
      <c r="BG182">
        <v>0</v>
      </c>
      <c r="BI182">
        <v>10.6</v>
      </c>
      <c r="BJ182">
        <v>4.2060000000000004</v>
      </c>
      <c r="BK182">
        <v>0</v>
      </c>
      <c r="BL182">
        <v>9</v>
      </c>
      <c r="BM182">
        <v>8</v>
      </c>
      <c r="BN182">
        <v>8</v>
      </c>
      <c r="BO182">
        <v>10</v>
      </c>
      <c r="BP182">
        <v>-2</v>
      </c>
      <c r="BQ182">
        <v>20</v>
      </c>
      <c r="BR182">
        <v>-12</v>
      </c>
      <c r="BS182">
        <v>17.121547244999999</v>
      </c>
      <c r="BT182">
        <v>0.76054567149999996</v>
      </c>
      <c r="BU182">
        <v>8.0601769324999992</v>
      </c>
      <c r="BV182">
        <v>-17.121547244999999</v>
      </c>
      <c r="BW182">
        <v>0.76054567149999996</v>
      </c>
      <c r="BX182">
        <v>-5.9908270525000002</v>
      </c>
      <c r="BY182">
        <v>214.34230013444201</v>
      </c>
      <c r="BZ182">
        <v>0.25792029978054198</v>
      </c>
      <c r="CA182">
        <v>62.388200806072</v>
      </c>
      <c r="CB182">
        <v>214.34230013444201</v>
      </c>
      <c r="CC182">
        <v>0.25792029978054198</v>
      </c>
      <c r="CD182">
        <v>101.15679201972399</v>
      </c>
      <c r="CE182">
        <v>0.4172958075</v>
      </c>
      <c r="CF182">
        <v>9.2322246010061407E-2</v>
      </c>
      <c r="CG182">
        <v>0.50695300647058805</v>
      </c>
      <c r="CH182">
        <v>21.547385699411802</v>
      </c>
      <c r="CI182">
        <v>0.95435915435294105</v>
      </c>
      <c r="CJ182">
        <v>7.7305662882352904</v>
      </c>
      <c r="CK182">
        <v>0.50695300647058805</v>
      </c>
      <c r="CL182">
        <v>-21.547385699411802</v>
      </c>
      <c r="CM182">
        <v>0.95435915435294105</v>
      </c>
      <c r="CN182">
        <v>-3.3484136011764698</v>
      </c>
      <c r="CO182">
        <v>2.91768658099021E-2</v>
      </c>
      <c r="CP182">
        <v>89.178101884946102</v>
      </c>
      <c r="CQ182">
        <v>6.1063401494056702E-2</v>
      </c>
      <c r="CR182">
        <v>32.827522253166897</v>
      </c>
      <c r="CS182">
        <v>2.91768658099021E-2</v>
      </c>
      <c r="CT182">
        <v>89.178101884946102</v>
      </c>
      <c r="CU182">
        <v>6.1063401494056702E-2</v>
      </c>
      <c r="CV182">
        <v>84.411665088689304</v>
      </c>
      <c r="CW182">
        <v>0.4172958075</v>
      </c>
    </row>
    <row r="183" spans="1:101" x14ac:dyDescent="0.25">
      <c r="A183" t="s">
        <v>86</v>
      </c>
      <c r="B183">
        <v>6</v>
      </c>
      <c r="C183" t="s">
        <v>27</v>
      </c>
      <c r="D183" t="s">
        <v>94</v>
      </c>
      <c r="E183" t="s">
        <v>110</v>
      </c>
      <c r="F183" t="s">
        <v>145</v>
      </c>
      <c r="G183" t="s">
        <v>262</v>
      </c>
      <c r="H183" t="s">
        <v>767</v>
      </c>
      <c r="I183" t="s">
        <v>742</v>
      </c>
      <c r="J183" t="s">
        <v>457</v>
      </c>
      <c r="K183">
        <v>3</v>
      </c>
      <c r="L183">
        <v>30</v>
      </c>
      <c r="M183">
        <v>70</v>
      </c>
      <c r="N183">
        <v>30</v>
      </c>
      <c r="O183">
        <v>-40</v>
      </c>
      <c r="P183">
        <v>20</v>
      </c>
      <c r="Q183">
        <v>25</v>
      </c>
      <c r="R183">
        <v>5</v>
      </c>
      <c r="S183">
        <v>15</v>
      </c>
      <c r="T183">
        <v>0.5</v>
      </c>
      <c r="V183" t="s">
        <v>121</v>
      </c>
      <c r="W183" t="s">
        <v>114</v>
      </c>
      <c r="X183">
        <v>8.5</v>
      </c>
      <c r="Y183">
        <v>9</v>
      </c>
      <c r="Z183">
        <v>10</v>
      </c>
      <c r="AA183">
        <v>9.1666666669999994</v>
      </c>
      <c r="AB183">
        <v>9.1666666669999994</v>
      </c>
      <c r="AC183">
        <v>8.1</v>
      </c>
      <c r="AD183">
        <v>8.5</v>
      </c>
      <c r="AE183">
        <v>9</v>
      </c>
      <c r="AF183">
        <v>8.5333333329999999</v>
      </c>
      <c r="AG183">
        <v>8.5</v>
      </c>
      <c r="AH183">
        <v>8.5</v>
      </c>
      <c r="AI183">
        <v>8.5</v>
      </c>
      <c r="AJ183">
        <v>8.5</v>
      </c>
      <c r="AK183">
        <v>9.5</v>
      </c>
      <c r="AL183">
        <v>7.6</v>
      </c>
      <c r="AM183">
        <v>8.1</v>
      </c>
      <c r="AN183">
        <v>8.4</v>
      </c>
      <c r="AO183">
        <v>8.5</v>
      </c>
      <c r="AP183">
        <v>5.0999999999999996</v>
      </c>
      <c r="AQ183">
        <v>4.5999999999999996</v>
      </c>
      <c r="AR183">
        <v>3.6</v>
      </c>
      <c r="AS183">
        <v>4.4333333330000002</v>
      </c>
      <c r="AT183">
        <v>4.0999999999999996</v>
      </c>
      <c r="AU183">
        <v>4.0999999999999996</v>
      </c>
      <c r="AV183">
        <v>3.1</v>
      </c>
      <c r="AW183">
        <v>3.766666667</v>
      </c>
      <c r="AX183">
        <v>4.4333333330000002</v>
      </c>
      <c r="AY183">
        <v>-4.733333333</v>
      </c>
      <c r="AZ183">
        <v>75</v>
      </c>
      <c r="BA183">
        <v>1</v>
      </c>
      <c r="BB183">
        <v>1</v>
      </c>
      <c r="BC183">
        <v>8</v>
      </c>
      <c r="BD183">
        <v>1</v>
      </c>
      <c r="BE183">
        <v>0</v>
      </c>
      <c r="BF183">
        <v>0</v>
      </c>
      <c r="BG183">
        <v>0</v>
      </c>
      <c r="BI183">
        <v>17</v>
      </c>
      <c r="BJ183">
        <v>20.623000000000001</v>
      </c>
      <c r="BK183">
        <v>0</v>
      </c>
      <c r="BL183">
        <v>1</v>
      </c>
      <c r="BM183">
        <v>1</v>
      </c>
      <c r="BN183">
        <v>1</v>
      </c>
      <c r="BO183">
        <v>10</v>
      </c>
      <c r="BP183">
        <v>-9</v>
      </c>
      <c r="BQ183">
        <v>0</v>
      </c>
      <c r="BR183">
        <v>1</v>
      </c>
      <c r="BS183">
        <v>56.551630430000003</v>
      </c>
      <c r="BT183" t="s">
        <v>114</v>
      </c>
      <c r="BU183">
        <v>7.2618725350000002</v>
      </c>
      <c r="BV183">
        <v>-56.551630430000003</v>
      </c>
      <c r="BW183" t="s">
        <v>114</v>
      </c>
      <c r="BX183">
        <v>7.2618725350000002</v>
      </c>
      <c r="BY183">
        <v>182.8828125</v>
      </c>
      <c r="BZ183" t="s">
        <v>114</v>
      </c>
      <c r="CA183">
        <v>24.199814509955001</v>
      </c>
      <c r="CB183">
        <v>182.8828125</v>
      </c>
      <c r="CC183" t="s">
        <v>114</v>
      </c>
      <c r="CD183">
        <v>24.199814509955001</v>
      </c>
      <c r="CE183" t="s">
        <v>114</v>
      </c>
      <c r="CF183" t="s">
        <v>114</v>
      </c>
      <c r="CG183" t="s">
        <v>114</v>
      </c>
      <c r="CH183">
        <v>59.739130430000003</v>
      </c>
      <c r="CI183" t="s">
        <v>114</v>
      </c>
      <c r="CJ183">
        <v>8.4213699000000002</v>
      </c>
      <c r="CK183" t="s">
        <v>114</v>
      </c>
      <c r="CL183">
        <v>-59.739130430000003</v>
      </c>
      <c r="CM183" t="s">
        <v>114</v>
      </c>
      <c r="CN183">
        <v>8.4213699000000002</v>
      </c>
      <c r="CO183" t="s">
        <v>114</v>
      </c>
      <c r="CP183">
        <v>121.921875</v>
      </c>
      <c r="CQ183" t="s">
        <v>114</v>
      </c>
      <c r="CR183">
        <v>16.133209673303298</v>
      </c>
      <c r="CS183" t="s">
        <v>114</v>
      </c>
      <c r="CT183">
        <v>121.921875</v>
      </c>
      <c r="CU183" t="s">
        <v>114</v>
      </c>
      <c r="CV183">
        <v>16.133209673303298</v>
      </c>
      <c r="CW183" t="s">
        <v>114</v>
      </c>
    </row>
    <row r="184" spans="1:101" x14ac:dyDescent="0.25">
      <c r="A184" t="s">
        <v>86</v>
      </c>
      <c r="B184">
        <v>6</v>
      </c>
      <c r="C184" t="s">
        <v>27</v>
      </c>
      <c r="D184" t="s">
        <v>94</v>
      </c>
      <c r="E184" t="s">
        <v>112</v>
      </c>
      <c r="F184" t="s">
        <v>145</v>
      </c>
      <c r="G184" t="s">
        <v>261</v>
      </c>
      <c r="H184" t="s">
        <v>783</v>
      </c>
      <c r="I184" t="s">
        <v>743</v>
      </c>
      <c r="J184" t="s">
        <v>458</v>
      </c>
      <c r="K184">
        <v>2</v>
      </c>
      <c r="L184">
        <v>80</v>
      </c>
      <c r="M184">
        <v>50</v>
      </c>
      <c r="N184">
        <v>80</v>
      </c>
      <c r="O184">
        <v>30</v>
      </c>
      <c r="P184">
        <v>90</v>
      </c>
      <c r="Q184">
        <v>290</v>
      </c>
      <c r="R184">
        <v>200</v>
      </c>
      <c r="S184">
        <v>245</v>
      </c>
      <c r="T184">
        <v>3.0625</v>
      </c>
      <c r="V184" t="s">
        <v>110</v>
      </c>
      <c r="W184">
        <v>30</v>
      </c>
      <c r="X184">
        <v>8.5</v>
      </c>
      <c r="Y184">
        <v>9</v>
      </c>
      <c r="Z184">
        <v>10</v>
      </c>
      <c r="AA184">
        <v>9.1666666669999994</v>
      </c>
      <c r="AB184">
        <v>9.1666666669999994</v>
      </c>
      <c r="AC184">
        <v>8.5</v>
      </c>
      <c r="AD184">
        <v>8.5</v>
      </c>
      <c r="AE184">
        <v>8.5</v>
      </c>
      <c r="AF184">
        <v>8.5</v>
      </c>
      <c r="AG184">
        <v>8.5</v>
      </c>
      <c r="AH184">
        <v>8.5</v>
      </c>
      <c r="AI184">
        <v>8.5</v>
      </c>
      <c r="AJ184">
        <v>8.5</v>
      </c>
      <c r="AK184">
        <v>7.6</v>
      </c>
      <c r="AL184">
        <v>7.6</v>
      </c>
      <c r="AM184">
        <v>8.5</v>
      </c>
      <c r="AN184">
        <v>7.9</v>
      </c>
      <c r="AO184">
        <v>8.5</v>
      </c>
      <c r="AP184">
        <v>5.0999999999999996</v>
      </c>
      <c r="AQ184">
        <v>4.5999999999999996</v>
      </c>
      <c r="AR184">
        <v>3.6</v>
      </c>
      <c r="AS184">
        <v>4.4333333330000002</v>
      </c>
      <c r="AT184">
        <v>5.6</v>
      </c>
      <c r="AU184">
        <v>4.5999999999999996</v>
      </c>
      <c r="AV184">
        <v>4.0999999999999996</v>
      </c>
      <c r="AW184">
        <v>4.766666667</v>
      </c>
      <c r="AX184">
        <v>4.4333333330000002</v>
      </c>
      <c r="AY184">
        <v>-4.733333333</v>
      </c>
      <c r="AZ184">
        <v>75</v>
      </c>
      <c r="BA184">
        <v>1</v>
      </c>
      <c r="BB184">
        <v>1</v>
      </c>
      <c r="BC184">
        <v>8</v>
      </c>
      <c r="BD184">
        <v>1</v>
      </c>
      <c r="BE184">
        <v>0</v>
      </c>
      <c r="BF184">
        <v>0</v>
      </c>
      <c r="BG184">
        <v>0</v>
      </c>
      <c r="BI184">
        <v>17</v>
      </c>
      <c r="BJ184">
        <v>20.623000000000001</v>
      </c>
      <c r="BK184">
        <v>0</v>
      </c>
      <c r="BL184">
        <v>53</v>
      </c>
      <c r="BM184">
        <v>35</v>
      </c>
      <c r="BN184">
        <v>144</v>
      </c>
      <c r="BO184">
        <v>152</v>
      </c>
      <c r="BP184">
        <v>-8</v>
      </c>
      <c r="BQ184">
        <v>132</v>
      </c>
      <c r="BR184">
        <v>12</v>
      </c>
      <c r="BS184">
        <v>31.661684784999998</v>
      </c>
      <c r="BT184">
        <v>1.303913619</v>
      </c>
      <c r="BU184">
        <v>5.3332122699999998</v>
      </c>
      <c r="BV184">
        <v>-31.661684784999998</v>
      </c>
      <c r="BW184">
        <v>1.303913619</v>
      </c>
      <c r="BX184">
        <v>5.3332122699999998</v>
      </c>
      <c r="BY184">
        <v>1103.98918928378</v>
      </c>
      <c r="BZ184">
        <v>1.0945836371444501E-2</v>
      </c>
      <c r="CA184">
        <v>7.1569837768872997</v>
      </c>
      <c r="CB184">
        <v>1103.98918928378</v>
      </c>
      <c r="CC184">
        <v>1.0945836371444501E-2</v>
      </c>
      <c r="CD184">
        <v>7.1569837768872997</v>
      </c>
      <c r="CE184" t="s">
        <v>114</v>
      </c>
      <c r="CF184" t="s">
        <v>114</v>
      </c>
      <c r="CG184" t="s">
        <v>114</v>
      </c>
      <c r="CH184">
        <v>31.661684784999998</v>
      </c>
      <c r="CI184">
        <v>1.303913619</v>
      </c>
      <c r="CJ184">
        <v>5.3332122699999998</v>
      </c>
      <c r="CK184" t="s">
        <v>114</v>
      </c>
      <c r="CL184">
        <v>-31.661684784999998</v>
      </c>
      <c r="CM184">
        <v>1.303913619</v>
      </c>
      <c r="CN184">
        <v>5.3332122699999998</v>
      </c>
      <c r="CO184" t="s">
        <v>114</v>
      </c>
      <c r="CP184">
        <v>1103.98918928378</v>
      </c>
      <c r="CQ184">
        <v>1.0945836371444501E-2</v>
      </c>
      <c r="CR184">
        <v>7.1569837768872997</v>
      </c>
      <c r="CS184" t="s">
        <v>114</v>
      </c>
      <c r="CT184">
        <v>1103.98918928378</v>
      </c>
      <c r="CU184">
        <v>1.0945836371444501E-2</v>
      </c>
      <c r="CV184">
        <v>7.1569837768872997</v>
      </c>
      <c r="CW184" t="s">
        <v>114</v>
      </c>
    </row>
    <row r="185" spans="1:101" x14ac:dyDescent="0.25">
      <c r="A185" t="s">
        <v>87</v>
      </c>
      <c r="B185">
        <v>6</v>
      </c>
      <c r="C185" t="s">
        <v>29</v>
      </c>
      <c r="D185" t="s">
        <v>95</v>
      </c>
      <c r="E185" t="s">
        <v>102</v>
      </c>
      <c r="F185" t="s">
        <v>145</v>
      </c>
      <c r="G185" t="s">
        <v>265</v>
      </c>
      <c r="H185" t="s">
        <v>756</v>
      </c>
      <c r="I185" t="s">
        <v>740</v>
      </c>
      <c r="J185" t="s">
        <v>459</v>
      </c>
      <c r="K185">
        <v>6</v>
      </c>
      <c r="L185">
        <v>140</v>
      </c>
      <c r="M185">
        <v>140</v>
      </c>
      <c r="N185">
        <v>140</v>
      </c>
      <c r="O185">
        <v>0</v>
      </c>
      <c r="P185">
        <v>160</v>
      </c>
      <c r="Q185">
        <v>160</v>
      </c>
      <c r="R185">
        <v>110</v>
      </c>
      <c r="S185">
        <v>135</v>
      </c>
      <c r="T185">
        <v>0.9642857142857143</v>
      </c>
      <c r="V185" t="s">
        <v>110</v>
      </c>
      <c r="W185">
        <v>30</v>
      </c>
      <c r="X185">
        <v>9</v>
      </c>
      <c r="Y185">
        <v>7.6</v>
      </c>
      <c r="Z185">
        <v>11.5</v>
      </c>
      <c r="AA185">
        <v>9.3666666670000005</v>
      </c>
      <c r="AB185">
        <v>9.3666666670000005</v>
      </c>
      <c r="AC185">
        <v>14.4</v>
      </c>
      <c r="AD185">
        <v>12.5</v>
      </c>
      <c r="AE185">
        <v>12.5</v>
      </c>
      <c r="AF185">
        <v>13.133333329999999</v>
      </c>
      <c r="AG185">
        <v>8.5</v>
      </c>
      <c r="AH185">
        <v>8.5</v>
      </c>
      <c r="AI185">
        <v>9.5</v>
      </c>
      <c r="AJ185">
        <v>8.8333333330000006</v>
      </c>
      <c r="AK185">
        <v>11</v>
      </c>
      <c r="AL185">
        <v>12</v>
      </c>
      <c r="AM185">
        <v>13</v>
      </c>
      <c r="AN185">
        <v>12</v>
      </c>
      <c r="AO185">
        <v>8.8333333330000006</v>
      </c>
      <c r="AP185">
        <v>6.1</v>
      </c>
      <c r="AQ185">
        <v>6.1</v>
      </c>
      <c r="AR185">
        <v>6.1</v>
      </c>
      <c r="AS185">
        <v>6.1</v>
      </c>
      <c r="AT185">
        <v>5.0999999999999996</v>
      </c>
      <c r="AU185">
        <v>6.1</v>
      </c>
      <c r="AV185">
        <v>4.5999999999999996</v>
      </c>
      <c r="AW185">
        <v>5.266666667</v>
      </c>
      <c r="AX185">
        <v>6.1</v>
      </c>
      <c r="AY185">
        <v>-3.266666667</v>
      </c>
      <c r="AZ185">
        <v>75</v>
      </c>
      <c r="BA185">
        <v>0</v>
      </c>
      <c r="BB185">
        <v>5</v>
      </c>
      <c r="BC185">
        <v>10</v>
      </c>
      <c r="BD185">
        <v>0</v>
      </c>
      <c r="BE185">
        <v>1</v>
      </c>
      <c r="BF185">
        <v>0</v>
      </c>
      <c r="BG185">
        <v>0</v>
      </c>
      <c r="BI185">
        <v>15</v>
      </c>
      <c r="BJ185">
        <v>54.951000000000001</v>
      </c>
      <c r="BK185">
        <v>0</v>
      </c>
      <c r="BL185">
        <v>20</v>
      </c>
      <c r="BM185">
        <v>15</v>
      </c>
      <c r="BN185">
        <v>686</v>
      </c>
      <c r="BO185">
        <v>567</v>
      </c>
      <c r="BP185">
        <v>119</v>
      </c>
      <c r="BQ185">
        <v>362</v>
      </c>
      <c r="BR185">
        <v>324</v>
      </c>
      <c r="BS185">
        <v>33.874463230000003</v>
      </c>
      <c r="BT185" t="s">
        <v>114</v>
      </c>
      <c r="BU185">
        <v>4.0812668966666701</v>
      </c>
      <c r="BV185">
        <v>-26.221215783333299</v>
      </c>
      <c r="BW185" t="s">
        <v>114</v>
      </c>
      <c r="BX185">
        <v>-0.445568143333333</v>
      </c>
      <c r="BY185">
        <v>467.579721400361</v>
      </c>
      <c r="BZ185" t="s">
        <v>114</v>
      </c>
      <c r="CA185">
        <v>4.9908587259627897</v>
      </c>
      <c r="CB185">
        <v>1157.4703743471</v>
      </c>
      <c r="CC185" t="s">
        <v>114</v>
      </c>
      <c r="CD185">
        <v>29.678171493173299</v>
      </c>
      <c r="CE185" t="s">
        <v>114</v>
      </c>
      <c r="CF185" t="s">
        <v>114</v>
      </c>
      <c r="CG185" t="s">
        <v>114</v>
      </c>
      <c r="CH185">
        <v>29.869565215000002</v>
      </c>
      <c r="CI185" t="s">
        <v>114</v>
      </c>
      <c r="CJ185">
        <v>4.71183030333333</v>
      </c>
      <c r="CK185" t="s">
        <v>114</v>
      </c>
      <c r="CL185">
        <v>-18.389694044999999</v>
      </c>
      <c r="CM185" t="s">
        <v>114</v>
      </c>
      <c r="CN185">
        <v>-1.0761315499999999</v>
      </c>
      <c r="CO185" t="s">
        <v>114</v>
      </c>
      <c r="CP185">
        <v>454.58576648245003</v>
      </c>
      <c r="CQ185" t="s">
        <v>114</v>
      </c>
      <c r="CR185">
        <v>2.4771823337032601</v>
      </c>
      <c r="CS185" t="s">
        <v>114</v>
      </c>
      <c r="CT185">
        <v>1119.3978613597701</v>
      </c>
      <c r="CU185" t="s">
        <v>114</v>
      </c>
      <c r="CV185">
        <v>27.7291251671091</v>
      </c>
      <c r="CW185" t="s">
        <v>114</v>
      </c>
    </row>
    <row r="186" spans="1:101" x14ac:dyDescent="0.25">
      <c r="A186" t="s">
        <v>87</v>
      </c>
      <c r="B186">
        <v>6</v>
      </c>
      <c r="C186" t="s">
        <v>29</v>
      </c>
      <c r="D186" t="s">
        <v>95</v>
      </c>
      <c r="E186" t="s">
        <v>110</v>
      </c>
      <c r="F186" t="s">
        <v>145</v>
      </c>
      <c r="G186" t="s">
        <v>262</v>
      </c>
      <c r="H186" t="s">
        <v>768</v>
      </c>
      <c r="I186" t="s">
        <v>744</v>
      </c>
      <c r="J186" t="s">
        <v>460</v>
      </c>
      <c r="K186">
        <v>1</v>
      </c>
      <c r="L186">
        <v>10</v>
      </c>
      <c r="M186">
        <v>50</v>
      </c>
      <c r="N186">
        <v>10</v>
      </c>
      <c r="O186">
        <v>-40</v>
      </c>
      <c r="P186">
        <v>8</v>
      </c>
      <c r="Q186">
        <v>14</v>
      </c>
      <c r="R186">
        <v>5</v>
      </c>
      <c r="S186">
        <v>9.5</v>
      </c>
      <c r="T186">
        <v>0.95</v>
      </c>
      <c r="V186" t="s">
        <v>110</v>
      </c>
      <c r="W186">
        <v>55</v>
      </c>
      <c r="X186">
        <v>9</v>
      </c>
      <c r="Y186">
        <v>7.6</v>
      </c>
      <c r="Z186">
        <v>11.5</v>
      </c>
      <c r="AA186">
        <v>9.3666666670000005</v>
      </c>
      <c r="AB186">
        <v>9.3666666670000005</v>
      </c>
      <c r="AC186">
        <v>10.5</v>
      </c>
      <c r="AD186">
        <v>8.5</v>
      </c>
      <c r="AE186">
        <v>9.5</v>
      </c>
      <c r="AF186">
        <v>9.5</v>
      </c>
      <c r="AG186">
        <v>8.5</v>
      </c>
      <c r="AH186">
        <v>8.5</v>
      </c>
      <c r="AI186">
        <v>9.5</v>
      </c>
      <c r="AJ186">
        <v>8.8333333330000006</v>
      </c>
      <c r="AK186">
        <v>8.5</v>
      </c>
      <c r="AL186">
        <v>9</v>
      </c>
      <c r="AM186">
        <v>12</v>
      </c>
      <c r="AN186">
        <v>9.8333333330000006</v>
      </c>
      <c r="AO186">
        <v>8.8333333330000006</v>
      </c>
      <c r="AP186">
        <v>6.1</v>
      </c>
      <c r="AQ186">
        <v>6.1</v>
      </c>
      <c r="AR186">
        <v>6.1</v>
      </c>
      <c r="AS186">
        <v>6.1</v>
      </c>
      <c r="AT186">
        <v>5.6</v>
      </c>
      <c r="AU186">
        <v>6.1</v>
      </c>
      <c r="AV186">
        <v>5.0999999999999996</v>
      </c>
      <c r="AW186">
        <v>5.6</v>
      </c>
      <c r="AX186">
        <v>6.1</v>
      </c>
      <c r="AY186">
        <v>-3.266666667</v>
      </c>
      <c r="AZ186">
        <v>75</v>
      </c>
      <c r="BA186">
        <v>0</v>
      </c>
      <c r="BB186">
        <v>5</v>
      </c>
      <c r="BC186">
        <v>10</v>
      </c>
      <c r="BD186">
        <v>0</v>
      </c>
      <c r="BE186">
        <v>1</v>
      </c>
      <c r="BF186">
        <v>0</v>
      </c>
      <c r="BG186">
        <v>0</v>
      </c>
      <c r="BI186">
        <v>15</v>
      </c>
      <c r="BJ186">
        <v>54.951000000000001</v>
      </c>
      <c r="BK186">
        <v>0</v>
      </c>
      <c r="BL186">
        <v>3</v>
      </c>
      <c r="BM186">
        <v>1</v>
      </c>
      <c r="BN186">
        <v>1</v>
      </c>
      <c r="BO186">
        <v>0</v>
      </c>
      <c r="BP186">
        <v>1</v>
      </c>
      <c r="BQ186">
        <v>0</v>
      </c>
      <c r="BR186">
        <v>1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 t="s">
        <v>114</v>
      </c>
      <c r="BZ186" t="s">
        <v>114</v>
      </c>
      <c r="CA186" t="s">
        <v>114</v>
      </c>
      <c r="CB186" t="s">
        <v>114</v>
      </c>
      <c r="CC186" t="s">
        <v>114</v>
      </c>
      <c r="CD186" t="s">
        <v>114</v>
      </c>
      <c r="CE186">
        <v>0</v>
      </c>
      <c r="CF186" t="s">
        <v>114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 t="s">
        <v>114</v>
      </c>
      <c r="CP186" t="s">
        <v>114</v>
      </c>
      <c r="CQ186" t="s">
        <v>114</v>
      </c>
      <c r="CR186" t="s">
        <v>114</v>
      </c>
      <c r="CS186" t="s">
        <v>114</v>
      </c>
      <c r="CT186" t="s">
        <v>114</v>
      </c>
      <c r="CU186" t="s">
        <v>114</v>
      </c>
      <c r="CV186" t="s">
        <v>114</v>
      </c>
      <c r="CW186">
        <v>0</v>
      </c>
    </row>
    <row r="187" spans="1:101" x14ac:dyDescent="0.25">
      <c r="A187" t="s">
        <v>88</v>
      </c>
      <c r="B187">
        <v>6</v>
      </c>
      <c r="C187" t="s">
        <v>31</v>
      </c>
      <c r="D187" t="s">
        <v>95</v>
      </c>
      <c r="E187" t="s">
        <v>110</v>
      </c>
      <c r="F187" t="s">
        <v>145</v>
      </c>
      <c r="G187" t="s">
        <v>262</v>
      </c>
      <c r="H187" t="s">
        <v>768</v>
      </c>
      <c r="I187" t="s">
        <v>744</v>
      </c>
      <c r="J187" t="s">
        <v>461</v>
      </c>
      <c r="K187">
        <v>4</v>
      </c>
      <c r="L187">
        <v>180</v>
      </c>
      <c r="M187">
        <v>30</v>
      </c>
      <c r="N187">
        <v>180</v>
      </c>
      <c r="O187">
        <v>150</v>
      </c>
      <c r="P187">
        <v>16</v>
      </c>
      <c r="Q187">
        <v>25</v>
      </c>
      <c r="R187">
        <v>0</v>
      </c>
      <c r="S187">
        <v>12.5</v>
      </c>
      <c r="T187">
        <v>6.9444444444444448E-2</v>
      </c>
      <c r="U187" t="s">
        <v>794</v>
      </c>
      <c r="V187" t="s">
        <v>113</v>
      </c>
      <c r="W187">
        <v>120</v>
      </c>
      <c r="X187">
        <v>15.9</v>
      </c>
      <c r="Y187">
        <v>11.5</v>
      </c>
      <c r="Z187">
        <v>18.399999999999999</v>
      </c>
      <c r="AA187">
        <v>15.266666669999999</v>
      </c>
      <c r="AB187">
        <v>15.266666669999999</v>
      </c>
      <c r="AC187">
        <v>12</v>
      </c>
      <c r="AD187">
        <v>12.5</v>
      </c>
      <c r="AE187">
        <v>13</v>
      </c>
      <c r="AF187">
        <v>12.5</v>
      </c>
      <c r="AG187">
        <v>12</v>
      </c>
      <c r="AH187">
        <v>15.4</v>
      </c>
      <c r="AI187">
        <v>15.9</v>
      </c>
      <c r="AJ187">
        <v>14.43333333</v>
      </c>
      <c r="AK187">
        <v>10.5</v>
      </c>
      <c r="AL187">
        <v>10</v>
      </c>
      <c r="AM187">
        <v>12.5</v>
      </c>
      <c r="AN187">
        <v>11</v>
      </c>
      <c r="AO187">
        <v>14.43333333</v>
      </c>
      <c r="AP187">
        <v>8.5</v>
      </c>
      <c r="AQ187">
        <v>4.5999999999999996</v>
      </c>
      <c r="AR187">
        <v>5.6</v>
      </c>
      <c r="AS187">
        <v>6.233333333</v>
      </c>
      <c r="AT187">
        <v>4.5999999999999996</v>
      </c>
      <c r="AU187">
        <v>5.6</v>
      </c>
      <c r="AV187">
        <v>5.0999999999999996</v>
      </c>
      <c r="AW187">
        <v>5.0999999999999996</v>
      </c>
      <c r="AX187">
        <v>6.233333333</v>
      </c>
      <c r="AY187">
        <v>-9.0333333329999999</v>
      </c>
      <c r="AZ187">
        <v>10</v>
      </c>
      <c r="BA187">
        <v>40</v>
      </c>
      <c r="BB187">
        <v>2</v>
      </c>
      <c r="BC187">
        <v>10</v>
      </c>
      <c r="BD187">
        <v>1</v>
      </c>
      <c r="BE187">
        <v>1</v>
      </c>
      <c r="BF187">
        <v>0</v>
      </c>
      <c r="BG187">
        <v>0</v>
      </c>
      <c r="BI187">
        <v>15.5</v>
      </c>
      <c r="BJ187">
        <v>42.4</v>
      </c>
      <c r="BK187">
        <v>0</v>
      </c>
      <c r="BL187">
        <v>3</v>
      </c>
      <c r="BM187">
        <v>3</v>
      </c>
      <c r="BN187">
        <v>3</v>
      </c>
      <c r="BO187">
        <v>0</v>
      </c>
      <c r="BP187">
        <v>3</v>
      </c>
      <c r="BQ187">
        <v>0</v>
      </c>
      <c r="BR187">
        <v>3</v>
      </c>
      <c r="BS187">
        <v>17.763751644999999</v>
      </c>
      <c r="BT187">
        <v>0.66851159100000002</v>
      </c>
      <c r="BU187">
        <v>7.9912752200000003</v>
      </c>
      <c r="BV187">
        <v>-17.763751644999999</v>
      </c>
      <c r="BW187">
        <v>0.66851159100000002</v>
      </c>
      <c r="BX187">
        <v>7.9912752200000003</v>
      </c>
      <c r="BY187">
        <v>105.619899290072</v>
      </c>
      <c r="BZ187">
        <v>0.229866758514709</v>
      </c>
      <c r="CA187">
        <v>29.6846753499884</v>
      </c>
      <c r="CB187">
        <v>105.619899290072</v>
      </c>
      <c r="CC187">
        <v>0.229866758514709</v>
      </c>
      <c r="CD187">
        <v>29.6846753499884</v>
      </c>
      <c r="CE187">
        <v>0.58813364999999995</v>
      </c>
      <c r="CF187">
        <v>2.3251878998645E-2</v>
      </c>
      <c r="CG187">
        <v>0.64204547499999998</v>
      </c>
      <c r="CH187">
        <v>14.1302289175</v>
      </c>
      <c r="CI187">
        <v>0.49900246199999998</v>
      </c>
      <c r="CJ187">
        <v>9.9175629500000007</v>
      </c>
      <c r="CK187">
        <v>0.64204547499999998</v>
      </c>
      <c r="CL187">
        <v>-14.1302289175</v>
      </c>
      <c r="CM187">
        <v>0.49900246199999998</v>
      </c>
      <c r="CN187">
        <v>9.9175629500000007</v>
      </c>
      <c r="CO187">
        <v>1.16259394993225E-2</v>
      </c>
      <c r="CP187">
        <v>52.809949645036198</v>
      </c>
      <c r="CQ187">
        <v>0.114933379257355</v>
      </c>
      <c r="CR187">
        <v>14.8423376749942</v>
      </c>
      <c r="CS187">
        <v>1.16259394993225E-2</v>
      </c>
      <c r="CT187">
        <v>52.809949645036198</v>
      </c>
      <c r="CU187">
        <v>0.114933379257355</v>
      </c>
      <c r="CV187">
        <v>14.8423376749942</v>
      </c>
      <c r="CW187">
        <v>0.58813364999999995</v>
      </c>
    </row>
    <row r="188" spans="1:101" x14ac:dyDescent="0.25">
      <c r="A188" t="s">
        <v>88</v>
      </c>
      <c r="B188">
        <v>6</v>
      </c>
      <c r="C188" t="s">
        <v>31</v>
      </c>
      <c r="D188" t="s">
        <v>95</v>
      </c>
      <c r="E188" t="s">
        <v>112</v>
      </c>
      <c r="F188" t="s">
        <v>145</v>
      </c>
      <c r="G188" t="s">
        <v>261</v>
      </c>
      <c r="H188" t="s">
        <v>784</v>
      </c>
      <c r="I188" t="s">
        <v>741</v>
      </c>
      <c r="J188" t="s">
        <v>462</v>
      </c>
      <c r="K188">
        <v>2</v>
      </c>
      <c r="L188">
        <v>100</v>
      </c>
      <c r="M188">
        <v>70</v>
      </c>
      <c r="N188">
        <v>100</v>
      </c>
      <c r="O188">
        <v>30</v>
      </c>
      <c r="P188">
        <v>60</v>
      </c>
      <c r="Q188">
        <v>170</v>
      </c>
      <c r="R188">
        <v>45</v>
      </c>
      <c r="S188">
        <v>107.5</v>
      </c>
      <c r="T188">
        <v>1.075</v>
      </c>
      <c r="V188" t="s">
        <v>113</v>
      </c>
      <c r="W188">
        <v>40</v>
      </c>
      <c r="X188">
        <v>15.9</v>
      </c>
      <c r="Y188">
        <v>11.5</v>
      </c>
      <c r="Z188">
        <v>18.399999999999999</v>
      </c>
      <c r="AA188">
        <v>15.266666669999999</v>
      </c>
      <c r="AB188">
        <v>15.266666669999999</v>
      </c>
      <c r="AC188">
        <v>11.5</v>
      </c>
      <c r="AD188">
        <v>10</v>
      </c>
      <c r="AE188">
        <v>11.5</v>
      </c>
      <c r="AF188">
        <v>11</v>
      </c>
      <c r="AG188">
        <v>12</v>
      </c>
      <c r="AH188">
        <v>15.4</v>
      </c>
      <c r="AI188">
        <v>15.9</v>
      </c>
      <c r="AJ188">
        <v>14.43333333</v>
      </c>
      <c r="AK188">
        <v>12</v>
      </c>
      <c r="AL188">
        <v>11</v>
      </c>
      <c r="AM188">
        <v>11.5</v>
      </c>
      <c r="AN188">
        <v>11.5</v>
      </c>
      <c r="AO188">
        <v>14.43333333</v>
      </c>
      <c r="AP188">
        <v>8.5</v>
      </c>
      <c r="AQ188">
        <v>4.5999999999999996</v>
      </c>
      <c r="AR188">
        <v>5.6</v>
      </c>
      <c r="AS188">
        <v>6.233333333</v>
      </c>
      <c r="AT188">
        <v>5.0999999999999996</v>
      </c>
      <c r="AU188">
        <v>4.5999999999999996</v>
      </c>
      <c r="AV188">
        <v>4.5999999999999996</v>
      </c>
      <c r="AW188">
        <v>4.766666667</v>
      </c>
      <c r="AX188">
        <v>6.233333333</v>
      </c>
      <c r="AY188">
        <v>-9.0333333329999999</v>
      </c>
      <c r="AZ188">
        <v>10</v>
      </c>
      <c r="BA188">
        <v>40</v>
      </c>
      <c r="BB188">
        <v>2</v>
      </c>
      <c r="BC188">
        <v>10</v>
      </c>
      <c r="BD188">
        <v>1</v>
      </c>
      <c r="BE188">
        <v>1</v>
      </c>
      <c r="BF188">
        <v>0</v>
      </c>
      <c r="BG188">
        <v>0</v>
      </c>
      <c r="BI188">
        <v>15.5</v>
      </c>
      <c r="BJ188">
        <v>42.4</v>
      </c>
      <c r="BK188">
        <v>0</v>
      </c>
      <c r="BL188">
        <v>36</v>
      </c>
      <c r="BM188">
        <v>29</v>
      </c>
      <c r="BN188">
        <v>112</v>
      </c>
      <c r="BO188">
        <v>50</v>
      </c>
      <c r="BP188">
        <v>62</v>
      </c>
      <c r="BQ188">
        <v>48</v>
      </c>
      <c r="BR188">
        <v>64</v>
      </c>
      <c r="BS188">
        <v>18.663825760000002</v>
      </c>
      <c r="BT188">
        <v>1.5594277780000001</v>
      </c>
      <c r="BU188">
        <v>15.285372730000001</v>
      </c>
      <c r="BV188">
        <v>-18.663825760000002</v>
      </c>
      <c r="BW188">
        <v>1.5594277780000001</v>
      </c>
      <c r="BX188">
        <v>15.285372730000001</v>
      </c>
      <c r="BY188" t="s">
        <v>114</v>
      </c>
      <c r="BZ188" t="s">
        <v>114</v>
      </c>
      <c r="CA188" t="s">
        <v>114</v>
      </c>
      <c r="CB188" t="s">
        <v>114</v>
      </c>
      <c r="CC188" t="s">
        <v>114</v>
      </c>
      <c r="CD188" t="s">
        <v>114</v>
      </c>
      <c r="CE188">
        <v>1.9981640000000001</v>
      </c>
      <c r="CF188" t="s">
        <v>114</v>
      </c>
      <c r="CG188">
        <v>1.9981640000000001</v>
      </c>
      <c r="CH188">
        <v>18.663825760000002</v>
      </c>
      <c r="CI188">
        <v>1.5594277780000001</v>
      </c>
      <c r="CJ188">
        <v>15.285372730000001</v>
      </c>
      <c r="CK188">
        <v>1.9981640000000001</v>
      </c>
      <c r="CL188">
        <v>-18.663825760000002</v>
      </c>
      <c r="CM188">
        <v>1.5594277780000001</v>
      </c>
      <c r="CN188">
        <v>15.285372730000001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1.9981640000000001</v>
      </c>
    </row>
    <row r="189" spans="1:101" x14ac:dyDescent="0.25">
      <c r="A189" t="s">
        <v>89</v>
      </c>
      <c r="B189">
        <v>6</v>
      </c>
      <c r="C189" t="s">
        <v>33</v>
      </c>
      <c r="D189" t="s">
        <v>95</v>
      </c>
      <c r="E189" t="s">
        <v>104</v>
      </c>
      <c r="F189" t="s">
        <v>145</v>
      </c>
      <c r="G189" t="s">
        <v>264</v>
      </c>
      <c r="H189" t="s">
        <v>780</v>
      </c>
      <c r="I189" t="s">
        <v>745</v>
      </c>
      <c r="J189" t="s">
        <v>463</v>
      </c>
      <c r="K189">
        <v>3</v>
      </c>
      <c r="L189">
        <v>45</v>
      </c>
      <c r="M189">
        <v>150</v>
      </c>
      <c r="N189">
        <v>45</v>
      </c>
      <c r="O189">
        <v>-105</v>
      </c>
      <c r="P189">
        <v>40</v>
      </c>
      <c r="Q189">
        <v>20</v>
      </c>
      <c r="R189">
        <v>10</v>
      </c>
      <c r="S189">
        <v>15</v>
      </c>
      <c r="T189">
        <v>0.33333333333333331</v>
      </c>
      <c r="V189" t="s">
        <v>104</v>
      </c>
      <c r="W189">
        <v>90</v>
      </c>
      <c r="X189">
        <v>13</v>
      </c>
      <c r="Y189">
        <v>13.9</v>
      </c>
      <c r="Z189">
        <v>16.899999999999999</v>
      </c>
      <c r="AA189">
        <v>14.6</v>
      </c>
      <c r="AB189">
        <v>14.6</v>
      </c>
      <c r="AC189">
        <v>16.399999999999999</v>
      </c>
      <c r="AD189">
        <v>10</v>
      </c>
      <c r="AE189">
        <v>13.9</v>
      </c>
      <c r="AF189">
        <v>13.43333333</v>
      </c>
      <c r="AG189">
        <v>13.9</v>
      </c>
      <c r="AH189">
        <v>16.399999999999999</v>
      </c>
      <c r="AI189">
        <v>14.4</v>
      </c>
      <c r="AJ189">
        <v>14.9</v>
      </c>
      <c r="AK189">
        <v>12</v>
      </c>
      <c r="AL189">
        <v>13.5</v>
      </c>
      <c r="AM189">
        <v>14.9</v>
      </c>
      <c r="AN189">
        <v>13.46666667</v>
      </c>
      <c r="AO189">
        <v>14.9</v>
      </c>
      <c r="AP189">
        <v>6.6</v>
      </c>
      <c r="AQ189">
        <v>6.6</v>
      </c>
      <c r="AR189" t="s">
        <v>114</v>
      </c>
      <c r="AS189">
        <v>6.6</v>
      </c>
      <c r="AT189">
        <v>6.1</v>
      </c>
      <c r="AU189">
        <v>5.0999999999999996</v>
      </c>
      <c r="AV189">
        <v>6.6</v>
      </c>
      <c r="AW189">
        <v>5.9333333330000002</v>
      </c>
      <c r="AX189">
        <v>6.6</v>
      </c>
      <c r="AY189">
        <v>-8</v>
      </c>
      <c r="AZ189">
        <v>15</v>
      </c>
      <c r="BA189">
        <v>15</v>
      </c>
      <c r="BB189">
        <v>5</v>
      </c>
      <c r="BC189">
        <v>50</v>
      </c>
      <c r="BD189">
        <v>1</v>
      </c>
      <c r="BE189">
        <v>1</v>
      </c>
      <c r="BF189">
        <v>0</v>
      </c>
      <c r="BG189">
        <v>0</v>
      </c>
      <c r="BI189">
        <v>8.8000000000000007</v>
      </c>
      <c r="BJ189">
        <v>42.4</v>
      </c>
      <c r="BK189">
        <v>0</v>
      </c>
      <c r="BL189">
        <v>22</v>
      </c>
      <c r="BM189">
        <v>22</v>
      </c>
      <c r="BN189">
        <v>122</v>
      </c>
      <c r="BO189">
        <v>44</v>
      </c>
      <c r="BP189">
        <v>78</v>
      </c>
      <c r="BQ189">
        <v>44</v>
      </c>
      <c r="BR189">
        <v>78</v>
      </c>
      <c r="BS189">
        <v>7.3194444433333299</v>
      </c>
      <c r="BT189">
        <v>1.29714051033333</v>
      </c>
      <c r="BU189">
        <v>1.9218113999999999</v>
      </c>
      <c r="BV189">
        <v>3.11111111</v>
      </c>
      <c r="BW189">
        <v>1.29714051033333</v>
      </c>
      <c r="BX189">
        <v>1.9218113999999999</v>
      </c>
      <c r="BY189">
        <v>61.958477981504601</v>
      </c>
      <c r="BZ189">
        <v>1.44664591899371</v>
      </c>
      <c r="CA189">
        <v>2.8015822476687902</v>
      </c>
      <c r="CB189">
        <v>127.801359911921</v>
      </c>
      <c r="CC189">
        <v>1.44664591899371</v>
      </c>
      <c r="CD189">
        <v>2.8015822476687902</v>
      </c>
      <c r="CE189" t="s">
        <v>114</v>
      </c>
      <c r="CF189" t="s">
        <v>114</v>
      </c>
      <c r="CG189" t="s">
        <v>114</v>
      </c>
      <c r="CH189">
        <v>7.3194444433333299</v>
      </c>
      <c r="CI189">
        <v>1.29714051033333</v>
      </c>
      <c r="CJ189">
        <v>1.9218113999999999</v>
      </c>
      <c r="CK189" t="s">
        <v>114</v>
      </c>
      <c r="CL189">
        <v>3.11111111</v>
      </c>
      <c r="CM189">
        <v>1.29714051033333</v>
      </c>
      <c r="CN189">
        <v>1.9218113999999999</v>
      </c>
      <c r="CO189" t="s">
        <v>114</v>
      </c>
      <c r="CP189">
        <v>61.958477981504601</v>
      </c>
      <c r="CQ189">
        <v>1.44664591899371</v>
      </c>
      <c r="CR189">
        <v>2.8015822476687902</v>
      </c>
      <c r="CS189" t="s">
        <v>114</v>
      </c>
      <c r="CT189">
        <v>127.801359911921</v>
      </c>
      <c r="CU189">
        <v>1.44664591899371</v>
      </c>
      <c r="CV189">
        <v>2.8015822476687902</v>
      </c>
      <c r="CW189" t="s">
        <v>114</v>
      </c>
    </row>
    <row r="190" spans="1:101" x14ac:dyDescent="0.25">
      <c r="A190" t="s">
        <v>89</v>
      </c>
      <c r="B190">
        <v>6</v>
      </c>
      <c r="C190" t="s">
        <v>33</v>
      </c>
      <c r="D190" t="s">
        <v>95</v>
      </c>
      <c r="E190" t="s">
        <v>112</v>
      </c>
      <c r="F190" t="s">
        <v>145</v>
      </c>
      <c r="G190" t="s">
        <v>261</v>
      </c>
      <c r="H190" t="s">
        <v>784</v>
      </c>
      <c r="I190" t="s">
        <v>741</v>
      </c>
      <c r="J190" t="s">
        <v>464</v>
      </c>
      <c r="K190">
        <v>4</v>
      </c>
      <c r="L190">
        <v>45</v>
      </c>
      <c r="M190">
        <v>120</v>
      </c>
      <c r="N190">
        <v>45</v>
      </c>
      <c r="O190">
        <v>-75</v>
      </c>
      <c r="P190">
        <v>30</v>
      </c>
      <c r="Q190">
        <v>80</v>
      </c>
      <c r="R190">
        <v>25</v>
      </c>
      <c r="S190">
        <v>52.5</v>
      </c>
      <c r="T190">
        <v>1.1666666666666667</v>
      </c>
      <c r="V190" t="s">
        <v>113</v>
      </c>
      <c r="W190">
        <v>110</v>
      </c>
      <c r="X190">
        <v>13</v>
      </c>
      <c r="Y190">
        <v>13.9</v>
      </c>
      <c r="Z190">
        <v>16.899999999999999</v>
      </c>
      <c r="AA190">
        <v>14.6</v>
      </c>
      <c r="AB190">
        <v>14.6</v>
      </c>
      <c r="AC190">
        <v>18.899999999999999</v>
      </c>
      <c r="AD190">
        <v>18.399999999999999</v>
      </c>
      <c r="AE190">
        <v>17.399999999999999</v>
      </c>
      <c r="AF190">
        <v>18.233333330000001</v>
      </c>
      <c r="AG190">
        <v>13.9</v>
      </c>
      <c r="AH190">
        <v>16.399999999999999</v>
      </c>
      <c r="AI190">
        <v>14.4</v>
      </c>
      <c r="AJ190">
        <v>14.9</v>
      </c>
      <c r="AK190">
        <v>18.899999999999999</v>
      </c>
      <c r="AL190">
        <v>14.9</v>
      </c>
      <c r="AM190">
        <v>15.4</v>
      </c>
      <c r="AN190">
        <v>16.399999999999999</v>
      </c>
      <c r="AO190">
        <v>14.9</v>
      </c>
      <c r="AP190">
        <v>6.6</v>
      </c>
      <c r="AQ190">
        <v>6.6</v>
      </c>
      <c r="AR190" t="s">
        <v>114</v>
      </c>
      <c r="AS190">
        <v>6.6</v>
      </c>
      <c r="AT190">
        <v>6.1</v>
      </c>
      <c r="AU190">
        <v>6.6</v>
      </c>
      <c r="AV190">
        <v>6.1</v>
      </c>
      <c r="AW190">
        <v>6.266666667</v>
      </c>
      <c r="AX190">
        <v>6.6</v>
      </c>
      <c r="AY190">
        <v>-8</v>
      </c>
      <c r="AZ190">
        <v>15</v>
      </c>
      <c r="BA190">
        <v>15</v>
      </c>
      <c r="BB190">
        <v>5</v>
      </c>
      <c r="BC190">
        <v>50</v>
      </c>
      <c r="BD190">
        <v>1</v>
      </c>
      <c r="BE190">
        <v>1</v>
      </c>
      <c r="BF190">
        <v>0</v>
      </c>
      <c r="BG190">
        <v>0</v>
      </c>
      <c r="BI190">
        <v>8.8000000000000007</v>
      </c>
      <c r="BJ190">
        <v>42.4</v>
      </c>
      <c r="BK190">
        <v>1</v>
      </c>
      <c r="BL190">
        <v>3</v>
      </c>
      <c r="BM190">
        <v>3</v>
      </c>
      <c r="BN190">
        <v>9</v>
      </c>
      <c r="BO190">
        <v>50</v>
      </c>
      <c r="BP190">
        <v>-41</v>
      </c>
      <c r="BQ190">
        <v>78</v>
      </c>
      <c r="BR190">
        <v>-69</v>
      </c>
      <c r="BS190">
        <v>18.663825760000002</v>
      </c>
      <c r="BT190">
        <v>1.5594277780000001</v>
      </c>
      <c r="BU190">
        <v>15.285372730000001</v>
      </c>
      <c r="BV190">
        <v>-18.663825760000002</v>
      </c>
      <c r="BW190">
        <v>1.5594277780000001</v>
      </c>
      <c r="BX190">
        <v>15.285372730000001</v>
      </c>
      <c r="BY190" t="s">
        <v>114</v>
      </c>
      <c r="BZ190" t="s">
        <v>114</v>
      </c>
      <c r="CA190" t="s">
        <v>114</v>
      </c>
      <c r="CB190" t="s">
        <v>114</v>
      </c>
      <c r="CC190" t="s">
        <v>114</v>
      </c>
      <c r="CD190" t="s">
        <v>114</v>
      </c>
      <c r="CE190">
        <v>1.9981640000000001</v>
      </c>
      <c r="CF190" t="s">
        <v>114</v>
      </c>
      <c r="CG190">
        <v>1.9981640000000001</v>
      </c>
      <c r="CH190">
        <v>18.663825760000002</v>
      </c>
      <c r="CI190">
        <v>1.5594277780000001</v>
      </c>
      <c r="CJ190">
        <v>15.285372730000001</v>
      </c>
      <c r="CK190">
        <v>1.9981640000000001</v>
      </c>
      <c r="CL190">
        <v>-18.663825760000002</v>
      </c>
      <c r="CM190">
        <v>1.5594277780000001</v>
      </c>
      <c r="CN190">
        <v>15.285372730000001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1.9981640000000001</v>
      </c>
    </row>
    <row r="191" spans="1:101" x14ac:dyDescent="0.25">
      <c r="A191" t="s">
        <v>90</v>
      </c>
      <c r="B191">
        <v>6</v>
      </c>
      <c r="C191" t="s">
        <v>35</v>
      </c>
      <c r="D191" t="s">
        <v>94</v>
      </c>
      <c r="E191" t="s">
        <v>111</v>
      </c>
      <c r="F191" t="s">
        <v>145</v>
      </c>
      <c r="G191" t="s">
        <v>263</v>
      </c>
      <c r="H191" t="s">
        <v>775</v>
      </c>
      <c r="I191" t="s">
        <v>739</v>
      </c>
      <c r="J191" t="s">
        <v>465</v>
      </c>
      <c r="K191">
        <v>4</v>
      </c>
      <c r="L191">
        <v>310</v>
      </c>
      <c r="M191">
        <v>490</v>
      </c>
      <c r="N191">
        <v>310</v>
      </c>
      <c r="O191">
        <v>-180</v>
      </c>
      <c r="P191">
        <v>75</v>
      </c>
      <c r="Q191">
        <v>100</v>
      </c>
      <c r="R191">
        <v>70</v>
      </c>
      <c r="S191">
        <v>85</v>
      </c>
      <c r="T191">
        <v>0.27419354838709675</v>
      </c>
      <c r="V191" t="s">
        <v>121</v>
      </c>
      <c r="W191" t="s">
        <v>114</v>
      </c>
      <c r="X191">
        <v>10</v>
      </c>
      <c r="Y191">
        <v>10</v>
      </c>
      <c r="Z191">
        <v>10.5</v>
      </c>
      <c r="AA191">
        <v>10.16666667</v>
      </c>
      <c r="AB191">
        <v>10.16666667</v>
      </c>
      <c r="AC191">
        <v>10</v>
      </c>
      <c r="AD191">
        <v>10.5</v>
      </c>
      <c r="AE191">
        <v>12</v>
      </c>
      <c r="AF191">
        <v>10.83333333</v>
      </c>
      <c r="AG191">
        <v>9</v>
      </c>
      <c r="AH191">
        <v>10</v>
      </c>
      <c r="AI191">
        <v>11</v>
      </c>
      <c r="AJ191">
        <v>10</v>
      </c>
      <c r="AK191">
        <v>9.5</v>
      </c>
      <c r="AL191">
        <v>9.5</v>
      </c>
      <c r="AM191">
        <v>9.5</v>
      </c>
      <c r="AN191">
        <v>9.5</v>
      </c>
      <c r="AO191">
        <v>10</v>
      </c>
      <c r="AP191">
        <v>4.0999999999999996</v>
      </c>
      <c r="AQ191">
        <v>4.0999999999999996</v>
      </c>
      <c r="AR191">
        <v>4.5999999999999996</v>
      </c>
      <c r="AS191">
        <v>4.266666667</v>
      </c>
      <c r="AT191">
        <v>5.0999999999999996</v>
      </c>
      <c r="AU191">
        <v>3.6</v>
      </c>
      <c r="AV191">
        <v>5.6</v>
      </c>
      <c r="AW191">
        <v>4.766666667</v>
      </c>
      <c r="AX191">
        <v>4.266666667</v>
      </c>
      <c r="AY191">
        <v>-5.9</v>
      </c>
      <c r="AZ191">
        <v>20</v>
      </c>
      <c r="BA191">
        <v>25</v>
      </c>
      <c r="BB191">
        <v>3</v>
      </c>
      <c r="BC191">
        <v>10</v>
      </c>
      <c r="BD191">
        <v>0</v>
      </c>
      <c r="BE191">
        <v>1</v>
      </c>
      <c r="BF191">
        <v>0</v>
      </c>
      <c r="BG191">
        <v>0</v>
      </c>
      <c r="BI191">
        <v>15.3</v>
      </c>
      <c r="BJ191">
        <v>4.1269999999999998</v>
      </c>
      <c r="BK191">
        <v>0</v>
      </c>
      <c r="BL191" t="s">
        <v>114</v>
      </c>
      <c r="BM191" t="s">
        <v>114</v>
      </c>
      <c r="BN191" t="s">
        <v>114</v>
      </c>
      <c r="BO191">
        <v>4600</v>
      </c>
      <c r="BP191" t="s">
        <v>114</v>
      </c>
      <c r="BQ191">
        <v>4442</v>
      </c>
      <c r="BR191" t="s">
        <v>114</v>
      </c>
      <c r="BS191">
        <v>44.774886879999997</v>
      </c>
      <c r="BT191">
        <v>1.686176111</v>
      </c>
      <c r="BU191">
        <v>8.3051498699999993</v>
      </c>
      <c r="BV191">
        <v>-32.341919849999996</v>
      </c>
      <c r="BW191">
        <v>-1.686176111</v>
      </c>
      <c r="BX191">
        <v>-8.3051498699999993</v>
      </c>
      <c r="BY191">
        <v>2091.9995591676502</v>
      </c>
      <c r="BZ191">
        <v>4.9067340897632699</v>
      </c>
      <c r="CA191">
        <v>18.476658985201901</v>
      </c>
      <c r="CB191">
        <v>4009.58099023359</v>
      </c>
      <c r="CC191">
        <v>4.9067340897632699</v>
      </c>
      <c r="CD191">
        <v>18.476658985201901</v>
      </c>
      <c r="CE191" t="s">
        <v>114</v>
      </c>
      <c r="CF191" t="s">
        <v>114</v>
      </c>
      <c r="CG191" t="s">
        <v>114</v>
      </c>
      <c r="CH191">
        <v>60.945846805000002</v>
      </c>
      <c r="CI191">
        <v>0.90301472199999999</v>
      </c>
      <c r="CJ191">
        <v>6.7854188500000001</v>
      </c>
      <c r="CK191" t="s">
        <v>114</v>
      </c>
      <c r="CL191">
        <v>-54.729363290000002</v>
      </c>
      <c r="CM191">
        <v>-0.90301472199999999</v>
      </c>
      <c r="CN191">
        <v>-6.7854188500000001</v>
      </c>
      <c r="CO191" t="s">
        <v>114</v>
      </c>
      <c r="CP191">
        <v>1045.9997795838201</v>
      </c>
      <c r="CQ191">
        <v>2.4533670448816398</v>
      </c>
      <c r="CR191">
        <v>9.2383294926009594</v>
      </c>
      <c r="CS191" t="s">
        <v>114</v>
      </c>
      <c r="CT191">
        <v>2004.7904951168</v>
      </c>
      <c r="CU191">
        <v>2.4533670448816398</v>
      </c>
      <c r="CV191">
        <v>9.2383294926009594</v>
      </c>
      <c r="CW191" t="s">
        <v>114</v>
      </c>
    </row>
    <row r="192" spans="1:101" x14ac:dyDescent="0.25">
      <c r="A192" t="s">
        <v>90</v>
      </c>
      <c r="B192">
        <v>6</v>
      </c>
      <c r="C192" t="s">
        <v>35</v>
      </c>
      <c r="D192" t="s">
        <v>94</v>
      </c>
      <c r="E192" t="s">
        <v>104</v>
      </c>
      <c r="F192" t="s">
        <v>145</v>
      </c>
      <c r="G192" t="s">
        <v>264</v>
      </c>
      <c r="H192" t="s">
        <v>779</v>
      </c>
      <c r="I192" t="s">
        <v>738</v>
      </c>
      <c r="J192" t="s">
        <v>466</v>
      </c>
      <c r="K192">
        <v>3</v>
      </c>
      <c r="L192">
        <v>120</v>
      </c>
      <c r="M192">
        <v>95</v>
      </c>
      <c r="N192">
        <v>120</v>
      </c>
      <c r="O192">
        <v>25</v>
      </c>
      <c r="P192">
        <v>25</v>
      </c>
      <c r="Q192">
        <v>30</v>
      </c>
      <c r="R192">
        <v>16</v>
      </c>
      <c r="S192">
        <v>23</v>
      </c>
      <c r="T192">
        <v>0.19166666666666668</v>
      </c>
      <c r="V192" t="s">
        <v>111</v>
      </c>
      <c r="W192">
        <v>110</v>
      </c>
      <c r="X192">
        <v>10</v>
      </c>
      <c r="Y192">
        <v>10</v>
      </c>
      <c r="Z192">
        <v>10.5</v>
      </c>
      <c r="AA192">
        <v>10.16666667</v>
      </c>
      <c r="AB192">
        <v>10.16666667</v>
      </c>
      <c r="AC192">
        <v>10</v>
      </c>
      <c r="AD192">
        <v>11</v>
      </c>
      <c r="AE192">
        <v>12</v>
      </c>
      <c r="AF192">
        <v>11</v>
      </c>
      <c r="AG192">
        <v>9</v>
      </c>
      <c r="AH192">
        <v>10</v>
      </c>
      <c r="AI192">
        <v>11</v>
      </c>
      <c r="AJ192">
        <v>10</v>
      </c>
      <c r="AK192">
        <v>11</v>
      </c>
      <c r="AL192">
        <v>11.5</v>
      </c>
      <c r="AM192">
        <v>11.5</v>
      </c>
      <c r="AN192">
        <v>11.33333333</v>
      </c>
      <c r="AO192">
        <v>10</v>
      </c>
      <c r="AP192">
        <v>4.0999999999999996</v>
      </c>
      <c r="AQ192">
        <v>4.0999999999999996</v>
      </c>
      <c r="AR192">
        <v>4.5999999999999996</v>
      </c>
      <c r="AS192">
        <v>4.266666667</v>
      </c>
      <c r="AT192">
        <v>5.6</v>
      </c>
      <c r="AU192">
        <v>5.6</v>
      </c>
      <c r="AV192">
        <v>5.0999999999999996</v>
      </c>
      <c r="AW192">
        <v>5.4333333330000002</v>
      </c>
      <c r="AX192">
        <v>4.266666667</v>
      </c>
      <c r="AY192">
        <v>-5.9</v>
      </c>
      <c r="AZ192">
        <v>20</v>
      </c>
      <c r="BA192">
        <v>25</v>
      </c>
      <c r="BB192">
        <v>3</v>
      </c>
      <c r="BC192">
        <v>10</v>
      </c>
      <c r="BD192">
        <v>0</v>
      </c>
      <c r="BE192">
        <v>1</v>
      </c>
      <c r="BF192">
        <v>0</v>
      </c>
      <c r="BG192">
        <v>0</v>
      </c>
      <c r="BI192">
        <v>15.3</v>
      </c>
      <c r="BJ192">
        <v>4.1269999999999998</v>
      </c>
      <c r="BK192">
        <v>1</v>
      </c>
      <c r="BL192">
        <v>3</v>
      </c>
      <c r="BM192">
        <v>3</v>
      </c>
      <c r="BN192">
        <v>14</v>
      </c>
      <c r="BO192">
        <v>48</v>
      </c>
      <c r="BP192">
        <v>-34</v>
      </c>
      <c r="BQ192">
        <v>78</v>
      </c>
      <c r="BR192">
        <v>-64</v>
      </c>
      <c r="BS192">
        <v>38.558403364999997</v>
      </c>
      <c r="BT192">
        <v>2.2434222225</v>
      </c>
      <c r="BU192">
        <v>6.4267455050000004</v>
      </c>
      <c r="BV192">
        <v>-19.592331935000001</v>
      </c>
      <c r="BW192">
        <v>2.2434222225</v>
      </c>
      <c r="BX192">
        <v>6.4267455050000004</v>
      </c>
      <c r="BY192">
        <v>767.71894130244198</v>
      </c>
      <c r="BZ192">
        <v>7.18241071560445E-3</v>
      </c>
      <c r="CA192">
        <v>13.8637341615051</v>
      </c>
      <c r="CB192">
        <v>2973.5009401160901</v>
      </c>
      <c r="CC192">
        <v>7.18241071560445E-3</v>
      </c>
      <c r="CD192">
        <v>13.8637341615051</v>
      </c>
      <c r="CE192" t="s">
        <v>114</v>
      </c>
      <c r="CF192" t="s">
        <v>114</v>
      </c>
      <c r="CG192" t="s">
        <v>114</v>
      </c>
      <c r="CH192">
        <v>45.0891806766667</v>
      </c>
      <c r="CI192">
        <v>2.2234466670000002</v>
      </c>
      <c r="CJ192">
        <v>5.5491308666666699</v>
      </c>
      <c r="CK192" t="s">
        <v>114</v>
      </c>
      <c r="CL192">
        <v>-32.445133056666698</v>
      </c>
      <c r="CM192">
        <v>2.2234466670000002</v>
      </c>
      <c r="CN192">
        <v>5.5491308666666699</v>
      </c>
      <c r="CO192" t="s">
        <v>114</v>
      </c>
      <c r="CP192">
        <v>511.812627534961</v>
      </c>
      <c r="CQ192">
        <v>4.78827381040296E-3</v>
      </c>
      <c r="CR192">
        <v>9.2424894410033698</v>
      </c>
      <c r="CS192" t="s">
        <v>114</v>
      </c>
      <c r="CT192">
        <v>1982.33396007739</v>
      </c>
      <c r="CU192">
        <v>4.78827381040296E-3</v>
      </c>
      <c r="CV192">
        <v>9.2424894410033698</v>
      </c>
      <c r="CW192" t="s">
        <v>114</v>
      </c>
    </row>
    <row r="193" spans="1:101" x14ac:dyDescent="0.25">
      <c r="A193" t="s">
        <v>91</v>
      </c>
      <c r="B193">
        <v>6</v>
      </c>
      <c r="C193" t="s">
        <v>37</v>
      </c>
      <c r="D193" t="s">
        <v>94</v>
      </c>
      <c r="E193" t="s">
        <v>112</v>
      </c>
      <c r="F193" t="s">
        <v>145</v>
      </c>
      <c r="G193" t="s">
        <v>261</v>
      </c>
      <c r="H193" t="s">
        <v>783</v>
      </c>
      <c r="I193" t="s">
        <v>743</v>
      </c>
      <c r="J193" t="s">
        <v>467</v>
      </c>
      <c r="K193">
        <v>1</v>
      </c>
      <c r="L193">
        <v>60</v>
      </c>
      <c r="M193">
        <v>50</v>
      </c>
      <c r="N193">
        <v>60</v>
      </c>
      <c r="O193">
        <v>10</v>
      </c>
      <c r="P193">
        <v>55</v>
      </c>
      <c r="Q193">
        <v>220</v>
      </c>
      <c r="R193">
        <v>190</v>
      </c>
      <c r="S193">
        <v>205</v>
      </c>
      <c r="T193">
        <v>3.4166666666666665</v>
      </c>
      <c r="V193" t="s">
        <v>112</v>
      </c>
      <c r="W193">
        <v>100</v>
      </c>
      <c r="X193">
        <v>9</v>
      </c>
      <c r="Y193">
        <v>8.1</v>
      </c>
      <c r="Z193">
        <v>13</v>
      </c>
      <c r="AA193">
        <v>10.03333333</v>
      </c>
      <c r="AB193">
        <v>10.03333333</v>
      </c>
      <c r="AC193">
        <v>10</v>
      </c>
      <c r="AD193">
        <v>11</v>
      </c>
      <c r="AE193">
        <v>11</v>
      </c>
      <c r="AF193">
        <v>10.66666667</v>
      </c>
      <c r="AG193">
        <v>7.1</v>
      </c>
      <c r="AH193">
        <v>8.5</v>
      </c>
      <c r="AI193">
        <v>12</v>
      </c>
      <c r="AJ193">
        <v>9.1999999999999993</v>
      </c>
      <c r="AK193">
        <v>9</v>
      </c>
      <c r="AL193">
        <v>9</v>
      </c>
      <c r="AM193">
        <v>10.5</v>
      </c>
      <c r="AN193">
        <v>9.5</v>
      </c>
      <c r="AO193">
        <v>9.1999999999999993</v>
      </c>
      <c r="AP193">
        <v>4.0999999999999996</v>
      </c>
      <c r="AQ193">
        <v>4.0999999999999996</v>
      </c>
      <c r="AR193">
        <v>3.6</v>
      </c>
      <c r="AS193">
        <v>3.9333333330000002</v>
      </c>
      <c r="AT193">
        <v>5.0999999999999996</v>
      </c>
      <c r="AU193">
        <v>4.0999999999999996</v>
      </c>
      <c r="AV193">
        <v>4.5999999999999996</v>
      </c>
      <c r="AW193">
        <v>4.5999999999999996</v>
      </c>
      <c r="AX193">
        <v>3.9333333330000002</v>
      </c>
      <c r="AY193">
        <v>-6.1</v>
      </c>
      <c r="AZ193">
        <v>75</v>
      </c>
      <c r="BA193">
        <v>0</v>
      </c>
      <c r="BB193">
        <v>3</v>
      </c>
      <c r="BC193">
        <v>1</v>
      </c>
      <c r="BD193">
        <v>0</v>
      </c>
      <c r="BE193">
        <v>0</v>
      </c>
      <c r="BF193">
        <v>0</v>
      </c>
      <c r="BG193">
        <v>0</v>
      </c>
      <c r="BI193">
        <v>15.9</v>
      </c>
      <c r="BJ193">
        <v>0.74299999999999999</v>
      </c>
      <c r="BK193">
        <v>0</v>
      </c>
      <c r="BL193">
        <v>100</v>
      </c>
      <c r="BM193">
        <v>86</v>
      </c>
      <c r="BN193">
        <v>394</v>
      </c>
      <c r="BO193">
        <v>152</v>
      </c>
      <c r="BP193">
        <v>242</v>
      </c>
      <c r="BQ193">
        <v>251</v>
      </c>
      <c r="BR193">
        <v>143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 t="s">
        <v>114</v>
      </c>
      <c r="BZ193" t="s">
        <v>114</v>
      </c>
      <c r="CA193" t="s">
        <v>114</v>
      </c>
      <c r="CB193" t="s">
        <v>114</v>
      </c>
      <c r="CC193" t="s">
        <v>114</v>
      </c>
      <c r="CD193" t="s">
        <v>114</v>
      </c>
      <c r="CE193">
        <v>0</v>
      </c>
      <c r="CF193" t="s">
        <v>114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 t="s">
        <v>114</v>
      </c>
      <c r="CP193" t="s">
        <v>114</v>
      </c>
      <c r="CQ193" t="s">
        <v>114</v>
      </c>
      <c r="CR193" t="s">
        <v>114</v>
      </c>
      <c r="CS193" t="s">
        <v>114</v>
      </c>
      <c r="CT193" t="s">
        <v>114</v>
      </c>
      <c r="CU193" t="s">
        <v>114</v>
      </c>
      <c r="CV193" t="s">
        <v>114</v>
      </c>
      <c r="CW193">
        <v>0</v>
      </c>
    </row>
    <row r="194" spans="1:101" x14ac:dyDescent="0.25">
      <c r="A194" t="s">
        <v>92</v>
      </c>
      <c r="B194">
        <v>6</v>
      </c>
      <c r="C194" t="s">
        <v>64</v>
      </c>
      <c r="D194" t="s">
        <v>94</v>
      </c>
      <c r="E194" t="s">
        <v>112</v>
      </c>
      <c r="F194" t="s">
        <v>145</v>
      </c>
      <c r="G194" t="s">
        <v>261</v>
      </c>
      <c r="H194" t="s">
        <v>783</v>
      </c>
      <c r="I194" t="s">
        <v>743</v>
      </c>
      <c r="J194" t="s">
        <v>468</v>
      </c>
      <c r="K194">
        <v>3</v>
      </c>
      <c r="L194">
        <v>70</v>
      </c>
      <c r="M194">
        <v>60</v>
      </c>
      <c r="N194">
        <v>70</v>
      </c>
      <c r="O194">
        <v>10</v>
      </c>
      <c r="P194">
        <v>70</v>
      </c>
      <c r="Q194">
        <v>200</v>
      </c>
      <c r="R194">
        <v>60</v>
      </c>
      <c r="S194">
        <v>130</v>
      </c>
      <c r="T194">
        <v>1.8571428571428572</v>
      </c>
      <c r="U194" t="s">
        <v>15</v>
      </c>
      <c r="V194" t="s">
        <v>102</v>
      </c>
      <c r="W194">
        <v>70</v>
      </c>
      <c r="X194">
        <v>10</v>
      </c>
      <c r="Y194">
        <v>11</v>
      </c>
      <c r="Z194">
        <v>13</v>
      </c>
      <c r="AA194">
        <v>11.33333333</v>
      </c>
      <c r="AB194">
        <v>11.33333333</v>
      </c>
      <c r="AC194">
        <v>9</v>
      </c>
      <c r="AD194">
        <v>10</v>
      </c>
      <c r="AE194">
        <v>11.5</v>
      </c>
      <c r="AF194">
        <v>10.16666667</v>
      </c>
      <c r="AG194">
        <v>11</v>
      </c>
      <c r="AH194">
        <v>10.5</v>
      </c>
      <c r="AI194">
        <v>9</v>
      </c>
      <c r="AJ194">
        <v>10.16666667</v>
      </c>
      <c r="AK194">
        <v>12</v>
      </c>
      <c r="AL194">
        <v>11</v>
      </c>
      <c r="AM194">
        <v>9</v>
      </c>
      <c r="AN194">
        <v>10.66666667</v>
      </c>
      <c r="AO194">
        <v>10.16666667</v>
      </c>
      <c r="AP194">
        <v>4.0999999999999996</v>
      </c>
      <c r="AQ194">
        <v>6.6</v>
      </c>
      <c r="AR194">
        <v>6.1</v>
      </c>
      <c r="AS194">
        <v>5.6</v>
      </c>
      <c r="AT194">
        <v>5.6</v>
      </c>
      <c r="AU194">
        <v>5.0999999999999996</v>
      </c>
      <c r="AV194">
        <v>6.6</v>
      </c>
      <c r="AW194">
        <v>5.766666667</v>
      </c>
      <c r="AX194">
        <v>5.6</v>
      </c>
      <c r="AY194">
        <v>-5.733333333</v>
      </c>
      <c r="AZ194">
        <v>50</v>
      </c>
      <c r="BA194">
        <v>1</v>
      </c>
      <c r="BB194">
        <v>25</v>
      </c>
      <c r="BC194">
        <v>1</v>
      </c>
      <c r="BD194">
        <v>0</v>
      </c>
      <c r="BE194">
        <v>0</v>
      </c>
      <c r="BF194">
        <v>0</v>
      </c>
      <c r="BG194">
        <v>0</v>
      </c>
      <c r="BI194">
        <v>7</v>
      </c>
      <c r="BJ194">
        <v>2.6829999999999998</v>
      </c>
      <c r="BK194">
        <v>0</v>
      </c>
      <c r="BL194">
        <v>45</v>
      </c>
      <c r="BM194">
        <v>45</v>
      </c>
      <c r="BN194">
        <v>186</v>
      </c>
      <c r="BO194">
        <v>152</v>
      </c>
      <c r="BP194">
        <v>34</v>
      </c>
      <c r="BQ194">
        <v>73</v>
      </c>
      <c r="BR194">
        <v>113</v>
      </c>
      <c r="BS194">
        <v>34.276620370000003</v>
      </c>
      <c r="BT194">
        <v>1.4628597225</v>
      </c>
      <c r="BU194">
        <v>8.0964593649999994</v>
      </c>
      <c r="BV194">
        <v>-34.276620370000003</v>
      </c>
      <c r="BW194">
        <v>1.4628597225</v>
      </c>
      <c r="BX194">
        <v>8.0964593649999994</v>
      </c>
      <c r="BY194">
        <v>428.05212622194801</v>
      </c>
      <c r="BZ194">
        <v>0.170034229127912</v>
      </c>
      <c r="CA194">
        <v>0.79854260887252904</v>
      </c>
      <c r="CB194">
        <v>428.05212622194801</v>
      </c>
      <c r="CC194">
        <v>0.170034229127912</v>
      </c>
      <c r="CD194">
        <v>0.79854260887252904</v>
      </c>
      <c r="CE194">
        <v>1.490935785</v>
      </c>
      <c r="CF194">
        <v>0.38177769900328201</v>
      </c>
      <c r="CG194">
        <v>1.34529969</v>
      </c>
      <c r="CH194">
        <v>29.400077159999999</v>
      </c>
      <c r="CI194">
        <v>1.3656674076666699</v>
      </c>
      <c r="CJ194">
        <v>8.3070857599999997</v>
      </c>
      <c r="CK194">
        <v>1.34529969</v>
      </c>
      <c r="CL194">
        <v>-29.400077159999999</v>
      </c>
      <c r="CM194">
        <v>1.3656674076666699</v>
      </c>
      <c r="CN194">
        <v>8.3070857599999997</v>
      </c>
      <c r="CO194">
        <v>0.25451846600218803</v>
      </c>
      <c r="CP194">
        <v>285.36808414796502</v>
      </c>
      <c r="CQ194">
        <v>0.113356152751941</v>
      </c>
      <c r="CR194">
        <v>0.53236173924835295</v>
      </c>
      <c r="CS194">
        <v>0.25451846600218803</v>
      </c>
      <c r="CT194">
        <v>285.36808414796502</v>
      </c>
      <c r="CU194">
        <v>0.113356152751941</v>
      </c>
      <c r="CV194">
        <v>0.53236173924835295</v>
      </c>
      <c r="CW194">
        <v>1.490935785</v>
      </c>
    </row>
    <row r="195" spans="1:101" x14ac:dyDescent="0.25">
      <c r="A195" t="s">
        <v>93</v>
      </c>
      <c r="B195">
        <v>6</v>
      </c>
      <c r="C195" t="s">
        <v>66</v>
      </c>
      <c r="D195" t="s">
        <v>95</v>
      </c>
      <c r="E195" t="s">
        <v>104</v>
      </c>
      <c r="F195" t="s">
        <v>145</v>
      </c>
      <c r="G195" t="s">
        <v>264</v>
      </c>
      <c r="H195" t="s">
        <v>780</v>
      </c>
      <c r="I195" t="s">
        <v>745</v>
      </c>
      <c r="J195" t="s">
        <v>469</v>
      </c>
      <c r="K195">
        <v>9</v>
      </c>
      <c r="L195">
        <v>45</v>
      </c>
      <c r="M195">
        <v>30</v>
      </c>
      <c r="N195">
        <v>45</v>
      </c>
      <c r="O195">
        <v>15</v>
      </c>
      <c r="P195">
        <v>25</v>
      </c>
      <c r="Q195">
        <v>15</v>
      </c>
      <c r="R195">
        <v>10</v>
      </c>
      <c r="S195">
        <v>12.5</v>
      </c>
      <c r="T195">
        <v>0.27777777777777779</v>
      </c>
      <c r="V195" t="s">
        <v>103</v>
      </c>
      <c r="W195">
        <v>80</v>
      </c>
      <c r="X195">
        <v>12</v>
      </c>
      <c r="Y195">
        <v>11</v>
      </c>
      <c r="Z195">
        <v>11.5</v>
      </c>
      <c r="AA195">
        <v>11.5</v>
      </c>
      <c r="AB195">
        <v>11.5</v>
      </c>
      <c r="AC195">
        <v>12</v>
      </c>
      <c r="AD195">
        <v>13</v>
      </c>
      <c r="AE195">
        <v>11.5</v>
      </c>
      <c r="AF195">
        <v>12.16666667</v>
      </c>
      <c r="AG195">
        <v>9.5</v>
      </c>
      <c r="AH195">
        <v>8.5</v>
      </c>
      <c r="AI195">
        <v>9.5</v>
      </c>
      <c r="AJ195">
        <v>9.1666666669999994</v>
      </c>
      <c r="AK195">
        <v>11</v>
      </c>
      <c r="AL195">
        <v>11</v>
      </c>
      <c r="AM195">
        <v>11</v>
      </c>
      <c r="AN195">
        <v>11</v>
      </c>
      <c r="AO195">
        <v>9.1666666669999994</v>
      </c>
      <c r="AP195">
        <v>4.5999999999999996</v>
      </c>
      <c r="AQ195">
        <v>5.0999999999999996</v>
      </c>
      <c r="AR195">
        <v>4.5999999999999996</v>
      </c>
      <c r="AS195">
        <v>4.766666667</v>
      </c>
      <c r="AT195">
        <v>3.6</v>
      </c>
      <c r="AU195">
        <v>6.1</v>
      </c>
      <c r="AV195">
        <v>4.5999999999999996</v>
      </c>
      <c r="AW195">
        <v>4.766666667</v>
      </c>
      <c r="AX195">
        <v>4.766666667</v>
      </c>
      <c r="AY195">
        <v>-6.733333333</v>
      </c>
      <c r="AZ195">
        <v>15</v>
      </c>
      <c r="BA195">
        <v>30</v>
      </c>
      <c r="BB195">
        <v>5</v>
      </c>
      <c r="BC195">
        <v>10</v>
      </c>
      <c r="BD195">
        <v>0</v>
      </c>
      <c r="BE195">
        <v>1</v>
      </c>
      <c r="BF195">
        <v>0</v>
      </c>
      <c r="BG195">
        <v>0</v>
      </c>
      <c r="BI195">
        <v>10.7</v>
      </c>
      <c r="BJ195">
        <v>49.594000000000001</v>
      </c>
      <c r="BK195">
        <v>0</v>
      </c>
      <c r="BL195">
        <v>1</v>
      </c>
      <c r="BM195">
        <v>1</v>
      </c>
      <c r="BN195">
        <v>6</v>
      </c>
      <c r="BO195">
        <v>44</v>
      </c>
      <c r="BP195">
        <v>-38</v>
      </c>
      <c r="BQ195">
        <v>18</v>
      </c>
      <c r="BR195">
        <v>-12</v>
      </c>
      <c r="BS195">
        <v>13.472380952</v>
      </c>
      <c r="BT195">
        <v>1.7180545338</v>
      </c>
      <c r="BU195">
        <v>3.7444439140000001</v>
      </c>
      <c r="BV195">
        <v>10.947380952</v>
      </c>
      <c r="BW195">
        <v>1.7180545338</v>
      </c>
      <c r="BX195">
        <v>3.7444439140000001</v>
      </c>
      <c r="BY195">
        <v>108.941946499735</v>
      </c>
      <c r="BZ195">
        <v>1.0565756431247</v>
      </c>
      <c r="CA195">
        <v>10.960809318265399</v>
      </c>
      <c r="CB195">
        <v>186.016820009235</v>
      </c>
      <c r="CC195">
        <v>1.0565756431247</v>
      </c>
      <c r="CD195">
        <v>10.960809318265399</v>
      </c>
      <c r="CE195" t="s">
        <v>114</v>
      </c>
      <c r="CF195" t="s">
        <v>114</v>
      </c>
      <c r="CG195" t="s">
        <v>114</v>
      </c>
      <c r="CH195">
        <v>15.6374338611111</v>
      </c>
      <c r="CI195">
        <v>2.0124738295555602</v>
      </c>
      <c r="CJ195">
        <v>3.5333939777777799</v>
      </c>
      <c r="CK195" t="s">
        <v>114</v>
      </c>
      <c r="CL195">
        <v>14.2346560833333</v>
      </c>
      <c r="CM195">
        <v>2.0124738295555602</v>
      </c>
      <c r="CN195">
        <v>3.5333939777777799</v>
      </c>
      <c r="CO195" t="s">
        <v>114</v>
      </c>
      <c r="CP195">
        <v>71.980837094099797</v>
      </c>
      <c r="CQ195">
        <v>0.65022292047336605</v>
      </c>
      <c r="CR195">
        <v>5.6086919238617599</v>
      </c>
      <c r="CS195" t="s">
        <v>114</v>
      </c>
      <c r="CT195">
        <v>119.122729037676</v>
      </c>
      <c r="CU195">
        <v>0.65022292047336605</v>
      </c>
      <c r="CV195">
        <v>5.6086919238617599</v>
      </c>
      <c r="CW195" t="s">
        <v>114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D195"/>
  <sheetViews>
    <sheetView workbookViewId="0">
      <selection activeCell="G8" sqref="G8"/>
    </sheetView>
  </sheetViews>
  <sheetFormatPr defaultRowHeight="15" x14ac:dyDescent="0.25"/>
  <cols>
    <col min="1" max="1" width="5.7109375" bestFit="1" customWidth="1"/>
    <col min="2" max="2" width="10.140625" bestFit="1" customWidth="1"/>
    <col min="3" max="3" width="10.28515625" bestFit="1" customWidth="1"/>
    <col min="4" max="4" width="8.140625" bestFit="1" customWidth="1"/>
    <col min="5" max="5" width="13.42578125" bestFit="1" customWidth="1"/>
    <col min="6" max="6" width="20" bestFit="1" customWidth="1"/>
    <col min="7" max="7" width="23.140625" bestFit="1" customWidth="1"/>
    <col min="8" max="8" width="29.28515625" bestFit="1" customWidth="1"/>
    <col min="9" max="9" width="24.140625" bestFit="1" customWidth="1"/>
    <col min="10" max="10" width="27.5703125" bestFit="1" customWidth="1"/>
    <col min="11" max="11" width="11.85546875" bestFit="1" customWidth="1"/>
    <col min="12" max="12" width="11.140625" bestFit="1" customWidth="1"/>
    <col min="13" max="13" width="6.85546875" bestFit="1" customWidth="1"/>
    <col min="14" max="14" width="30.28515625" bestFit="1" customWidth="1"/>
    <col min="15" max="15" width="11" bestFit="1" customWidth="1"/>
    <col min="16" max="17" width="4.5703125" bestFit="1" customWidth="1"/>
    <col min="19" max="19" width="13.5703125" bestFit="1" customWidth="1"/>
    <col min="20" max="20" width="19.42578125" bestFit="1" customWidth="1"/>
    <col min="21" max="21" width="20.5703125" bestFit="1" customWidth="1"/>
    <col min="22" max="22" width="24.42578125" bestFit="1" customWidth="1"/>
    <col min="23" max="25" width="33.28515625" bestFit="1" customWidth="1"/>
    <col min="26" max="26" width="37.28515625" bestFit="1" customWidth="1"/>
    <col min="27" max="27" width="18" bestFit="1" customWidth="1"/>
    <col min="28" max="30" width="28.5703125" bestFit="1" customWidth="1"/>
    <col min="31" max="31" width="22.42578125" bestFit="1" customWidth="1"/>
    <col min="32" max="34" width="33.28515625" bestFit="1" customWidth="1"/>
    <col min="35" max="35" width="37.28515625" bestFit="1" customWidth="1"/>
    <col min="36" max="36" width="29.140625" bestFit="1" customWidth="1"/>
    <col min="37" max="38" width="28.5703125" bestFit="1" customWidth="1"/>
    <col min="39" max="39" width="33.140625" bestFit="1" customWidth="1"/>
    <col min="40" max="40" width="16.85546875" bestFit="1" customWidth="1"/>
    <col min="41" max="43" width="26.42578125" bestFit="1" customWidth="1"/>
    <col min="44" max="44" width="30.42578125" bestFit="1" customWidth="1"/>
    <col min="45" max="47" width="23.42578125" bestFit="1" customWidth="1"/>
    <col min="48" max="48" width="27.42578125" bestFit="1" customWidth="1"/>
    <col min="49" max="49" width="13.28515625" bestFit="1" customWidth="1"/>
    <col min="50" max="50" width="21.7109375" bestFit="1" customWidth="1"/>
    <col min="51" max="51" width="12.7109375" bestFit="1" customWidth="1"/>
    <col min="52" max="53" width="5.5703125" bestFit="1" customWidth="1"/>
    <col min="54" max="54" width="5.28515625" bestFit="1" customWidth="1"/>
    <col min="55" max="55" width="5.140625" bestFit="1" customWidth="1"/>
    <col min="56" max="56" width="14.5703125" bestFit="1" customWidth="1"/>
    <col min="57" max="57" width="9.42578125" bestFit="1" customWidth="1"/>
    <col min="58" max="58" width="9" bestFit="1" customWidth="1"/>
    <col min="59" max="59" width="6.28515625" bestFit="1" customWidth="1"/>
    <col min="60" max="60" width="30.42578125" bestFit="1" customWidth="1"/>
    <col min="61" max="61" width="17.85546875" bestFit="1" customWidth="1"/>
    <col min="62" max="62" width="20.5703125" bestFit="1" customWidth="1"/>
    <col min="63" max="63" width="11.85546875" bestFit="1" customWidth="1"/>
    <col min="64" max="64" width="19.7109375" bestFit="1" customWidth="1"/>
    <col min="65" max="65" width="24.140625" bestFit="1" customWidth="1"/>
    <col min="66" max="66" width="39.7109375" bestFit="1" customWidth="1"/>
    <col min="67" max="67" width="37" bestFit="1" customWidth="1"/>
    <col min="68" max="68" width="28.5703125" bestFit="1" customWidth="1"/>
    <col min="69" max="69" width="34" bestFit="1" customWidth="1"/>
    <col min="70" max="70" width="25" bestFit="1" customWidth="1"/>
    <col min="71" max="71" width="28.140625" bestFit="1" customWidth="1"/>
    <col min="72" max="72" width="22.42578125" bestFit="1" customWidth="1"/>
    <col min="73" max="73" width="26" bestFit="1" customWidth="1"/>
    <col min="74" max="74" width="29" bestFit="1" customWidth="1"/>
    <col min="75" max="75" width="23.28515625" bestFit="1" customWidth="1"/>
    <col min="76" max="76" width="22.7109375" bestFit="1" customWidth="1"/>
    <col min="77" max="77" width="25.85546875" bestFit="1" customWidth="1"/>
    <col min="78" max="78" width="20" bestFit="1" customWidth="1"/>
    <col min="79" max="79" width="23.5703125" bestFit="1" customWidth="1"/>
    <col min="80" max="80" width="26.7109375" bestFit="1" customWidth="1"/>
    <col min="81" max="81" width="20.85546875" bestFit="1" customWidth="1"/>
    <col min="82" max="82" width="31.140625" bestFit="1" customWidth="1"/>
    <col min="83" max="83" width="29.7109375" bestFit="1" customWidth="1"/>
    <col min="84" max="84" width="43.28515625" bestFit="1" customWidth="1"/>
    <col min="85" max="85" width="37.140625" bestFit="1" customWidth="1"/>
    <col min="86" max="86" width="40.28515625" bestFit="1" customWidth="1"/>
    <col min="87" max="87" width="34.5703125" bestFit="1" customWidth="1"/>
    <col min="88" max="88" width="44.140625" bestFit="1" customWidth="1"/>
    <col min="89" max="89" width="38.140625" bestFit="1" customWidth="1"/>
    <col min="90" max="90" width="41.140625" bestFit="1" customWidth="1"/>
    <col min="91" max="91" width="35.42578125" bestFit="1" customWidth="1"/>
    <col min="92" max="92" width="40.85546875" bestFit="1" customWidth="1"/>
    <col min="93" max="93" width="34.85546875" bestFit="1" customWidth="1"/>
    <col min="94" max="94" width="38" bestFit="1" customWidth="1"/>
    <col min="95" max="95" width="32.140625" bestFit="1" customWidth="1"/>
    <col min="96" max="96" width="41.7109375" bestFit="1" customWidth="1"/>
    <col min="97" max="97" width="35.7109375" bestFit="1" customWidth="1"/>
    <col min="98" max="98" width="38.85546875" bestFit="1" customWidth="1"/>
    <col min="99" max="99" width="33" bestFit="1" customWidth="1"/>
    <col min="100" max="100" width="32" bestFit="1" customWidth="1"/>
    <col min="101" max="101" width="12.7109375" bestFit="1" customWidth="1"/>
    <col min="102" max="102" width="24.42578125" bestFit="1" customWidth="1"/>
    <col min="103" max="103" width="13.85546875" bestFit="1" customWidth="1"/>
    <col min="104" max="104" width="9.85546875" bestFit="1" customWidth="1"/>
    <col min="105" max="105" width="9.5703125" bestFit="1" customWidth="1"/>
    <col min="106" max="106" width="10.85546875" bestFit="1" customWidth="1"/>
    <col min="107" max="107" width="12.28515625" bestFit="1" customWidth="1"/>
    <col min="108" max="108" width="14.28515625" bestFit="1" customWidth="1"/>
    <col min="109" max="109" width="13.7109375" bestFit="1" customWidth="1"/>
    <col min="110" max="110" width="12.140625" bestFit="1" customWidth="1"/>
    <col min="111" max="111" width="18" bestFit="1" customWidth="1"/>
    <col min="112" max="112" width="12.42578125" bestFit="1" customWidth="1"/>
    <col min="113" max="113" width="11.5703125" bestFit="1" customWidth="1"/>
    <col min="114" max="114" width="8.28515625" bestFit="1" customWidth="1"/>
    <col min="115" max="115" width="12.85546875" bestFit="1" customWidth="1"/>
    <col min="116" max="116" width="10" bestFit="1" customWidth="1"/>
    <col min="117" max="117" width="14.140625" bestFit="1" customWidth="1"/>
    <col min="118" max="118" width="13.7109375" bestFit="1" customWidth="1"/>
    <col min="119" max="119" width="9.85546875" bestFit="1" customWidth="1"/>
    <col min="120" max="120" width="11.7109375" bestFit="1" customWidth="1"/>
    <col min="121" max="121" width="8.7109375" bestFit="1" customWidth="1"/>
    <col min="122" max="122" width="7.7109375" bestFit="1" customWidth="1"/>
    <col min="123" max="123" width="14.140625" bestFit="1" customWidth="1"/>
    <col min="124" max="124" width="10.140625" bestFit="1" customWidth="1"/>
    <col min="125" max="125" width="13.5703125" bestFit="1" customWidth="1"/>
    <col min="126" max="126" width="11.5703125" bestFit="1" customWidth="1"/>
    <col min="127" max="127" width="8.85546875" bestFit="1" customWidth="1"/>
    <col min="128" max="128" width="13.42578125" bestFit="1" customWidth="1"/>
    <col min="129" max="129" width="7.7109375" bestFit="1" customWidth="1"/>
    <col min="130" max="130" width="9.28515625" bestFit="1" customWidth="1"/>
    <col min="131" max="131" width="12.5703125" bestFit="1" customWidth="1"/>
    <col min="132" max="132" width="12.140625" bestFit="1" customWidth="1"/>
    <col min="133" max="133" width="2" bestFit="1" customWidth="1"/>
    <col min="134" max="134" width="12" bestFit="1" customWidth="1"/>
  </cols>
  <sheetData>
    <row r="1" spans="1:134" x14ac:dyDescent="0.25">
      <c r="A1" t="s">
        <v>96</v>
      </c>
      <c r="B1" t="s">
        <v>146</v>
      </c>
      <c r="C1" t="s">
        <v>1</v>
      </c>
      <c r="D1" t="s">
        <v>2</v>
      </c>
      <c r="E1" t="s">
        <v>97</v>
      </c>
      <c r="F1" t="s">
        <v>144</v>
      </c>
      <c r="G1" t="s">
        <v>143</v>
      </c>
      <c r="H1" t="s">
        <v>754</v>
      </c>
      <c r="I1" t="s">
        <v>664</v>
      </c>
      <c r="J1" t="s">
        <v>275</v>
      </c>
      <c r="K1" t="s">
        <v>232</v>
      </c>
      <c r="L1" t="s">
        <v>98</v>
      </c>
      <c r="M1" t="s">
        <v>99</v>
      </c>
      <c r="N1" t="s">
        <v>122</v>
      </c>
      <c r="O1" t="s">
        <v>1034</v>
      </c>
      <c r="P1" t="s">
        <v>791</v>
      </c>
      <c r="Q1" t="s">
        <v>149</v>
      </c>
      <c r="R1" t="s">
        <v>150</v>
      </c>
      <c r="S1" t="s">
        <v>1035</v>
      </c>
      <c r="T1" t="s">
        <v>1036</v>
      </c>
      <c r="U1" t="s">
        <v>790</v>
      </c>
      <c r="V1" t="s">
        <v>101</v>
      </c>
      <c r="W1" t="s">
        <v>100</v>
      </c>
      <c r="X1" t="s">
        <v>123</v>
      </c>
      <c r="Y1" t="s">
        <v>124</v>
      </c>
      <c r="Z1" t="s">
        <v>125</v>
      </c>
      <c r="AA1" t="s">
        <v>126</v>
      </c>
      <c r="AB1" t="s">
        <v>131</v>
      </c>
      <c r="AC1" t="s">
        <v>106</v>
      </c>
      <c r="AD1" t="s">
        <v>107</v>
      </c>
      <c r="AE1" t="s">
        <v>108</v>
      </c>
      <c r="AF1" t="s">
        <v>109</v>
      </c>
      <c r="AG1" t="s">
        <v>127</v>
      </c>
      <c r="AH1" t="s">
        <v>128</v>
      </c>
      <c r="AI1" t="s">
        <v>129</v>
      </c>
      <c r="AJ1" t="s">
        <v>130</v>
      </c>
      <c r="AK1" t="s">
        <v>115</v>
      </c>
      <c r="AL1" t="s">
        <v>116</v>
      </c>
      <c r="AM1" t="s">
        <v>117</v>
      </c>
      <c r="AN1" t="s">
        <v>118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3</v>
      </c>
      <c r="BA1" t="s">
        <v>4</v>
      </c>
      <c r="BB1" t="s">
        <v>5</v>
      </c>
      <c r="BC1" t="s">
        <v>6</v>
      </c>
      <c r="BD1" t="s">
        <v>7</v>
      </c>
      <c r="BE1" t="s">
        <v>9</v>
      </c>
      <c r="BF1" t="s">
        <v>12</v>
      </c>
      <c r="BG1" t="s">
        <v>13</v>
      </c>
      <c r="BH1" t="s">
        <v>8</v>
      </c>
      <c r="BI1" t="s">
        <v>258</v>
      </c>
      <c r="BJ1" t="s">
        <v>194</v>
      </c>
      <c r="BK1" t="s">
        <v>230</v>
      </c>
      <c r="BL1" t="s">
        <v>184</v>
      </c>
      <c r="BM1" t="s">
        <v>185</v>
      </c>
      <c r="BN1" t="s">
        <v>218</v>
      </c>
      <c r="BO1" t="s">
        <v>665</v>
      </c>
      <c r="BP1" t="s">
        <v>746</v>
      </c>
      <c r="BQ1" t="s">
        <v>787</v>
      </c>
      <c r="BR1" t="s">
        <v>788</v>
      </c>
      <c r="BS1" t="s">
        <v>1028</v>
      </c>
      <c r="BT1" t="s">
        <v>1029</v>
      </c>
      <c r="BU1" t="s">
        <v>1030</v>
      </c>
      <c r="BV1" t="s">
        <v>1031</v>
      </c>
      <c r="BW1" t="s">
        <v>1032</v>
      </c>
      <c r="BX1" t="s">
        <v>1033</v>
      </c>
      <c r="BY1" t="s">
        <v>1022</v>
      </c>
      <c r="BZ1" t="s">
        <v>1023</v>
      </c>
      <c r="CA1" t="s">
        <v>1024</v>
      </c>
      <c r="CB1" t="s">
        <v>1025</v>
      </c>
      <c r="CC1" t="s">
        <v>1026</v>
      </c>
      <c r="CD1" t="s">
        <v>1027</v>
      </c>
      <c r="CE1" t="s">
        <v>1042</v>
      </c>
      <c r="CF1" t="s">
        <v>1045</v>
      </c>
      <c r="CG1" t="s">
        <v>1046</v>
      </c>
      <c r="CH1" t="s">
        <v>1047</v>
      </c>
      <c r="CI1" t="s">
        <v>1048</v>
      </c>
      <c r="CJ1" t="s">
        <v>1049</v>
      </c>
      <c r="CK1" t="s">
        <v>1050</v>
      </c>
      <c r="CL1" t="s">
        <v>1051</v>
      </c>
      <c r="CM1" t="s">
        <v>1052</v>
      </c>
      <c r="CN1" t="s">
        <v>1053</v>
      </c>
      <c r="CO1" t="s">
        <v>1054</v>
      </c>
      <c r="CP1" t="s">
        <v>1055</v>
      </c>
      <c r="CQ1" t="s">
        <v>1056</v>
      </c>
      <c r="CR1" t="s">
        <v>1057</v>
      </c>
      <c r="CS1" t="s">
        <v>1058</v>
      </c>
      <c r="CT1" t="s">
        <v>1059</v>
      </c>
      <c r="CU1" t="s">
        <v>1060</v>
      </c>
      <c r="CV1" t="s">
        <v>1061</v>
      </c>
      <c r="CW1" t="s">
        <v>1043</v>
      </c>
      <c r="CX1" t="s">
        <v>102</v>
      </c>
      <c r="CY1" t="s">
        <v>810</v>
      </c>
      <c r="CZ1" t="s">
        <v>251</v>
      </c>
      <c r="DA1" t="s">
        <v>248</v>
      </c>
      <c r="DB1" t="s">
        <v>233</v>
      </c>
      <c r="DC1" t="s">
        <v>239</v>
      </c>
      <c r="DD1" t="s">
        <v>234</v>
      </c>
      <c r="DE1" t="s">
        <v>242</v>
      </c>
      <c r="DF1" t="s">
        <v>236</v>
      </c>
      <c r="DG1" t="s">
        <v>245</v>
      </c>
      <c r="DH1" t="s">
        <v>808</v>
      </c>
      <c r="DI1" t="s">
        <v>244</v>
      </c>
      <c r="DJ1" t="s">
        <v>237</v>
      </c>
      <c r="DK1" t="s">
        <v>105</v>
      </c>
      <c r="DL1" t="s">
        <v>113</v>
      </c>
      <c r="DM1" t="s">
        <v>110</v>
      </c>
      <c r="DN1" t="s">
        <v>162</v>
      </c>
      <c r="DO1" t="s">
        <v>249</v>
      </c>
      <c r="DP1" t="s">
        <v>103</v>
      </c>
      <c r="DQ1" t="s">
        <v>111</v>
      </c>
      <c r="DR1" t="s">
        <v>241</v>
      </c>
      <c r="DS1" t="s">
        <v>253</v>
      </c>
      <c r="DT1" t="s">
        <v>246</v>
      </c>
      <c r="DU1" t="s">
        <v>238</v>
      </c>
      <c r="DV1" t="s">
        <v>235</v>
      </c>
      <c r="DW1" t="s">
        <v>797</v>
      </c>
      <c r="DX1" t="s">
        <v>250</v>
      </c>
      <c r="DY1" t="s">
        <v>104</v>
      </c>
      <c r="DZ1" t="s">
        <v>112</v>
      </c>
      <c r="EA1" t="s">
        <v>254</v>
      </c>
      <c r="EB1" t="s">
        <v>247</v>
      </c>
      <c r="EC1" t="s">
        <v>240</v>
      </c>
      <c r="ED1" t="s">
        <v>1077</v>
      </c>
    </row>
    <row r="2" spans="1:134" x14ac:dyDescent="0.25">
      <c r="A2" t="s">
        <v>67</v>
      </c>
      <c r="B2">
        <v>10</v>
      </c>
      <c r="C2" t="s">
        <v>11</v>
      </c>
      <c r="D2" t="s">
        <v>94</v>
      </c>
      <c r="E2" t="s">
        <v>113</v>
      </c>
      <c r="F2" t="s">
        <v>145</v>
      </c>
      <c r="G2" t="s">
        <v>259</v>
      </c>
      <c r="H2" t="s">
        <v>763</v>
      </c>
      <c r="I2" t="s">
        <v>666</v>
      </c>
      <c r="J2" t="s">
        <v>276</v>
      </c>
      <c r="K2">
        <v>3</v>
      </c>
      <c r="L2">
        <v>40</v>
      </c>
      <c r="M2">
        <v>35</v>
      </c>
      <c r="N2">
        <v>40</v>
      </c>
      <c r="O2">
        <v>5</v>
      </c>
      <c r="P2">
        <v>5</v>
      </c>
      <c r="Q2">
        <v>10</v>
      </c>
      <c r="R2">
        <v>5</v>
      </c>
      <c r="S2">
        <v>7.5</v>
      </c>
      <c r="T2">
        <v>0.1875</v>
      </c>
      <c r="V2" t="s">
        <v>121</v>
      </c>
      <c r="W2" t="s">
        <v>114</v>
      </c>
      <c r="X2">
        <v>20.8</v>
      </c>
      <c r="Y2">
        <v>19.8</v>
      </c>
      <c r="Z2">
        <v>21.8</v>
      </c>
      <c r="AA2">
        <v>20.8</v>
      </c>
      <c r="AB2">
        <v>20.8</v>
      </c>
      <c r="AC2">
        <v>19.3</v>
      </c>
      <c r="AD2">
        <v>19.3</v>
      </c>
      <c r="AE2">
        <v>18.399999999999999</v>
      </c>
      <c r="AF2">
        <v>19</v>
      </c>
      <c r="AG2">
        <v>23.3</v>
      </c>
      <c r="AH2">
        <v>21.3</v>
      </c>
      <c r="AI2">
        <v>22.8</v>
      </c>
      <c r="AJ2">
        <v>22.466666669999999</v>
      </c>
      <c r="AK2">
        <v>20.8</v>
      </c>
      <c r="AL2">
        <v>19.8</v>
      </c>
      <c r="AM2">
        <v>20.3</v>
      </c>
      <c r="AN2">
        <v>20.3</v>
      </c>
      <c r="AO2">
        <v>22.466666669999999</v>
      </c>
      <c r="AP2">
        <v>11</v>
      </c>
      <c r="AQ2">
        <v>10</v>
      </c>
      <c r="AR2" t="s">
        <v>114</v>
      </c>
      <c r="AS2">
        <v>10.5</v>
      </c>
      <c r="AT2">
        <v>9</v>
      </c>
      <c r="AU2">
        <v>11</v>
      </c>
      <c r="AV2" t="s">
        <v>114</v>
      </c>
      <c r="AW2">
        <v>10</v>
      </c>
      <c r="AX2">
        <v>10.5</v>
      </c>
      <c r="AY2">
        <v>-10.3</v>
      </c>
      <c r="AZ2">
        <v>20</v>
      </c>
      <c r="BA2">
        <v>10</v>
      </c>
      <c r="BB2">
        <v>15</v>
      </c>
      <c r="BC2">
        <v>0</v>
      </c>
      <c r="BD2">
        <v>1</v>
      </c>
      <c r="BE2">
        <v>0</v>
      </c>
      <c r="BF2">
        <v>1</v>
      </c>
      <c r="BG2">
        <v>0</v>
      </c>
      <c r="BI2">
        <v>7.7</v>
      </c>
      <c r="BJ2">
        <v>0.70399999999999996</v>
      </c>
      <c r="BK2">
        <v>0</v>
      </c>
      <c r="BL2">
        <v>1</v>
      </c>
      <c r="BM2">
        <v>1</v>
      </c>
      <c r="BN2">
        <v>9</v>
      </c>
      <c r="BO2">
        <v>0</v>
      </c>
      <c r="BP2">
        <v>9</v>
      </c>
      <c r="BQ2">
        <v>0</v>
      </c>
      <c r="BR2">
        <v>9</v>
      </c>
      <c r="BS2">
        <v>8.2750580000000004E-2</v>
      </c>
      <c r="BT2">
        <v>0.36144257000000002</v>
      </c>
      <c r="BU2">
        <v>10.854577920000001</v>
      </c>
      <c r="BV2">
        <v>-8.2750580000000004E-2</v>
      </c>
      <c r="BW2">
        <v>0.36144257000000002</v>
      </c>
      <c r="BX2">
        <v>-10.854577920000001</v>
      </c>
      <c r="BY2">
        <v>1.3695317E-2</v>
      </c>
      <c r="BZ2">
        <v>0.26128146200000002</v>
      </c>
      <c r="CA2">
        <v>235.6437234</v>
      </c>
      <c r="CB2">
        <v>1.3695317E-2</v>
      </c>
      <c r="CC2">
        <v>0.26128146200000002</v>
      </c>
      <c r="CD2">
        <v>235.6437234</v>
      </c>
      <c r="CE2">
        <v>1.6417060000000001E-2</v>
      </c>
      <c r="CF2">
        <v>5.3903999999999996E-4</v>
      </c>
      <c r="CG2">
        <v>1.0944707E-2</v>
      </c>
      <c r="CH2">
        <v>5.5167053000000001E-2</v>
      </c>
      <c r="CI2">
        <v>0.24096171299999999</v>
      </c>
      <c r="CJ2">
        <v>7.2363852770000001</v>
      </c>
      <c r="CK2">
        <v>1.0944707E-2</v>
      </c>
      <c r="CL2">
        <v>-5.5167053000000001E-2</v>
      </c>
      <c r="CM2">
        <v>0.24096171299999999</v>
      </c>
      <c r="CN2">
        <v>-7.2363852770000001</v>
      </c>
      <c r="CO2">
        <v>3.5935999999999997E-4</v>
      </c>
      <c r="CP2">
        <v>9.1302109999999992E-3</v>
      </c>
      <c r="CQ2">
        <v>0.174187641</v>
      </c>
      <c r="CR2">
        <v>157.09581560000001</v>
      </c>
      <c r="CS2">
        <v>3.5935999999999997E-4</v>
      </c>
      <c r="CT2">
        <v>9.1302109999999992E-3</v>
      </c>
      <c r="CU2">
        <v>0.174187641</v>
      </c>
      <c r="CV2">
        <v>157.09581560000001</v>
      </c>
      <c r="CW2">
        <v>1.6417060000000001E-2</v>
      </c>
      <c r="CX2">
        <v>0</v>
      </c>
      <c r="CY2">
        <v>0</v>
      </c>
      <c r="CZ2">
        <v>0</v>
      </c>
      <c r="DA2">
        <v>1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2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0.636514168294813</v>
      </c>
    </row>
    <row r="3" spans="1:134" x14ac:dyDescent="0.25">
      <c r="A3" t="s">
        <v>67</v>
      </c>
      <c r="B3">
        <v>10</v>
      </c>
      <c r="C3" t="s">
        <v>11</v>
      </c>
      <c r="D3" t="s">
        <v>94</v>
      </c>
      <c r="E3" t="s">
        <v>103</v>
      </c>
      <c r="F3" t="s">
        <v>145</v>
      </c>
      <c r="G3" t="s">
        <v>260</v>
      </c>
      <c r="H3" t="s">
        <v>771</v>
      </c>
      <c r="I3" t="s">
        <v>667</v>
      </c>
      <c r="J3" t="s">
        <v>277</v>
      </c>
      <c r="K3">
        <v>1</v>
      </c>
      <c r="L3">
        <v>70</v>
      </c>
      <c r="M3">
        <v>35</v>
      </c>
      <c r="N3">
        <v>70</v>
      </c>
      <c r="O3">
        <v>35</v>
      </c>
      <c r="P3">
        <v>25</v>
      </c>
      <c r="Q3">
        <v>10</v>
      </c>
      <c r="R3">
        <v>0</v>
      </c>
      <c r="S3">
        <v>5</v>
      </c>
      <c r="T3">
        <v>7.1428570999999996E-2</v>
      </c>
      <c r="V3" t="s">
        <v>121</v>
      </c>
      <c r="W3" t="s">
        <v>114</v>
      </c>
      <c r="X3">
        <v>20.8</v>
      </c>
      <c r="Y3">
        <v>19.8</v>
      </c>
      <c r="Z3">
        <v>21.8</v>
      </c>
      <c r="AA3">
        <v>20.8</v>
      </c>
      <c r="AB3">
        <v>20.8</v>
      </c>
      <c r="AC3">
        <v>17.899999999999999</v>
      </c>
      <c r="AD3">
        <v>17.399999999999999</v>
      </c>
      <c r="AE3">
        <v>18.399999999999999</v>
      </c>
      <c r="AF3">
        <v>17.899999999999999</v>
      </c>
      <c r="AG3">
        <v>23.3</v>
      </c>
      <c r="AH3">
        <v>21.3</v>
      </c>
      <c r="AI3">
        <v>22.8</v>
      </c>
      <c r="AJ3">
        <v>22.466666669999999</v>
      </c>
      <c r="AK3">
        <v>21.3</v>
      </c>
      <c r="AL3">
        <v>20.3</v>
      </c>
      <c r="AM3">
        <v>20.3</v>
      </c>
      <c r="AN3">
        <v>20.633333329999999</v>
      </c>
      <c r="AO3">
        <v>22.466666669999999</v>
      </c>
      <c r="AP3">
        <v>11</v>
      </c>
      <c r="AQ3">
        <v>10</v>
      </c>
      <c r="AR3" t="s">
        <v>114</v>
      </c>
      <c r="AS3">
        <v>10.5</v>
      </c>
      <c r="AT3">
        <v>8.5</v>
      </c>
      <c r="AU3">
        <v>9</v>
      </c>
      <c r="AV3" t="s">
        <v>114</v>
      </c>
      <c r="AW3">
        <v>8.75</v>
      </c>
      <c r="AX3">
        <v>10.5</v>
      </c>
      <c r="AY3">
        <v>-10.3</v>
      </c>
      <c r="AZ3">
        <v>20</v>
      </c>
      <c r="BA3">
        <v>10</v>
      </c>
      <c r="BB3">
        <v>15</v>
      </c>
      <c r="BC3">
        <v>0</v>
      </c>
      <c r="BD3">
        <v>1</v>
      </c>
      <c r="BE3">
        <v>0</v>
      </c>
      <c r="BF3">
        <v>1</v>
      </c>
      <c r="BG3">
        <v>0</v>
      </c>
      <c r="BI3">
        <v>7.7</v>
      </c>
      <c r="BJ3">
        <v>0.70399999999999996</v>
      </c>
      <c r="BK3">
        <v>0</v>
      </c>
      <c r="BL3">
        <v>4</v>
      </c>
      <c r="BM3">
        <v>4</v>
      </c>
      <c r="BN3">
        <v>167</v>
      </c>
      <c r="BO3">
        <v>368.5</v>
      </c>
      <c r="BP3">
        <v>-201.5</v>
      </c>
      <c r="BQ3">
        <v>204</v>
      </c>
      <c r="BR3">
        <v>-37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 t="s">
        <v>114</v>
      </c>
      <c r="BZ3" t="s">
        <v>114</v>
      </c>
      <c r="CA3" t="s">
        <v>114</v>
      </c>
      <c r="CB3" t="s">
        <v>114</v>
      </c>
      <c r="CC3" t="s">
        <v>114</v>
      </c>
      <c r="CD3" t="s">
        <v>114</v>
      </c>
      <c r="CE3">
        <v>0</v>
      </c>
      <c r="CF3" t="s">
        <v>114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 t="s">
        <v>114</v>
      </c>
      <c r="CP3" t="s">
        <v>114</v>
      </c>
      <c r="CQ3" t="s">
        <v>114</v>
      </c>
      <c r="CR3" t="s">
        <v>114</v>
      </c>
      <c r="CS3" t="s">
        <v>114</v>
      </c>
      <c r="CT3" t="s">
        <v>114</v>
      </c>
      <c r="CU3" t="s">
        <v>114</v>
      </c>
      <c r="CV3" t="s">
        <v>114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1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</row>
    <row r="4" spans="1:134" x14ac:dyDescent="0.25">
      <c r="A4" t="s">
        <v>67</v>
      </c>
      <c r="B4">
        <v>10</v>
      </c>
      <c r="C4" t="s">
        <v>11</v>
      </c>
      <c r="D4" t="s">
        <v>94</v>
      </c>
      <c r="E4" t="s">
        <v>112</v>
      </c>
      <c r="F4" t="s">
        <v>145</v>
      </c>
      <c r="G4" t="s">
        <v>261</v>
      </c>
      <c r="H4" t="s">
        <v>783</v>
      </c>
      <c r="I4" t="s">
        <v>668</v>
      </c>
      <c r="J4" t="s">
        <v>278</v>
      </c>
      <c r="K4">
        <v>3</v>
      </c>
      <c r="L4">
        <v>25</v>
      </c>
      <c r="M4">
        <v>70</v>
      </c>
      <c r="N4">
        <v>25</v>
      </c>
      <c r="O4">
        <v>-45</v>
      </c>
      <c r="P4">
        <v>45</v>
      </c>
      <c r="Q4">
        <v>150</v>
      </c>
      <c r="R4">
        <v>40</v>
      </c>
      <c r="S4">
        <v>95</v>
      </c>
      <c r="T4">
        <v>3.8</v>
      </c>
      <c r="V4" t="s">
        <v>121</v>
      </c>
      <c r="W4" t="s">
        <v>114</v>
      </c>
      <c r="X4">
        <v>20.8</v>
      </c>
      <c r="Y4">
        <v>19.8</v>
      </c>
      <c r="Z4">
        <v>21.8</v>
      </c>
      <c r="AA4">
        <v>20.8</v>
      </c>
      <c r="AB4">
        <v>20.8</v>
      </c>
      <c r="AC4">
        <v>18.399999999999999</v>
      </c>
      <c r="AD4">
        <v>18.399999999999999</v>
      </c>
      <c r="AE4">
        <v>19.3</v>
      </c>
      <c r="AF4">
        <v>18.7</v>
      </c>
      <c r="AG4">
        <v>23.3</v>
      </c>
      <c r="AH4">
        <v>21.3</v>
      </c>
      <c r="AI4">
        <v>22.8</v>
      </c>
      <c r="AJ4">
        <v>22.466666669999999</v>
      </c>
      <c r="AK4">
        <v>20.3</v>
      </c>
      <c r="AL4">
        <v>23.3</v>
      </c>
      <c r="AM4">
        <v>19.3</v>
      </c>
      <c r="AN4">
        <v>20.966666669999999</v>
      </c>
      <c r="AO4">
        <v>22.466666669999999</v>
      </c>
      <c r="AP4">
        <v>11</v>
      </c>
      <c r="AQ4">
        <v>10</v>
      </c>
      <c r="AR4" t="s">
        <v>114</v>
      </c>
      <c r="AS4">
        <v>10.5</v>
      </c>
      <c r="AT4">
        <v>7.6</v>
      </c>
      <c r="AU4">
        <v>8.1</v>
      </c>
      <c r="AV4" t="s">
        <v>114</v>
      </c>
      <c r="AW4">
        <v>7.85</v>
      </c>
      <c r="AX4">
        <v>10.5</v>
      </c>
      <c r="AY4">
        <v>-10.3</v>
      </c>
      <c r="AZ4">
        <v>20</v>
      </c>
      <c r="BA4">
        <v>10</v>
      </c>
      <c r="BB4">
        <v>15</v>
      </c>
      <c r="BC4">
        <v>0</v>
      </c>
      <c r="BD4">
        <v>1</v>
      </c>
      <c r="BE4">
        <v>0</v>
      </c>
      <c r="BF4">
        <v>1</v>
      </c>
      <c r="BG4">
        <v>0</v>
      </c>
      <c r="BI4">
        <v>7.7</v>
      </c>
      <c r="BJ4">
        <v>0.70399999999999996</v>
      </c>
      <c r="BK4">
        <v>0</v>
      </c>
      <c r="BL4">
        <v>96</v>
      </c>
      <c r="BM4">
        <v>96</v>
      </c>
      <c r="BN4">
        <v>379</v>
      </c>
      <c r="BO4">
        <v>62</v>
      </c>
      <c r="BP4">
        <v>317</v>
      </c>
      <c r="BQ4">
        <v>44</v>
      </c>
      <c r="BR4">
        <v>335</v>
      </c>
      <c r="BS4">
        <v>43.00415211</v>
      </c>
      <c r="BT4">
        <v>2.2663836220000002</v>
      </c>
      <c r="BU4">
        <v>12.06934356</v>
      </c>
      <c r="BV4">
        <v>-43.00415211</v>
      </c>
      <c r="BW4">
        <v>2.2663836220000002</v>
      </c>
      <c r="BX4">
        <v>5.645560455</v>
      </c>
      <c r="BY4">
        <v>1168.8443460000001</v>
      </c>
      <c r="BZ4">
        <v>5.0748500000000001E-4</v>
      </c>
      <c r="CA4">
        <v>63.744705699999997</v>
      </c>
      <c r="CB4">
        <v>1168.8443460000001</v>
      </c>
      <c r="CC4">
        <v>5.0748500000000001E-4</v>
      </c>
      <c r="CD4">
        <v>291.33810770000002</v>
      </c>
      <c r="CE4">
        <v>1.914065755</v>
      </c>
      <c r="CF4">
        <v>2.7346355999999999E-2</v>
      </c>
      <c r="CG4">
        <v>1.9530432099999999</v>
      </c>
      <c r="CH4">
        <v>34.94587705</v>
      </c>
      <c r="CI4">
        <v>2.271693387</v>
      </c>
      <c r="CJ4">
        <v>10.187490070000001</v>
      </c>
      <c r="CK4">
        <v>1.9530432099999999</v>
      </c>
      <c r="CL4">
        <v>-34.94587705</v>
      </c>
      <c r="CM4">
        <v>2.271693387</v>
      </c>
      <c r="CN4">
        <v>1.6224459369999999</v>
      </c>
      <c r="CO4">
        <v>1.8230903999999999E-2</v>
      </c>
      <c r="CP4">
        <v>779.22956399999998</v>
      </c>
      <c r="CQ4">
        <v>3.3832300000000002E-4</v>
      </c>
      <c r="CR4">
        <v>42.496470469999998</v>
      </c>
      <c r="CS4">
        <v>1.8230903999999999E-2</v>
      </c>
      <c r="CT4">
        <v>779.22956399999998</v>
      </c>
      <c r="CU4">
        <v>3.3832300000000002E-4</v>
      </c>
      <c r="CV4">
        <v>194.22540509999999</v>
      </c>
      <c r="CW4">
        <v>1.914065755</v>
      </c>
      <c r="CX4">
        <v>0</v>
      </c>
      <c r="CY4">
        <v>0</v>
      </c>
      <c r="CZ4">
        <v>0</v>
      </c>
      <c r="DA4">
        <v>2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1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0.636514168294813</v>
      </c>
    </row>
    <row r="5" spans="1:134" x14ac:dyDescent="0.25">
      <c r="A5" t="s">
        <v>68</v>
      </c>
      <c r="B5">
        <v>10</v>
      </c>
      <c r="C5" t="s">
        <v>15</v>
      </c>
      <c r="D5" t="s">
        <v>95</v>
      </c>
      <c r="E5" t="s">
        <v>113</v>
      </c>
      <c r="F5" t="s">
        <v>145</v>
      </c>
      <c r="G5" t="s">
        <v>259</v>
      </c>
      <c r="H5" t="s">
        <v>764</v>
      </c>
      <c r="I5" t="s">
        <v>669</v>
      </c>
      <c r="J5" t="s">
        <v>279</v>
      </c>
      <c r="K5">
        <v>1</v>
      </c>
      <c r="L5">
        <v>120</v>
      </c>
      <c r="M5">
        <v>35</v>
      </c>
      <c r="N5">
        <v>120</v>
      </c>
      <c r="O5">
        <v>85</v>
      </c>
      <c r="P5">
        <v>10</v>
      </c>
      <c r="Q5">
        <v>25</v>
      </c>
      <c r="R5">
        <v>15</v>
      </c>
      <c r="S5">
        <v>20</v>
      </c>
      <c r="T5">
        <v>0.16666666699999999</v>
      </c>
      <c r="V5" t="s">
        <v>121</v>
      </c>
      <c r="W5" t="s">
        <v>114</v>
      </c>
      <c r="X5">
        <v>13.5</v>
      </c>
      <c r="Y5">
        <v>12</v>
      </c>
      <c r="Z5">
        <v>16.899999999999999</v>
      </c>
      <c r="AA5">
        <v>14.133333329999999</v>
      </c>
      <c r="AB5">
        <v>14.133333329999999</v>
      </c>
      <c r="AC5">
        <v>17.399999999999999</v>
      </c>
      <c r="AD5">
        <v>18.399999999999999</v>
      </c>
      <c r="AE5">
        <v>18.899999999999999</v>
      </c>
      <c r="AF5">
        <v>18.233333330000001</v>
      </c>
      <c r="AG5">
        <v>20.3</v>
      </c>
      <c r="AH5">
        <v>14.4</v>
      </c>
      <c r="AI5">
        <v>20.3</v>
      </c>
      <c r="AJ5">
        <v>18.333333329999999</v>
      </c>
      <c r="AK5">
        <v>22.8</v>
      </c>
      <c r="AL5">
        <v>23.3</v>
      </c>
      <c r="AM5">
        <v>19.8</v>
      </c>
      <c r="AN5">
        <v>21.966666669999999</v>
      </c>
      <c r="AO5">
        <v>18.333333329999999</v>
      </c>
      <c r="AP5">
        <v>5.6</v>
      </c>
      <c r="AQ5">
        <v>6.6</v>
      </c>
      <c r="AR5">
        <v>7.1</v>
      </c>
      <c r="AS5">
        <v>6.4333333330000002</v>
      </c>
      <c r="AT5">
        <v>8.1</v>
      </c>
      <c r="AU5">
        <v>8.5</v>
      </c>
      <c r="AV5">
        <v>7.6</v>
      </c>
      <c r="AW5">
        <v>8.0666666669999998</v>
      </c>
      <c r="AX5">
        <v>6.4333333330000002</v>
      </c>
      <c r="AY5">
        <v>-7.7</v>
      </c>
      <c r="AZ5">
        <v>50</v>
      </c>
      <c r="BA5">
        <v>45</v>
      </c>
      <c r="BB5">
        <v>3</v>
      </c>
      <c r="BC5">
        <v>10</v>
      </c>
      <c r="BD5">
        <v>0</v>
      </c>
      <c r="BE5">
        <v>1</v>
      </c>
      <c r="BF5">
        <v>0</v>
      </c>
      <c r="BG5">
        <v>3</v>
      </c>
      <c r="BI5">
        <v>7.5</v>
      </c>
      <c r="BJ5">
        <v>44.895000000000003</v>
      </c>
      <c r="BK5">
        <v>0</v>
      </c>
      <c r="BL5">
        <v>1</v>
      </c>
      <c r="BM5">
        <v>1</v>
      </c>
      <c r="BN5">
        <v>0</v>
      </c>
      <c r="BO5">
        <v>1.6666669999999999</v>
      </c>
      <c r="BP5">
        <v>-1.6666669999999999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 t="s">
        <v>114</v>
      </c>
      <c r="BZ5" t="s">
        <v>114</v>
      </c>
      <c r="CA5" t="s">
        <v>114</v>
      </c>
      <c r="CB5" t="s">
        <v>114</v>
      </c>
      <c r="CC5" t="s">
        <v>114</v>
      </c>
      <c r="CD5" t="s">
        <v>114</v>
      </c>
      <c r="CE5">
        <v>0</v>
      </c>
      <c r="CF5" t="s">
        <v>114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 t="s">
        <v>114</v>
      </c>
      <c r="CP5" t="s">
        <v>114</v>
      </c>
      <c r="CQ5" t="s">
        <v>114</v>
      </c>
      <c r="CR5" t="s">
        <v>114</v>
      </c>
      <c r="CS5" t="s">
        <v>114</v>
      </c>
      <c r="CT5" t="s">
        <v>114</v>
      </c>
      <c r="CU5" t="s">
        <v>114</v>
      </c>
      <c r="CV5" t="s">
        <v>114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1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</row>
    <row r="6" spans="1:134" x14ac:dyDescent="0.25">
      <c r="A6" t="s">
        <v>68</v>
      </c>
      <c r="B6">
        <v>10</v>
      </c>
      <c r="C6" t="s">
        <v>15</v>
      </c>
      <c r="D6" t="s">
        <v>95</v>
      </c>
      <c r="E6" t="s">
        <v>110</v>
      </c>
      <c r="F6" t="s">
        <v>145</v>
      </c>
      <c r="G6" t="s">
        <v>262</v>
      </c>
      <c r="H6" t="s">
        <v>768</v>
      </c>
      <c r="I6" t="s">
        <v>670</v>
      </c>
      <c r="J6" t="s">
        <v>280</v>
      </c>
      <c r="K6">
        <v>2</v>
      </c>
      <c r="L6">
        <v>45</v>
      </c>
      <c r="M6">
        <v>55</v>
      </c>
      <c r="N6">
        <v>45</v>
      </c>
      <c r="O6">
        <v>-10</v>
      </c>
      <c r="P6">
        <v>12</v>
      </c>
      <c r="Q6">
        <v>10</v>
      </c>
      <c r="R6">
        <v>7</v>
      </c>
      <c r="S6">
        <v>8.5</v>
      </c>
      <c r="T6">
        <v>0.188888889</v>
      </c>
      <c r="V6" t="s">
        <v>113</v>
      </c>
      <c r="W6">
        <v>35</v>
      </c>
      <c r="X6">
        <v>13.5</v>
      </c>
      <c r="Y6">
        <v>12</v>
      </c>
      <c r="Z6">
        <v>16.899999999999999</v>
      </c>
      <c r="AA6">
        <v>14.133333329999999</v>
      </c>
      <c r="AB6">
        <v>14.133333329999999</v>
      </c>
      <c r="AC6">
        <v>12</v>
      </c>
      <c r="AD6">
        <v>12</v>
      </c>
      <c r="AE6">
        <v>13.5</v>
      </c>
      <c r="AF6">
        <v>12.5</v>
      </c>
      <c r="AG6">
        <v>20.3</v>
      </c>
      <c r="AH6">
        <v>14.4</v>
      </c>
      <c r="AI6">
        <v>20.3</v>
      </c>
      <c r="AJ6">
        <v>18.333333329999999</v>
      </c>
      <c r="AK6">
        <v>15.9</v>
      </c>
      <c r="AL6">
        <v>16.399999999999999</v>
      </c>
      <c r="AM6">
        <v>14.9</v>
      </c>
      <c r="AN6">
        <v>15.733333330000001</v>
      </c>
      <c r="AO6">
        <v>18.333333329999999</v>
      </c>
      <c r="AP6">
        <v>5.6</v>
      </c>
      <c r="AQ6">
        <v>6.6</v>
      </c>
      <c r="AR6">
        <v>7.1</v>
      </c>
      <c r="AS6">
        <v>6.4333333330000002</v>
      </c>
      <c r="AT6">
        <v>4.0999999999999996</v>
      </c>
      <c r="AU6">
        <v>5.0999999999999996</v>
      </c>
      <c r="AV6">
        <v>4.5999999999999996</v>
      </c>
      <c r="AW6">
        <v>4.5999999999999996</v>
      </c>
      <c r="AX6">
        <v>6.4333333330000002</v>
      </c>
      <c r="AY6">
        <v>-7.7</v>
      </c>
      <c r="AZ6">
        <v>50</v>
      </c>
      <c r="BA6">
        <v>45</v>
      </c>
      <c r="BB6">
        <v>3</v>
      </c>
      <c r="BC6">
        <v>10</v>
      </c>
      <c r="BD6">
        <v>0</v>
      </c>
      <c r="BE6">
        <v>1</v>
      </c>
      <c r="BF6">
        <v>0</v>
      </c>
      <c r="BG6">
        <v>3</v>
      </c>
      <c r="BI6">
        <v>7.5</v>
      </c>
      <c r="BJ6">
        <v>44.895000000000003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10.496706189999999</v>
      </c>
      <c r="BT6">
        <v>0.329493333</v>
      </c>
      <c r="BU6">
        <v>11.843850679999999</v>
      </c>
      <c r="BV6">
        <v>-10.496706189999999</v>
      </c>
      <c r="BW6">
        <v>0.329493333</v>
      </c>
      <c r="BX6">
        <v>11.843850679999999</v>
      </c>
      <c r="BY6" t="s">
        <v>114</v>
      </c>
      <c r="BZ6" t="s">
        <v>114</v>
      </c>
      <c r="CA6" t="s">
        <v>114</v>
      </c>
      <c r="CB6" t="s">
        <v>114</v>
      </c>
      <c r="CC6" t="s">
        <v>114</v>
      </c>
      <c r="CD6" t="s">
        <v>114</v>
      </c>
      <c r="CE6">
        <v>0.6959573</v>
      </c>
      <c r="CF6" t="s">
        <v>114</v>
      </c>
      <c r="CG6">
        <v>0.6959573</v>
      </c>
      <c r="CH6">
        <v>10.496706189999999</v>
      </c>
      <c r="CI6">
        <v>0.329493333</v>
      </c>
      <c r="CJ6">
        <v>11.843850679999999</v>
      </c>
      <c r="CK6">
        <v>0.6959573</v>
      </c>
      <c r="CL6">
        <v>-10.496706189999999</v>
      </c>
      <c r="CM6">
        <v>0.329493333</v>
      </c>
      <c r="CN6">
        <v>11.843850679999999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0.6959573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2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</row>
    <row r="7" spans="1:134" x14ac:dyDescent="0.25">
      <c r="A7" t="s">
        <v>68</v>
      </c>
      <c r="B7">
        <v>10</v>
      </c>
      <c r="C7" t="s">
        <v>15</v>
      </c>
      <c r="D7" t="s">
        <v>95</v>
      </c>
      <c r="E7" t="s">
        <v>111</v>
      </c>
      <c r="F7" t="s">
        <v>145</v>
      </c>
      <c r="G7" t="s">
        <v>263</v>
      </c>
      <c r="H7" t="s">
        <v>776</v>
      </c>
      <c r="I7" t="s">
        <v>671</v>
      </c>
      <c r="J7" t="s">
        <v>281</v>
      </c>
      <c r="K7">
        <v>1</v>
      </c>
      <c r="L7">
        <v>250</v>
      </c>
      <c r="M7">
        <v>260</v>
      </c>
      <c r="N7">
        <v>250</v>
      </c>
      <c r="O7">
        <v>-10</v>
      </c>
      <c r="P7">
        <v>75</v>
      </c>
      <c r="Q7">
        <v>110</v>
      </c>
      <c r="R7">
        <v>30</v>
      </c>
      <c r="S7">
        <v>70</v>
      </c>
      <c r="T7">
        <v>0.28000000000000003</v>
      </c>
      <c r="V7" t="s">
        <v>121</v>
      </c>
      <c r="W7" t="s">
        <v>114</v>
      </c>
      <c r="X7">
        <v>13.5</v>
      </c>
      <c r="Y7">
        <v>12</v>
      </c>
      <c r="Z7">
        <v>16.899999999999999</v>
      </c>
      <c r="AA7">
        <v>14.133333329999999</v>
      </c>
      <c r="AB7">
        <v>14.133333329999999</v>
      </c>
      <c r="AC7">
        <v>16.399999999999999</v>
      </c>
      <c r="AD7">
        <v>17.399999999999999</v>
      </c>
      <c r="AE7">
        <v>15.9</v>
      </c>
      <c r="AF7">
        <v>16.56666667</v>
      </c>
      <c r="AG7">
        <v>20.3</v>
      </c>
      <c r="AH7">
        <v>14.4</v>
      </c>
      <c r="AI7">
        <v>20.3</v>
      </c>
      <c r="AJ7">
        <v>18.333333329999999</v>
      </c>
      <c r="AK7">
        <v>18.399999999999999</v>
      </c>
      <c r="AL7">
        <v>20.8</v>
      </c>
      <c r="AM7">
        <v>21.8</v>
      </c>
      <c r="AN7">
        <v>20.333333329999999</v>
      </c>
      <c r="AO7">
        <v>18.333333329999999</v>
      </c>
      <c r="AP7">
        <v>5.6</v>
      </c>
      <c r="AQ7">
        <v>6.6</v>
      </c>
      <c r="AR7">
        <v>7.1</v>
      </c>
      <c r="AS7">
        <v>6.4333333330000002</v>
      </c>
      <c r="AT7">
        <v>2.5</v>
      </c>
      <c r="AU7">
        <v>5.6</v>
      </c>
      <c r="AV7">
        <v>6.6</v>
      </c>
      <c r="AW7">
        <v>4.9000000000000004</v>
      </c>
      <c r="AX7">
        <v>6.4333333330000002</v>
      </c>
      <c r="AY7">
        <v>-7.7</v>
      </c>
      <c r="AZ7">
        <v>50</v>
      </c>
      <c r="BA7">
        <v>45</v>
      </c>
      <c r="BB7">
        <v>3</v>
      </c>
      <c r="BC7">
        <v>10</v>
      </c>
      <c r="BD7">
        <v>0</v>
      </c>
      <c r="BE7">
        <v>1</v>
      </c>
      <c r="BF7">
        <v>0</v>
      </c>
      <c r="BG7">
        <v>3</v>
      </c>
      <c r="BI7">
        <v>7.5</v>
      </c>
      <c r="BJ7">
        <v>44.895000000000003</v>
      </c>
      <c r="BK7">
        <v>0</v>
      </c>
      <c r="BL7">
        <v>51</v>
      </c>
      <c r="BM7">
        <v>30</v>
      </c>
      <c r="BN7">
        <v>1620</v>
      </c>
      <c r="BO7">
        <v>639.25</v>
      </c>
      <c r="BP7">
        <v>980.75</v>
      </c>
      <c r="BQ7">
        <v>613</v>
      </c>
      <c r="BR7">
        <v>1007</v>
      </c>
      <c r="BS7">
        <v>5.4831169299999996</v>
      </c>
      <c r="BT7">
        <v>0.63534888899999997</v>
      </c>
      <c r="BU7">
        <v>2.4388925600000002</v>
      </c>
      <c r="BV7">
        <v>-5.4831169299999996</v>
      </c>
      <c r="BW7">
        <v>-0.63534888899999997</v>
      </c>
      <c r="BX7">
        <v>-2.4388925600000002</v>
      </c>
      <c r="BY7" t="s">
        <v>114</v>
      </c>
      <c r="BZ7" t="s">
        <v>114</v>
      </c>
      <c r="CA7" t="s">
        <v>114</v>
      </c>
      <c r="CB7" t="s">
        <v>114</v>
      </c>
      <c r="CC7" t="s">
        <v>114</v>
      </c>
      <c r="CD7" t="s">
        <v>114</v>
      </c>
      <c r="CE7">
        <v>1.8570710000000001E-2</v>
      </c>
      <c r="CF7" t="s">
        <v>114</v>
      </c>
      <c r="CG7">
        <v>1.8570710000000001E-2</v>
      </c>
      <c r="CH7">
        <v>5.4831169299999996</v>
      </c>
      <c r="CI7">
        <v>0.63534888899999997</v>
      </c>
      <c r="CJ7">
        <v>2.4388925600000002</v>
      </c>
      <c r="CK7">
        <v>-1.8570710000000001E-2</v>
      </c>
      <c r="CL7">
        <v>-5.4831169299999996</v>
      </c>
      <c r="CM7">
        <v>-0.63534888899999997</v>
      </c>
      <c r="CN7">
        <v>-2.4388925600000002</v>
      </c>
      <c r="CO7" t="s">
        <v>114</v>
      </c>
      <c r="CP7" t="s">
        <v>114</v>
      </c>
      <c r="CQ7" t="s">
        <v>114</v>
      </c>
      <c r="CR7" t="s">
        <v>114</v>
      </c>
      <c r="CS7" t="s">
        <v>114</v>
      </c>
      <c r="CT7" t="s">
        <v>114</v>
      </c>
      <c r="CU7" t="s">
        <v>114</v>
      </c>
      <c r="CV7" t="s">
        <v>114</v>
      </c>
      <c r="CW7">
        <v>-1.8570710000000001E-2</v>
      </c>
      <c r="CX7">
        <v>0</v>
      </c>
      <c r="CY7">
        <v>0</v>
      </c>
      <c r="CZ7">
        <v>0</v>
      </c>
      <c r="DA7">
        <v>0</v>
      </c>
      <c r="DB7">
        <v>0</v>
      </c>
      <c r="DC7">
        <v>1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</row>
    <row r="8" spans="1:134" x14ac:dyDescent="0.25">
      <c r="A8" t="s">
        <v>68</v>
      </c>
      <c r="B8">
        <v>10</v>
      </c>
      <c r="C8" t="s">
        <v>15</v>
      </c>
      <c r="D8" t="s">
        <v>95</v>
      </c>
      <c r="E8" t="s">
        <v>104</v>
      </c>
      <c r="F8" t="s">
        <v>145</v>
      </c>
      <c r="G8" t="s">
        <v>264</v>
      </c>
      <c r="H8" t="s">
        <v>780</v>
      </c>
      <c r="I8" t="s">
        <v>672</v>
      </c>
      <c r="J8" t="s">
        <v>282</v>
      </c>
      <c r="K8">
        <v>0</v>
      </c>
      <c r="L8" t="s">
        <v>114</v>
      </c>
      <c r="M8" t="s">
        <v>114</v>
      </c>
      <c r="N8" t="s">
        <v>114</v>
      </c>
      <c r="O8" t="s">
        <v>114</v>
      </c>
      <c r="P8" t="s">
        <v>114</v>
      </c>
      <c r="Q8" t="s">
        <v>114</v>
      </c>
      <c r="R8" t="s">
        <v>114</v>
      </c>
      <c r="S8" t="s">
        <v>114</v>
      </c>
      <c r="T8" t="s">
        <v>114</v>
      </c>
      <c r="U8" t="s">
        <v>114</v>
      </c>
      <c r="V8" t="s">
        <v>121</v>
      </c>
      <c r="W8" t="s">
        <v>114</v>
      </c>
      <c r="X8">
        <v>13.5</v>
      </c>
      <c r="Y8">
        <v>12</v>
      </c>
      <c r="Z8">
        <v>16.899999999999999</v>
      </c>
      <c r="AA8">
        <v>14.133333329999999</v>
      </c>
      <c r="AB8">
        <v>14.133333329999999</v>
      </c>
      <c r="AC8">
        <v>13.9</v>
      </c>
      <c r="AD8">
        <v>13.9</v>
      </c>
      <c r="AE8">
        <v>15.4</v>
      </c>
      <c r="AF8">
        <v>14.4</v>
      </c>
      <c r="AG8">
        <v>20.3</v>
      </c>
      <c r="AH8">
        <v>14.4</v>
      </c>
      <c r="AI8">
        <v>20.3</v>
      </c>
      <c r="AJ8">
        <v>18.333333329999999</v>
      </c>
      <c r="AK8">
        <v>13</v>
      </c>
      <c r="AL8">
        <v>15.4</v>
      </c>
      <c r="AM8">
        <v>17.899999999999999</v>
      </c>
      <c r="AN8">
        <v>15.43333333</v>
      </c>
      <c r="AO8">
        <v>18.333333329999999</v>
      </c>
      <c r="AP8">
        <v>5.6</v>
      </c>
      <c r="AQ8">
        <v>6.6</v>
      </c>
      <c r="AR8">
        <v>7.1</v>
      </c>
      <c r="AS8">
        <v>6.4333333330000002</v>
      </c>
      <c r="AT8">
        <v>5.6</v>
      </c>
      <c r="AU8">
        <v>5.6</v>
      </c>
      <c r="AV8">
        <v>5.0999999999999996</v>
      </c>
      <c r="AW8">
        <v>5.4333333330000002</v>
      </c>
      <c r="AX8">
        <v>6.4333333330000002</v>
      </c>
      <c r="AY8">
        <v>-7.7</v>
      </c>
      <c r="AZ8">
        <v>50</v>
      </c>
      <c r="BA8">
        <v>45</v>
      </c>
      <c r="BB8">
        <v>3</v>
      </c>
      <c r="BC8">
        <v>10</v>
      </c>
      <c r="BD8">
        <v>0</v>
      </c>
      <c r="BE8">
        <v>1</v>
      </c>
      <c r="BF8">
        <v>0</v>
      </c>
      <c r="BG8">
        <v>3</v>
      </c>
      <c r="BI8">
        <v>7.5</v>
      </c>
      <c r="BJ8">
        <v>44.895000000000003</v>
      </c>
      <c r="BK8">
        <v>1</v>
      </c>
      <c r="BL8">
        <v>8</v>
      </c>
      <c r="BM8">
        <v>7</v>
      </c>
      <c r="BN8">
        <v>62</v>
      </c>
      <c r="BO8">
        <v>21</v>
      </c>
      <c r="BP8">
        <v>41</v>
      </c>
      <c r="BQ8">
        <v>0</v>
      </c>
      <c r="BR8">
        <v>62</v>
      </c>
      <c r="BS8" t="s">
        <v>114</v>
      </c>
      <c r="BT8" t="s">
        <v>114</v>
      </c>
      <c r="BU8" t="s">
        <v>114</v>
      </c>
      <c r="BV8" t="s">
        <v>114</v>
      </c>
      <c r="BW8" t="s">
        <v>114</v>
      </c>
      <c r="BX8" t="s">
        <v>114</v>
      </c>
      <c r="BY8" t="s">
        <v>114</v>
      </c>
      <c r="BZ8" t="s">
        <v>114</v>
      </c>
      <c r="CA8" t="s">
        <v>114</v>
      </c>
      <c r="CB8" t="s">
        <v>114</v>
      </c>
      <c r="CC8" t="s">
        <v>114</v>
      </c>
      <c r="CD8" t="s">
        <v>114</v>
      </c>
      <c r="CE8" t="s">
        <v>114</v>
      </c>
      <c r="CF8" t="s">
        <v>114</v>
      </c>
      <c r="CG8" t="s">
        <v>114</v>
      </c>
      <c r="CH8" t="s">
        <v>114</v>
      </c>
      <c r="CI8" t="s">
        <v>114</v>
      </c>
      <c r="CJ8" t="s">
        <v>114</v>
      </c>
      <c r="CK8" t="s">
        <v>114</v>
      </c>
      <c r="CL8" t="s">
        <v>114</v>
      </c>
      <c r="CM8" t="s">
        <v>114</v>
      </c>
      <c r="CN8" t="s">
        <v>114</v>
      </c>
      <c r="CO8" t="s">
        <v>114</v>
      </c>
      <c r="CP8" t="s">
        <v>114</v>
      </c>
      <c r="CQ8" t="s">
        <v>114</v>
      </c>
      <c r="CR8" t="s">
        <v>114</v>
      </c>
      <c r="CS8" t="s">
        <v>114</v>
      </c>
      <c r="CT8" t="s">
        <v>114</v>
      </c>
      <c r="CU8" t="s">
        <v>114</v>
      </c>
      <c r="CV8" t="s">
        <v>114</v>
      </c>
      <c r="CW8" t="s">
        <v>114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</row>
    <row r="9" spans="1:134" x14ac:dyDescent="0.25">
      <c r="A9" t="s">
        <v>69</v>
      </c>
      <c r="B9">
        <v>10</v>
      </c>
      <c r="C9" t="s">
        <v>17</v>
      </c>
      <c r="D9" t="s">
        <v>95</v>
      </c>
      <c r="E9" t="s">
        <v>102</v>
      </c>
      <c r="F9" t="s">
        <v>145</v>
      </c>
      <c r="G9" t="s">
        <v>265</v>
      </c>
      <c r="H9" t="s">
        <v>756</v>
      </c>
      <c r="I9" t="s">
        <v>673</v>
      </c>
      <c r="J9" t="s">
        <v>283</v>
      </c>
      <c r="K9">
        <v>3</v>
      </c>
      <c r="L9">
        <v>120</v>
      </c>
      <c r="M9">
        <v>110</v>
      </c>
      <c r="N9">
        <v>120</v>
      </c>
      <c r="O9">
        <v>10</v>
      </c>
      <c r="P9">
        <v>140</v>
      </c>
      <c r="Q9">
        <v>135</v>
      </c>
      <c r="R9">
        <v>105</v>
      </c>
      <c r="S9">
        <v>120</v>
      </c>
      <c r="T9">
        <v>1</v>
      </c>
      <c r="V9" t="s">
        <v>102</v>
      </c>
      <c r="W9">
        <v>110</v>
      </c>
      <c r="X9">
        <v>17.899999999999999</v>
      </c>
      <c r="Y9">
        <v>21.3</v>
      </c>
      <c r="Z9">
        <v>15.9</v>
      </c>
      <c r="AA9">
        <v>18.366666670000001</v>
      </c>
      <c r="AB9">
        <v>18.366666670000001</v>
      </c>
      <c r="AC9">
        <v>16.899999999999999</v>
      </c>
      <c r="AD9">
        <v>16.899999999999999</v>
      </c>
      <c r="AE9">
        <v>15.4</v>
      </c>
      <c r="AF9">
        <v>16.399999999999999</v>
      </c>
      <c r="AG9">
        <v>18.399999999999999</v>
      </c>
      <c r="AH9">
        <v>19.3</v>
      </c>
      <c r="AI9">
        <v>24.3</v>
      </c>
      <c r="AJ9">
        <v>20.666666670000001</v>
      </c>
      <c r="AK9">
        <v>18.899999999999999</v>
      </c>
      <c r="AL9">
        <v>19.3</v>
      </c>
      <c r="AM9">
        <v>22.8</v>
      </c>
      <c r="AN9">
        <v>20.333333329999999</v>
      </c>
      <c r="AO9">
        <v>20.666666670000001</v>
      </c>
      <c r="AP9">
        <v>10</v>
      </c>
      <c r="AQ9">
        <v>12.5</v>
      </c>
      <c r="AR9">
        <v>9</v>
      </c>
      <c r="AS9">
        <v>10.5</v>
      </c>
      <c r="AT9">
        <v>8.1</v>
      </c>
      <c r="AU9">
        <v>8.5</v>
      </c>
      <c r="AV9">
        <v>8.5</v>
      </c>
      <c r="AW9">
        <v>8.3666666670000005</v>
      </c>
      <c r="AX9">
        <v>10.5</v>
      </c>
      <c r="AY9">
        <v>-7.8666666669999996</v>
      </c>
      <c r="AZ9">
        <v>35</v>
      </c>
      <c r="BA9">
        <v>5</v>
      </c>
      <c r="BB9">
        <v>3</v>
      </c>
      <c r="BC9">
        <v>3</v>
      </c>
      <c r="BD9">
        <v>0</v>
      </c>
      <c r="BE9">
        <v>0</v>
      </c>
      <c r="BF9">
        <v>0</v>
      </c>
      <c r="BG9">
        <v>0</v>
      </c>
      <c r="BI9">
        <v>11.5</v>
      </c>
      <c r="BJ9">
        <v>42.4</v>
      </c>
      <c r="BK9">
        <v>0</v>
      </c>
      <c r="BL9">
        <v>16</v>
      </c>
      <c r="BM9">
        <v>15</v>
      </c>
      <c r="BN9">
        <v>398</v>
      </c>
      <c r="BO9">
        <v>274</v>
      </c>
      <c r="BP9">
        <v>124</v>
      </c>
      <c r="BQ9">
        <v>190</v>
      </c>
      <c r="BR9">
        <v>208</v>
      </c>
      <c r="BS9">
        <v>23.76599328</v>
      </c>
      <c r="BT9">
        <v>0.53958577399999996</v>
      </c>
      <c r="BU9">
        <v>4.4932827299999998</v>
      </c>
      <c r="BV9">
        <v>-23.76599328</v>
      </c>
      <c r="BW9">
        <v>0.53958577399999996</v>
      </c>
      <c r="BX9">
        <v>4.4932827299999998</v>
      </c>
      <c r="BY9">
        <v>1129.644873</v>
      </c>
      <c r="BZ9">
        <v>0.582305615</v>
      </c>
      <c r="CA9">
        <v>40.379179379999997</v>
      </c>
      <c r="CB9">
        <v>1129.644873</v>
      </c>
      <c r="CC9">
        <v>0.582305615</v>
      </c>
      <c r="CD9">
        <v>40.379179379999997</v>
      </c>
      <c r="CE9">
        <v>0.37155294500000002</v>
      </c>
      <c r="CF9">
        <v>0.276103182</v>
      </c>
      <c r="CG9">
        <v>0.49540392700000002</v>
      </c>
      <c r="CH9">
        <v>31.68799104</v>
      </c>
      <c r="CI9">
        <v>0.71944769900000005</v>
      </c>
      <c r="CJ9">
        <v>5.99104364</v>
      </c>
      <c r="CK9">
        <v>0.49540392700000002</v>
      </c>
      <c r="CL9">
        <v>-31.68799104</v>
      </c>
      <c r="CM9">
        <v>0.71944769900000005</v>
      </c>
      <c r="CN9">
        <v>5.99104364</v>
      </c>
      <c r="CO9">
        <v>0.18406878800000001</v>
      </c>
      <c r="CP9">
        <v>753.09658209999998</v>
      </c>
      <c r="CQ9">
        <v>0.38820374299999999</v>
      </c>
      <c r="CR9">
        <v>26.919452920000001</v>
      </c>
      <c r="CS9">
        <v>0.18406878800000001</v>
      </c>
      <c r="CT9">
        <v>753.09658209999998</v>
      </c>
      <c r="CU9">
        <v>0.38820374299999999</v>
      </c>
      <c r="CV9">
        <v>26.919452920000001</v>
      </c>
      <c r="CW9">
        <v>0.37155294500000002</v>
      </c>
      <c r="CX9">
        <v>1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2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0.636514168294813</v>
      </c>
    </row>
    <row r="10" spans="1:134" x14ac:dyDescent="0.25">
      <c r="A10" t="s">
        <v>69</v>
      </c>
      <c r="B10">
        <v>10</v>
      </c>
      <c r="C10" t="s">
        <v>17</v>
      </c>
      <c r="D10" t="s">
        <v>95</v>
      </c>
      <c r="E10" t="s">
        <v>113</v>
      </c>
      <c r="F10" t="s">
        <v>145</v>
      </c>
      <c r="G10" t="s">
        <v>259</v>
      </c>
      <c r="H10" t="s">
        <v>764</v>
      </c>
      <c r="I10" t="s">
        <v>669</v>
      </c>
      <c r="J10" t="s">
        <v>284</v>
      </c>
      <c r="K10">
        <v>3</v>
      </c>
      <c r="L10">
        <v>35</v>
      </c>
      <c r="M10">
        <v>5</v>
      </c>
      <c r="N10">
        <v>35</v>
      </c>
      <c r="O10">
        <v>30</v>
      </c>
      <c r="P10">
        <v>9</v>
      </c>
      <c r="Q10">
        <v>30</v>
      </c>
      <c r="R10">
        <v>0</v>
      </c>
      <c r="S10">
        <v>15</v>
      </c>
      <c r="T10">
        <v>0.428571429</v>
      </c>
      <c r="U10" t="s">
        <v>15</v>
      </c>
      <c r="V10" t="s">
        <v>113</v>
      </c>
      <c r="W10">
        <v>55</v>
      </c>
      <c r="X10">
        <v>17.899999999999999</v>
      </c>
      <c r="Y10">
        <v>21.3</v>
      </c>
      <c r="Z10">
        <v>15.9</v>
      </c>
      <c r="AA10">
        <v>18.366666670000001</v>
      </c>
      <c r="AB10">
        <v>18.366666670000001</v>
      </c>
      <c r="AC10">
        <v>19.3</v>
      </c>
      <c r="AD10">
        <v>18.399999999999999</v>
      </c>
      <c r="AE10">
        <v>19.8</v>
      </c>
      <c r="AF10">
        <v>19.166666670000001</v>
      </c>
      <c r="AG10">
        <v>18.399999999999999</v>
      </c>
      <c r="AH10">
        <v>19.3</v>
      </c>
      <c r="AI10">
        <v>24.3</v>
      </c>
      <c r="AJ10">
        <v>20.666666670000001</v>
      </c>
      <c r="AK10">
        <v>21.3</v>
      </c>
      <c r="AL10">
        <v>21.8</v>
      </c>
      <c r="AM10">
        <v>21.3</v>
      </c>
      <c r="AN10">
        <v>21.466666669999999</v>
      </c>
      <c r="AO10">
        <v>20.666666670000001</v>
      </c>
      <c r="AP10">
        <v>10</v>
      </c>
      <c r="AQ10">
        <v>12.5</v>
      </c>
      <c r="AR10">
        <v>9</v>
      </c>
      <c r="AS10">
        <v>10.5</v>
      </c>
      <c r="AT10">
        <v>12</v>
      </c>
      <c r="AU10">
        <v>13</v>
      </c>
      <c r="AV10">
        <v>13</v>
      </c>
      <c r="AW10">
        <v>12.66666667</v>
      </c>
      <c r="AX10">
        <v>10.5</v>
      </c>
      <c r="AY10">
        <v>-7.8666666669999996</v>
      </c>
      <c r="AZ10">
        <v>35</v>
      </c>
      <c r="BA10">
        <v>5</v>
      </c>
      <c r="BB10">
        <v>3</v>
      </c>
      <c r="BC10">
        <v>3</v>
      </c>
      <c r="BD10">
        <v>0</v>
      </c>
      <c r="BE10">
        <v>0</v>
      </c>
      <c r="BF10">
        <v>0</v>
      </c>
      <c r="BG10">
        <v>0</v>
      </c>
      <c r="BI10">
        <v>11.5</v>
      </c>
      <c r="BJ10">
        <v>42.4</v>
      </c>
      <c r="BK10">
        <v>0</v>
      </c>
      <c r="BL10">
        <v>3</v>
      </c>
      <c r="BM10">
        <v>3</v>
      </c>
      <c r="BN10">
        <v>5</v>
      </c>
      <c r="BO10">
        <v>1.6666669999999999</v>
      </c>
      <c r="BP10">
        <v>3.3333330000000001</v>
      </c>
      <c r="BQ10">
        <v>0</v>
      </c>
      <c r="BR10">
        <v>5</v>
      </c>
      <c r="BS10">
        <v>24.257575769999999</v>
      </c>
      <c r="BT10">
        <v>0.34551327399999998</v>
      </c>
      <c r="BU10">
        <v>1.21476564</v>
      </c>
      <c r="BV10">
        <v>-24.257575769999999</v>
      </c>
      <c r="BW10">
        <v>0.34551327399999998</v>
      </c>
      <c r="BX10">
        <v>1.21476564</v>
      </c>
      <c r="BY10">
        <v>1176.859964</v>
      </c>
      <c r="BZ10">
        <v>0.238758845</v>
      </c>
      <c r="CA10">
        <v>2.9513111200000002</v>
      </c>
      <c r="CB10">
        <v>1176.859964</v>
      </c>
      <c r="CC10">
        <v>0.238758845</v>
      </c>
      <c r="CD10">
        <v>2.9513111200000002</v>
      </c>
      <c r="CE10">
        <v>0.100515305</v>
      </c>
      <c r="CF10">
        <v>2.0206653000000002E-2</v>
      </c>
      <c r="CG10">
        <v>0.13402040700000001</v>
      </c>
      <c r="CH10">
        <v>32.343434360000003</v>
      </c>
      <c r="CI10">
        <v>0.46068436499999998</v>
      </c>
      <c r="CJ10">
        <v>1.61968752</v>
      </c>
      <c r="CK10">
        <v>-0.13402040700000001</v>
      </c>
      <c r="CL10">
        <v>-32.343434360000003</v>
      </c>
      <c r="CM10">
        <v>0.46068436499999998</v>
      </c>
      <c r="CN10">
        <v>1.61968752</v>
      </c>
      <c r="CO10">
        <v>1.3471102E-2</v>
      </c>
      <c r="CP10">
        <v>784.57330960000002</v>
      </c>
      <c r="CQ10">
        <v>0.15917256299999999</v>
      </c>
      <c r="CR10">
        <v>1.9675407469999999</v>
      </c>
      <c r="CS10">
        <v>1.3471102E-2</v>
      </c>
      <c r="CT10">
        <v>784.57330960000002</v>
      </c>
      <c r="CU10">
        <v>0.15917256299999999</v>
      </c>
      <c r="CV10">
        <v>1.9675407469999999</v>
      </c>
      <c r="CW10">
        <v>-0.100515305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1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2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0.636514168294813</v>
      </c>
    </row>
    <row r="11" spans="1:134" x14ac:dyDescent="0.25">
      <c r="A11" t="s">
        <v>69</v>
      </c>
      <c r="B11">
        <v>10</v>
      </c>
      <c r="C11" t="s">
        <v>17</v>
      </c>
      <c r="D11" t="s">
        <v>95</v>
      </c>
      <c r="E11" t="s">
        <v>103</v>
      </c>
      <c r="F11" t="s">
        <v>145</v>
      </c>
      <c r="G11" t="s">
        <v>260</v>
      </c>
      <c r="H11" t="s">
        <v>772</v>
      </c>
      <c r="I11" t="s">
        <v>674</v>
      </c>
      <c r="J11" t="s">
        <v>285</v>
      </c>
      <c r="K11">
        <v>3</v>
      </c>
      <c r="L11">
        <v>110</v>
      </c>
      <c r="M11">
        <v>30</v>
      </c>
      <c r="N11">
        <v>110</v>
      </c>
      <c r="O11">
        <v>80</v>
      </c>
      <c r="P11">
        <v>30</v>
      </c>
      <c r="Q11">
        <v>30</v>
      </c>
      <c r="R11">
        <v>20</v>
      </c>
      <c r="S11">
        <v>25</v>
      </c>
      <c r="T11">
        <v>0.22727272700000001</v>
      </c>
      <c r="V11" t="s">
        <v>103</v>
      </c>
      <c r="W11">
        <v>40</v>
      </c>
      <c r="X11">
        <v>17.899999999999999</v>
      </c>
      <c r="Y11">
        <v>21.3</v>
      </c>
      <c r="Z11">
        <v>15.9</v>
      </c>
      <c r="AA11">
        <v>18.366666670000001</v>
      </c>
      <c r="AB11">
        <v>18.366666670000001</v>
      </c>
      <c r="AC11">
        <v>15.4</v>
      </c>
      <c r="AD11">
        <v>18.399999999999999</v>
      </c>
      <c r="AE11">
        <v>16.899999999999999</v>
      </c>
      <c r="AF11">
        <v>16.899999999999999</v>
      </c>
      <c r="AG11">
        <v>18.399999999999999</v>
      </c>
      <c r="AH11">
        <v>19.3</v>
      </c>
      <c r="AI11">
        <v>24.3</v>
      </c>
      <c r="AJ11">
        <v>20.666666670000001</v>
      </c>
      <c r="AK11">
        <v>20.3</v>
      </c>
      <c r="AL11">
        <v>19.8</v>
      </c>
      <c r="AM11">
        <v>22.3</v>
      </c>
      <c r="AN11">
        <v>20.8</v>
      </c>
      <c r="AO11">
        <v>20.666666670000001</v>
      </c>
      <c r="AP11">
        <v>10</v>
      </c>
      <c r="AQ11">
        <v>12.5</v>
      </c>
      <c r="AR11">
        <v>9</v>
      </c>
      <c r="AS11">
        <v>10.5</v>
      </c>
      <c r="AT11">
        <v>11.5</v>
      </c>
      <c r="AU11">
        <v>11.5</v>
      </c>
      <c r="AV11">
        <v>10.5</v>
      </c>
      <c r="AW11">
        <v>11.16666667</v>
      </c>
      <c r="AX11">
        <v>10.5</v>
      </c>
      <c r="AY11">
        <v>-7.8666666669999996</v>
      </c>
      <c r="AZ11">
        <v>35</v>
      </c>
      <c r="BA11">
        <v>5</v>
      </c>
      <c r="BB11">
        <v>3</v>
      </c>
      <c r="BC11">
        <v>3</v>
      </c>
      <c r="BD11">
        <v>0</v>
      </c>
      <c r="BE11">
        <v>0</v>
      </c>
      <c r="BF11">
        <v>0</v>
      </c>
      <c r="BG11">
        <v>0</v>
      </c>
      <c r="BI11">
        <v>11.5</v>
      </c>
      <c r="BJ11">
        <v>42.4</v>
      </c>
      <c r="BK11">
        <v>0</v>
      </c>
      <c r="BL11">
        <v>6</v>
      </c>
      <c r="BM11">
        <v>6</v>
      </c>
      <c r="BN11">
        <v>437</v>
      </c>
      <c r="BO11">
        <v>194</v>
      </c>
      <c r="BP11">
        <v>243</v>
      </c>
      <c r="BQ11">
        <v>0</v>
      </c>
      <c r="BR11">
        <v>437</v>
      </c>
      <c r="BS11">
        <v>16.56313132</v>
      </c>
      <c r="BT11">
        <v>0.16533922000000001</v>
      </c>
      <c r="BU11">
        <v>3.41677461</v>
      </c>
      <c r="BV11">
        <v>-16.56313132</v>
      </c>
      <c r="BW11">
        <v>-0.15667919799999999</v>
      </c>
      <c r="BX11">
        <v>3.3396801900000002</v>
      </c>
      <c r="BY11">
        <v>289.22613009999998</v>
      </c>
      <c r="BZ11">
        <v>7.5736628E-2</v>
      </c>
      <c r="CA11">
        <v>33.851055039999999</v>
      </c>
      <c r="CB11">
        <v>289.22613009999998</v>
      </c>
      <c r="CC11">
        <v>7.9919658000000005E-2</v>
      </c>
      <c r="CD11">
        <v>34.632382479999997</v>
      </c>
      <c r="CE11">
        <v>5.3314686999999999E-2</v>
      </c>
      <c r="CF11">
        <v>6.4031619999999996E-3</v>
      </c>
      <c r="CG11">
        <v>5.3314686999999999E-2</v>
      </c>
      <c r="CH11">
        <v>16.56313132</v>
      </c>
      <c r="CI11">
        <v>0.16533922000000001</v>
      </c>
      <c r="CJ11">
        <v>3.41677461</v>
      </c>
      <c r="CK11">
        <v>5.3314686999999999E-2</v>
      </c>
      <c r="CL11">
        <v>-16.56313132</v>
      </c>
      <c r="CM11">
        <v>-0.15667919799999999</v>
      </c>
      <c r="CN11">
        <v>3.3396801900000002</v>
      </c>
      <c r="CO11">
        <v>6.4031619999999996E-3</v>
      </c>
      <c r="CP11">
        <v>289.22613009999998</v>
      </c>
      <c r="CQ11">
        <v>7.5736628E-2</v>
      </c>
      <c r="CR11">
        <v>33.851055039999999</v>
      </c>
      <c r="CS11">
        <v>6.4031619999999996E-3</v>
      </c>
      <c r="CT11">
        <v>289.22613009999998</v>
      </c>
      <c r="CU11">
        <v>7.9919658000000005E-2</v>
      </c>
      <c r="CV11">
        <v>34.632382479999997</v>
      </c>
      <c r="CW11">
        <v>5.3314686999999999E-2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1</v>
      </c>
      <c r="DQ11">
        <v>0</v>
      </c>
      <c r="DR11">
        <v>1</v>
      </c>
      <c r="DS11">
        <v>0</v>
      </c>
      <c r="DT11">
        <v>0</v>
      </c>
      <c r="DU11">
        <v>0</v>
      </c>
      <c r="DV11">
        <v>1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1.09861228866811</v>
      </c>
    </row>
    <row r="12" spans="1:134" x14ac:dyDescent="0.25">
      <c r="A12" t="s">
        <v>69</v>
      </c>
      <c r="B12">
        <v>10</v>
      </c>
      <c r="C12" t="s">
        <v>17</v>
      </c>
      <c r="D12" t="s">
        <v>95</v>
      </c>
      <c r="E12" t="s">
        <v>111</v>
      </c>
      <c r="F12" t="s">
        <v>145</v>
      </c>
      <c r="G12" t="s">
        <v>263</v>
      </c>
      <c r="H12" t="s">
        <v>776</v>
      </c>
      <c r="I12" t="s">
        <v>671</v>
      </c>
      <c r="J12" t="s">
        <v>286</v>
      </c>
      <c r="K12">
        <v>3</v>
      </c>
      <c r="L12">
        <v>150</v>
      </c>
      <c r="M12">
        <v>210</v>
      </c>
      <c r="N12">
        <v>150</v>
      </c>
      <c r="O12">
        <v>-60</v>
      </c>
      <c r="P12">
        <v>45</v>
      </c>
      <c r="Q12">
        <v>40</v>
      </c>
      <c r="R12">
        <v>30</v>
      </c>
      <c r="S12">
        <v>35</v>
      </c>
      <c r="T12">
        <v>0.233333333</v>
      </c>
      <c r="V12" t="s">
        <v>121</v>
      </c>
      <c r="W12" t="s">
        <v>114</v>
      </c>
      <c r="X12">
        <v>17.899999999999999</v>
      </c>
      <c r="Y12">
        <v>21.3</v>
      </c>
      <c r="Z12">
        <v>15.9</v>
      </c>
      <c r="AA12">
        <v>18.366666670000001</v>
      </c>
      <c r="AB12">
        <v>18.366666670000001</v>
      </c>
      <c r="AC12">
        <v>17.399999999999999</v>
      </c>
      <c r="AD12">
        <v>18.399999999999999</v>
      </c>
      <c r="AE12">
        <v>18.399999999999999</v>
      </c>
      <c r="AF12">
        <v>18.06666667</v>
      </c>
      <c r="AG12">
        <v>18.399999999999999</v>
      </c>
      <c r="AH12">
        <v>19.3</v>
      </c>
      <c r="AI12">
        <v>24.3</v>
      </c>
      <c r="AJ12">
        <v>20.666666670000001</v>
      </c>
      <c r="AK12">
        <v>22.8</v>
      </c>
      <c r="AL12">
        <v>19.3</v>
      </c>
      <c r="AM12">
        <v>23.8</v>
      </c>
      <c r="AN12">
        <v>21.966666669999999</v>
      </c>
      <c r="AO12">
        <v>20.666666670000001</v>
      </c>
      <c r="AP12">
        <v>10</v>
      </c>
      <c r="AQ12">
        <v>12.5</v>
      </c>
      <c r="AR12">
        <v>9</v>
      </c>
      <c r="AS12">
        <v>10.5</v>
      </c>
      <c r="AT12">
        <v>9.5</v>
      </c>
      <c r="AU12">
        <v>12</v>
      </c>
      <c r="AV12">
        <v>13</v>
      </c>
      <c r="AW12">
        <v>11.5</v>
      </c>
      <c r="AX12">
        <v>10.5</v>
      </c>
      <c r="AY12">
        <v>-7.8666666669999996</v>
      </c>
      <c r="AZ12">
        <v>35</v>
      </c>
      <c r="BA12">
        <v>5</v>
      </c>
      <c r="BB12">
        <v>3</v>
      </c>
      <c r="BC12">
        <v>3</v>
      </c>
      <c r="BD12">
        <v>0</v>
      </c>
      <c r="BE12">
        <v>0</v>
      </c>
      <c r="BF12">
        <v>0</v>
      </c>
      <c r="BG12">
        <v>0</v>
      </c>
      <c r="BI12">
        <v>11.5</v>
      </c>
      <c r="BJ12">
        <v>42.4</v>
      </c>
      <c r="BK12">
        <v>0</v>
      </c>
      <c r="BL12">
        <v>6</v>
      </c>
      <c r="BM12">
        <v>3</v>
      </c>
      <c r="BN12">
        <v>123</v>
      </c>
      <c r="BO12">
        <v>639.25</v>
      </c>
      <c r="BP12">
        <v>-516.25</v>
      </c>
      <c r="BQ12">
        <v>245</v>
      </c>
      <c r="BR12">
        <v>-122</v>
      </c>
      <c r="BS12">
        <v>37.301298729999999</v>
      </c>
      <c r="BT12">
        <v>8.5137659000000004E-2</v>
      </c>
      <c r="BU12">
        <v>4.1354695399999999</v>
      </c>
      <c r="BV12">
        <v>-37.301298729999999</v>
      </c>
      <c r="BW12">
        <v>8.5137659000000004E-2</v>
      </c>
      <c r="BX12">
        <v>4.1354695399999999</v>
      </c>
      <c r="BY12" t="s">
        <v>114</v>
      </c>
      <c r="BZ12" t="s">
        <v>114</v>
      </c>
      <c r="CA12" t="s">
        <v>114</v>
      </c>
      <c r="CB12" t="s">
        <v>114</v>
      </c>
      <c r="CC12" t="s">
        <v>114</v>
      </c>
      <c r="CD12" t="s">
        <v>114</v>
      </c>
      <c r="CE12">
        <v>2.3536109999999999E-2</v>
      </c>
      <c r="CF12" t="s">
        <v>114</v>
      </c>
      <c r="CG12">
        <v>2.3536109999999999E-2</v>
      </c>
      <c r="CH12">
        <v>37.301298729999999</v>
      </c>
      <c r="CI12">
        <v>8.5137659000000004E-2</v>
      </c>
      <c r="CJ12">
        <v>4.1354695399999999</v>
      </c>
      <c r="CK12">
        <v>-2.3536109999999999E-2</v>
      </c>
      <c r="CL12">
        <v>-37.301298729999999</v>
      </c>
      <c r="CM12">
        <v>8.5137659000000004E-2</v>
      </c>
      <c r="CN12">
        <v>4.1354695399999999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-2.3536109999999999E-2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3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</row>
    <row r="13" spans="1:134" x14ac:dyDescent="0.25">
      <c r="A13" t="s">
        <v>69</v>
      </c>
      <c r="B13">
        <v>10</v>
      </c>
      <c r="C13" t="s">
        <v>17</v>
      </c>
      <c r="D13" t="s">
        <v>95</v>
      </c>
      <c r="E13" t="s">
        <v>112</v>
      </c>
      <c r="F13" t="s">
        <v>145</v>
      </c>
      <c r="G13" t="s">
        <v>261</v>
      </c>
      <c r="H13" t="s">
        <v>784</v>
      </c>
      <c r="I13" t="s">
        <v>675</v>
      </c>
      <c r="J13" t="s">
        <v>287</v>
      </c>
      <c r="K13">
        <v>2</v>
      </c>
      <c r="L13" t="s">
        <v>114</v>
      </c>
      <c r="M13" t="s">
        <v>114</v>
      </c>
      <c r="N13" t="s">
        <v>114</v>
      </c>
      <c r="O13" t="s">
        <v>114</v>
      </c>
      <c r="P13" t="s">
        <v>114</v>
      </c>
      <c r="Q13" t="s">
        <v>114</v>
      </c>
      <c r="R13" t="s">
        <v>114</v>
      </c>
      <c r="S13" t="s">
        <v>114</v>
      </c>
      <c r="T13" t="s">
        <v>114</v>
      </c>
      <c r="U13" t="s">
        <v>114</v>
      </c>
      <c r="V13" t="s">
        <v>121</v>
      </c>
      <c r="W13" t="s">
        <v>114</v>
      </c>
      <c r="X13">
        <v>17.899999999999999</v>
      </c>
      <c r="Y13">
        <v>21.3</v>
      </c>
      <c r="Z13">
        <v>15.9</v>
      </c>
      <c r="AA13">
        <v>18.366666670000001</v>
      </c>
      <c r="AB13">
        <v>18.366666670000001</v>
      </c>
      <c r="AC13">
        <v>19.3</v>
      </c>
      <c r="AD13">
        <v>19.8</v>
      </c>
      <c r="AE13">
        <v>17.899999999999999</v>
      </c>
      <c r="AF13">
        <v>19</v>
      </c>
      <c r="AG13">
        <v>18.399999999999999</v>
      </c>
      <c r="AH13">
        <v>19.3</v>
      </c>
      <c r="AI13">
        <v>24.3</v>
      </c>
      <c r="AJ13">
        <v>20.666666670000001</v>
      </c>
      <c r="AK13">
        <v>21.8</v>
      </c>
      <c r="AL13">
        <v>20.3</v>
      </c>
      <c r="AM13">
        <v>17.899999999999999</v>
      </c>
      <c r="AN13">
        <v>20</v>
      </c>
      <c r="AO13">
        <v>20.666666670000001</v>
      </c>
      <c r="AP13">
        <v>10</v>
      </c>
      <c r="AQ13">
        <v>12.5</v>
      </c>
      <c r="AR13">
        <v>9</v>
      </c>
      <c r="AS13">
        <v>10.5</v>
      </c>
      <c r="AT13">
        <v>12</v>
      </c>
      <c r="AU13">
        <v>11.5</v>
      </c>
      <c r="AV13">
        <v>10</v>
      </c>
      <c r="AW13">
        <v>11.16666667</v>
      </c>
      <c r="AX13">
        <v>10.5</v>
      </c>
      <c r="AY13">
        <v>-7.8666666669999996</v>
      </c>
      <c r="AZ13">
        <v>35</v>
      </c>
      <c r="BA13">
        <v>5</v>
      </c>
      <c r="BB13">
        <v>3</v>
      </c>
      <c r="BC13">
        <v>3</v>
      </c>
      <c r="BD13">
        <v>0</v>
      </c>
      <c r="BE13">
        <v>0</v>
      </c>
      <c r="BF13">
        <v>0</v>
      </c>
      <c r="BG13">
        <v>0</v>
      </c>
      <c r="BI13">
        <v>11.5</v>
      </c>
      <c r="BJ13">
        <v>42.4</v>
      </c>
      <c r="BK13">
        <v>1</v>
      </c>
      <c r="BL13">
        <v>15</v>
      </c>
      <c r="BM13">
        <v>15</v>
      </c>
      <c r="BN13">
        <v>77</v>
      </c>
      <c r="BO13">
        <v>155</v>
      </c>
      <c r="BP13">
        <v>-78</v>
      </c>
      <c r="BQ13">
        <v>37</v>
      </c>
      <c r="BR13">
        <v>40</v>
      </c>
      <c r="BS13">
        <v>67.1789773</v>
      </c>
      <c r="BT13">
        <v>2.2504543259999998</v>
      </c>
      <c r="BU13">
        <v>17.714904010000001</v>
      </c>
      <c r="BV13">
        <v>-67.1789773</v>
      </c>
      <c r="BW13">
        <v>2.2504543259999998</v>
      </c>
      <c r="BX13">
        <v>17.714904010000001</v>
      </c>
      <c r="BY13" t="s">
        <v>114</v>
      </c>
      <c r="BZ13" t="s">
        <v>114</v>
      </c>
      <c r="CA13" t="s">
        <v>114</v>
      </c>
      <c r="CB13" t="s">
        <v>114</v>
      </c>
      <c r="CC13" t="s">
        <v>114</v>
      </c>
      <c r="CD13" t="s">
        <v>114</v>
      </c>
      <c r="CE13">
        <v>1.7971333899999999</v>
      </c>
      <c r="CF13" t="s">
        <v>114</v>
      </c>
      <c r="CG13">
        <v>1.7971333899999999</v>
      </c>
      <c r="CH13">
        <v>67.1789773</v>
      </c>
      <c r="CI13">
        <v>2.2504543259999998</v>
      </c>
      <c r="CJ13">
        <v>17.714904010000001</v>
      </c>
      <c r="CK13">
        <v>1.7971333899999999</v>
      </c>
      <c r="CL13">
        <v>-67.1789773</v>
      </c>
      <c r="CM13">
        <v>2.2504543259999998</v>
      </c>
      <c r="CN13">
        <v>17.714904010000001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1.7971333899999999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2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</row>
    <row r="14" spans="1:134" x14ac:dyDescent="0.25">
      <c r="A14" t="s">
        <v>70</v>
      </c>
      <c r="B14">
        <v>10</v>
      </c>
      <c r="C14" t="s">
        <v>19</v>
      </c>
      <c r="D14" t="s">
        <v>95</v>
      </c>
      <c r="E14" t="s">
        <v>102</v>
      </c>
      <c r="F14" t="s">
        <v>145</v>
      </c>
      <c r="G14" t="s">
        <v>265</v>
      </c>
      <c r="H14" t="s">
        <v>756</v>
      </c>
      <c r="I14" t="s">
        <v>673</v>
      </c>
      <c r="J14" t="s">
        <v>288</v>
      </c>
      <c r="K14">
        <v>2</v>
      </c>
      <c r="L14">
        <v>90</v>
      </c>
      <c r="M14">
        <v>100</v>
      </c>
      <c r="N14">
        <v>90</v>
      </c>
      <c r="O14">
        <v>-10</v>
      </c>
      <c r="P14">
        <v>105</v>
      </c>
      <c r="Q14">
        <v>95</v>
      </c>
      <c r="R14">
        <v>20</v>
      </c>
      <c r="S14">
        <v>57.5</v>
      </c>
      <c r="T14">
        <v>0.63888888899999996</v>
      </c>
      <c r="U14" t="s">
        <v>15</v>
      </c>
      <c r="V14" t="s">
        <v>121</v>
      </c>
      <c r="W14" t="s">
        <v>114</v>
      </c>
      <c r="X14">
        <v>17.899999999999999</v>
      </c>
      <c r="Y14">
        <v>15.4</v>
      </c>
      <c r="Z14">
        <v>18.399999999999999</v>
      </c>
      <c r="AA14">
        <v>17.233333330000001</v>
      </c>
      <c r="AB14">
        <v>17.233333330000001</v>
      </c>
      <c r="AC14">
        <v>16.899999999999999</v>
      </c>
      <c r="AD14">
        <v>15.9</v>
      </c>
      <c r="AE14">
        <v>11.5</v>
      </c>
      <c r="AF14">
        <v>14.766666669999999</v>
      </c>
      <c r="AG14">
        <v>16.899999999999999</v>
      </c>
      <c r="AH14">
        <v>15.9</v>
      </c>
      <c r="AI14">
        <v>19.8</v>
      </c>
      <c r="AJ14">
        <v>17.533333330000001</v>
      </c>
      <c r="AK14">
        <v>17.399999999999999</v>
      </c>
      <c r="AL14">
        <v>15.9</v>
      </c>
      <c r="AM14">
        <v>17.399999999999999</v>
      </c>
      <c r="AN14">
        <v>16.899999999999999</v>
      </c>
      <c r="AO14">
        <v>17.533333330000001</v>
      </c>
      <c r="AP14">
        <v>5.6</v>
      </c>
      <c r="AQ14">
        <v>6.6</v>
      </c>
      <c r="AR14" t="s">
        <v>114</v>
      </c>
      <c r="AS14">
        <v>6.1</v>
      </c>
      <c r="AT14">
        <v>5.0999999999999996</v>
      </c>
      <c r="AU14">
        <v>6.1</v>
      </c>
      <c r="AV14">
        <v>6.1</v>
      </c>
      <c r="AW14">
        <v>5.766666667</v>
      </c>
      <c r="AX14">
        <v>6.1</v>
      </c>
      <c r="AY14">
        <v>-11.133333329999999</v>
      </c>
      <c r="AZ14">
        <v>35</v>
      </c>
      <c r="BA14">
        <v>55</v>
      </c>
      <c r="BB14">
        <v>1</v>
      </c>
      <c r="BC14">
        <v>5</v>
      </c>
      <c r="BD14">
        <v>1</v>
      </c>
      <c r="BE14">
        <v>0</v>
      </c>
      <c r="BF14">
        <v>0</v>
      </c>
      <c r="BG14">
        <v>2</v>
      </c>
      <c r="BI14">
        <v>11.2</v>
      </c>
      <c r="BJ14">
        <v>42.911000000000001</v>
      </c>
      <c r="BK14">
        <v>0</v>
      </c>
      <c r="BL14">
        <v>9</v>
      </c>
      <c r="BM14">
        <v>9</v>
      </c>
      <c r="BN14">
        <v>306</v>
      </c>
      <c r="BO14">
        <v>274</v>
      </c>
      <c r="BP14">
        <v>32</v>
      </c>
      <c r="BQ14">
        <v>124</v>
      </c>
      <c r="BR14">
        <v>182</v>
      </c>
      <c r="BS14">
        <v>14.29629628</v>
      </c>
      <c r="BT14">
        <v>0.28373600799999998</v>
      </c>
      <c r="BU14">
        <v>1.3753441200000001</v>
      </c>
      <c r="BV14">
        <v>-14.29629628</v>
      </c>
      <c r="BW14">
        <v>-0.28373600799999998</v>
      </c>
      <c r="BX14">
        <v>1.3753441200000001</v>
      </c>
      <c r="BY14">
        <v>408.76817469999997</v>
      </c>
      <c r="BZ14">
        <v>0.161012244</v>
      </c>
      <c r="CA14">
        <v>3.7831428969999998</v>
      </c>
      <c r="CB14">
        <v>408.76817469999997</v>
      </c>
      <c r="CC14">
        <v>0.161012244</v>
      </c>
      <c r="CD14">
        <v>3.7831428969999998</v>
      </c>
      <c r="CE14">
        <v>0.53393209500000005</v>
      </c>
      <c r="CF14">
        <v>0.570166964</v>
      </c>
      <c r="CG14">
        <v>0.53393209500000005</v>
      </c>
      <c r="CH14">
        <v>14.29629628</v>
      </c>
      <c r="CI14">
        <v>0.28373600799999998</v>
      </c>
      <c r="CJ14">
        <v>1.3753441200000001</v>
      </c>
      <c r="CK14">
        <v>0.53393209500000005</v>
      </c>
      <c r="CL14">
        <v>-14.29629628</v>
      </c>
      <c r="CM14">
        <v>-0.28373600799999998</v>
      </c>
      <c r="CN14">
        <v>1.3753441200000001</v>
      </c>
      <c r="CO14">
        <v>0.570166964</v>
      </c>
      <c r="CP14">
        <v>408.76817469999997</v>
      </c>
      <c r="CQ14">
        <v>0.161012244</v>
      </c>
      <c r="CR14">
        <v>3.7831428969999998</v>
      </c>
      <c r="CS14">
        <v>0.570166964</v>
      </c>
      <c r="CT14">
        <v>408.76817469999997</v>
      </c>
      <c r="CU14">
        <v>0.161012244</v>
      </c>
      <c r="CV14">
        <v>3.7831428969999998</v>
      </c>
      <c r="CW14">
        <v>0.53393209500000005</v>
      </c>
      <c r="CX14">
        <v>1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1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0.69314718055994495</v>
      </c>
    </row>
    <row r="15" spans="1:134" x14ac:dyDescent="0.25">
      <c r="A15" t="s">
        <v>70</v>
      </c>
      <c r="B15">
        <v>10</v>
      </c>
      <c r="C15" t="s">
        <v>19</v>
      </c>
      <c r="D15" t="s">
        <v>95</v>
      </c>
      <c r="E15" t="s">
        <v>105</v>
      </c>
      <c r="F15" t="s">
        <v>145</v>
      </c>
      <c r="G15" t="s">
        <v>266</v>
      </c>
      <c r="H15" t="s">
        <v>760</v>
      </c>
      <c r="I15" t="s">
        <v>676</v>
      </c>
      <c r="J15" t="s">
        <v>289</v>
      </c>
      <c r="K15">
        <v>4</v>
      </c>
      <c r="L15">
        <v>15</v>
      </c>
      <c r="M15">
        <v>50</v>
      </c>
      <c r="N15">
        <v>15</v>
      </c>
      <c r="O15">
        <v>-35</v>
      </c>
      <c r="P15">
        <v>25</v>
      </c>
      <c r="Q15">
        <v>25</v>
      </c>
      <c r="R15">
        <v>15</v>
      </c>
      <c r="S15">
        <v>20</v>
      </c>
      <c r="T15">
        <v>1.3333333329999999</v>
      </c>
      <c r="V15" t="s">
        <v>121</v>
      </c>
      <c r="W15" t="s">
        <v>114</v>
      </c>
      <c r="X15">
        <v>17.899999999999999</v>
      </c>
      <c r="Y15">
        <v>15.4</v>
      </c>
      <c r="Z15">
        <v>18.399999999999999</v>
      </c>
      <c r="AA15">
        <v>17.233333330000001</v>
      </c>
      <c r="AB15">
        <v>17.233333330000001</v>
      </c>
      <c r="AC15">
        <v>14.4</v>
      </c>
      <c r="AD15">
        <v>13</v>
      </c>
      <c r="AE15">
        <v>13.9</v>
      </c>
      <c r="AF15">
        <v>13.766666669999999</v>
      </c>
      <c r="AG15">
        <v>16.899999999999999</v>
      </c>
      <c r="AH15">
        <v>15.9</v>
      </c>
      <c r="AI15">
        <v>19.8</v>
      </c>
      <c r="AJ15">
        <v>17.533333330000001</v>
      </c>
      <c r="AK15">
        <v>13.5</v>
      </c>
      <c r="AL15">
        <v>15.4</v>
      </c>
      <c r="AM15">
        <v>13.9</v>
      </c>
      <c r="AN15">
        <v>14.266666669999999</v>
      </c>
      <c r="AO15">
        <v>17.533333330000001</v>
      </c>
      <c r="AP15">
        <v>5.6</v>
      </c>
      <c r="AQ15">
        <v>6.6</v>
      </c>
      <c r="AR15" t="s">
        <v>114</v>
      </c>
      <c r="AS15">
        <v>6.1</v>
      </c>
      <c r="AT15">
        <v>4.5999999999999996</v>
      </c>
      <c r="AU15">
        <v>5.6</v>
      </c>
      <c r="AV15">
        <v>6.1</v>
      </c>
      <c r="AW15">
        <v>5.4333333330000002</v>
      </c>
      <c r="AX15">
        <v>6.1</v>
      </c>
      <c r="AY15">
        <v>-11.133333329999999</v>
      </c>
      <c r="AZ15">
        <v>35</v>
      </c>
      <c r="BA15">
        <v>55</v>
      </c>
      <c r="BB15">
        <v>1</v>
      </c>
      <c r="BC15">
        <v>5</v>
      </c>
      <c r="BD15">
        <v>1</v>
      </c>
      <c r="BE15">
        <v>0</v>
      </c>
      <c r="BF15">
        <v>0</v>
      </c>
      <c r="BG15">
        <v>2</v>
      </c>
      <c r="BI15">
        <v>11.2</v>
      </c>
      <c r="BJ15">
        <v>42.911000000000001</v>
      </c>
      <c r="BK15">
        <v>0</v>
      </c>
      <c r="BL15">
        <v>1</v>
      </c>
      <c r="BM15">
        <v>1</v>
      </c>
      <c r="BN15" t="s">
        <v>114</v>
      </c>
      <c r="BO15">
        <v>215.5</v>
      </c>
      <c r="BP15" t="s">
        <v>114</v>
      </c>
      <c r="BQ15">
        <v>326</v>
      </c>
      <c r="BR15" t="s">
        <v>114</v>
      </c>
      <c r="BS15">
        <v>41.881507380000002</v>
      </c>
      <c r="BT15">
        <v>1.535365595</v>
      </c>
      <c r="BU15">
        <v>20.518134329999999</v>
      </c>
      <c r="BV15">
        <v>-41.881507380000002</v>
      </c>
      <c r="BW15">
        <v>-1.2832433759999999</v>
      </c>
      <c r="BX15">
        <v>20.518134329999999</v>
      </c>
      <c r="BY15">
        <v>630.08699369999999</v>
      </c>
      <c r="BZ15">
        <v>1.719167417</v>
      </c>
      <c r="CA15">
        <v>60.662399710000003</v>
      </c>
      <c r="CB15">
        <v>630.08699369999999</v>
      </c>
      <c r="CC15">
        <v>2.7851183380000002</v>
      </c>
      <c r="CD15">
        <v>60.662399710000003</v>
      </c>
      <c r="CE15" t="s">
        <v>114</v>
      </c>
      <c r="CF15" t="s">
        <v>114</v>
      </c>
      <c r="CG15" t="s">
        <v>114</v>
      </c>
      <c r="CH15">
        <v>42.869463860000003</v>
      </c>
      <c r="CI15">
        <v>1.468639255</v>
      </c>
      <c r="CJ15">
        <v>20.768828249999999</v>
      </c>
      <c r="CK15" t="s">
        <v>114</v>
      </c>
      <c r="CL15">
        <v>-42.869463860000003</v>
      </c>
      <c r="CM15">
        <v>-1.279547591</v>
      </c>
      <c r="CN15">
        <v>20.768828249999999</v>
      </c>
      <c r="CO15" t="s">
        <v>114</v>
      </c>
      <c r="CP15">
        <v>423.96222790000002</v>
      </c>
      <c r="CQ15">
        <v>1.1639212290000001</v>
      </c>
      <c r="CR15">
        <v>40.692989570000002</v>
      </c>
      <c r="CS15" t="s">
        <v>114</v>
      </c>
      <c r="CT15">
        <v>423.96222790000002</v>
      </c>
      <c r="CU15">
        <v>1.8568001940000001</v>
      </c>
      <c r="CV15">
        <v>40.692989570000002</v>
      </c>
      <c r="CW15" t="s">
        <v>114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2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1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1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1.0397207708399201</v>
      </c>
    </row>
    <row r="16" spans="1:134" x14ac:dyDescent="0.25">
      <c r="A16" t="s">
        <v>70</v>
      </c>
      <c r="B16">
        <v>10</v>
      </c>
      <c r="C16" t="s">
        <v>19</v>
      </c>
      <c r="D16" t="s">
        <v>95</v>
      </c>
      <c r="E16" t="s">
        <v>111</v>
      </c>
      <c r="F16" t="s">
        <v>145</v>
      </c>
      <c r="G16" t="s">
        <v>263</v>
      </c>
      <c r="H16" t="s">
        <v>776</v>
      </c>
      <c r="I16" t="s">
        <v>671</v>
      </c>
      <c r="J16" t="s">
        <v>290</v>
      </c>
      <c r="K16">
        <v>1</v>
      </c>
      <c r="L16">
        <v>290</v>
      </c>
      <c r="M16">
        <v>205</v>
      </c>
      <c r="N16">
        <v>290</v>
      </c>
      <c r="O16">
        <v>85</v>
      </c>
      <c r="P16">
        <v>75</v>
      </c>
      <c r="Q16">
        <v>140</v>
      </c>
      <c r="R16">
        <v>50</v>
      </c>
      <c r="S16">
        <v>95</v>
      </c>
      <c r="T16">
        <v>0.32758620700000002</v>
      </c>
      <c r="V16" t="s">
        <v>121</v>
      </c>
      <c r="W16" t="s">
        <v>114</v>
      </c>
      <c r="X16">
        <v>17.899999999999999</v>
      </c>
      <c r="Y16">
        <v>15.4</v>
      </c>
      <c r="Z16">
        <v>18.399999999999999</v>
      </c>
      <c r="AA16">
        <v>17.233333330000001</v>
      </c>
      <c r="AB16">
        <v>17.233333330000001</v>
      </c>
      <c r="AC16">
        <v>16.899999999999999</v>
      </c>
      <c r="AD16">
        <v>14.4</v>
      </c>
      <c r="AE16">
        <v>14.9</v>
      </c>
      <c r="AF16">
        <v>15.4</v>
      </c>
      <c r="AG16">
        <v>16.899999999999999</v>
      </c>
      <c r="AH16">
        <v>15.9</v>
      </c>
      <c r="AI16">
        <v>19.8</v>
      </c>
      <c r="AJ16">
        <v>17.533333330000001</v>
      </c>
      <c r="AK16">
        <v>18.399999999999999</v>
      </c>
      <c r="AL16">
        <v>16.399999999999999</v>
      </c>
      <c r="AM16">
        <v>16.399999999999999</v>
      </c>
      <c r="AN16">
        <v>17.06666667</v>
      </c>
      <c r="AO16">
        <v>17.533333330000001</v>
      </c>
      <c r="AP16">
        <v>5.6</v>
      </c>
      <c r="AQ16">
        <v>6.6</v>
      </c>
      <c r="AR16" t="s">
        <v>114</v>
      </c>
      <c r="AS16">
        <v>6.1</v>
      </c>
      <c r="AT16">
        <v>5.6</v>
      </c>
      <c r="AU16">
        <v>5.6</v>
      </c>
      <c r="AV16" t="s">
        <v>114</v>
      </c>
      <c r="AW16">
        <v>5.6</v>
      </c>
      <c r="AX16">
        <v>6.1</v>
      </c>
      <c r="AY16">
        <v>-11.133333329999999</v>
      </c>
      <c r="AZ16">
        <v>35</v>
      </c>
      <c r="BA16">
        <v>55</v>
      </c>
      <c r="BB16">
        <v>1</v>
      </c>
      <c r="BC16">
        <v>5</v>
      </c>
      <c r="BD16">
        <v>1</v>
      </c>
      <c r="BE16">
        <v>0</v>
      </c>
      <c r="BF16">
        <v>0</v>
      </c>
      <c r="BG16">
        <v>2</v>
      </c>
      <c r="BI16">
        <v>11.2</v>
      </c>
      <c r="BJ16">
        <v>42.911000000000001</v>
      </c>
      <c r="BK16">
        <v>0</v>
      </c>
      <c r="BL16">
        <v>42</v>
      </c>
      <c r="BM16">
        <v>25</v>
      </c>
      <c r="BN16">
        <v>1305</v>
      </c>
      <c r="BO16">
        <v>639.25</v>
      </c>
      <c r="BP16">
        <v>665.75</v>
      </c>
      <c r="BQ16">
        <v>851</v>
      </c>
      <c r="BR16">
        <v>454</v>
      </c>
      <c r="BS16">
        <v>37.301298729999999</v>
      </c>
      <c r="BT16">
        <v>8.5137659000000004E-2</v>
      </c>
      <c r="BU16">
        <v>4.1354695399999999</v>
      </c>
      <c r="BV16">
        <v>-37.301298729999999</v>
      </c>
      <c r="BW16">
        <v>8.5137659000000004E-2</v>
      </c>
      <c r="BX16">
        <v>4.1354695399999999</v>
      </c>
      <c r="BY16" t="s">
        <v>114</v>
      </c>
      <c r="BZ16" t="s">
        <v>114</v>
      </c>
      <c r="CA16" t="s">
        <v>114</v>
      </c>
      <c r="CB16" t="s">
        <v>114</v>
      </c>
      <c r="CC16" t="s">
        <v>114</v>
      </c>
      <c r="CD16" t="s">
        <v>114</v>
      </c>
      <c r="CE16">
        <v>2.3536109999999999E-2</v>
      </c>
      <c r="CF16" t="s">
        <v>114</v>
      </c>
      <c r="CG16">
        <v>2.3536109999999999E-2</v>
      </c>
      <c r="CH16">
        <v>37.301298729999999</v>
      </c>
      <c r="CI16">
        <v>8.5137659000000004E-2</v>
      </c>
      <c r="CJ16">
        <v>4.1354695399999999</v>
      </c>
      <c r="CK16">
        <v>-2.3536109999999999E-2</v>
      </c>
      <c r="CL16">
        <v>-37.301298729999999</v>
      </c>
      <c r="CM16">
        <v>8.5137659000000004E-2</v>
      </c>
      <c r="CN16">
        <v>4.1354695399999999</v>
      </c>
      <c r="CO16" t="s">
        <v>114</v>
      </c>
      <c r="CP16" t="s">
        <v>114</v>
      </c>
      <c r="CQ16" t="s">
        <v>114</v>
      </c>
      <c r="CR16" t="s">
        <v>114</v>
      </c>
      <c r="CS16" t="s">
        <v>114</v>
      </c>
      <c r="CT16" t="s">
        <v>114</v>
      </c>
      <c r="CU16" t="s">
        <v>114</v>
      </c>
      <c r="CV16" t="s">
        <v>114</v>
      </c>
      <c r="CW16">
        <v>-2.3536109999999999E-2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1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</row>
    <row r="17" spans="1:134" x14ac:dyDescent="0.25">
      <c r="A17" t="s">
        <v>71</v>
      </c>
      <c r="B17">
        <v>10</v>
      </c>
      <c r="C17" t="s">
        <v>21</v>
      </c>
      <c r="D17" t="s">
        <v>94</v>
      </c>
      <c r="E17" t="s">
        <v>102</v>
      </c>
      <c r="F17" t="s">
        <v>145</v>
      </c>
      <c r="G17" t="s">
        <v>265</v>
      </c>
      <c r="H17" t="s">
        <v>755</v>
      </c>
      <c r="I17" t="s">
        <v>677</v>
      </c>
      <c r="J17" t="s">
        <v>291</v>
      </c>
      <c r="K17" t="s">
        <v>114</v>
      </c>
      <c r="L17">
        <v>160</v>
      </c>
      <c r="M17">
        <v>115</v>
      </c>
      <c r="N17">
        <v>160</v>
      </c>
      <c r="O17">
        <v>45</v>
      </c>
      <c r="P17">
        <v>180</v>
      </c>
      <c r="Q17">
        <v>160</v>
      </c>
      <c r="R17">
        <v>110</v>
      </c>
      <c r="S17">
        <v>135</v>
      </c>
      <c r="T17">
        <v>0.84375</v>
      </c>
      <c r="V17" t="s">
        <v>121</v>
      </c>
      <c r="W17" t="s">
        <v>114</v>
      </c>
      <c r="X17">
        <v>11.5</v>
      </c>
      <c r="Y17">
        <v>11.5</v>
      </c>
      <c r="Z17">
        <v>12.5</v>
      </c>
      <c r="AA17">
        <v>11.83333333</v>
      </c>
      <c r="AB17">
        <v>11.83333333</v>
      </c>
      <c r="AC17">
        <v>13.9</v>
      </c>
      <c r="AD17">
        <v>13</v>
      </c>
      <c r="AE17">
        <v>12.5</v>
      </c>
      <c r="AF17">
        <v>13.133333329999999</v>
      </c>
      <c r="AG17">
        <v>14.4</v>
      </c>
      <c r="AH17">
        <v>13</v>
      </c>
      <c r="AI17">
        <v>14</v>
      </c>
      <c r="AJ17">
        <v>13.8</v>
      </c>
      <c r="AK17">
        <v>13.9</v>
      </c>
      <c r="AL17">
        <v>14.4</v>
      </c>
      <c r="AM17">
        <v>16.399999999999999</v>
      </c>
      <c r="AN17">
        <v>14.9</v>
      </c>
      <c r="AO17">
        <v>13.8</v>
      </c>
      <c r="AP17">
        <v>3.6</v>
      </c>
      <c r="AQ17">
        <v>5.6</v>
      </c>
      <c r="AR17">
        <v>8.1</v>
      </c>
      <c r="AS17">
        <v>5.766666667</v>
      </c>
      <c r="AT17">
        <v>6.1</v>
      </c>
      <c r="AU17">
        <v>6.6</v>
      </c>
      <c r="AV17">
        <v>6.1</v>
      </c>
      <c r="AW17">
        <v>6.266666667</v>
      </c>
      <c r="AX17">
        <v>5.766666667</v>
      </c>
      <c r="AY17">
        <v>-6.0666666669999998</v>
      </c>
      <c r="AZ17">
        <v>15</v>
      </c>
      <c r="BA17">
        <v>20</v>
      </c>
      <c r="BB17">
        <v>0</v>
      </c>
      <c r="BC17">
        <v>40</v>
      </c>
      <c r="BD17">
        <v>0</v>
      </c>
      <c r="BE17">
        <v>1</v>
      </c>
      <c r="BF17">
        <v>0</v>
      </c>
      <c r="BG17">
        <v>1</v>
      </c>
      <c r="BI17">
        <v>6.9</v>
      </c>
      <c r="BJ17">
        <v>2.4950000000000001</v>
      </c>
      <c r="BK17">
        <v>0</v>
      </c>
      <c r="BL17">
        <v>22</v>
      </c>
      <c r="BM17">
        <v>22</v>
      </c>
      <c r="BN17">
        <v>583</v>
      </c>
      <c r="BO17">
        <v>560.5</v>
      </c>
      <c r="BP17">
        <v>22.5</v>
      </c>
      <c r="BQ17">
        <v>405</v>
      </c>
      <c r="BR17">
        <v>178</v>
      </c>
      <c r="BS17" t="s">
        <v>114</v>
      </c>
      <c r="BT17" t="s">
        <v>114</v>
      </c>
      <c r="BU17" t="s">
        <v>114</v>
      </c>
      <c r="BV17" t="s">
        <v>114</v>
      </c>
      <c r="BW17" t="s">
        <v>114</v>
      </c>
      <c r="BX17" t="s">
        <v>114</v>
      </c>
      <c r="BY17" t="s">
        <v>114</v>
      </c>
      <c r="BZ17" t="s">
        <v>114</v>
      </c>
      <c r="CA17" t="s">
        <v>114</v>
      </c>
      <c r="CB17" t="s">
        <v>114</v>
      </c>
      <c r="CC17" t="s">
        <v>114</v>
      </c>
      <c r="CD17" t="s">
        <v>114</v>
      </c>
      <c r="CE17" t="s">
        <v>114</v>
      </c>
      <c r="CF17" t="s">
        <v>114</v>
      </c>
      <c r="CG17" t="s">
        <v>114</v>
      </c>
      <c r="CH17" t="s">
        <v>114</v>
      </c>
      <c r="CI17" t="s">
        <v>114</v>
      </c>
      <c r="CJ17" t="s">
        <v>114</v>
      </c>
      <c r="CK17" t="s">
        <v>114</v>
      </c>
      <c r="CL17" t="s">
        <v>114</v>
      </c>
      <c r="CM17" t="s">
        <v>114</v>
      </c>
      <c r="CN17" t="s">
        <v>114</v>
      </c>
      <c r="CO17" t="s">
        <v>114</v>
      </c>
      <c r="CP17" t="s">
        <v>114</v>
      </c>
      <c r="CQ17" t="s">
        <v>114</v>
      </c>
      <c r="CR17" t="s">
        <v>114</v>
      </c>
      <c r="CS17" t="s">
        <v>114</v>
      </c>
      <c r="CT17" t="s">
        <v>114</v>
      </c>
      <c r="CU17" t="s">
        <v>114</v>
      </c>
      <c r="CV17" t="s">
        <v>114</v>
      </c>
      <c r="CW17" t="s">
        <v>114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</row>
    <row r="18" spans="1:134" x14ac:dyDescent="0.25">
      <c r="A18" t="s">
        <v>71</v>
      </c>
      <c r="B18">
        <v>10</v>
      </c>
      <c r="C18" t="s">
        <v>21</v>
      </c>
      <c r="D18" t="s">
        <v>94</v>
      </c>
      <c r="E18" t="s">
        <v>111</v>
      </c>
      <c r="F18" t="s">
        <v>145</v>
      </c>
      <c r="G18" t="s">
        <v>263</v>
      </c>
      <c r="H18" t="s">
        <v>775</v>
      </c>
      <c r="I18" t="s">
        <v>678</v>
      </c>
      <c r="J18" t="s">
        <v>292</v>
      </c>
      <c r="K18">
        <v>2</v>
      </c>
      <c r="L18">
        <v>330</v>
      </c>
      <c r="M18">
        <v>190</v>
      </c>
      <c r="N18">
        <v>330</v>
      </c>
      <c r="O18">
        <v>140</v>
      </c>
      <c r="P18">
        <v>110</v>
      </c>
      <c r="Q18">
        <v>200</v>
      </c>
      <c r="R18">
        <v>50</v>
      </c>
      <c r="S18">
        <v>125</v>
      </c>
      <c r="T18">
        <v>0.37878787899999999</v>
      </c>
      <c r="U18" t="s">
        <v>15</v>
      </c>
      <c r="V18" t="s">
        <v>111</v>
      </c>
      <c r="W18">
        <v>170</v>
      </c>
      <c r="X18">
        <v>11.5</v>
      </c>
      <c r="Y18">
        <v>11.5</v>
      </c>
      <c r="Z18">
        <v>12.5</v>
      </c>
      <c r="AA18">
        <v>11.83333333</v>
      </c>
      <c r="AB18">
        <v>11.83333333</v>
      </c>
      <c r="AC18">
        <v>13.5</v>
      </c>
      <c r="AD18">
        <v>14.4</v>
      </c>
      <c r="AE18">
        <v>15.4</v>
      </c>
      <c r="AF18">
        <v>14.43333333</v>
      </c>
      <c r="AG18">
        <v>14.4</v>
      </c>
      <c r="AH18">
        <v>13</v>
      </c>
      <c r="AI18">
        <v>14</v>
      </c>
      <c r="AJ18">
        <v>13.8</v>
      </c>
      <c r="AK18">
        <v>13.9</v>
      </c>
      <c r="AL18">
        <v>15.9</v>
      </c>
      <c r="AM18">
        <v>17.399999999999999</v>
      </c>
      <c r="AN18">
        <v>15.733333330000001</v>
      </c>
      <c r="AO18">
        <v>13.8</v>
      </c>
      <c r="AP18">
        <v>3.6</v>
      </c>
      <c r="AQ18">
        <v>5.6</v>
      </c>
      <c r="AR18">
        <v>8.1</v>
      </c>
      <c r="AS18">
        <v>5.766666667</v>
      </c>
      <c r="AT18">
        <v>5.6</v>
      </c>
      <c r="AU18">
        <v>6.6</v>
      </c>
      <c r="AV18">
        <v>5.0999999999999996</v>
      </c>
      <c r="AW18">
        <v>5.766666667</v>
      </c>
      <c r="AX18">
        <v>5.766666667</v>
      </c>
      <c r="AY18">
        <v>-6.0666666669999998</v>
      </c>
      <c r="AZ18">
        <v>15</v>
      </c>
      <c r="BA18">
        <v>20</v>
      </c>
      <c r="BB18">
        <v>0</v>
      </c>
      <c r="BC18">
        <v>40</v>
      </c>
      <c r="BD18">
        <v>0</v>
      </c>
      <c r="BE18">
        <v>1</v>
      </c>
      <c r="BF18">
        <v>0</v>
      </c>
      <c r="BG18">
        <v>1</v>
      </c>
      <c r="BI18">
        <v>6.9</v>
      </c>
      <c r="BJ18">
        <v>2.4950000000000001</v>
      </c>
      <c r="BK18">
        <v>0</v>
      </c>
      <c r="BL18">
        <v>41</v>
      </c>
      <c r="BM18">
        <v>30</v>
      </c>
      <c r="BN18">
        <v>3137</v>
      </c>
      <c r="BO18">
        <v>2412</v>
      </c>
      <c r="BP18">
        <v>725</v>
      </c>
      <c r="BQ18">
        <v>2519</v>
      </c>
      <c r="BR18">
        <v>618</v>
      </c>
      <c r="BS18">
        <v>31.08571427</v>
      </c>
      <c r="BT18">
        <v>0.21434500000000001</v>
      </c>
      <c r="BU18">
        <v>2.3265815949999999</v>
      </c>
      <c r="BV18">
        <v>-31.08571427</v>
      </c>
      <c r="BW18">
        <v>-0.21434500000000001</v>
      </c>
      <c r="BX18">
        <v>-2.3265815949999999</v>
      </c>
      <c r="BY18">
        <v>1932.6432629999999</v>
      </c>
      <c r="BZ18">
        <v>9.1887557999999994E-2</v>
      </c>
      <c r="CA18">
        <v>10.82596384</v>
      </c>
      <c r="CB18">
        <v>1932.6432629999999</v>
      </c>
      <c r="CC18">
        <v>9.1887557999999994E-2</v>
      </c>
      <c r="CD18">
        <v>10.82596384</v>
      </c>
      <c r="CE18" t="s">
        <v>114</v>
      </c>
      <c r="CF18" t="s">
        <v>114</v>
      </c>
      <c r="CG18" t="s">
        <v>114</v>
      </c>
      <c r="CH18">
        <v>31.08571427</v>
      </c>
      <c r="CI18">
        <v>0.21434500000000001</v>
      </c>
      <c r="CJ18">
        <v>2.3265815949999999</v>
      </c>
      <c r="CK18" t="s">
        <v>114</v>
      </c>
      <c r="CL18">
        <v>-31.08571427</v>
      </c>
      <c r="CM18">
        <v>-0.21434500000000001</v>
      </c>
      <c r="CN18">
        <v>-2.3265815949999999</v>
      </c>
      <c r="CO18" t="s">
        <v>114</v>
      </c>
      <c r="CP18">
        <v>1932.6432629999999</v>
      </c>
      <c r="CQ18">
        <v>9.1887557999999994E-2</v>
      </c>
      <c r="CR18">
        <v>10.82596384</v>
      </c>
      <c r="CS18" t="s">
        <v>114</v>
      </c>
      <c r="CT18">
        <v>1932.6432629999999</v>
      </c>
      <c r="CU18">
        <v>9.1887557999999994E-2</v>
      </c>
      <c r="CV18">
        <v>10.82596384</v>
      </c>
      <c r="CW18" t="s">
        <v>114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1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1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0.69314718055994495</v>
      </c>
    </row>
    <row r="19" spans="1:134" x14ac:dyDescent="0.25">
      <c r="A19" t="s">
        <v>71</v>
      </c>
      <c r="B19">
        <v>10</v>
      </c>
      <c r="C19" t="s">
        <v>21</v>
      </c>
      <c r="D19" t="s">
        <v>94</v>
      </c>
      <c r="E19" t="s">
        <v>104</v>
      </c>
      <c r="F19" t="s">
        <v>145</v>
      </c>
      <c r="G19" t="s">
        <v>264</v>
      </c>
      <c r="H19" t="s">
        <v>779</v>
      </c>
      <c r="I19" t="s">
        <v>679</v>
      </c>
      <c r="J19" t="s">
        <v>293</v>
      </c>
      <c r="K19">
        <v>1</v>
      </c>
      <c r="L19">
        <v>25</v>
      </c>
      <c r="M19">
        <v>140</v>
      </c>
      <c r="N19">
        <v>25</v>
      </c>
      <c r="O19">
        <v>-115</v>
      </c>
      <c r="P19">
        <v>20</v>
      </c>
      <c r="Q19">
        <v>15</v>
      </c>
      <c r="R19">
        <v>5</v>
      </c>
      <c r="S19">
        <v>10</v>
      </c>
      <c r="T19">
        <v>0.4</v>
      </c>
      <c r="V19" t="s">
        <v>104</v>
      </c>
      <c r="W19">
        <v>50</v>
      </c>
      <c r="X19">
        <v>11.5</v>
      </c>
      <c r="Y19">
        <v>11.5</v>
      </c>
      <c r="Z19">
        <v>12.5</v>
      </c>
      <c r="AA19">
        <v>11.83333333</v>
      </c>
      <c r="AB19">
        <v>11.83333333</v>
      </c>
      <c r="AC19">
        <v>11.5</v>
      </c>
      <c r="AD19">
        <v>11.5</v>
      </c>
      <c r="AE19">
        <v>12.5</v>
      </c>
      <c r="AF19">
        <v>11.83333333</v>
      </c>
      <c r="AG19">
        <v>14.4</v>
      </c>
      <c r="AH19">
        <v>13</v>
      </c>
      <c r="AI19">
        <v>14</v>
      </c>
      <c r="AJ19">
        <v>13.8</v>
      </c>
      <c r="AK19">
        <v>14.9</v>
      </c>
      <c r="AL19">
        <v>17.399999999999999</v>
      </c>
      <c r="AM19">
        <v>18.399999999999999</v>
      </c>
      <c r="AN19">
        <v>16.899999999999999</v>
      </c>
      <c r="AO19">
        <v>13.8</v>
      </c>
      <c r="AP19">
        <v>3.6</v>
      </c>
      <c r="AQ19">
        <v>5.6</v>
      </c>
      <c r="AR19">
        <v>8.1</v>
      </c>
      <c r="AS19">
        <v>5.766666667</v>
      </c>
      <c r="AT19">
        <v>4.0999999999999996</v>
      </c>
      <c r="AU19">
        <v>6.1</v>
      </c>
      <c r="AV19">
        <v>7.6</v>
      </c>
      <c r="AW19">
        <v>5.9333333330000002</v>
      </c>
      <c r="AX19">
        <v>5.766666667</v>
      </c>
      <c r="AY19">
        <v>-6.0666666669999998</v>
      </c>
      <c r="AZ19">
        <v>15</v>
      </c>
      <c r="BA19">
        <v>20</v>
      </c>
      <c r="BB19">
        <v>0</v>
      </c>
      <c r="BC19">
        <v>40</v>
      </c>
      <c r="BD19">
        <v>0</v>
      </c>
      <c r="BE19">
        <v>1</v>
      </c>
      <c r="BF19">
        <v>0</v>
      </c>
      <c r="BG19">
        <v>1</v>
      </c>
      <c r="BI19">
        <v>6.9</v>
      </c>
      <c r="BJ19">
        <v>2.4950000000000001</v>
      </c>
      <c r="BK19">
        <v>0</v>
      </c>
      <c r="BL19">
        <v>3</v>
      </c>
      <c r="BM19">
        <v>3</v>
      </c>
      <c r="BN19">
        <v>8</v>
      </c>
      <c r="BO19">
        <v>150</v>
      </c>
      <c r="BP19">
        <v>-142</v>
      </c>
      <c r="BQ19">
        <v>150</v>
      </c>
      <c r="BR19">
        <v>-142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 t="s">
        <v>114</v>
      </c>
      <c r="BZ19" t="s">
        <v>114</v>
      </c>
      <c r="CA19" t="s">
        <v>114</v>
      </c>
      <c r="CB19" t="s">
        <v>114</v>
      </c>
      <c r="CC19" t="s">
        <v>114</v>
      </c>
      <c r="CD19" t="s">
        <v>114</v>
      </c>
      <c r="CE19">
        <v>0</v>
      </c>
      <c r="CF19" t="s">
        <v>114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 t="s">
        <v>114</v>
      </c>
      <c r="CP19" t="s">
        <v>114</v>
      </c>
      <c r="CQ19" t="s">
        <v>114</v>
      </c>
      <c r="CR19" t="s">
        <v>114</v>
      </c>
      <c r="CS19" t="s">
        <v>114</v>
      </c>
      <c r="CT19" t="s">
        <v>114</v>
      </c>
      <c r="CU19" t="s">
        <v>114</v>
      </c>
      <c r="CV19" t="s">
        <v>114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1</v>
      </c>
      <c r="DZ19">
        <v>0</v>
      </c>
      <c r="EA19">
        <v>0</v>
      </c>
      <c r="EB19">
        <v>0</v>
      </c>
      <c r="EC19">
        <v>0</v>
      </c>
      <c r="ED19">
        <v>0</v>
      </c>
    </row>
    <row r="20" spans="1:134" x14ac:dyDescent="0.25">
      <c r="A20" t="s">
        <v>72</v>
      </c>
      <c r="B20">
        <v>10</v>
      </c>
      <c r="C20" t="s">
        <v>23</v>
      </c>
      <c r="D20" t="s">
        <v>95</v>
      </c>
      <c r="E20" t="s">
        <v>105</v>
      </c>
      <c r="F20" t="s">
        <v>145</v>
      </c>
      <c r="G20" t="s">
        <v>266</v>
      </c>
      <c r="H20" t="s">
        <v>760</v>
      </c>
      <c r="I20" t="s">
        <v>676</v>
      </c>
      <c r="J20" t="s">
        <v>294</v>
      </c>
      <c r="K20">
        <v>1</v>
      </c>
      <c r="L20">
        <v>60</v>
      </c>
      <c r="M20">
        <v>35</v>
      </c>
      <c r="N20">
        <v>60</v>
      </c>
      <c r="O20">
        <v>25</v>
      </c>
      <c r="P20">
        <v>150</v>
      </c>
      <c r="Q20">
        <v>150</v>
      </c>
      <c r="R20">
        <v>120</v>
      </c>
      <c r="S20">
        <v>135</v>
      </c>
      <c r="T20">
        <v>2.25</v>
      </c>
      <c r="U20" t="s">
        <v>792</v>
      </c>
      <c r="V20" t="s">
        <v>121</v>
      </c>
      <c r="W20" t="s">
        <v>114</v>
      </c>
      <c r="X20">
        <v>12</v>
      </c>
      <c r="Y20">
        <v>14.9</v>
      </c>
      <c r="Z20">
        <v>15.4</v>
      </c>
      <c r="AA20">
        <v>14.1</v>
      </c>
      <c r="AB20">
        <v>14.1</v>
      </c>
      <c r="AC20">
        <v>16.899999999999999</v>
      </c>
      <c r="AD20">
        <v>17.399999999999999</v>
      </c>
      <c r="AE20">
        <v>17.399999999999999</v>
      </c>
      <c r="AF20">
        <v>17.233333330000001</v>
      </c>
      <c r="AG20">
        <v>14.4</v>
      </c>
      <c r="AH20">
        <v>14.9</v>
      </c>
      <c r="AI20">
        <v>16.899999999999999</v>
      </c>
      <c r="AJ20">
        <v>15.4</v>
      </c>
      <c r="AK20">
        <v>21.3</v>
      </c>
      <c r="AL20">
        <v>18.399999999999999</v>
      </c>
      <c r="AM20">
        <v>19.3</v>
      </c>
      <c r="AN20">
        <v>19.666666670000001</v>
      </c>
      <c r="AO20">
        <v>15.4</v>
      </c>
      <c r="AP20">
        <v>8.5</v>
      </c>
      <c r="AQ20">
        <v>8.5</v>
      </c>
      <c r="AR20">
        <v>11</v>
      </c>
      <c r="AS20">
        <v>9.3333333330000006</v>
      </c>
      <c r="AT20">
        <v>8.5</v>
      </c>
      <c r="AU20">
        <v>8.5</v>
      </c>
      <c r="AV20">
        <v>9.5</v>
      </c>
      <c r="AW20">
        <v>8.8333333330000006</v>
      </c>
      <c r="AX20">
        <v>9.3333333330000006</v>
      </c>
      <c r="AY20">
        <v>-4.766666667</v>
      </c>
      <c r="AZ20">
        <v>20</v>
      </c>
      <c r="BA20">
        <v>0</v>
      </c>
      <c r="BB20">
        <v>1</v>
      </c>
      <c r="BC20">
        <v>5</v>
      </c>
      <c r="BD20">
        <v>0</v>
      </c>
      <c r="BE20">
        <v>1</v>
      </c>
      <c r="BF20">
        <v>0</v>
      </c>
      <c r="BG20">
        <v>5</v>
      </c>
      <c r="BI20">
        <v>7.9</v>
      </c>
      <c r="BJ20">
        <v>46.957999999999998</v>
      </c>
      <c r="BK20">
        <v>0</v>
      </c>
      <c r="BL20">
        <v>10</v>
      </c>
      <c r="BM20">
        <v>10</v>
      </c>
      <c r="BN20">
        <v>504</v>
      </c>
      <c r="BO20">
        <v>215.5</v>
      </c>
      <c r="BP20">
        <v>288.5</v>
      </c>
      <c r="BQ20">
        <v>105</v>
      </c>
      <c r="BR20">
        <v>399</v>
      </c>
      <c r="BS20">
        <v>20</v>
      </c>
      <c r="BT20">
        <v>0.38519902900000003</v>
      </c>
      <c r="BU20">
        <v>18.458924209999999</v>
      </c>
      <c r="BV20">
        <v>-20</v>
      </c>
      <c r="BW20">
        <v>0.38519902900000003</v>
      </c>
      <c r="BX20">
        <v>18.458924209999999</v>
      </c>
      <c r="BY20" t="s">
        <v>114</v>
      </c>
      <c r="BZ20" t="s">
        <v>114</v>
      </c>
      <c r="CA20" t="s">
        <v>114</v>
      </c>
      <c r="CB20" t="s">
        <v>114</v>
      </c>
      <c r="CC20" t="s">
        <v>114</v>
      </c>
      <c r="CD20" t="s">
        <v>114</v>
      </c>
      <c r="CE20">
        <v>1.9657163499999999</v>
      </c>
      <c r="CF20" t="s">
        <v>114</v>
      </c>
      <c r="CG20">
        <v>1.9657163499999999</v>
      </c>
      <c r="CH20">
        <v>20</v>
      </c>
      <c r="CI20">
        <v>0.38519902900000003</v>
      </c>
      <c r="CJ20">
        <v>18.458924209999999</v>
      </c>
      <c r="CK20">
        <v>1.9657163499999999</v>
      </c>
      <c r="CL20">
        <v>-20</v>
      </c>
      <c r="CM20">
        <v>0.38519902900000003</v>
      </c>
      <c r="CN20">
        <v>18.458924209999999</v>
      </c>
      <c r="CO20" t="s">
        <v>114</v>
      </c>
      <c r="CP20" t="s">
        <v>114</v>
      </c>
      <c r="CQ20" t="s">
        <v>114</v>
      </c>
      <c r="CR20" t="s">
        <v>114</v>
      </c>
      <c r="CS20" t="s">
        <v>114</v>
      </c>
      <c r="CT20" t="s">
        <v>114</v>
      </c>
      <c r="CU20" t="s">
        <v>114</v>
      </c>
      <c r="CV20" t="s">
        <v>114</v>
      </c>
      <c r="CW20">
        <v>1.9657163499999999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1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</row>
    <row r="21" spans="1:134" x14ac:dyDescent="0.25">
      <c r="A21" t="s">
        <v>72</v>
      </c>
      <c r="B21">
        <v>10</v>
      </c>
      <c r="C21" t="s">
        <v>23</v>
      </c>
      <c r="D21" t="s">
        <v>95</v>
      </c>
      <c r="E21" t="s">
        <v>111</v>
      </c>
      <c r="F21" t="s">
        <v>145</v>
      </c>
      <c r="G21" t="s">
        <v>263</v>
      </c>
      <c r="H21" t="s">
        <v>776</v>
      </c>
      <c r="I21" t="s">
        <v>671</v>
      </c>
      <c r="J21" t="s">
        <v>295</v>
      </c>
      <c r="K21">
        <v>0</v>
      </c>
      <c r="L21">
        <v>80</v>
      </c>
      <c r="M21">
        <v>280</v>
      </c>
      <c r="N21">
        <v>80</v>
      </c>
      <c r="O21">
        <v>-200</v>
      </c>
      <c r="P21">
        <v>70</v>
      </c>
      <c r="Q21">
        <v>70</v>
      </c>
      <c r="R21">
        <v>45</v>
      </c>
      <c r="S21">
        <v>57.5</v>
      </c>
      <c r="T21">
        <v>0.71875</v>
      </c>
      <c r="U21" t="s">
        <v>29</v>
      </c>
      <c r="V21" t="s">
        <v>121</v>
      </c>
      <c r="W21" t="s">
        <v>114</v>
      </c>
      <c r="X21">
        <v>12</v>
      </c>
      <c r="Y21">
        <v>14.9</v>
      </c>
      <c r="Z21">
        <v>15.4</v>
      </c>
      <c r="AA21">
        <v>14.1</v>
      </c>
      <c r="AB21">
        <v>14.1</v>
      </c>
      <c r="AC21">
        <v>16.399999999999999</v>
      </c>
      <c r="AD21">
        <v>18.399999999999999</v>
      </c>
      <c r="AE21">
        <v>18.399999999999999</v>
      </c>
      <c r="AF21">
        <v>17.733333330000001</v>
      </c>
      <c r="AG21">
        <v>14.4</v>
      </c>
      <c r="AH21">
        <v>14.9</v>
      </c>
      <c r="AI21">
        <v>16.899999999999999</v>
      </c>
      <c r="AJ21">
        <v>15.4</v>
      </c>
      <c r="AK21">
        <v>19.8</v>
      </c>
      <c r="AL21">
        <v>18.399999999999999</v>
      </c>
      <c r="AM21">
        <v>19.8</v>
      </c>
      <c r="AN21">
        <v>19.333333329999999</v>
      </c>
      <c r="AO21">
        <v>15.4</v>
      </c>
      <c r="AP21">
        <v>8.5</v>
      </c>
      <c r="AQ21">
        <v>8.5</v>
      </c>
      <c r="AR21">
        <v>11</v>
      </c>
      <c r="AS21">
        <v>9.3333333330000006</v>
      </c>
      <c r="AT21">
        <v>8.5</v>
      </c>
      <c r="AU21">
        <v>8.5</v>
      </c>
      <c r="AV21">
        <v>11</v>
      </c>
      <c r="AW21">
        <v>9.3333333330000006</v>
      </c>
      <c r="AX21">
        <v>9.3333333330000006</v>
      </c>
      <c r="AY21">
        <v>-4.766666667</v>
      </c>
      <c r="AZ21">
        <v>20</v>
      </c>
      <c r="BA21">
        <v>0</v>
      </c>
      <c r="BB21">
        <v>1</v>
      </c>
      <c r="BC21">
        <v>5</v>
      </c>
      <c r="BD21">
        <v>0</v>
      </c>
      <c r="BE21">
        <v>1</v>
      </c>
      <c r="BF21">
        <v>0</v>
      </c>
      <c r="BG21">
        <v>5</v>
      </c>
      <c r="BI21">
        <v>7.9</v>
      </c>
      <c r="BJ21">
        <v>46.957999999999998</v>
      </c>
      <c r="BK21">
        <v>0</v>
      </c>
      <c r="BL21">
        <v>12</v>
      </c>
      <c r="BM21">
        <v>8</v>
      </c>
      <c r="BN21">
        <v>444</v>
      </c>
      <c r="BO21">
        <v>639.25</v>
      </c>
      <c r="BP21">
        <v>-195.25</v>
      </c>
      <c r="BQ21">
        <v>848</v>
      </c>
      <c r="BR21">
        <v>-404</v>
      </c>
      <c r="BS21" t="s">
        <v>114</v>
      </c>
      <c r="BT21" t="s">
        <v>114</v>
      </c>
      <c r="BU21" t="s">
        <v>114</v>
      </c>
      <c r="BV21" t="s">
        <v>114</v>
      </c>
      <c r="BW21" t="s">
        <v>114</v>
      </c>
      <c r="BX21" t="s">
        <v>114</v>
      </c>
      <c r="BY21" t="s">
        <v>114</v>
      </c>
      <c r="BZ21" t="s">
        <v>114</v>
      </c>
      <c r="CA21" t="s">
        <v>114</v>
      </c>
      <c r="CB21" t="s">
        <v>114</v>
      </c>
      <c r="CC21" t="s">
        <v>114</v>
      </c>
      <c r="CD21" t="s">
        <v>114</v>
      </c>
      <c r="CE21" t="s">
        <v>114</v>
      </c>
      <c r="CF21" t="s">
        <v>114</v>
      </c>
      <c r="CG21" t="s">
        <v>114</v>
      </c>
      <c r="CH21" t="s">
        <v>114</v>
      </c>
      <c r="CI21" t="s">
        <v>114</v>
      </c>
      <c r="CJ21" t="s">
        <v>114</v>
      </c>
      <c r="CK21" t="s">
        <v>114</v>
      </c>
      <c r="CL21" t="s">
        <v>114</v>
      </c>
      <c r="CM21" t="s">
        <v>114</v>
      </c>
      <c r="CN21" t="s">
        <v>114</v>
      </c>
      <c r="CO21" t="s">
        <v>114</v>
      </c>
      <c r="CP21" t="s">
        <v>114</v>
      </c>
      <c r="CQ21" t="s">
        <v>114</v>
      </c>
      <c r="CR21" t="s">
        <v>114</v>
      </c>
      <c r="CS21" t="s">
        <v>114</v>
      </c>
      <c r="CT21" t="s">
        <v>114</v>
      </c>
      <c r="CU21" t="s">
        <v>114</v>
      </c>
      <c r="CV21" t="s">
        <v>114</v>
      </c>
      <c r="CW21" t="s">
        <v>114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</row>
    <row r="22" spans="1:134" x14ac:dyDescent="0.25">
      <c r="A22" t="s">
        <v>72</v>
      </c>
      <c r="B22">
        <v>10</v>
      </c>
      <c r="C22" t="s">
        <v>23</v>
      </c>
      <c r="D22" t="s">
        <v>95</v>
      </c>
      <c r="E22" t="s">
        <v>104</v>
      </c>
      <c r="F22" t="s">
        <v>145</v>
      </c>
      <c r="G22" t="s">
        <v>264</v>
      </c>
      <c r="H22" t="s">
        <v>780</v>
      </c>
      <c r="I22" t="s">
        <v>672</v>
      </c>
      <c r="J22" t="s">
        <v>296</v>
      </c>
      <c r="K22">
        <v>2</v>
      </c>
      <c r="L22">
        <v>20</v>
      </c>
      <c r="M22">
        <v>120</v>
      </c>
      <c r="N22">
        <v>20</v>
      </c>
      <c r="O22">
        <v>-100</v>
      </c>
      <c r="P22">
        <v>13</v>
      </c>
      <c r="Q22">
        <v>12</v>
      </c>
      <c r="R22">
        <v>5</v>
      </c>
      <c r="S22">
        <v>8.5</v>
      </c>
      <c r="T22">
        <v>0.42499999999999999</v>
      </c>
      <c r="U22" t="s">
        <v>29</v>
      </c>
      <c r="V22" t="s">
        <v>104</v>
      </c>
      <c r="W22">
        <v>15</v>
      </c>
      <c r="X22">
        <v>12</v>
      </c>
      <c r="Y22">
        <v>14.9</v>
      </c>
      <c r="Z22">
        <v>15.4</v>
      </c>
      <c r="AA22">
        <v>14.1</v>
      </c>
      <c r="AB22">
        <v>14.1</v>
      </c>
      <c r="AC22">
        <v>12.5</v>
      </c>
      <c r="AD22">
        <v>13</v>
      </c>
      <c r="AE22">
        <v>13.5</v>
      </c>
      <c r="AF22">
        <v>13</v>
      </c>
      <c r="AG22">
        <v>14.4</v>
      </c>
      <c r="AH22">
        <v>14.9</v>
      </c>
      <c r="AI22">
        <v>16.899999999999999</v>
      </c>
      <c r="AJ22">
        <v>15.4</v>
      </c>
      <c r="AK22">
        <v>13.5</v>
      </c>
      <c r="AL22">
        <v>14.9</v>
      </c>
      <c r="AM22">
        <v>14.9</v>
      </c>
      <c r="AN22">
        <v>14.43333333</v>
      </c>
      <c r="AO22">
        <v>15.4</v>
      </c>
      <c r="AP22">
        <v>8.5</v>
      </c>
      <c r="AQ22">
        <v>8.5</v>
      </c>
      <c r="AR22">
        <v>11</v>
      </c>
      <c r="AS22">
        <v>9.3333333330000006</v>
      </c>
      <c r="AT22">
        <v>5.6</v>
      </c>
      <c r="AU22">
        <v>5.6</v>
      </c>
      <c r="AV22">
        <v>6.1</v>
      </c>
      <c r="AW22">
        <v>5.766666667</v>
      </c>
      <c r="AX22">
        <v>9.3333333330000006</v>
      </c>
      <c r="AY22">
        <v>-4.766666667</v>
      </c>
      <c r="AZ22">
        <v>20</v>
      </c>
      <c r="BA22">
        <v>0</v>
      </c>
      <c r="BB22">
        <v>1</v>
      </c>
      <c r="BC22">
        <v>5</v>
      </c>
      <c r="BD22">
        <v>0</v>
      </c>
      <c r="BE22">
        <v>1</v>
      </c>
      <c r="BF22">
        <v>0</v>
      </c>
      <c r="BG22">
        <v>5</v>
      </c>
      <c r="BI22">
        <v>7.9</v>
      </c>
      <c r="BJ22">
        <v>46.957999999999998</v>
      </c>
      <c r="BK22">
        <v>0</v>
      </c>
      <c r="BL22">
        <v>2</v>
      </c>
      <c r="BM22">
        <v>2</v>
      </c>
      <c r="BN22">
        <v>6</v>
      </c>
      <c r="BO22">
        <v>21</v>
      </c>
      <c r="BP22">
        <v>-15</v>
      </c>
      <c r="BQ22">
        <v>42</v>
      </c>
      <c r="BR22">
        <v>-36</v>
      </c>
      <c r="BS22">
        <v>19.46875</v>
      </c>
      <c r="BT22">
        <v>2.0128572000000001E-2</v>
      </c>
      <c r="BU22">
        <v>2.28468128</v>
      </c>
      <c r="BV22">
        <v>19.46875</v>
      </c>
      <c r="BW22">
        <v>2.0128572000000001E-2</v>
      </c>
      <c r="BX22">
        <v>2.28468128</v>
      </c>
      <c r="BY22">
        <v>758.06445310000004</v>
      </c>
      <c r="BZ22">
        <v>8.1031899999999999E-4</v>
      </c>
      <c r="CA22">
        <v>10.439537100000001</v>
      </c>
      <c r="CB22">
        <v>758.06445310000004</v>
      </c>
      <c r="CC22">
        <v>8.1031899999999999E-4</v>
      </c>
      <c r="CD22">
        <v>10.439537100000001</v>
      </c>
      <c r="CE22">
        <v>7.1456640000000002E-2</v>
      </c>
      <c r="CF22">
        <v>1.0212103E-2</v>
      </c>
      <c r="CG22">
        <v>7.1456640000000002E-2</v>
      </c>
      <c r="CH22">
        <v>19.46875</v>
      </c>
      <c r="CI22">
        <v>2.0128572000000001E-2</v>
      </c>
      <c r="CJ22">
        <v>2.28468128</v>
      </c>
      <c r="CK22">
        <v>7.1456640000000002E-2</v>
      </c>
      <c r="CL22">
        <v>19.46875</v>
      </c>
      <c r="CM22">
        <v>2.0128572000000001E-2</v>
      </c>
      <c r="CN22">
        <v>2.28468128</v>
      </c>
      <c r="CO22">
        <v>1.0212103E-2</v>
      </c>
      <c r="CP22">
        <v>758.06445310000004</v>
      </c>
      <c r="CQ22">
        <v>8.1031899999999999E-4</v>
      </c>
      <c r="CR22">
        <v>10.439537100000001</v>
      </c>
      <c r="CS22">
        <v>1.0212103E-2</v>
      </c>
      <c r="CT22">
        <v>758.06445310000004</v>
      </c>
      <c r="CU22">
        <v>8.1031899999999999E-4</v>
      </c>
      <c r="CV22">
        <v>10.439537100000001</v>
      </c>
      <c r="CW22">
        <v>7.1456640000000002E-2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1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1</v>
      </c>
      <c r="DZ22">
        <v>0</v>
      </c>
      <c r="EA22">
        <v>0</v>
      </c>
      <c r="EB22">
        <v>0</v>
      </c>
      <c r="EC22">
        <v>0</v>
      </c>
      <c r="ED22">
        <v>0.69314718055994495</v>
      </c>
    </row>
    <row r="23" spans="1:134" x14ac:dyDescent="0.25">
      <c r="A23" t="s">
        <v>72</v>
      </c>
      <c r="B23">
        <v>10</v>
      </c>
      <c r="C23" t="s">
        <v>23</v>
      </c>
      <c r="D23" t="s">
        <v>95</v>
      </c>
      <c r="E23" t="s">
        <v>112</v>
      </c>
      <c r="F23" t="s">
        <v>145</v>
      </c>
      <c r="G23" t="s">
        <v>261</v>
      </c>
      <c r="H23" t="s">
        <v>784</v>
      </c>
      <c r="I23" t="s">
        <v>675</v>
      </c>
      <c r="J23" t="s">
        <v>297</v>
      </c>
      <c r="K23">
        <v>1</v>
      </c>
      <c r="L23">
        <v>40</v>
      </c>
      <c r="M23">
        <v>100</v>
      </c>
      <c r="N23">
        <v>40</v>
      </c>
      <c r="O23">
        <v>-60</v>
      </c>
      <c r="P23">
        <v>50</v>
      </c>
      <c r="Q23">
        <v>140</v>
      </c>
      <c r="R23">
        <v>80</v>
      </c>
      <c r="S23">
        <v>110</v>
      </c>
      <c r="T23">
        <v>2.75</v>
      </c>
      <c r="V23" t="s">
        <v>121</v>
      </c>
      <c r="W23" t="s">
        <v>114</v>
      </c>
      <c r="X23">
        <v>12</v>
      </c>
      <c r="Y23">
        <v>14.9</v>
      </c>
      <c r="Z23">
        <v>15.4</v>
      </c>
      <c r="AA23">
        <v>14.1</v>
      </c>
      <c r="AB23">
        <v>14.1</v>
      </c>
      <c r="AC23">
        <v>14.9</v>
      </c>
      <c r="AD23">
        <v>14.9</v>
      </c>
      <c r="AE23">
        <v>14.9</v>
      </c>
      <c r="AF23">
        <v>14.9</v>
      </c>
      <c r="AG23">
        <v>14.4</v>
      </c>
      <c r="AH23">
        <v>14.9</v>
      </c>
      <c r="AI23">
        <v>16.899999999999999</v>
      </c>
      <c r="AJ23">
        <v>15.4</v>
      </c>
      <c r="AK23">
        <v>14.9</v>
      </c>
      <c r="AL23">
        <v>16.899999999999999</v>
      </c>
      <c r="AM23">
        <v>17.399999999999999</v>
      </c>
      <c r="AN23">
        <v>16.399999999999999</v>
      </c>
      <c r="AO23">
        <v>15.4</v>
      </c>
      <c r="AP23">
        <v>8.5</v>
      </c>
      <c r="AQ23">
        <v>8.5</v>
      </c>
      <c r="AR23">
        <v>11</v>
      </c>
      <c r="AS23">
        <v>9.3333333330000006</v>
      </c>
      <c r="AT23">
        <v>7.6</v>
      </c>
      <c r="AU23">
        <v>7.6</v>
      </c>
      <c r="AV23">
        <v>9</v>
      </c>
      <c r="AW23">
        <v>8.0666666669999998</v>
      </c>
      <c r="AX23">
        <v>9.3333333330000006</v>
      </c>
      <c r="AY23">
        <v>-4.766666667</v>
      </c>
      <c r="AZ23">
        <v>20</v>
      </c>
      <c r="BA23">
        <v>0</v>
      </c>
      <c r="BB23">
        <v>1</v>
      </c>
      <c r="BC23">
        <v>5</v>
      </c>
      <c r="BD23">
        <v>0</v>
      </c>
      <c r="BE23">
        <v>1</v>
      </c>
      <c r="BF23">
        <v>0</v>
      </c>
      <c r="BG23">
        <v>5</v>
      </c>
      <c r="BI23">
        <v>7.9</v>
      </c>
      <c r="BJ23">
        <v>46.957999999999998</v>
      </c>
      <c r="BK23">
        <v>0</v>
      </c>
      <c r="BL23">
        <v>0</v>
      </c>
      <c r="BM23">
        <v>0</v>
      </c>
      <c r="BN23">
        <v>0</v>
      </c>
      <c r="BO23">
        <v>155</v>
      </c>
      <c r="BP23">
        <v>-155</v>
      </c>
      <c r="BQ23">
        <v>155</v>
      </c>
      <c r="BR23">
        <v>-155</v>
      </c>
      <c r="BS23">
        <v>22.40625</v>
      </c>
      <c r="BT23">
        <v>2.2574700270000001</v>
      </c>
      <c r="BU23">
        <v>8.4170409999999993</v>
      </c>
      <c r="BV23">
        <v>-22.40625</v>
      </c>
      <c r="BW23">
        <v>2.2574700270000001</v>
      </c>
      <c r="BX23">
        <v>8.4170409999999993</v>
      </c>
      <c r="BY23" t="s">
        <v>114</v>
      </c>
      <c r="BZ23" t="s">
        <v>114</v>
      </c>
      <c r="CA23" t="s">
        <v>114</v>
      </c>
      <c r="CB23" t="s">
        <v>114</v>
      </c>
      <c r="CC23" t="s">
        <v>114</v>
      </c>
      <c r="CD23" t="s">
        <v>114</v>
      </c>
      <c r="CE23">
        <v>2.0818590499999998</v>
      </c>
      <c r="CF23" t="s">
        <v>114</v>
      </c>
      <c r="CG23">
        <v>2.0818590499999998</v>
      </c>
      <c r="CH23">
        <v>22.40625</v>
      </c>
      <c r="CI23">
        <v>2.2574700270000001</v>
      </c>
      <c r="CJ23">
        <v>8.4170409999999993</v>
      </c>
      <c r="CK23">
        <v>2.0818590499999998</v>
      </c>
      <c r="CL23">
        <v>-22.40625</v>
      </c>
      <c r="CM23">
        <v>2.2574700270000001</v>
      </c>
      <c r="CN23">
        <v>8.4170409999999993</v>
      </c>
      <c r="CO23" t="s">
        <v>114</v>
      </c>
      <c r="CP23" t="s">
        <v>114</v>
      </c>
      <c r="CQ23" t="s">
        <v>114</v>
      </c>
      <c r="CR23" t="s">
        <v>114</v>
      </c>
      <c r="CS23" t="s">
        <v>114</v>
      </c>
      <c r="CT23" t="s">
        <v>114</v>
      </c>
      <c r="CU23" t="s">
        <v>114</v>
      </c>
      <c r="CV23" t="s">
        <v>114</v>
      </c>
      <c r="CW23">
        <v>2.0818590499999998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1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</row>
    <row r="24" spans="1:134" x14ac:dyDescent="0.25">
      <c r="A24" t="s">
        <v>73</v>
      </c>
      <c r="B24">
        <v>10</v>
      </c>
      <c r="C24" t="s">
        <v>25</v>
      </c>
      <c r="D24" t="s">
        <v>94</v>
      </c>
      <c r="E24" t="s">
        <v>105</v>
      </c>
      <c r="F24" t="s">
        <v>145</v>
      </c>
      <c r="G24" t="s">
        <v>266</v>
      </c>
      <c r="H24" t="s">
        <v>759</v>
      </c>
      <c r="I24" t="s">
        <v>680</v>
      </c>
      <c r="J24" t="s">
        <v>298</v>
      </c>
      <c r="K24">
        <v>1</v>
      </c>
      <c r="L24">
        <v>30</v>
      </c>
      <c r="M24">
        <v>45</v>
      </c>
      <c r="N24">
        <v>30</v>
      </c>
      <c r="O24">
        <v>-15</v>
      </c>
      <c r="P24">
        <v>70</v>
      </c>
      <c r="Q24">
        <v>70</v>
      </c>
      <c r="R24">
        <v>20</v>
      </c>
      <c r="S24">
        <v>45</v>
      </c>
      <c r="T24">
        <v>1.5</v>
      </c>
      <c r="U24" t="s">
        <v>15</v>
      </c>
      <c r="V24" t="s">
        <v>112</v>
      </c>
      <c r="W24">
        <v>60</v>
      </c>
      <c r="X24">
        <v>12.5</v>
      </c>
      <c r="Y24">
        <v>15.4</v>
      </c>
      <c r="Z24">
        <v>14.9</v>
      </c>
      <c r="AA24">
        <v>14.266666669999999</v>
      </c>
      <c r="AB24">
        <v>14.266666669999999</v>
      </c>
      <c r="AC24">
        <v>12.5</v>
      </c>
      <c r="AD24">
        <v>11</v>
      </c>
      <c r="AE24">
        <v>14.4</v>
      </c>
      <c r="AF24">
        <v>12.633333329999999</v>
      </c>
      <c r="AG24">
        <v>13.9</v>
      </c>
      <c r="AH24">
        <v>13.9</v>
      </c>
      <c r="AI24">
        <v>15.9</v>
      </c>
      <c r="AJ24">
        <v>14.56666667</v>
      </c>
      <c r="AK24">
        <v>13.9</v>
      </c>
      <c r="AL24">
        <v>12</v>
      </c>
      <c r="AM24">
        <v>14.4</v>
      </c>
      <c r="AN24">
        <v>13.43333333</v>
      </c>
      <c r="AO24">
        <v>14.56666667</v>
      </c>
      <c r="AP24">
        <v>4.0999999999999996</v>
      </c>
      <c r="AQ24">
        <v>6.6</v>
      </c>
      <c r="AR24">
        <v>6.6</v>
      </c>
      <c r="AS24">
        <v>5.766666667</v>
      </c>
      <c r="AT24">
        <v>6.6</v>
      </c>
      <c r="AU24">
        <v>5.6</v>
      </c>
      <c r="AV24">
        <v>5.0999999999999996</v>
      </c>
      <c r="AW24">
        <v>5.766666667</v>
      </c>
      <c r="AX24">
        <v>5.766666667</v>
      </c>
      <c r="AY24">
        <v>-8.5</v>
      </c>
      <c r="AZ24">
        <v>45</v>
      </c>
      <c r="BA24">
        <v>0</v>
      </c>
      <c r="BB24">
        <v>1</v>
      </c>
      <c r="BC24">
        <v>8</v>
      </c>
      <c r="BD24">
        <v>0</v>
      </c>
      <c r="BE24">
        <v>0</v>
      </c>
      <c r="BF24">
        <v>0</v>
      </c>
      <c r="BG24">
        <v>2</v>
      </c>
      <c r="BI24">
        <v>9.6999999999999993</v>
      </c>
      <c r="BJ24">
        <v>7.2759999999999998</v>
      </c>
      <c r="BK24">
        <v>0</v>
      </c>
      <c r="BL24">
        <v>9</v>
      </c>
      <c r="BM24">
        <v>9</v>
      </c>
      <c r="BN24">
        <v>266</v>
      </c>
      <c r="BO24">
        <v>257.5</v>
      </c>
      <c r="BP24">
        <v>8.5</v>
      </c>
      <c r="BQ24">
        <v>177</v>
      </c>
      <c r="BR24">
        <v>89</v>
      </c>
      <c r="BS24">
        <v>2.40625</v>
      </c>
      <c r="BT24">
        <v>1.8722709980000001</v>
      </c>
      <c r="BU24">
        <v>10.04188321</v>
      </c>
      <c r="BV24">
        <v>2.40625</v>
      </c>
      <c r="BW24">
        <v>-1.8722709980000001</v>
      </c>
      <c r="BX24">
        <v>10.04188321</v>
      </c>
      <c r="BY24" t="s">
        <v>114</v>
      </c>
      <c r="BZ24" t="s">
        <v>114</v>
      </c>
      <c r="CA24" t="s">
        <v>114</v>
      </c>
      <c r="CB24" t="s">
        <v>114</v>
      </c>
      <c r="CC24" t="s">
        <v>114</v>
      </c>
      <c r="CD24" t="s">
        <v>114</v>
      </c>
      <c r="CE24">
        <v>0.1161427</v>
      </c>
      <c r="CF24" t="s">
        <v>114</v>
      </c>
      <c r="CG24">
        <v>0.1161427</v>
      </c>
      <c r="CH24">
        <v>2.40625</v>
      </c>
      <c r="CI24">
        <v>1.8722709980000001</v>
      </c>
      <c r="CJ24">
        <v>10.04188321</v>
      </c>
      <c r="CK24">
        <v>-0.1161427</v>
      </c>
      <c r="CL24">
        <v>2.40625</v>
      </c>
      <c r="CM24">
        <v>-1.8722709980000001</v>
      </c>
      <c r="CN24">
        <v>10.04188321</v>
      </c>
      <c r="CO24" t="s">
        <v>114</v>
      </c>
      <c r="CP24" t="s">
        <v>114</v>
      </c>
      <c r="CQ24" t="s">
        <v>114</v>
      </c>
      <c r="CR24" t="s">
        <v>114</v>
      </c>
      <c r="CS24" t="s">
        <v>114</v>
      </c>
      <c r="CT24" t="s">
        <v>114</v>
      </c>
      <c r="CU24" t="s">
        <v>114</v>
      </c>
      <c r="CV24" t="s">
        <v>114</v>
      </c>
      <c r="CW24">
        <v>-0.1161427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1</v>
      </c>
      <c r="EA24">
        <v>0</v>
      </c>
      <c r="EB24">
        <v>0</v>
      </c>
      <c r="EC24">
        <v>0</v>
      </c>
      <c r="ED24">
        <v>0</v>
      </c>
    </row>
    <row r="25" spans="1:134" x14ac:dyDescent="0.25">
      <c r="A25" t="s">
        <v>73</v>
      </c>
      <c r="B25">
        <v>10</v>
      </c>
      <c r="C25" t="s">
        <v>25</v>
      </c>
      <c r="D25" t="s">
        <v>94</v>
      </c>
      <c r="E25" t="s">
        <v>110</v>
      </c>
      <c r="F25" t="s">
        <v>145</v>
      </c>
      <c r="G25" t="s">
        <v>262</v>
      </c>
      <c r="H25" t="s">
        <v>767</v>
      </c>
      <c r="I25" t="s">
        <v>681</v>
      </c>
      <c r="J25" t="s">
        <v>299</v>
      </c>
      <c r="K25">
        <v>5</v>
      </c>
      <c r="L25">
        <v>25</v>
      </c>
      <c r="M25">
        <v>25</v>
      </c>
      <c r="N25">
        <v>25</v>
      </c>
      <c r="O25">
        <v>0</v>
      </c>
      <c r="P25">
        <v>6</v>
      </c>
      <c r="Q25">
        <v>4</v>
      </c>
      <c r="R25">
        <v>3</v>
      </c>
      <c r="S25">
        <v>3.5</v>
      </c>
      <c r="T25">
        <v>0.14000000000000001</v>
      </c>
      <c r="V25" t="s">
        <v>110</v>
      </c>
      <c r="W25">
        <v>25</v>
      </c>
      <c r="X25">
        <v>12.5</v>
      </c>
      <c r="Y25">
        <v>15.4</v>
      </c>
      <c r="Z25">
        <v>14.9</v>
      </c>
      <c r="AA25">
        <v>14.266666669999999</v>
      </c>
      <c r="AB25">
        <v>14.266666669999999</v>
      </c>
      <c r="AC25">
        <v>12</v>
      </c>
      <c r="AD25">
        <v>13.9</v>
      </c>
      <c r="AE25">
        <v>14.4</v>
      </c>
      <c r="AF25">
        <v>13.43333333</v>
      </c>
      <c r="AG25">
        <v>13.9</v>
      </c>
      <c r="AH25">
        <v>13.9</v>
      </c>
      <c r="AI25">
        <v>15.9</v>
      </c>
      <c r="AJ25">
        <v>14.56666667</v>
      </c>
      <c r="AK25">
        <v>10</v>
      </c>
      <c r="AL25">
        <v>13</v>
      </c>
      <c r="AM25">
        <v>9.5</v>
      </c>
      <c r="AN25">
        <v>10.83333333</v>
      </c>
      <c r="AO25">
        <v>14.56666667</v>
      </c>
      <c r="AP25">
        <v>4.0999999999999996</v>
      </c>
      <c r="AQ25">
        <v>6.6</v>
      </c>
      <c r="AR25">
        <v>6.6</v>
      </c>
      <c r="AS25">
        <v>5.766666667</v>
      </c>
      <c r="AT25">
        <v>5.0999999999999996</v>
      </c>
      <c r="AU25">
        <v>5.0999999999999996</v>
      </c>
      <c r="AV25">
        <v>7</v>
      </c>
      <c r="AW25">
        <v>5.733333333</v>
      </c>
      <c r="AX25">
        <v>5.766666667</v>
      </c>
      <c r="AY25">
        <v>-8.5</v>
      </c>
      <c r="AZ25">
        <v>45</v>
      </c>
      <c r="BA25">
        <v>0</v>
      </c>
      <c r="BB25">
        <v>1</v>
      </c>
      <c r="BC25">
        <v>8</v>
      </c>
      <c r="BD25">
        <v>0</v>
      </c>
      <c r="BE25">
        <v>0</v>
      </c>
      <c r="BF25">
        <v>0</v>
      </c>
      <c r="BG25">
        <v>2</v>
      </c>
      <c r="BI25">
        <v>9.6999999999999993</v>
      </c>
      <c r="BJ25">
        <v>7.2759999999999998</v>
      </c>
      <c r="BK25">
        <v>0</v>
      </c>
      <c r="BL25">
        <v>2</v>
      </c>
      <c r="BM25">
        <v>2</v>
      </c>
      <c r="BN25">
        <v>2</v>
      </c>
      <c r="BO25">
        <v>7.6666670000000003</v>
      </c>
      <c r="BP25">
        <v>-5.6666670000000003</v>
      </c>
      <c r="BQ25">
        <v>9</v>
      </c>
      <c r="BR25">
        <v>-7</v>
      </c>
      <c r="BS25">
        <v>19.576086950000001</v>
      </c>
      <c r="BT25">
        <v>0.184457597</v>
      </c>
      <c r="BU25">
        <v>2.1429025199999998</v>
      </c>
      <c r="BV25">
        <v>-19.576086950000001</v>
      </c>
      <c r="BW25">
        <v>0.184457597</v>
      </c>
      <c r="BX25">
        <v>0.37935110700000002</v>
      </c>
      <c r="BY25">
        <v>598.05801029999998</v>
      </c>
      <c r="BZ25">
        <v>4.2089363999999997E-2</v>
      </c>
      <c r="CA25">
        <v>3.7678147470000001</v>
      </c>
      <c r="CB25">
        <v>598.05801029999998</v>
      </c>
      <c r="CC25">
        <v>4.2089363999999997E-2</v>
      </c>
      <c r="CD25">
        <v>10.44000067</v>
      </c>
      <c r="CE25" t="s">
        <v>114</v>
      </c>
      <c r="CF25" t="s">
        <v>114</v>
      </c>
      <c r="CG25" t="s">
        <v>114</v>
      </c>
      <c r="CH25">
        <v>11.74565217</v>
      </c>
      <c r="CI25">
        <v>0.11067455800000001</v>
      </c>
      <c r="CJ25">
        <v>1.285741512</v>
      </c>
      <c r="CK25" t="s">
        <v>114</v>
      </c>
      <c r="CL25">
        <v>-11.74565217</v>
      </c>
      <c r="CM25">
        <v>0.11067455800000001</v>
      </c>
      <c r="CN25">
        <v>0.22761066399999999</v>
      </c>
      <c r="CO25" t="s">
        <v>114</v>
      </c>
      <c r="CP25">
        <v>413.99595929999998</v>
      </c>
      <c r="CQ25">
        <v>3.1252064000000003E-2</v>
      </c>
      <c r="CR25">
        <v>3.261516737</v>
      </c>
      <c r="CS25" t="s">
        <v>114</v>
      </c>
      <c r="CT25">
        <v>413.99595929999998</v>
      </c>
      <c r="CU25">
        <v>3.1252064000000003E-2</v>
      </c>
      <c r="CV25">
        <v>5.2631725129999998</v>
      </c>
      <c r="CW25" t="s">
        <v>114</v>
      </c>
      <c r="CX25">
        <v>0</v>
      </c>
      <c r="CY25">
        <v>0</v>
      </c>
      <c r="CZ25">
        <v>1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3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1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0.95027053923323501</v>
      </c>
    </row>
    <row r="26" spans="1:134" x14ac:dyDescent="0.25">
      <c r="A26" t="s">
        <v>73</v>
      </c>
      <c r="B26">
        <v>10</v>
      </c>
      <c r="C26" t="s">
        <v>25</v>
      </c>
      <c r="D26" t="s">
        <v>94</v>
      </c>
      <c r="E26" t="s">
        <v>104</v>
      </c>
      <c r="F26" t="s">
        <v>145</v>
      </c>
      <c r="G26" t="s">
        <v>264</v>
      </c>
      <c r="H26" t="s">
        <v>779</v>
      </c>
      <c r="I26" t="s">
        <v>679</v>
      </c>
      <c r="J26" t="s">
        <v>300</v>
      </c>
      <c r="K26">
        <v>1</v>
      </c>
      <c r="L26">
        <v>30</v>
      </c>
      <c r="M26">
        <v>45</v>
      </c>
      <c r="N26">
        <v>30</v>
      </c>
      <c r="O26">
        <v>-15</v>
      </c>
      <c r="P26">
        <v>24</v>
      </c>
      <c r="Q26">
        <v>20</v>
      </c>
      <c r="R26">
        <v>10</v>
      </c>
      <c r="S26">
        <v>15</v>
      </c>
      <c r="T26">
        <v>0.5</v>
      </c>
      <c r="V26" t="s">
        <v>104</v>
      </c>
      <c r="W26">
        <v>40</v>
      </c>
      <c r="X26">
        <v>12.5</v>
      </c>
      <c r="Y26">
        <v>15.4</v>
      </c>
      <c r="Z26">
        <v>14.9</v>
      </c>
      <c r="AA26">
        <v>14.266666669999999</v>
      </c>
      <c r="AB26">
        <v>14.266666669999999</v>
      </c>
      <c r="AC26">
        <v>12.5</v>
      </c>
      <c r="AD26">
        <v>12.5</v>
      </c>
      <c r="AE26">
        <v>11.5</v>
      </c>
      <c r="AF26">
        <v>12.16666667</v>
      </c>
      <c r="AG26">
        <v>13.9</v>
      </c>
      <c r="AH26">
        <v>13.9</v>
      </c>
      <c r="AI26">
        <v>15.9</v>
      </c>
      <c r="AJ26">
        <v>14.56666667</v>
      </c>
      <c r="AK26">
        <v>11.5</v>
      </c>
      <c r="AL26">
        <v>12</v>
      </c>
      <c r="AM26">
        <v>13</v>
      </c>
      <c r="AN26">
        <v>12.16666667</v>
      </c>
      <c r="AO26">
        <v>14.56666667</v>
      </c>
      <c r="AP26">
        <v>4.0999999999999996</v>
      </c>
      <c r="AQ26">
        <v>6.6</v>
      </c>
      <c r="AR26">
        <v>6.6</v>
      </c>
      <c r="AS26">
        <v>5.766666667</v>
      </c>
      <c r="AT26">
        <v>5.6</v>
      </c>
      <c r="AU26">
        <v>6.1</v>
      </c>
      <c r="AV26">
        <v>6.1</v>
      </c>
      <c r="AW26">
        <v>5.9333333330000002</v>
      </c>
      <c r="AX26">
        <v>5.766666667</v>
      </c>
      <c r="AY26">
        <v>-8.5</v>
      </c>
      <c r="AZ26">
        <v>45</v>
      </c>
      <c r="BA26">
        <v>0</v>
      </c>
      <c r="BB26">
        <v>1</v>
      </c>
      <c r="BC26">
        <v>8</v>
      </c>
      <c r="BD26">
        <v>0</v>
      </c>
      <c r="BE26">
        <v>0</v>
      </c>
      <c r="BF26">
        <v>0</v>
      </c>
      <c r="BG26">
        <v>2</v>
      </c>
      <c r="BI26">
        <v>9.6999999999999993</v>
      </c>
      <c r="BJ26">
        <v>7.2759999999999998</v>
      </c>
      <c r="BK26">
        <v>0</v>
      </c>
      <c r="BL26">
        <v>2</v>
      </c>
      <c r="BM26">
        <v>2</v>
      </c>
      <c r="BN26">
        <v>12</v>
      </c>
      <c r="BO26">
        <v>150</v>
      </c>
      <c r="BP26">
        <v>-138</v>
      </c>
      <c r="BQ26">
        <v>50</v>
      </c>
      <c r="BR26">
        <v>-38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 t="s">
        <v>114</v>
      </c>
      <c r="BZ26" t="s">
        <v>114</v>
      </c>
      <c r="CA26" t="s">
        <v>114</v>
      </c>
      <c r="CB26" t="s">
        <v>114</v>
      </c>
      <c r="CC26" t="s">
        <v>114</v>
      </c>
      <c r="CD26" t="s">
        <v>114</v>
      </c>
      <c r="CE26">
        <v>0</v>
      </c>
      <c r="CF26" t="s">
        <v>114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 t="s">
        <v>114</v>
      </c>
      <c r="CP26" t="s">
        <v>114</v>
      </c>
      <c r="CQ26" t="s">
        <v>114</v>
      </c>
      <c r="CR26" t="s">
        <v>114</v>
      </c>
      <c r="CS26" t="s">
        <v>114</v>
      </c>
      <c r="CT26" t="s">
        <v>114</v>
      </c>
      <c r="CU26" t="s">
        <v>114</v>
      </c>
      <c r="CV26" t="s">
        <v>114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1</v>
      </c>
      <c r="DZ26">
        <v>0</v>
      </c>
      <c r="EA26">
        <v>0</v>
      </c>
      <c r="EB26">
        <v>0</v>
      </c>
      <c r="EC26">
        <v>0</v>
      </c>
      <c r="ED26">
        <v>0</v>
      </c>
    </row>
    <row r="27" spans="1:134" x14ac:dyDescent="0.25">
      <c r="A27" t="s">
        <v>73</v>
      </c>
      <c r="B27">
        <v>10</v>
      </c>
      <c r="C27" t="s">
        <v>25</v>
      </c>
      <c r="D27" t="s">
        <v>94</v>
      </c>
      <c r="E27" t="s">
        <v>112</v>
      </c>
      <c r="F27" t="s">
        <v>145</v>
      </c>
      <c r="G27" t="s">
        <v>261</v>
      </c>
      <c r="H27" t="s">
        <v>783</v>
      </c>
      <c r="I27" t="s">
        <v>668</v>
      </c>
      <c r="J27" t="s">
        <v>301</v>
      </c>
      <c r="K27" t="s">
        <v>114</v>
      </c>
      <c r="L27">
        <v>60</v>
      </c>
      <c r="M27">
        <v>70</v>
      </c>
      <c r="N27">
        <v>60</v>
      </c>
      <c r="O27">
        <v>-10</v>
      </c>
      <c r="P27">
        <v>40</v>
      </c>
      <c r="Q27">
        <v>120</v>
      </c>
      <c r="R27">
        <v>40</v>
      </c>
      <c r="S27">
        <v>80</v>
      </c>
      <c r="T27">
        <v>1.3333333329999999</v>
      </c>
      <c r="U27" t="s">
        <v>792</v>
      </c>
      <c r="V27" t="s">
        <v>114</v>
      </c>
      <c r="W27" t="s">
        <v>114</v>
      </c>
      <c r="X27">
        <v>12.5</v>
      </c>
      <c r="Y27">
        <v>15.4</v>
      </c>
      <c r="Z27">
        <v>14.9</v>
      </c>
      <c r="AA27">
        <v>14.266666669999999</v>
      </c>
      <c r="AB27">
        <v>14.266666669999999</v>
      </c>
      <c r="AC27">
        <v>12</v>
      </c>
      <c r="AD27">
        <v>16.399999999999999</v>
      </c>
      <c r="AE27">
        <v>13.9</v>
      </c>
      <c r="AF27">
        <v>14.1</v>
      </c>
      <c r="AG27">
        <v>13.9</v>
      </c>
      <c r="AH27">
        <v>13.9</v>
      </c>
      <c r="AI27">
        <v>15.9</v>
      </c>
      <c r="AJ27">
        <v>14.56666667</v>
      </c>
      <c r="AK27">
        <v>17.899999999999999</v>
      </c>
      <c r="AL27">
        <v>13.9</v>
      </c>
      <c r="AM27">
        <v>14.4</v>
      </c>
      <c r="AN27">
        <v>15.4</v>
      </c>
      <c r="AO27">
        <v>14.56666667</v>
      </c>
      <c r="AP27">
        <v>4.0999999999999996</v>
      </c>
      <c r="AQ27">
        <v>6.6</v>
      </c>
      <c r="AR27">
        <v>6.6</v>
      </c>
      <c r="AS27">
        <v>5.766666667</v>
      </c>
      <c r="AT27">
        <v>4.5999999999999996</v>
      </c>
      <c r="AU27">
        <v>4.5999999999999996</v>
      </c>
      <c r="AV27">
        <v>6.6</v>
      </c>
      <c r="AW27">
        <v>5.266666667</v>
      </c>
      <c r="AX27">
        <v>5.766666667</v>
      </c>
      <c r="AY27">
        <v>-8.5</v>
      </c>
      <c r="AZ27">
        <v>45</v>
      </c>
      <c r="BA27">
        <v>0</v>
      </c>
      <c r="BB27">
        <v>1</v>
      </c>
      <c r="BC27">
        <v>8</v>
      </c>
      <c r="BD27">
        <v>0</v>
      </c>
      <c r="BE27">
        <v>0</v>
      </c>
      <c r="BF27">
        <v>0</v>
      </c>
      <c r="BG27">
        <v>2</v>
      </c>
      <c r="BI27">
        <v>9.6999999999999993</v>
      </c>
      <c r="BJ27">
        <v>7.2759999999999998</v>
      </c>
      <c r="BK27">
        <v>0</v>
      </c>
      <c r="BL27">
        <v>31</v>
      </c>
      <c r="BM27">
        <v>29</v>
      </c>
      <c r="BN27">
        <v>90</v>
      </c>
      <c r="BO27">
        <v>62</v>
      </c>
      <c r="BP27">
        <v>28</v>
      </c>
      <c r="BQ27">
        <v>80</v>
      </c>
      <c r="BR27">
        <v>10</v>
      </c>
      <c r="BS27" t="s">
        <v>114</v>
      </c>
      <c r="BT27" t="s">
        <v>114</v>
      </c>
      <c r="BU27" t="s">
        <v>114</v>
      </c>
      <c r="BV27" t="s">
        <v>114</v>
      </c>
      <c r="BW27" t="s">
        <v>114</v>
      </c>
      <c r="BX27" t="s">
        <v>114</v>
      </c>
      <c r="BY27" t="s">
        <v>114</v>
      </c>
      <c r="BZ27" t="s">
        <v>114</v>
      </c>
      <c r="CA27" t="s">
        <v>114</v>
      </c>
      <c r="CB27" t="s">
        <v>114</v>
      </c>
      <c r="CC27" t="s">
        <v>114</v>
      </c>
      <c r="CD27" t="s">
        <v>114</v>
      </c>
      <c r="CE27" t="s">
        <v>114</v>
      </c>
      <c r="CF27" t="s">
        <v>114</v>
      </c>
      <c r="CG27" t="s">
        <v>114</v>
      </c>
      <c r="CH27" t="s">
        <v>114</v>
      </c>
      <c r="CI27" t="s">
        <v>114</v>
      </c>
      <c r="CJ27" t="s">
        <v>114</v>
      </c>
      <c r="CK27" t="s">
        <v>114</v>
      </c>
      <c r="CL27" t="s">
        <v>114</v>
      </c>
      <c r="CM27" t="s">
        <v>114</v>
      </c>
      <c r="CN27" t="s">
        <v>114</v>
      </c>
      <c r="CO27" t="s">
        <v>114</v>
      </c>
      <c r="CP27" t="s">
        <v>114</v>
      </c>
      <c r="CQ27" t="s">
        <v>114</v>
      </c>
      <c r="CR27" t="s">
        <v>114</v>
      </c>
      <c r="CS27" t="s">
        <v>114</v>
      </c>
      <c r="CT27" t="s">
        <v>114</v>
      </c>
      <c r="CU27" t="s">
        <v>114</v>
      </c>
      <c r="CV27" t="s">
        <v>114</v>
      </c>
      <c r="CW27" t="s">
        <v>114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</row>
    <row r="28" spans="1:134" x14ac:dyDescent="0.25">
      <c r="A28" t="s">
        <v>74</v>
      </c>
      <c r="B28">
        <v>10</v>
      </c>
      <c r="C28" t="s">
        <v>27</v>
      </c>
      <c r="D28" t="s">
        <v>95</v>
      </c>
      <c r="E28" t="s">
        <v>102</v>
      </c>
      <c r="F28" t="s">
        <v>145</v>
      </c>
      <c r="G28" t="s">
        <v>265</v>
      </c>
      <c r="H28" t="s">
        <v>756</v>
      </c>
      <c r="I28" t="s">
        <v>673</v>
      </c>
      <c r="J28" t="s">
        <v>302</v>
      </c>
      <c r="K28">
        <v>4</v>
      </c>
      <c r="L28">
        <v>140</v>
      </c>
      <c r="M28">
        <v>110</v>
      </c>
      <c r="N28">
        <v>140</v>
      </c>
      <c r="O28">
        <v>30</v>
      </c>
      <c r="P28">
        <v>170</v>
      </c>
      <c r="Q28">
        <v>160</v>
      </c>
      <c r="R28">
        <v>110</v>
      </c>
      <c r="S28">
        <v>135</v>
      </c>
      <c r="T28">
        <v>0.96428571399999996</v>
      </c>
      <c r="V28" t="s">
        <v>113</v>
      </c>
      <c r="W28">
        <v>20</v>
      </c>
      <c r="X28">
        <v>15.4</v>
      </c>
      <c r="Y28">
        <v>13</v>
      </c>
      <c r="Z28">
        <v>13.5</v>
      </c>
      <c r="AA28">
        <v>13.96666667</v>
      </c>
      <c r="AB28">
        <v>13.96666667</v>
      </c>
      <c r="AC28">
        <v>15.4</v>
      </c>
      <c r="AD28">
        <v>15.4</v>
      </c>
      <c r="AE28">
        <v>15.9</v>
      </c>
      <c r="AF28">
        <v>15.56666667</v>
      </c>
      <c r="AG28">
        <v>19.3</v>
      </c>
      <c r="AH28">
        <v>18.8</v>
      </c>
      <c r="AI28">
        <v>17.899999999999999</v>
      </c>
      <c r="AJ28">
        <v>18.666666670000001</v>
      </c>
      <c r="AK28">
        <v>19.8</v>
      </c>
      <c r="AL28">
        <v>18.399999999999999</v>
      </c>
      <c r="AM28">
        <v>18.399999999999999</v>
      </c>
      <c r="AN28">
        <v>18.866666670000001</v>
      </c>
      <c r="AO28">
        <v>18.666666670000001</v>
      </c>
      <c r="AP28">
        <v>6.6</v>
      </c>
      <c r="AQ28">
        <v>7.1</v>
      </c>
      <c r="AR28">
        <v>7.6</v>
      </c>
      <c r="AS28">
        <v>7.1</v>
      </c>
      <c r="AT28">
        <v>6.1</v>
      </c>
      <c r="AU28">
        <v>6.6</v>
      </c>
      <c r="AV28">
        <v>7.1</v>
      </c>
      <c r="AW28">
        <v>6.6</v>
      </c>
      <c r="AX28">
        <v>7.1</v>
      </c>
      <c r="AY28">
        <v>-6.8666666669999996</v>
      </c>
      <c r="AZ28">
        <v>55</v>
      </c>
      <c r="BA28">
        <v>40</v>
      </c>
      <c r="BB28">
        <v>2</v>
      </c>
      <c r="BC28">
        <v>1</v>
      </c>
      <c r="BD28">
        <v>0</v>
      </c>
      <c r="BE28">
        <v>0</v>
      </c>
      <c r="BF28">
        <v>0</v>
      </c>
      <c r="BG28">
        <v>1</v>
      </c>
      <c r="BI28">
        <v>4.7</v>
      </c>
      <c r="BJ28">
        <v>43.395000000000003</v>
      </c>
      <c r="BK28">
        <v>0</v>
      </c>
      <c r="BL28">
        <v>19</v>
      </c>
      <c r="BM28">
        <v>19</v>
      </c>
      <c r="BN28">
        <v>307</v>
      </c>
      <c r="BO28">
        <v>274</v>
      </c>
      <c r="BP28">
        <v>33</v>
      </c>
      <c r="BQ28">
        <v>508</v>
      </c>
      <c r="BR28">
        <v>-201</v>
      </c>
      <c r="BS28">
        <v>7.2670454549999999</v>
      </c>
      <c r="BT28">
        <v>0.72716325800000003</v>
      </c>
      <c r="BU28">
        <v>3.8525754600000002</v>
      </c>
      <c r="BV28">
        <v>-6.2838804750000001</v>
      </c>
      <c r="BW28">
        <v>0.72716325800000003</v>
      </c>
      <c r="BX28">
        <v>2.7044587199999999</v>
      </c>
      <c r="BY28">
        <v>78.97430765</v>
      </c>
      <c r="BZ28">
        <v>0.229866759</v>
      </c>
      <c r="CA28">
        <v>14.628193939999999</v>
      </c>
      <c r="CB28">
        <v>105.6198993</v>
      </c>
      <c r="CC28">
        <v>0.229866759</v>
      </c>
      <c r="CD28">
        <v>29.684675349999999</v>
      </c>
      <c r="CE28">
        <v>0.83631285</v>
      </c>
      <c r="CF28">
        <v>2.3251879E-2</v>
      </c>
      <c r="CG28">
        <v>0.89022467500000002</v>
      </c>
      <c r="CH28">
        <v>4.1251052179999999</v>
      </c>
      <c r="CI28">
        <v>0.557654129</v>
      </c>
      <c r="CJ28">
        <v>5.2048048199999997</v>
      </c>
      <c r="CK28">
        <v>0.89022467500000002</v>
      </c>
      <c r="CL28">
        <v>-2.6503577479999998</v>
      </c>
      <c r="CM28">
        <v>0.557654129</v>
      </c>
      <c r="CN28">
        <v>4.6307464500000002</v>
      </c>
      <c r="CO28">
        <v>1.1625939E-2</v>
      </c>
      <c r="CP28">
        <v>39.487153820000003</v>
      </c>
      <c r="CQ28">
        <v>0.114933379</v>
      </c>
      <c r="CR28">
        <v>7.3140969680000003</v>
      </c>
      <c r="CS28">
        <v>1.1625939E-2</v>
      </c>
      <c r="CT28">
        <v>52.80994965</v>
      </c>
      <c r="CU28">
        <v>0.114933379</v>
      </c>
      <c r="CV28">
        <v>14.842337669999999</v>
      </c>
      <c r="CW28">
        <v>0.83631285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3</v>
      </c>
      <c r="DM28">
        <v>0</v>
      </c>
      <c r="DN28">
        <v>0</v>
      </c>
      <c r="DO28">
        <v>0</v>
      </c>
      <c r="DP28">
        <v>1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0.56233514461880796</v>
      </c>
    </row>
    <row r="29" spans="1:134" x14ac:dyDescent="0.25">
      <c r="A29" t="s">
        <v>74</v>
      </c>
      <c r="B29">
        <v>10</v>
      </c>
      <c r="C29" t="s">
        <v>27</v>
      </c>
      <c r="D29" t="s">
        <v>95</v>
      </c>
      <c r="E29" t="s">
        <v>113</v>
      </c>
      <c r="F29" t="s">
        <v>145</v>
      </c>
      <c r="G29" t="s">
        <v>259</v>
      </c>
      <c r="H29" t="s">
        <v>764</v>
      </c>
      <c r="I29" t="s">
        <v>669</v>
      </c>
      <c r="J29" t="s">
        <v>303</v>
      </c>
      <c r="K29">
        <v>3</v>
      </c>
      <c r="L29">
        <v>80</v>
      </c>
      <c r="M29">
        <v>40</v>
      </c>
      <c r="N29">
        <v>80</v>
      </c>
      <c r="O29">
        <v>40</v>
      </c>
      <c r="P29">
        <v>7</v>
      </c>
      <c r="Q29">
        <v>7</v>
      </c>
      <c r="R29">
        <v>5</v>
      </c>
      <c r="S29">
        <v>6</v>
      </c>
      <c r="T29">
        <v>7.4999999999999997E-2</v>
      </c>
      <c r="V29" t="s">
        <v>113</v>
      </c>
      <c r="W29">
        <v>50</v>
      </c>
      <c r="X29">
        <v>15.4</v>
      </c>
      <c r="Y29">
        <v>13</v>
      </c>
      <c r="Z29">
        <v>13.5</v>
      </c>
      <c r="AA29">
        <v>13.96666667</v>
      </c>
      <c r="AB29">
        <v>13.96666667</v>
      </c>
      <c r="AC29">
        <v>16.899999999999999</v>
      </c>
      <c r="AD29">
        <v>17.899999999999999</v>
      </c>
      <c r="AE29">
        <v>17.399999999999999</v>
      </c>
      <c r="AF29">
        <v>17.399999999999999</v>
      </c>
      <c r="AG29">
        <v>19.3</v>
      </c>
      <c r="AH29">
        <v>18.8</v>
      </c>
      <c r="AI29">
        <v>17.899999999999999</v>
      </c>
      <c r="AJ29">
        <v>18.666666670000001</v>
      </c>
      <c r="AK29">
        <v>19.8</v>
      </c>
      <c r="AL29">
        <v>20.3</v>
      </c>
      <c r="AM29">
        <v>20.8</v>
      </c>
      <c r="AN29">
        <v>20.3</v>
      </c>
      <c r="AO29">
        <v>18.666666670000001</v>
      </c>
      <c r="AP29">
        <v>6.6</v>
      </c>
      <c r="AQ29">
        <v>7.1</v>
      </c>
      <c r="AR29">
        <v>7.6</v>
      </c>
      <c r="AS29">
        <v>7.1</v>
      </c>
      <c r="AT29">
        <v>8.5</v>
      </c>
      <c r="AU29">
        <v>8.5</v>
      </c>
      <c r="AV29">
        <v>8.1</v>
      </c>
      <c r="AW29">
        <v>8.3666666670000005</v>
      </c>
      <c r="AX29">
        <v>7.1</v>
      </c>
      <c r="AY29">
        <v>-6.8666666669999996</v>
      </c>
      <c r="AZ29">
        <v>55</v>
      </c>
      <c r="BA29">
        <v>40</v>
      </c>
      <c r="BB29">
        <v>2</v>
      </c>
      <c r="BC29">
        <v>1</v>
      </c>
      <c r="BD29">
        <v>0</v>
      </c>
      <c r="BE29">
        <v>0</v>
      </c>
      <c r="BF29">
        <v>0</v>
      </c>
      <c r="BG29">
        <v>1</v>
      </c>
      <c r="BI29">
        <v>4.7</v>
      </c>
      <c r="BJ29">
        <v>43.395000000000003</v>
      </c>
      <c r="BK29">
        <v>0</v>
      </c>
      <c r="BL29">
        <v>1</v>
      </c>
      <c r="BM29">
        <v>1</v>
      </c>
      <c r="BN29">
        <v>3</v>
      </c>
      <c r="BO29">
        <v>1.6666669999999999</v>
      </c>
      <c r="BP29">
        <v>1.3333330000000001</v>
      </c>
      <c r="BQ29">
        <v>5</v>
      </c>
      <c r="BR29">
        <v>-2</v>
      </c>
      <c r="BS29">
        <v>8.2750580000000004E-2</v>
      </c>
      <c r="BT29">
        <v>0.36144257000000002</v>
      </c>
      <c r="BU29">
        <v>10.854577920000001</v>
      </c>
      <c r="BV29">
        <v>-8.2750580000000004E-2</v>
      </c>
      <c r="BW29">
        <v>0.36144257000000002</v>
      </c>
      <c r="BX29">
        <v>-10.854577920000001</v>
      </c>
      <c r="BY29">
        <v>1.3695317E-2</v>
      </c>
      <c r="BZ29">
        <v>0.26128146200000002</v>
      </c>
      <c r="CA29">
        <v>235.6437234</v>
      </c>
      <c r="CB29">
        <v>1.3695317E-2</v>
      </c>
      <c r="CC29">
        <v>0.26128146200000002</v>
      </c>
      <c r="CD29">
        <v>235.6437234</v>
      </c>
      <c r="CE29">
        <v>1.6417060000000001E-2</v>
      </c>
      <c r="CF29">
        <v>5.3903999999999996E-4</v>
      </c>
      <c r="CG29">
        <v>2.1889413E-2</v>
      </c>
      <c r="CH29">
        <v>0.110334107</v>
      </c>
      <c r="CI29">
        <v>0.48192342599999999</v>
      </c>
      <c r="CJ29">
        <v>14.47277055</v>
      </c>
      <c r="CK29">
        <v>2.1889413E-2</v>
      </c>
      <c r="CL29">
        <v>-0.110334107</v>
      </c>
      <c r="CM29">
        <v>0.48192342599999999</v>
      </c>
      <c r="CN29">
        <v>-14.47277055</v>
      </c>
      <c r="CO29">
        <v>3.5935999999999997E-4</v>
      </c>
      <c r="CP29">
        <v>9.1302109999999992E-3</v>
      </c>
      <c r="CQ29">
        <v>0.174187641</v>
      </c>
      <c r="CR29">
        <v>157.09581560000001</v>
      </c>
      <c r="CS29">
        <v>3.5935999999999997E-4</v>
      </c>
      <c r="CT29">
        <v>9.1302109999999992E-3</v>
      </c>
      <c r="CU29">
        <v>0.174187641</v>
      </c>
      <c r="CV29">
        <v>157.09581560000001</v>
      </c>
      <c r="CW29">
        <v>1.6417060000000001E-2</v>
      </c>
      <c r="CX29">
        <v>0</v>
      </c>
      <c r="CY29">
        <v>0</v>
      </c>
      <c r="CZ29">
        <v>0</v>
      </c>
      <c r="DA29">
        <v>2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1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0.636514168294813</v>
      </c>
    </row>
    <row r="30" spans="1:134" x14ac:dyDescent="0.25">
      <c r="A30" t="s">
        <v>74</v>
      </c>
      <c r="B30">
        <v>10</v>
      </c>
      <c r="C30" t="s">
        <v>27</v>
      </c>
      <c r="D30" t="s">
        <v>95</v>
      </c>
      <c r="E30" t="s">
        <v>103</v>
      </c>
      <c r="F30" t="s">
        <v>145</v>
      </c>
      <c r="G30" t="s">
        <v>260</v>
      </c>
      <c r="H30" t="s">
        <v>772</v>
      </c>
      <c r="I30" t="s">
        <v>674</v>
      </c>
      <c r="J30" t="s">
        <v>304</v>
      </c>
      <c r="K30">
        <v>1</v>
      </c>
      <c r="L30">
        <v>50</v>
      </c>
      <c r="M30">
        <v>60</v>
      </c>
      <c r="N30">
        <v>50</v>
      </c>
      <c r="O30">
        <v>-10</v>
      </c>
      <c r="P30">
        <v>23</v>
      </c>
      <c r="Q30">
        <v>25</v>
      </c>
      <c r="R30">
        <v>10</v>
      </c>
      <c r="S30">
        <v>17.5</v>
      </c>
      <c r="T30">
        <v>0.35</v>
      </c>
      <c r="V30" t="s">
        <v>113</v>
      </c>
      <c r="W30">
        <v>50</v>
      </c>
      <c r="X30">
        <v>15.4</v>
      </c>
      <c r="Y30">
        <v>13</v>
      </c>
      <c r="Z30">
        <v>13.5</v>
      </c>
      <c r="AA30">
        <v>13.96666667</v>
      </c>
      <c r="AB30">
        <v>13.96666667</v>
      </c>
      <c r="AC30">
        <v>15.4</v>
      </c>
      <c r="AD30">
        <v>15.9</v>
      </c>
      <c r="AE30">
        <v>15.9</v>
      </c>
      <c r="AF30">
        <v>15.733333330000001</v>
      </c>
      <c r="AG30">
        <v>19.3</v>
      </c>
      <c r="AH30">
        <v>18.8</v>
      </c>
      <c r="AI30">
        <v>17.899999999999999</v>
      </c>
      <c r="AJ30">
        <v>18.666666670000001</v>
      </c>
      <c r="AK30">
        <v>16.899999999999999</v>
      </c>
      <c r="AL30">
        <v>19.3</v>
      </c>
      <c r="AM30">
        <v>19.8</v>
      </c>
      <c r="AN30">
        <v>18.666666670000001</v>
      </c>
      <c r="AO30">
        <v>18.666666670000001</v>
      </c>
      <c r="AP30">
        <v>6.6</v>
      </c>
      <c r="AQ30">
        <v>7.1</v>
      </c>
      <c r="AR30">
        <v>7.6</v>
      </c>
      <c r="AS30">
        <v>7.1</v>
      </c>
      <c r="AT30">
        <v>6.6</v>
      </c>
      <c r="AU30">
        <v>7.6</v>
      </c>
      <c r="AV30">
        <v>7.1</v>
      </c>
      <c r="AW30">
        <v>7.1</v>
      </c>
      <c r="AX30">
        <v>7.1</v>
      </c>
      <c r="AY30">
        <v>-6.8666666669999996</v>
      </c>
      <c r="AZ30">
        <v>55</v>
      </c>
      <c r="BA30">
        <v>40</v>
      </c>
      <c r="BB30">
        <v>2</v>
      </c>
      <c r="BC30">
        <v>1</v>
      </c>
      <c r="BD30">
        <v>0</v>
      </c>
      <c r="BE30">
        <v>0</v>
      </c>
      <c r="BF30">
        <v>0</v>
      </c>
      <c r="BG30">
        <v>1</v>
      </c>
      <c r="BI30">
        <v>4.7</v>
      </c>
      <c r="BJ30">
        <v>43.395000000000003</v>
      </c>
      <c r="BK30">
        <v>0</v>
      </c>
      <c r="BL30">
        <v>5</v>
      </c>
      <c r="BM30">
        <v>5</v>
      </c>
      <c r="BN30">
        <v>249</v>
      </c>
      <c r="BO30">
        <v>194</v>
      </c>
      <c r="BP30">
        <v>55</v>
      </c>
      <c r="BQ30">
        <v>388</v>
      </c>
      <c r="BR30">
        <v>-139</v>
      </c>
      <c r="BS30">
        <v>14.53409091</v>
      </c>
      <c r="BT30">
        <v>0.67803651600000003</v>
      </c>
      <c r="BU30">
        <v>7.7051509200000003</v>
      </c>
      <c r="BV30">
        <v>14.53409091</v>
      </c>
      <c r="BW30">
        <v>-0.67803651600000003</v>
      </c>
      <c r="BX30">
        <v>7.7051509200000003</v>
      </c>
      <c r="BY30" t="s">
        <v>114</v>
      </c>
      <c r="BZ30" t="s">
        <v>114</v>
      </c>
      <c r="CA30" t="s">
        <v>114</v>
      </c>
      <c r="CB30" t="s">
        <v>114</v>
      </c>
      <c r="CC30" t="s">
        <v>114</v>
      </c>
      <c r="CD30" t="s">
        <v>114</v>
      </c>
      <c r="CE30">
        <v>0.21564729999999999</v>
      </c>
      <c r="CF30" t="s">
        <v>114</v>
      </c>
      <c r="CG30">
        <v>0.21564729999999999</v>
      </c>
      <c r="CH30">
        <v>14.53409091</v>
      </c>
      <c r="CI30">
        <v>0.67803651600000003</v>
      </c>
      <c r="CJ30">
        <v>7.7051509200000003</v>
      </c>
      <c r="CK30">
        <v>0.21564729999999999</v>
      </c>
      <c r="CL30">
        <v>14.53409091</v>
      </c>
      <c r="CM30">
        <v>-0.67803651600000003</v>
      </c>
      <c r="CN30">
        <v>7.7051509200000003</v>
      </c>
      <c r="CO30" t="s">
        <v>114</v>
      </c>
      <c r="CP30" t="s">
        <v>114</v>
      </c>
      <c r="CQ30" t="s">
        <v>114</v>
      </c>
      <c r="CR30" t="s">
        <v>114</v>
      </c>
      <c r="CS30" t="s">
        <v>114</v>
      </c>
      <c r="CT30" t="s">
        <v>114</v>
      </c>
      <c r="CU30" t="s">
        <v>114</v>
      </c>
      <c r="CV30" t="s">
        <v>114</v>
      </c>
      <c r="CW30">
        <v>0.21564729999999999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1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</row>
    <row r="31" spans="1:134" x14ac:dyDescent="0.25">
      <c r="A31" t="s">
        <v>75</v>
      </c>
      <c r="B31">
        <v>10</v>
      </c>
      <c r="C31" t="s">
        <v>29</v>
      </c>
      <c r="D31" t="s">
        <v>94</v>
      </c>
      <c r="E31" t="s">
        <v>105</v>
      </c>
      <c r="F31" t="s">
        <v>145</v>
      </c>
      <c r="G31" t="s">
        <v>266</v>
      </c>
      <c r="H31" t="s">
        <v>759</v>
      </c>
      <c r="I31" t="s">
        <v>680</v>
      </c>
      <c r="J31" t="s">
        <v>305</v>
      </c>
      <c r="K31">
        <v>2</v>
      </c>
      <c r="L31">
        <v>40</v>
      </c>
      <c r="M31">
        <v>45</v>
      </c>
      <c r="N31">
        <v>40</v>
      </c>
      <c r="O31">
        <v>-5</v>
      </c>
      <c r="P31">
        <v>90</v>
      </c>
      <c r="Q31">
        <v>90</v>
      </c>
      <c r="R31">
        <v>85</v>
      </c>
      <c r="S31">
        <v>87.5</v>
      </c>
      <c r="T31">
        <v>2.1875</v>
      </c>
      <c r="V31" t="s">
        <v>121</v>
      </c>
      <c r="W31" t="s">
        <v>114</v>
      </c>
      <c r="X31">
        <v>13.5</v>
      </c>
      <c r="Y31">
        <v>14.9</v>
      </c>
      <c r="Z31">
        <v>14.9</v>
      </c>
      <c r="AA31">
        <v>14.43333333</v>
      </c>
      <c r="AB31">
        <v>14.43333333</v>
      </c>
      <c r="AC31">
        <v>14.4</v>
      </c>
      <c r="AD31">
        <v>13.5</v>
      </c>
      <c r="AE31">
        <v>13.9</v>
      </c>
      <c r="AF31">
        <v>13.93333333</v>
      </c>
      <c r="AG31">
        <v>13</v>
      </c>
      <c r="AH31">
        <v>16.399999999999999</v>
      </c>
      <c r="AI31">
        <v>15.9</v>
      </c>
      <c r="AJ31">
        <v>15.1</v>
      </c>
      <c r="AK31">
        <v>15.4</v>
      </c>
      <c r="AL31">
        <v>16.399999999999999</v>
      </c>
      <c r="AM31">
        <v>18.899999999999999</v>
      </c>
      <c r="AN31">
        <v>16.899999999999999</v>
      </c>
      <c r="AO31">
        <v>15.1</v>
      </c>
      <c r="AP31">
        <v>5.0999999999999996</v>
      </c>
      <c r="AQ31">
        <v>6.1</v>
      </c>
      <c r="AR31">
        <v>7.1</v>
      </c>
      <c r="AS31">
        <v>6.1</v>
      </c>
      <c r="AT31">
        <v>5.0999999999999996</v>
      </c>
      <c r="AU31">
        <v>5.6</v>
      </c>
      <c r="AV31">
        <v>6.6</v>
      </c>
      <c r="AW31">
        <v>5.766666667</v>
      </c>
      <c r="AX31">
        <v>6.1</v>
      </c>
      <c r="AY31">
        <v>-8.3333333330000006</v>
      </c>
      <c r="AZ31">
        <v>65</v>
      </c>
      <c r="BA31">
        <v>2</v>
      </c>
      <c r="BB31">
        <v>0</v>
      </c>
      <c r="BC31">
        <v>8</v>
      </c>
      <c r="BD31">
        <v>0</v>
      </c>
      <c r="BE31">
        <v>0</v>
      </c>
      <c r="BF31">
        <v>0</v>
      </c>
      <c r="BG31">
        <v>1</v>
      </c>
      <c r="BI31">
        <v>15.4</v>
      </c>
      <c r="BJ31">
        <v>33.924999999999997</v>
      </c>
      <c r="BK31">
        <v>0</v>
      </c>
      <c r="BL31">
        <v>7</v>
      </c>
      <c r="BM31">
        <v>6</v>
      </c>
      <c r="BN31">
        <v>527</v>
      </c>
      <c r="BO31">
        <v>257.5</v>
      </c>
      <c r="BP31">
        <v>269.5</v>
      </c>
      <c r="BQ31">
        <v>338</v>
      </c>
      <c r="BR31">
        <v>189</v>
      </c>
      <c r="BS31">
        <v>12.5</v>
      </c>
      <c r="BT31">
        <v>1.1034840930000001</v>
      </c>
      <c r="BU31">
        <v>14.984584480000001</v>
      </c>
      <c r="BV31">
        <v>-12.5</v>
      </c>
      <c r="BW31">
        <v>-1.1034840930000001</v>
      </c>
      <c r="BX31">
        <v>14.984584480000001</v>
      </c>
      <c r="BY31">
        <v>50</v>
      </c>
      <c r="BZ31">
        <v>1.5018593440000001</v>
      </c>
      <c r="CA31">
        <v>34.387029660000003</v>
      </c>
      <c r="CB31">
        <v>50</v>
      </c>
      <c r="CC31">
        <v>1.5018593440000001</v>
      </c>
      <c r="CD31">
        <v>34.387029660000003</v>
      </c>
      <c r="CE31" t="s">
        <v>114</v>
      </c>
      <c r="CF31" t="s">
        <v>114</v>
      </c>
      <c r="CG31" t="s">
        <v>114</v>
      </c>
      <c r="CH31">
        <v>12.5</v>
      </c>
      <c r="CI31">
        <v>1.1034840930000001</v>
      </c>
      <c r="CJ31">
        <v>14.984584480000001</v>
      </c>
      <c r="CK31" t="s">
        <v>114</v>
      </c>
      <c r="CL31">
        <v>-12.5</v>
      </c>
      <c r="CM31">
        <v>-1.1034840930000001</v>
      </c>
      <c r="CN31">
        <v>14.984584480000001</v>
      </c>
      <c r="CO31" t="s">
        <v>114</v>
      </c>
      <c r="CP31">
        <v>50</v>
      </c>
      <c r="CQ31">
        <v>1.5018593440000001</v>
      </c>
      <c r="CR31">
        <v>34.387029660000003</v>
      </c>
      <c r="CS31" t="s">
        <v>114</v>
      </c>
      <c r="CT31">
        <v>50</v>
      </c>
      <c r="CU31">
        <v>1.5018593440000001</v>
      </c>
      <c r="CV31">
        <v>34.387029660000003</v>
      </c>
      <c r="CW31" t="s">
        <v>114</v>
      </c>
      <c r="CX31">
        <v>0</v>
      </c>
      <c r="CY31">
        <v>0</v>
      </c>
      <c r="CZ31">
        <v>1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1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0.69314718055994495</v>
      </c>
    </row>
    <row r="32" spans="1:134" x14ac:dyDescent="0.25">
      <c r="A32" t="s">
        <v>75</v>
      </c>
      <c r="B32">
        <v>10</v>
      </c>
      <c r="C32" t="s">
        <v>29</v>
      </c>
      <c r="D32" t="s">
        <v>94</v>
      </c>
      <c r="E32" t="s">
        <v>110</v>
      </c>
      <c r="F32" t="s">
        <v>145</v>
      </c>
      <c r="G32" t="s">
        <v>262</v>
      </c>
      <c r="H32" t="s">
        <v>767</v>
      </c>
      <c r="I32" t="s">
        <v>681</v>
      </c>
      <c r="J32" t="s">
        <v>306</v>
      </c>
      <c r="K32">
        <v>2</v>
      </c>
      <c r="L32">
        <v>120</v>
      </c>
      <c r="M32">
        <v>40</v>
      </c>
      <c r="N32">
        <v>120</v>
      </c>
      <c r="O32">
        <v>80</v>
      </c>
      <c r="P32">
        <v>10</v>
      </c>
      <c r="Q32">
        <v>200</v>
      </c>
      <c r="R32">
        <v>0</v>
      </c>
      <c r="S32">
        <v>100</v>
      </c>
      <c r="T32">
        <v>0.83333333300000001</v>
      </c>
      <c r="V32" t="s">
        <v>104</v>
      </c>
      <c r="W32">
        <v>40</v>
      </c>
      <c r="X32">
        <v>13.5</v>
      </c>
      <c r="Y32">
        <v>14.9</v>
      </c>
      <c r="Z32">
        <v>14.9</v>
      </c>
      <c r="AA32">
        <v>14.43333333</v>
      </c>
      <c r="AB32">
        <v>14.43333333</v>
      </c>
      <c r="AC32">
        <v>13.9</v>
      </c>
      <c r="AD32">
        <v>13.9</v>
      </c>
      <c r="AE32">
        <v>13.9</v>
      </c>
      <c r="AF32">
        <v>13.9</v>
      </c>
      <c r="AG32">
        <v>13</v>
      </c>
      <c r="AH32">
        <v>16.399999999999999</v>
      </c>
      <c r="AI32">
        <v>15.9</v>
      </c>
      <c r="AJ32">
        <v>15.1</v>
      </c>
      <c r="AK32">
        <v>15.4</v>
      </c>
      <c r="AL32">
        <v>15.9</v>
      </c>
      <c r="AM32">
        <v>15.9</v>
      </c>
      <c r="AN32">
        <v>15.733333330000001</v>
      </c>
      <c r="AO32">
        <v>15.1</v>
      </c>
      <c r="AP32">
        <v>5.0999999999999996</v>
      </c>
      <c r="AQ32">
        <v>6.1</v>
      </c>
      <c r="AR32">
        <v>7.1</v>
      </c>
      <c r="AS32">
        <v>6.1</v>
      </c>
      <c r="AT32">
        <v>4.0999999999999996</v>
      </c>
      <c r="AU32">
        <v>6.1</v>
      </c>
      <c r="AV32">
        <v>6.1</v>
      </c>
      <c r="AW32">
        <v>5.4333333330000002</v>
      </c>
      <c r="AX32">
        <v>6.1</v>
      </c>
      <c r="AY32">
        <v>-8.3333333330000006</v>
      </c>
      <c r="AZ32">
        <v>65</v>
      </c>
      <c r="BA32">
        <v>2</v>
      </c>
      <c r="BB32">
        <v>0</v>
      </c>
      <c r="BC32">
        <v>8</v>
      </c>
      <c r="BD32">
        <v>0</v>
      </c>
      <c r="BE32">
        <v>0</v>
      </c>
      <c r="BF32">
        <v>0</v>
      </c>
      <c r="BG32">
        <v>1</v>
      </c>
      <c r="BI32">
        <v>15.4</v>
      </c>
      <c r="BJ32">
        <v>33.924999999999997</v>
      </c>
      <c r="BK32">
        <v>0</v>
      </c>
      <c r="BL32">
        <v>11</v>
      </c>
      <c r="BM32">
        <v>11</v>
      </c>
      <c r="BN32">
        <v>11</v>
      </c>
      <c r="BO32">
        <v>7.6666670000000003</v>
      </c>
      <c r="BP32">
        <v>3.3333330000000001</v>
      </c>
      <c r="BQ32">
        <v>5</v>
      </c>
      <c r="BR32">
        <v>6</v>
      </c>
      <c r="BS32">
        <v>40.676630430000003</v>
      </c>
      <c r="BT32">
        <v>1.3679666669999999</v>
      </c>
      <c r="BU32">
        <v>1.0783229999999999</v>
      </c>
      <c r="BV32">
        <v>-40.676630430000003</v>
      </c>
      <c r="BW32">
        <v>-1.3679666669999999</v>
      </c>
      <c r="BX32">
        <v>1.0783229999999999</v>
      </c>
      <c r="BY32" t="s">
        <v>114</v>
      </c>
      <c r="BZ32" t="s">
        <v>114</v>
      </c>
      <c r="CA32" t="s">
        <v>114</v>
      </c>
      <c r="CB32" t="s">
        <v>114</v>
      </c>
      <c r="CC32" t="s">
        <v>114</v>
      </c>
      <c r="CD32" t="s">
        <v>114</v>
      </c>
      <c r="CE32">
        <v>0.50204910000000003</v>
      </c>
      <c r="CF32" t="s">
        <v>114</v>
      </c>
      <c r="CG32">
        <v>0.50204910000000003</v>
      </c>
      <c r="CH32">
        <v>40.676630430000003</v>
      </c>
      <c r="CI32">
        <v>1.3679666669999999</v>
      </c>
      <c r="CJ32">
        <v>1.0783229999999999</v>
      </c>
      <c r="CK32">
        <v>0.50204910000000003</v>
      </c>
      <c r="CL32">
        <v>-40.676630430000003</v>
      </c>
      <c r="CM32">
        <v>-1.3679666669999999</v>
      </c>
      <c r="CN32">
        <v>1.0783229999999999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0.50204910000000003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2</v>
      </c>
      <c r="DZ32">
        <v>0</v>
      </c>
      <c r="EA32">
        <v>0</v>
      </c>
      <c r="EB32">
        <v>0</v>
      </c>
      <c r="EC32">
        <v>0</v>
      </c>
      <c r="ED32">
        <v>0</v>
      </c>
    </row>
    <row r="33" spans="1:134" x14ac:dyDescent="0.25">
      <c r="A33" t="s">
        <v>75</v>
      </c>
      <c r="B33">
        <v>10</v>
      </c>
      <c r="C33" t="s">
        <v>29</v>
      </c>
      <c r="D33" t="s">
        <v>94</v>
      </c>
      <c r="E33" t="s">
        <v>103</v>
      </c>
      <c r="F33" t="s">
        <v>145</v>
      </c>
      <c r="G33" t="s">
        <v>260</v>
      </c>
      <c r="H33" t="s">
        <v>771</v>
      </c>
      <c r="I33" t="s">
        <v>667</v>
      </c>
      <c r="J33" t="s">
        <v>307</v>
      </c>
      <c r="K33">
        <v>3</v>
      </c>
      <c r="L33">
        <v>45</v>
      </c>
      <c r="M33">
        <v>70</v>
      </c>
      <c r="N33">
        <v>45</v>
      </c>
      <c r="O33">
        <v>-25</v>
      </c>
      <c r="P33">
        <v>35</v>
      </c>
      <c r="Q33">
        <v>25</v>
      </c>
      <c r="R33">
        <v>20</v>
      </c>
      <c r="S33">
        <v>22.5</v>
      </c>
      <c r="T33">
        <v>0.5</v>
      </c>
      <c r="V33" t="s">
        <v>114</v>
      </c>
      <c r="W33" t="s">
        <v>114</v>
      </c>
      <c r="X33">
        <v>13.5</v>
      </c>
      <c r="Y33">
        <v>14.9</v>
      </c>
      <c r="Z33">
        <v>14.9</v>
      </c>
      <c r="AA33">
        <v>14.43333333</v>
      </c>
      <c r="AB33">
        <v>14.43333333</v>
      </c>
      <c r="AC33">
        <v>12</v>
      </c>
      <c r="AD33">
        <v>12</v>
      </c>
      <c r="AE33">
        <v>11</v>
      </c>
      <c r="AF33">
        <v>11.66666667</v>
      </c>
      <c r="AG33">
        <v>13</v>
      </c>
      <c r="AH33">
        <v>16.399999999999999</v>
      </c>
      <c r="AI33">
        <v>15.9</v>
      </c>
      <c r="AJ33">
        <v>15.1</v>
      </c>
      <c r="AK33">
        <v>12.5</v>
      </c>
      <c r="AL33">
        <v>13</v>
      </c>
      <c r="AM33">
        <v>13</v>
      </c>
      <c r="AN33">
        <v>12.83333333</v>
      </c>
      <c r="AO33">
        <v>15.1</v>
      </c>
      <c r="AP33">
        <v>5.0999999999999996</v>
      </c>
      <c r="AQ33">
        <v>6.1</v>
      </c>
      <c r="AR33">
        <v>7.1</v>
      </c>
      <c r="AS33">
        <v>6.1</v>
      </c>
      <c r="AT33">
        <v>4.0999999999999996</v>
      </c>
      <c r="AU33">
        <v>5.0999999999999996</v>
      </c>
      <c r="AV33">
        <v>4.5999999999999996</v>
      </c>
      <c r="AW33">
        <v>4.5999999999999996</v>
      </c>
      <c r="AX33">
        <v>6.1</v>
      </c>
      <c r="AY33">
        <v>-8.3333333330000006</v>
      </c>
      <c r="AZ33">
        <v>65</v>
      </c>
      <c r="BA33">
        <v>2</v>
      </c>
      <c r="BB33">
        <v>0</v>
      </c>
      <c r="BC33">
        <v>8</v>
      </c>
      <c r="BD33">
        <v>0</v>
      </c>
      <c r="BE33">
        <v>0</v>
      </c>
      <c r="BF33">
        <v>0</v>
      </c>
      <c r="BG33">
        <v>1</v>
      </c>
      <c r="BI33">
        <v>15.4</v>
      </c>
      <c r="BJ33">
        <v>33.924999999999997</v>
      </c>
      <c r="BK33">
        <v>0</v>
      </c>
      <c r="BL33">
        <v>3</v>
      </c>
      <c r="BM33">
        <v>3</v>
      </c>
      <c r="BN33">
        <v>189</v>
      </c>
      <c r="BO33">
        <v>368.5</v>
      </c>
      <c r="BP33">
        <v>-179.5</v>
      </c>
      <c r="BQ33">
        <v>533</v>
      </c>
      <c r="BR33">
        <v>-344</v>
      </c>
      <c r="BS33">
        <v>17.281906920000001</v>
      </c>
      <c r="BT33">
        <v>0.33085472799999999</v>
      </c>
      <c r="BU33">
        <v>15.59384483</v>
      </c>
      <c r="BV33">
        <v>12.10698197</v>
      </c>
      <c r="BW33">
        <v>-0.33085472799999999</v>
      </c>
      <c r="BX33">
        <v>-15.59384483</v>
      </c>
      <c r="BY33">
        <v>144.52843849999999</v>
      </c>
      <c r="BZ33">
        <v>8.4076195000000006E-2</v>
      </c>
      <c r="CA33">
        <v>63.858128610000001</v>
      </c>
      <c r="CB33">
        <v>372.65638030000002</v>
      </c>
      <c r="CC33">
        <v>8.4076195000000006E-2</v>
      </c>
      <c r="CD33">
        <v>63.858128610000001</v>
      </c>
      <c r="CE33" t="s">
        <v>114</v>
      </c>
      <c r="CF33" t="s">
        <v>114</v>
      </c>
      <c r="CG33" t="s">
        <v>114</v>
      </c>
      <c r="CH33">
        <v>17.281906920000001</v>
      </c>
      <c r="CI33">
        <v>0.33085472799999999</v>
      </c>
      <c r="CJ33">
        <v>15.59384483</v>
      </c>
      <c r="CK33" t="s">
        <v>114</v>
      </c>
      <c r="CL33">
        <v>12.10698197</v>
      </c>
      <c r="CM33">
        <v>-0.33085472799999999</v>
      </c>
      <c r="CN33">
        <v>-15.59384483</v>
      </c>
      <c r="CO33" t="s">
        <v>114</v>
      </c>
      <c r="CP33">
        <v>144.52843849999999</v>
      </c>
      <c r="CQ33">
        <v>8.4076195000000006E-2</v>
      </c>
      <c r="CR33">
        <v>63.858128610000001</v>
      </c>
      <c r="CS33" t="s">
        <v>114</v>
      </c>
      <c r="CT33">
        <v>372.65638030000002</v>
      </c>
      <c r="CU33">
        <v>8.4076195000000006E-2</v>
      </c>
      <c r="CV33">
        <v>63.858128610000001</v>
      </c>
      <c r="CW33" t="s">
        <v>114</v>
      </c>
      <c r="CX33">
        <v>0</v>
      </c>
      <c r="CY33">
        <v>0</v>
      </c>
      <c r="CZ33">
        <v>1</v>
      </c>
      <c r="DA33">
        <v>0</v>
      </c>
      <c r="DB33">
        <v>1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1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1.09861228866811</v>
      </c>
    </row>
    <row r="34" spans="1:134" x14ac:dyDescent="0.25">
      <c r="A34" t="s">
        <v>76</v>
      </c>
      <c r="B34">
        <v>10</v>
      </c>
      <c r="C34" t="s">
        <v>31</v>
      </c>
      <c r="D34" t="s">
        <v>94</v>
      </c>
      <c r="E34" t="s">
        <v>113</v>
      </c>
      <c r="F34" t="s">
        <v>145</v>
      </c>
      <c r="G34" t="s">
        <v>259</v>
      </c>
      <c r="H34" t="s">
        <v>763</v>
      </c>
      <c r="I34" t="s">
        <v>666</v>
      </c>
      <c r="J34" t="s">
        <v>308</v>
      </c>
      <c r="K34">
        <v>8</v>
      </c>
      <c r="L34">
        <v>90</v>
      </c>
      <c r="M34">
        <v>20</v>
      </c>
      <c r="N34">
        <v>90</v>
      </c>
      <c r="O34">
        <v>70</v>
      </c>
      <c r="P34">
        <v>20</v>
      </c>
      <c r="Q34">
        <v>13</v>
      </c>
      <c r="R34">
        <v>8</v>
      </c>
      <c r="S34">
        <v>10.5</v>
      </c>
      <c r="T34">
        <v>0.116666667</v>
      </c>
      <c r="U34" t="s">
        <v>15</v>
      </c>
      <c r="V34" t="s">
        <v>113</v>
      </c>
      <c r="W34">
        <v>20</v>
      </c>
      <c r="X34">
        <v>16.899999999999999</v>
      </c>
      <c r="Y34">
        <v>17.899999999999999</v>
      </c>
      <c r="Z34">
        <v>17.899999999999999</v>
      </c>
      <c r="AA34">
        <v>17.56666667</v>
      </c>
      <c r="AB34">
        <v>17.56666667</v>
      </c>
      <c r="AC34">
        <v>13.9</v>
      </c>
      <c r="AD34">
        <v>13.9</v>
      </c>
      <c r="AE34">
        <v>15.4</v>
      </c>
      <c r="AF34">
        <v>14.4</v>
      </c>
      <c r="AG34">
        <v>13</v>
      </c>
      <c r="AH34">
        <v>16.399999999999999</v>
      </c>
      <c r="AI34">
        <v>15.9</v>
      </c>
      <c r="AJ34">
        <v>15.1</v>
      </c>
      <c r="AK34">
        <v>18.399999999999999</v>
      </c>
      <c r="AL34">
        <v>17.899999999999999</v>
      </c>
      <c r="AM34">
        <v>17.399999999999999</v>
      </c>
      <c r="AN34">
        <v>17.899999999999999</v>
      </c>
      <c r="AO34">
        <v>15.1</v>
      </c>
      <c r="AP34">
        <v>10</v>
      </c>
      <c r="AQ34">
        <v>10.5</v>
      </c>
      <c r="AR34">
        <v>11.5</v>
      </c>
      <c r="AS34">
        <v>10.66666667</v>
      </c>
      <c r="AT34">
        <v>8.5</v>
      </c>
      <c r="AU34">
        <v>6.6</v>
      </c>
      <c r="AV34">
        <v>7.1</v>
      </c>
      <c r="AW34">
        <v>7.4</v>
      </c>
      <c r="AX34">
        <v>10.66666667</v>
      </c>
      <c r="AY34">
        <v>-6.9</v>
      </c>
      <c r="AZ34">
        <v>5</v>
      </c>
      <c r="BA34">
        <v>50</v>
      </c>
      <c r="BB34">
        <v>1</v>
      </c>
      <c r="BC34">
        <v>3</v>
      </c>
      <c r="BD34">
        <v>0</v>
      </c>
      <c r="BE34">
        <v>0</v>
      </c>
      <c r="BF34">
        <v>1</v>
      </c>
      <c r="BG34">
        <v>5</v>
      </c>
      <c r="BI34">
        <v>9.6999999999999993</v>
      </c>
      <c r="BJ34">
        <v>11.682</v>
      </c>
      <c r="BK34">
        <v>0</v>
      </c>
      <c r="BL34">
        <v>3</v>
      </c>
      <c r="BM34">
        <v>3</v>
      </c>
      <c r="BN34">
        <v>9</v>
      </c>
      <c r="BO34">
        <v>0</v>
      </c>
      <c r="BP34">
        <v>9</v>
      </c>
      <c r="BQ34">
        <v>0</v>
      </c>
      <c r="BR34">
        <v>9</v>
      </c>
      <c r="BS34">
        <v>17.41919193</v>
      </c>
      <c r="BT34">
        <v>0.463022932</v>
      </c>
      <c r="BU34">
        <v>3.0992876699999998</v>
      </c>
      <c r="BV34">
        <v>-17.41919193</v>
      </c>
      <c r="BW34">
        <v>0.463022932</v>
      </c>
      <c r="BX34">
        <v>-1.47960015</v>
      </c>
      <c r="BY34">
        <v>728.720463</v>
      </c>
      <c r="BZ34">
        <v>0.16080498200000001</v>
      </c>
      <c r="CA34">
        <v>12.129925399999999</v>
      </c>
      <c r="CB34">
        <v>728.720463</v>
      </c>
      <c r="CC34">
        <v>0.16080498200000001</v>
      </c>
      <c r="CD34">
        <v>23.254476589999999</v>
      </c>
      <c r="CE34">
        <v>9.4908553000000007E-2</v>
      </c>
      <c r="CF34">
        <v>2.1414478000000001E-2</v>
      </c>
      <c r="CG34">
        <v>0.136106013</v>
      </c>
      <c r="CH34">
        <v>30.78977274</v>
      </c>
      <c r="CI34">
        <v>0.51914687400000004</v>
      </c>
      <c r="CJ34">
        <v>2.376998516</v>
      </c>
      <c r="CK34">
        <v>-0.11518225</v>
      </c>
      <c r="CL34">
        <v>-30.78977274</v>
      </c>
      <c r="CM34">
        <v>0.51914687400000004</v>
      </c>
      <c r="CN34">
        <v>0.65991558400000006</v>
      </c>
      <c r="CO34">
        <v>8.6960879999999994E-3</v>
      </c>
      <c r="CP34">
        <v>599.78922</v>
      </c>
      <c r="CQ34">
        <v>0.10267766</v>
      </c>
      <c r="CR34">
        <v>4.4980166270000002</v>
      </c>
      <c r="CS34">
        <v>1.4705111999999999E-2</v>
      </c>
      <c r="CT34">
        <v>599.78922</v>
      </c>
      <c r="CU34">
        <v>0.10267766</v>
      </c>
      <c r="CV34">
        <v>10.45759762</v>
      </c>
      <c r="CW34">
        <v>-3.9111853000000002E-2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2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1</v>
      </c>
      <c r="DV34">
        <v>5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0.90025605126853703</v>
      </c>
    </row>
    <row r="35" spans="1:134" x14ac:dyDescent="0.25">
      <c r="A35" t="s">
        <v>77</v>
      </c>
      <c r="B35">
        <v>10</v>
      </c>
      <c r="C35" t="s">
        <v>33</v>
      </c>
      <c r="D35" t="s">
        <v>94</v>
      </c>
      <c r="E35" t="s">
        <v>102</v>
      </c>
      <c r="F35" t="s">
        <v>145</v>
      </c>
      <c r="G35" t="s">
        <v>265</v>
      </c>
      <c r="H35" t="s">
        <v>755</v>
      </c>
      <c r="I35" t="s">
        <v>677</v>
      </c>
      <c r="J35" t="s">
        <v>309</v>
      </c>
      <c r="K35">
        <v>2</v>
      </c>
      <c r="L35">
        <v>140</v>
      </c>
      <c r="M35">
        <v>80</v>
      </c>
      <c r="N35">
        <v>140</v>
      </c>
      <c r="O35">
        <v>60</v>
      </c>
      <c r="P35">
        <v>190</v>
      </c>
      <c r="Q35">
        <v>190</v>
      </c>
      <c r="R35">
        <v>120</v>
      </c>
      <c r="S35">
        <v>155</v>
      </c>
      <c r="T35">
        <v>1.1071428569999999</v>
      </c>
      <c r="V35" t="s">
        <v>110</v>
      </c>
      <c r="W35">
        <v>70</v>
      </c>
      <c r="X35">
        <v>14.4</v>
      </c>
      <c r="Y35">
        <v>18.399999999999999</v>
      </c>
      <c r="Z35">
        <v>16.899999999999999</v>
      </c>
      <c r="AA35">
        <v>16.56666667</v>
      </c>
      <c r="AB35">
        <v>16.56666667</v>
      </c>
      <c r="AC35">
        <v>15.4</v>
      </c>
      <c r="AD35">
        <v>15.4</v>
      </c>
      <c r="AE35">
        <v>15.9</v>
      </c>
      <c r="AF35">
        <v>15.56666667</v>
      </c>
      <c r="AG35">
        <v>16.399999999999999</v>
      </c>
      <c r="AH35">
        <v>16.899999999999999</v>
      </c>
      <c r="AI35">
        <v>16.899999999999999</v>
      </c>
      <c r="AJ35">
        <v>16.733333330000001</v>
      </c>
      <c r="AK35">
        <v>18.899999999999999</v>
      </c>
      <c r="AL35">
        <v>16.399999999999999</v>
      </c>
      <c r="AM35">
        <v>19.399999999999999</v>
      </c>
      <c r="AN35">
        <v>18.233333330000001</v>
      </c>
      <c r="AO35">
        <v>16.733333330000001</v>
      </c>
      <c r="AP35">
        <v>3.6</v>
      </c>
      <c r="AQ35">
        <v>5.0999999999999996</v>
      </c>
      <c r="AR35">
        <v>7.1</v>
      </c>
      <c r="AS35">
        <v>5.266666667</v>
      </c>
      <c r="AT35">
        <v>4.0999999999999996</v>
      </c>
      <c r="AU35">
        <v>5.0999999999999996</v>
      </c>
      <c r="AV35">
        <v>7.6</v>
      </c>
      <c r="AW35">
        <v>5.6</v>
      </c>
      <c r="AX35">
        <v>5.266666667</v>
      </c>
      <c r="AY35">
        <v>-11.3</v>
      </c>
      <c r="AZ35">
        <v>2</v>
      </c>
      <c r="BA35">
        <v>25</v>
      </c>
      <c r="BB35">
        <v>0</v>
      </c>
      <c r="BC35">
        <v>15</v>
      </c>
      <c r="BD35">
        <v>0</v>
      </c>
      <c r="BE35">
        <v>0</v>
      </c>
      <c r="BF35">
        <v>0</v>
      </c>
      <c r="BG35">
        <v>20</v>
      </c>
      <c r="BI35">
        <v>4.5999999999999996</v>
      </c>
      <c r="BJ35">
        <v>31.262</v>
      </c>
      <c r="BK35">
        <v>0</v>
      </c>
      <c r="BL35">
        <v>34</v>
      </c>
      <c r="BM35">
        <v>30</v>
      </c>
      <c r="BN35">
        <v>578</v>
      </c>
      <c r="BO35">
        <v>560.5</v>
      </c>
      <c r="BP35">
        <v>17.5</v>
      </c>
      <c r="BQ35">
        <v>716</v>
      </c>
      <c r="BR35">
        <v>-138</v>
      </c>
      <c r="BS35">
        <v>6.8410751850000002</v>
      </c>
      <c r="BT35">
        <v>1.1585583340000001</v>
      </c>
      <c r="BU35">
        <v>5.8901662449999996</v>
      </c>
      <c r="BV35">
        <v>6.8410751850000002</v>
      </c>
      <c r="BW35">
        <v>-1.0999066669999999</v>
      </c>
      <c r="BX35">
        <v>-5.8901662449999996</v>
      </c>
      <c r="BY35">
        <v>43.036856380000003</v>
      </c>
      <c r="BZ35">
        <v>2.4195893499999999</v>
      </c>
      <c r="CA35">
        <v>0.72806183000000002</v>
      </c>
      <c r="CB35">
        <v>43.036856380000003</v>
      </c>
      <c r="CC35">
        <v>2.6845148239999999</v>
      </c>
      <c r="CD35">
        <v>0.72806183000000002</v>
      </c>
      <c r="CE35" t="s">
        <v>114</v>
      </c>
      <c r="CF35" t="s">
        <v>114</v>
      </c>
      <c r="CG35" t="s">
        <v>114</v>
      </c>
      <c r="CH35">
        <v>6.8410751850000002</v>
      </c>
      <c r="CI35">
        <v>1.1585583340000001</v>
      </c>
      <c r="CJ35">
        <v>5.8901662449999996</v>
      </c>
      <c r="CK35" t="s">
        <v>114</v>
      </c>
      <c r="CL35">
        <v>6.8410751850000002</v>
      </c>
      <c r="CM35">
        <v>-1.0999066669999999</v>
      </c>
      <c r="CN35">
        <v>-5.8901662449999996</v>
      </c>
      <c r="CO35" t="s">
        <v>114</v>
      </c>
      <c r="CP35">
        <v>43.036856380000003</v>
      </c>
      <c r="CQ35">
        <v>2.4195893499999999</v>
      </c>
      <c r="CR35">
        <v>0.72806183000000002</v>
      </c>
      <c r="CS35" t="s">
        <v>114</v>
      </c>
      <c r="CT35">
        <v>43.036856380000003</v>
      </c>
      <c r="CU35">
        <v>2.6845148239999999</v>
      </c>
      <c r="CV35">
        <v>0.72806183000000002</v>
      </c>
      <c r="CW35" t="s">
        <v>114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1</v>
      </c>
      <c r="DN35">
        <v>1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0.69314718055994495</v>
      </c>
    </row>
    <row r="36" spans="1:134" x14ac:dyDescent="0.25">
      <c r="A36" t="s">
        <v>77</v>
      </c>
      <c r="B36">
        <v>10</v>
      </c>
      <c r="C36" t="s">
        <v>33</v>
      </c>
      <c r="D36" t="s">
        <v>94</v>
      </c>
      <c r="E36" t="s">
        <v>110</v>
      </c>
      <c r="F36" t="s">
        <v>145</v>
      </c>
      <c r="G36" t="s">
        <v>262</v>
      </c>
      <c r="H36" t="s">
        <v>767</v>
      </c>
      <c r="I36" t="s">
        <v>681</v>
      </c>
      <c r="J36" t="s">
        <v>310</v>
      </c>
      <c r="K36">
        <v>3</v>
      </c>
      <c r="L36">
        <v>85</v>
      </c>
      <c r="M36">
        <v>50</v>
      </c>
      <c r="N36">
        <v>85</v>
      </c>
      <c r="O36">
        <v>35</v>
      </c>
      <c r="P36">
        <v>15</v>
      </c>
      <c r="Q36">
        <v>10</v>
      </c>
      <c r="R36">
        <v>10</v>
      </c>
      <c r="S36">
        <v>10</v>
      </c>
      <c r="T36">
        <v>0.117647059</v>
      </c>
      <c r="V36" t="s">
        <v>110</v>
      </c>
      <c r="W36">
        <v>85</v>
      </c>
      <c r="X36">
        <v>14.4</v>
      </c>
      <c r="Y36">
        <v>18.399999999999999</v>
      </c>
      <c r="Z36">
        <v>16.899999999999999</v>
      </c>
      <c r="AA36">
        <v>16.56666667</v>
      </c>
      <c r="AB36">
        <v>16.56666667</v>
      </c>
      <c r="AC36">
        <v>12.5</v>
      </c>
      <c r="AD36">
        <v>13.5</v>
      </c>
      <c r="AE36">
        <v>13.9</v>
      </c>
      <c r="AF36">
        <v>13.3</v>
      </c>
      <c r="AG36">
        <v>16.399999999999999</v>
      </c>
      <c r="AH36">
        <v>16.899999999999999</v>
      </c>
      <c r="AI36">
        <v>16.899999999999999</v>
      </c>
      <c r="AJ36">
        <v>16.733333330000001</v>
      </c>
      <c r="AK36">
        <v>15.9</v>
      </c>
      <c r="AL36">
        <v>13.5</v>
      </c>
      <c r="AM36">
        <v>16.399999999999999</v>
      </c>
      <c r="AN36">
        <v>15.266666669999999</v>
      </c>
      <c r="AO36">
        <v>16.733333330000001</v>
      </c>
      <c r="AP36">
        <v>3.6</v>
      </c>
      <c r="AQ36">
        <v>5.0999999999999996</v>
      </c>
      <c r="AR36">
        <v>7.1</v>
      </c>
      <c r="AS36">
        <v>5.266666667</v>
      </c>
      <c r="AT36">
        <v>3.6</v>
      </c>
      <c r="AU36">
        <v>3.1</v>
      </c>
      <c r="AV36">
        <v>2.7</v>
      </c>
      <c r="AW36">
        <v>3.1333333329999999</v>
      </c>
      <c r="AX36">
        <v>5.266666667</v>
      </c>
      <c r="AY36">
        <v>-11.3</v>
      </c>
      <c r="AZ36">
        <v>2</v>
      </c>
      <c r="BA36">
        <v>25</v>
      </c>
      <c r="BB36">
        <v>0</v>
      </c>
      <c r="BC36">
        <v>15</v>
      </c>
      <c r="BD36">
        <v>0</v>
      </c>
      <c r="BE36">
        <v>0</v>
      </c>
      <c r="BF36">
        <v>0</v>
      </c>
      <c r="BG36">
        <v>20</v>
      </c>
      <c r="BI36">
        <v>4.5999999999999996</v>
      </c>
      <c r="BJ36">
        <v>31.262</v>
      </c>
      <c r="BK36">
        <v>0</v>
      </c>
      <c r="BL36">
        <v>6</v>
      </c>
      <c r="BM36">
        <v>6</v>
      </c>
      <c r="BN36">
        <v>6</v>
      </c>
      <c r="BO36">
        <v>7.6666670000000003</v>
      </c>
      <c r="BP36">
        <v>-1.6666669999999999</v>
      </c>
      <c r="BQ36">
        <v>9</v>
      </c>
      <c r="BR36">
        <v>-3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 t="s">
        <v>114</v>
      </c>
      <c r="BZ36" t="s">
        <v>114</v>
      </c>
      <c r="CA36" t="s">
        <v>114</v>
      </c>
      <c r="CB36" t="s">
        <v>114</v>
      </c>
      <c r="CC36" t="s">
        <v>114</v>
      </c>
      <c r="CD36" t="s">
        <v>114</v>
      </c>
      <c r="CE36">
        <v>0</v>
      </c>
      <c r="CF36" t="s">
        <v>114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3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</row>
    <row r="37" spans="1:134" x14ac:dyDescent="0.25">
      <c r="A37" t="s">
        <v>78</v>
      </c>
      <c r="B37">
        <v>10</v>
      </c>
      <c r="C37" t="s">
        <v>35</v>
      </c>
      <c r="D37" t="s">
        <v>94</v>
      </c>
      <c r="E37" t="s">
        <v>111</v>
      </c>
      <c r="F37" t="s">
        <v>145</v>
      </c>
      <c r="G37" t="s">
        <v>263</v>
      </c>
      <c r="H37" t="s">
        <v>775</v>
      </c>
      <c r="I37" t="s">
        <v>678</v>
      </c>
      <c r="J37" t="s">
        <v>311</v>
      </c>
      <c r="K37">
        <v>0</v>
      </c>
      <c r="L37">
        <v>250</v>
      </c>
      <c r="M37">
        <v>300</v>
      </c>
      <c r="N37">
        <v>250</v>
      </c>
      <c r="O37">
        <v>-50</v>
      </c>
      <c r="P37">
        <v>90</v>
      </c>
      <c r="Q37">
        <v>100</v>
      </c>
      <c r="R37">
        <v>70</v>
      </c>
      <c r="S37">
        <v>85</v>
      </c>
      <c r="T37">
        <v>0.34</v>
      </c>
      <c r="V37" t="s">
        <v>112</v>
      </c>
      <c r="W37">
        <v>85</v>
      </c>
      <c r="X37">
        <v>16.899999999999999</v>
      </c>
      <c r="Y37">
        <v>15.9</v>
      </c>
      <c r="Z37">
        <v>17.899999999999999</v>
      </c>
      <c r="AA37">
        <v>16.899999999999999</v>
      </c>
      <c r="AB37">
        <v>16.899999999999999</v>
      </c>
      <c r="AC37">
        <v>16.399999999999999</v>
      </c>
      <c r="AD37">
        <v>16.899999999999999</v>
      </c>
      <c r="AE37">
        <v>17.899999999999999</v>
      </c>
      <c r="AF37">
        <v>17.06666667</v>
      </c>
      <c r="AG37">
        <v>17.899999999999999</v>
      </c>
      <c r="AH37">
        <v>18.399999999999999</v>
      </c>
      <c r="AI37">
        <v>18.399999999999999</v>
      </c>
      <c r="AJ37">
        <v>18.233333330000001</v>
      </c>
      <c r="AK37">
        <v>18.399999999999999</v>
      </c>
      <c r="AL37">
        <v>19.3</v>
      </c>
      <c r="AM37">
        <v>19.3</v>
      </c>
      <c r="AN37">
        <v>19</v>
      </c>
      <c r="AO37">
        <v>18.233333330000001</v>
      </c>
      <c r="AP37">
        <v>8.5</v>
      </c>
      <c r="AQ37">
        <v>8.5</v>
      </c>
      <c r="AR37">
        <v>9</v>
      </c>
      <c r="AS37">
        <v>8.6666666669999994</v>
      </c>
      <c r="AT37">
        <v>6.1</v>
      </c>
      <c r="AU37">
        <v>7.6</v>
      </c>
      <c r="AV37">
        <v>8.5</v>
      </c>
      <c r="AW37">
        <v>7.4</v>
      </c>
      <c r="AX37">
        <v>8.6666666669999994</v>
      </c>
      <c r="AY37">
        <v>-8.2333333329999991</v>
      </c>
      <c r="AZ37">
        <v>15</v>
      </c>
      <c r="BA37">
        <v>30</v>
      </c>
      <c r="BB37">
        <v>5</v>
      </c>
      <c r="BC37">
        <v>2</v>
      </c>
      <c r="BD37">
        <v>0</v>
      </c>
      <c r="BE37">
        <v>0</v>
      </c>
      <c r="BF37">
        <v>3</v>
      </c>
      <c r="BG37">
        <v>1</v>
      </c>
      <c r="BI37">
        <v>13.6</v>
      </c>
      <c r="BJ37">
        <v>5.9870000000000001</v>
      </c>
      <c r="BK37">
        <v>0</v>
      </c>
      <c r="BL37">
        <v>50</v>
      </c>
      <c r="BM37">
        <v>45</v>
      </c>
      <c r="BN37">
        <v>4122</v>
      </c>
      <c r="BO37">
        <v>2412</v>
      </c>
      <c r="BP37">
        <v>1710</v>
      </c>
      <c r="BQ37">
        <v>2305</v>
      </c>
      <c r="BR37">
        <v>1817</v>
      </c>
      <c r="BS37" t="s">
        <v>114</v>
      </c>
      <c r="BT37" t="s">
        <v>114</v>
      </c>
      <c r="BU37" t="s">
        <v>114</v>
      </c>
      <c r="BV37" t="s">
        <v>114</v>
      </c>
      <c r="BW37" t="s">
        <v>114</v>
      </c>
      <c r="BX37" t="s">
        <v>114</v>
      </c>
      <c r="BY37" t="s">
        <v>114</v>
      </c>
      <c r="BZ37" t="s">
        <v>114</v>
      </c>
      <c r="CA37" t="s">
        <v>114</v>
      </c>
      <c r="CB37" t="s">
        <v>114</v>
      </c>
      <c r="CC37" t="s">
        <v>114</v>
      </c>
      <c r="CD37" t="s">
        <v>114</v>
      </c>
      <c r="CE37" t="s">
        <v>114</v>
      </c>
      <c r="CF37" t="s">
        <v>114</v>
      </c>
      <c r="CG37" t="s">
        <v>114</v>
      </c>
      <c r="CH37" t="s">
        <v>114</v>
      </c>
      <c r="CI37" t="s">
        <v>114</v>
      </c>
      <c r="CJ37" t="s">
        <v>114</v>
      </c>
      <c r="CK37" t="s">
        <v>114</v>
      </c>
      <c r="CL37" t="s">
        <v>114</v>
      </c>
      <c r="CM37" t="s">
        <v>114</v>
      </c>
      <c r="CN37" t="s">
        <v>114</v>
      </c>
      <c r="CO37" t="s">
        <v>114</v>
      </c>
      <c r="CP37" t="s">
        <v>114</v>
      </c>
      <c r="CQ37" t="s">
        <v>114</v>
      </c>
      <c r="CR37" t="s">
        <v>114</v>
      </c>
      <c r="CS37" t="s">
        <v>114</v>
      </c>
      <c r="CT37" t="s">
        <v>114</v>
      </c>
      <c r="CU37" t="s">
        <v>114</v>
      </c>
      <c r="CV37" t="s">
        <v>114</v>
      </c>
      <c r="CW37" t="s">
        <v>114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</row>
    <row r="38" spans="1:134" x14ac:dyDescent="0.25">
      <c r="A38" t="s">
        <v>50</v>
      </c>
      <c r="B38">
        <v>12</v>
      </c>
      <c r="C38" t="s">
        <v>11</v>
      </c>
      <c r="D38" t="s">
        <v>95</v>
      </c>
      <c r="E38" t="s">
        <v>113</v>
      </c>
      <c r="F38" t="s">
        <v>145</v>
      </c>
      <c r="G38" t="s">
        <v>259</v>
      </c>
      <c r="H38" t="s">
        <v>764</v>
      </c>
      <c r="I38" t="s">
        <v>682</v>
      </c>
      <c r="J38" t="s">
        <v>312</v>
      </c>
      <c r="K38">
        <v>7</v>
      </c>
      <c r="L38">
        <v>100</v>
      </c>
      <c r="M38">
        <v>120</v>
      </c>
      <c r="N38">
        <v>100</v>
      </c>
      <c r="O38">
        <v>-20</v>
      </c>
      <c r="P38">
        <v>10</v>
      </c>
      <c r="Q38">
        <v>20</v>
      </c>
      <c r="R38">
        <v>15</v>
      </c>
      <c r="S38">
        <v>17.5</v>
      </c>
      <c r="T38">
        <v>0.17499999999999999</v>
      </c>
      <c r="U38" t="s">
        <v>23</v>
      </c>
      <c r="V38" t="s">
        <v>113</v>
      </c>
      <c r="W38">
        <v>50</v>
      </c>
      <c r="X38">
        <v>16.899999999999999</v>
      </c>
      <c r="Y38">
        <v>16.399999999999999</v>
      </c>
      <c r="Z38">
        <v>14.4</v>
      </c>
      <c r="AA38">
        <v>15.9</v>
      </c>
      <c r="AB38">
        <v>15.9</v>
      </c>
      <c r="AC38">
        <v>15.9</v>
      </c>
      <c r="AD38">
        <v>16.399999999999999</v>
      </c>
      <c r="AE38">
        <v>16.899999999999999</v>
      </c>
      <c r="AF38">
        <v>16.399999999999999</v>
      </c>
      <c r="AG38">
        <v>15.4</v>
      </c>
      <c r="AH38">
        <v>18.399999999999999</v>
      </c>
      <c r="AI38">
        <v>16.899999999999999</v>
      </c>
      <c r="AJ38">
        <v>16.899999999999999</v>
      </c>
      <c r="AK38">
        <v>17.399999999999999</v>
      </c>
      <c r="AL38">
        <v>17.399999999999999</v>
      </c>
      <c r="AM38">
        <v>16.899999999999999</v>
      </c>
      <c r="AN38">
        <v>17.233333330000001</v>
      </c>
      <c r="AO38">
        <v>16.899999999999999</v>
      </c>
      <c r="AP38">
        <v>8.5</v>
      </c>
      <c r="AQ38">
        <v>8.5</v>
      </c>
      <c r="AR38">
        <v>5.6</v>
      </c>
      <c r="AS38">
        <v>7.5333333329999999</v>
      </c>
      <c r="AT38">
        <v>8.5</v>
      </c>
      <c r="AU38">
        <v>8.5</v>
      </c>
      <c r="AV38">
        <v>9</v>
      </c>
      <c r="AW38">
        <v>8.6666666669999994</v>
      </c>
      <c r="AX38">
        <v>7.5333333329999999</v>
      </c>
      <c r="AY38">
        <v>-8.3666666670000005</v>
      </c>
      <c r="AZ38">
        <v>25</v>
      </c>
      <c r="BA38">
        <v>50</v>
      </c>
      <c r="BB38">
        <v>0</v>
      </c>
      <c r="BC38">
        <v>20</v>
      </c>
      <c r="BD38">
        <v>1</v>
      </c>
      <c r="BE38">
        <v>1</v>
      </c>
      <c r="BF38">
        <v>0</v>
      </c>
      <c r="BG38">
        <v>0</v>
      </c>
      <c r="BI38">
        <v>9.1</v>
      </c>
      <c r="BJ38">
        <v>47.033999999999999</v>
      </c>
      <c r="BK38">
        <v>0</v>
      </c>
      <c r="BL38">
        <v>1</v>
      </c>
      <c r="BM38">
        <v>1</v>
      </c>
      <c r="BN38">
        <v>0</v>
      </c>
      <c r="BO38">
        <v>7</v>
      </c>
      <c r="BP38">
        <v>-7</v>
      </c>
      <c r="BQ38" t="s">
        <v>114</v>
      </c>
      <c r="BR38" t="s">
        <v>114</v>
      </c>
      <c r="BS38">
        <v>1.87121212</v>
      </c>
      <c r="BT38">
        <v>0.34902112499999999</v>
      </c>
      <c r="BU38">
        <v>3.4341658650000002</v>
      </c>
      <c r="BV38">
        <v>-1.87121212</v>
      </c>
      <c r="BW38">
        <v>0.34902112499999999</v>
      </c>
      <c r="BX38">
        <v>-3.4341658650000002</v>
      </c>
      <c r="BY38">
        <v>7.002869596</v>
      </c>
      <c r="BZ38">
        <v>0.24363149100000001</v>
      </c>
      <c r="CA38">
        <v>23.58699038</v>
      </c>
      <c r="CB38">
        <v>7.002869596</v>
      </c>
      <c r="CC38">
        <v>0.24363149100000001</v>
      </c>
      <c r="CD38">
        <v>23.58699038</v>
      </c>
      <c r="CE38">
        <v>4.1847524999999997E-2</v>
      </c>
      <c r="CF38">
        <v>3.5024309999999999E-3</v>
      </c>
      <c r="CG38">
        <v>1.1956436000000001E-2</v>
      </c>
      <c r="CH38">
        <v>0.53463203400000003</v>
      </c>
      <c r="CI38">
        <v>9.9720321000000001E-2</v>
      </c>
      <c r="CJ38">
        <v>0.98119024700000002</v>
      </c>
      <c r="CK38">
        <v>1.1956436000000001E-2</v>
      </c>
      <c r="CL38">
        <v>-0.53463203400000003</v>
      </c>
      <c r="CM38">
        <v>9.9720321000000001E-2</v>
      </c>
      <c r="CN38">
        <v>-0.98119024700000002</v>
      </c>
      <c r="CO38">
        <v>1.0006940000000001E-3</v>
      </c>
      <c r="CP38">
        <v>2.0008198849999999</v>
      </c>
      <c r="CQ38">
        <v>6.9608997000000006E-2</v>
      </c>
      <c r="CR38">
        <v>6.739140108</v>
      </c>
      <c r="CS38">
        <v>1.0006940000000001E-3</v>
      </c>
      <c r="CT38">
        <v>2.0008198849999999</v>
      </c>
      <c r="CU38">
        <v>6.9608997000000006E-2</v>
      </c>
      <c r="CV38">
        <v>6.739140108</v>
      </c>
      <c r="CW38">
        <v>4.1847524999999997E-2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6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1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0.410116318288409</v>
      </c>
    </row>
    <row r="39" spans="1:134" x14ac:dyDescent="0.25">
      <c r="A39" t="s">
        <v>50</v>
      </c>
      <c r="B39">
        <v>12</v>
      </c>
      <c r="C39" t="s">
        <v>11</v>
      </c>
      <c r="D39" t="s">
        <v>95</v>
      </c>
      <c r="E39" t="s">
        <v>103</v>
      </c>
      <c r="F39" t="s">
        <v>145</v>
      </c>
      <c r="G39" t="s">
        <v>260</v>
      </c>
      <c r="H39" t="s">
        <v>772</v>
      </c>
      <c r="I39" t="s">
        <v>683</v>
      </c>
      <c r="J39" t="s">
        <v>313</v>
      </c>
      <c r="K39">
        <v>7</v>
      </c>
      <c r="L39">
        <v>100</v>
      </c>
      <c r="M39">
        <v>60</v>
      </c>
      <c r="N39">
        <v>100</v>
      </c>
      <c r="O39">
        <v>40</v>
      </c>
      <c r="P39">
        <v>35</v>
      </c>
      <c r="Q39">
        <v>40</v>
      </c>
      <c r="R39">
        <v>15</v>
      </c>
      <c r="S39">
        <v>27.5</v>
      </c>
      <c r="T39">
        <v>0.27500000000000002</v>
      </c>
      <c r="V39" t="s">
        <v>113</v>
      </c>
      <c r="W39">
        <v>70</v>
      </c>
      <c r="X39">
        <v>16.899999999999999</v>
      </c>
      <c r="Y39">
        <v>16.399999999999999</v>
      </c>
      <c r="Z39">
        <v>14.4</v>
      </c>
      <c r="AA39">
        <v>15.9</v>
      </c>
      <c r="AB39">
        <v>15.9</v>
      </c>
      <c r="AC39">
        <v>15.9</v>
      </c>
      <c r="AD39">
        <v>16.399999999999999</v>
      </c>
      <c r="AE39">
        <v>17.399999999999999</v>
      </c>
      <c r="AF39">
        <v>16.56666667</v>
      </c>
      <c r="AG39">
        <v>15.4</v>
      </c>
      <c r="AH39">
        <v>18.399999999999999</v>
      </c>
      <c r="AI39">
        <v>16.899999999999999</v>
      </c>
      <c r="AJ39">
        <v>16.899999999999999</v>
      </c>
      <c r="AK39">
        <v>15.4</v>
      </c>
      <c r="AL39">
        <v>21.3</v>
      </c>
      <c r="AM39">
        <v>17.899999999999999</v>
      </c>
      <c r="AN39">
        <v>18.2</v>
      </c>
      <c r="AO39">
        <v>16.899999999999999</v>
      </c>
      <c r="AP39">
        <v>8.5</v>
      </c>
      <c r="AQ39">
        <v>8.5</v>
      </c>
      <c r="AR39">
        <v>5.6</v>
      </c>
      <c r="AS39">
        <v>7.5333333329999999</v>
      </c>
      <c r="AT39">
        <v>8.1</v>
      </c>
      <c r="AU39">
        <v>9</v>
      </c>
      <c r="AV39">
        <v>11</v>
      </c>
      <c r="AW39">
        <v>9.3666666670000005</v>
      </c>
      <c r="AX39">
        <v>7.5333333329999999</v>
      </c>
      <c r="AY39">
        <v>-8.3666666670000005</v>
      </c>
      <c r="AZ39">
        <v>25</v>
      </c>
      <c r="BA39">
        <v>50</v>
      </c>
      <c r="BB39">
        <v>0</v>
      </c>
      <c r="BC39">
        <v>20</v>
      </c>
      <c r="BD39">
        <v>1</v>
      </c>
      <c r="BE39">
        <v>1</v>
      </c>
      <c r="BF39">
        <v>0</v>
      </c>
      <c r="BG39">
        <v>0</v>
      </c>
      <c r="BI39">
        <v>9.1</v>
      </c>
      <c r="BJ39">
        <v>47.033999999999999</v>
      </c>
      <c r="BK39">
        <v>0</v>
      </c>
      <c r="BL39">
        <v>6</v>
      </c>
      <c r="BM39">
        <v>6</v>
      </c>
      <c r="BN39">
        <v>410</v>
      </c>
      <c r="BO39">
        <v>290.75</v>
      </c>
      <c r="BP39">
        <v>119.25</v>
      </c>
      <c r="BQ39">
        <v>338</v>
      </c>
      <c r="BR39">
        <v>72</v>
      </c>
      <c r="BS39">
        <v>27.808712119999999</v>
      </c>
      <c r="BT39" t="s">
        <v>114</v>
      </c>
      <c r="BU39">
        <v>7.153407895</v>
      </c>
      <c r="BV39">
        <v>-13.274621209999999</v>
      </c>
      <c r="BW39" t="s">
        <v>114</v>
      </c>
      <c r="BX39">
        <v>7.153407895</v>
      </c>
      <c r="BY39">
        <v>352.43113649999998</v>
      </c>
      <c r="BZ39" t="s">
        <v>114</v>
      </c>
      <c r="CA39">
        <v>0.60884073100000002</v>
      </c>
      <c r="CB39">
        <v>1546.64894</v>
      </c>
      <c r="CC39" t="s">
        <v>114</v>
      </c>
      <c r="CD39">
        <v>0.60884073100000002</v>
      </c>
      <c r="CE39" t="s">
        <v>114</v>
      </c>
      <c r="CF39" t="s">
        <v>114</v>
      </c>
      <c r="CG39" t="s">
        <v>114</v>
      </c>
      <c r="CH39">
        <v>25.912337659999999</v>
      </c>
      <c r="CI39" t="s">
        <v>114</v>
      </c>
      <c r="CJ39">
        <v>7.2322283269999996</v>
      </c>
      <c r="CK39" t="s">
        <v>114</v>
      </c>
      <c r="CL39">
        <v>-9.30194805</v>
      </c>
      <c r="CM39" t="s">
        <v>114</v>
      </c>
      <c r="CN39">
        <v>7.2322283269999996</v>
      </c>
      <c r="CO39" t="s">
        <v>114</v>
      </c>
      <c r="CP39">
        <v>201.3892209</v>
      </c>
      <c r="CQ39" t="s">
        <v>114</v>
      </c>
      <c r="CR39">
        <v>0.347908989</v>
      </c>
      <c r="CS39" t="s">
        <v>114</v>
      </c>
      <c r="CT39">
        <v>883.79939400000001</v>
      </c>
      <c r="CU39" t="s">
        <v>114</v>
      </c>
      <c r="CV39">
        <v>0.347908989</v>
      </c>
      <c r="CW39" t="s">
        <v>114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3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4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0.68290810470047203</v>
      </c>
    </row>
    <row r="40" spans="1:134" x14ac:dyDescent="0.25">
      <c r="A40" t="s">
        <v>50</v>
      </c>
      <c r="B40">
        <v>12</v>
      </c>
      <c r="C40" t="s">
        <v>11</v>
      </c>
      <c r="D40" t="s">
        <v>95</v>
      </c>
      <c r="E40" t="s">
        <v>111</v>
      </c>
      <c r="F40" t="s">
        <v>145</v>
      </c>
      <c r="G40" t="s">
        <v>263</v>
      </c>
      <c r="H40" t="s">
        <v>776</v>
      </c>
      <c r="I40" t="s">
        <v>684</v>
      </c>
      <c r="J40" t="s">
        <v>314</v>
      </c>
      <c r="K40">
        <v>5</v>
      </c>
      <c r="L40">
        <v>290</v>
      </c>
      <c r="M40">
        <v>270</v>
      </c>
      <c r="N40">
        <v>290</v>
      </c>
      <c r="O40">
        <v>20</v>
      </c>
      <c r="P40">
        <v>60</v>
      </c>
      <c r="Q40">
        <v>200</v>
      </c>
      <c r="R40">
        <v>90</v>
      </c>
      <c r="S40">
        <v>145</v>
      </c>
      <c r="T40">
        <v>0.5</v>
      </c>
      <c r="V40" t="s">
        <v>113</v>
      </c>
      <c r="W40">
        <v>80</v>
      </c>
      <c r="X40">
        <v>16.899999999999999</v>
      </c>
      <c r="Y40">
        <v>16.399999999999999</v>
      </c>
      <c r="Z40">
        <v>14.4</v>
      </c>
      <c r="AA40">
        <v>15.9</v>
      </c>
      <c r="AB40">
        <v>15.9</v>
      </c>
      <c r="AC40">
        <v>17.899999999999999</v>
      </c>
      <c r="AD40">
        <v>17.899999999999999</v>
      </c>
      <c r="AE40">
        <v>16.899999999999999</v>
      </c>
      <c r="AF40">
        <v>17.56666667</v>
      </c>
      <c r="AG40">
        <v>15.4</v>
      </c>
      <c r="AH40">
        <v>18.399999999999999</v>
      </c>
      <c r="AI40">
        <v>16.899999999999999</v>
      </c>
      <c r="AJ40">
        <v>16.899999999999999</v>
      </c>
      <c r="AK40">
        <v>17.100000000000001</v>
      </c>
      <c r="AL40">
        <v>18.399999999999999</v>
      </c>
      <c r="AM40">
        <v>19.8</v>
      </c>
      <c r="AN40">
        <v>18.43333333</v>
      </c>
      <c r="AO40">
        <v>16.899999999999999</v>
      </c>
      <c r="AP40">
        <v>8.5</v>
      </c>
      <c r="AQ40">
        <v>8.5</v>
      </c>
      <c r="AR40">
        <v>5.6</v>
      </c>
      <c r="AS40">
        <v>7.5333333329999999</v>
      </c>
      <c r="AT40">
        <v>8.5</v>
      </c>
      <c r="AU40">
        <v>8.5</v>
      </c>
      <c r="AV40">
        <v>9</v>
      </c>
      <c r="AW40">
        <v>8.6666666669999994</v>
      </c>
      <c r="AX40">
        <v>7.5333333329999999</v>
      </c>
      <c r="AY40">
        <v>-8.3666666670000005</v>
      </c>
      <c r="AZ40">
        <v>25</v>
      </c>
      <c r="BA40">
        <v>50</v>
      </c>
      <c r="BB40">
        <v>0</v>
      </c>
      <c r="BC40">
        <v>20</v>
      </c>
      <c r="BD40">
        <v>1</v>
      </c>
      <c r="BE40">
        <v>1</v>
      </c>
      <c r="BF40">
        <v>0</v>
      </c>
      <c r="BG40">
        <v>0</v>
      </c>
      <c r="BI40">
        <v>9.1</v>
      </c>
      <c r="BJ40">
        <v>47.033999999999999</v>
      </c>
      <c r="BK40">
        <v>0</v>
      </c>
      <c r="BL40">
        <v>10</v>
      </c>
      <c r="BM40">
        <v>9</v>
      </c>
      <c r="BN40">
        <v>414</v>
      </c>
      <c r="BO40">
        <v>955.66669999999999</v>
      </c>
      <c r="BP40">
        <v>-541.66669999999999</v>
      </c>
      <c r="BQ40">
        <v>655</v>
      </c>
      <c r="BR40">
        <v>-241</v>
      </c>
      <c r="BS40">
        <v>27.808712119999999</v>
      </c>
      <c r="BT40" t="s">
        <v>114</v>
      </c>
      <c r="BU40">
        <v>1.154195235</v>
      </c>
      <c r="BV40">
        <v>-16.59485931</v>
      </c>
      <c r="BW40" t="s">
        <v>114</v>
      </c>
      <c r="BX40">
        <v>1.154195235</v>
      </c>
      <c r="BY40">
        <v>550.77871100000004</v>
      </c>
      <c r="BZ40" t="s">
        <v>114</v>
      </c>
      <c r="CA40">
        <v>0.60884073100000002</v>
      </c>
      <c r="CB40">
        <v>1546.64894</v>
      </c>
      <c r="CC40" t="s">
        <v>114</v>
      </c>
      <c r="CD40">
        <v>0.60884073100000002</v>
      </c>
      <c r="CE40" t="s">
        <v>114</v>
      </c>
      <c r="CF40" t="s">
        <v>114</v>
      </c>
      <c r="CG40" t="s">
        <v>114</v>
      </c>
      <c r="CH40">
        <v>24.489740260000001</v>
      </c>
      <c r="CI40" t="s">
        <v>114</v>
      </c>
      <c r="CJ40">
        <v>1.26454384</v>
      </c>
      <c r="CK40" t="s">
        <v>114</v>
      </c>
      <c r="CL40">
        <v>-11.033116890000001</v>
      </c>
      <c r="CM40" t="s">
        <v>114</v>
      </c>
      <c r="CN40">
        <v>1.26454384</v>
      </c>
      <c r="CO40" t="s">
        <v>114</v>
      </c>
      <c r="CP40">
        <v>330.4672266</v>
      </c>
      <c r="CQ40" t="s">
        <v>114</v>
      </c>
      <c r="CR40">
        <v>0.36530443899999998</v>
      </c>
      <c r="CS40" t="s">
        <v>114</v>
      </c>
      <c r="CT40">
        <v>927.98936370000001</v>
      </c>
      <c r="CU40" t="s">
        <v>114</v>
      </c>
      <c r="CV40">
        <v>0.36530443899999998</v>
      </c>
      <c r="CW40" t="s">
        <v>114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2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3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0.67301166700925696</v>
      </c>
    </row>
    <row r="41" spans="1:134" x14ac:dyDescent="0.25">
      <c r="A41" t="s">
        <v>50</v>
      </c>
      <c r="B41">
        <v>12</v>
      </c>
      <c r="C41" t="s">
        <v>11</v>
      </c>
      <c r="D41" t="s">
        <v>95</v>
      </c>
      <c r="E41" t="s">
        <v>104</v>
      </c>
      <c r="F41" t="s">
        <v>145</v>
      </c>
      <c r="G41" t="s">
        <v>264</v>
      </c>
      <c r="H41" t="s">
        <v>780</v>
      </c>
      <c r="I41" t="s">
        <v>685</v>
      </c>
      <c r="J41" t="s">
        <v>315</v>
      </c>
      <c r="K41">
        <v>2</v>
      </c>
      <c r="L41">
        <v>40</v>
      </c>
      <c r="M41">
        <v>40</v>
      </c>
      <c r="N41">
        <v>40</v>
      </c>
      <c r="O41">
        <v>0</v>
      </c>
      <c r="P41">
        <v>20</v>
      </c>
      <c r="Q41">
        <v>15</v>
      </c>
      <c r="R41">
        <v>10</v>
      </c>
      <c r="S41">
        <v>12.5</v>
      </c>
      <c r="T41">
        <v>0.3125</v>
      </c>
      <c r="V41" t="s">
        <v>121</v>
      </c>
      <c r="W41" t="s">
        <v>114</v>
      </c>
      <c r="X41">
        <v>16.899999999999999</v>
      </c>
      <c r="Y41">
        <v>16.399999999999999</v>
      </c>
      <c r="Z41">
        <v>14.4</v>
      </c>
      <c r="AA41">
        <v>15.9</v>
      </c>
      <c r="AB41">
        <v>15.9</v>
      </c>
      <c r="AC41">
        <v>14.4</v>
      </c>
      <c r="AD41">
        <v>14.4</v>
      </c>
      <c r="AE41">
        <v>13</v>
      </c>
      <c r="AF41">
        <v>13.93333333</v>
      </c>
      <c r="AG41">
        <v>15.4</v>
      </c>
      <c r="AH41">
        <v>18.399999999999999</v>
      </c>
      <c r="AI41">
        <v>16.899999999999999</v>
      </c>
      <c r="AJ41">
        <v>16.899999999999999</v>
      </c>
      <c r="AK41">
        <v>13.9</v>
      </c>
      <c r="AL41">
        <v>14.9</v>
      </c>
      <c r="AM41">
        <v>16.399999999999999</v>
      </c>
      <c r="AN41">
        <v>15.06666667</v>
      </c>
      <c r="AO41">
        <v>16.899999999999999</v>
      </c>
      <c r="AP41">
        <v>8.5</v>
      </c>
      <c r="AQ41">
        <v>8.5</v>
      </c>
      <c r="AR41">
        <v>5.6</v>
      </c>
      <c r="AS41">
        <v>7.5333333329999999</v>
      </c>
      <c r="AT41">
        <v>7.6</v>
      </c>
      <c r="AU41">
        <v>6.6</v>
      </c>
      <c r="AV41">
        <v>6.1</v>
      </c>
      <c r="AW41">
        <v>6.766666667</v>
      </c>
      <c r="AX41">
        <v>7.5333333329999999</v>
      </c>
      <c r="AY41">
        <v>-8.3666666670000005</v>
      </c>
      <c r="AZ41">
        <v>25</v>
      </c>
      <c r="BA41">
        <v>50</v>
      </c>
      <c r="BB41">
        <v>0</v>
      </c>
      <c r="BC41">
        <v>20</v>
      </c>
      <c r="BD41">
        <v>1</v>
      </c>
      <c r="BE41">
        <v>1</v>
      </c>
      <c r="BF41">
        <v>0</v>
      </c>
      <c r="BG41">
        <v>0</v>
      </c>
      <c r="BI41">
        <v>9.1</v>
      </c>
      <c r="BJ41">
        <v>47.033999999999999</v>
      </c>
      <c r="BK41">
        <v>0</v>
      </c>
      <c r="BL41">
        <v>2</v>
      </c>
      <c r="BM41">
        <v>2</v>
      </c>
      <c r="BN41">
        <v>6</v>
      </c>
      <c r="BO41">
        <v>22</v>
      </c>
      <c r="BP41">
        <v>-16</v>
      </c>
      <c r="BQ41">
        <v>20</v>
      </c>
      <c r="BR41">
        <v>-14</v>
      </c>
      <c r="BS41">
        <v>21.041666670000001</v>
      </c>
      <c r="BT41">
        <v>2.385499383</v>
      </c>
      <c r="BU41">
        <v>3.478786355</v>
      </c>
      <c r="BV41">
        <v>21.041666670000001</v>
      </c>
      <c r="BW41">
        <v>2.385499383</v>
      </c>
      <c r="BX41">
        <v>3.478786355</v>
      </c>
      <c r="BY41">
        <v>58.230034760000002</v>
      </c>
      <c r="BZ41">
        <v>2.00115E-4</v>
      </c>
      <c r="CA41">
        <v>0.35013317799999999</v>
      </c>
      <c r="CB41">
        <v>58.230034760000002</v>
      </c>
      <c r="CC41">
        <v>2.00115E-4</v>
      </c>
      <c r="CD41">
        <v>0.35013317799999999</v>
      </c>
      <c r="CE41">
        <v>0.14967117499999999</v>
      </c>
      <c r="CF41">
        <v>4.4802921000000002E-2</v>
      </c>
      <c r="CG41">
        <v>0.14967117499999999</v>
      </c>
      <c r="CH41">
        <v>21.041666670000001</v>
      </c>
      <c r="CI41">
        <v>2.385499383</v>
      </c>
      <c r="CJ41">
        <v>3.478786355</v>
      </c>
      <c r="CK41">
        <v>0.12793207500000001</v>
      </c>
      <c r="CL41">
        <v>21.041666670000001</v>
      </c>
      <c r="CM41">
        <v>2.385499383</v>
      </c>
      <c r="CN41">
        <v>3.478786355</v>
      </c>
      <c r="CO41">
        <v>3.2733232000000001E-2</v>
      </c>
      <c r="CP41">
        <v>58.230034760000002</v>
      </c>
      <c r="CQ41">
        <v>2.00115E-4</v>
      </c>
      <c r="CR41">
        <v>0.35013317799999999</v>
      </c>
      <c r="CS41">
        <v>4.4802921000000002E-2</v>
      </c>
      <c r="CT41">
        <v>58.230034760000002</v>
      </c>
      <c r="CU41">
        <v>2.00115E-4</v>
      </c>
      <c r="CV41">
        <v>0.35013317799999999</v>
      </c>
      <c r="CW41">
        <v>0.12793207500000001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1</v>
      </c>
      <c r="DQ41">
        <v>0</v>
      </c>
      <c r="DR41">
        <v>0</v>
      </c>
      <c r="DS41">
        <v>0</v>
      </c>
      <c r="DT41">
        <v>0</v>
      </c>
      <c r="DU41">
        <v>1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0.69314718055994495</v>
      </c>
    </row>
    <row r="42" spans="1:134" x14ac:dyDescent="0.25">
      <c r="A42" t="s">
        <v>51</v>
      </c>
      <c r="B42">
        <v>12</v>
      </c>
      <c r="C42" t="s">
        <v>15</v>
      </c>
      <c r="D42" t="s">
        <v>94</v>
      </c>
      <c r="E42" t="s">
        <v>105</v>
      </c>
      <c r="F42" t="s">
        <v>145</v>
      </c>
      <c r="G42" t="s">
        <v>266</v>
      </c>
      <c r="H42" t="s">
        <v>759</v>
      </c>
      <c r="I42" t="s">
        <v>686</v>
      </c>
      <c r="J42" t="s">
        <v>316</v>
      </c>
      <c r="K42" t="s">
        <v>114</v>
      </c>
      <c r="L42">
        <v>50</v>
      </c>
      <c r="M42">
        <v>50</v>
      </c>
      <c r="N42">
        <v>50</v>
      </c>
      <c r="O42">
        <v>0</v>
      </c>
      <c r="P42">
        <v>120</v>
      </c>
      <c r="Q42">
        <v>120</v>
      </c>
      <c r="R42">
        <v>100</v>
      </c>
      <c r="S42">
        <v>110</v>
      </c>
      <c r="T42">
        <v>2.2000000000000002</v>
      </c>
      <c r="V42" t="s">
        <v>104</v>
      </c>
      <c r="W42">
        <v>40</v>
      </c>
      <c r="X42">
        <v>13</v>
      </c>
      <c r="Y42">
        <v>13.9</v>
      </c>
      <c r="Z42">
        <v>14.4</v>
      </c>
      <c r="AA42">
        <v>13.766666669999999</v>
      </c>
      <c r="AB42">
        <v>13.766666669999999</v>
      </c>
      <c r="AC42">
        <v>17.399999999999999</v>
      </c>
      <c r="AD42">
        <v>20.3</v>
      </c>
      <c r="AE42">
        <v>15.9</v>
      </c>
      <c r="AF42">
        <v>17.866666670000001</v>
      </c>
      <c r="AG42">
        <v>14.4</v>
      </c>
      <c r="AH42">
        <v>14.4</v>
      </c>
      <c r="AI42">
        <v>15.4</v>
      </c>
      <c r="AJ42">
        <v>14.733333330000001</v>
      </c>
      <c r="AK42">
        <v>17.899999999999999</v>
      </c>
      <c r="AL42">
        <v>18.399999999999999</v>
      </c>
      <c r="AM42">
        <v>14.9</v>
      </c>
      <c r="AN42">
        <v>17.06666667</v>
      </c>
      <c r="AO42">
        <v>14.733333330000001</v>
      </c>
      <c r="AP42">
        <v>5.6</v>
      </c>
      <c r="AQ42">
        <v>4.5999999999999996</v>
      </c>
      <c r="AR42">
        <v>5.0999999999999996</v>
      </c>
      <c r="AS42">
        <v>5.0999999999999996</v>
      </c>
      <c r="AT42">
        <v>5.0999999999999996</v>
      </c>
      <c r="AU42">
        <v>6.1</v>
      </c>
      <c r="AV42">
        <v>7.6</v>
      </c>
      <c r="AW42">
        <v>6.266666667</v>
      </c>
      <c r="AX42">
        <v>5.0999999999999996</v>
      </c>
      <c r="AY42">
        <v>-8.6666666669999994</v>
      </c>
      <c r="AZ42">
        <v>70</v>
      </c>
      <c r="BA42">
        <v>0</v>
      </c>
      <c r="BB42">
        <v>0</v>
      </c>
      <c r="BC42">
        <v>5</v>
      </c>
      <c r="BD42">
        <v>1</v>
      </c>
      <c r="BE42">
        <v>0</v>
      </c>
      <c r="BF42">
        <v>0</v>
      </c>
      <c r="BG42">
        <v>0</v>
      </c>
      <c r="BI42">
        <v>13.3</v>
      </c>
      <c r="BJ42">
        <v>4.7930000000000001</v>
      </c>
      <c r="BK42">
        <v>0</v>
      </c>
      <c r="BL42">
        <v>3</v>
      </c>
      <c r="BM42">
        <v>3</v>
      </c>
      <c r="BN42">
        <v>158</v>
      </c>
      <c r="BO42">
        <v>308.33330000000001</v>
      </c>
      <c r="BP42">
        <v>-150.33330000000001</v>
      </c>
      <c r="BQ42">
        <v>338</v>
      </c>
      <c r="BR42">
        <v>-180</v>
      </c>
      <c r="BS42">
        <v>46.4375</v>
      </c>
      <c r="BT42">
        <v>2.0103032199999999</v>
      </c>
      <c r="BU42">
        <v>14.561728260000001</v>
      </c>
      <c r="BV42">
        <v>-46.4375</v>
      </c>
      <c r="BW42">
        <v>-2.0103032199999999</v>
      </c>
      <c r="BX42">
        <v>14.561728260000001</v>
      </c>
      <c r="BY42" t="s">
        <v>114</v>
      </c>
      <c r="BZ42" t="s">
        <v>114</v>
      </c>
      <c r="CA42" t="s">
        <v>114</v>
      </c>
      <c r="CB42" t="s">
        <v>114</v>
      </c>
      <c r="CC42" t="s">
        <v>114</v>
      </c>
      <c r="CD42" t="s">
        <v>114</v>
      </c>
      <c r="CE42">
        <v>1.6881131</v>
      </c>
      <c r="CF42" t="s">
        <v>114</v>
      </c>
      <c r="CG42">
        <v>1.6881131</v>
      </c>
      <c r="CH42">
        <v>46.4375</v>
      </c>
      <c r="CI42">
        <v>2.0103032199999999</v>
      </c>
      <c r="CJ42">
        <v>14.561728260000001</v>
      </c>
      <c r="CK42">
        <v>1.6881131</v>
      </c>
      <c r="CL42">
        <v>-46.4375</v>
      </c>
      <c r="CM42">
        <v>-2.0103032199999999</v>
      </c>
      <c r="CN42">
        <v>14.561728260000001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1.6881131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2</v>
      </c>
      <c r="DZ42">
        <v>0</v>
      </c>
      <c r="EA42">
        <v>0</v>
      </c>
      <c r="EB42">
        <v>0</v>
      </c>
      <c r="EC42">
        <v>0</v>
      </c>
      <c r="ED42">
        <v>0</v>
      </c>
    </row>
    <row r="43" spans="1:134" x14ac:dyDescent="0.25">
      <c r="A43" t="s">
        <v>51</v>
      </c>
      <c r="B43">
        <v>12</v>
      </c>
      <c r="C43" t="s">
        <v>15</v>
      </c>
      <c r="D43" t="s">
        <v>94</v>
      </c>
      <c r="E43" t="s">
        <v>111</v>
      </c>
      <c r="F43" t="s">
        <v>145</v>
      </c>
      <c r="G43" t="s">
        <v>263</v>
      </c>
      <c r="H43" t="s">
        <v>775</v>
      </c>
      <c r="I43" t="s">
        <v>687</v>
      </c>
      <c r="J43" t="s">
        <v>317</v>
      </c>
      <c r="K43" t="s">
        <v>114</v>
      </c>
      <c r="L43">
        <v>180</v>
      </c>
      <c r="M43">
        <v>250</v>
      </c>
      <c r="N43">
        <v>180</v>
      </c>
      <c r="O43">
        <v>-70</v>
      </c>
      <c r="P43">
        <v>70</v>
      </c>
      <c r="Q43">
        <v>110</v>
      </c>
      <c r="R43">
        <v>60</v>
      </c>
      <c r="S43">
        <v>85</v>
      </c>
      <c r="T43">
        <v>0.47222222200000002</v>
      </c>
      <c r="V43" t="s">
        <v>121</v>
      </c>
      <c r="W43" t="s">
        <v>114</v>
      </c>
      <c r="X43">
        <v>13</v>
      </c>
      <c r="Y43">
        <v>13.9</v>
      </c>
      <c r="Z43">
        <v>14.4</v>
      </c>
      <c r="AA43">
        <v>13.766666669999999</v>
      </c>
      <c r="AB43">
        <v>13.766666669999999</v>
      </c>
      <c r="AC43">
        <v>14.4</v>
      </c>
      <c r="AD43">
        <v>13</v>
      </c>
      <c r="AE43">
        <v>15.4</v>
      </c>
      <c r="AF43">
        <v>14.266666669999999</v>
      </c>
      <c r="AG43">
        <v>14.4</v>
      </c>
      <c r="AH43">
        <v>14.4</v>
      </c>
      <c r="AI43">
        <v>15.4</v>
      </c>
      <c r="AJ43">
        <v>14.733333330000001</v>
      </c>
      <c r="AK43">
        <v>11</v>
      </c>
      <c r="AL43">
        <v>13</v>
      </c>
      <c r="AM43">
        <v>13.9</v>
      </c>
      <c r="AN43">
        <v>12.633333329999999</v>
      </c>
      <c r="AO43">
        <v>14.733333330000001</v>
      </c>
      <c r="AP43">
        <v>5.6</v>
      </c>
      <c r="AQ43">
        <v>4.5999999999999996</v>
      </c>
      <c r="AR43">
        <v>5.0999999999999996</v>
      </c>
      <c r="AS43">
        <v>5.0999999999999996</v>
      </c>
      <c r="AT43">
        <v>5.6</v>
      </c>
      <c r="AU43">
        <v>5.0999999999999996</v>
      </c>
      <c r="AV43">
        <v>8.1</v>
      </c>
      <c r="AW43">
        <v>6.266666667</v>
      </c>
      <c r="AX43">
        <v>5.0999999999999996</v>
      </c>
      <c r="AY43">
        <v>-8.6666666669999994</v>
      </c>
      <c r="AZ43">
        <v>70</v>
      </c>
      <c r="BA43">
        <v>0</v>
      </c>
      <c r="BB43">
        <v>0</v>
      </c>
      <c r="BC43">
        <v>5</v>
      </c>
      <c r="BD43">
        <v>1</v>
      </c>
      <c r="BE43">
        <v>0</v>
      </c>
      <c r="BF43">
        <v>0</v>
      </c>
      <c r="BG43">
        <v>0</v>
      </c>
      <c r="BI43">
        <v>13.3</v>
      </c>
      <c r="BJ43">
        <v>4.7930000000000001</v>
      </c>
      <c r="BK43">
        <v>0</v>
      </c>
      <c r="BL43">
        <v>18</v>
      </c>
      <c r="BM43">
        <v>15</v>
      </c>
      <c r="BN43" t="s">
        <v>114</v>
      </c>
      <c r="BO43">
        <v>422.66669999999999</v>
      </c>
      <c r="BP43" t="s">
        <v>114</v>
      </c>
      <c r="BQ43">
        <v>424</v>
      </c>
      <c r="BR43" t="s">
        <v>114</v>
      </c>
      <c r="BS43">
        <v>19.02857143</v>
      </c>
      <c r="BT43">
        <v>0.41088000000000002</v>
      </c>
      <c r="BU43">
        <v>6.1148542900000002</v>
      </c>
      <c r="BV43">
        <v>-19.02857143</v>
      </c>
      <c r="BW43">
        <v>-0.41088000000000002</v>
      </c>
      <c r="BX43">
        <v>-6.1148542900000002</v>
      </c>
      <c r="BY43" t="s">
        <v>114</v>
      </c>
      <c r="BZ43" t="s">
        <v>114</v>
      </c>
      <c r="CA43" t="s">
        <v>114</v>
      </c>
      <c r="CB43" t="s">
        <v>114</v>
      </c>
      <c r="CC43" t="s">
        <v>114</v>
      </c>
      <c r="CD43" t="s">
        <v>114</v>
      </c>
      <c r="CE43">
        <v>0.10717457</v>
      </c>
      <c r="CF43" t="s">
        <v>114</v>
      </c>
      <c r="CG43">
        <v>0.10717457</v>
      </c>
      <c r="CH43">
        <v>19.02857143</v>
      </c>
      <c r="CI43">
        <v>0.41088000000000002</v>
      </c>
      <c r="CJ43">
        <v>6.1148542900000002</v>
      </c>
      <c r="CK43">
        <v>0.10717457</v>
      </c>
      <c r="CL43">
        <v>-19.02857143</v>
      </c>
      <c r="CM43">
        <v>-0.41088000000000002</v>
      </c>
      <c r="CN43">
        <v>-6.1148542900000002</v>
      </c>
      <c r="CO43" t="s">
        <v>114</v>
      </c>
      <c r="CP43" t="s">
        <v>114</v>
      </c>
      <c r="CQ43" t="s">
        <v>114</v>
      </c>
      <c r="CR43" t="s">
        <v>114</v>
      </c>
      <c r="CS43" t="s">
        <v>114</v>
      </c>
      <c r="CT43" t="s">
        <v>114</v>
      </c>
      <c r="CU43" t="s">
        <v>114</v>
      </c>
      <c r="CV43" t="s">
        <v>114</v>
      </c>
      <c r="CW43">
        <v>0.10717457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1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</row>
    <row r="44" spans="1:134" x14ac:dyDescent="0.25">
      <c r="A44" t="s">
        <v>51</v>
      </c>
      <c r="B44">
        <v>12</v>
      </c>
      <c r="C44" t="s">
        <v>15</v>
      </c>
      <c r="D44" t="s">
        <v>94</v>
      </c>
      <c r="E44" t="s">
        <v>112</v>
      </c>
      <c r="F44" t="s">
        <v>145</v>
      </c>
      <c r="G44" t="s">
        <v>261</v>
      </c>
      <c r="H44" t="s">
        <v>783</v>
      </c>
      <c r="I44" t="s">
        <v>688</v>
      </c>
      <c r="J44" t="s">
        <v>318</v>
      </c>
      <c r="K44" t="s">
        <v>114</v>
      </c>
      <c r="L44">
        <v>120</v>
      </c>
      <c r="M44">
        <v>50</v>
      </c>
      <c r="N44">
        <v>120</v>
      </c>
      <c r="O44">
        <v>70</v>
      </c>
      <c r="P44">
        <v>60</v>
      </c>
      <c r="Q44">
        <v>280</v>
      </c>
      <c r="R44">
        <v>160</v>
      </c>
      <c r="S44">
        <v>220</v>
      </c>
      <c r="T44">
        <v>1.8333333329999999</v>
      </c>
      <c r="V44" t="s">
        <v>112</v>
      </c>
      <c r="W44">
        <v>80</v>
      </c>
      <c r="X44">
        <v>13</v>
      </c>
      <c r="Y44">
        <v>13.9</v>
      </c>
      <c r="Z44">
        <v>14.4</v>
      </c>
      <c r="AA44">
        <v>13.766666669999999</v>
      </c>
      <c r="AB44">
        <v>13.766666669999999</v>
      </c>
      <c r="AC44">
        <v>10</v>
      </c>
      <c r="AD44">
        <v>11.5</v>
      </c>
      <c r="AE44">
        <v>14.4</v>
      </c>
      <c r="AF44">
        <v>11.96666667</v>
      </c>
      <c r="AG44">
        <v>14.4</v>
      </c>
      <c r="AH44">
        <v>14.4</v>
      </c>
      <c r="AI44">
        <v>15.4</v>
      </c>
      <c r="AJ44">
        <v>14.733333330000001</v>
      </c>
      <c r="AK44">
        <v>21.8</v>
      </c>
      <c r="AL44">
        <v>13.9</v>
      </c>
      <c r="AM44">
        <v>16.899999999999999</v>
      </c>
      <c r="AN44">
        <v>17.533333330000001</v>
      </c>
      <c r="AO44">
        <v>14.733333330000001</v>
      </c>
      <c r="AP44">
        <v>5.6</v>
      </c>
      <c r="AQ44">
        <v>4.5999999999999996</v>
      </c>
      <c r="AR44">
        <v>5.0999999999999996</v>
      </c>
      <c r="AS44">
        <v>5.0999999999999996</v>
      </c>
      <c r="AT44">
        <v>6.6</v>
      </c>
      <c r="AU44">
        <v>7.1</v>
      </c>
      <c r="AV44">
        <v>8.1</v>
      </c>
      <c r="AW44">
        <v>7.266666667</v>
      </c>
      <c r="AX44">
        <v>5.0999999999999996</v>
      </c>
      <c r="AY44">
        <v>-8.6666666669999994</v>
      </c>
      <c r="AZ44">
        <v>70</v>
      </c>
      <c r="BA44">
        <v>0</v>
      </c>
      <c r="BB44">
        <v>0</v>
      </c>
      <c r="BC44">
        <v>5</v>
      </c>
      <c r="BD44">
        <v>1</v>
      </c>
      <c r="BE44">
        <v>0</v>
      </c>
      <c r="BF44">
        <v>0</v>
      </c>
      <c r="BG44">
        <v>0</v>
      </c>
      <c r="BI44">
        <v>13.3</v>
      </c>
      <c r="BJ44">
        <v>4.7930000000000001</v>
      </c>
      <c r="BK44">
        <v>0</v>
      </c>
      <c r="BL44">
        <v>73</v>
      </c>
      <c r="BM44">
        <v>73</v>
      </c>
      <c r="BN44">
        <v>277</v>
      </c>
      <c r="BO44">
        <v>184.8</v>
      </c>
      <c r="BP44">
        <v>92.2</v>
      </c>
      <c r="BQ44">
        <v>366</v>
      </c>
      <c r="BR44">
        <v>-89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 t="s">
        <v>114</v>
      </c>
      <c r="BZ44" t="s">
        <v>114</v>
      </c>
      <c r="CA44" t="s">
        <v>114</v>
      </c>
      <c r="CB44" t="s">
        <v>114</v>
      </c>
      <c r="CC44" t="s">
        <v>114</v>
      </c>
      <c r="CD44" t="s">
        <v>114</v>
      </c>
      <c r="CE44">
        <v>0</v>
      </c>
      <c r="CF44" t="s">
        <v>114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2</v>
      </c>
      <c r="EA44">
        <v>0</v>
      </c>
      <c r="EB44">
        <v>0</v>
      </c>
      <c r="EC44">
        <v>0</v>
      </c>
      <c r="ED44">
        <v>0</v>
      </c>
    </row>
    <row r="45" spans="1:134" x14ac:dyDescent="0.25">
      <c r="A45" t="s">
        <v>52</v>
      </c>
      <c r="B45">
        <v>12</v>
      </c>
      <c r="C45" t="s">
        <v>17</v>
      </c>
      <c r="D45" t="s">
        <v>95</v>
      </c>
      <c r="E45" t="s">
        <v>102</v>
      </c>
      <c r="F45" t="s">
        <v>145</v>
      </c>
      <c r="G45" t="s">
        <v>265</v>
      </c>
      <c r="H45" t="s">
        <v>756</v>
      </c>
      <c r="I45" t="s">
        <v>689</v>
      </c>
      <c r="J45" t="s">
        <v>319</v>
      </c>
      <c r="K45">
        <v>2</v>
      </c>
      <c r="L45">
        <v>110</v>
      </c>
      <c r="M45">
        <v>120</v>
      </c>
      <c r="N45">
        <v>110</v>
      </c>
      <c r="O45">
        <v>-10</v>
      </c>
      <c r="P45">
        <v>150</v>
      </c>
      <c r="Q45">
        <v>140</v>
      </c>
      <c r="R45">
        <v>140</v>
      </c>
      <c r="S45">
        <v>140</v>
      </c>
      <c r="T45">
        <v>1.2727272730000001</v>
      </c>
      <c r="V45" t="s">
        <v>121</v>
      </c>
      <c r="W45" t="s">
        <v>114</v>
      </c>
      <c r="X45">
        <v>13</v>
      </c>
      <c r="Y45">
        <v>13.9</v>
      </c>
      <c r="Z45">
        <v>14.4</v>
      </c>
      <c r="AA45">
        <v>13.766666669999999</v>
      </c>
      <c r="AB45">
        <v>13.766666669999999</v>
      </c>
      <c r="AC45">
        <v>17.899999999999999</v>
      </c>
      <c r="AD45">
        <v>15.9</v>
      </c>
      <c r="AE45">
        <v>16.399999999999999</v>
      </c>
      <c r="AF45">
        <v>16.733333330000001</v>
      </c>
      <c r="AG45">
        <v>17.899999999999999</v>
      </c>
      <c r="AH45">
        <v>17.399999999999999</v>
      </c>
      <c r="AI45">
        <v>18.399999999999999</v>
      </c>
      <c r="AJ45">
        <v>17.899999999999999</v>
      </c>
      <c r="AK45">
        <v>15.4</v>
      </c>
      <c r="AL45">
        <v>16.399999999999999</v>
      </c>
      <c r="AM45">
        <v>18.399999999999999</v>
      </c>
      <c r="AN45">
        <v>16.733333330000001</v>
      </c>
      <c r="AO45">
        <v>17.899999999999999</v>
      </c>
      <c r="AP45">
        <v>6.1</v>
      </c>
      <c r="AQ45">
        <v>7.6</v>
      </c>
      <c r="AR45">
        <v>8.5</v>
      </c>
      <c r="AS45">
        <v>7.4</v>
      </c>
      <c r="AT45">
        <v>5.6</v>
      </c>
      <c r="AU45">
        <v>6.6</v>
      </c>
      <c r="AV45">
        <v>8.5</v>
      </c>
      <c r="AW45">
        <v>6.9</v>
      </c>
      <c r="AX45">
        <v>7.4</v>
      </c>
      <c r="AY45">
        <v>-6.3666666669999996</v>
      </c>
      <c r="AZ45">
        <v>55</v>
      </c>
      <c r="BA45">
        <v>10</v>
      </c>
      <c r="BB45">
        <v>5</v>
      </c>
      <c r="BC45">
        <v>2</v>
      </c>
      <c r="BD45">
        <v>0</v>
      </c>
      <c r="BE45">
        <v>0</v>
      </c>
      <c r="BF45">
        <v>0</v>
      </c>
      <c r="BG45">
        <v>0</v>
      </c>
      <c r="BI45">
        <v>6.4</v>
      </c>
      <c r="BJ45">
        <v>42.4</v>
      </c>
      <c r="BK45">
        <v>0</v>
      </c>
      <c r="BL45">
        <v>20</v>
      </c>
      <c r="BM45">
        <v>20</v>
      </c>
      <c r="BN45">
        <v>647</v>
      </c>
      <c r="BO45">
        <v>545.5</v>
      </c>
      <c r="BP45">
        <v>101.5</v>
      </c>
      <c r="BQ45">
        <v>924</v>
      </c>
      <c r="BR45">
        <v>-277</v>
      </c>
      <c r="BS45">
        <v>1.87121212</v>
      </c>
      <c r="BT45">
        <v>0.73716612500000001</v>
      </c>
      <c r="BU45">
        <v>3.4341658650000002</v>
      </c>
      <c r="BV45">
        <v>-0.88804713999999996</v>
      </c>
      <c r="BW45">
        <v>0.73716612500000001</v>
      </c>
      <c r="BX45">
        <v>3.1228683149999998</v>
      </c>
      <c r="BY45">
        <v>1.5772554459999999</v>
      </c>
      <c r="BZ45">
        <v>0.24363149100000001</v>
      </c>
      <c r="CA45">
        <v>19.504613030000002</v>
      </c>
      <c r="CB45">
        <v>7.002869596</v>
      </c>
      <c r="CC45">
        <v>0.24363149100000001</v>
      </c>
      <c r="CD45">
        <v>23.58699038</v>
      </c>
      <c r="CE45">
        <v>0.98598402500000004</v>
      </c>
      <c r="CF45">
        <v>3.5024309999999999E-3</v>
      </c>
      <c r="CG45">
        <v>0.98598402500000004</v>
      </c>
      <c r="CH45">
        <v>1.87121212</v>
      </c>
      <c r="CI45">
        <v>0.73716612500000001</v>
      </c>
      <c r="CJ45">
        <v>3.4341658650000002</v>
      </c>
      <c r="CK45">
        <v>0.98598402500000004</v>
      </c>
      <c r="CL45">
        <v>-0.88804713999999996</v>
      </c>
      <c r="CM45">
        <v>0.73716612500000001</v>
      </c>
      <c r="CN45">
        <v>3.1228683149999998</v>
      </c>
      <c r="CO45">
        <v>3.5024309999999999E-3</v>
      </c>
      <c r="CP45">
        <v>1.5772554459999999</v>
      </c>
      <c r="CQ45">
        <v>0.24363149100000001</v>
      </c>
      <c r="CR45">
        <v>19.504613030000002</v>
      </c>
      <c r="CS45">
        <v>3.5024309999999999E-3</v>
      </c>
      <c r="CT45">
        <v>7.002869596</v>
      </c>
      <c r="CU45">
        <v>0.24363149100000001</v>
      </c>
      <c r="CV45">
        <v>23.58699038</v>
      </c>
      <c r="CW45">
        <v>0.98598402500000004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1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1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0.69314718055994495</v>
      </c>
    </row>
    <row r="46" spans="1:134" x14ac:dyDescent="0.25">
      <c r="A46" t="s">
        <v>52</v>
      </c>
      <c r="B46">
        <v>12</v>
      </c>
      <c r="C46" t="s">
        <v>17</v>
      </c>
      <c r="D46" t="s">
        <v>95</v>
      </c>
      <c r="E46" t="s">
        <v>103</v>
      </c>
      <c r="F46" t="s">
        <v>145</v>
      </c>
      <c r="G46" t="s">
        <v>260</v>
      </c>
      <c r="H46" t="s">
        <v>772</v>
      </c>
      <c r="I46" t="s">
        <v>683</v>
      </c>
      <c r="J46" t="s">
        <v>320</v>
      </c>
      <c r="K46">
        <v>5</v>
      </c>
      <c r="L46">
        <v>40</v>
      </c>
      <c r="M46">
        <v>60</v>
      </c>
      <c r="N46">
        <v>40</v>
      </c>
      <c r="O46">
        <v>-20</v>
      </c>
      <c r="P46">
        <v>38</v>
      </c>
      <c r="Q46">
        <v>40</v>
      </c>
      <c r="R46">
        <v>30</v>
      </c>
      <c r="S46">
        <v>35</v>
      </c>
      <c r="T46">
        <v>0.875</v>
      </c>
      <c r="V46" t="s">
        <v>121</v>
      </c>
      <c r="W46" t="s">
        <v>114</v>
      </c>
      <c r="X46">
        <v>13</v>
      </c>
      <c r="Y46">
        <v>13.9</v>
      </c>
      <c r="Z46">
        <v>14.4</v>
      </c>
      <c r="AA46">
        <v>13.766666669999999</v>
      </c>
      <c r="AB46">
        <v>13.766666669999999</v>
      </c>
      <c r="AC46">
        <v>18.399999999999999</v>
      </c>
      <c r="AD46">
        <v>18.399999999999999</v>
      </c>
      <c r="AE46">
        <v>16.899999999999999</v>
      </c>
      <c r="AF46">
        <v>17.899999999999999</v>
      </c>
      <c r="AG46">
        <v>17.899999999999999</v>
      </c>
      <c r="AH46">
        <v>17.399999999999999</v>
      </c>
      <c r="AI46">
        <v>18.399999999999999</v>
      </c>
      <c r="AJ46">
        <v>17.899999999999999</v>
      </c>
      <c r="AK46">
        <v>16.899999999999999</v>
      </c>
      <c r="AL46">
        <v>16.399999999999999</v>
      </c>
      <c r="AM46">
        <v>17.399999999999999</v>
      </c>
      <c r="AN46">
        <v>16.899999999999999</v>
      </c>
      <c r="AO46">
        <v>17.899999999999999</v>
      </c>
      <c r="AP46">
        <v>6.1</v>
      </c>
      <c r="AQ46">
        <v>7.6</v>
      </c>
      <c r="AR46">
        <v>8.5</v>
      </c>
      <c r="AS46">
        <v>7.4</v>
      </c>
      <c r="AT46">
        <v>5.6</v>
      </c>
      <c r="AU46">
        <v>7.6</v>
      </c>
      <c r="AV46" t="s">
        <v>114</v>
      </c>
      <c r="AW46">
        <v>6.6</v>
      </c>
      <c r="AX46">
        <v>7.4</v>
      </c>
      <c r="AY46">
        <v>-6.3666666669999996</v>
      </c>
      <c r="AZ46">
        <v>55</v>
      </c>
      <c r="BA46">
        <v>10</v>
      </c>
      <c r="BB46">
        <v>5</v>
      </c>
      <c r="BC46">
        <v>2</v>
      </c>
      <c r="BD46">
        <v>0</v>
      </c>
      <c r="BE46">
        <v>0</v>
      </c>
      <c r="BF46">
        <v>0</v>
      </c>
      <c r="BG46">
        <v>0</v>
      </c>
      <c r="BI46">
        <v>6.4</v>
      </c>
      <c r="BJ46">
        <v>42.4</v>
      </c>
      <c r="BK46">
        <v>0</v>
      </c>
      <c r="BL46">
        <v>0</v>
      </c>
      <c r="BM46">
        <v>0</v>
      </c>
      <c r="BN46">
        <v>0</v>
      </c>
      <c r="BO46">
        <v>290.75</v>
      </c>
      <c r="BP46">
        <v>-290.75</v>
      </c>
      <c r="BQ46">
        <v>177</v>
      </c>
      <c r="BR46">
        <v>-177</v>
      </c>
      <c r="BS46">
        <v>8.4791666699999997</v>
      </c>
      <c r="BT46">
        <v>2.7738405000000001E-2</v>
      </c>
      <c r="BU46">
        <v>4.4395758599999997</v>
      </c>
      <c r="BV46">
        <v>8.4791666699999997</v>
      </c>
      <c r="BW46">
        <v>2.7738405000000001E-2</v>
      </c>
      <c r="BX46">
        <v>-4.4395758599999997</v>
      </c>
      <c r="BY46" t="s">
        <v>114</v>
      </c>
      <c r="BZ46" t="s">
        <v>114</v>
      </c>
      <c r="CA46" t="s">
        <v>114</v>
      </c>
      <c r="CB46" t="s">
        <v>114</v>
      </c>
      <c r="CC46" t="s">
        <v>114</v>
      </c>
      <c r="CD46" t="s">
        <v>114</v>
      </c>
      <c r="CE46">
        <v>2.0505059700000001</v>
      </c>
      <c r="CF46" t="s">
        <v>114</v>
      </c>
      <c r="CG46">
        <v>2.0505059700000001</v>
      </c>
      <c r="CH46">
        <v>8.4791666699999997</v>
      </c>
      <c r="CI46">
        <v>2.7738405000000001E-2</v>
      </c>
      <c r="CJ46">
        <v>4.4395758599999997</v>
      </c>
      <c r="CK46">
        <v>-2.0505059700000001</v>
      </c>
      <c r="CL46">
        <v>8.4791666699999997</v>
      </c>
      <c r="CM46">
        <v>2.7738405000000001E-2</v>
      </c>
      <c r="CN46">
        <v>-4.4395758599999997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-2.0505059700000001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5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</row>
    <row r="47" spans="1:134" x14ac:dyDescent="0.25">
      <c r="A47" t="s">
        <v>52</v>
      </c>
      <c r="B47">
        <v>12</v>
      </c>
      <c r="C47" t="s">
        <v>17</v>
      </c>
      <c r="D47" t="s">
        <v>95</v>
      </c>
      <c r="E47" t="s">
        <v>111</v>
      </c>
      <c r="F47" t="s">
        <v>145</v>
      </c>
      <c r="G47" t="s">
        <v>263</v>
      </c>
      <c r="H47" t="s">
        <v>776</v>
      </c>
      <c r="I47" t="s">
        <v>684</v>
      </c>
      <c r="J47" t="s">
        <v>321</v>
      </c>
      <c r="K47">
        <v>1</v>
      </c>
      <c r="L47">
        <v>300</v>
      </c>
      <c r="M47">
        <v>290</v>
      </c>
      <c r="N47">
        <v>300</v>
      </c>
      <c r="O47">
        <v>10</v>
      </c>
      <c r="P47">
        <v>70</v>
      </c>
      <c r="Q47">
        <v>55</v>
      </c>
      <c r="R47">
        <v>10</v>
      </c>
      <c r="S47">
        <v>32.5</v>
      </c>
      <c r="T47">
        <v>0.108333333</v>
      </c>
      <c r="V47" t="s">
        <v>103</v>
      </c>
      <c r="W47">
        <v>80</v>
      </c>
      <c r="X47">
        <v>13</v>
      </c>
      <c r="Y47">
        <v>13.9</v>
      </c>
      <c r="Z47">
        <v>14.4</v>
      </c>
      <c r="AA47">
        <v>13.766666669999999</v>
      </c>
      <c r="AB47">
        <v>13.766666669999999</v>
      </c>
      <c r="AC47">
        <v>17.399999999999999</v>
      </c>
      <c r="AD47">
        <v>17.899999999999999</v>
      </c>
      <c r="AE47">
        <v>17.899999999999999</v>
      </c>
      <c r="AF47">
        <v>17.733333330000001</v>
      </c>
      <c r="AG47">
        <v>17.899999999999999</v>
      </c>
      <c r="AH47">
        <v>17.399999999999999</v>
      </c>
      <c r="AI47">
        <v>18.399999999999999</v>
      </c>
      <c r="AJ47">
        <v>17.899999999999999</v>
      </c>
      <c r="AK47">
        <v>19.3</v>
      </c>
      <c r="AL47">
        <v>19.8</v>
      </c>
      <c r="AM47">
        <v>17.399999999999999</v>
      </c>
      <c r="AN47">
        <v>18.833333329999999</v>
      </c>
      <c r="AO47">
        <v>17.899999999999999</v>
      </c>
      <c r="AP47">
        <v>6.1</v>
      </c>
      <c r="AQ47">
        <v>7.6</v>
      </c>
      <c r="AR47">
        <v>8.5</v>
      </c>
      <c r="AS47">
        <v>7.4</v>
      </c>
      <c r="AT47">
        <v>7.1</v>
      </c>
      <c r="AU47">
        <v>7.1</v>
      </c>
      <c r="AV47">
        <v>5.0999999999999996</v>
      </c>
      <c r="AW47">
        <v>6.4333333330000002</v>
      </c>
      <c r="AX47">
        <v>7.4</v>
      </c>
      <c r="AY47">
        <v>-6.3666666669999996</v>
      </c>
      <c r="AZ47">
        <v>55</v>
      </c>
      <c r="BA47">
        <v>10</v>
      </c>
      <c r="BB47">
        <v>5</v>
      </c>
      <c r="BC47">
        <v>2</v>
      </c>
      <c r="BD47">
        <v>0</v>
      </c>
      <c r="BE47">
        <v>0</v>
      </c>
      <c r="BF47">
        <v>0</v>
      </c>
      <c r="BG47">
        <v>0</v>
      </c>
      <c r="BI47">
        <v>6.4</v>
      </c>
      <c r="BJ47">
        <v>42.4</v>
      </c>
      <c r="BK47">
        <v>0</v>
      </c>
      <c r="BL47">
        <v>27</v>
      </c>
      <c r="BM47">
        <v>22</v>
      </c>
      <c r="BN47">
        <v>319</v>
      </c>
      <c r="BO47">
        <v>955.66669999999999</v>
      </c>
      <c r="BP47">
        <v>-636.66669999999999</v>
      </c>
      <c r="BQ47">
        <v>782</v>
      </c>
      <c r="BR47">
        <v>-463</v>
      </c>
      <c r="BS47">
        <v>3.3202381000000001</v>
      </c>
      <c r="BT47">
        <v>7.2147627000000006E-2</v>
      </c>
      <c r="BU47">
        <v>5.9992126600000004</v>
      </c>
      <c r="BV47">
        <v>-3.3202381000000001</v>
      </c>
      <c r="BW47">
        <v>7.2147627000000006E-2</v>
      </c>
      <c r="BX47">
        <v>-5.9992126600000004</v>
      </c>
      <c r="BY47" t="s">
        <v>114</v>
      </c>
      <c r="BZ47" t="s">
        <v>114</v>
      </c>
      <c r="CA47" t="s">
        <v>114</v>
      </c>
      <c r="CB47" t="s">
        <v>114</v>
      </c>
      <c r="CC47" t="s">
        <v>114</v>
      </c>
      <c r="CD47" t="s">
        <v>114</v>
      </c>
      <c r="CE47">
        <v>3.8152800000000001E-2</v>
      </c>
      <c r="CF47" t="s">
        <v>114</v>
      </c>
      <c r="CG47">
        <v>3.8152800000000001E-2</v>
      </c>
      <c r="CH47">
        <v>3.3202381000000001</v>
      </c>
      <c r="CI47">
        <v>7.2147627000000006E-2</v>
      </c>
      <c r="CJ47">
        <v>5.9992126600000004</v>
      </c>
      <c r="CK47">
        <v>-3.8152800000000001E-2</v>
      </c>
      <c r="CL47">
        <v>-3.3202381000000001</v>
      </c>
      <c r="CM47">
        <v>7.2147627000000006E-2</v>
      </c>
      <c r="CN47">
        <v>-5.9992126600000004</v>
      </c>
      <c r="CO47" t="s">
        <v>114</v>
      </c>
      <c r="CP47" t="s">
        <v>114</v>
      </c>
      <c r="CQ47" t="s">
        <v>114</v>
      </c>
      <c r="CR47" t="s">
        <v>114</v>
      </c>
      <c r="CS47" t="s">
        <v>114</v>
      </c>
      <c r="CT47" t="s">
        <v>114</v>
      </c>
      <c r="CU47" t="s">
        <v>114</v>
      </c>
      <c r="CV47" t="s">
        <v>114</v>
      </c>
      <c r="CW47">
        <v>-3.8152800000000001E-2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1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</row>
    <row r="48" spans="1:134" x14ac:dyDescent="0.25">
      <c r="A48" t="s">
        <v>52</v>
      </c>
      <c r="B48">
        <v>12</v>
      </c>
      <c r="C48" t="s">
        <v>17</v>
      </c>
      <c r="D48" t="s">
        <v>95</v>
      </c>
      <c r="E48" t="s">
        <v>112</v>
      </c>
      <c r="F48" t="s">
        <v>145</v>
      </c>
      <c r="G48" t="s">
        <v>261</v>
      </c>
      <c r="H48" t="s">
        <v>784</v>
      </c>
      <c r="I48" t="s">
        <v>690</v>
      </c>
      <c r="J48" t="s">
        <v>322</v>
      </c>
      <c r="K48">
        <v>1</v>
      </c>
      <c r="L48">
        <v>65</v>
      </c>
      <c r="M48">
        <v>85</v>
      </c>
      <c r="N48">
        <v>65</v>
      </c>
      <c r="O48">
        <v>-20</v>
      </c>
      <c r="P48">
        <v>65</v>
      </c>
      <c r="Q48">
        <v>200</v>
      </c>
      <c r="R48">
        <v>45</v>
      </c>
      <c r="S48">
        <v>122.5</v>
      </c>
      <c r="T48">
        <v>1.884615385</v>
      </c>
      <c r="V48" t="s">
        <v>121</v>
      </c>
      <c r="W48" t="s">
        <v>114</v>
      </c>
      <c r="X48">
        <v>13</v>
      </c>
      <c r="Y48">
        <v>13.9</v>
      </c>
      <c r="Z48">
        <v>14.4</v>
      </c>
      <c r="AA48">
        <v>13.766666669999999</v>
      </c>
      <c r="AB48">
        <v>13.766666669999999</v>
      </c>
      <c r="AC48">
        <v>12.5</v>
      </c>
      <c r="AD48">
        <v>13</v>
      </c>
      <c r="AE48">
        <v>13.5</v>
      </c>
      <c r="AF48">
        <v>13</v>
      </c>
      <c r="AG48">
        <v>17.899999999999999</v>
      </c>
      <c r="AH48">
        <v>17.399999999999999</v>
      </c>
      <c r="AI48">
        <v>18.399999999999999</v>
      </c>
      <c r="AJ48">
        <v>17.899999999999999</v>
      </c>
      <c r="AK48">
        <v>13.5</v>
      </c>
      <c r="AL48">
        <v>18.399999999999999</v>
      </c>
      <c r="AM48">
        <v>15.4</v>
      </c>
      <c r="AN48">
        <v>15.766666669999999</v>
      </c>
      <c r="AO48">
        <v>17.899999999999999</v>
      </c>
      <c r="AP48">
        <v>6.1</v>
      </c>
      <c r="AQ48">
        <v>7.6</v>
      </c>
      <c r="AR48">
        <v>8.5</v>
      </c>
      <c r="AS48">
        <v>7.4</v>
      </c>
      <c r="AT48">
        <v>7.1</v>
      </c>
      <c r="AU48">
        <v>7.6</v>
      </c>
      <c r="AV48">
        <v>6.6</v>
      </c>
      <c r="AW48">
        <v>7.1</v>
      </c>
      <c r="AX48">
        <v>7.4</v>
      </c>
      <c r="AY48">
        <v>-6.3666666669999996</v>
      </c>
      <c r="AZ48">
        <v>55</v>
      </c>
      <c r="BA48">
        <v>10</v>
      </c>
      <c r="BB48">
        <v>5</v>
      </c>
      <c r="BC48">
        <v>2</v>
      </c>
      <c r="BD48">
        <v>0</v>
      </c>
      <c r="BE48">
        <v>0</v>
      </c>
      <c r="BF48">
        <v>0</v>
      </c>
      <c r="BG48">
        <v>0</v>
      </c>
      <c r="BI48">
        <v>6.4</v>
      </c>
      <c r="BJ48">
        <v>42.4</v>
      </c>
      <c r="BK48">
        <v>0</v>
      </c>
      <c r="BL48">
        <v>13</v>
      </c>
      <c r="BM48">
        <v>10</v>
      </c>
      <c r="BN48">
        <v>37</v>
      </c>
      <c r="BO48">
        <v>133</v>
      </c>
      <c r="BP48">
        <v>-96</v>
      </c>
      <c r="BQ48">
        <v>257</v>
      </c>
      <c r="BR48">
        <v>-220</v>
      </c>
      <c r="BS48">
        <v>67.1789773</v>
      </c>
      <c r="BT48">
        <v>2.2504543259999998</v>
      </c>
      <c r="BU48">
        <v>17.714904010000001</v>
      </c>
      <c r="BV48">
        <v>-67.1789773</v>
      </c>
      <c r="BW48">
        <v>2.2504543259999998</v>
      </c>
      <c r="BX48">
        <v>17.714904010000001</v>
      </c>
      <c r="BY48" t="s">
        <v>114</v>
      </c>
      <c r="BZ48" t="s">
        <v>114</v>
      </c>
      <c r="CA48" t="s">
        <v>114</v>
      </c>
      <c r="CB48" t="s">
        <v>114</v>
      </c>
      <c r="CC48" t="s">
        <v>114</v>
      </c>
      <c r="CD48" t="s">
        <v>114</v>
      </c>
      <c r="CE48">
        <v>1.7971333899999999</v>
      </c>
      <c r="CF48" t="s">
        <v>114</v>
      </c>
      <c r="CG48">
        <v>1.7971333899999999</v>
      </c>
      <c r="CH48">
        <v>67.1789773</v>
      </c>
      <c r="CI48">
        <v>2.2504543259999998</v>
      </c>
      <c r="CJ48">
        <v>17.714904010000001</v>
      </c>
      <c r="CK48">
        <v>1.7971333899999999</v>
      </c>
      <c r="CL48">
        <v>-67.1789773</v>
      </c>
      <c r="CM48">
        <v>2.2504543259999998</v>
      </c>
      <c r="CN48">
        <v>17.714904010000001</v>
      </c>
      <c r="CO48" t="s">
        <v>114</v>
      </c>
      <c r="CP48" t="s">
        <v>114</v>
      </c>
      <c r="CQ48" t="s">
        <v>114</v>
      </c>
      <c r="CR48" t="s">
        <v>114</v>
      </c>
      <c r="CS48" t="s">
        <v>114</v>
      </c>
      <c r="CT48" t="s">
        <v>114</v>
      </c>
      <c r="CU48" t="s">
        <v>114</v>
      </c>
      <c r="CV48" t="s">
        <v>114</v>
      </c>
      <c r="CW48">
        <v>1.7971333899999999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1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</row>
    <row r="49" spans="1:134" x14ac:dyDescent="0.25">
      <c r="A49" t="s">
        <v>53</v>
      </c>
      <c r="B49">
        <v>12</v>
      </c>
      <c r="C49" t="s">
        <v>19</v>
      </c>
      <c r="D49" t="s">
        <v>94</v>
      </c>
      <c r="E49" t="s">
        <v>102</v>
      </c>
      <c r="F49" t="s">
        <v>145</v>
      </c>
      <c r="G49" t="s">
        <v>265</v>
      </c>
      <c r="H49" t="s">
        <v>755</v>
      </c>
      <c r="I49" t="s">
        <v>691</v>
      </c>
      <c r="J49" t="s">
        <v>323</v>
      </c>
      <c r="K49">
        <v>2</v>
      </c>
      <c r="L49" t="s">
        <v>114</v>
      </c>
      <c r="M49" t="s">
        <v>114</v>
      </c>
      <c r="N49" t="s">
        <v>114</v>
      </c>
      <c r="O49" t="s">
        <v>114</v>
      </c>
      <c r="P49" t="s">
        <v>114</v>
      </c>
      <c r="Q49" t="s">
        <v>114</v>
      </c>
      <c r="R49" t="s">
        <v>114</v>
      </c>
      <c r="S49" t="s">
        <v>114</v>
      </c>
      <c r="T49" t="s">
        <v>114</v>
      </c>
      <c r="U49" t="s">
        <v>114</v>
      </c>
      <c r="V49" t="s">
        <v>121</v>
      </c>
      <c r="W49" t="s">
        <v>114</v>
      </c>
      <c r="X49">
        <v>17.399999999999999</v>
      </c>
      <c r="Y49">
        <v>15.9</v>
      </c>
      <c r="Z49">
        <v>14.9</v>
      </c>
      <c r="AA49">
        <v>16.06666667</v>
      </c>
      <c r="AB49">
        <v>16.06666667</v>
      </c>
      <c r="AC49">
        <v>16.899999999999999</v>
      </c>
      <c r="AD49">
        <v>16.399999999999999</v>
      </c>
      <c r="AE49">
        <v>18.399999999999999</v>
      </c>
      <c r="AF49">
        <v>17.233333330000001</v>
      </c>
      <c r="AG49">
        <v>17.399999999999999</v>
      </c>
      <c r="AH49">
        <v>17.399999999999999</v>
      </c>
      <c r="AI49">
        <v>18.399999999999999</v>
      </c>
      <c r="AJ49">
        <v>17.733333330000001</v>
      </c>
      <c r="AK49">
        <v>19.3</v>
      </c>
      <c r="AL49">
        <v>17.399999999999999</v>
      </c>
      <c r="AM49">
        <v>18.899999999999999</v>
      </c>
      <c r="AN49">
        <v>18.533333330000001</v>
      </c>
      <c r="AO49">
        <v>17.733333330000001</v>
      </c>
      <c r="AP49">
        <v>6.1</v>
      </c>
      <c r="AQ49">
        <v>9</v>
      </c>
      <c r="AR49">
        <v>8.5</v>
      </c>
      <c r="AS49">
        <v>7.8666666669999996</v>
      </c>
      <c r="AT49">
        <v>6.6</v>
      </c>
      <c r="AU49">
        <v>6.1</v>
      </c>
      <c r="AV49">
        <v>6.6</v>
      </c>
      <c r="AW49">
        <v>6.4333333330000002</v>
      </c>
      <c r="AX49">
        <v>7.8666666669999996</v>
      </c>
      <c r="AY49">
        <v>-8.1999999999999993</v>
      </c>
      <c r="AZ49">
        <v>8</v>
      </c>
      <c r="BA49">
        <v>80</v>
      </c>
      <c r="BB49">
        <v>3</v>
      </c>
      <c r="BC49">
        <v>0</v>
      </c>
      <c r="BD49">
        <v>1</v>
      </c>
      <c r="BE49">
        <v>0</v>
      </c>
      <c r="BF49">
        <v>0</v>
      </c>
      <c r="BG49">
        <v>0</v>
      </c>
      <c r="BI49">
        <v>11.2</v>
      </c>
      <c r="BJ49">
        <v>2.4319999999999999</v>
      </c>
      <c r="BK49">
        <v>0</v>
      </c>
      <c r="BL49">
        <v>15</v>
      </c>
      <c r="BM49">
        <v>10</v>
      </c>
      <c r="BN49">
        <v>412</v>
      </c>
      <c r="BO49">
        <v>485.5</v>
      </c>
      <c r="BP49">
        <v>-73.5</v>
      </c>
      <c r="BQ49">
        <v>0</v>
      </c>
      <c r="BR49">
        <v>412</v>
      </c>
      <c r="BS49">
        <v>23.655092610000001</v>
      </c>
      <c r="BT49">
        <v>2.9114769420000002</v>
      </c>
      <c r="BU49">
        <v>1.6866994749999999</v>
      </c>
      <c r="BV49">
        <v>-23.655092610000001</v>
      </c>
      <c r="BW49">
        <v>-2.3283230530000001</v>
      </c>
      <c r="BX49">
        <v>0.42294110499999998</v>
      </c>
      <c r="BY49">
        <v>62.813367679999999</v>
      </c>
      <c r="BZ49">
        <v>10.84217647</v>
      </c>
      <c r="CA49">
        <v>0.35775835700000003</v>
      </c>
      <c r="CB49">
        <v>62.813367679999999</v>
      </c>
      <c r="CC49">
        <v>16.953395960000002</v>
      </c>
      <c r="CD49">
        <v>5.6899102380000004</v>
      </c>
      <c r="CE49" t="s">
        <v>114</v>
      </c>
      <c r="CF49" t="s">
        <v>114</v>
      </c>
      <c r="CG49" t="s">
        <v>114</v>
      </c>
      <c r="CH49">
        <v>23.655092610000001</v>
      </c>
      <c r="CI49">
        <v>2.9114769420000002</v>
      </c>
      <c r="CJ49">
        <v>1.6866994749999999</v>
      </c>
      <c r="CK49" t="s">
        <v>114</v>
      </c>
      <c r="CL49">
        <v>-23.655092610000001</v>
      </c>
      <c r="CM49">
        <v>-2.3283230530000001</v>
      </c>
      <c r="CN49">
        <v>0.42294110499999998</v>
      </c>
      <c r="CO49" t="s">
        <v>114</v>
      </c>
      <c r="CP49">
        <v>62.813367679999999</v>
      </c>
      <c r="CQ49">
        <v>10.84217647</v>
      </c>
      <c r="CR49">
        <v>0.35775835700000003</v>
      </c>
      <c r="CS49" t="s">
        <v>114</v>
      </c>
      <c r="CT49">
        <v>62.813367679999999</v>
      </c>
      <c r="CU49">
        <v>16.953395960000002</v>
      </c>
      <c r="CV49">
        <v>5.6899102380000004</v>
      </c>
      <c r="CW49" t="s">
        <v>114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1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1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0.69314718055994495</v>
      </c>
    </row>
    <row r="50" spans="1:134" x14ac:dyDescent="0.25">
      <c r="A50" t="s">
        <v>53</v>
      </c>
      <c r="B50">
        <v>12</v>
      </c>
      <c r="C50" t="s">
        <v>19</v>
      </c>
      <c r="D50" t="s">
        <v>94</v>
      </c>
      <c r="E50" t="s">
        <v>113</v>
      </c>
      <c r="F50" t="s">
        <v>145</v>
      </c>
      <c r="G50" t="s">
        <v>259</v>
      </c>
      <c r="H50" t="s">
        <v>763</v>
      </c>
      <c r="I50" t="s">
        <v>692</v>
      </c>
      <c r="J50" t="s">
        <v>324</v>
      </c>
      <c r="K50">
        <v>7</v>
      </c>
      <c r="L50">
        <v>40</v>
      </c>
      <c r="M50">
        <v>10</v>
      </c>
      <c r="N50">
        <v>40</v>
      </c>
      <c r="O50">
        <v>30</v>
      </c>
      <c r="P50">
        <v>8</v>
      </c>
      <c r="Q50">
        <v>5</v>
      </c>
      <c r="R50">
        <v>3</v>
      </c>
      <c r="S50">
        <v>4</v>
      </c>
      <c r="T50">
        <v>0.1</v>
      </c>
      <c r="V50" t="s">
        <v>121</v>
      </c>
      <c r="W50" t="s">
        <v>114</v>
      </c>
      <c r="X50">
        <v>17.399999999999999</v>
      </c>
      <c r="Y50">
        <v>15.9</v>
      </c>
      <c r="Z50">
        <v>14.9</v>
      </c>
      <c r="AA50">
        <v>16.06666667</v>
      </c>
      <c r="AB50">
        <v>16.06666667</v>
      </c>
      <c r="AC50">
        <v>13.9</v>
      </c>
      <c r="AD50">
        <v>16.899999999999999</v>
      </c>
      <c r="AE50">
        <v>16.899999999999999</v>
      </c>
      <c r="AF50">
        <v>15.9</v>
      </c>
      <c r="AG50">
        <v>17.399999999999999</v>
      </c>
      <c r="AH50">
        <v>17.399999999999999</v>
      </c>
      <c r="AI50">
        <v>18.399999999999999</v>
      </c>
      <c r="AJ50">
        <v>17.733333330000001</v>
      </c>
      <c r="AK50">
        <v>15.4</v>
      </c>
      <c r="AL50">
        <v>16.899999999999999</v>
      </c>
      <c r="AM50">
        <v>18.399999999999999</v>
      </c>
      <c r="AN50">
        <v>16.899999999999999</v>
      </c>
      <c r="AO50">
        <v>17.733333330000001</v>
      </c>
      <c r="AP50">
        <v>6.1</v>
      </c>
      <c r="AQ50">
        <v>9</v>
      </c>
      <c r="AR50">
        <v>8.5</v>
      </c>
      <c r="AS50">
        <v>7.8666666669999996</v>
      </c>
      <c r="AT50">
        <v>6.1</v>
      </c>
      <c r="AU50">
        <v>5.0999999999999996</v>
      </c>
      <c r="AV50">
        <v>7.6</v>
      </c>
      <c r="AW50">
        <v>6.266666667</v>
      </c>
      <c r="AX50">
        <v>7.8666666669999996</v>
      </c>
      <c r="AY50">
        <v>-8.1999999999999993</v>
      </c>
      <c r="AZ50">
        <v>8</v>
      </c>
      <c r="BA50">
        <v>80</v>
      </c>
      <c r="BB50">
        <v>3</v>
      </c>
      <c r="BC50">
        <v>0</v>
      </c>
      <c r="BD50">
        <v>1</v>
      </c>
      <c r="BE50">
        <v>0</v>
      </c>
      <c r="BF50">
        <v>0</v>
      </c>
      <c r="BG50">
        <v>0</v>
      </c>
      <c r="BI50">
        <v>11.2</v>
      </c>
      <c r="BJ50">
        <v>2.4319999999999999</v>
      </c>
      <c r="BK50">
        <v>0</v>
      </c>
      <c r="BL50">
        <v>1</v>
      </c>
      <c r="BM50">
        <v>1</v>
      </c>
      <c r="BN50">
        <v>2</v>
      </c>
      <c r="BO50">
        <v>2.75</v>
      </c>
      <c r="BP50">
        <v>-0.75</v>
      </c>
      <c r="BQ50">
        <v>0</v>
      </c>
      <c r="BR50">
        <v>2</v>
      </c>
      <c r="BS50">
        <v>28.55255682</v>
      </c>
      <c r="BT50" t="s">
        <v>114</v>
      </c>
      <c r="BU50">
        <v>6.8687775430000002</v>
      </c>
      <c r="BV50">
        <v>-22.331281570000002</v>
      </c>
      <c r="BW50" t="s">
        <v>114</v>
      </c>
      <c r="BX50">
        <v>-6.0589337829999996</v>
      </c>
      <c r="BY50">
        <v>408.74299109999998</v>
      </c>
      <c r="BZ50" t="s">
        <v>114</v>
      </c>
      <c r="CA50">
        <v>25.078084220000001</v>
      </c>
      <c r="CB50">
        <v>788.61782860000005</v>
      </c>
      <c r="CC50" t="s">
        <v>114</v>
      </c>
      <c r="CD50">
        <v>37.641395840000001</v>
      </c>
      <c r="CE50" t="s">
        <v>114</v>
      </c>
      <c r="CF50" t="s">
        <v>114</v>
      </c>
      <c r="CG50" t="s">
        <v>114</v>
      </c>
      <c r="CH50">
        <v>28.793966449999999</v>
      </c>
      <c r="CI50" t="s">
        <v>114</v>
      </c>
      <c r="CJ50">
        <v>7.0047796870000001</v>
      </c>
      <c r="CK50" t="s">
        <v>114</v>
      </c>
      <c r="CL50">
        <v>-23.46144481</v>
      </c>
      <c r="CM50" t="s">
        <v>114</v>
      </c>
      <c r="CN50">
        <v>-6.3106278930000004</v>
      </c>
      <c r="CO50" t="s">
        <v>114</v>
      </c>
      <c r="CP50">
        <v>341.02710949999999</v>
      </c>
      <c r="CQ50" t="s">
        <v>114</v>
      </c>
      <c r="CR50">
        <v>21.027879599999999</v>
      </c>
      <c r="CS50" t="s">
        <v>114</v>
      </c>
      <c r="CT50">
        <v>666.12240640000005</v>
      </c>
      <c r="CU50" t="s">
        <v>114</v>
      </c>
      <c r="CV50">
        <v>31.811279339999999</v>
      </c>
      <c r="CW50" t="s">
        <v>114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1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1</v>
      </c>
      <c r="DQ50">
        <v>0</v>
      </c>
      <c r="DR50">
        <v>2</v>
      </c>
      <c r="DS50">
        <v>0</v>
      </c>
      <c r="DT50">
        <v>0</v>
      </c>
      <c r="DU50">
        <v>1</v>
      </c>
      <c r="DV50">
        <v>1</v>
      </c>
      <c r="DW50">
        <v>0</v>
      </c>
      <c r="DX50">
        <v>0</v>
      </c>
      <c r="DY50">
        <v>0</v>
      </c>
      <c r="DZ50">
        <v>1</v>
      </c>
      <c r="EA50">
        <v>0</v>
      </c>
      <c r="EB50">
        <v>0</v>
      </c>
      <c r="EC50">
        <v>0</v>
      </c>
      <c r="ED50">
        <v>1.74786809746676</v>
      </c>
    </row>
    <row r="51" spans="1:134" x14ac:dyDescent="0.25">
      <c r="A51" t="s">
        <v>53</v>
      </c>
      <c r="B51">
        <v>12</v>
      </c>
      <c r="C51" t="s">
        <v>19</v>
      </c>
      <c r="D51" t="s">
        <v>94</v>
      </c>
      <c r="E51" t="s">
        <v>103</v>
      </c>
      <c r="F51" t="s">
        <v>145</v>
      </c>
      <c r="G51" t="s">
        <v>260</v>
      </c>
      <c r="H51" t="s">
        <v>771</v>
      </c>
      <c r="I51" t="s">
        <v>693</v>
      </c>
      <c r="J51" t="s">
        <v>325</v>
      </c>
      <c r="K51">
        <v>2</v>
      </c>
      <c r="L51">
        <v>20</v>
      </c>
      <c r="M51">
        <v>60</v>
      </c>
      <c r="N51">
        <v>20</v>
      </c>
      <c r="O51">
        <v>-40</v>
      </c>
      <c r="P51">
        <v>12</v>
      </c>
      <c r="Q51">
        <v>5</v>
      </c>
      <c r="R51">
        <v>2</v>
      </c>
      <c r="S51">
        <v>3.5</v>
      </c>
      <c r="T51">
        <v>0.17499999999999999</v>
      </c>
      <c r="V51" t="s">
        <v>121</v>
      </c>
      <c r="W51" t="s">
        <v>114</v>
      </c>
      <c r="X51">
        <v>17.399999999999999</v>
      </c>
      <c r="Y51">
        <v>15.9</v>
      </c>
      <c r="Z51">
        <v>14.9</v>
      </c>
      <c r="AA51">
        <v>16.06666667</v>
      </c>
      <c r="AB51">
        <v>16.06666667</v>
      </c>
      <c r="AC51">
        <v>17.399999999999999</v>
      </c>
      <c r="AD51">
        <v>17.899999999999999</v>
      </c>
      <c r="AE51">
        <v>17.899999999999999</v>
      </c>
      <c r="AF51">
        <v>17.733333330000001</v>
      </c>
      <c r="AG51">
        <v>17.399999999999999</v>
      </c>
      <c r="AH51">
        <v>17.399999999999999</v>
      </c>
      <c r="AI51">
        <v>18.399999999999999</v>
      </c>
      <c r="AJ51">
        <v>17.733333330000001</v>
      </c>
      <c r="AK51">
        <v>16.899999999999999</v>
      </c>
      <c r="AL51">
        <v>17.399999999999999</v>
      </c>
      <c r="AM51">
        <v>17.899999999999999</v>
      </c>
      <c r="AN51">
        <v>17.399999999999999</v>
      </c>
      <c r="AO51">
        <v>17.733333330000001</v>
      </c>
      <c r="AP51">
        <v>6.1</v>
      </c>
      <c r="AQ51">
        <v>9</v>
      </c>
      <c r="AR51">
        <v>8.5</v>
      </c>
      <c r="AS51">
        <v>7.8666666669999996</v>
      </c>
      <c r="AT51">
        <v>7.6</v>
      </c>
      <c r="AU51">
        <v>6.6</v>
      </c>
      <c r="AV51">
        <v>6.1</v>
      </c>
      <c r="AW51">
        <v>6.766666667</v>
      </c>
      <c r="AX51">
        <v>7.8666666669999996</v>
      </c>
      <c r="AY51">
        <v>-8.1999999999999993</v>
      </c>
      <c r="AZ51">
        <v>8</v>
      </c>
      <c r="BA51">
        <v>80</v>
      </c>
      <c r="BB51">
        <v>3</v>
      </c>
      <c r="BC51">
        <v>0</v>
      </c>
      <c r="BD51">
        <v>1</v>
      </c>
      <c r="BE51">
        <v>0</v>
      </c>
      <c r="BF51">
        <v>0</v>
      </c>
      <c r="BG51">
        <v>0</v>
      </c>
      <c r="BI51">
        <v>11.2</v>
      </c>
      <c r="BJ51">
        <v>2.4319999999999999</v>
      </c>
      <c r="BK51">
        <v>0</v>
      </c>
      <c r="BL51">
        <v>0</v>
      </c>
      <c r="BM51">
        <v>0</v>
      </c>
      <c r="BN51">
        <v>0</v>
      </c>
      <c r="BO51">
        <v>313.5</v>
      </c>
      <c r="BP51">
        <v>-313.5</v>
      </c>
      <c r="BQ51">
        <v>441</v>
      </c>
      <c r="BR51">
        <v>-441</v>
      </c>
      <c r="BS51">
        <v>7.8541666650000002</v>
      </c>
      <c r="BT51">
        <v>0.24151381399999999</v>
      </c>
      <c r="BU51">
        <v>5.7820814999999998E-2</v>
      </c>
      <c r="BV51">
        <v>-7.8541666650000002</v>
      </c>
      <c r="BW51">
        <v>-0.24151381399999999</v>
      </c>
      <c r="BX51">
        <v>-5.7820814999999998E-2</v>
      </c>
      <c r="BY51">
        <v>123.375868</v>
      </c>
      <c r="BZ51">
        <v>0.116657844</v>
      </c>
      <c r="CA51">
        <v>6.686493E-3</v>
      </c>
      <c r="CB51">
        <v>123.375868</v>
      </c>
      <c r="CC51">
        <v>0.116657844</v>
      </c>
      <c r="CD51">
        <v>6.686493E-3</v>
      </c>
      <c r="CE51">
        <v>7.2663685000000006E-2</v>
      </c>
      <c r="CF51">
        <v>1.0560022000000001E-2</v>
      </c>
      <c r="CG51">
        <v>7.2663685000000006E-2</v>
      </c>
      <c r="CH51">
        <v>7.8541666650000002</v>
      </c>
      <c r="CI51">
        <v>0.24151381399999999</v>
      </c>
      <c r="CJ51">
        <v>5.7820814999999998E-2</v>
      </c>
      <c r="CK51">
        <v>7.2663685000000006E-2</v>
      </c>
      <c r="CL51">
        <v>-7.8541666650000002</v>
      </c>
      <c r="CM51">
        <v>-0.24151381399999999</v>
      </c>
      <c r="CN51">
        <v>-5.7820814999999998E-2</v>
      </c>
      <c r="CO51">
        <v>1.0560022000000001E-2</v>
      </c>
      <c r="CP51">
        <v>123.375868</v>
      </c>
      <c r="CQ51">
        <v>0.116657844</v>
      </c>
      <c r="CR51">
        <v>6.686493E-3</v>
      </c>
      <c r="CS51">
        <v>1.0560022000000001E-2</v>
      </c>
      <c r="CT51">
        <v>123.375868</v>
      </c>
      <c r="CU51">
        <v>0.116657844</v>
      </c>
      <c r="CV51">
        <v>6.686493E-3</v>
      </c>
      <c r="CW51">
        <v>7.2663685000000006E-2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1</v>
      </c>
      <c r="DQ51">
        <v>0</v>
      </c>
      <c r="DR51">
        <v>1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0.69314718055994495</v>
      </c>
    </row>
    <row r="52" spans="1:134" x14ac:dyDescent="0.25">
      <c r="A52" t="s">
        <v>53</v>
      </c>
      <c r="B52">
        <v>12</v>
      </c>
      <c r="C52" t="s">
        <v>19</v>
      </c>
      <c r="D52" t="s">
        <v>94</v>
      </c>
      <c r="E52" t="s">
        <v>112</v>
      </c>
      <c r="F52" t="s">
        <v>145</v>
      </c>
      <c r="G52" t="s">
        <v>261</v>
      </c>
      <c r="H52" t="s">
        <v>783</v>
      </c>
      <c r="I52" t="s">
        <v>688</v>
      </c>
      <c r="J52" t="s">
        <v>326</v>
      </c>
      <c r="K52">
        <v>0</v>
      </c>
      <c r="L52">
        <v>40</v>
      </c>
      <c r="M52">
        <v>40</v>
      </c>
      <c r="N52">
        <v>40</v>
      </c>
      <c r="O52">
        <v>0</v>
      </c>
      <c r="P52">
        <v>40</v>
      </c>
      <c r="Q52">
        <v>90</v>
      </c>
      <c r="R52">
        <v>80</v>
      </c>
      <c r="S52">
        <v>85</v>
      </c>
      <c r="T52">
        <v>2.125</v>
      </c>
      <c r="V52" t="s">
        <v>121</v>
      </c>
      <c r="W52" t="s">
        <v>114</v>
      </c>
      <c r="X52">
        <v>17.399999999999999</v>
      </c>
      <c r="Y52">
        <v>15.9</v>
      </c>
      <c r="Z52">
        <v>14.9</v>
      </c>
      <c r="AA52">
        <v>16.06666667</v>
      </c>
      <c r="AB52">
        <v>16.06666667</v>
      </c>
      <c r="AC52">
        <v>16.899999999999999</v>
      </c>
      <c r="AD52">
        <v>16.399999999999999</v>
      </c>
      <c r="AE52">
        <v>16.899999999999999</v>
      </c>
      <c r="AF52">
        <v>16.733333330000001</v>
      </c>
      <c r="AG52">
        <v>17.399999999999999</v>
      </c>
      <c r="AH52">
        <v>17.399999999999999</v>
      </c>
      <c r="AI52">
        <v>18.399999999999999</v>
      </c>
      <c r="AJ52">
        <v>17.733333330000001</v>
      </c>
      <c r="AK52">
        <v>17.399999999999999</v>
      </c>
      <c r="AL52">
        <v>17.399999999999999</v>
      </c>
      <c r="AM52">
        <v>18.399999999999999</v>
      </c>
      <c r="AN52">
        <v>17.733333330000001</v>
      </c>
      <c r="AO52">
        <v>17.733333330000001</v>
      </c>
      <c r="AP52">
        <v>6.1</v>
      </c>
      <c r="AQ52">
        <v>9</v>
      </c>
      <c r="AR52">
        <v>8.5</v>
      </c>
      <c r="AS52">
        <v>7.8666666669999996</v>
      </c>
      <c r="AT52">
        <v>6.6</v>
      </c>
      <c r="AU52">
        <v>6.6</v>
      </c>
      <c r="AV52">
        <v>6.1</v>
      </c>
      <c r="AW52">
        <v>6.4333333330000002</v>
      </c>
      <c r="AX52">
        <v>7.8666666669999996</v>
      </c>
      <c r="AY52">
        <v>-8.1999999999999993</v>
      </c>
      <c r="AZ52">
        <v>8</v>
      </c>
      <c r="BA52">
        <v>80</v>
      </c>
      <c r="BB52">
        <v>3</v>
      </c>
      <c r="BC52">
        <v>0</v>
      </c>
      <c r="BD52">
        <v>1</v>
      </c>
      <c r="BE52">
        <v>0</v>
      </c>
      <c r="BF52">
        <v>0</v>
      </c>
      <c r="BG52">
        <v>0</v>
      </c>
      <c r="BI52">
        <v>11.2</v>
      </c>
      <c r="BJ52">
        <v>2.4319999999999999</v>
      </c>
      <c r="BK52">
        <v>0</v>
      </c>
      <c r="BL52">
        <v>9</v>
      </c>
      <c r="BM52">
        <v>8</v>
      </c>
      <c r="BN52">
        <v>27</v>
      </c>
      <c r="BO52">
        <v>184.8</v>
      </c>
      <c r="BP52">
        <v>-157.80000000000001</v>
      </c>
      <c r="BQ52">
        <v>36</v>
      </c>
      <c r="BR52">
        <v>-9</v>
      </c>
      <c r="BS52" t="s">
        <v>114</v>
      </c>
      <c r="BT52" t="s">
        <v>114</v>
      </c>
      <c r="BU52" t="s">
        <v>114</v>
      </c>
      <c r="BV52" t="s">
        <v>114</v>
      </c>
      <c r="BW52" t="s">
        <v>114</v>
      </c>
      <c r="BX52" t="s">
        <v>114</v>
      </c>
      <c r="BY52" t="s">
        <v>114</v>
      </c>
      <c r="BZ52" t="s">
        <v>114</v>
      </c>
      <c r="CA52" t="s">
        <v>114</v>
      </c>
      <c r="CB52" t="s">
        <v>114</v>
      </c>
      <c r="CC52" t="s">
        <v>114</v>
      </c>
      <c r="CD52" t="s">
        <v>114</v>
      </c>
      <c r="CE52" t="s">
        <v>114</v>
      </c>
      <c r="CF52" t="s">
        <v>114</v>
      </c>
      <c r="CG52" t="s">
        <v>114</v>
      </c>
      <c r="CH52" t="s">
        <v>114</v>
      </c>
      <c r="CI52" t="s">
        <v>114</v>
      </c>
      <c r="CJ52" t="s">
        <v>114</v>
      </c>
      <c r="CK52" t="s">
        <v>114</v>
      </c>
      <c r="CL52" t="s">
        <v>114</v>
      </c>
      <c r="CM52" t="s">
        <v>114</v>
      </c>
      <c r="CN52" t="s">
        <v>114</v>
      </c>
      <c r="CO52" t="s">
        <v>114</v>
      </c>
      <c r="CP52" t="s">
        <v>114</v>
      </c>
      <c r="CQ52" t="s">
        <v>114</v>
      </c>
      <c r="CR52" t="s">
        <v>114</v>
      </c>
      <c r="CS52" t="s">
        <v>114</v>
      </c>
      <c r="CT52" t="s">
        <v>114</v>
      </c>
      <c r="CU52" t="s">
        <v>114</v>
      </c>
      <c r="CV52" t="s">
        <v>114</v>
      </c>
      <c r="CW52" t="s">
        <v>114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</row>
    <row r="53" spans="1:134" x14ac:dyDescent="0.25">
      <c r="A53" t="s">
        <v>54</v>
      </c>
      <c r="B53">
        <v>12</v>
      </c>
      <c r="C53" t="s">
        <v>21</v>
      </c>
      <c r="D53" t="s">
        <v>95</v>
      </c>
      <c r="E53" t="s">
        <v>113</v>
      </c>
      <c r="F53" t="s">
        <v>145</v>
      </c>
      <c r="G53" t="s">
        <v>259</v>
      </c>
      <c r="H53" t="s">
        <v>764</v>
      </c>
      <c r="I53" t="s">
        <v>682</v>
      </c>
      <c r="J53" t="s">
        <v>327</v>
      </c>
      <c r="K53">
        <v>2</v>
      </c>
      <c r="L53">
        <v>35</v>
      </c>
      <c r="M53">
        <v>90</v>
      </c>
      <c r="N53">
        <v>35</v>
      </c>
      <c r="O53">
        <v>-55</v>
      </c>
      <c r="P53">
        <v>10</v>
      </c>
      <c r="Q53">
        <v>15</v>
      </c>
      <c r="R53">
        <v>5</v>
      </c>
      <c r="S53">
        <v>10</v>
      </c>
      <c r="T53">
        <v>0.28571428599999998</v>
      </c>
      <c r="V53" t="s">
        <v>121</v>
      </c>
      <c r="W53" t="s">
        <v>114</v>
      </c>
      <c r="X53">
        <v>13</v>
      </c>
      <c r="Y53">
        <v>13.9</v>
      </c>
      <c r="Z53">
        <v>17.399999999999999</v>
      </c>
      <c r="AA53">
        <v>14.766666669999999</v>
      </c>
      <c r="AB53">
        <v>14.766666669999999</v>
      </c>
      <c r="AC53">
        <v>15.4</v>
      </c>
      <c r="AD53">
        <v>14.4</v>
      </c>
      <c r="AE53">
        <v>13.5</v>
      </c>
      <c r="AF53">
        <v>14.43333333</v>
      </c>
      <c r="AG53">
        <v>17.399999999999999</v>
      </c>
      <c r="AH53">
        <v>17.899999999999999</v>
      </c>
      <c r="AI53">
        <v>18.899999999999999</v>
      </c>
      <c r="AJ53">
        <v>18.06666667</v>
      </c>
      <c r="AK53">
        <v>14.9</v>
      </c>
      <c r="AL53">
        <v>14.9</v>
      </c>
      <c r="AM53">
        <v>16.399999999999999</v>
      </c>
      <c r="AN53">
        <v>15.4</v>
      </c>
      <c r="AO53">
        <v>18.06666667</v>
      </c>
      <c r="AP53">
        <v>5.9</v>
      </c>
      <c r="AQ53">
        <v>6.3</v>
      </c>
      <c r="AR53">
        <v>6.3</v>
      </c>
      <c r="AS53">
        <v>6.1666666670000003</v>
      </c>
      <c r="AT53">
        <v>5.3</v>
      </c>
      <c r="AU53">
        <v>5.3</v>
      </c>
      <c r="AV53">
        <v>5.9</v>
      </c>
      <c r="AW53">
        <v>5.5</v>
      </c>
      <c r="AX53">
        <v>6.1666666670000003</v>
      </c>
      <c r="AY53">
        <v>-8.6</v>
      </c>
      <c r="AZ53">
        <v>15</v>
      </c>
      <c r="BA53">
        <v>20</v>
      </c>
      <c r="BB53">
        <v>0</v>
      </c>
      <c r="BC53">
        <v>0</v>
      </c>
      <c r="BD53">
        <v>1</v>
      </c>
      <c r="BE53">
        <v>0</v>
      </c>
      <c r="BF53">
        <v>1</v>
      </c>
      <c r="BG53">
        <v>0</v>
      </c>
      <c r="BI53">
        <v>13</v>
      </c>
      <c r="BJ53">
        <v>42.4</v>
      </c>
      <c r="BK53">
        <v>0</v>
      </c>
      <c r="BL53">
        <v>0</v>
      </c>
      <c r="BM53">
        <v>0</v>
      </c>
      <c r="BN53">
        <v>0</v>
      </c>
      <c r="BO53">
        <v>7</v>
      </c>
      <c r="BP53">
        <v>-7</v>
      </c>
      <c r="BQ53">
        <v>7</v>
      </c>
      <c r="BR53">
        <v>-7</v>
      </c>
      <c r="BS53">
        <v>30.242424239999998</v>
      </c>
      <c r="BT53">
        <v>0.19500888899999999</v>
      </c>
      <c r="BU53">
        <v>7.8207925500000002</v>
      </c>
      <c r="BV53">
        <v>-30.242424239999998</v>
      </c>
      <c r="BW53">
        <v>0.19500888899999999</v>
      </c>
      <c r="BX53">
        <v>-7.8207925500000002</v>
      </c>
      <c r="BY53" t="s">
        <v>114</v>
      </c>
      <c r="BZ53" t="s">
        <v>114</v>
      </c>
      <c r="CA53" t="s">
        <v>114</v>
      </c>
      <c r="CB53" t="s">
        <v>114</v>
      </c>
      <c r="CC53" t="s">
        <v>114</v>
      </c>
      <c r="CD53" t="s">
        <v>114</v>
      </c>
      <c r="CE53">
        <v>7.0319930000000003E-2</v>
      </c>
      <c r="CF53" t="s">
        <v>114</v>
      </c>
      <c r="CG53">
        <v>7.0319930000000003E-2</v>
      </c>
      <c r="CH53">
        <v>30.242424239999998</v>
      </c>
      <c r="CI53">
        <v>0.19500888899999999</v>
      </c>
      <c r="CJ53">
        <v>7.8207925500000002</v>
      </c>
      <c r="CK53">
        <v>-7.0319930000000003E-2</v>
      </c>
      <c r="CL53">
        <v>-30.242424239999998</v>
      </c>
      <c r="CM53">
        <v>0.19500888899999999</v>
      </c>
      <c r="CN53">
        <v>-7.8207925500000002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-7.0319930000000003E-2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2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</row>
    <row r="54" spans="1:134" x14ac:dyDescent="0.25">
      <c r="A54" t="s">
        <v>54</v>
      </c>
      <c r="B54">
        <v>12</v>
      </c>
      <c r="C54" t="s">
        <v>21</v>
      </c>
      <c r="D54" t="s">
        <v>95</v>
      </c>
      <c r="E54" t="s">
        <v>110</v>
      </c>
      <c r="F54" t="s">
        <v>145</v>
      </c>
      <c r="G54" t="s">
        <v>262</v>
      </c>
      <c r="H54" t="s">
        <v>768</v>
      </c>
      <c r="I54" t="s">
        <v>694</v>
      </c>
      <c r="J54" t="s">
        <v>328</v>
      </c>
      <c r="K54">
        <v>2</v>
      </c>
      <c r="L54">
        <v>70</v>
      </c>
      <c r="M54">
        <v>90</v>
      </c>
      <c r="N54">
        <v>70</v>
      </c>
      <c r="O54">
        <v>-20</v>
      </c>
      <c r="P54">
        <v>18</v>
      </c>
      <c r="Q54">
        <v>20</v>
      </c>
      <c r="R54">
        <v>10</v>
      </c>
      <c r="S54">
        <v>15</v>
      </c>
      <c r="T54">
        <v>0.21428571399999999</v>
      </c>
      <c r="V54" t="s">
        <v>121</v>
      </c>
      <c r="W54" t="s">
        <v>114</v>
      </c>
      <c r="X54">
        <v>13</v>
      </c>
      <c r="Y54">
        <v>13.9</v>
      </c>
      <c r="Z54">
        <v>17.399999999999999</v>
      </c>
      <c r="AA54">
        <v>14.766666669999999</v>
      </c>
      <c r="AB54">
        <v>14.766666669999999</v>
      </c>
      <c r="AC54">
        <v>15.4</v>
      </c>
      <c r="AD54">
        <v>17.399999999999999</v>
      </c>
      <c r="AE54">
        <v>11.5</v>
      </c>
      <c r="AF54">
        <v>14.766666669999999</v>
      </c>
      <c r="AG54">
        <v>17.399999999999999</v>
      </c>
      <c r="AH54">
        <v>17.899999999999999</v>
      </c>
      <c r="AI54">
        <v>18.899999999999999</v>
      </c>
      <c r="AJ54">
        <v>18.06666667</v>
      </c>
      <c r="AK54">
        <v>17.399999999999999</v>
      </c>
      <c r="AL54">
        <v>17.399999999999999</v>
      </c>
      <c r="AM54">
        <v>17.899999999999999</v>
      </c>
      <c r="AN54">
        <v>17.56666667</v>
      </c>
      <c r="AO54">
        <v>18.06666667</v>
      </c>
      <c r="AP54">
        <v>5.9</v>
      </c>
      <c r="AQ54">
        <v>6.3</v>
      </c>
      <c r="AR54">
        <v>6.3</v>
      </c>
      <c r="AS54">
        <v>6.1666666670000003</v>
      </c>
      <c r="AT54">
        <v>5.3</v>
      </c>
      <c r="AU54">
        <v>6.3</v>
      </c>
      <c r="AV54">
        <v>5.6</v>
      </c>
      <c r="AW54">
        <v>5.733333333</v>
      </c>
      <c r="AX54">
        <v>6.1666666670000003</v>
      </c>
      <c r="AY54">
        <v>-8.6</v>
      </c>
      <c r="AZ54">
        <v>15</v>
      </c>
      <c r="BA54">
        <v>20</v>
      </c>
      <c r="BB54">
        <v>0</v>
      </c>
      <c r="BC54">
        <v>0</v>
      </c>
      <c r="BD54">
        <v>1</v>
      </c>
      <c r="BE54">
        <v>0</v>
      </c>
      <c r="BF54">
        <v>1</v>
      </c>
      <c r="BG54">
        <v>0</v>
      </c>
      <c r="BI54">
        <v>13</v>
      </c>
      <c r="BJ54">
        <v>42.4</v>
      </c>
      <c r="BK54">
        <v>1</v>
      </c>
      <c r="BL54">
        <v>2</v>
      </c>
      <c r="BM54">
        <v>2</v>
      </c>
      <c r="BN54">
        <v>2</v>
      </c>
      <c r="BO54">
        <v>9</v>
      </c>
      <c r="BP54">
        <v>-7</v>
      </c>
      <c r="BQ54">
        <v>1</v>
      </c>
      <c r="BR54">
        <v>1</v>
      </c>
      <c r="BS54">
        <v>40.739130430000003</v>
      </c>
      <c r="BT54">
        <v>0.52450222199999996</v>
      </c>
      <c r="BU54">
        <v>4.0230581299999999</v>
      </c>
      <c r="BV54">
        <v>-40.739130430000003</v>
      </c>
      <c r="BW54">
        <v>0.52450222199999996</v>
      </c>
      <c r="BX54">
        <v>4.0230581299999999</v>
      </c>
      <c r="BY54" t="s">
        <v>114</v>
      </c>
      <c r="BZ54" t="s">
        <v>114</v>
      </c>
      <c r="CA54" t="s">
        <v>114</v>
      </c>
      <c r="CB54" t="s">
        <v>114</v>
      </c>
      <c r="CC54" t="s">
        <v>114</v>
      </c>
      <c r="CD54" t="s">
        <v>114</v>
      </c>
      <c r="CE54">
        <v>0.62563736999999997</v>
      </c>
      <c r="CF54" t="s">
        <v>114</v>
      </c>
      <c r="CG54">
        <v>0.62563736999999997</v>
      </c>
      <c r="CH54">
        <v>40.739130430000003</v>
      </c>
      <c r="CI54">
        <v>0.52450222199999996</v>
      </c>
      <c r="CJ54">
        <v>4.0230581299999999</v>
      </c>
      <c r="CK54">
        <v>0.62563736999999997</v>
      </c>
      <c r="CL54">
        <v>-40.739130430000003</v>
      </c>
      <c r="CM54">
        <v>0.52450222199999996</v>
      </c>
      <c r="CN54">
        <v>4.0230581299999999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0.62563736999999997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2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</row>
    <row r="55" spans="1:134" x14ac:dyDescent="0.25">
      <c r="A55" t="s">
        <v>54</v>
      </c>
      <c r="B55">
        <v>12</v>
      </c>
      <c r="C55" t="s">
        <v>21</v>
      </c>
      <c r="D55" t="s">
        <v>95</v>
      </c>
      <c r="E55" t="s">
        <v>111</v>
      </c>
      <c r="F55" t="s">
        <v>145</v>
      </c>
      <c r="G55" t="s">
        <v>263</v>
      </c>
      <c r="H55" t="s">
        <v>776</v>
      </c>
      <c r="I55" t="s">
        <v>684</v>
      </c>
      <c r="J55" t="s">
        <v>329</v>
      </c>
      <c r="K55">
        <v>1</v>
      </c>
      <c r="L55">
        <v>360</v>
      </c>
      <c r="M55">
        <v>280</v>
      </c>
      <c r="N55">
        <v>360</v>
      </c>
      <c r="O55">
        <v>80</v>
      </c>
      <c r="P55">
        <v>100</v>
      </c>
      <c r="Q55">
        <v>260</v>
      </c>
      <c r="R55">
        <v>100</v>
      </c>
      <c r="S55">
        <v>180</v>
      </c>
      <c r="T55">
        <v>0.5</v>
      </c>
      <c r="V55" t="s">
        <v>121</v>
      </c>
      <c r="W55" t="s">
        <v>114</v>
      </c>
      <c r="X55">
        <v>13</v>
      </c>
      <c r="Y55">
        <v>13.9</v>
      </c>
      <c r="Z55">
        <v>17.399999999999999</v>
      </c>
      <c r="AA55">
        <v>14.766666669999999</v>
      </c>
      <c r="AB55">
        <v>14.766666669999999</v>
      </c>
      <c r="AC55">
        <v>17.399999999999999</v>
      </c>
      <c r="AD55">
        <v>14.9</v>
      </c>
      <c r="AE55">
        <v>15.9</v>
      </c>
      <c r="AF55">
        <v>16.06666667</v>
      </c>
      <c r="AG55">
        <v>17.399999999999999</v>
      </c>
      <c r="AH55">
        <v>17.899999999999999</v>
      </c>
      <c r="AI55">
        <v>18.899999999999999</v>
      </c>
      <c r="AJ55">
        <v>18.06666667</v>
      </c>
      <c r="AK55">
        <v>17.399999999999999</v>
      </c>
      <c r="AL55">
        <v>17.399999999999999</v>
      </c>
      <c r="AM55">
        <v>18.899999999999999</v>
      </c>
      <c r="AN55">
        <v>17.899999999999999</v>
      </c>
      <c r="AO55">
        <v>18.06666667</v>
      </c>
      <c r="AP55">
        <v>5.9</v>
      </c>
      <c r="AQ55">
        <v>6.3</v>
      </c>
      <c r="AR55">
        <v>6.3</v>
      </c>
      <c r="AS55">
        <v>6.1666666670000003</v>
      </c>
      <c r="AT55">
        <v>7.6</v>
      </c>
      <c r="AU55">
        <v>5.9</v>
      </c>
      <c r="AV55">
        <v>7.2</v>
      </c>
      <c r="AW55">
        <v>6.9</v>
      </c>
      <c r="AX55">
        <v>6.1666666670000003</v>
      </c>
      <c r="AY55">
        <v>-8.6</v>
      </c>
      <c r="AZ55">
        <v>15</v>
      </c>
      <c r="BA55">
        <v>20</v>
      </c>
      <c r="BB55">
        <v>0</v>
      </c>
      <c r="BC55">
        <v>0</v>
      </c>
      <c r="BD55">
        <v>1</v>
      </c>
      <c r="BE55">
        <v>0</v>
      </c>
      <c r="BF55">
        <v>1</v>
      </c>
      <c r="BG55">
        <v>0</v>
      </c>
      <c r="BI55">
        <v>13</v>
      </c>
      <c r="BJ55">
        <v>42.4</v>
      </c>
      <c r="BK55">
        <v>0</v>
      </c>
      <c r="BL55">
        <v>59</v>
      </c>
      <c r="BM55">
        <v>39</v>
      </c>
      <c r="BN55">
        <v>2126</v>
      </c>
      <c r="BO55">
        <v>955.66669999999999</v>
      </c>
      <c r="BP55">
        <v>1170.3333</v>
      </c>
      <c r="BQ55">
        <v>1430</v>
      </c>
      <c r="BR55">
        <v>696</v>
      </c>
      <c r="BS55">
        <v>12.43296703</v>
      </c>
      <c r="BT55">
        <v>3.2524988889999999</v>
      </c>
      <c r="BU55">
        <v>11.344611909999999</v>
      </c>
      <c r="BV55">
        <v>12.43296703</v>
      </c>
      <c r="BW55">
        <v>-3.2524988889999999</v>
      </c>
      <c r="BX55">
        <v>-11.344611909999999</v>
      </c>
      <c r="BY55" t="s">
        <v>114</v>
      </c>
      <c r="BZ55" t="s">
        <v>114</v>
      </c>
      <c r="CA55" t="s">
        <v>114</v>
      </c>
      <c r="CB55" t="s">
        <v>114</v>
      </c>
      <c r="CC55" t="s">
        <v>114</v>
      </c>
      <c r="CD55" t="s">
        <v>114</v>
      </c>
      <c r="CE55" t="s">
        <v>114</v>
      </c>
      <c r="CF55" t="s">
        <v>114</v>
      </c>
      <c r="CG55" t="s">
        <v>114</v>
      </c>
      <c r="CH55">
        <v>12.43296703</v>
      </c>
      <c r="CI55">
        <v>3.2524988889999999</v>
      </c>
      <c r="CJ55">
        <v>11.344611909999999</v>
      </c>
      <c r="CK55" t="s">
        <v>114</v>
      </c>
      <c r="CL55">
        <v>12.43296703</v>
      </c>
      <c r="CM55">
        <v>-3.2524988889999999</v>
      </c>
      <c r="CN55">
        <v>-11.344611909999999</v>
      </c>
      <c r="CO55" t="s">
        <v>114</v>
      </c>
      <c r="CP55" t="s">
        <v>114</v>
      </c>
      <c r="CQ55" t="s">
        <v>114</v>
      </c>
      <c r="CR55" t="s">
        <v>114</v>
      </c>
      <c r="CS55" t="s">
        <v>114</v>
      </c>
      <c r="CT55" t="s">
        <v>114</v>
      </c>
      <c r="CU55" t="s">
        <v>114</v>
      </c>
      <c r="CV55" t="s">
        <v>114</v>
      </c>
      <c r="CW55" t="s">
        <v>114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1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</row>
    <row r="56" spans="1:134" x14ac:dyDescent="0.25">
      <c r="A56" t="s">
        <v>55</v>
      </c>
      <c r="B56">
        <v>12</v>
      </c>
      <c r="C56" t="s">
        <v>23</v>
      </c>
      <c r="D56" t="s">
        <v>94</v>
      </c>
      <c r="E56" t="s">
        <v>113</v>
      </c>
      <c r="F56" t="s">
        <v>145</v>
      </c>
      <c r="G56" t="s">
        <v>259</v>
      </c>
      <c r="H56" t="s">
        <v>763</v>
      </c>
      <c r="I56" t="s">
        <v>692</v>
      </c>
      <c r="J56" t="s">
        <v>330</v>
      </c>
      <c r="K56">
        <v>4</v>
      </c>
      <c r="L56">
        <v>110</v>
      </c>
      <c r="M56">
        <v>50</v>
      </c>
      <c r="N56">
        <v>110</v>
      </c>
      <c r="O56">
        <v>60</v>
      </c>
      <c r="P56">
        <v>10</v>
      </c>
      <c r="Q56">
        <v>50</v>
      </c>
      <c r="R56">
        <v>35</v>
      </c>
      <c r="S56">
        <v>42.5</v>
      </c>
      <c r="T56">
        <v>0.38636363600000001</v>
      </c>
      <c r="V56" t="s">
        <v>110</v>
      </c>
      <c r="W56">
        <v>80</v>
      </c>
      <c r="X56">
        <v>20.3</v>
      </c>
      <c r="Y56">
        <v>21.8</v>
      </c>
      <c r="Z56">
        <v>22.3</v>
      </c>
      <c r="AA56">
        <v>21.466666669999999</v>
      </c>
      <c r="AB56">
        <v>21.466666669999999</v>
      </c>
      <c r="AC56">
        <v>21.3</v>
      </c>
      <c r="AD56">
        <v>23.3</v>
      </c>
      <c r="AE56">
        <v>18.899999999999999</v>
      </c>
      <c r="AF56">
        <v>21.166666670000001</v>
      </c>
      <c r="AG56">
        <v>24.7</v>
      </c>
      <c r="AH56">
        <v>22.8</v>
      </c>
      <c r="AI56">
        <v>24.7</v>
      </c>
      <c r="AJ56">
        <v>24.06666667</v>
      </c>
      <c r="AK56">
        <v>21.8</v>
      </c>
      <c r="AL56">
        <v>21.3</v>
      </c>
      <c r="AM56">
        <v>28.2</v>
      </c>
      <c r="AN56">
        <v>23.766666669999999</v>
      </c>
      <c r="AO56">
        <v>24.06666667</v>
      </c>
      <c r="AP56">
        <v>8.5</v>
      </c>
      <c r="AQ56">
        <v>8.5</v>
      </c>
      <c r="AR56">
        <v>9.5</v>
      </c>
      <c r="AS56">
        <v>8.8333333330000006</v>
      </c>
      <c r="AT56">
        <v>8.5</v>
      </c>
      <c r="AU56">
        <v>12.5</v>
      </c>
      <c r="AV56">
        <v>10</v>
      </c>
      <c r="AW56">
        <v>10.33333333</v>
      </c>
      <c r="AX56">
        <v>8.8333333330000006</v>
      </c>
      <c r="AY56">
        <v>-12.633333329999999</v>
      </c>
      <c r="AZ56">
        <v>5</v>
      </c>
      <c r="BA56">
        <v>80</v>
      </c>
      <c r="BB56">
        <v>2</v>
      </c>
      <c r="BC56">
        <v>5</v>
      </c>
      <c r="BD56">
        <v>0</v>
      </c>
      <c r="BE56">
        <v>1</v>
      </c>
      <c r="BF56">
        <v>1</v>
      </c>
      <c r="BG56">
        <v>0</v>
      </c>
      <c r="BI56">
        <v>11.3</v>
      </c>
      <c r="BJ56">
        <v>1.375</v>
      </c>
      <c r="BK56">
        <v>0</v>
      </c>
      <c r="BL56">
        <v>6</v>
      </c>
      <c r="BM56">
        <v>6</v>
      </c>
      <c r="BN56">
        <v>48</v>
      </c>
      <c r="BO56">
        <v>2.75</v>
      </c>
      <c r="BP56">
        <v>45.25</v>
      </c>
      <c r="BQ56">
        <v>0</v>
      </c>
      <c r="BR56">
        <v>48</v>
      </c>
      <c r="BS56">
        <v>9.3276515230000001</v>
      </c>
      <c r="BT56">
        <v>1.75100594</v>
      </c>
      <c r="BU56">
        <v>4.7552190630000002</v>
      </c>
      <c r="BV56">
        <v>-9.3276515230000001</v>
      </c>
      <c r="BW56">
        <v>-1.062966557</v>
      </c>
      <c r="BX56">
        <v>-4.7552190630000002</v>
      </c>
      <c r="BY56">
        <v>79.840607989999995</v>
      </c>
      <c r="BZ56">
        <v>6.7855580499999997</v>
      </c>
      <c r="CA56">
        <v>11.95806932</v>
      </c>
      <c r="CB56">
        <v>79.840607989999995</v>
      </c>
      <c r="CC56">
        <v>9.367056582</v>
      </c>
      <c r="CD56">
        <v>11.95806932</v>
      </c>
      <c r="CE56" t="s">
        <v>114</v>
      </c>
      <c r="CF56" t="s">
        <v>114</v>
      </c>
      <c r="CG56" t="s">
        <v>114</v>
      </c>
      <c r="CH56">
        <v>9.3276515230000001</v>
      </c>
      <c r="CI56">
        <v>1.75100594</v>
      </c>
      <c r="CJ56">
        <v>4.7552190630000002</v>
      </c>
      <c r="CK56" t="s">
        <v>114</v>
      </c>
      <c r="CL56">
        <v>-9.3276515230000001</v>
      </c>
      <c r="CM56">
        <v>-1.062966557</v>
      </c>
      <c r="CN56">
        <v>-4.7552190630000002</v>
      </c>
      <c r="CO56" t="s">
        <v>114</v>
      </c>
      <c r="CP56">
        <v>79.840607989999995</v>
      </c>
      <c r="CQ56">
        <v>6.7855580499999997</v>
      </c>
      <c r="CR56">
        <v>11.95806932</v>
      </c>
      <c r="CS56" t="s">
        <v>114</v>
      </c>
      <c r="CT56">
        <v>79.840607989999995</v>
      </c>
      <c r="CU56">
        <v>9.367056582</v>
      </c>
      <c r="CV56">
        <v>11.95806932</v>
      </c>
      <c r="CW56" t="s">
        <v>114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1</v>
      </c>
      <c r="DI56">
        <v>0</v>
      </c>
      <c r="DJ56">
        <v>0</v>
      </c>
      <c r="DK56">
        <v>0</v>
      </c>
      <c r="DL56">
        <v>1</v>
      </c>
      <c r="DM56">
        <v>0</v>
      </c>
      <c r="DN56">
        <v>0</v>
      </c>
      <c r="DO56">
        <v>0</v>
      </c>
      <c r="DP56">
        <v>1</v>
      </c>
      <c r="DQ56">
        <v>0</v>
      </c>
      <c r="DR56">
        <v>0</v>
      </c>
      <c r="DS56">
        <v>0</v>
      </c>
      <c r="DT56">
        <v>0</v>
      </c>
      <c r="DU56">
        <v>1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1.3862943611198899</v>
      </c>
    </row>
    <row r="57" spans="1:134" x14ac:dyDescent="0.25">
      <c r="A57" t="s">
        <v>55</v>
      </c>
      <c r="B57">
        <v>12</v>
      </c>
      <c r="C57" t="s">
        <v>23</v>
      </c>
      <c r="D57" t="s">
        <v>94</v>
      </c>
      <c r="E57" t="s">
        <v>110</v>
      </c>
      <c r="F57" t="s">
        <v>145</v>
      </c>
      <c r="G57" t="s">
        <v>262</v>
      </c>
      <c r="H57" t="s">
        <v>767</v>
      </c>
      <c r="I57" t="s">
        <v>695</v>
      </c>
      <c r="J57" t="s">
        <v>331</v>
      </c>
      <c r="K57" t="s">
        <v>114</v>
      </c>
      <c r="L57">
        <v>80</v>
      </c>
      <c r="M57">
        <v>30</v>
      </c>
      <c r="N57">
        <v>80</v>
      </c>
      <c r="O57">
        <v>50</v>
      </c>
      <c r="P57">
        <v>12</v>
      </c>
      <c r="Q57">
        <v>65</v>
      </c>
      <c r="R57">
        <v>0</v>
      </c>
      <c r="S57">
        <v>32.5</v>
      </c>
      <c r="T57">
        <v>0.40625</v>
      </c>
      <c r="V57" t="s">
        <v>103</v>
      </c>
      <c r="W57">
        <v>30</v>
      </c>
      <c r="X57">
        <v>20.3</v>
      </c>
      <c r="Y57">
        <v>21.8</v>
      </c>
      <c r="Z57">
        <v>22.3</v>
      </c>
      <c r="AA57">
        <v>21.466666669999999</v>
      </c>
      <c r="AB57">
        <v>21.466666669999999</v>
      </c>
      <c r="AC57">
        <v>19.3</v>
      </c>
      <c r="AD57">
        <v>22.8</v>
      </c>
      <c r="AE57">
        <v>19.8</v>
      </c>
      <c r="AF57">
        <v>20.633333329999999</v>
      </c>
      <c r="AG57">
        <v>24.7</v>
      </c>
      <c r="AH57">
        <v>22.8</v>
      </c>
      <c r="AI57">
        <v>24.7</v>
      </c>
      <c r="AJ57">
        <v>24.06666667</v>
      </c>
      <c r="AK57">
        <v>20.3</v>
      </c>
      <c r="AL57">
        <v>20.8</v>
      </c>
      <c r="AM57">
        <v>20.8</v>
      </c>
      <c r="AN57">
        <v>20.633333329999999</v>
      </c>
      <c r="AO57">
        <v>24.06666667</v>
      </c>
      <c r="AP57">
        <v>8.5</v>
      </c>
      <c r="AQ57">
        <v>8.5</v>
      </c>
      <c r="AR57">
        <v>9.5</v>
      </c>
      <c r="AS57">
        <v>8.8333333330000006</v>
      </c>
      <c r="AT57">
        <v>7.1</v>
      </c>
      <c r="AU57">
        <v>9</v>
      </c>
      <c r="AV57">
        <v>7.1</v>
      </c>
      <c r="AW57">
        <v>7.733333333</v>
      </c>
      <c r="AX57">
        <v>8.8333333330000006</v>
      </c>
      <c r="AY57">
        <v>-12.633333329999999</v>
      </c>
      <c r="AZ57">
        <v>5</v>
      </c>
      <c r="BA57">
        <v>80</v>
      </c>
      <c r="BB57">
        <v>2</v>
      </c>
      <c r="BC57">
        <v>5</v>
      </c>
      <c r="BD57">
        <v>0</v>
      </c>
      <c r="BE57">
        <v>1</v>
      </c>
      <c r="BF57">
        <v>1</v>
      </c>
      <c r="BG57">
        <v>0</v>
      </c>
      <c r="BI57">
        <v>11.3</v>
      </c>
      <c r="BJ57">
        <v>1.375</v>
      </c>
      <c r="BK57">
        <v>0</v>
      </c>
      <c r="BL57" t="s">
        <v>114</v>
      </c>
      <c r="BM57" t="s">
        <v>114</v>
      </c>
      <c r="BN57" t="s">
        <v>114</v>
      </c>
      <c r="BO57">
        <v>8</v>
      </c>
      <c r="BP57" t="s">
        <v>114</v>
      </c>
      <c r="BQ57">
        <v>1</v>
      </c>
      <c r="BR57" t="s">
        <v>114</v>
      </c>
      <c r="BS57" t="s">
        <v>114</v>
      </c>
      <c r="BT57" t="s">
        <v>114</v>
      </c>
      <c r="BU57" t="s">
        <v>114</v>
      </c>
      <c r="BV57" t="s">
        <v>114</v>
      </c>
      <c r="BW57" t="s">
        <v>114</v>
      </c>
      <c r="BX57" t="s">
        <v>114</v>
      </c>
      <c r="BY57" t="s">
        <v>114</v>
      </c>
      <c r="BZ57" t="s">
        <v>114</v>
      </c>
      <c r="CA57" t="s">
        <v>114</v>
      </c>
      <c r="CB57" t="s">
        <v>114</v>
      </c>
      <c r="CC57" t="s">
        <v>114</v>
      </c>
      <c r="CD57" t="s">
        <v>114</v>
      </c>
      <c r="CE57" t="s">
        <v>114</v>
      </c>
      <c r="CF57" t="s">
        <v>114</v>
      </c>
      <c r="CG57" t="s">
        <v>114</v>
      </c>
      <c r="CH57" t="s">
        <v>114</v>
      </c>
      <c r="CI57" t="s">
        <v>114</v>
      </c>
      <c r="CJ57" t="s">
        <v>114</v>
      </c>
      <c r="CK57" t="s">
        <v>114</v>
      </c>
      <c r="CL57" t="s">
        <v>114</v>
      </c>
      <c r="CM57" t="s">
        <v>114</v>
      </c>
      <c r="CN57" t="s">
        <v>114</v>
      </c>
      <c r="CO57" t="s">
        <v>114</v>
      </c>
      <c r="CP57" t="s">
        <v>114</v>
      </c>
      <c r="CQ57" t="s">
        <v>114</v>
      </c>
      <c r="CR57" t="s">
        <v>114</v>
      </c>
      <c r="CS57" t="s">
        <v>114</v>
      </c>
      <c r="CT57" t="s">
        <v>114</v>
      </c>
      <c r="CU57" t="s">
        <v>114</v>
      </c>
      <c r="CV57" t="s">
        <v>114</v>
      </c>
      <c r="CW57" t="s">
        <v>114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</row>
    <row r="58" spans="1:134" x14ac:dyDescent="0.25">
      <c r="A58" t="s">
        <v>55</v>
      </c>
      <c r="B58">
        <v>12</v>
      </c>
      <c r="C58" t="s">
        <v>23</v>
      </c>
      <c r="D58" t="s">
        <v>94</v>
      </c>
      <c r="E58" t="s">
        <v>103</v>
      </c>
      <c r="F58" t="s">
        <v>145</v>
      </c>
      <c r="G58" t="s">
        <v>260</v>
      </c>
      <c r="H58" t="s">
        <v>771</v>
      </c>
      <c r="I58" t="s">
        <v>693</v>
      </c>
      <c r="J58" t="s">
        <v>332</v>
      </c>
      <c r="K58" t="s">
        <v>114</v>
      </c>
      <c r="L58">
        <v>50</v>
      </c>
      <c r="M58">
        <v>50</v>
      </c>
      <c r="N58">
        <v>50</v>
      </c>
      <c r="O58">
        <v>0</v>
      </c>
      <c r="P58">
        <v>30</v>
      </c>
      <c r="Q58">
        <v>15</v>
      </c>
      <c r="R58">
        <v>10</v>
      </c>
      <c r="S58">
        <v>12.5</v>
      </c>
      <c r="T58">
        <v>0.25</v>
      </c>
      <c r="V58" t="s">
        <v>103</v>
      </c>
      <c r="W58">
        <v>30</v>
      </c>
      <c r="X58">
        <v>20.3</v>
      </c>
      <c r="Y58">
        <v>21.8</v>
      </c>
      <c r="Z58">
        <v>22.3</v>
      </c>
      <c r="AA58">
        <v>21.466666669999999</v>
      </c>
      <c r="AB58">
        <v>21.466666669999999</v>
      </c>
      <c r="AC58">
        <v>18.899999999999999</v>
      </c>
      <c r="AD58">
        <v>19.8</v>
      </c>
      <c r="AE58">
        <v>20.8</v>
      </c>
      <c r="AF58">
        <v>19.833333329999999</v>
      </c>
      <c r="AG58">
        <v>24.7</v>
      </c>
      <c r="AH58">
        <v>22.8</v>
      </c>
      <c r="AI58">
        <v>24.7</v>
      </c>
      <c r="AJ58">
        <v>24.06666667</v>
      </c>
      <c r="AK58">
        <v>20.3</v>
      </c>
      <c r="AL58">
        <v>21.3</v>
      </c>
      <c r="AM58">
        <v>22.3</v>
      </c>
      <c r="AN58">
        <v>21.3</v>
      </c>
      <c r="AO58">
        <v>24.06666667</v>
      </c>
      <c r="AP58">
        <v>8.5</v>
      </c>
      <c r="AQ58">
        <v>8.5</v>
      </c>
      <c r="AR58">
        <v>9.5</v>
      </c>
      <c r="AS58">
        <v>8.8333333330000006</v>
      </c>
      <c r="AT58">
        <v>8.5</v>
      </c>
      <c r="AU58">
        <v>8.5</v>
      </c>
      <c r="AV58">
        <v>9</v>
      </c>
      <c r="AW58">
        <v>8.6666666669999994</v>
      </c>
      <c r="AX58">
        <v>8.8333333330000006</v>
      </c>
      <c r="AY58">
        <v>-12.633333329999999</v>
      </c>
      <c r="AZ58">
        <v>5</v>
      </c>
      <c r="BA58">
        <v>80</v>
      </c>
      <c r="BB58">
        <v>2</v>
      </c>
      <c r="BC58">
        <v>5</v>
      </c>
      <c r="BD58">
        <v>0</v>
      </c>
      <c r="BE58">
        <v>1</v>
      </c>
      <c r="BF58">
        <v>1</v>
      </c>
      <c r="BG58">
        <v>0</v>
      </c>
      <c r="BI58">
        <v>11.3</v>
      </c>
      <c r="BJ58">
        <v>1.375</v>
      </c>
      <c r="BK58">
        <v>0</v>
      </c>
      <c r="BL58">
        <v>4</v>
      </c>
      <c r="BM58">
        <v>4</v>
      </c>
      <c r="BN58">
        <v>215</v>
      </c>
      <c r="BO58">
        <v>313.5</v>
      </c>
      <c r="BP58">
        <v>-98.5</v>
      </c>
      <c r="BQ58">
        <v>186</v>
      </c>
      <c r="BR58">
        <v>29</v>
      </c>
      <c r="BS58" t="s">
        <v>114</v>
      </c>
      <c r="BT58" t="s">
        <v>114</v>
      </c>
      <c r="BU58" t="s">
        <v>114</v>
      </c>
      <c r="BV58" t="s">
        <v>114</v>
      </c>
      <c r="BW58" t="s">
        <v>114</v>
      </c>
      <c r="BX58" t="s">
        <v>114</v>
      </c>
      <c r="BY58" t="s">
        <v>114</v>
      </c>
      <c r="BZ58" t="s">
        <v>114</v>
      </c>
      <c r="CA58" t="s">
        <v>114</v>
      </c>
      <c r="CB58" t="s">
        <v>114</v>
      </c>
      <c r="CC58" t="s">
        <v>114</v>
      </c>
      <c r="CD58" t="s">
        <v>114</v>
      </c>
      <c r="CE58" t="s">
        <v>114</v>
      </c>
      <c r="CF58" t="s">
        <v>114</v>
      </c>
      <c r="CG58" t="s">
        <v>114</v>
      </c>
      <c r="CH58" t="s">
        <v>114</v>
      </c>
      <c r="CI58" t="s">
        <v>114</v>
      </c>
      <c r="CJ58" t="s">
        <v>114</v>
      </c>
      <c r="CK58" t="s">
        <v>114</v>
      </c>
      <c r="CL58" t="s">
        <v>114</v>
      </c>
      <c r="CM58" t="s">
        <v>114</v>
      </c>
      <c r="CN58" t="s">
        <v>114</v>
      </c>
      <c r="CO58" t="s">
        <v>114</v>
      </c>
      <c r="CP58" t="s">
        <v>114</v>
      </c>
      <c r="CQ58" t="s">
        <v>114</v>
      </c>
      <c r="CR58" t="s">
        <v>114</v>
      </c>
      <c r="CS58" t="s">
        <v>114</v>
      </c>
      <c r="CT58" t="s">
        <v>114</v>
      </c>
      <c r="CU58" t="s">
        <v>114</v>
      </c>
      <c r="CV58" t="s">
        <v>114</v>
      </c>
      <c r="CW58" t="s">
        <v>114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</row>
    <row r="59" spans="1:134" x14ac:dyDescent="0.25">
      <c r="A59" t="s">
        <v>55</v>
      </c>
      <c r="B59">
        <v>12</v>
      </c>
      <c r="C59" t="s">
        <v>23</v>
      </c>
      <c r="D59" t="s">
        <v>94</v>
      </c>
      <c r="E59" t="s">
        <v>111</v>
      </c>
      <c r="F59" t="s">
        <v>145</v>
      </c>
      <c r="G59" t="s">
        <v>263</v>
      </c>
      <c r="H59" t="s">
        <v>775</v>
      </c>
      <c r="I59" t="s">
        <v>687</v>
      </c>
      <c r="J59" t="s">
        <v>333</v>
      </c>
      <c r="K59">
        <v>3</v>
      </c>
      <c r="L59">
        <v>290</v>
      </c>
      <c r="M59">
        <v>290</v>
      </c>
      <c r="N59">
        <v>290</v>
      </c>
      <c r="O59">
        <v>0</v>
      </c>
      <c r="P59">
        <v>60</v>
      </c>
      <c r="Q59">
        <v>70</v>
      </c>
      <c r="R59">
        <v>0</v>
      </c>
      <c r="S59">
        <v>35</v>
      </c>
      <c r="T59">
        <v>0.12068965500000001</v>
      </c>
      <c r="V59" t="s">
        <v>113</v>
      </c>
      <c r="W59">
        <v>95</v>
      </c>
      <c r="X59">
        <v>20.3</v>
      </c>
      <c r="Y59">
        <v>21.8</v>
      </c>
      <c r="Z59">
        <v>22.3</v>
      </c>
      <c r="AA59">
        <v>21.466666669999999</v>
      </c>
      <c r="AB59">
        <v>21.466666669999999</v>
      </c>
      <c r="AC59">
        <v>19.3</v>
      </c>
      <c r="AD59">
        <v>20.8</v>
      </c>
      <c r="AE59">
        <v>20.8</v>
      </c>
      <c r="AF59">
        <v>20.3</v>
      </c>
      <c r="AG59">
        <v>24.7</v>
      </c>
      <c r="AH59">
        <v>22.8</v>
      </c>
      <c r="AI59">
        <v>24.7</v>
      </c>
      <c r="AJ59">
        <v>24.06666667</v>
      </c>
      <c r="AK59">
        <v>22.8</v>
      </c>
      <c r="AL59">
        <v>20.8</v>
      </c>
      <c r="AM59">
        <v>18.399999999999999</v>
      </c>
      <c r="AN59">
        <v>20.666666670000001</v>
      </c>
      <c r="AO59">
        <v>24.06666667</v>
      </c>
      <c r="AP59">
        <v>8.5</v>
      </c>
      <c r="AQ59">
        <v>8.5</v>
      </c>
      <c r="AR59">
        <v>9.5</v>
      </c>
      <c r="AS59">
        <v>8.8333333330000006</v>
      </c>
      <c r="AT59">
        <v>8.5</v>
      </c>
      <c r="AU59">
        <v>9</v>
      </c>
      <c r="AV59">
        <v>12.5</v>
      </c>
      <c r="AW59">
        <v>10</v>
      </c>
      <c r="AX59">
        <v>8.8333333330000006</v>
      </c>
      <c r="AY59">
        <v>-12.633333329999999</v>
      </c>
      <c r="AZ59">
        <v>5</v>
      </c>
      <c r="BA59">
        <v>80</v>
      </c>
      <c r="BB59">
        <v>2</v>
      </c>
      <c r="BC59">
        <v>5</v>
      </c>
      <c r="BD59">
        <v>0</v>
      </c>
      <c r="BE59">
        <v>1</v>
      </c>
      <c r="BF59">
        <v>1</v>
      </c>
      <c r="BG59">
        <v>0</v>
      </c>
      <c r="BI59">
        <v>11.3</v>
      </c>
      <c r="BJ59">
        <v>1.375</v>
      </c>
      <c r="BK59">
        <v>0</v>
      </c>
      <c r="BL59">
        <v>7</v>
      </c>
      <c r="BM59">
        <v>6</v>
      </c>
      <c r="BN59">
        <v>338</v>
      </c>
      <c r="BO59">
        <v>422.66669999999999</v>
      </c>
      <c r="BP59">
        <v>-84.666700000000006</v>
      </c>
      <c r="BQ59">
        <v>844</v>
      </c>
      <c r="BR59">
        <v>-506</v>
      </c>
      <c r="BS59">
        <v>47.84848487</v>
      </c>
      <c r="BT59">
        <v>1.414273621</v>
      </c>
      <c r="BU59">
        <v>1.85844487</v>
      </c>
      <c r="BV59">
        <v>-36.634632060000001</v>
      </c>
      <c r="BW59">
        <v>-1.414273621</v>
      </c>
      <c r="BX59">
        <v>-0.15250660999999999</v>
      </c>
      <c r="BY59">
        <v>2684.192532</v>
      </c>
      <c r="BZ59">
        <v>1.30697175</v>
      </c>
      <c r="CA59">
        <v>4.6516531999999999E-2</v>
      </c>
      <c r="CB59">
        <v>4578.9550090000002</v>
      </c>
      <c r="CC59">
        <v>1.30697175</v>
      </c>
      <c r="CD59">
        <v>6.9076346700000002</v>
      </c>
      <c r="CE59">
        <v>0.18983562000000001</v>
      </c>
      <c r="CF59">
        <v>3.0460600000000002E-4</v>
      </c>
      <c r="CG59">
        <v>0.18572191299999999</v>
      </c>
      <c r="CH59">
        <v>35.636940850000002</v>
      </c>
      <c r="CI59">
        <v>1.144812044</v>
      </c>
      <c r="CJ59">
        <v>1.807609333</v>
      </c>
      <c r="CK59">
        <v>0.18572191299999999</v>
      </c>
      <c r="CL59">
        <v>-20.685137099999999</v>
      </c>
      <c r="CM59">
        <v>-1.144812044</v>
      </c>
      <c r="CN59">
        <v>0.46697501299999999</v>
      </c>
      <c r="CO59">
        <v>2.0307100000000001E-4</v>
      </c>
      <c r="CP59">
        <v>1789.4616880000001</v>
      </c>
      <c r="CQ59">
        <v>0.87131449999999999</v>
      </c>
      <c r="CR59">
        <v>3.1011021E-2</v>
      </c>
      <c r="CS59">
        <v>2.0307100000000001E-4</v>
      </c>
      <c r="CT59">
        <v>3052.6366720000001</v>
      </c>
      <c r="CU59">
        <v>0.87131449999999999</v>
      </c>
      <c r="CV59">
        <v>4.6050897800000001</v>
      </c>
      <c r="CW59">
        <v>0.18983562000000001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2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1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0.636514168294813</v>
      </c>
    </row>
    <row r="60" spans="1:134" x14ac:dyDescent="0.25">
      <c r="A60" t="s">
        <v>56</v>
      </c>
      <c r="B60">
        <v>12</v>
      </c>
      <c r="C60" t="s">
        <v>25</v>
      </c>
      <c r="D60" t="s">
        <v>94</v>
      </c>
      <c r="E60" t="s">
        <v>113</v>
      </c>
      <c r="F60" t="s">
        <v>145</v>
      </c>
      <c r="G60" t="s">
        <v>259</v>
      </c>
      <c r="H60" t="s">
        <v>763</v>
      </c>
      <c r="I60" t="s">
        <v>692</v>
      </c>
      <c r="J60" t="s">
        <v>334</v>
      </c>
      <c r="K60">
        <v>3</v>
      </c>
      <c r="L60">
        <v>80</v>
      </c>
      <c r="M60">
        <v>40</v>
      </c>
      <c r="N60">
        <v>80</v>
      </c>
      <c r="O60">
        <v>40</v>
      </c>
      <c r="P60">
        <v>8</v>
      </c>
      <c r="Q60">
        <v>10</v>
      </c>
      <c r="R60">
        <v>5</v>
      </c>
      <c r="S60">
        <v>7.5</v>
      </c>
      <c r="T60">
        <v>9.375E-2</v>
      </c>
      <c r="V60" t="s">
        <v>113</v>
      </c>
      <c r="W60">
        <v>40</v>
      </c>
      <c r="X60">
        <v>10.5</v>
      </c>
      <c r="Y60">
        <v>10.5</v>
      </c>
      <c r="Z60">
        <v>12.5</v>
      </c>
      <c r="AA60">
        <v>11.16666667</v>
      </c>
      <c r="AB60">
        <v>11.16666667</v>
      </c>
      <c r="AC60">
        <v>16.399999999999999</v>
      </c>
      <c r="AD60">
        <v>15.9</v>
      </c>
      <c r="AE60">
        <v>14.9</v>
      </c>
      <c r="AF60">
        <v>15.733333330000001</v>
      </c>
      <c r="AG60">
        <v>12</v>
      </c>
      <c r="AH60">
        <v>12.5</v>
      </c>
      <c r="AI60">
        <v>13.5</v>
      </c>
      <c r="AJ60">
        <v>12.66666667</v>
      </c>
      <c r="AK60">
        <v>11.5</v>
      </c>
      <c r="AL60">
        <v>14.4</v>
      </c>
      <c r="AM60">
        <v>14.9</v>
      </c>
      <c r="AN60">
        <v>13.6</v>
      </c>
      <c r="AO60">
        <v>12.66666667</v>
      </c>
      <c r="AP60">
        <v>6.6</v>
      </c>
      <c r="AQ60">
        <v>5.0999999999999996</v>
      </c>
      <c r="AR60">
        <v>8.1</v>
      </c>
      <c r="AS60">
        <v>6.6</v>
      </c>
      <c r="AT60">
        <v>8.1</v>
      </c>
      <c r="AU60">
        <v>6.1</v>
      </c>
      <c r="AV60">
        <v>8.1</v>
      </c>
      <c r="AW60">
        <v>7.4333333330000002</v>
      </c>
      <c r="AX60">
        <v>6.6</v>
      </c>
      <c r="AY60">
        <v>-4.5666666669999998</v>
      </c>
      <c r="AZ60">
        <v>50</v>
      </c>
      <c r="BA60">
        <v>25</v>
      </c>
      <c r="BB60">
        <v>0</v>
      </c>
      <c r="BC60">
        <v>10</v>
      </c>
      <c r="BD60">
        <v>1</v>
      </c>
      <c r="BE60">
        <v>0</v>
      </c>
      <c r="BF60">
        <v>0</v>
      </c>
      <c r="BG60">
        <v>0</v>
      </c>
      <c r="BI60">
        <v>12.7</v>
      </c>
      <c r="BJ60">
        <v>11.087999999999999</v>
      </c>
      <c r="BK60">
        <v>0</v>
      </c>
      <c r="BL60">
        <v>1</v>
      </c>
      <c r="BM60">
        <v>1</v>
      </c>
      <c r="BN60">
        <v>3</v>
      </c>
      <c r="BO60">
        <v>2.75</v>
      </c>
      <c r="BP60">
        <v>0.25</v>
      </c>
      <c r="BQ60">
        <v>2</v>
      </c>
      <c r="BR60">
        <v>1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 t="s">
        <v>114</v>
      </c>
      <c r="BZ60" t="s">
        <v>114</v>
      </c>
      <c r="CA60" t="s">
        <v>114</v>
      </c>
      <c r="CB60" t="s">
        <v>114</v>
      </c>
      <c r="CC60" t="s">
        <v>114</v>
      </c>
      <c r="CD60" t="s">
        <v>114</v>
      </c>
      <c r="CE60">
        <v>0</v>
      </c>
      <c r="CF60" t="s">
        <v>114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3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</row>
    <row r="61" spans="1:134" x14ac:dyDescent="0.25">
      <c r="A61" t="s">
        <v>56</v>
      </c>
      <c r="B61">
        <v>12</v>
      </c>
      <c r="C61" t="s">
        <v>25</v>
      </c>
      <c r="D61" t="s">
        <v>94</v>
      </c>
      <c r="E61" t="s">
        <v>111</v>
      </c>
      <c r="F61" t="s">
        <v>145</v>
      </c>
      <c r="G61" t="s">
        <v>263</v>
      </c>
      <c r="H61" t="s">
        <v>775</v>
      </c>
      <c r="I61" t="s">
        <v>687</v>
      </c>
      <c r="J61" t="s">
        <v>335</v>
      </c>
      <c r="K61">
        <v>1</v>
      </c>
      <c r="L61">
        <v>180</v>
      </c>
      <c r="M61">
        <v>240</v>
      </c>
      <c r="N61">
        <v>180</v>
      </c>
      <c r="O61">
        <v>-60</v>
      </c>
      <c r="P61">
        <v>50</v>
      </c>
      <c r="Q61">
        <v>35</v>
      </c>
      <c r="R61">
        <v>10</v>
      </c>
      <c r="S61">
        <v>22.5</v>
      </c>
      <c r="T61">
        <v>0.125</v>
      </c>
      <c r="V61" t="s">
        <v>121</v>
      </c>
      <c r="W61" t="s">
        <v>114</v>
      </c>
      <c r="X61">
        <v>10.5</v>
      </c>
      <c r="Y61">
        <v>10.5</v>
      </c>
      <c r="Z61">
        <v>12.5</v>
      </c>
      <c r="AA61">
        <v>11.16666667</v>
      </c>
      <c r="AB61">
        <v>11.16666667</v>
      </c>
      <c r="AC61">
        <v>12.5</v>
      </c>
      <c r="AD61">
        <v>11.5</v>
      </c>
      <c r="AE61">
        <v>11.5</v>
      </c>
      <c r="AF61">
        <v>11.83333333</v>
      </c>
      <c r="AG61">
        <v>12</v>
      </c>
      <c r="AH61">
        <v>12.5</v>
      </c>
      <c r="AI61">
        <v>13.5</v>
      </c>
      <c r="AJ61">
        <v>12.66666667</v>
      </c>
      <c r="AK61">
        <v>11</v>
      </c>
      <c r="AL61">
        <v>13</v>
      </c>
      <c r="AM61">
        <v>13.9</v>
      </c>
      <c r="AN61">
        <v>12.633333329999999</v>
      </c>
      <c r="AO61">
        <v>12.66666667</v>
      </c>
      <c r="AP61">
        <v>6.6</v>
      </c>
      <c r="AQ61">
        <v>5.0999999999999996</v>
      </c>
      <c r="AR61">
        <v>8.1</v>
      </c>
      <c r="AS61">
        <v>6.6</v>
      </c>
      <c r="AT61">
        <v>5.6</v>
      </c>
      <c r="AU61">
        <v>5.6</v>
      </c>
      <c r="AV61">
        <v>6.1</v>
      </c>
      <c r="AW61">
        <v>5.766666667</v>
      </c>
      <c r="AX61">
        <v>6.6</v>
      </c>
      <c r="AY61">
        <v>-4.5666666669999998</v>
      </c>
      <c r="AZ61">
        <v>50</v>
      </c>
      <c r="BA61">
        <v>25</v>
      </c>
      <c r="BB61">
        <v>0</v>
      </c>
      <c r="BC61">
        <v>10</v>
      </c>
      <c r="BD61">
        <v>1</v>
      </c>
      <c r="BE61">
        <v>0</v>
      </c>
      <c r="BF61">
        <v>0</v>
      </c>
      <c r="BG61">
        <v>0</v>
      </c>
      <c r="BI61">
        <v>12.7</v>
      </c>
      <c r="BJ61">
        <v>11.087999999999999</v>
      </c>
      <c r="BK61">
        <v>0</v>
      </c>
      <c r="BL61">
        <v>10</v>
      </c>
      <c r="BM61">
        <v>4</v>
      </c>
      <c r="BN61">
        <v>96</v>
      </c>
      <c r="BO61">
        <v>422.66669999999999</v>
      </c>
      <c r="BP61">
        <v>-326.66669999999999</v>
      </c>
      <c r="BQ61">
        <v>0</v>
      </c>
      <c r="BR61">
        <v>96</v>
      </c>
      <c r="BS61">
        <v>29.87767857</v>
      </c>
      <c r="BT61">
        <v>2.1653166669999999</v>
      </c>
      <c r="BU61">
        <v>13.579434470000001</v>
      </c>
      <c r="BV61">
        <v>29.87767857</v>
      </c>
      <c r="BW61">
        <v>-2.1653166669999999</v>
      </c>
      <c r="BX61">
        <v>-13.579434470000001</v>
      </c>
      <c r="BY61" t="s">
        <v>114</v>
      </c>
      <c r="BZ61" t="s">
        <v>114</v>
      </c>
      <c r="CA61" t="s">
        <v>114</v>
      </c>
      <c r="CB61" t="s">
        <v>114</v>
      </c>
      <c r="CC61" t="s">
        <v>114</v>
      </c>
      <c r="CD61" t="s">
        <v>114</v>
      </c>
      <c r="CE61">
        <v>1.8206694999999999</v>
      </c>
      <c r="CF61" t="s">
        <v>114</v>
      </c>
      <c r="CG61">
        <v>1.8206694999999999</v>
      </c>
      <c r="CH61">
        <v>29.87767857</v>
      </c>
      <c r="CI61">
        <v>2.1653166669999999</v>
      </c>
      <c r="CJ61">
        <v>13.579434470000001</v>
      </c>
      <c r="CK61">
        <v>-1.8206694999999999</v>
      </c>
      <c r="CL61">
        <v>29.87767857</v>
      </c>
      <c r="CM61">
        <v>-2.1653166669999999</v>
      </c>
      <c r="CN61">
        <v>-13.579434470000001</v>
      </c>
      <c r="CO61" t="s">
        <v>114</v>
      </c>
      <c r="CP61" t="s">
        <v>114</v>
      </c>
      <c r="CQ61" t="s">
        <v>114</v>
      </c>
      <c r="CR61" t="s">
        <v>114</v>
      </c>
      <c r="CS61" t="s">
        <v>114</v>
      </c>
      <c r="CT61" t="s">
        <v>114</v>
      </c>
      <c r="CU61" t="s">
        <v>114</v>
      </c>
      <c r="CV61" t="s">
        <v>114</v>
      </c>
      <c r="CW61">
        <v>-1.8206694999999999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1</v>
      </c>
      <c r="EA61">
        <v>0</v>
      </c>
      <c r="EB61">
        <v>0</v>
      </c>
      <c r="EC61">
        <v>0</v>
      </c>
      <c r="ED61">
        <v>0</v>
      </c>
    </row>
    <row r="62" spans="1:134" x14ac:dyDescent="0.25">
      <c r="A62" t="s">
        <v>56</v>
      </c>
      <c r="B62">
        <v>12</v>
      </c>
      <c r="C62" t="s">
        <v>25</v>
      </c>
      <c r="D62" t="s">
        <v>94</v>
      </c>
      <c r="E62" t="s">
        <v>104</v>
      </c>
      <c r="F62" t="s">
        <v>145</v>
      </c>
      <c r="G62" t="s">
        <v>264</v>
      </c>
      <c r="H62" t="s">
        <v>779</v>
      </c>
      <c r="I62" t="s">
        <v>696</v>
      </c>
      <c r="J62" t="s">
        <v>336</v>
      </c>
      <c r="K62">
        <v>1</v>
      </c>
      <c r="L62">
        <v>25</v>
      </c>
      <c r="M62">
        <v>55</v>
      </c>
      <c r="N62">
        <v>25</v>
      </c>
      <c r="O62">
        <v>-30</v>
      </c>
      <c r="P62">
        <v>15</v>
      </c>
      <c r="Q62">
        <v>15</v>
      </c>
      <c r="R62">
        <v>5</v>
      </c>
      <c r="S62">
        <v>10</v>
      </c>
      <c r="T62">
        <v>0.4</v>
      </c>
      <c r="V62" t="s">
        <v>121</v>
      </c>
      <c r="W62" t="s">
        <v>114</v>
      </c>
      <c r="X62">
        <v>10.5</v>
      </c>
      <c r="Y62">
        <v>10.5</v>
      </c>
      <c r="Z62">
        <v>12.5</v>
      </c>
      <c r="AA62">
        <v>11.16666667</v>
      </c>
      <c r="AB62">
        <v>11.16666667</v>
      </c>
      <c r="AC62">
        <v>12</v>
      </c>
      <c r="AD62">
        <v>11.5</v>
      </c>
      <c r="AE62">
        <v>12.5</v>
      </c>
      <c r="AF62">
        <v>12</v>
      </c>
      <c r="AG62">
        <v>12</v>
      </c>
      <c r="AH62">
        <v>12.5</v>
      </c>
      <c r="AI62">
        <v>13.5</v>
      </c>
      <c r="AJ62">
        <v>12.66666667</v>
      </c>
      <c r="AK62">
        <v>15.4</v>
      </c>
      <c r="AL62">
        <v>14</v>
      </c>
      <c r="AM62">
        <v>14.4</v>
      </c>
      <c r="AN62">
        <v>14.6</v>
      </c>
      <c r="AO62">
        <v>12.66666667</v>
      </c>
      <c r="AP62">
        <v>6.6</v>
      </c>
      <c r="AQ62">
        <v>5.0999999999999996</v>
      </c>
      <c r="AR62">
        <v>8.1</v>
      </c>
      <c r="AS62">
        <v>6.6</v>
      </c>
      <c r="AT62">
        <v>5.6</v>
      </c>
      <c r="AU62">
        <v>6.1</v>
      </c>
      <c r="AV62">
        <v>6.6</v>
      </c>
      <c r="AW62">
        <v>6.1</v>
      </c>
      <c r="AX62">
        <v>6.6</v>
      </c>
      <c r="AY62">
        <v>-4.5666666669999998</v>
      </c>
      <c r="AZ62">
        <v>50</v>
      </c>
      <c r="BA62">
        <v>25</v>
      </c>
      <c r="BB62">
        <v>0</v>
      </c>
      <c r="BC62">
        <v>10</v>
      </c>
      <c r="BD62">
        <v>1</v>
      </c>
      <c r="BE62">
        <v>0</v>
      </c>
      <c r="BF62">
        <v>0</v>
      </c>
      <c r="BG62">
        <v>0</v>
      </c>
      <c r="BI62">
        <v>12.7</v>
      </c>
      <c r="BJ62">
        <v>11.087999999999999</v>
      </c>
      <c r="BK62">
        <v>0</v>
      </c>
      <c r="BL62">
        <v>1</v>
      </c>
      <c r="BM62">
        <v>1</v>
      </c>
      <c r="BN62">
        <v>4</v>
      </c>
      <c r="BO62">
        <v>32.5</v>
      </c>
      <c r="BP62">
        <v>-28.5</v>
      </c>
      <c r="BQ62">
        <v>43</v>
      </c>
      <c r="BR62">
        <v>-39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 t="s">
        <v>114</v>
      </c>
      <c r="BZ62" t="s">
        <v>114</v>
      </c>
      <c r="CA62" t="s">
        <v>114</v>
      </c>
      <c r="CB62" t="s">
        <v>114</v>
      </c>
      <c r="CC62" t="s">
        <v>114</v>
      </c>
      <c r="CD62" t="s">
        <v>114</v>
      </c>
      <c r="CE62">
        <v>0</v>
      </c>
      <c r="CF62" t="s">
        <v>114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 t="s">
        <v>114</v>
      </c>
      <c r="CP62" t="s">
        <v>114</v>
      </c>
      <c r="CQ62" t="s">
        <v>114</v>
      </c>
      <c r="CR62" t="s">
        <v>114</v>
      </c>
      <c r="CS62" t="s">
        <v>114</v>
      </c>
      <c r="CT62" t="s">
        <v>114</v>
      </c>
      <c r="CU62" t="s">
        <v>114</v>
      </c>
      <c r="CV62" t="s">
        <v>114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1</v>
      </c>
      <c r="DZ62">
        <v>0</v>
      </c>
      <c r="EA62">
        <v>0</v>
      </c>
      <c r="EB62">
        <v>0</v>
      </c>
      <c r="EC62">
        <v>0</v>
      </c>
      <c r="ED62">
        <v>0</v>
      </c>
    </row>
    <row r="63" spans="1:134" x14ac:dyDescent="0.25">
      <c r="A63" t="s">
        <v>56</v>
      </c>
      <c r="B63">
        <v>12</v>
      </c>
      <c r="C63" t="s">
        <v>25</v>
      </c>
      <c r="D63" t="s">
        <v>94</v>
      </c>
      <c r="E63" t="s">
        <v>112</v>
      </c>
      <c r="F63" t="s">
        <v>145</v>
      </c>
      <c r="G63" t="s">
        <v>261</v>
      </c>
      <c r="H63" t="s">
        <v>783</v>
      </c>
      <c r="I63" t="s">
        <v>688</v>
      </c>
      <c r="J63" t="s">
        <v>337</v>
      </c>
      <c r="K63">
        <v>4</v>
      </c>
      <c r="L63">
        <v>35</v>
      </c>
      <c r="M63">
        <v>60</v>
      </c>
      <c r="N63">
        <v>35</v>
      </c>
      <c r="O63">
        <v>-25</v>
      </c>
      <c r="P63">
        <v>40</v>
      </c>
      <c r="Q63">
        <v>70</v>
      </c>
      <c r="R63">
        <v>10</v>
      </c>
      <c r="S63">
        <v>40</v>
      </c>
      <c r="T63">
        <v>1.1428571430000001</v>
      </c>
      <c r="V63" t="s">
        <v>121</v>
      </c>
      <c r="W63" t="s">
        <v>114</v>
      </c>
      <c r="X63">
        <v>10.5</v>
      </c>
      <c r="Y63">
        <v>10.5</v>
      </c>
      <c r="Z63">
        <v>12.5</v>
      </c>
      <c r="AA63">
        <v>11.16666667</v>
      </c>
      <c r="AB63">
        <v>11.16666667</v>
      </c>
      <c r="AC63">
        <v>14.4</v>
      </c>
      <c r="AD63">
        <v>12.5</v>
      </c>
      <c r="AE63">
        <v>13</v>
      </c>
      <c r="AF63">
        <v>13.3</v>
      </c>
      <c r="AG63">
        <v>12</v>
      </c>
      <c r="AH63">
        <v>12.5</v>
      </c>
      <c r="AI63">
        <v>13.5</v>
      </c>
      <c r="AJ63">
        <v>12.66666667</v>
      </c>
      <c r="AK63">
        <v>12</v>
      </c>
      <c r="AL63">
        <v>13.9</v>
      </c>
      <c r="AM63">
        <v>13</v>
      </c>
      <c r="AN63">
        <v>12.96666667</v>
      </c>
      <c r="AO63">
        <v>12.66666667</v>
      </c>
      <c r="AP63">
        <v>6.6</v>
      </c>
      <c r="AQ63">
        <v>5.0999999999999996</v>
      </c>
      <c r="AR63">
        <v>8.1</v>
      </c>
      <c r="AS63">
        <v>6.6</v>
      </c>
      <c r="AT63">
        <v>5.0999999999999996</v>
      </c>
      <c r="AU63">
        <v>5.6</v>
      </c>
      <c r="AV63">
        <v>6.6</v>
      </c>
      <c r="AW63">
        <v>5.766666667</v>
      </c>
      <c r="AX63">
        <v>6.6</v>
      </c>
      <c r="AY63">
        <v>-4.5666666669999998</v>
      </c>
      <c r="AZ63">
        <v>50</v>
      </c>
      <c r="BA63">
        <v>25</v>
      </c>
      <c r="BB63">
        <v>0</v>
      </c>
      <c r="BC63">
        <v>10</v>
      </c>
      <c r="BD63">
        <v>1</v>
      </c>
      <c r="BE63">
        <v>0</v>
      </c>
      <c r="BF63">
        <v>0</v>
      </c>
      <c r="BG63">
        <v>0</v>
      </c>
      <c r="BI63">
        <v>12.7</v>
      </c>
      <c r="BJ63">
        <v>11.087999999999999</v>
      </c>
      <c r="BK63">
        <v>0</v>
      </c>
      <c r="BL63">
        <v>11</v>
      </c>
      <c r="BM63">
        <v>6</v>
      </c>
      <c r="BN63">
        <v>19</v>
      </c>
      <c r="BO63">
        <v>184.8</v>
      </c>
      <c r="BP63">
        <v>-165.8</v>
      </c>
      <c r="BQ63">
        <v>248</v>
      </c>
      <c r="BR63">
        <v>-229</v>
      </c>
      <c r="BS63">
        <v>48.90625</v>
      </c>
      <c r="BT63">
        <v>1.754436667</v>
      </c>
      <c r="BU63">
        <v>7.4645801799999996</v>
      </c>
      <c r="BV63">
        <v>-48.90625</v>
      </c>
      <c r="BW63">
        <v>1.754436667</v>
      </c>
      <c r="BX63">
        <v>7.4645801799999996</v>
      </c>
      <c r="BY63" t="s">
        <v>114</v>
      </c>
      <c r="BZ63" t="s">
        <v>114</v>
      </c>
      <c r="CA63" t="s">
        <v>114</v>
      </c>
      <c r="CB63" t="s">
        <v>114</v>
      </c>
      <c r="CC63" t="s">
        <v>114</v>
      </c>
      <c r="CD63" t="s">
        <v>114</v>
      </c>
      <c r="CE63">
        <v>1.9278440699999999</v>
      </c>
      <c r="CF63" t="s">
        <v>114</v>
      </c>
      <c r="CG63">
        <v>1.9278440699999999</v>
      </c>
      <c r="CH63">
        <v>48.90625</v>
      </c>
      <c r="CI63">
        <v>1.754436667</v>
      </c>
      <c r="CJ63">
        <v>7.4645801799999996</v>
      </c>
      <c r="CK63">
        <v>1.9278440699999999</v>
      </c>
      <c r="CL63">
        <v>-48.90625</v>
      </c>
      <c r="CM63">
        <v>1.754436667</v>
      </c>
      <c r="CN63">
        <v>7.4645801799999996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1.9278440699999999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4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</row>
    <row r="64" spans="1:134" x14ac:dyDescent="0.25">
      <c r="A64" t="s">
        <v>57</v>
      </c>
      <c r="B64">
        <v>12</v>
      </c>
      <c r="C64" t="s">
        <v>27</v>
      </c>
      <c r="D64" t="s">
        <v>94</v>
      </c>
      <c r="E64" t="s">
        <v>105</v>
      </c>
      <c r="F64" t="s">
        <v>145</v>
      </c>
      <c r="G64" t="s">
        <v>266</v>
      </c>
      <c r="H64" t="s">
        <v>759</v>
      </c>
      <c r="I64" t="s">
        <v>686</v>
      </c>
      <c r="J64" t="s">
        <v>338</v>
      </c>
      <c r="K64">
        <v>8</v>
      </c>
      <c r="L64">
        <v>40</v>
      </c>
      <c r="M64">
        <v>30</v>
      </c>
      <c r="N64">
        <v>40</v>
      </c>
      <c r="O64">
        <v>10</v>
      </c>
      <c r="P64">
        <v>80</v>
      </c>
      <c r="Q64">
        <v>80</v>
      </c>
      <c r="R64">
        <v>65</v>
      </c>
      <c r="S64">
        <v>72.5</v>
      </c>
      <c r="T64">
        <v>1.8125</v>
      </c>
      <c r="V64" t="s">
        <v>121</v>
      </c>
      <c r="W64" t="s">
        <v>114</v>
      </c>
      <c r="X64">
        <v>13</v>
      </c>
      <c r="Y64">
        <v>10</v>
      </c>
      <c r="Z64">
        <v>12</v>
      </c>
      <c r="AA64">
        <v>11.66666667</v>
      </c>
      <c r="AB64">
        <v>11.66666667</v>
      </c>
      <c r="AC64">
        <v>11</v>
      </c>
      <c r="AD64">
        <v>11</v>
      </c>
      <c r="AE64">
        <v>10.5</v>
      </c>
      <c r="AF64">
        <v>10.83333333</v>
      </c>
      <c r="AG64">
        <v>13.5</v>
      </c>
      <c r="AH64">
        <v>12</v>
      </c>
      <c r="AI64">
        <v>13.9</v>
      </c>
      <c r="AJ64">
        <v>13.133333329999999</v>
      </c>
      <c r="AK64">
        <v>9.5</v>
      </c>
      <c r="AL64">
        <v>12</v>
      </c>
      <c r="AM64">
        <v>10.5</v>
      </c>
      <c r="AN64">
        <v>10.66666667</v>
      </c>
      <c r="AO64">
        <v>13.133333329999999</v>
      </c>
      <c r="AP64">
        <v>4.0999999999999996</v>
      </c>
      <c r="AQ64">
        <v>5.6</v>
      </c>
      <c r="AR64">
        <v>5.6</v>
      </c>
      <c r="AS64">
        <v>5.0999999999999996</v>
      </c>
      <c r="AT64">
        <v>4.5999999999999996</v>
      </c>
      <c r="AU64">
        <v>4.5999999999999996</v>
      </c>
      <c r="AV64">
        <v>5.6</v>
      </c>
      <c r="AW64">
        <v>4.9333333330000002</v>
      </c>
      <c r="AX64">
        <v>5.0999999999999996</v>
      </c>
      <c r="AY64">
        <v>-6.5666666669999998</v>
      </c>
      <c r="AZ64">
        <v>50</v>
      </c>
      <c r="BA64">
        <v>0</v>
      </c>
      <c r="BB64">
        <v>0</v>
      </c>
      <c r="BC64">
        <v>20</v>
      </c>
      <c r="BD64">
        <v>1</v>
      </c>
      <c r="BE64">
        <v>0</v>
      </c>
      <c r="BF64">
        <v>0</v>
      </c>
      <c r="BG64">
        <v>0</v>
      </c>
      <c r="BI64">
        <v>20.9</v>
      </c>
      <c r="BJ64">
        <v>21.853999999999999</v>
      </c>
      <c r="BK64">
        <v>0</v>
      </c>
      <c r="BL64">
        <v>6</v>
      </c>
      <c r="BM64">
        <v>6</v>
      </c>
      <c r="BN64">
        <v>285</v>
      </c>
      <c r="BO64">
        <v>308.33330000000001</v>
      </c>
      <c r="BP64">
        <v>-23.333300000000001</v>
      </c>
      <c r="BQ64">
        <v>506</v>
      </c>
      <c r="BR64">
        <v>-221</v>
      </c>
      <c r="BS64">
        <v>23.684892000000001</v>
      </c>
      <c r="BT64">
        <v>0.34660251800000003</v>
      </c>
      <c r="BU64">
        <v>15.78914879</v>
      </c>
      <c r="BV64">
        <v>-22.545588519999999</v>
      </c>
      <c r="BW64">
        <v>0.34660251800000003</v>
      </c>
      <c r="BX64">
        <v>12.62028375</v>
      </c>
      <c r="BY64">
        <v>377.27001259999997</v>
      </c>
      <c r="BZ64">
        <v>2.6613299999999999E-4</v>
      </c>
      <c r="CA64">
        <v>104.9215087</v>
      </c>
      <c r="CB64">
        <v>456.2758336</v>
      </c>
      <c r="CC64">
        <v>2.6613299999999999E-4</v>
      </c>
      <c r="CD64">
        <v>239.95999509999999</v>
      </c>
      <c r="CE64">
        <v>1.74489932</v>
      </c>
      <c r="CF64">
        <v>2.3673132999999999E-2</v>
      </c>
      <c r="CG64">
        <v>1.6831783760000001</v>
      </c>
      <c r="CH64">
        <v>32.978118309999999</v>
      </c>
      <c r="CI64">
        <v>0.34243707699999998</v>
      </c>
      <c r="CJ64">
        <v>8.8917417729999997</v>
      </c>
      <c r="CK64">
        <v>1.6831783760000001</v>
      </c>
      <c r="CL64">
        <v>-32.550879510000001</v>
      </c>
      <c r="CM64">
        <v>0.34243707699999998</v>
      </c>
      <c r="CN64">
        <v>1.7617954330000001</v>
      </c>
      <c r="CO64">
        <v>9.3759640000000005E-3</v>
      </c>
      <c r="CP64">
        <v>167.01249870000001</v>
      </c>
      <c r="CQ64" s="4">
        <v>8.7935800000000006E-5</v>
      </c>
      <c r="CR64">
        <v>62.599898690000003</v>
      </c>
      <c r="CS64">
        <v>9.3759640000000005E-3</v>
      </c>
      <c r="CT64">
        <v>199.00853380000001</v>
      </c>
      <c r="CU64" s="4">
        <v>8.7935800000000006E-5</v>
      </c>
      <c r="CV64">
        <v>149.4103542</v>
      </c>
      <c r="CW64">
        <v>1.74489932</v>
      </c>
      <c r="CX64">
        <v>0</v>
      </c>
      <c r="CY64">
        <v>0</v>
      </c>
      <c r="CZ64">
        <v>0</v>
      </c>
      <c r="DA64">
        <v>0</v>
      </c>
      <c r="DB64">
        <v>6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1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1</v>
      </c>
      <c r="EC64">
        <v>0</v>
      </c>
      <c r="ED64">
        <v>0.73562193975879497</v>
      </c>
    </row>
    <row r="65" spans="1:134" x14ac:dyDescent="0.25">
      <c r="A65" t="s">
        <v>57</v>
      </c>
      <c r="B65">
        <v>12</v>
      </c>
      <c r="C65" t="s">
        <v>27</v>
      </c>
      <c r="D65" t="s">
        <v>94</v>
      </c>
      <c r="E65" t="s">
        <v>113</v>
      </c>
      <c r="F65" t="s">
        <v>145</v>
      </c>
      <c r="G65" t="s">
        <v>259</v>
      </c>
      <c r="H65" t="s">
        <v>763</v>
      </c>
      <c r="I65" t="s">
        <v>692</v>
      </c>
      <c r="J65" t="s">
        <v>339</v>
      </c>
      <c r="K65" t="s">
        <v>114</v>
      </c>
      <c r="L65">
        <v>40</v>
      </c>
      <c r="M65">
        <v>65</v>
      </c>
      <c r="N65">
        <v>40</v>
      </c>
      <c r="O65">
        <v>-25</v>
      </c>
      <c r="P65">
        <v>8</v>
      </c>
      <c r="Q65">
        <v>10</v>
      </c>
      <c r="R65">
        <v>2</v>
      </c>
      <c r="S65">
        <v>6</v>
      </c>
      <c r="T65">
        <v>0.15</v>
      </c>
      <c r="V65" t="s">
        <v>121</v>
      </c>
      <c r="W65" t="s">
        <v>114</v>
      </c>
      <c r="X65" t="s">
        <v>114</v>
      </c>
      <c r="Y65" t="s">
        <v>114</v>
      </c>
      <c r="Z65" t="s">
        <v>114</v>
      </c>
      <c r="AA65" t="s">
        <v>114</v>
      </c>
      <c r="AB65" t="s">
        <v>114</v>
      </c>
      <c r="AC65" t="s">
        <v>114</v>
      </c>
      <c r="AD65" t="s">
        <v>114</v>
      </c>
      <c r="AE65" t="s">
        <v>114</v>
      </c>
      <c r="AF65" t="s">
        <v>114</v>
      </c>
      <c r="AG65">
        <v>13.5</v>
      </c>
      <c r="AH65">
        <v>12</v>
      </c>
      <c r="AI65">
        <v>13.9</v>
      </c>
      <c r="AJ65">
        <v>13.133333329999999</v>
      </c>
      <c r="AK65">
        <v>11</v>
      </c>
      <c r="AL65">
        <v>8.5</v>
      </c>
      <c r="AM65">
        <v>13.5</v>
      </c>
      <c r="AN65">
        <v>11</v>
      </c>
      <c r="AO65">
        <v>13.133333329999999</v>
      </c>
      <c r="AP65">
        <v>4.0999999999999996</v>
      </c>
      <c r="AQ65">
        <v>5.6</v>
      </c>
      <c r="AR65">
        <v>5.6</v>
      </c>
      <c r="AS65">
        <v>5.0999999999999996</v>
      </c>
      <c r="AT65">
        <v>5.6</v>
      </c>
      <c r="AU65">
        <v>6.1</v>
      </c>
      <c r="AV65">
        <v>7.1</v>
      </c>
      <c r="AW65">
        <v>6.266666667</v>
      </c>
      <c r="AX65">
        <v>5.0999999999999996</v>
      </c>
      <c r="AY65" t="s">
        <v>114</v>
      </c>
      <c r="AZ65">
        <v>50</v>
      </c>
      <c r="BA65">
        <v>0</v>
      </c>
      <c r="BB65">
        <v>0</v>
      </c>
      <c r="BC65">
        <v>20</v>
      </c>
      <c r="BD65">
        <v>1</v>
      </c>
      <c r="BE65">
        <v>0</v>
      </c>
      <c r="BF65">
        <v>0</v>
      </c>
      <c r="BG65">
        <v>0</v>
      </c>
      <c r="BH65" t="s">
        <v>119</v>
      </c>
      <c r="BI65">
        <v>20.9</v>
      </c>
      <c r="BJ65">
        <v>21.853999999999999</v>
      </c>
      <c r="BK65">
        <v>0</v>
      </c>
      <c r="BL65">
        <v>1</v>
      </c>
      <c r="BM65">
        <v>1</v>
      </c>
      <c r="BN65">
        <v>5</v>
      </c>
      <c r="BO65">
        <v>2.75</v>
      </c>
      <c r="BP65">
        <v>2.25</v>
      </c>
      <c r="BQ65">
        <v>9</v>
      </c>
      <c r="BR65">
        <v>-4</v>
      </c>
      <c r="BS65" t="s">
        <v>114</v>
      </c>
      <c r="BT65" t="s">
        <v>114</v>
      </c>
      <c r="BU65" t="s">
        <v>114</v>
      </c>
      <c r="BV65" t="s">
        <v>114</v>
      </c>
      <c r="BW65" t="s">
        <v>114</v>
      </c>
      <c r="BX65" t="s">
        <v>114</v>
      </c>
      <c r="BY65" t="s">
        <v>114</v>
      </c>
      <c r="BZ65" t="s">
        <v>114</v>
      </c>
      <c r="CA65" t="s">
        <v>114</v>
      </c>
      <c r="CB65" t="s">
        <v>114</v>
      </c>
      <c r="CC65" t="s">
        <v>114</v>
      </c>
      <c r="CD65" t="s">
        <v>114</v>
      </c>
      <c r="CE65" t="s">
        <v>114</v>
      </c>
      <c r="CF65" t="s">
        <v>114</v>
      </c>
      <c r="CG65" t="s">
        <v>114</v>
      </c>
      <c r="CH65" t="s">
        <v>114</v>
      </c>
      <c r="CI65" t="s">
        <v>114</v>
      </c>
      <c r="CJ65" t="s">
        <v>114</v>
      </c>
      <c r="CK65" t="s">
        <v>114</v>
      </c>
      <c r="CL65" t="s">
        <v>114</v>
      </c>
      <c r="CM65" t="s">
        <v>114</v>
      </c>
      <c r="CN65" t="s">
        <v>114</v>
      </c>
      <c r="CO65" t="s">
        <v>114</v>
      </c>
      <c r="CP65" t="s">
        <v>114</v>
      </c>
      <c r="CQ65" t="s">
        <v>114</v>
      </c>
      <c r="CR65" t="s">
        <v>114</v>
      </c>
      <c r="CS65" t="s">
        <v>114</v>
      </c>
      <c r="CT65" t="s">
        <v>114</v>
      </c>
      <c r="CU65" t="s">
        <v>114</v>
      </c>
      <c r="CV65" t="s">
        <v>114</v>
      </c>
      <c r="CW65" t="s">
        <v>114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</row>
    <row r="66" spans="1:134" x14ac:dyDescent="0.25">
      <c r="A66" t="s">
        <v>57</v>
      </c>
      <c r="B66">
        <v>12</v>
      </c>
      <c r="C66" t="s">
        <v>27</v>
      </c>
      <c r="D66" t="s">
        <v>94</v>
      </c>
      <c r="E66" t="s">
        <v>112</v>
      </c>
      <c r="F66" t="s">
        <v>145</v>
      </c>
      <c r="G66" t="s">
        <v>261</v>
      </c>
      <c r="H66" t="s">
        <v>783</v>
      </c>
      <c r="I66" t="s">
        <v>688</v>
      </c>
      <c r="J66" t="s">
        <v>340</v>
      </c>
      <c r="K66">
        <v>3</v>
      </c>
      <c r="L66">
        <v>35</v>
      </c>
      <c r="M66">
        <v>100</v>
      </c>
      <c r="N66">
        <v>35</v>
      </c>
      <c r="O66">
        <v>-65</v>
      </c>
      <c r="P66">
        <v>45</v>
      </c>
      <c r="Q66">
        <v>120</v>
      </c>
      <c r="R66">
        <v>95</v>
      </c>
      <c r="S66">
        <v>107.5</v>
      </c>
      <c r="T66">
        <v>3.0714285710000002</v>
      </c>
      <c r="V66" t="s">
        <v>112</v>
      </c>
      <c r="W66">
        <v>55</v>
      </c>
      <c r="X66">
        <v>13</v>
      </c>
      <c r="Y66">
        <v>10</v>
      </c>
      <c r="Z66">
        <v>12</v>
      </c>
      <c r="AA66">
        <v>11.66666667</v>
      </c>
      <c r="AB66">
        <v>11.66666667</v>
      </c>
      <c r="AC66">
        <v>11</v>
      </c>
      <c r="AD66">
        <v>11.5</v>
      </c>
      <c r="AE66">
        <v>8.5</v>
      </c>
      <c r="AF66">
        <v>10.33333333</v>
      </c>
      <c r="AG66">
        <v>13.5</v>
      </c>
      <c r="AH66">
        <v>12</v>
      </c>
      <c r="AI66">
        <v>13.9</v>
      </c>
      <c r="AJ66">
        <v>13.133333329999999</v>
      </c>
      <c r="AK66">
        <v>13</v>
      </c>
      <c r="AL66">
        <v>11</v>
      </c>
      <c r="AM66">
        <v>12</v>
      </c>
      <c r="AN66">
        <v>12</v>
      </c>
      <c r="AO66">
        <v>13.133333329999999</v>
      </c>
      <c r="AP66">
        <v>4.0999999999999996</v>
      </c>
      <c r="AQ66">
        <v>5.6</v>
      </c>
      <c r="AR66">
        <v>5.6</v>
      </c>
      <c r="AS66">
        <v>5.0999999999999996</v>
      </c>
      <c r="AT66">
        <v>6.1</v>
      </c>
      <c r="AU66">
        <v>6.6</v>
      </c>
      <c r="AV66">
        <v>5.6</v>
      </c>
      <c r="AW66">
        <v>6.1</v>
      </c>
      <c r="AX66">
        <v>5.0999999999999996</v>
      </c>
      <c r="AY66">
        <v>-6.5666666669999998</v>
      </c>
      <c r="AZ66">
        <v>50</v>
      </c>
      <c r="BA66">
        <v>0</v>
      </c>
      <c r="BB66">
        <v>0</v>
      </c>
      <c r="BC66">
        <v>20</v>
      </c>
      <c r="BD66">
        <v>1</v>
      </c>
      <c r="BE66">
        <v>0</v>
      </c>
      <c r="BF66">
        <v>0</v>
      </c>
      <c r="BG66">
        <v>0</v>
      </c>
      <c r="BI66">
        <v>20.9</v>
      </c>
      <c r="BJ66">
        <v>21.853999999999999</v>
      </c>
      <c r="BK66">
        <v>0</v>
      </c>
      <c r="BL66">
        <v>73</v>
      </c>
      <c r="BM66">
        <v>22</v>
      </c>
      <c r="BN66">
        <v>95</v>
      </c>
      <c r="BO66">
        <v>184.8</v>
      </c>
      <c r="BP66">
        <v>-89.8</v>
      </c>
      <c r="BQ66">
        <v>74</v>
      </c>
      <c r="BR66">
        <v>21</v>
      </c>
      <c r="BS66">
        <v>0.34864739</v>
      </c>
      <c r="BT66">
        <v>1.1034737219999999</v>
      </c>
      <c r="BU66">
        <v>7.4750802949999997</v>
      </c>
      <c r="BV66">
        <v>-0.34864739</v>
      </c>
      <c r="BW66">
        <v>1.1034737219999999</v>
      </c>
      <c r="BX66">
        <v>7.4750802949999997</v>
      </c>
      <c r="BY66">
        <v>0.24311000499999999</v>
      </c>
      <c r="BZ66">
        <v>2.4353085079999999</v>
      </c>
      <c r="CA66">
        <v>111.7536508</v>
      </c>
      <c r="CB66">
        <v>0.24311000499999999</v>
      </c>
      <c r="CC66">
        <v>2.4353085079999999</v>
      </c>
      <c r="CD66">
        <v>111.7536508</v>
      </c>
      <c r="CE66">
        <v>1.0191604249999999</v>
      </c>
      <c r="CF66">
        <v>2.0773759439999999</v>
      </c>
      <c r="CG66">
        <v>0.67944028300000003</v>
      </c>
      <c r="CH66">
        <v>0.23243159299999999</v>
      </c>
      <c r="CI66">
        <v>0.73564914800000003</v>
      </c>
      <c r="CJ66">
        <v>4.9833868629999998</v>
      </c>
      <c r="CK66">
        <v>0.67944028300000003</v>
      </c>
      <c r="CL66">
        <v>-0.23243159299999999</v>
      </c>
      <c r="CM66">
        <v>0.73564914800000003</v>
      </c>
      <c r="CN66">
        <v>4.9833868629999998</v>
      </c>
      <c r="CO66">
        <v>1.384917296</v>
      </c>
      <c r="CP66">
        <v>0.16207333700000001</v>
      </c>
      <c r="CQ66">
        <v>1.623539005</v>
      </c>
      <c r="CR66">
        <v>74.502433890000006</v>
      </c>
      <c r="CS66">
        <v>1.384917296</v>
      </c>
      <c r="CT66">
        <v>0.16207333700000001</v>
      </c>
      <c r="CU66">
        <v>1.623539005</v>
      </c>
      <c r="CV66">
        <v>74.502433890000006</v>
      </c>
      <c r="CW66">
        <v>1.0191604249999999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2</v>
      </c>
      <c r="EA66">
        <v>0</v>
      </c>
      <c r="EB66">
        <v>1</v>
      </c>
      <c r="EC66">
        <v>0</v>
      </c>
      <c r="ED66">
        <v>0.636514168294813</v>
      </c>
    </row>
    <row r="67" spans="1:134" x14ac:dyDescent="0.25">
      <c r="A67" t="s">
        <v>58</v>
      </c>
      <c r="B67">
        <v>12</v>
      </c>
      <c r="C67" t="s">
        <v>29</v>
      </c>
      <c r="D67" t="s">
        <v>95</v>
      </c>
      <c r="E67" t="s">
        <v>102</v>
      </c>
      <c r="F67" t="s">
        <v>145</v>
      </c>
      <c r="G67" t="s">
        <v>265</v>
      </c>
      <c r="H67" t="s">
        <v>756</v>
      </c>
      <c r="I67" t="s">
        <v>689</v>
      </c>
      <c r="J67" t="s">
        <v>341</v>
      </c>
      <c r="K67">
        <v>2</v>
      </c>
      <c r="L67">
        <v>200</v>
      </c>
      <c r="M67">
        <v>85</v>
      </c>
      <c r="N67">
        <v>200</v>
      </c>
      <c r="O67">
        <v>115</v>
      </c>
      <c r="P67">
        <v>220</v>
      </c>
      <c r="Q67">
        <v>220</v>
      </c>
      <c r="R67">
        <v>160</v>
      </c>
      <c r="S67">
        <v>190</v>
      </c>
      <c r="T67">
        <v>0.95</v>
      </c>
      <c r="V67" t="s">
        <v>104</v>
      </c>
      <c r="W67">
        <v>100</v>
      </c>
      <c r="X67">
        <v>13</v>
      </c>
      <c r="Y67">
        <v>12.5</v>
      </c>
      <c r="Z67">
        <v>10.5</v>
      </c>
      <c r="AA67">
        <v>12</v>
      </c>
      <c r="AB67">
        <v>12</v>
      </c>
      <c r="AC67">
        <v>13.9</v>
      </c>
      <c r="AD67">
        <v>12</v>
      </c>
      <c r="AE67">
        <v>14.9</v>
      </c>
      <c r="AF67">
        <v>13.6</v>
      </c>
      <c r="AG67">
        <v>13.5</v>
      </c>
      <c r="AH67">
        <v>13</v>
      </c>
      <c r="AI67">
        <v>12</v>
      </c>
      <c r="AJ67">
        <v>12.83333333</v>
      </c>
      <c r="AK67">
        <v>14.4</v>
      </c>
      <c r="AL67">
        <v>15.4</v>
      </c>
      <c r="AM67">
        <v>15.4</v>
      </c>
      <c r="AN67">
        <v>15.06666667</v>
      </c>
      <c r="AO67">
        <v>12.83333333</v>
      </c>
      <c r="AP67">
        <v>4.5999999999999996</v>
      </c>
      <c r="AQ67">
        <v>5.6</v>
      </c>
      <c r="AR67">
        <v>4.9000000000000004</v>
      </c>
      <c r="AS67">
        <v>5.0333333329999999</v>
      </c>
      <c r="AT67">
        <v>3.9</v>
      </c>
      <c r="AU67">
        <v>5.3</v>
      </c>
      <c r="AV67">
        <v>5.6</v>
      </c>
      <c r="AW67">
        <v>4.9333333330000002</v>
      </c>
      <c r="AX67">
        <v>5.0333333329999999</v>
      </c>
      <c r="AY67">
        <v>-6.9666666670000001</v>
      </c>
      <c r="AZ67">
        <v>60</v>
      </c>
      <c r="BA67">
        <v>0</v>
      </c>
      <c r="BB67">
        <v>10</v>
      </c>
      <c r="BC67">
        <v>10</v>
      </c>
      <c r="BD67">
        <v>1</v>
      </c>
      <c r="BE67">
        <v>1</v>
      </c>
      <c r="BF67">
        <v>0</v>
      </c>
      <c r="BG67">
        <v>0</v>
      </c>
      <c r="BI67">
        <v>14.9</v>
      </c>
      <c r="BJ67">
        <v>43.93</v>
      </c>
      <c r="BK67">
        <v>0</v>
      </c>
      <c r="BL67">
        <v>30</v>
      </c>
      <c r="BM67">
        <v>30</v>
      </c>
      <c r="BN67">
        <v>965</v>
      </c>
      <c r="BO67">
        <v>545.5</v>
      </c>
      <c r="BP67">
        <v>419.5</v>
      </c>
      <c r="BQ67">
        <v>171</v>
      </c>
      <c r="BR67">
        <v>794</v>
      </c>
      <c r="BS67">
        <v>32.35300926</v>
      </c>
      <c r="BT67">
        <v>0.75796250799999998</v>
      </c>
      <c r="BU67">
        <v>2.8559647799999999</v>
      </c>
      <c r="BV67">
        <v>-32.35300926</v>
      </c>
      <c r="BW67">
        <v>-0.551352493</v>
      </c>
      <c r="BX67">
        <v>-2.8559647799999999</v>
      </c>
      <c r="BY67">
        <v>19.92382813</v>
      </c>
      <c r="BZ67">
        <v>0.60797914200000003</v>
      </c>
      <c r="CA67">
        <v>3.6586678770000001</v>
      </c>
      <c r="CB67">
        <v>19.92382813</v>
      </c>
      <c r="CC67">
        <v>1.1490143260000001</v>
      </c>
      <c r="CD67">
        <v>3.6586678770000001</v>
      </c>
      <c r="CE67" t="s">
        <v>114</v>
      </c>
      <c r="CF67" t="s">
        <v>114</v>
      </c>
      <c r="CG67" t="s">
        <v>114</v>
      </c>
      <c r="CH67">
        <v>32.35300926</v>
      </c>
      <c r="CI67">
        <v>0.75796250799999998</v>
      </c>
      <c r="CJ67">
        <v>2.8559647799999999</v>
      </c>
      <c r="CK67" t="s">
        <v>114</v>
      </c>
      <c r="CL67">
        <v>-32.35300926</v>
      </c>
      <c r="CM67">
        <v>-0.551352493</v>
      </c>
      <c r="CN67">
        <v>-2.8559647799999999</v>
      </c>
      <c r="CO67" t="s">
        <v>114</v>
      </c>
      <c r="CP67">
        <v>19.92382813</v>
      </c>
      <c r="CQ67">
        <v>0.60797914200000003</v>
      </c>
      <c r="CR67">
        <v>3.6586678770000001</v>
      </c>
      <c r="CS67" t="s">
        <v>114</v>
      </c>
      <c r="CT67">
        <v>19.92382813</v>
      </c>
      <c r="CU67">
        <v>1.1490143260000001</v>
      </c>
      <c r="CV67">
        <v>3.6586678770000001</v>
      </c>
      <c r="CW67" t="s">
        <v>114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1</v>
      </c>
      <c r="DU67">
        <v>0</v>
      </c>
      <c r="DV67">
        <v>0</v>
      </c>
      <c r="DW67">
        <v>0</v>
      </c>
      <c r="DX67">
        <v>0</v>
      </c>
      <c r="DY67">
        <v>1</v>
      </c>
      <c r="DZ67">
        <v>0</v>
      </c>
      <c r="EA67">
        <v>0</v>
      </c>
      <c r="EB67">
        <v>0</v>
      </c>
      <c r="EC67">
        <v>0</v>
      </c>
      <c r="ED67">
        <v>0.69314718055994495</v>
      </c>
    </row>
    <row r="68" spans="1:134" x14ac:dyDescent="0.25">
      <c r="A68" t="s">
        <v>58</v>
      </c>
      <c r="B68">
        <v>12</v>
      </c>
      <c r="C68" t="s">
        <v>29</v>
      </c>
      <c r="D68" t="s">
        <v>95</v>
      </c>
      <c r="E68" t="s">
        <v>110</v>
      </c>
      <c r="F68" t="s">
        <v>145</v>
      </c>
      <c r="G68" t="s">
        <v>262</v>
      </c>
      <c r="H68" t="s">
        <v>768</v>
      </c>
      <c r="I68" t="s">
        <v>694</v>
      </c>
      <c r="J68" t="s">
        <v>342</v>
      </c>
      <c r="K68">
        <v>2</v>
      </c>
      <c r="L68">
        <v>80</v>
      </c>
      <c r="M68">
        <v>50</v>
      </c>
      <c r="N68">
        <v>80</v>
      </c>
      <c r="O68">
        <v>30</v>
      </c>
      <c r="P68">
        <v>30</v>
      </c>
      <c r="Q68">
        <v>20</v>
      </c>
      <c r="R68">
        <v>15</v>
      </c>
      <c r="S68">
        <v>17.5</v>
      </c>
      <c r="T68">
        <v>0.21875</v>
      </c>
      <c r="V68" t="s">
        <v>121</v>
      </c>
      <c r="W68" t="s">
        <v>114</v>
      </c>
      <c r="X68">
        <v>13</v>
      </c>
      <c r="Y68">
        <v>12.5</v>
      </c>
      <c r="Z68">
        <v>10.5</v>
      </c>
      <c r="AA68">
        <v>12</v>
      </c>
      <c r="AB68">
        <v>12</v>
      </c>
      <c r="AC68">
        <v>11</v>
      </c>
      <c r="AD68">
        <v>13.5</v>
      </c>
      <c r="AE68">
        <v>14.4</v>
      </c>
      <c r="AF68">
        <v>12.96666667</v>
      </c>
      <c r="AG68">
        <v>13.5</v>
      </c>
      <c r="AH68">
        <v>13</v>
      </c>
      <c r="AI68">
        <v>12</v>
      </c>
      <c r="AJ68">
        <v>12.83333333</v>
      </c>
      <c r="AK68">
        <v>13.5</v>
      </c>
      <c r="AL68">
        <v>14.4</v>
      </c>
      <c r="AM68">
        <v>15.9</v>
      </c>
      <c r="AN68">
        <v>14.6</v>
      </c>
      <c r="AO68">
        <v>12.83333333</v>
      </c>
      <c r="AP68">
        <v>4.5999999999999996</v>
      </c>
      <c r="AQ68">
        <v>5.6</v>
      </c>
      <c r="AR68">
        <v>4.9000000000000004</v>
      </c>
      <c r="AS68">
        <v>5.0333333329999999</v>
      </c>
      <c r="AT68">
        <v>4.3</v>
      </c>
      <c r="AU68">
        <v>4.3</v>
      </c>
      <c r="AV68">
        <v>4.5999999999999996</v>
      </c>
      <c r="AW68">
        <v>4.4000000000000004</v>
      </c>
      <c r="AX68">
        <v>5.0333333329999999</v>
      </c>
      <c r="AY68">
        <v>-6.9666666670000001</v>
      </c>
      <c r="AZ68">
        <v>60</v>
      </c>
      <c r="BA68">
        <v>0</v>
      </c>
      <c r="BB68">
        <v>10</v>
      </c>
      <c r="BC68">
        <v>10</v>
      </c>
      <c r="BD68">
        <v>1</v>
      </c>
      <c r="BE68">
        <v>1</v>
      </c>
      <c r="BF68">
        <v>0</v>
      </c>
      <c r="BG68">
        <v>0</v>
      </c>
      <c r="BI68">
        <v>14.9</v>
      </c>
      <c r="BJ68">
        <v>43.93</v>
      </c>
      <c r="BK68">
        <v>1</v>
      </c>
      <c r="BL68">
        <v>0</v>
      </c>
      <c r="BM68">
        <v>0</v>
      </c>
      <c r="BN68">
        <v>0</v>
      </c>
      <c r="BO68">
        <v>9</v>
      </c>
      <c r="BP68">
        <v>-9</v>
      </c>
      <c r="BQ68">
        <v>0</v>
      </c>
      <c r="BR68">
        <v>0</v>
      </c>
      <c r="BS68">
        <v>37.09140318</v>
      </c>
      <c r="BT68">
        <v>0.223995841</v>
      </c>
      <c r="BU68">
        <v>5.7412001500000001</v>
      </c>
      <c r="BV68">
        <v>-37.09140318</v>
      </c>
      <c r="BW68">
        <v>0.223995841</v>
      </c>
      <c r="BX68">
        <v>5.7412001500000001</v>
      </c>
      <c r="BY68">
        <v>195.93000939999999</v>
      </c>
      <c r="BZ68">
        <v>1.1563400999999999E-2</v>
      </c>
      <c r="CA68">
        <v>7.6661160339999999</v>
      </c>
      <c r="CB68">
        <v>195.93000939999999</v>
      </c>
      <c r="CC68">
        <v>1.1563400999999999E-2</v>
      </c>
      <c r="CD68">
        <v>7.6661160339999999</v>
      </c>
      <c r="CE68" t="s">
        <v>114</v>
      </c>
      <c r="CF68" t="s">
        <v>114</v>
      </c>
      <c r="CG68" t="s">
        <v>114</v>
      </c>
      <c r="CH68">
        <v>37.09140318</v>
      </c>
      <c r="CI68">
        <v>0.223995841</v>
      </c>
      <c r="CJ68">
        <v>5.7412001500000001</v>
      </c>
      <c r="CK68" t="s">
        <v>114</v>
      </c>
      <c r="CL68">
        <v>-37.09140318</v>
      </c>
      <c r="CM68">
        <v>0.223995841</v>
      </c>
      <c r="CN68">
        <v>5.7412001500000001</v>
      </c>
      <c r="CO68" t="s">
        <v>114</v>
      </c>
      <c r="CP68">
        <v>195.93000939999999</v>
      </c>
      <c r="CQ68">
        <v>1.1563400999999999E-2</v>
      </c>
      <c r="CR68">
        <v>7.6661160339999999</v>
      </c>
      <c r="CS68" t="s">
        <v>114</v>
      </c>
      <c r="CT68">
        <v>195.93000939999999</v>
      </c>
      <c r="CU68">
        <v>1.1563400999999999E-2</v>
      </c>
      <c r="CV68">
        <v>7.6661160339999999</v>
      </c>
      <c r="CW68" t="s">
        <v>114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1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1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0.69314718055994495</v>
      </c>
    </row>
    <row r="69" spans="1:134" x14ac:dyDescent="0.25">
      <c r="A69" t="s">
        <v>58</v>
      </c>
      <c r="B69">
        <v>12</v>
      </c>
      <c r="C69" t="s">
        <v>29</v>
      </c>
      <c r="D69" t="s">
        <v>95</v>
      </c>
      <c r="E69" t="s">
        <v>103</v>
      </c>
      <c r="F69" t="s">
        <v>145</v>
      </c>
      <c r="G69" t="s">
        <v>260</v>
      </c>
      <c r="H69" t="s">
        <v>772</v>
      </c>
      <c r="I69" t="s">
        <v>683</v>
      </c>
      <c r="J69" t="s">
        <v>343</v>
      </c>
      <c r="K69">
        <v>2</v>
      </c>
      <c r="L69">
        <v>60</v>
      </c>
      <c r="M69">
        <v>75</v>
      </c>
      <c r="N69">
        <v>60</v>
      </c>
      <c r="O69">
        <v>-15</v>
      </c>
      <c r="P69">
        <v>30</v>
      </c>
      <c r="Q69">
        <v>15</v>
      </c>
      <c r="R69">
        <v>12</v>
      </c>
      <c r="S69">
        <v>13.5</v>
      </c>
      <c r="T69">
        <v>0.22500000000000001</v>
      </c>
      <c r="V69" t="s">
        <v>121</v>
      </c>
      <c r="W69" t="s">
        <v>114</v>
      </c>
      <c r="X69">
        <v>13</v>
      </c>
      <c r="Y69">
        <v>12.5</v>
      </c>
      <c r="Z69">
        <v>10.5</v>
      </c>
      <c r="AA69">
        <v>12</v>
      </c>
      <c r="AB69">
        <v>12</v>
      </c>
      <c r="AC69">
        <v>12</v>
      </c>
      <c r="AD69">
        <v>12</v>
      </c>
      <c r="AE69">
        <v>12.5</v>
      </c>
      <c r="AF69">
        <v>12.16666667</v>
      </c>
      <c r="AG69">
        <v>13.5</v>
      </c>
      <c r="AH69">
        <v>13</v>
      </c>
      <c r="AI69">
        <v>12</v>
      </c>
      <c r="AJ69">
        <v>12.83333333</v>
      </c>
      <c r="AK69">
        <v>13</v>
      </c>
      <c r="AL69">
        <v>13.5</v>
      </c>
      <c r="AM69">
        <v>14.9</v>
      </c>
      <c r="AN69">
        <v>13.8</v>
      </c>
      <c r="AO69">
        <v>12.83333333</v>
      </c>
      <c r="AP69">
        <v>4.5999999999999996</v>
      </c>
      <c r="AQ69">
        <v>5.6</v>
      </c>
      <c r="AR69">
        <v>4.9000000000000004</v>
      </c>
      <c r="AS69">
        <v>5.0333333329999999</v>
      </c>
      <c r="AT69">
        <v>4.9000000000000004</v>
      </c>
      <c r="AU69">
        <v>5.3</v>
      </c>
      <c r="AV69">
        <v>5.6</v>
      </c>
      <c r="AW69">
        <v>5.266666667</v>
      </c>
      <c r="AX69">
        <v>5.0333333329999999</v>
      </c>
      <c r="AY69">
        <v>-6.9666666670000001</v>
      </c>
      <c r="AZ69">
        <v>60</v>
      </c>
      <c r="BA69">
        <v>0</v>
      </c>
      <c r="BB69">
        <v>10</v>
      </c>
      <c r="BC69">
        <v>10</v>
      </c>
      <c r="BD69">
        <v>1</v>
      </c>
      <c r="BE69">
        <v>1</v>
      </c>
      <c r="BF69">
        <v>0</v>
      </c>
      <c r="BG69">
        <v>0</v>
      </c>
      <c r="BI69">
        <v>14.9</v>
      </c>
      <c r="BJ69">
        <v>43.93</v>
      </c>
      <c r="BK69">
        <v>0</v>
      </c>
      <c r="BL69">
        <v>3</v>
      </c>
      <c r="BM69">
        <v>3</v>
      </c>
      <c r="BN69">
        <v>143</v>
      </c>
      <c r="BO69">
        <v>290.75</v>
      </c>
      <c r="BP69">
        <v>-147.75</v>
      </c>
      <c r="BQ69">
        <v>289</v>
      </c>
      <c r="BR69">
        <v>-146</v>
      </c>
      <c r="BS69">
        <v>13.708333339999999</v>
      </c>
      <c r="BT69">
        <v>4.4746807E-2</v>
      </c>
      <c r="BU69">
        <v>9.2889784300000002</v>
      </c>
      <c r="BV69">
        <v>13.708333339999999</v>
      </c>
      <c r="BW69">
        <v>-2.4741073999999998E-2</v>
      </c>
      <c r="BX69">
        <v>-8.4521592400000003</v>
      </c>
      <c r="BY69">
        <v>17.013888869999999</v>
      </c>
      <c r="BZ69">
        <v>1.224241E-3</v>
      </c>
      <c r="CA69">
        <v>142.8779916</v>
      </c>
      <c r="CB69">
        <v>17.013888869999999</v>
      </c>
      <c r="CC69">
        <v>4.0045530000000001E-3</v>
      </c>
      <c r="CD69">
        <v>172.57024050000001</v>
      </c>
      <c r="CE69" t="s">
        <v>114</v>
      </c>
      <c r="CF69" t="s">
        <v>114</v>
      </c>
      <c r="CG69" t="s">
        <v>114</v>
      </c>
      <c r="CH69">
        <v>13.708333339999999</v>
      </c>
      <c r="CI69">
        <v>4.4746807E-2</v>
      </c>
      <c r="CJ69">
        <v>9.2889784300000002</v>
      </c>
      <c r="CK69" t="s">
        <v>114</v>
      </c>
      <c r="CL69">
        <v>13.708333339999999</v>
      </c>
      <c r="CM69">
        <v>-2.4741073999999998E-2</v>
      </c>
      <c r="CN69">
        <v>-8.4521592400000003</v>
      </c>
      <c r="CO69" t="s">
        <v>114</v>
      </c>
      <c r="CP69">
        <v>17.013888869999999</v>
      </c>
      <c r="CQ69">
        <v>1.224241E-3</v>
      </c>
      <c r="CR69">
        <v>142.8779916</v>
      </c>
      <c r="CS69" t="s">
        <v>114</v>
      </c>
      <c r="CT69">
        <v>17.013888869999999</v>
      </c>
      <c r="CU69">
        <v>4.0045530000000001E-3</v>
      </c>
      <c r="CV69">
        <v>172.57024050000001</v>
      </c>
      <c r="CW69" t="s">
        <v>114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1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1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0.69314718055994495</v>
      </c>
    </row>
    <row r="70" spans="1:134" x14ac:dyDescent="0.25">
      <c r="A70" t="s">
        <v>59</v>
      </c>
      <c r="B70">
        <v>12</v>
      </c>
      <c r="C70" t="s">
        <v>31</v>
      </c>
      <c r="D70" t="s">
        <v>94</v>
      </c>
      <c r="E70" t="s">
        <v>105</v>
      </c>
      <c r="F70" t="s">
        <v>145</v>
      </c>
      <c r="G70" t="s">
        <v>266</v>
      </c>
      <c r="H70" t="s">
        <v>759</v>
      </c>
      <c r="I70" t="s">
        <v>686</v>
      </c>
      <c r="J70" t="s">
        <v>344</v>
      </c>
      <c r="K70">
        <v>1</v>
      </c>
      <c r="L70">
        <v>80</v>
      </c>
      <c r="M70">
        <v>20</v>
      </c>
      <c r="N70">
        <v>80</v>
      </c>
      <c r="O70">
        <v>60</v>
      </c>
      <c r="P70">
        <v>70</v>
      </c>
      <c r="Q70">
        <v>70</v>
      </c>
      <c r="R70">
        <v>60</v>
      </c>
      <c r="S70">
        <v>65</v>
      </c>
      <c r="T70">
        <v>0.8125</v>
      </c>
      <c r="V70" t="s">
        <v>121</v>
      </c>
      <c r="W70" t="s">
        <v>114</v>
      </c>
      <c r="X70">
        <v>18.399999999999999</v>
      </c>
      <c r="Y70">
        <v>19.8</v>
      </c>
      <c r="Z70">
        <v>20.3</v>
      </c>
      <c r="AA70">
        <v>19.5</v>
      </c>
      <c r="AB70">
        <v>19.5</v>
      </c>
      <c r="AC70">
        <v>14.9</v>
      </c>
      <c r="AD70">
        <v>17.899999999999999</v>
      </c>
      <c r="AE70">
        <v>17.899999999999999</v>
      </c>
      <c r="AF70">
        <v>16.899999999999999</v>
      </c>
      <c r="AG70">
        <v>10.5</v>
      </c>
      <c r="AH70">
        <v>18.399999999999999</v>
      </c>
      <c r="AI70">
        <v>16.899999999999999</v>
      </c>
      <c r="AJ70">
        <v>15.266666669999999</v>
      </c>
      <c r="AK70">
        <v>15.4</v>
      </c>
      <c r="AL70">
        <v>19.8</v>
      </c>
      <c r="AM70">
        <v>18.399999999999999</v>
      </c>
      <c r="AN70">
        <v>17.866666670000001</v>
      </c>
      <c r="AO70">
        <v>15.266666669999999</v>
      </c>
      <c r="AP70">
        <v>6.1</v>
      </c>
      <c r="AQ70">
        <v>5.6</v>
      </c>
      <c r="AR70">
        <v>7.1</v>
      </c>
      <c r="AS70">
        <v>6.266666667</v>
      </c>
      <c r="AT70">
        <v>5.0999999999999996</v>
      </c>
      <c r="AU70">
        <v>5.6</v>
      </c>
      <c r="AV70">
        <v>7.6</v>
      </c>
      <c r="AW70">
        <v>6.1</v>
      </c>
      <c r="AX70">
        <v>6.266666667</v>
      </c>
      <c r="AY70">
        <v>-13.233333330000001</v>
      </c>
      <c r="AZ70">
        <v>3</v>
      </c>
      <c r="BA70">
        <v>90</v>
      </c>
      <c r="BB70">
        <v>5</v>
      </c>
      <c r="BC70">
        <v>10</v>
      </c>
      <c r="BD70">
        <v>1</v>
      </c>
      <c r="BE70">
        <v>1</v>
      </c>
      <c r="BF70">
        <v>0</v>
      </c>
      <c r="BG70">
        <v>0</v>
      </c>
      <c r="BI70">
        <v>16.5</v>
      </c>
      <c r="BJ70">
        <v>1.4530000000000001</v>
      </c>
      <c r="BK70">
        <v>0</v>
      </c>
      <c r="BL70">
        <v>10</v>
      </c>
      <c r="BM70">
        <v>10</v>
      </c>
      <c r="BN70">
        <v>453</v>
      </c>
      <c r="BO70">
        <v>308.33330000000001</v>
      </c>
      <c r="BP70">
        <v>144.66669999999999</v>
      </c>
      <c r="BQ70">
        <v>81</v>
      </c>
      <c r="BR70">
        <v>372</v>
      </c>
      <c r="BS70">
        <v>46.5</v>
      </c>
      <c r="BT70">
        <v>0.117834331</v>
      </c>
      <c r="BU70">
        <v>17.50646339</v>
      </c>
      <c r="BV70">
        <v>-46.5</v>
      </c>
      <c r="BW70">
        <v>-0.117834331</v>
      </c>
      <c r="BX70">
        <v>17.50646339</v>
      </c>
      <c r="BY70" t="s">
        <v>114</v>
      </c>
      <c r="BZ70" t="s">
        <v>114</v>
      </c>
      <c r="CA70" t="s">
        <v>114</v>
      </c>
      <c r="CB70" t="s">
        <v>114</v>
      </c>
      <c r="CC70" t="s">
        <v>114</v>
      </c>
      <c r="CD70" t="s">
        <v>114</v>
      </c>
      <c r="CE70">
        <v>1.81170137</v>
      </c>
      <c r="CF70" t="s">
        <v>114</v>
      </c>
      <c r="CG70">
        <v>1.81170137</v>
      </c>
      <c r="CH70">
        <v>46.5</v>
      </c>
      <c r="CI70">
        <v>0.117834331</v>
      </c>
      <c r="CJ70">
        <v>17.50646339</v>
      </c>
      <c r="CK70">
        <v>1.81170137</v>
      </c>
      <c r="CL70">
        <v>-46.5</v>
      </c>
      <c r="CM70">
        <v>-0.117834331</v>
      </c>
      <c r="CN70">
        <v>17.50646339</v>
      </c>
      <c r="CO70" t="s">
        <v>114</v>
      </c>
      <c r="CP70" t="s">
        <v>114</v>
      </c>
      <c r="CQ70" t="s">
        <v>114</v>
      </c>
      <c r="CR70" t="s">
        <v>114</v>
      </c>
      <c r="CS70" t="s">
        <v>114</v>
      </c>
      <c r="CT70" t="s">
        <v>114</v>
      </c>
      <c r="CU70" t="s">
        <v>114</v>
      </c>
      <c r="CV70" t="s">
        <v>114</v>
      </c>
      <c r="CW70">
        <v>1.81170137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1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</row>
    <row r="71" spans="1:134" x14ac:dyDescent="0.25">
      <c r="A71" t="s">
        <v>59</v>
      </c>
      <c r="B71">
        <v>12</v>
      </c>
      <c r="C71" t="s">
        <v>31</v>
      </c>
      <c r="D71" t="s">
        <v>94</v>
      </c>
      <c r="E71" t="s">
        <v>110</v>
      </c>
      <c r="F71" t="s">
        <v>145</v>
      </c>
      <c r="G71" t="s">
        <v>262</v>
      </c>
      <c r="H71" t="s">
        <v>767</v>
      </c>
      <c r="I71" t="s">
        <v>695</v>
      </c>
      <c r="J71" t="s">
        <v>345</v>
      </c>
      <c r="K71">
        <v>2</v>
      </c>
      <c r="L71">
        <v>130</v>
      </c>
      <c r="M71">
        <v>130</v>
      </c>
      <c r="N71">
        <v>130</v>
      </c>
      <c r="O71">
        <v>0</v>
      </c>
      <c r="P71">
        <v>10</v>
      </c>
      <c r="Q71">
        <v>80</v>
      </c>
      <c r="R71">
        <v>0</v>
      </c>
      <c r="S71">
        <v>40</v>
      </c>
      <c r="T71">
        <v>0.30769230800000003</v>
      </c>
      <c r="U71" t="s">
        <v>794</v>
      </c>
      <c r="V71" t="s">
        <v>121</v>
      </c>
      <c r="W71" t="s">
        <v>114</v>
      </c>
      <c r="X71">
        <v>18.399999999999999</v>
      </c>
      <c r="Y71">
        <v>19.8</v>
      </c>
      <c r="Z71">
        <v>20.3</v>
      </c>
      <c r="AA71">
        <v>19.5</v>
      </c>
      <c r="AB71">
        <v>19.5</v>
      </c>
      <c r="AC71">
        <v>17.899999999999999</v>
      </c>
      <c r="AD71">
        <v>17.899999999999999</v>
      </c>
      <c r="AE71">
        <v>14.9</v>
      </c>
      <c r="AF71">
        <v>16.899999999999999</v>
      </c>
      <c r="AG71">
        <v>10.5</v>
      </c>
      <c r="AH71">
        <v>18.399999999999999</v>
      </c>
      <c r="AI71">
        <v>16.899999999999999</v>
      </c>
      <c r="AJ71">
        <v>15.266666669999999</v>
      </c>
      <c r="AK71">
        <v>17.899999999999999</v>
      </c>
      <c r="AL71">
        <v>15.9</v>
      </c>
      <c r="AM71">
        <v>16.399999999999999</v>
      </c>
      <c r="AN71">
        <v>16.733333330000001</v>
      </c>
      <c r="AO71">
        <v>15.266666669999999</v>
      </c>
      <c r="AP71">
        <v>6.1</v>
      </c>
      <c r="AQ71">
        <v>5.6</v>
      </c>
      <c r="AR71">
        <v>7.1</v>
      </c>
      <c r="AS71">
        <v>6.266666667</v>
      </c>
      <c r="AT71">
        <v>5.6</v>
      </c>
      <c r="AU71">
        <v>4.5999999999999996</v>
      </c>
      <c r="AV71">
        <v>6.1</v>
      </c>
      <c r="AW71">
        <v>5.4333333330000002</v>
      </c>
      <c r="AX71">
        <v>6.266666667</v>
      </c>
      <c r="AY71">
        <v>-13.233333330000001</v>
      </c>
      <c r="AZ71">
        <v>3</v>
      </c>
      <c r="BA71">
        <v>90</v>
      </c>
      <c r="BB71">
        <v>5</v>
      </c>
      <c r="BC71">
        <v>10</v>
      </c>
      <c r="BD71">
        <v>1</v>
      </c>
      <c r="BE71">
        <v>1</v>
      </c>
      <c r="BF71">
        <v>0</v>
      </c>
      <c r="BG71">
        <v>0</v>
      </c>
      <c r="BI71">
        <v>16.5</v>
      </c>
      <c r="BJ71">
        <v>1.4530000000000001</v>
      </c>
      <c r="BK71">
        <v>0</v>
      </c>
      <c r="BL71">
        <v>10</v>
      </c>
      <c r="BM71">
        <v>8</v>
      </c>
      <c r="BN71">
        <v>8</v>
      </c>
      <c r="BO71">
        <v>8</v>
      </c>
      <c r="BP71">
        <v>0</v>
      </c>
      <c r="BQ71">
        <v>9</v>
      </c>
      <c r="BR71">
        <v>-1</v>
      </c>
      <c r="BS71">
        <v>40.739130430000003</v>
      </c>
      <c r="BT71">
        <v>0.52450222199999996</v>
      </c>
      <c r="BU71">
        <v>4.0230581299999999</v>
      </c>
      <c r="BV71">
        <v>-40.739130430000003</v>
      </c>
      <c r="BW71">
        <v>0.52450222199999996</v>
      </c>
      <c r="BX71">
        <v>4.0230581299999999</v>
      </c>
      <c r="BY71" t="s">
        <v>114</v>
      </c>
      <c r="BZ71" t="s">
        <v>114</v>
      </c>
      <c r="CA71" t="s">
        <v>114</v>
      </c>
      <c r="CB71" t="s">
        <v>114</v>
      </c>
      <c r="CC71" t="s">
        <v>114</v>
      </c>
      <c r="CD71" t="s">
        <v>114</v>
      </c>
      <c r="CE71">
        <v>0.62563736999999997</v>
      </c>
      <c r="CF71" t="s">
        <v>114</v>
      </c>
      <c r="CG71">
        <v>0.62563736999999997</v>
      </c>
      <c r="CH71">
        <v>40.739130430000003</v>
      </c>
      <c r="CI71">
        <v>0.52450222199999996</v>
      </c>
      <c r="CJ71">
        <v>4.0230581299999999</v>
      </c>
      <c r="CK71">
        <v>0.62563736999999997</v>
      </c>
      <c r="CL71">
        <v>-40.739130430000003</v>
      </c>
      <c r="CM71">
        <v>0.52450222199999996</v>
      </c>
      <c r="CN71">
        <v>4.0230581299999999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0.62563736999999997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2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</row>
    <row r="72" spans="1:134" x14ac:dyDescent="0.25">
      <c r="A72" t="s">
        <v>60</v>
      </c>
      <c r="B72">
        <v>12</v>
      </c>
      <c r="C72" t="s">
        <v>33</v>
      </c>
      <c r="D72" t="s">
        <v>95</v>
      </c>
      <c r="E72" t="s">
        <v>102</v>
      </c>
      <c r="F72" t="s">
        <v>145</v>
      </c>
      <c r="G72" t="s">
        <v>265</v>
      </c>
      <c r="H72" t="s">
        <v>756</v>
      </c>
      <c r="I72" t="s">
        <v>689</v>
      </c>
      <c r="J72" t="s">
        <v>346</v>
      </c>
      <c r="K72">
        <v>1</v>
      </c>
      <c r="L72">
        <v>130</v>
      </c>
      <c r="M72">
        <v>80</v>
      </c>
      <c r="N72">
        <v>130</v>
      </c>
      <c r="O72">
        <v>50</v>
      </c>
      <c r="P72">
        <v>250</v>
      </c>
      <c r="Q72">
        <v>250</v>
      </c>
      <c r="R72">
        <v>90</v>
      </c>
      <c r="S72">
        <v>170</v>
      </c>
      <c r="T72">
        <v>1.307692308</v>
      </c>
      <c r="V72" t="s">
        <v>104</v>
      </c>
      <c r="W72">
        <v>40</v>
      </c>
      <c r="X72">
        <v>13.5</v>
      </c>
      <c r="Y72">
        <v>11</v>
      </c>
      <c r="Z72">
        <v>12</v>
      </c>
      <c r="AA72">
        <v>12.16666667</v>
      </c>
      <c r="AB72">
        <v>12.16666667</v>
      </c>
      <c r="AC72">
        <v>12.5</v>
      </c>
      <c r="AD72">
        <v>12.5</v>
      </c>
      <c r="AE72">
        <v>13.5</v>
      </c>
      <c r="AF72">
        <v>12.83333333</v>
      </c>
      <c r="AG72">
        <v>17.899999999999999</v>
      </c>
      <c r="AH72">
        <v>17.5</v>
      </c>
      <c r="AI72">
        <v>14.4</v>
      </c>
      <c r="AJ72">
        <v>16.600000000000001</v>
      </c>
      <c r="AK72">
        <v>15.9</v>
      </c>
      <c r="AL72">
        <v>13</v>
      </c>
      <c r="AM72">
        <v>13.9</v>
      </c>
      <c r="AN72">
        <v>14.266666669999999</v>
      </c>
      <c r="AO72">
        <v>16.600000000000001</v>
      </c>
      <c r="AP72">
        <v>4.0999999999999996</v>
      </c>
      <c r="AQ72">
        <v>5.6</v>
      </c>
      <c r="AR72" t="s">
        <v>114</v>
      </c>
      <c r="AS72">
        <v>4.8499999999999996</v>
      </c>
      <c r="AT72">
        <v>3.1</v>
      </c>
      <c r="AU72">
        <v>5.0999999999999996</v>
      </c>
      <c r="AV72">
        <v>6.6</v>
      </c>
      <c r="AW72">
        <v>4.9333333330000002</v>
      </c>
      <c r="AX72">
        <v>4.8499999999999996</v>
      </c>
      <c r="AY72">
        <v>-7.3166666669999998</v>
      </c>
      <c r="AZ72">
        <v>45</v>
      </c>
      <c r="BA72">
        <v>2</v>
      </c>
      <c r="BB72">
        <v>2</v>
      </c>
      <c r="BC72">
        <v>15</v>
      </c>
      <c r="BD72">
        <v>1</v>
      </c>
      <c r="BE72">
        <v>1</v>
      </c>
      <c r="BF72">
        <v>0</v>
      </c>
      <c r="BG72">
        <v>0</v>
      </c>
      <c r="BI72">
        <v>14</v>
      </c>
      <c r="BJ72">
        <v>52.600999999999999</v>
      </c>
      <c r="BK72">
        <v>0</v>
      </c>
      <c r="BL72">
        <v>36</v>
      </c>
      <c r="BM72">
        <v>34</v>
      </c>
      <c r="BN72">
        <v>1247</v>
      </c>
      <c r="BO72">
        <v>545.5</v>
      </c>
      <c r="BP72">
        <v>701.5</v>
      </c>
      <c r="BQ72">
        <v>352</v>
      </c>
      <c r="BR72">
        <v>895</v>
      </c>
      <c r="BS72">
        <v>29.19675926</v>
      </c>
      <c r="BT72">
        <v>1.309315</v>
      </c>
      <c r="BU72">
        <v>4.2084935000000003</v>
      </c>
      <c r="BV72">
        <v>-29.19675926</v>
      </c>
      <c r="BW72">
        <v>-1.309315</v>
      </c>
      <c r="BX72">
        <v>-4.2084935000000003</v>
      </c>
      <c r="BY72" t="s">
        <v>114</v>
      </c>
      <c r="BZ72" t="s">
        <v>114</v>
      </c>
      <c r="CA72" t="s">
        <v>114</v>
      </c>
      <c r="CB72" t="s">
        <v>114</v>
      </c>
      <c r="CC72" t="s">
        <v>114</v>
      </c>
      <c r="CD72" t="s">
        <v>114</v>
      </c>
      <c r="CE72">
        <v>0.75022829999999996</v>
      </c>
      <c r="CF72" t="s">
        <v>114</v>
      </c>
      <c r="CG72">
        <v>0.75022829999999996</v>
      </c>
      <c r="CH72">
        <v>29.19675926</v>
      </c>
      <c r="CI72">
        <v>1.309315</v>
      </c>
      <c r="CJ72">
        <v>4.2084935000000003</v>
      </c>
      <c r="CK72">
        <v>0.75022829999999996</v>
      </c>
      <c r="CL72">
        <v>-29.19675926</v>
      </c>
      <c r="CM72">
        <v>-1.309315</v>
      </c>
      <c r="CN72">
        <v>-4.2084935000000003</v>
      </c>
      <c r="CO72" t="s">
        <v>114</v>
      </c>
      <c r="CP72" t="s">
        <v>114</v>
      </c>
      <c r="CQ72" t="s">
        <v>114</v>
      </c>
      <c r="CR72" t="s">
        <v>114</v>
      </c>
      <c r="CS72" t="s">
        <v>114</v>
      </c>
      <c r="CT72" t="s">
        <v>114</v>
      </c>
      <c r="CU72" t="s">
        <v>114</v>
      </c>
      <c r="CV72" t="s">
        <v>114</v>
      </c>
      <c r="CW72">
        <v>0.75022829999999996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1</v>
      </c>
      <c r="DZ72">
        <v>0</v>
      </c>
      <c r="EA72">
        <v>0</v>
      </c>
      <c r="EB72">
        <v>0</v>
      </c>
      <c r="EC72">
        <v>0</v>
      </c>
      <c r="ED72">
        <v>0</v>
      </c>
    </row>
    <row r="73" spans="1:134" x14ac:dyDescent="0.25">
      <c r="A73" t="s">
        <v>60</v>
      </c>
      <c r="B73">
        <v>12</v>
      </c>
      <c r="C73" t="s">
        <v>33</v>
      </c>
      <c r="D73" t="s">
        <v>95</v>
      </c>
      <c r="E73" t="s">
        <v>110</v>
      </c>
      <c r="F73" t="s">
        <v>145</v>
      </c>
      <c r="G73" t="s">
        <v>262</v>
      </c>
      <c r="H73" t="s">
        <v>768</v>
      </c>
      <c r="I73" t="s">
        <v>694</v>
      </c>
      <c r="J73" t="s">
        <v>347</v>
      </c>
      <c r="K73">
        <v>4</v>
      </c>
      <c r="L73">
        <v>80</v>
      </c>
      <c r="M73">
        <v>120</v>
      </c>
      <c r="N73">
        <v>80</v>
      </c>
      <c r="O73">
        <v>-40</v>
      </c>
      <c r="P73">
        <v>14</v>
      </c>
      <c r="Q73">
        <v>150</v>
      </c>
      <c r="R73">
        <v>20</v>
      </c>
      <c r="S73">
        <v>85</v>
      </c>
      <c r="T73">
        <v>1.0625</v>
      </c>
      <c r="U73" t="s">
        <v>794</v>
      </c>
      <c r="V73" t="s">
        <v>121</v>
      </c>
      <c r="W73" t="s">
        <v>114</v>
      </c>
      <c r="X73">
        <v>13.5</v>
      </c>
      <c r="Y73">
        <v>11</v>
      </c>
      <c r="Z73">
        <v>12</v>
      </c>
      <c r="AA73">
        <v>12.16666667</v>
      </c>
      <c r="AB73">
        <v>12.16666667</v>
      </c>
      <c r="AC73">
        <v>11</v>
      </c>
      <c r="AD73">
        <v>11.5</v>
      </c>
      <c r="AE73">
        <v>13</v>
      </c>
      <c r="AF73">
        <v>11.83333333</v>
      </c>
      <c r="AG73">
        <v>17.899999999999999</v>
      </c>
      <c r="AH73">
        <v>17.5</v>
      </c>
      <c r="AI73">
        <v>14.4</v>
      </c>
      <c r="AJ73">
        <v>16.600000000000001</v>
      </c>
      <c r="AK73">
        <v>14.9</v>
      </c>
      <c r="AL73">
        <v>15.9</v>
      </c>
      <c r="AM73">
        <v>13</v>
      </c>
      <c r="AN73">
        <v>14.6</v>
      </c>
      <c r="AO73">
        <v>16.600000000000001</v>
      </c>
      <c r="AP73">
        <v>4.0999999999999996</v>
      </c>
      <c r="AQ73">
        <v>5.6</v>
      </c>
      <c r="AR73" t="s">
        <v>114</v>
      </c>
      <c r="AS73">
        <v>4.8499999999999996</v>
      </c>
      <c r="AT73">
        <v>5.0999999999999996</v>
      </c>
      <c r="AU73">
        <v>5.0999999999999996</v>
      </c>
      <c r="AV73">
        <v>4.5999999999999996</v>
      </c>
      <c r="AW73">
        <v>4.9333333330000002</v>
      </c>
      <c r="AX73">
        <v>4.8499999999999996</v>
      </c>
      <c r="AY73">
        <v>-7.3166666669999998</v>
      </c>
      <c r="AZ73">
        <v>45</v>
      </c>
      <c r="BA73">
        <v>2</v>
      </c>
      <c r="BB73">
        <v>2</v>
      </c>
      <c r="BC73">
        <v>15</v>
      </c>
      <c r="BD73">
        <v>1</v>
      </c>
      <c r="BE73">
        <v>1</v>
      </c>
      <c r="BF73">
        <v>0</v>
      </c>
      <c r="BG73">
        <v>0</v>
      </c>
      <c r="BI73">
        <v>14</v>
      </c>
      <c r="BJ73">
        <v>52.600999999999999</v>
      </c>
      <c r="BK73">
        <v>0</v>
      </c>
      <c r="BL73">
        <v>14</v>
      </c>
      <c r="BM73">
        <v>14</v>
      </c>
      <c r="BN73">
        <v>14</v>
      </c>
      <c r="BO73">
        <v>9</v>
      </c>
      <c r="BP73">
        <v>5</v>
      </c>
      <c r="BQ73">
        <v>9</v>
      </c>
      <c r="BR73">
        <v>5</v>
      </c>
      <c r="BS73">
        <v>43.864130430000003</v>
      </c>
      <c r="BT73">
        <v>0.33623028500000002</v>
      </c>
      <c r="BU73">
        <v>3.903219285</v>
      </c>
      <c r="BV73">
        <v>-43.864130430000003</v>
      </c>
      <c r="BW73">
        <v>0.33623028500000002</v>
      </c>
      <c r="BX73">
        <v>3.903219285</v>
      </c>
      <c r="BY73">
        <v>19.53125</v>
      </c>
      <c r="BZ73">
        <v>7.0892645000000004E-2</v>
      </c>
      <c r="CA73">
        <v>2.8722698000000001E-2</v>
      </c>
      <c r="CB73">
        <v>19.53125</v>
      </c>
      <c r="CC73">
        <v>7.0892645000000004E-2</v>
      </c>
      <c r="CD73">
        <v>2.8722698000000001E-2</v>
      </c>
      <c r="CE73" t="s">
        <v>114</v>
      </c>
      <c r="CF73" t="s">
        <v>114</v>
      </c>
      <c r="CG73" t="s">
        <v>114</v>
      </c>
      <c r="CH73">
        <v>43.864130430000003</v>
      </c>
      <c r="CI73">
        <v>0.33623028500000002</v>
      </c>
      <c r="CJ73">
        <v>3.903219285</v>
      </c>
      <c r="CK73" t="s">
        <v>114</v>
      </c>
      <c r="CL73">
        <v>-43.864130430000003</v>
      </c>
      <c r="CM73">
        <v>0.33623028500000002</v>
      </c>
      <c r="CN73">
        <v>3.903219285</v>
      </c>
      <c r="CO73" t="s">
        <v>114</v>
      </c>
      <c r="CP73">
        <v>13.02083333</v>
      </c>
      <c r="CQ73">
        <v>4.7261762999999998E-2</v>
      </c>
      <c r="CR73">
        <v>1.9148465E-2</v>
      </c>
      <c r="CS73" t="s">
        <v>114</v>
      </c>
      <c r="CT73">
        <v>13.02083333</v>
      </c>
      <c r="CU73">
        <v>4.7261762999999998E-2</v>
      </c>
      <c r="CV73">
        <v>1.9148465E-2</v>
      </c>
      <c r="CW73" t="s">
        <v>114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2</v>
      </c>
      <c r="DS73">
        <v>0</v>
      </c>
      <c r="DT73">
        <v>2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0.69314718055994495</v>
      </c>
    </row>
    <row r="74" spans="1:134" x14ac:dyDescent="0.25">
      <c r="A74" t="s">
        <v>60</v>
      </c>
      <c r="B74">
        <v>12</v>
      </c>
      <c r="C74" t="s">
        <v>33</v>
      </c>
      <c r="D74" t="s">
        <v>95</v>
      </c>
      <c r="E74" t="s">
        <v>104</v>
      </c>
      <c r="F74" t="s">
        <v>145</v>
      </c>
      <c r="G74" t="s">
        <v>264</v>
      </c>
      <c r="H74" t="s">
        <v>780</v>
      </c>
      <c r="I74" t="s">
        <v>685</v>
      </c>
      <c r="J74" t="s">
        <v>348</v>
      </c>
      <c r="K74">
        <v>5</v>
      </c>
      <c r="L74">
        <v>25</v>
      </c>
      <c r="M74">
        <v>40</v>
      </c>
      <c r="N74">
        <v>25</v>
      </c>
      <c r="O74">
        <v>-15</v>
      </c>
      <c r="P74">
        <v>18</v>
      </c>
      <c r="Q74">
        <v>10</v>
      </c>
      <c r="R74">
        <v>5</v>
      </c>
      <c r="S74">
        <v>7.5</v>
      </c>
      <c r="T74">
        <v>0.3</v>
      </c>
      <c r="V74" t="s">
        <v>104</v>
      </c>
      <c r="W74">
        <v>70</v>
      </c>
      <c r="X74">
        <v>13.5</v>
      </c>
      <c r="Y74">
        <v>11</v>
      </c>
      <c r="Z74">
        <v>12</v>
      </c>
      <c r="AA74">
        <v>12.16666667</v>
      </c>
      <c r="AB74">
        <v>12.16666667</v>
      </c>
      <c r="AC74" t="s">
        <v>114</v>
      </c>
      <c r="AD74" t="s">
        <v>114</v>
      </c>
      <c r="AE74" t="s">
        <v>114</v>
      </c>
      <c r="AF74" t="s">
        <v>114</v>
      </c>
      <c r="AG74">
        <v>17.899999999999999</v>
      </c>
      <c r="AH74">
        <v>17.5</v>
      </c>
      <c r="AI74">
        <v>14.4</v>
      </c>
      <c r="AJ74">
        <v>16.600000000000001</v>
      </c>
      <c r="AK74">
        <v>13.5</v>
      </c>
      <c r="AL74">
        <v>15.9</v>
      </c>
      <c r="AM74">
        <v>14.4</v>
      </c>
      <c r="AN74">
        <v>14.6</v>
      </c>
      <c r="AO74">
        <v>16.600000000000001</v>
      </c>
      <c r="AP74">
        <v>4.0999999999999996</v>
      </c>
      <c r="AQ74">
        <v>5.6</v>
      </c>
      <c r="AR74" t="s">
        <v>114</v>
      </c>
      <c r="AS74">
        <v>4.8499999999999996</v>
      </c>
      <c r="AT74">
        <v>5.6</v>
      </c>
      <c r="AU74">
        <v>5.6</v>
      </c>
      <c r="AV74">
        <v>6.1</v>
      </c>
      <c r="AW74">
        <v>5.766666667</v>
      </c>
      <c r="AX74">
        <v>4.8499999999999996</v>
      </c>
      <c r="AY74">
        <v>-7.3166666669999998</v>
      </c>
      <c r="AZ74">
        <v>45</v>
      </c>
      <c r="BA74">
        <v>2</v>
      </c>
      <c r="BB74">
        <v>2</v>
      </c>
      <c r="BC74">
        <v>15</v>
      </c>
      <c r="BD74">
        <v>1</v>
      </c>
      <c r="BE74">
        <v>1</v>
      </c>
      <c r="BF74">
        <v>0</v>
      </c>
      <c r="BG74">
        <v>0</v>
      </c>
      <c r="BI74">
        <v>14</v>
      </c>
      <c r="BJ74">
        <v>52.600999999999999</v>
      </c>
      <c r="BK74">
        <v>0</v>
      </c>
      <c r="BL74">
        <v>2</v>
      </c>
      <c r="BM74">
        <v>2</v>
      </c>
      <c r="BN74">
        <v>8</v>
      </c>
      <c r="BO74">
        <v>22</v>
      </c>
      <c r="BP74">
        <v>-14</v>
      </c>
      <c r="BQ74">
        <v>24</v>
      </c>
      <c r="BR74">
        <v>-16</v>
      </c>
      <c r="BS74">
        <v>29.99400018</v>
      </c>
      <c r="BT74">
        <v>0.98539880400000002</v>
      </c>
      <c r="BU74">
        <v>5.0460027299999997</v>
      </c>
      <c r="BV74">
        <v>-5.9207725699999996</v>
      </c>
      <c r="BW74">
        <v>0.98539880400000002</v>
      </c>
      <c r="BX74">
        <v>5.0460027299999997</v>
      </c>
      <c r="BY74">
        <v>1017.283957</v>
      </c>
      <c r="BZ74">
        <v>1.3064753440000001</v>
      </c>
      <c r="CA74">
        <v>21.31451354</v>
      </c>
      <c r="CB74">
        <v>2170.0632890000002</v>
      </c>
      <c r="CC74">
        <v>1.3064753440000001</v>
      </c>
      <c r="CD74">
        <v>21.31451354</v>
      </c>
      <c r="CE74" t="s">
        <v>114</v>
      </c>
      <c r="CF74" t="s">
        <v>114</v>
      </c>
      <c r="CG74" t="s">
        <v>114</v>
      </c>
      <c r="CH74">
        <v>25.257700140000001</v>
      </c>
      <c r="CI74">
        <v>1.0915040460000001</v>
      </c>
      <c r="CJ74">
        <v>4.5778136719999996</v>
      </c>
      <c r="CK74" t="s">
        <v>114</v>
      </c>
      <c r="CL74">
        <v>-5.9991180560000004</v>
      </c>
      <c r="CM74">
        <v>1.0915040460000001</v>
      </c>
      <c r="CN74">
        <v>4.5778136719999996</v>
      </c>
      <c r="CO74" t="s">
        <v>114</v>
      </c>
      <c r="CP74">
        <v>875.12565770000003</v>
      </c>
      <c r="CQ74">
        <v>1.03614812</v>
      </c>
      <c r="CR74">
        <v>17.081890130000001</v>
      </c>
      <c r="CS74" t="s">
        <v>114</v>
      </c>
      <c r="CT74">
        <v>1627.5781569999999</v>
      </c>
      <c r="CU74">
        <v>1.03614812</v>
      </c>
      <c r="CV74">
        <v>17.081890130000001</v>
      </c>
      <c r="CW74" t="s">
        <v>114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2</v>
      </c>
      <c r="DU74">
        <v>0</v>
      </c>
      <c r="DV74">
        <v>0</v>
      </c>
      <c r="DW74">
        <v>1</v>
      </c>
      <c r="DX74">
        <v>0</v>
      </c>
      <c r="DY74">
        <v>1</v>
      </c>
      <c r="DZ74">
        <v>0</v>
      </c>
      <c r="EA74">
        <v>0</v>
      </c>
      <c r="EB74">
        <v>1</v>
      </c>
      <c r="EC74">
        <v>0</v>
      </c>
      <c r="ED74">
        <v>1.3321790402101199</v>
      </c>
    </row>
    <row r="75" spans="1:134" x14ac:dyDescent="0.25">
      <c r="A75" t="s">
        <v>60</v>
      </c>
      <c r="B75">
        <v>12</v>
      </c>
      <c r="C75" t="s">
        <v>33</v>
      </c>
      <c r="D75" t="s">
        <v>95</v>
      </c>
      <c r="E75" t="s">
        <v>112</v>
      </c>
      <c r="F75" t="s">
        <v>145</v>
      </c>
      <c r="G75" t="s">
        <v>261</v>
      </c>
      <c r="H75" t="s">
        <v>784</v>
      </c>
      <c r="I75" t="s">
        <v>690</v>
      </c>
      <c r="J75" t="s">
        <v>349</v>
      </c>
      <c r="K75">
        <v>0</v>
      </c>
      <c r="L75">
        <v>40</v>
      </c>
      <c r="M75">
        <v>70</v>
      </c>
      <c r="N75">
        <v>40</v>
      </c>
      <c r="O75">
        <v>-30</v>
      </c>
      <c r="P75">
        <v>80</v>
      </c>
      <c r="Q75">
        <v>170</v>
      </c>
      <c r="R75">
        <v>60</v>
      </c>
      <c r="S75">
        <v>115</v>
      </c>
      <c r="T75">
        <v>2.875</v>
      </c>
      <c r="V75" t="s">
        <v>121</v>
      </c>
      <c r="W75" t="s">
        <v>114</v>
      </c>
      <c r="X75">
        <v>13.5</v>
      </c>
      <c r="Y75">
        <v>11</v>
      </c>
      <c r="Z75">
        <v>12</v>
      </c>
      <c r="AA75">
        <v>12.16666667</v>
      </c>
      <c r="AB75">
        <v>12.16666667</v>
      </c>
      <c r="AC75">
        <v>13.9</v>
      </c>
      <c r="AD75">
        <v>13.5</v>
      </c>
      <c r="AE75">
        <v>13</v>
      </c>
      <c r="AF75">
        <v>13.46666667</v>
      </c>
      <c r="AG75">
        <v>17.899999999999999</v>
      </c>
      <c r="AH75">
        <v>17.5</v>
      </c>
      <c r="AI75">
        <v>14.4</v>
      </c>
      <c r="AJ75">
        <v>16.600000000000001</v>
      </c>
      <c r="AK75">
        <v>15.9</v>
      </c>
      <c r="AL75">
        <v>14.9</v>
      </c>
      <c r="AM75">
        <v>17.399999999999999</v>
      </c>
      <c r="AN75">
        <v>16.06666667</v>
      </c>
      <c r="AO75">
        <v>16.600000000000001</v>
      </c>
      <c r="AP75">
        <v>4.0999999999999996</v>
      </c>
      <c r="AQ75">
        <v>5.6</v>
      </c>
      <c r="AR75" t="s">
        <v>114</v>
      </c>
      <c r="AS75">
        <v>4.8499999999999996</v>
      </c>
      <c r="AT75">
        <v>6.6</v>
      </c>
      <c r="AU75">
        <v>6.6</v>
      </c>
      <c r="AV75">
        <v>7.1</v>
      </c>
      <c r="AW75">
        <v>6.766666667</v>
      </c>
      <c r="AX75">
        <v>4.8499999999999996</v>
      </c>
      <c r="AY75">
        <v>-7.3166666669999998</v>
      </c>
      <c r="AZ75">
        <v>45</v>
      </c>
      <c r="BA75">
        <v>2</v>
      </c>
      <c r="BB75">
        <v>2</v>
      </c>
      <c r="BC75">
        <v>15</v>
      </c>
      <c r="BD75">
        <v>1</v>
      </c>
      <c r="BE75">
        <v>1</v>
      </c>
      <c r="BF75">
        <v>0</v>
      </c>
      <c r="BG75">
        <v>0</v>
      </c>
      <c r="BI75">
        <v>14</v>
      </c>
      <c r="BJ75">
        <v>52.600999999999999</v>
      </c>
      <c r="BK75">
        <v>0</v>
      </c>
      <c r="BL75">
        <v>22</v>
      </c>
      <c r="BM75">
        <v>17</v>
      </c>
      <c r="BN75">
        <v>65</v>
      </c>
      <c r="BO75">
        <v>133</v>
      </c>
      <c r="BP75">
        <v>-68</v>
      </c>
      <c r="BQ75">
        <v>9</v>
      </c>
      <c r="BR75">
        <v>56</v>
      </c>
      <c r="BS75" t="s">
        <v>114</v>
      </c>
      <c r="BT75" t="s">
        <v>114</v>
      </c>
      <c r="BU75" t="s">
        <v>114</v>
      </c>
      <c r="BV75" t="s">
        <v>114</v>
      </c>
      <c r="BW75" t="s">
        <v>114</v>
      </c>
      <c r="BX75" t="s">
        <v>114</v>
      </c>
      <c r="BY75" t="s">
        <v>114</v>
      </c>
      <c r="BZ75" t="s">
        <v>114</v>
      </c>
      <c r="CA75" t="s">
        <v>114</v>
      </c>
      <c r="CB75" t="s">
        <v>114</v>
      </c>
      <c r="CC75" t="s">
        <v>114</v>
      </c>
      <c r="CD75" t="s">
        <v>114</v>
      </c>
      <c r="CE75" t="s">
        <v>114</v>
      </c>
      <c r="CF75" t="s">
        <v>114</v>
      </c>
      <c r="CG75" t="s">
        <v>114</v>
      </c>
      <c r="CH75" t="s">
        <v>114</v>
      </c>
      <c r="CI75" t="s">
        <v>114</v>
      </c>
      <c r="CJ75" t="s">
        <v>114</v>
      </c>
      <c r="CK75" t="s">
        <v>114</v>
      </c>
      <c r="CL75" t="s">
        <v>114</v>
      </c>
      <c r="CM75" t="s">
        <v>114</v>
      </c>
      <c r="CN75" t="s">
        <v>114</v>
      </c>
      <c r="CO75" t="s">
        <v>114</v>
      </c>
      <c r="CP75" t="s">
        <v>114</v>
      </c>
      <c r="CQ75" t="s">
        <v>114</v>
      </c>
      <c r="CR75" t="s">
        <v>114</v>
      </c>
      <c r="CS75" t="s">
        <v>114</v>
      </c>
      <c r="CT75" t="s">
        <v>114</v>
      </c>
      <c r="CU75" t="s">
        <v>114</v>
      </c>
      <c r="CV75" t="s">
        <v>114</v>
      </c>
      <c r="CW75" t="s">
        <v>114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</row>
    <row r="76" spans="1:134" x14ac:dyDescent="0.25">
      <c r="A76" t="s">
        <v>61</v>
      </c>
      <c r="B76">
        <v>12</v>
      </c>
      <c r="C76" t="s">
        <v>35</v>
      </c>
      <c r="D76" t="s">
        <v>94</v>
      </c>
      <c r="E76" t="s">
        <v>102</v>
      </c>
      <c r="F76" t="s">
        <v>145</v>
      </c>
      <c r="G76" t="s">
        <v>265</v>
      </c>
      <c r="H76" t="s">
        <v>755</v>
      </c>
      <c r="I76" t="s">
        <v>691</v>
      </c>
      <c r="J76" t="s">
        <v>350</v>
      </c>
      <c r="K76">
        <v>1</v>
      </c>
      <c r="L76">
        <v>25</v>
      </c>
      <c r="M76">
        <v>40</v>
      </c>
      <c r="N76">
        <v>25</v>
      </c>
      <c r="O76">
        <v>-15</v>
      </c>
      <c r="P76">
        <v>50</v>
      </c>
      <c r="Q76">
        <v>50</v>
      </c>
      <c r="R76">
        <v>15</v>
      </c>
      <c r="S76">
        <v>32.5</v>
      </c>
      <c r="T76">
        <v>1.3</v>
      </c>
      <c r="V76" t="s">
        <v>121</v>
      </c>
      <c r="W76" t="s">
        <v>114</v>
      </c>
      <c r="X76">
        <v>14.4</v>
      </c>
      <c r="Y76">
        <v>12</v>
      </c>
      <c r="Z76">
        <v>11.5</v>
      </c>
      <c r="AA76">
        <v>12.633333329999999</v>
      </c>
      <c r="AB76">
        <v>12.633333329999999</v>
      </c>
      <c r="AC76">
        <v>11</v>
      </c>
      <c r="AD76">
        <v>13.5</v>
      </c>
      <c r="AE76">
        <v>17.899999999999999</v>
      </c>
      <c r="AF76">
        <v>14.133333329999999</v>
      </c>
      <c r="AG76">
        <v>12.5</v>
      </c>
      <c r="AH76">
        <v>13.5</v>
      </c>
      <c r="AI76">
        <v>13.9</v>
      </c>
      <c r="AJ76">
        <v>13.3</v>
      </c>
      <c r="AK76">
        <v>15.9</v>
      </c>
      <c r="AL76">
        <v>15.4</v>
      </c>
      <c r="AM76">
        <v>18.399999999999999</v>
      </c>
      <c r="AN76">
        <v>16.56666667</v>
      </c>
      <c r="AO76">
        <v>13.3</v>
      </c>
      <c r="AP76">
        <v>5.6</v>
      </c>
      <c r="AQ76">
        <v>5.0999999999999996</v>
      </c>
      <c r="AR76">
        <v>6.1</v>
      </c>
      <c r="AS76">
        <v>5.6</v>
      </c>
      <c r="AT76">
        <v>4.5999999999999996</v>
      </c>
      <c r="AU76">
        <v>5.6</v>
      </c>
      <c r="AV76">
        <v>8.1</v>
      </c>
      <c r="AW76">
        <v>6.1</v>
      </c>
      <c r="AX76">
        <v>5.6</v>
      </c>
      <c r="AY76">
        <v>-7.0333333329999999</v>
      </c>
      <c r="AZ76">
        <v>70</v>
      </c>
      <c r="BA76">
        <v>2</v>
      </c>
      <c r="BB76">
        <v>2</v>
      </c>
      <c r="BC76">
        <v>2</v>
      </c>
      <c r="BD76">
        <v>1</v>
      </c>
      <c r="BE76">
        <v>0</v>
      </c>
      <c r="BF76">
        <v>0</v>
      </c>
      <c r="BG76">
        <v>0</v>
      </c>
      <c r="BI76">
        <v>11.5</v>
      </c>
      <c r="BJ76">
        <v>18.087</v>
      </c>
      <c r="BK76">
        <v>1</v>
      </c>
      <c r="BL76" t="s">
        <v>114</v>
      </c>
      <c r="BM76" t="s">
        <v>114</v>
      </c>
      <c r="BN76" t="s">
        <v>114</v>
      </c>
      <c r="BO76">
        <v>485.5</v>
      </c>
      <c r="BP76" t="s">
        <v>114</v>
      </c>
      <c r="BQ76">
        <v>971</v>
      </c>
      <c r="BR76" t="s">
        <v>114</v>
      </c>
      <c r="BS76">
        <v>2.2022792</v>
      </c>
      <c r="BT76">
        <v>2.2584650000000002</v>
      </c>
      <c r="BU76">
        <v>6.4935159899999997</v>
      </c>
      <c r="BV76">
        <v>2.2022792</v>
      </c>
      <c r="BW76">
        <v>-2.2584650000000002</v>
      </c>
      <c r="BX76">
        <v>-6.4935159899999997</v>
      </c>
      <c r="BY76" t="s">
        <v>114</v>
      </c>
      <c r="BZ76" t="s">
        <v>114</v>
      </c>
      <c r="CA76" t="s">
        <v>114</v>
      </c>
      <c r="CB76" t="s">
        <v>114</v>
      </c>
      <c r="CC76" t="s">
        <v>114</v>
      </c>
      <c r="CD76" t="s">
        <v>114</v>
      </c>
      <c r="CE76" t="s">
        <v>114</v>
      </c>
      <c r="CF76" t="s">
        <v>114</v>
      </c>
      <c r="CG76" t="s">
        <v>114</v>
      </c>
      <c r="CH76">
        <v>2.2022792</v>
      </c>
      <c r="CI76">
        <v>2.2584650000000002</v>
      </c>
      <c r="CJ76">
        <v>6.4935159899999997</v>
      </c>
      <c r="CK76" t="s">
        <v>114</v>
      </c>
      <c r="CL76">
        <v>2.2022792</v>
      </c>
      <c r="CM76">
        <v>-2.2584650000000002</v>
      </c>
      <c r="CN76">
        <v>-6.4935159899999997</v>
      </c>
      <c r="CO76" t="s">
        <v>114</v>
      </c>
      <c r="CP76" t="s">
        <v>114</v>
      </c>
      <c r="CQ76" t="s">
        <v>114</v>
      </c>
      <c r="CR76" t="s">
        <v>114</v>
      </c>
      <c r="CS76" t="s">
        <v>114</v>
      </c>
      <c r="CT76" t="s">
        <v>114</v>
      </c>
      <c r="CU76" t="s">
        <v>114</v>
      </c>
      <c r="CV76" t="s">
        <v>114</v>
      </c>
      <c r="CW76" t="s">
        <v>114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1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</row>
    <row r="77" spans="1:134" x14ac:dyDescent="0.25">
      <c r="A77" t="s">
        <v>61</v>
      </c>
      <c r="B77">
        <v>12</v>
      </c>
      <c r="C77" t="s">
        <v>35</v>
      </c>
      <c r="D77" t="s">
        <v>94</v>
      </c>
      <c r="E77" t="s">
        <v>110</v>
      </c>
      <c r="F77" t="s">
        <v>145</v>
      </c>
      <c r="G77" t="s">
        <v>262</v>
      </c>
      <c r="H77" t="s">
        <v>767</v>
      </c>
      <c r="I77" t="s">
        <v>695</v>
      </c>
      <c r="J77" t="s">
        <v>351</v>
      </c>
      <c r="K77">
        <v>2</v>
      </c>
      <c r="L77">
        <v>20</v>
      </c>
      <c r="M77">
        <v>35</v>
      </c>
      <c r="N77">
        <v>20</v>
      </c>
      <c r="O77">
        <v>-15</v>
      </c>
      <c r="P77">
        <v>15</v>
      </c>
      <c r="Q77">
        <v>70</v>
      </c>
      <c r="R77">
        <v>10</v>
      </c>
      <c r="S77">
        <v>40</v>
      </c>
      <c r="T77">
        <v>2</v>
      </c>
      <c r="V77" t="s">
        <v>121</v>
      </c>
      <c r="W77" t="s">
        <v>114</v>
      </c>
      <c r="X77">
        <v>14.4</v>
      </c>
      <c r="Y77">
        <v>12</v>
      </c>
      <c r="Z77">
        <v>11.5</v>
      </c>
      <c r="AA77">
        <v>12.633333329999999</v>
      </c>
      <c r="AB77">
        <v>12.633333329999999</v>
      </c>
      <c r="AC77">
        <v>10</v>
      </c>
      <c r="AD77">
        <v>10</v>
      </c>
      <c r="AE77">
        <v>17.899999999999999</v>
      </c>
      <c r="AF77">
        <v>12.633333329999999</v>
      </c>
      <c r="AG77">
        <v>12.5</v>
      </c>
      <c r="AH77">
        <v>13.5</v>
      </c>
      <c r="AI77">
        <v>13.9</v>
      </c>
      <c r="AJ77">
        <v>13.3</v>
      </c>
      <c r="AK77">
        <v>13.9</v>
      </c>
      <c r="AL77">
        <v>20.3</v>
      </c>
      <c r="AM77">
        <v>22.3</v>
      </c>
      <c r="AN77">
        <v>18.833333329999999</v>
      </c>
      <c r="AO77">
        <v>13.3</v>
      </c>
      <c r="AP77">
        <v>5.6</v>
      </c>
      <c r="AQ77">
        <v>5.0999999999999996</v>
      </c>
      <c r="AR77">
        <v>6.1</v>
      </c>
      <c r="AS77">
        <v>5.6</v>
      </c>
      <c r="AT77">
        <v>5.6</v>
      </c>
      <c r="AU77">
        <v>6.1</v>
      </c>
      <c r="AV77">
        <v>7.1</v>
      </c>
      <c r="AW77">
        <v>6.266666667</v>
      </c>
      <c r="AX77">
        <v>5.6</v>
      </c>
      <c r="AY77">
        <v>-7.0333333329999999</v>
      </c>
      <c r="AZ77">
        <v>70</v>
      </c>
      <c r="BA77">
        <v>2</v>
      </c>
      <c r="BB77">
        <v>2</v>
      </c>
      <c r="BC77">
        <v>2</v>
      </c>
      <c r="BD77">
        <v>1</v>
      </c>
      <c r="BE77">
        <v>0</v>
      </c>
      <c r="BF77">
        <v>0</v>
      </c>
      <c r="BG77">
        <v>0</v>
      </c>
      <c r="BI77">
        <v>11.5</v>
      </c>
      <c r="BJ77">
        <v>18.087</v>
      </c>
      <c r="BK77">
        <v>0</v>
      </c>
      <c r="BL77">
        <v>0</v>
      </c>
      <c r="BM77">
        <v>0</v>
      </c>
      <c r="BN77">
        <v>0</v>
      </c>
      <c r="BO77">
        <v>8</v>
      </c>
      <c r="BP77">
        <v>-8</v>
      </c>
      <c r="BQ77">
        <v>14</v>
      </c>
      <c r="BR77">
        <v>-14</v>
      </c>
      <c r="BS77">
        <v>10.378731569999999</v>
      </c>
      <c r="BT77">
        <v>1.187884167</v>
      </c>
      <c r="BU77">
        <v>3.2467579949999998</v>
      </c>
      <c r="BV77">
        <v>-10.378731569999999</v>
      </c>
      <c r="BW77">
        <v>-1.187884167</v>
      </c>
      <c r="BX77">
        <v>2.0400585050000002</v>
      </c>
      <c r="BY77">
        <v>2.4250168369999998</v>
      </c>
      <c r="BZ77">
        <v>2.5503320779999998</v>
      </c>
      <c r="CA77">
        <v>8.323677408</v>
      </c>
      <c r="CB77">
        <v>2.4250168369999998</v>
      </c>
      <c r="CC77">
        <v>2.5503320779999998</v>
      </c>
      <c r="CD77">
        <v>21.082874960000002</v>
      </c>
      <c r="CE77" t="s">
        <v>114</v>
      </c>
      <c r="CF77" t="s">
        <v>114</v>
      </c>
      <c r="CG77" t="s">
        <v>114</v>
      </c>
      <c r="CH77">
        <v>10.378731569999999</v>
      </c>
      <c r="CI77">
        <v>1.187884167</v>
      </c>
      <c r="CJ77">
        <v>3.2467579949999998</v>
      </c>
      <c r="CK77" t="s">
        <v>114</v>
      </c>
      <c r="CL77">
        <v>-10.378731569999999</v>
      </c>
      <c r="CM77">
        <v>-1.187884167</v>
      </c>
      <c r="CN77">
        <v>2.0400585050000002</v>
      </c>
      <c r="CO77" t="s">
        <v>114</v>
      </c>
      <c r="CP77">
        <v>2.4250168369999998</v>
      </c>
      <c r="CQ77">
        <v>2.5503320779999998</v>
      </c>
      <c r="CR77">
        <v>8.323677408</v>
      </c>
      <c r="CS77" t="s">
        <v>114</v>
      </c>
      <c r="CT77">
        <v>2.4250168369999998</v>
      </c>
      <c r="CU77">
        <v>2.5503320779999998</v>
      </c>
      <c r="CV77">
        <v>21.082874960000002</v>
      </c>
      <c r="CW77" t="s">
        <v>114</v>
      </c>
      <c r="CX77">
        <v>1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1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0.69314718055994495</v>
      </c>
    </row>
    <row r="78" spans="1:134" x14ac:dyDescent="0.25">
      <c r="A78" t="s">
        <v>61</v>
      </c>
      <c r="B78">
        <v>12</v>
      </c>
      <c r="C78" t="s">
        <v>35</v>
      </c>
      <c r="D78" t="s">
        <v>94</v>
      </c>
      <c r="E78" t="s">
        <v>112</v>
      </c>
      <c r="F78" t="s">
        <v>145</v>
      </c>
      <c r="G78" t="s">
        <v>261</v>
      </c>
      <c r="H78" t="s">
        <v>783</v>
      </c>
      <c r="I78" t="s">
        <v>688</v>
      </c>
      <c r="J78" t="s">
        <v>352</v>
      </c>
      <c r="K78">
        <v>1</v>
      </c>
      <c r="L78">
        <v>50</v>
      </c>
      <c r="M78">
        <v>45</v>
      </c>
      <c r="N78">
        <v>50</v>
      </c>
      <c r="O78">
        <v>5</v>
      </c>
      <c r="P78">
        <v>50</v>
      </c>
      <c r="Q78">
        <v>170</v>
      </c>
      <c r="R78">
        <v>140</v>
      </c>
      <c r="S78">
        <v>155</v>
      </c>
      <c r="T78">
        <v>3.1</v>
      </c>
      <c r="V78" t="s">
        <v>121</v>
      </c>
      <c r="W78" t="s">
        <v>114</v>
      </c>
      <c r="X78">
        <v>14.4</v>
      </c>
      <c r="Y78">
        <v>12</v>
      </c>
      <c r="Z78">
        <v>11.5</v>
      </c>
      <c r="AA78">
        <v>12.633333329999999</v>
      </c>
      <c r="AB78">
        <v>12.633333329999999</v>
      </c>
      <c r="AC78">
        <v>24.7</v>
      </c>
      <c r="AD78">
        <v>21.8</v>
      </c>
      <c r="AE78">
        <v>24.3</v>
      </c>
      <c r="AF78">
        <v>23.6</v>
      </c>
      <c r="AG78">
        <v>12.5</v>
      </c>
      <c r="AH78">
        <v>13.5</v>
      </c>
      <c r="AI78">
        <v>13.9</v>
      </c>
      <c r="AJ78">
        <v>13.3</v>
      </c>
      <c r="AK78">
        <v>11</v>
      </c>
      <c r="AL78">
        <v>31.1</v>
      </c>
      <c r="AM78">
        <v>22.3</v>
      </c>
      <c r="AN78">
        <v>21.466666669999999</v>
      </c>
      <c r="AO78">
        <v>13.3</v>
      </c>
      <c r="AP78">
        <v>5.6</v>
      </c>
      <c r="AQ78">
        <v>5.0999999999999996</v>
      </c>
      <c r="AR78">
        <v>6.1</v>
      </c>
      <c r="AS78">
        <v>5.6</v>
      </c>
      <c r="AT78">
        <v>4.5999999999999996</v>
      </c>
      <c r="AU78">
        <v>6.6</v>
      </c>
      <c r="AV78">
        <v>7.1</v>
      </c>
      <c r="AW78">
        <v>6.1</v>
      </c>
      <c r="AX78">
        <v>5.6</v>
      </c>
      <c r="AY78">
        <v>-7.0333333329999999</v>
      </c>
      <c r="AZ78">
        <v>70</v>
      </c>
      <c r="BA78">
        <v>2</v>
      </c>
      <c r="BB78">
        <v>2</v>
      </c>
      <c r="BC78">
        <v>2</v>
      </c>
      <c r="BD78">
        <v>1</v>
      </c>
      <c r="BE78">
        <v>0</v>
      </c>
      <c r="BF78">
        <v>0</v>
      </c>
      <c r="BG78">
        <v>0</v>
      </c>
      <c r="BI78">
        <v>11.5</v>
      </c>
      <c r="BJ78">
        <v>18.087</v>
      </c>
      <c r="BK78">
        <v>0</v>
      </c>
      <c r="BL78">
        <v>30</v>
      </c>
      <c r="BM78">
        <v>30</v>
      </c>
      <c r="BN78">
        <v>104</v>
      </c>
      <c r="BO78">
        <v>184.8</v>
      </c>
      <c r="BP78">
        <v>-80.8</v>
      </c>
      <c r="BQ78">
        <v>200</v>
      </c>
      <c r="BR78">
        <v>-96</v>
      </c>
      <c r="BS78">
        <v>17.44471154</v>
      </c>
      <c r="BT78">
        <v>1.087182222</v>
      </c>
      <c r="BU78">
        <v>2.23482256</v>
      </c>
      <c r="BV78">
        <v>-17.44471154</v>
      </c>
      <c r="BW78">
        <v>-1.087182222</v>
      </c>
      <c r="BX78">
        <v>2.23482256</v>
      </c>
      <c r="BY78" t="s">
        <v>114</v>
      </c>
      <c r="BZ78" t="s">
        <v>114</v>
      </c>
      <c r="CA78" t="s">
        <v>114</v>
      </c>
      <c r="CB78" t="s">
        <v>114</v>
      </c>
      <c r="CC78" t="s">
        <v>114</v>
      </c>
      <c r="CD78" t="s">
        <v>114</v>
      </c>
      <c r="CE78" t="s">
        <v>114</v>
      </c>
      <c r="CF78" t="s">
        <v>114</v>
      </c>
      <c r="CG78" t="s">
        <v>114</v>
      </c>
      <c r="CH78">
        <v>17.44471154</v>
      </c>
      <c r="CI78">
        <v>1.087182222</v>
      </c>
      <c r="CJ78">
        <v>2.23482256</v>
      </c>
      <c r="CK78" t="s">
        <v>114</v>
      </c>
      <c r="CL78">
        <v>-17.44471154</v>
      </c>
      <c r="CM78">
        <v>-1.087182222</v>
      </c>
      <c r="CN78">
        <v>2.23482256</v>
      </c>
      <c r="CO78" t="s">
        <v>114</v>
      </c>
      <c r="CP78" t="s">
        <v>114</v>
      </c>
      <c r="CQ78" t="s">
        <v>114</v>
      </c>
      <c r="CR78" t="s">
        <v>114</v>
      </c>
      <c r="CS78" t="s">
        <v>114</v>
      </c>
      <c r="CT78" t="s">
        <v>114</v>
      </c>
      <c r="CU78" t="s">
        <v>114</v>
      </c>
      <c r="CV78" t="s">
        <v>114</v>
      </c>
      <c r="CW78" t="s">
        <v>114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1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</row>
    <row r="79" spans="1:134" x14ac:dyDescent="0.25">
      <c r="A79" t="s">
        <v>62</v>
      </c>
      <c r="B79">
        <v>12</v>
      </c>
      <c r="C79" t="s">
        <v>37</v>
      </c>
      <c r="D79" t="s">
        <v>95</v>
      </c>
      <c r="E79" t="s">
        <v>102</v>
      </c>
      <c r="F79" t="s">
        <v>145</v>
      </c>
      <c r="G79" t="s">
        <v>265</v>
      </c>
      <c r="H79" t="s">
        <v>756</v>
      </c>
      <c r="I79" t="s">
        <v>689</v>
      </c>
      <c r="J79" t="s">
        <v>353</v>
      </c>
      <c r="K79">
        <v>0</v>
      </c>
      <c r="L79">
        <v>80</v>
      </c>
      <c r="M79">
        <v>160</v>
      </c>
      <c r="N79">
        <v>80</v>
      </c>
      <c r="O79">
        <v>-80</v>
      </c>
      <c r="P79">
        <v>125</v>
      </c>
      <c r="Q79">
        <v>125</v>
      </c>
      <c r="R79">
        <v>100</v>
      </c>
      <c r="S79">
        <v>112.5</v>
      </c>
      <c r="T79">
        <v>1.40625</v>
      </c>
      <c r="V79" t="s">
        <v>121</v>
      </c>
      <c r="W79" t="s">
        <v>114</v>
      </c>
      <c r="X79">
        <v>13.5</v>
      </c>
      <c r="Y79">
        <v>12.5</v>
      </c>
      <c r="Z79">
        <v>15.9</v>
      </c>
      <c r="AA79">
        <v>13.96666667</v>
      </c>
      <c r="AB79">
        <v>13.96666667</v>
      </c>
      <c r="AC79">
        <v>17.899999999999999</v>
      </c>
      <c r="AD79">
        <v>14.9</v>
      </c>
      <c r="AE79">
        <v>16.399999999999999</v>
      </c>
      <c r="AF79">
        <v>16.399999999999999</v>
      </c>
      <c r="AG79">
        <v>17.899999999999999</v>
      </c>
      <c r="AH79">
        <v>17.899999999999999</v>
      </c>
      <c r="AI79">
        <v>18.399999999999999</v>
      </c>
      <c r="AJ79">
        <v>18.06666667</v>
      </c>
      <c r="AK79">
        <v>15.4</v>
      </c>
      <c r="AL79">
        <v>12.5</v>
      </c>
      <c r="AM79">
        <v>15.4</v>
      </c>
      <c r="AN79">
        <v>14.43333333</v>
      </c>
      <c r="AO79">
        <v>18.06666667</v>
      </c>
      <c r="AP79">
        <v>5.6</v>
      </c>
      <c r="AQ79">
        <v>6.6</v>
      </c>
      <c r="AR79">
        <v>9</v>
      </c>
      <c r="AS79">
        <v>7.0666666669999998</v>
      </c>
      <c r="AT79">
        <v>8.1</v>
      </c>
      <c r="AU79">
        <v>7.6</v>
      </c>
      <c r="AV79">
        <v>8.5</v>
      </c>
      <c r="AW79">
        <v>8.0666666669999998</v>
      </c>
      <c r="AX79">
        <v>7.0666666669999998</v>
      </c>
      <c r="AY79">
        <v>-6.9</v>
      </c>
      <c r="AZ79">
        <v>70</v>
      </c>
      <c r="BA79">
        <v>1</v>
      </c>
      <c r="BB79">
        <v>3</v>
      </c>
      <c r="BC79">
        <v>1</v>
      </c>
      <c r="BD79">
        <v>1</v>
      </c>
      <c r="BE79">
        <v>0</v>
      </c>
      <c r="BF79">
        <v>0</v>
      </c>
      <c r="BG79">
        <v>0</v>
      </c>
      <c r="BI79">
        <v>11.7</v>
      </c>
      <c r="BJ79">
        <v>55.235999999999997</v>
      </c>
      <c r="BK79">
        <v>0</v>
      </c>
      <c r="BL79">
        <v>10</v>
      </c>
      <c r="BM79">
        <v>10</v>
      </c>
      <c r="BN79">
        <v>246</v>
      </c>
      <c r="BO79">
        <v>545.5</v>
      </c>
      <c r="BP79">
        <v>-299.5</v>
      </c>
      <c r="BQ79">
        <v>735</v>
      </c>
      <c r="BR79">
        <v>-489</v>
      </c>
      <c r="BS79" t="s">
        <v>114</v>
      </c>
      <c r="BT79" t="s">
        <v>114</v>
      </c>
      <c r="BU79" t="s">
        <v>114</v>
      </c>
      <c r="BV79" t="s">
        <v>114</v>
      </c>
      <c r="BW79" t="s">
        <v>114</v>
      </c>
      <c r="BX79" t="s">
        <v>114</v>
      </c>
      <c r="BY79" t="s">
        <v>114</v>
      </c>
      <c r="BZ79" t="s">
        <v>114</v>
      </c>
      <c r="CA79" t="s">
        <v>114</v>
      </c>
      <c r="CB79" t="s">
        <v>114</v>
      </c>
      <c r="CC79" t="s">
        <v>114</v>
      </c>
      <c r="CD79" t="s">
        <v>114</v>
      </c>
      <c r="CE79" t="s">
        <v>114</v>
      </c>
      <c r="CF79" t="s">
        <v>114</v>
      </c>
      <c r="CG79" t="s">
        <v>114</v>
      </c>
      <c r="CH79" t="s">
        <v>114</v>
      </c>
      <c r="CI79" t="s">
        <v>114</v>
      </c>
      <c r="CJ79" t="s">
        <v>114</v>
      </c>
      <c r="CK79" t="s">
        <v>114</v>
      </c>
      <c r="CL79" t="s">
        <v>114</v>
      </c>
      <c r="CM79" t="s">
        <v>114</v>
      </c>
      <c r="CN79" t="s">
        <v>114</v>
      </c>
      <c r="CO79" t="s">
        <v>114</v>
      </c>
      <c r="CP79" t="s">
        <v>114</v>
      </c>
      <c r="CQ79" t="s">
        <v>114</v>
      </c>
      <c r="CR79" t="s">
        <v>114</v>
      </c>
      <c r="CS79" t="s">
        <v>114</v>
      </c>
      <c r="CT79" t="s">
        <v>114</v>
      </c>
      <c r="CU79" t="s">
        <v>114</v>
      </c>
      <c r="CV79" t="s">
        <v>114</v>
      </c>
      <c r="CW79" t="s">
        <v>114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</row>
    <row r="80" spans="1:134" x14ac:dyDescent="0.25">
      <c r="A80" t="s">
        <v>62</v>
      </c>
      <c r="B80">
        <v>12</v>
      </c>
      <c r="C80" t="s">
        <v>37</v>
      </c>
      <c r="D80" t="s">
        <v>95</v>
      </c>
      <c r="E80" t="s">
        <v>103</v>
      </c>
      <c r="F80" t="s">
        <v>145</v>
      </c>
      <c r="G80" t="s">
        <v>260</v>
      </c>
      <c r="H80" t="s">
        <v>772</v>
      </c>
      <c r="I80" t="s">
        <v>683</v>
      </c>
      <c r="J80" t="s">
        <v>354</v>
      </c>
      <c r="K80">
        <v>3</v>
      </c>
      <c r="L80">
        <v>60</v>
      </c>
      <c r="M80">
        <v>50</v>
      </c>
      <c r="N80">
        <v>60</v>
      </c>
      <c r="O80">
        <v>10</v>
      </c>
      <c r="P80">
        <v>30</v>
      </c>
      <c r="Q80">
        <v>20</v>
      </c>
      <c r="R80">
        <v>10</v>
      </c>
      <c r="S80">
        <v>15</v>
      </c>
      <c r="T80">
        <v>0.25</v>
      </c>
      <c r="V80" t="s">
        <v>121</v>
      </c>
      <c r="W80" t="s">
        <v>114</v>
      </c>
      <c r="X80">
        <v>13.5</v>
      </c>
      <c r="Y80">
        <v>12.5</v>
      </c>
      <c r="Z80">
        <v>15.9</v>
      </c>
      <c r="AA80">
        <v>13.96666667</v>
      </c>
      <c r="AB80">
        <v>13.96666667</v>
      </c>
      <c r="AC80">
        <v>11.5</v>
      </c>
      <c r="AD80">
        <v>13</v>
      </c>
      <c r="AE80">
        <v>13.9</v>
      </c>
      <c r="AF80">
        <v>12.8</v>
      </c>
      <c r="AG80">
        <v>17.899999999999999</v>
      </c>
      <c r="AH80">
        <v>17.899999999999999</v>
      </c>
      <c r="AI80">
        <v>18.399999999999999</v>
      </c>
      <c r="AJ80">
        <v>18.06666667</v>
      </c>
      <c r="AK80">
        <v>11.5</v>
      </c>
      <c r="AL80">
        <v>15.4</v>
      </c>
      <c r="AM80">
        <v>14.9</v>
      </c>
      <c r="AN80">
        <v>13.93333333</v>
      </c>
      <c r="AO80">
        <v>18.06666667</v>
      </c>
      <c r="AP80">
        <v>5.6</v>
      </c>
      <c r="AQ80">
        <v>6.6</v>
      </c>
      <c r="AR80">
        <v>9</v>
      </c>
      <c r="AS80">
        <v>7.0666666669999998</v>
      </c>
      <c r="AT80">
        <v>7.6</v>
      </c>
      <c r="AU80">
        <v>5.6</v>
      </c>
      <c r="AV80">
        <v>7.1</v>
      </c>
      <c r="AW80">
        <v>6.766666667</v>
      </c>
      <c r="AX80">
        <v>7.0666666669999998</v>
      </c>
      <c r="AY80">
        <v>-6.9</v>
      </c>
      <c r="AZ80">
        <v>70</v>
      </c>
      <c r="BA80">
        <v>1</v>
      </c>
      <c r="BB80">
        <v>3</v>
      </c>
      <c r="BC80">
        <v>1</v>
      </c>
      <c r="BD80">
        <v>1</v>
      </c>
      <c r="BE80">
        <v>0</v>
      </c>
      <c r="BF80">
        <v>0</v>
      </c>
      <c r="BG80">
        <v>0</v>
      </c>
      <c r="BI80">
        <v>11.7</v>
      </c>
      <c r="BJ80">
        <v>55.235999999999997</v>
      </c>
      <c r="BK80">
        <v>0</v>
      </c>
      <c r="BL80">
        <v>2</v>
      </c>
      <c r="BM80">
        <v>2</v>
      </c>
      <c r="BN80">
        <v>111</v>
      </c>
      <c r="BO80">
        <v>290.75</v>
      </c>
      <c r="BP80">
        <v>-179.75</v>
      </c>
      <c r="BQ80">
        <v>359</v>
      </c>
      <c r="BR80">
        <v>-248</v>
      </c>
      <c r="BS80">
        <v>10.649962479999999</v>
      </c>
      <c r="BT80">
        <v>0.178673839</v>
      </c>
      <c r="BU80">
        <v>8.9768733570000006</v>
      </c>
      <c r="BV80">
        <v>-4.9971846969999998</v>
      </c>
      <c r="BW80">
        <v>-0.160181569</v>
      </c>
      <c r="BX80">
        <v>-8.9768733570000006</v>
      </c>
      <c r="BY80">
        <v>19.318779889999998</v>
      </c>
      <c r="BZ80">
        <v>6.9474963000000001E-2</v>
      </c>
      <c r="CA80">
        <v>139.3145408</v>
      </c>
      <c r="CB80">
        <v>151.99354869999999</v>
      </c>
      <c r="CC80">
        <v>7.8874270999999996E-2</v>
      </c>
      <c r="CD80">
        <v>139.3145408</v>
      </c>
      <c r="CE80">
        <v>0.73868717699999997</v>
      </c>
      <c r="CF80">
        <v>1.495186761</v>
      </c>
      <c r="CG80">
        <v>0.73868717699999997</v>
      </c>
      <c r="CH80">
        <v>10.649962479999999</v>
      </c>
      <c r="CI80">
        <v>0.178673839</v>
      </c>
      <c r="CJ80">
        <v>8.9768733570000006</v>
      </c>
      <c r="CK80">
        <v>-0.64180226299999998</v>
      </c>
      <c r="CL80">
        <v>-4.9971846969999998</v>
      </c>
      <c r="CM80">
        <v>-0.160181569</v>
      </c>
      <c r="CN80">
        <v>-8.9768733570000006</v>
      </c>
      <c r="CO80">
        <v>1.2945638610000001</v>
      </c>
      <c r="CP80">
        <v>19.318779889999998</v>
      </c>
      <c r="CQ80">
        <v>6.9474963000000001E-2</v>
      </c>
      <c r="CR80">
        <v>139.3145408</v>
      </c>
      <c r="CS80">
        <v>1.495186761</v>
      </c>
      <c r="CT80">
        <v>151.99354869999999</v>
      </c>
      <c r="CU80">
        <v>7.8874270999999996E-2</v>
      </c>
      <c r="CV80">
        <v>139.3145408</v>
      </c>
      <c r="CW80">
        <v>-0.64180226299999998</v>
      </c>
      <c r="CX80">
        <v>0</v>
      </c>
      <c r="CY80">
        <v>0</v>
      </c>
      <c r="CZ80">
        <v>0</v>
      </c>
      <c r="DA80">
        <v>0</v>
      </c>
      <c r="DB80">
        <v>1</v>
      </c>
      <c r="DC80">
        <v>0</v>
      </c>
      <c r="DD80">
        <v>1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1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1.09861228866811</v>
      </c>
    </row>
    <row r="81" spans="1:134" x14ac:dyDescent="0.25">
      <c r="A81" t="s">
        <v>63</v>
      </c>
      <c r="B81">
        <v>12</v>
      </c>
      <c r="C81" t="s">
        <v>64</v>
      </c>
      <c r="D81" t="s">
        <v>94</v>
      </c>
      <c r="E81" t="s">
        <v>104</v>
      </c>
      <c r="F81" t="s">
        <v>145</v>
      </c>
      <c r="G81" t="s">
        <v>264</v>
      </c>
      <c r="H81" t="s">
        <v>779</v>
      </c>
      <c r="I81" t="s">
        <v>696</v>
      </c>
      <c r="J81" t="s">
        <v>355</v>
      </c>
      <c r="K81">
        <v>5</v>
      </c>
      <c r="L81">
        <v>60</v>
      </c>
      <c r="M81">
        <v>70</v>
      </c>
      <c r="N81">
        <v>60</v>
      </c>
      <c r="O81">
        <v>-10</v>
      </c>
      <c r="P81">
        <v>30</v>
      </c>
      <c r="Q81">
        <v>20</v>
      </c>
      <c r="R81">
        <v>20</v>
      </c>
      <c r="S81">
        <v>20</v>
      </c>
      <c r="T81">
        <v>0.33333333300000001</v>
      </c>
      <c r="V81" t="s">
        <v>121</v>
      </c>
      <c r="W81" t="s">
        <v>114</v>
      </c>
      <c r="X81">
        <v>12</v>
      </c>
      <c r="Y81">
        <v>15.9</v>
      </c>
      <c r="Z81">
        <v>16.399999999999999</v>
      </c>
      <c r="AA81">
        <v>14.766666669999999</v>
      </c>
      <c r="AB81">
        <v>14.766666669999999</v>
      </c>
      <c r="AC81">
        <v>13.5</v>
      </c>
      <c r="AD81">
        <v>14.4</v>
      </c>
      <c r="AE81">
        <v>17.399999999999999</v>
      </c>
      <c r="AF81">
        <v>15.1</v>
      </c>
      <c r="AG81">
        <v>13.9</v>
      </c>
      <c r="AH81">
        <v>14.9</v>
      </c>
      <c r="AI81">
        <v>14.4</v>
      </c>
      <c r="AJ81">
        <v>14.4</v>
      </c>
      <c r="AK81">
        <v>13.9</v>
      </c>
      <c r="AL81">
        <v>14.4</v>
      </c>
      <c r="AM81">
        <v>14.9</v>
      </c>
      <c r="AN81">
        <v>14.4</v>
      </c>
      <c r="AO81">
        <v>14.4</v>
      </c>
      <c r="AP81">
        <v>8.1</v>
      </c>
      <c r="AQ81">
        <v>9</v>
      </c>
      <c r="AR81">
        <v>10.5</v>
      </c>
      <c r="AS81">
        <v>9.1999999999999993</v>
      </c>
      <c r="AT81">
        <v>7.6</v>
      </c>
      <c r="AU81">
        <v>7.6</v>
      </c>
      <c r="AV81">
        <v>7.1</v>
      </c>
      <c r="AW81">
        <v>7.4333333330000002</v>
      </c>
      <c r="AX81">
        <v>9.1999999999999993</v>
      </c>
      <c r="AY81">
        <v>-5.5666666669999998</v>
      </c>
      <c r="AZ81">
        <v>3</v>
      </c>
      <c r="BA81">
        <v>80</v>
      </c>
      <c r="BB81">
        <v>0</v>
      </c>
      <c r="BC81">
        <v>5</v>
      </c>
      <c r="BD81">
        <v>0</v>
      </c>
      <c r="BE81">
        <v>1</v>
      </c>
      <c r="BF81">
        <v>0</v>
      </c>
      <c r="BG81">
        <v>0</v>
      </c>
      <c r="BI81">
        <v>10</v>
      </c>
      <c r="BJ81">
        <v>29.844000000000001</v>
      </c>
      <c r="BK81">
        <v>0</v>
      </c>
      <c r="BL81">
        <v>4</v>
      </c>
      <c r="BM81">
        <v>4</v>
      </c>
      <c r="BN81">
        <v>18</v>
      </c>
      <c r="BO81">
        <v>32.5</v>
      </c>
      <c r="BP81">
        <v>-14.5</v>
      </c>
      <c r="BQ81">
        <v>22</v>
      </c>
      <c r="BR81">
        <v>-4</v>
      </c>
      <c r="BS81">
        <v>24.032585470000001</v>
      </c>
      <c r="BT81">
        <v>2.3971146349999999</v>
      </c>
      <c r="BU81">
        <v>5.9670669529999998</v>
      </c>
      <c r="BV81">
        <v>24.032585470000001</v>
      </c>
      <c r="BW81">
        <v>2.3971146349999999</v>
      </c>
      <c r="BX81">
        <v>-1.3286851470000001</v>
      </c>
      <c r="BY81">
        <v>55.951803269999999</v>
      </c>
      <c r="BZ81">
        <v>5.0480000000000002E-4</v>
      </c>
      <c r="CA81">
        <v>18.749687600000001</v>
      </c>
      <c r="CB81">
        <v>55.951803269999999</v>
      </c>
      <c r="CC81">
        <v>5.0480000000000002E-4</v>
      </c>
      <c r="CD81">
        <v>69.510413310000004</v>
      </c>
      <c r="CE81">
        <v>0.175361557</v>
      </c>
      <c r="CF81">
        <v>2.5655949000000001E-2</v>
      </c>
      <c r="CG81">
        <v>0.20608604799999999</v>
      </c>
      <c r="CH81">
        <v>25.709935900000001</v>
      </c>
      <c r="CI81">
        <v>2.4014382580000002</v>
      </c>
      <c r="CJ81">
        <v>6.548404992</v>
      </c>
      <c r="CK81">
        <v>0.19739040799999999</v>
      </c>
      <c r="CL81">
        <v>25.709935900000001</v>
      </c>
      <c r="CM81">
        <v>2.4014382580000002</v>
      </c>
      <c r="CN81">
        <v>-2.2064975279999999</v>
      </c>
      <c r="CO81">
        <v>1.1266645E-2</v>
      </c>
      <c r="CP81">
        <v>34.850519839999997</v>
      </c>
      <c r="CQ81">
        <v>3.6459699999999998E-4</v>
      </c>
      <c r="CR81">
        <v>16.21503323</v>
      </c>
      <c r="CS81">
        <v>1.5652253000000001E-2</v>
      </c>
      <c r="CT81">
        <v>34.850519839999997</v>
      </c>
      <c r="CU81">
        <v>3.6459699999999998E-4</v>
      </c>
      <c r="CV81">
        <v>63.731253979999998</v>
      </c>
      <c r="CW81">
        <v>0.16086882299999999</v>
      </c>
      <c r="CX81">
        <v>0</v>
      </c>
      <c r="CY81">
        <v>0</v>
      </c>
      <c r="CZ81">
        <v>0</v>
      </c>
      <c r="DA81">
        <v>2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1</v>
      </c>
      <c r="DQ81">
        <v>0</v>
      </c>
      <c r="DR81">
        <v>0</v>
      </c>
      <c r="DS81">
        <v>0</v>
      </c>
      <c r="DT81">
        <v>0</v>
      </c>
      <c r="DU81">
        <v>2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1.05492016798614</v>
      </c>
    </row>
    <row r="82" spans="1:134" x14ac:dyDescent="0.25">
      <c r="A82" t="s">
        <v>65</v>
      </c>
      <c r="B82">
        <v>12</v>
      </c>
      <c r="C82" t="s">
        <v>66</v>
      </c>
      <c r="D82" t="s">
        <v>95</v>
      </c>
      <c r="E82" t="s">
        <v>105</v>
      </c>
      <c r="F82" t="s">
        <v>145</v>
      </c>
      <c r="G82" t="s">
        <v>266</v>
      </c>
      <c r="H82" t="s">
        <v>760</v>
      </c>
      <c r="I82" t="s">
        <v>697</v>
      </c>
      <c r="J82" t="s">
        <v>356</v>
      </c>
      <c r="K82">
        <v>5</v>
      </c>
      <c r="L82">
        <v>50</v>
      </c>
      <c r="M82">
        <v>80</v>
      </c>
      <c r="N82">
        <v>50</v>
      </c>
      <c r="O82">
        <v>-30</v>
      </c>
      <c r="P82">
        <v>75</v>
      </c>
      <c r="Q82">
        <v>75</v>
      </c>
      <c r="R82">
        <v>70</v>
      </c>
      <c r="S82">
        <v>72.5</v>
      </c>
      <c r="T82">
        <v>1.45</v>
      </c>
      <c r="V82" t="s">
        <v>121</v>
      </c>
      <c r="W82" t="s">
        <v>114</v>
      </c>
      <c r="X82">
        <v>22.3</v>
      </c>
      <c r="Y82">
        <v>24.7</v>
      </c>
      <c r="Z82">
        <v>24.3</v>
      </c>
      <c r="AA82">
        <v>23.766666669999999</v>
      </c>
      <c r="AB82">
        <v>23.766666669999999</v>
      </c>
      <c r="AC82">
        <v>19.8</v>
      </c>
      <c r="AD82">
        <v>22.3</v>
      </c>
      <c r="AE82">
        <v>19.8</v>
      </c>
      <c r="AF82">
        <v>20.633333329999999</v>
      </c>
      <c r="AG82">
        <v>28.7</v>
      </c>
      <c r="AH82">
        <v>23.3</v>
      </c>
      <c r="AI82">
        <v>23.8</v>
      </c>
      <c r="AJ82">
        <v>25.266666669999999</v>
      </c>
      <c r="AK82">
        <v>23.3</v>
      </c>
      <c r="AL82">
        <v>24.7</v>
      </c>
      <c r="AM82">
        <v>23.3</v>
      </c>
      <c r="AN82">
        <v>23.766666669999999</v>
      </c>
      <c r="AO82">
        <v>25.266666669999999</v>
      </c>
      <c r="AP82">
        <v>6.3</v>
      </c>
      <c r="AQ82">
        <v>7.6</v>
      </c>
      <c r="AR82">
        <v>9.1999999999999993</v>
      </c>
      <c r="AS82">
        <v>7.7</v>
      </c>
      <c r="AT82">
        <v>7.6</v>
      </c>
      <c r="AU82">
        <v>7.9</v>
      </c>
      <c r="AV82">
        <v>9.1999999999999993</v>
      </c>
      <c r="AW82">
        <v>8.2333333329999991</v>
      </c>
      <c r="AX82">
        <v>7.7</v>
      </c>
      <c r="AY82">
        <v>-16.06666667</v>
      </c>
      <c r="AZ82">
        <v>20</v>
      </c>
      <c r="BA82">
        <v>35</v>
      </c>
      <c r="BB82">
        <v>1</v>
      </c>
      <c r="BC82">
        <v>1</v>
      </c>
      <c r="BD82">
        <v>1</v>
      </c>
      <c r="BE82">
        <v>1</v>
      </c>
      <c r="BF82">
        <v>0</v>
      </c>
      <c r="BG82">
        <v>0</v>
      </c>
      <c r="BI82">
        <v>15.3</v>
      </c>
      <c r="BJ82">
        <v>42.4</v>
      </c>
      <c r="BK82">
        <v>0</v>
      </c>
      <c r="BL82">
        <v>9</v>
      </c>
      <c r="BM82">
        <v>9</v>
      </c>
      <c r="BN82">
        <v>184</v>
      </c>
      <c r="BO82">
        <v>253</v>
      </c>
      <c r="BP82">
        <v>-69</v>
      </c>
      <c r="BQ82">
        <v>253</v>
      </c>
      <c r="BR82">
        <v>-69</v>
      </c>
      <c r="BS82">
        <v>20.223781850000002</v>
      </c>
      <c r="BT82">
        <v>1.7446380619999999</v>
      </c>
      <c r="BU82">
        <v>18.277830980000001</v>
      </c>
      <c r="BV82">
        <v>-19.369304240000002</v>
      </c>
      <c r="BW82">
        <v>-1.225756045</v>
      </c>
      <c r="BX82">
        <v>18.277830980000001</v>
      </c>
      <c r="BY82">
        <v>212.27123330000001</v>
      </c>
      <c r="BZ82">
        <v>7.8279784000000001</v>
      </c>
      <c r="CA82">
        <v>98.437260089999995</v>
      </c>
      <c r="CB82">
        <v>257.37977410000002</v>
      </c>
      <c r="CC82">
        <v>9.8830238450000003</v>
      </c>
      <c r="CD82">
        <v>98.437260089999995</v>
      </c>
      <c r="CE82" t="s">
        <v>114</v>
      </c>
      <c r="CF82" t="s">
        <v>114</v>
      </c>
      <c r="CG82" t="s">
        <v>114</v>
      </c>
      <c r="CH82">
        <v>19.463640869999999</v>
      </c>
      <c r="CI82">
        <v>1.477718833</v>
      </c>
      <c r="CJ82">
        <v>15.345884809999999</v>
      </c>
      <c r="CK82" t="s">
        <v>114</v>
      </c>
      <c r="CL82">
        <v>-18.780058780000001</v>
      </c>
      <c r="CM82">
        <v>-0.89859645200000005</v>
      </c>
      <c r="CN82">
        <v>15.345884809999999</v>
      </c>
      <c r="CO82" t="s">
        <v>114</v>
      </c>
      <c r="CP82">
        <v>162.0924966</v>
      </c>
      <c r="CQ82">
        <v>6.227213173</v>
      </c>
      <c r="CR82">
        <v>116.8094869</v>
      </c>
      <c r="CS82" t="s">
        <v>114</v>
      </c>
      <c r="CT82">
        <v>194.7708816</v>
      </c>
      <c r="CU82">
        <v>7.9474348800000003</v>
      </c>
      <c r="CV82">
        <v>116.8094869</v>
      </c>
      <c r="CW82" t="s">
        <v>114</v>
      </c>
      <c r="CX82">
        <v>0</v>
      </c>
      <c r="CY82">
        <v>0</v>
      </c>
      <c r="CZ82">
        <v>0</v>
      </c>
      <c r="DA82">
        <v>2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1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1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1</v>
      </c>
      <c r="EC82">
        <v>0</v>
      </c>
      <c r="ED82">
        <v>1.3321790402101199</v>
      </c>
    </row>
    <row r="83" spans="1:134" x14ac:dyDescent="0.25">
      <c r="A83" t="s">
        <v>10</v>
      </c>
      <c r="B83">
        <v>15</v>
      </c>
      <c r="C83" t="s">
        <v>11</v>
      </c>
      <c r="D83" t="s">
        <v>94</v>
      </c>
      <c r="E83" t="s">
        <v>102</v>
      </c>
      <c r="F83" t="s">
        <v>145</v>
      </c>
      <c r="G83" t="s">
        <v>265</v>
      </c>
      <c r="H83" t="s">
        <v>755</v>
      </c>
      <c r="I83" t="s">
        <v>698</v>
      </c>
      <c r="J83" t="s">
        <v>357</v>
      </c>
      <c r="K83">
        <v>2</v>
      </c>
      <c r="L83">
        <v>120</v>
      </c>
      <c r="M83">
        <v>100</v>
      </c>
      <c r="N83">
        <v>120</v>
      </c>
      <c r="O83">
        <v>20</v>
      </c>
      <c r="P83">
        <v>120</v>
      </c>
      <c r="Q83">
        <v>120</v>
      </c>
      <c r="R83">
        <v>75</v>
      </c>
      <c r="S83">
        <v>97.5</v>
      </c>
      <c r="T83">
        <v>0.8125</v>
      </c>
      <c r="U83" t="s">
        <v>15</v>
      </c>
      <c r="V83" t="s">
        <v>102</v>
      </c>
      <c r="W83">
        <v>110</v>
      </c>
      <c r="X83">
        <v>19.3</v>
      </c>
      <c r="Y83">
        <v>20.3</v>
      </c>
      <c r="Z83">
        <v>22.3</v>
      </c>
      <c r="AA83">
        <v>20.633333329999999</v>
      </c>
      <c r="AB83">
        <v>20.633333329999999</v>
      </c>
      <c r="AC83">
        <v>19.3</v>
      </c>
      <c r="AD83">
        <v>22.8</v>
      </c>
      <c r="AE83">
        <v>21.8</v>
      </c>
      <c r="AF83">
        <v>21.3</v>
      </c>
      <c r="AG83">
        <v>16.399999999999999</v>
      </c>
      <c r="AH83">
        <v>24.3</v>
      </c>
      <c r="AI83">
        <v>25.7</v>
      </c>
      <c r="AJ83">
        <v>22.133333329999999</v>
      </c>
      <c r="AK83">
        <v>22.8</v>
      </c>
      <c r="AL83">
        <v>27.2</v>
      </c>
      <c r="AM83">
        <v>24.7</v>
      </c>
      <c r="AN83">
        <v>24.9</v>
      </c>
      <c r="AO83">
        <v>22.133333329999999</v>
      </c>
      <c r="AP83">
        <v>8.5</v>
      </c>
      <c r="AQ83">
        <v>9</v>
      </c>
      <c r="AR83">
        <v>11</v>
      </c>
      <c r="AS83">
        <v>9.5</v>
      </c>
      <c r="AT83">
        <v>11.5</v>
      </c>
      <c r="AU83">
        <v>10</v>
      </c>
      <c r="AV83">
        <v>8.5</v>
      </c>
      <c r="AW83">
        <v>10</v>
      </c>
      <c r="AX83">
        <v>9.5</v>
      </c>
      <c r="AY83">
        <v>-11.133333329999999</v>
      </c>
      <c r="AZ83">
        <v>5</v>
      </c>
      <c r="BA83">
        <v>20</v>
      </c>
      <c r="BB83">
        <v>5</v>
      </c>
      <c r="BC83">
        <v>40</v>
      </c>
      <c r="BD83">
        <v>2</v>
      </c>
      <c r="BE83">
        <v>1</v>
      </c>
      <c r="BF83">
        <v>0</v>
      </c>
      <c r="BG83">
        <v>1</v>
      </c>
      <c r="BI83">
        <v>18.3</v>
      </c>
      <c r="BJ83">
        <v>2.7770000000000001</v>
      </c>
      <c r="BK83">
        <v>0</v>
      </c>
      <c r="BL83">
        <v>15</v>
      </c>
      <c r="BM83">
        <v>13</v>
      </c>
      <c r="BN83">
        <v>619</v>
      </c>
      <c r="BO83">
        <v>383.66669999999999</v>
      </c>
      <c r="BP83">
        <v>235.33330000000001</v>
      </c>
      <c r="BQ83">
        <v>203</v>
      </c>
      <c r="BR83">
        <v>416</v>
      </c>
      <c r="BS83">
        <v>5.1153439150000004</v>
      </c>
      <c r="BT83">
        <v>0.49701694499999999</v>
      </c>
      <c r="BU83">
        <v>2.4255479599999998</v>
      </c>
      <c r="BV83">
        <v>-5.1153439150000004</v>
      </c>
      <c r="BW83">
        <v>0.49701694499999999</v>
      </c>
      <c r="BX83">
        <v>2.4255479599999998</v>
      </c>
      <c r="BY83">
        <v>52.333486739999998</v>
      </c>
      <c r="BZ83">
        <v>0.49405168599999999</v>
      </c>
      <c r="CA83">
        <v>11.766565809999999</v>
      </c>
      <c r="CB83">
        <v>52.333486739999998</v>
      </c>
      <c r="CC83">
        <v>0.49405168599999999</v>
      </c>
      <c r="CD83">
        <v>11.766565809999999</v>
      </c>
      <c r="CE83">
        <v>0.38332100000000002</v>
      </c>
      <c r="CF83">
        <v>0.29386997799999998</v>
      </c>
      <c r="CG83">
        <v>0.38332100000000002</v>
      </c>
      <c r="CH83">
        <v>5.1153439150000004</v>
      </c>
      <c r="CI83">
        <v>0.49701694499999999</v>
      </c>
      <c r="CJ83">
        <v>2.4255479599999998</v>
      </c>
      <c r="CK83">
        <v>0.38332100000000002</v>
      </c>
      <c r="CL83">
        <v>-5.1153439150000004</v>
      </c>
      <c r="CM83">
        <v>0.49701694499999999</v>
      </c>
      <c r="CN83">
        <v>2.4255479599999998</v>
      </c>
      <c r="CO83">
        <v>0.29386997799999998</v>
      </c>
      <c r="CP83">
        <v>52.333486739999998</v>
      </c>
      <c r="CQ83">
        <v>0.49405168599999999</v>
      </c>
      <c r="CR83">
        <v>11.766565809999999</v>
      </c>
      <c r="CS83">
        <v>0.29386997799999998</v>
      </c>
      <c r="CT83">
        <v>52.333486739999998</v>
      </c>
      <c r="CU83">
        <v>0.49405168599999999</v>
      </c>
      <c r="CV83">
        <v>11.766565809999999</v>
      </c>
      <c r="CW83">
        <v>0.38332100000000002</v>
      </c>
      <c r="CX83">
        <v>1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1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0.69314718055994495</v>
      </c>
    </row>
    <row r="84" spans="1:134" x14ac:dyDescent="0.25">
      <c r="A84" t="s">
        <v>10</v>
      </c>
      <c r="B84">
        <v>15</v>
      </c>
      <c r="C84" t="s">
        <v>11</v>
      </c>
      <c r="D84" t="s">
        <v>94</v>
      </c>
      <c r="E84" t="s">
        <v>105</v>
      </c>
      <c r="F84" t="s">
        <v>145</v>
      </c>
      <c r="G84" t="s">
        <v>266</v>
      </c>
      <c r="H84" t="s">
        <v>759</v>
      </c>
      <c r="I84" t="s">
        <v>699</v>
      </c>
      <c r="J84" t="s">
        <v>358</v>
      </c>
      <c r="K84">
        <v>3</v>
      </c>
      <c r="L84">
        <v>10</v>
      </c>
      <c r="M84">
        <v>20</v>
      </c>
      <c r="N84">
        <v>10</v>
      </c>
      <c r="O84">
        <v>-10</v>
      </c>
      <c r="P84">
        <v>65</v>
      </c>
      <c r="Q84">
        <v>65</v>
      </c>
      <c r="R84">
        <v>60</v>
      </c>
      <c r="S84">
        <v>62.5</v>
      </c>
      <c r="T84">
        <v>6.25</v>
      </c>
      <c r="U84" t="s">
        <v>15</v>
      </c>
      <c r="V84" t="s">
        <v>121</v>
      </c>
      <c r="W84" t="s">
        <v>114</v>
      </c>
      <c r="X84">
        <v>19.3</v>
      </c>
      <c r="Y84">
        <v>20.3</v>
      </c>
      <c r="Z84">
        <v>22.3</v>
      </c>
      <c r="AA84">
        <v>20.633333329999999</v>
      </c>
      <c r="AB84">
        <v>20.633333329999999</v>
      </c>
      <c r="AC84">
        <v>18.399999999999999</v>
      </c>
      <c r="AD84">
        <v>15.4</v>
      </c>
      <c r="AE84">
        <v>17.399999999999999</v>
      </c>
      <c r="AF84">
        <v>17.06666667</v>
      </c>
      <c r="AG84">
        <v>16.399999999999999</v>
      </c>
      <c r="AH84">
        <v>24.3</v>
      </c>
      <c r="AI84">
        <v>25.7</v>
      </c>
      <c r="AJ84">
        <v>22.133333329999999</v>
      </c>
      <c r="AK84">
        <v>19.3</v>
      </c>
      <c r="AL84">
        <v>23.8</v>
      </c>
      <c r="AM84">
        <v>22.3</v>
      </c>
      <c r="AN84">
        <v>21.8</v>
      </c>
      <c r="AO84">
        <v>22.133333329999999</v>
      </c>
      <c r="AP84">
        <v>8.5</v>
      </c>
      <c r="AQ84">
        <v>9</v>
      </c>
      <c r="AR84">
        <v>11</v>
      </c>
      <c r="AS84">
        <v>9.5</v>
      </c>
      <c r="AT84">
        <v>6.6</v>
      </c>
      <c r="AU84">
        <v>9</v>
      </c>
      <c r="AV84">
        <v>9</v>
      </c>
      <c r="AW84">
        <v>8.1999999999999993</v>
      </c>
      <c r="AX84">
        <v>9.5</v>
      </c>
      <c r="AY84">
        <v>-11.133333329999999</v>
      </c>
      <c r="AZ84">
        <v>5</v>
      </c>
      <c r="BA84">
        <v>20</v>
      </c>
      <c r="BB84">
        <v>5</v>
      </c>
      <c r="BC84">
        <v>40</v>
      </c>
      <c r="BD84">
        <v>2</v>
      </c>
      <c r="BE84">
        <v>1</v>
      </c>
      <c r="BF84">
        <v>0</v>
      </c>
      <c r="BG84">
        <v>1</v>
      </c>
      <c r="BI84">
        <v>18.3</v>
      </c>
      <c r="BJ84">
        <v>2.7770000000000001</v>
      </c>
      <c r="BK84">
        <v>0</v>
      </c>
      <c r="BL84">
        <v>7</v>
      </c>
      <c r="BM84">
        <v>5</v>
      </c>
      <c r="BN84">
        <v>195</v>
      </c>
      <c r="BO84">
        <v>582</v>
      </c>
      <c r="BP84">
        <v>-387</v>
      </c>
      <c r="BQ84">
        <v>550</v>
      </c>
      <c r="BR84">
        <v>-355</v>
      </c>
      <c r="BS84">
        <v>26.96875</v>
      </c>
      <c r="BT84">
        <v>1.9901746490000001</v>
      </c>
      <c r="BU84">
        <v>16.84640954</v>
      </c>
      <c r="BV84">
        <v>-26.96875</v>
      </c>
      <c r="BW84">
        <v>-1.9901746490000001</v>
      </c>
      <c r="BX84">
        <v>16.84640954</v>
      </c>
      <c r="BY84">
        <v>758.06445310000004</v>
      </c>
      <c r="BZ84">
        <v>8.1031899999999999E-4</v>
      </c>
      <c r="CA84">
        <v>10.439537100000001</v>
      </c>
      <c r="CB84">
        <v>758.06445310000004</v>
      </c>
      <c r="CC84">
        <v>8.1031899999999999E-4</v>
      </c>
      <c r="CD84">
        <v>10.439537100000001</v>
      </c>
      <c r="CE84">
        <v>1.7595697400000001</v>
      </c>
      <c r="CF84">
        <v>1.0212103E-2</v>
      </c>
      <c r="CG84">
        <v>1.78338862</v>
      </c>
      <c r="CH84">
        <v>20.479166670000001</v>
      </c>
      <c r="CI84">
        <v>1.9834651249999999</v>
      </c>
      <c r="CJ84">
        <v>17.607969969999999</v>
      </c>
      <c r="CK84">
        <v>1.78338862</v>
      </c>
      <c r="CL84">
        <v>-20.479166670000001</v>
      </c>
      <c r="CM84">
        <v>-1.9834651249999999</v>
      </c>
      <c r="CN84">
        <v>17.607969969999999</v>
      </c>
      <c r="CO84">
        <v>6.8080689999999999E-3</v>
      </c>
      <c r="CP84">
        <v>505.37630209999998</v>
      </c>
      <c r="CQ84">
        <v>5.40213E-4</v>
      </c>
      <c r="CR84">
        <v>6.9596914019999998</v>
      </c>
      <c r="CS84">
        <v>6.8080689999999999E-3</v>
      </c>
      <c r="CT84">
        <v>505.37630209999998</v>
      </c>
      <c r="CU84">
        <v>5.40213E-4</v>
      </c>
      <c r="CV84">
        <v>6.9596914019999998</v>
      </c>
      <c r="CW84">
        <v>1.7595697400000001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2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1</v>
      </c>
      <c r="DZ84">
        <v>0</v>
      </c>
      <c r="EA84">
        <v>0</v>
      </c>
      <c r="EB84">
        <v>0</v>
      </c>
      <c r="EC84">
        <v>0</v>
      </c>
      <c r="ED84">
        <v>0.636514168294813</v>
      </c>
    </row>
    <row r="85" spans="1:134" x14ac:dyDescent="0.25">
      <c r="A85" t="s">
        <v>10</v>
      </c>
      <c r="B85">
        <v>15</v>
      </c>
      <c r="C85" t="s">
        <v>11</v>
      </c>
      <c r="D85" t="s">
        <v>94</v>
      </c>
      <c r="E85" t="s">
        <v>103</v>
      </c>
      <c r="F85" t="s">
        <v>145</v>
      </c>
      <c r="G85" t="s">
        <v>260</v>
      </c>
      <c r="H85" t="s">
        <v>771</v>
      </c>
      <c r="I85" t="s">
        <v>700</v>
      </c>
      <c r="J85" t="s">
        <v>359</v>
      </c>
      <c r="K85">
        <v>1</v>
      </c>
      <c r="L85">
        <v>50</v>
      </c>
      <c r="M85">
        <v>60</v>
      </c>
      <c r="N85">
        <v>50</v>
      </c>
      <c r="O85">
        <v>-10</v>
      </c>
      <c r="P85">
        <v>20</v>
      </c>
      <c r="Q85">
        <v>20</v>
      </c>
      <c r="R85">
        <v>13</v>
      </c>
      <c r="S85">
        <v>16.5</v>
      </c>
      <c r="T85">
        <v>0.33</v>
      </c>
      <c r="U85" t="s">
        <v>15</v>
      </c>
      <c r="V85" t="s">
        <v>121</v>
      </c>
      <c r="W85" t="s">
        <v>114</v>
      </c>
      <c r="X85">
        <v>19.3</v>
      </c>
      <c r="Y85">
        <v>20.3</v>
      </c>
      <c r="Z85">
        <v>22.3</v>
      </c>
      <c r="AA85">
        <v>20.633333329999999</v>
      </c>
      <c r="AB85">
        <v>20.633333329999999</v>
      </c>
      <c r="AC85">
        <v>18.899999999999999</v>
      </c>
      <c r="AD85">
        <v>21.3</v>
      </c>
      <c r="AE85">
        <v>22.3</v>
      </c>
      <c r="AF85">
        <v>20.833333329999999</v>
      </c>
      <c r="AG85">
        <v>16.399999999999999</v>
      </c>
      <c r="AH85">
        <v>24.3</v>
      </c>
      <c r="AI85">
        <v>25.7</v>
      </c>
      <c r="AJ85">
        <v>22.133333329999999</v>
      </c>
      <c r="AK85">
        <v>24.3</v>
      </c>
      <c r="AL85">
        <v>24.3</v>
      </c>
      <c r="AM85">
        <v>19.3</v>
      </c>
      <c r="AN85">
        <v>22.633333329999999</v>
      </c>
      <c r="AO85">
        <v>22.133333329999999</v>
      </c>
      <c r="AP85">
        <v>8.5</v>
      </c>
      <c r="AQ85">
        <v>9</v>
      </c>
      <c r="AR85">
        <v>11</v>
      </c>
      <c r="AS85">
        <v>9.5</v>
      </c>
      <c r="AT85">
        <v>8.5</v>
      </c>
      <c r="AU85">
        <v>8.5</v>
      </c>
      <c r="AV85">
        <v>8.5</v>
      </c>
      <c r="AW85">
        <v>8.5</v>
      </c>
      <c r="AX85">
        <v>9.5</v>
      </c>
      <c r="AY85">
        <v>-11.133333329999999</v>
      </c>
      <c r="AZ85">
        <v>5</v>
      </c>
      <c r="BA85">
        <v>20</v>
      </c>
      <c r="BB85">
        <v>5</v>
      </c>
      <c r="BC85">
        <v>40</v>
      </c>
      <c r="BD85">
        <v>2</v>
      </c>
      <c r="BE85">
        <v>1</v>
      </c>
      <c r="BF85">
        <v>0</v>
      </c>
      <c r="BG85">
        <v>1</v>
      </c>
      <c r="BI85">
        <v>18.3</v>
      </c>
      <c r="BJ85">
        <v>2.7770000000000001</v>
      </c>
      <c r="BK85">
        <v>0</v>
      </c>
      <c r="BL85">
        <v>3</v>
      </c>
      <c r="BM85">
        <v>3</v>
      </c>
      <c r="BN85">
        <v>155</v>
      </c>
      <c r="BO85">
        <v>274</v>
      </c>
      <c r="BP85">
        <v>-119</v>
      </c>
      <c r="BQ85">
        <v>402</v>
      </c>
      <c r="BR85">
        <v>-247</v>
      </c>
      <c r="BS85" t="s">
        <v>114</v>
      </c>
      <c r="BT85" t="s">
        <v>114</v>
      </c>
      <c r="BU85" t="s">
        <v>114</v>
      </c>
      <c r="BV85" t="s">
        <v>114</v>
      </c>
      <c r="BW85" t="s">
        <v>114</v>
      </c>
      <c r="BX85" t="s">
        <v>114</v>
      </c>
      <c r="BY85" t="s">
        <v>114</v>
      </c>
      <c r="BZ85" t="s">
        <v>114</v>
      </c>
      <c r="CA85" t="s">
        <v>114</v>
      </c>
      <c r="CB85" t="s">
        <v>114</v>
      </c>
      <c r="CC85" t="s">
        <v>114</v>
      </c>
      <c r="CD85" t="s">
        <v>114</v>
      </c>
      <c r="CE85" t="s">
        <v>114</v>
      </c>
      <c r="CF85" t="s">
        <v>114</v>
      </c>
      <c r="CG85" t="s">
        <v>114</v>
      </c>
      <c r="CH85" t="s">
        <v>114</v>
      </c>
      <c r="CI85" t="s">
        <v>114</v>
      </c>
      <c r="CJ85" t="s">
        <v>114</v>
      </c>
      <c r="CK85" t="s">
        <v>114</v>
      </c>
      <c r="CL85" t="s">
        <v>114</v>
      </c>
      <c r="CM85" t="s">
        <v>114</v>
      </c>
      <c r="CN85" t="s">
        <v>114</v>
      </c>
      <c r="CO85" t="s">
        <v>114</v>
      </c>
      <c r="CP85" t="s">
        <v>114</v>
      </c>
      <c r="CQ85" t="s">
        <v>114</v>
      </c>
      <c r="CR85" t="s">
        <v>114</v>
      </c>
      <c r="CS85" t="s">
        <v>114</v>
      </c>
      <c r="CT85" t="s">
        <v>114</v>
      </c>
      <c r="CU85" t="s">
        <v>114</v>
      </c>
      <c r="CV85" t="s">
        <v>114</v>
      </c>
      <c r="CW85" t="s">
        <v>114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1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</row>
    <row r="86" spans="1:134" x14ac:dyDescent="0.25">
      <c r="A86" t="s">
        <v>10</v>
      </c>
      <c r="B86">
        <v>15</v>
      </c>
      <c r="C86" t="s">
        <v>11</v>
      </c>
      <c r="D86" t="s">
        <v>94</v>
      </c>
      <c r="E86" t="s">
        <v>104</v>
      </c>
      <c r="F86" t="s">
        <v>145</v>
      </c>
      <c r="G86" t="s">
        <v>264</v>
      </c>
      <c r="H86" t="s">
        <v>779</v>
      </c>
      <c r="I86" t="s">
        <v>701</v>
      </c>
      <c r="J86" t="s">
        <v>360</v>
      </c>
      <c r="K86">
        <v>6</v>
      </c>
      <c r="L86">
        <v>40</v>
      </c>
      <c r="M86">
        <v>20</v>
      </c>
      <c r="N86">
        <v>40</v>
      </c>
      <c r="O86">
        <v>20</v>
      </c>
      <c r="P86">
        <v>7</v>
      </c>
      <c r="Q86">
        <v>7</v>
      </c>
      <c r="R86">
        <v>5</v>
      </c>
      <c r="S86">
        <v>6</v>
      </c>
      <c r="T86">
        <v>0.15</v>
      </c>
      <c r="U86" t="s">
        <v>29</v>
      </c>
      <c r="V86" t="s">
        <v>121</v>
      </c>
      <c r="W86" t="s">
        <v>114</v>
      </c>
      <c r="X86">
        <v>19.3</v>
      </c>
      <c r="Y86">
        <v>20.3</v>
      </c>
      <c r="Z86">
        <v>22.3</v>
      </c>
      <c r="AA86">
        <v>20.633333329999999</v>
      </c>
      <c r="AB86">
        <v>20.633333329999999</v>
      </c>
      <c r="AC86">
        <v>19.8</v>
      </c>
      <c r="AD86">
        <v>18.899999999999999</v>
      </c>
      <c r="AE86">
        <v>22</v>
      </c>
      <c r="AF86">
        <v>20.233333330000001</v>
      </c>
      <c r="AG86">
        <v>16.399999999999999</v>
      </c>
      <c r="AH86">
        <v>24.3</v>
      </c>
      <c r="AI86">
        <v>25.7</v>
      </c>
      <c r="AJ86">
        <v>22.133333329999999</v>
      </c>
      <c r="AK86">
        <v>25.7</v>
      </c>
      <c r="AL86">
        <v>24.3</v>
      </c>
      <c r="AM86">
        <v>22.3</v>
      </c>
      <c r="AN86">
        <v>24.1</v>
      </c>
      <c r="AO86">
        <v>22.133333329999999</v>
      </c>
      <c r="AP86">
        <v>8.5</v>
      </c>
      <c r="AQ86">
        <v>9</v>
      </c>
      <c r="AR86">
        <v>11</v>
      </c>
      <c r="AS86">
        <v>9.5</v>
      </c>
      <c r="AT86">
        <v>13</v>
      </c>
      <c r="AU86">
        <v>9</v>
      </c>
      <c r="AV86">
        <v>9</v>
      </c>
      <c r="AW86">
        <v>10.33333333</v>
      </c>
      <c r="AX86">
        <v>9.5</v>
      </c>
      <c r="AY86">
        <v>-11.133333329999999</v>
      </c>
      <c r="AZ86">
        <v>5</v>
      </c>
      <c r="BA86">
        <v>20</v>
      </c>
      <c r="BB86">
        <v>5</v>
      </c>
      <c r="BC86">
        <v>40</v>
      </c>
      <c r="BD86">
        <v>2</v>
      </c>
      <c r="BE86">
        <v>1</v>
      </c>
      <c r="BF86">
        <v>0</v>
      </c>
      <c r="BG86">
        <v>1</v>
      </c>
      <c r="BI86">
        <v>18.3</v>
      </c>
      <c r="BJ86">
        <v>2.7770000000000001</v>
      </c>
      <c r="BK86">
        <v>0</v>
      </c>
      <c r="BL86">
        <v>2</v>
      </c>
      <c r="BM86">
        <v>2</v>
      </c>
      <c r="BN86">
        <v>4</v>
      </c>
      <c r="BO86">
        <v>31</v>
      </c>
      <c r="BP86">
        <v>-27</v>
      </c>
      <c r="BQ86">
        <v>20</v>
      </c>
      <c r="BR86">
        <v>-16</v>
      </c>
      <c r="BS86">
        <v>25.4375</v>
      </c>
      <c r="BT86" t="s">
        <v>114</v>
      </c>
      <c r="BU86">
        <v>9.6620416299999992</v>
      </c>
      <c r="BV86">
        <v>-25.4375</v>
      </c>
      <c r="BW86" t="s">
        <v>114</v>
      </c>
      <c r="BX86">
        <v>9.6620416299999992</v>
      </c>
      <c r="BY86" t="s">
        <v>114</v>
      </c>
      <c r="BZ86" t="s">
        <v>114</v>
      </c>
      <c r="CA86" t="s">
        <v>114</v>
      </c>
      <c r="CB86" t="s">
        <v>114</v>
      </c>
      <c r="CC86" t="s">
        <v>114</v>
      </c>
      <c r="CD86" t="s">
        <v>114</v>
      </c>
      <c r="CE86" t="s">
        <v>114</v>
      </c>
      <c r="CF86" t="s">
        <v>114</v>
      </c>
      <c r="CG86" t="s">
        <v>114</v>
      </c>
      <c r="CH86">
        <v>25.4375</v>
      </c>
      <c r="CI86" t="s">
        <v>114</v>
      </c>
      <c r="CJ86">
        <v>9.6620416299999992</v>
      </c>
      <c r="CK86" t="s">
        <v>114</v>
      </c>
      <c r="CL86">
        <v>-25.4375</v>
      </c>
      <c r="CM86" t="s">
        <v>114</v>
      </c>
      <c r="CN86">
        <v>9.6620416299999992</v>
      </c>
      <c r="CO86" t="s">
        <v>114</v>
      </c>
      <c r="CP86">
        <v>0</v>
      </c>
      <c r="CQ86" t="s">
        <v>114</v>
      </c>
      <c r="CR86">
        <v>0</v>
      </c>
      <c r="CS86" t="s">
        <v>114</v>
      </c>
      <c r="CT86">
        <v>0</v>
      </c>
      <c r="CU86" t="s">
        <v>114</v>
      </c>
      <c r="CV86">
        <v>0</v>
      </c>
      <c r="CW86" t="s">
        <v>114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6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</row>
    <row r="87" spans="1:134" x14ac:dyDescent="0.25">
      <c r="A87" t="s">
        <v>14</v>
      </c>
      <c r="B87">
        <v>15</v>
      </c>
      <c r="C87" t="s">
        <v>15</v>
      </c>
      <c r="D87" t="s">
        <v>94</v>
      </c>
      <c r="E87" t="s">
        <v>102</v>
      </c>
      <c r="F87" t="s">
        <v>145</v>
      </c>
      <c r="G87" t="s">
        <v>265</v>
      </c>
      <c r="H87" t="s">
        <v>755</v>
      </c>
      <c r="I87" t="s">
        <v>698</v>
      </c>
      <c r="J87" t="s">
        <v>361</v>
      </c>
      <c r="K87" t="s">
        <v>114</v>
      </c>
      <c r="L87">
        <v>40</v>
      </c>
      <c r="M87">
        <v>30</v>
      </c>
      <c r="N87">
        <v>40</v>
      </c>
      <c r="O87">
        <v>10</v>
      </c>
      <c r="P87">
        <v>110</v>
      </c>
      <c r="Q87">
        <v>110</v>
      </c>
      <c r="R87">
        <v>70</v>
      </c>
      <c r="S87">
        <v>90</v>
      </c>
      <c r="T87">
        <v>2.25</v>
      </c>
      <c r="U87" t="s">
        <v>15</v>
      </c>
      <c r="V87" t="s">
        <v>121</v>
      </c>
      <c r="W87" t="s">
        <v>114</v>
      </c>
      <c r="X87">
        <v>23.8</v>
      </c>
      <c r="Y87">
        <v>22.3</v>
      </c>
      <c r="Z87">
        <v>18.399999999999999</v>
      </c>
      <c r="AA87">
        <v>21.5</v>
      </c>
      <c r="AB87">
        <v>21.5</v>
      </c>
      <c r="AC87">
        <v>19.3</v>
      </c>
      <c r="AD87">
        <v>21.3</v>
      </c>
      <c r="AE87">
        <v>23.3</v>
      </c>
      <c r="AF87">
        <v>21.3</v>
      </c>
      <c r="AG87">
        <v>21.8</v>
      </c>
      <c r="AH87">
        <v>27.2</v>
      </c>
      <c r="AI87">
        <v>24.3</v>
      </c>
      <c r="AJ87">
        <v>24.43333333</v>
      </c>
      <c r="AK87">
        <v>28.7</v>
      </c>
      <c r="AL87">
        <v>22.8</v>
      </c>
      <c r="AM87">
        <v>26.7</v>
      </c>
      <c r="AN87">
        <v>26.06666667</v>
      </c>
      <c r="AO87">
        <v>24.43333333</v>
      </c>
      <c r="AP87">
        <v>6.1</v>
      </c>
      <c r="AQ87">
        <v>9.5</v>
      </c>
      <c r="AR87">
        <v>9.5</v>
      </c>
      <c r="AS87">
        <v>8.3666666670000005</v>
      </c>
      <c r="AT87">
        <v>8.5</v>
      </c>
      <c r="AU87">
        <v>9.5</v>
      </c>
      <c r="AV87">
        <v>10.5</v>
      </c>
      <c r="AW87">
        <v>9.5</v>
      </c>
      <c r="AX87">
        <v>8.3666666670000005</v>
      </c>
      <c r="AY87">
        <v>-13.133333329999999</v>
      </c>
      <c r="AZ87">
        <v>40</v>
      </c>
      <c r="BA87">
        <v>20</v>
      </c>
      <c r="BB87">
        <v>20</v>
      </c>
      <c r="BC87">
        <v>10</v>
      </c>
      <c r="BD87">
        <v>0</v>
      </c>
      <c r="BE87">
        <v>1</v>
      </c>
      <c r="BF87">
        <v>1</v>
      </c>
      <c r="BG87">
        <v>1</v>
      </c>
      <c r="BI87">
        <v>13.6</v>
      </c>
      <c r="BJ87">
        <v>2.15</v>
      </c>
      <c r="BK87">
        <v>0</v>
      </c>
      <c r="BL87">
        <v>13</v>
      </c>
      <c r="BM87">
        <v>13</v>
      </c>
      <c r="BN87">
        <v>393</v>
      </c>
      <c r="BO87">
        <v>383.66669999999999</v>
      </c>
      <c r="BP87">
        <v>9.3332999999999995</v>
      </c>
      <c r="BQ87">
        <v>325</v>
      </c>
      <c r="BR87">
        <v>68</v>
      </c>
      <c r="BS87" t="s">
        <v>114</v>
      </c>
      <c r="BT87" t="s">
        <v>114</v>
      </c>
      <c r="BU87" t="s">
        <v>114</v>
      </c>
      <c r="BV87" t="s">
        <v>114</v>
      </c>
      <c r="BW87" t="s">
        <v>114</v>
      </c>
      <c r="BX87" t="s">
        <v>114</v>
      </c>
      <c r="BY87" t="s">
        <v>114</v>
      </c>
      <c r="BZ87" t="s">
        <v>114</v>
      </c>
      <c r="CA87" t="s">
        <v>114</v>
      </c>
      <c r="CB87" t="s">
        <v>114</v>
      </c>
      <c r="CC87" t="s">
        <v>114</v>
      </c>
      <c r="CD87" t="s">
        <v>114</v>
      </c>
      <c r="CE87" t="s">
        <v>114</v>
      </c>
      <c r="CF87" t="s">
        <v>114</v>
      </c>
      <c r="CG87" t="s">
        <v>114</v>
      </c>
      <c r="CH87" t="s">
        <v>114</v>
      </c>
      <c r="CI87" t="s">
        <v>114</v>
      </c>
      <c r="CJ87" t="s">
        <v>114</v>
      </c>
      <c r="CK87" t="s">
        <v>114</v>
      </c>
      <c r="CL87" t="s">
        <v>114</v>
      </c>
      <c r="CM87" t="s">
        <v>114</v>
      </c>
      <c r="CN87" t="s">
        <v>114</v>
      </c>
      <c r="CO87" t="s">
        <v>114</v>
      </c>
      <c r="CP87" t="s">
        <v>114</v>
      </c>
      <c r="CQ87" t="s">
        <v>114</v>
      </c>
      <c r="CR87" t="s">
        <v>114</v>
      </c>
      <c r="CS87" t="s">
        <v>114</v>
      </c>
      <c r="CT87" t="s">
        <v>114</v>
      </c>
      <c r="CU87" t="s">
        <v>114</v>
      </c>
      <c r="CV87" t="s">
        <v>114</v>
      </c>
      <c r="CW87" t="s">
        <v>114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</row>
    <row r="88" spans="1:134" x14ac:dyDescent="0.25">
      <c r="A88" t="s">
        <v>14</v>
      </c>
      <c r="B88">
        <v>15</v>
      </c>
      <c r="C88" t="s">
        <v>15</v>
      </c>
      <c r="D88" t="s">
        <v>94</v>
      </c>
      <c r="E88" t="s">
        <v>110</v>
      </c>
      <c r="F88" t="s">
        <v>145</v>
      </c>
      <c r="G88" t="s">
        <v>262</v>
      </c>
      <c r="H88" t="s">
        <v>767</v>
      </c>
      <c r="I88" t="s">
        <v>702</v>
      </c>
      <c r="J88" t="s">
        <v>362</v>
      </c>
      <c r="K88" t="s">
        <v>114</v>
      </c>
      <c r="L88">
        <v>35</v>
      </c>
      <c r="M88">
        <v>20</v>
      </c>
      <c r="N88">
        <v>35</v>
      </c>
      <c r="O88">
        <v>15</v>
      </c>
      <c r="P88">
        <v>20</v>
      </c>
      <c r="Q88">
        <v>20</v>
      </c>
      <c r="R88">
        <v>0</v>
      </c>
      <c r="S88">
        <v>10</v>
      </c>
      <c r="T88">
        <v>0.28571428599999998</v>
      </c>
      <c r="U88" t="s">
        <v>23</v>
      </c>
      <c r="V88" t="s">
        <v>121</v>
      </c>
      <c r="W88" t="s">
        <v>114</v>
      </c>
      <c r="X88">
        <v>23.8</v>
      </c>
      <c r="Y88">
        <v>22.3</v>
      </c>
      <c r="Z88">
        <v>18.399999999999999</v>
      </c>
      <c r="AA88">
        <v>21.5</v>
      </c>
      <c r="AB88">
        <v>21.5</v>
      </c>
      <c r="AC88">
        <v>19.3</v>
      </c>
      <c r="AD88">
        <v>17.899999999999999</v>
      </c>
      <c r="AE88">
        <v>19.8</v>
      </c>
      <c r="AF88">
        <v>19</v>
      </c>
      <c r="AG88">
        <v>21.8</v>
      </c>
      <c r="AH88">
        <v>27.2</v>
      </c>
      <c r="AI88">
        <v>24.3</v>
      </c>
      <c r="AJ88">
        <v>24.43333333</v>
      </c>
      <c r="AK88">
        <v>29.2</v>
      </c>
      <c r="AL88">
        <v>22.3</v>
      </c>
      <c r="AM88">
        <v>25.2</v>
      </c>
      <c r="AN88">
        <v>25.56666667</v>
      </c>
      <c r="AO88">
        <v>24.43333333</v>
      </c>
      <c r="AP88">
        <v>6.1</v>
      </c>
      <c r="AQ88">
        <v>9.5</v>
      </c>
      <c r="AR88">
        <v>9.5</v>
      </c>
      <c r="AS88">
        <v>8.3666666670000005</v>
      </c>
      <c r="AT88">
        <v>9.5</v>
      </c>
      <c r="AU88">
        <v>10</v>
      </c>
      <c r="AV88">
        <v>8.1</v>
      </c>
      <c r="AW88">
        <v>9.1999999999999993</v>
      </c>
      <c r="AX88">
        <v>8.3666666670000005</v>
      </c>
      <c r="AY88">
        <v>-13.133333329999999</v>
      </c>
      <c r="AZ88">
        <v>40</v>
      </c>
      <c r="BA88">
        <v>20</v>
      </c>
      <c r="BB88">
        <v>20</v>
      </c>
      <c r="BC88">
        <v>10</v>
      </c>
      <c r="BD88">
        <v>0</v>
      </c>
      <c r="BE88">
        <v>1</v>
      </c>
      <c r="BF88">
        <v>1</v>
      </c>
      <c r="BG88">
        <v>1</v>
      </c>
      <c r="BI88">
        <v>13.6</v>
      </c>
      <c r="BJ88">
        <v>2.15</v>
      </c>
      <c r="BK88">
        <v>0</v>
      </c>
      <c r="BL88">
        <v>5</v>
      </c>
      <c r="BM88">
        <v>0</v>
      </c>
      <c r="BN88">
        <v>5</v>
      </c>
      <c r="BO88">
        <v>6</v>
      </c>
      <c r="BP88">
        <v>-1</v>
      </c>
      <c r="BQ88">
        <v>5</v>
      </c>
      <c r="BR88">
        <v>0</v>
      </c>
      <c r="BS88" t="s">
        <v>114</v>
      </c>
      <c r="BT88" t="s">
        <v>114</v>
      </c>
      <c r="BU88" t="s">
        <v>114</v>
      </c>
      <c r="BV88" t="s">
        <v>114</v>
      </c>
      <c r="BW88" t="s">
        <v>114</v>
      </c>
      <c r="BX88" t="s">
        <v>114</v>
      </c>
      <c r="BY88" t="s">
        <v>114</v>
      </c>
      <c r="BZ88" t="s">
        <v>114</v>
      </c>
      <c r="CA88" t="s">
        <v>114</v>
      </c>
      <c r="CB88" t="s">
        <v>114</v>
      </c>
      <c r="CC88" t="s">
        <v>114</v>
      </c>
      <c r="CD88" t="s">
        <v>114</v>
      </c>
      <c r="CE88" t="s">
        <v>114</v>
      </c>
      <c r="CF88" t="s">
        <v>114</v>
      </c>
      <c r="CG88" t="s">
        <v>114</v>
      </c>
      <c r="CH88" t="s">
        <v>114</v>
      </c>
      <c r="CI88" t="s">
        <v>114</v>
      </c>
      <c r="CJ88" t="s">
        <v>114</v>
      </c>
      <c r="CK88" t="s">
        <v>114</v>
      </c>
      <c r="CL88" t="s">
        <v>114</v>
      </c>
      <c r="CM88" t="s">
        <v>114</v>
      </c>
      <c r="CN88" t="s">
        <v>114</v>
      </c>
      <c r="CO88" t="s">
        <v>114</v>
      </c>
      <c r="CP88" t="s">
        <v>114</v>
      </c>
      <c r="CQ88" t="s">
        <v>114</v>
      </c>
      <c r="CR88" t="s">
        <v>114</v>
      </c>
      <c r="CS88" t="s">
        <v>114</v>
      </c>
      <c r="CT88" t="s">
        <v>114</v>
      </c>
      <c r="CU88" t="s">
        <v>114</v>
      </c>
      <c r="CV88" t="s">
        <v>114</v>
      </c>
      <c r="CW88" t="s">
        <v>114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</row>
    <row r="89" spans="1:134" x14ac:dyDescent="0.25">
      <c r="A89" t="s">
        <v>14</v>
      </c>
      <c r="B89">
        <v>15</v>
      </c>
      <c r="C89" t="s">
        <v>15</v>
      </c>
      <c r="D89" t="s">
        <v>94</v>
      </c>
      <c r="E89" t="s">
        <v>111</v>
      </c>
      <c r="F89" t="s">
        <v>145</v>
      </c>
      <c r="G89" t="s">
        <v>263</v>
      </c>
      <c r="H89" t="s">
        <v>775</v>
      </c>
      <c r="I89" t="s">
        <v>703</v>
      </c>
      <c r="J89" t="s">
        <v>363</v>
      </c>
      <c r="K89">
        <v>1</v>
      </c>
      <c r="L89">
        <v>240</v>
      </c>
      <c r="M89">
        <v>260</v>
      </c>
      <c r="N89">
        <v>240</v>
      </c>
      <c r="O89">
        <v>-20</v>
      </c>
      <c r="P89">
        <v>82</v>
      </c>
      <c r="Q89">
        <v>170</v>
      </c>
      <c r="R89">
        <v>110</v>
      </c>
      <c r="S89">
        <v>140</v>
      </c>
      <c r="T89">
        <v>0.58333333300000001</v>
      </c>
      <c r="U89" t="s">
        <v>15</v>
      </c>
      <c r="V89" t="s">
        <v>114</v>
      </c>
      <c r="W89" t="s">
        <v>114</v>
      </c>
      <c r="X89">
        <v>23.8</v>
      </c>
      <c r="Y89">
        <v>22.3</v>
      </c>
      <c r="Z89">
        <v>18.399999999999999</v>
      </c>
      <c r="AA89">
        <v>21.5</v>
      </c>
      <c r="AB89">
        <v>21.5</v>
      </c>
      <c r="AC89">
        <v>24.3</v>
      </c>
      <c r="AD89">
        <v>19.8</v>
      </c>
      <c r="AE89">
        <v>14.9</v>
      </c>
      <c r="AF89">
        <v>19.666666670000001</v>
      </c>
      <c r="AG89">
        <v>21.8</v>
      </c>
      <c r="AH89">
        <v>27.2</v>
      </c>
      <c r="AI89">
        <v>24.3</v>
      </c>
      <c r="AJ89">
        <v>24.43333333</v>
      </c>
      <c r="AK89">
        <v>20.8</v>
      </c>
      <c r="AL89">
        <v>23.8</v>
      </c>
      <c r="AM89">
        <v>25.7</v>
      </c>
      <c r="AN89">
        <v>23.43333333</v>
      </c>
      <c r="AO89">
        <v>24.43333333</v>
      </c>
      <c r="AP89">
        <v>6.1</v>
      </c>
      <c r="AQ89">
        <v>9.5</v>
      </c>
      <c r="AR89">
        <v>9.5</v>
      </c>
      <c r="AS89">
        <v>8.3666666670000005</v>
      </c>
      <c r="AT89">
        <v>4.5999999999999996</v>
      </c>
      <c r="AU89">
        <v>6.6</v>
      </c>
      <c r="AV89">
        <v>8.5</v>
      </c>
      <c r="AW89">
        <v>6.5666666669999998</v>
      </c>
      <c r="AX89">
        <v>8.3666666670000005</v>
      </c>
      <c r="AY89">
        <v>-13.133333329999999</v>
      </c>
      <c r="AZ89">
        <v>40</v>
      </c>
      <c r="BA89">
        <v>20</v>
      </c>
      <c r="BB89">
        <v>20</v>
      </c>
      <c r="BC89">
        <v>10</v>
      </c>
      <c r="BD89">
        <v>0</v>
      </c>
      <c r="BE89">
        <v>1</v>
      </c>
      <c r="BF89">
        <v>1</v>
      </c>
      <c r="BG89">
        <v>1</v>
      </c>
      <c r="BI89">
        <v>13.6</v>
      </c>
      <c r="BJ89">
        <v>2.15</v>
      </c>
      <c r="BK89">
        <v>0</v>
      </c>
      <c r="BL89">
        <v>56</v>
      </c>
      <c r="BM89">
        <v>38</v>
      </c>
      <c r="BN89">
        <v>3116</v>
      </c>
      <c r="BO89">
        <v>2240.3332999999998</v>
      </c>
      <c r="BP89">
        <v>875.66669999999999</v>
      </c>
      <c r="BQ89">
        <v>2374</v>
      </c>
      <c r="BR89">
        <v>742</v>
      </c>
      <c r="BS89">
        <v>21.710559</v>
      </c>
      <c r="BT89">
        <v>0.93538222199999999</v>
      </c>
      <c r="BU89">
        <v>10.137912419999999</v>
      </c>
      <c r="BV89">
        <v>21.710559</v>
      </c>
      <c r="BW89">
        <v>-0.93538222199999999</v>
      </c>
      <c r="BX89">
        <v>-10.137912419999999</v>
      </c>
      <c r="BY89" t="s">
        <v>114</v>
      </c>
      <c r="BZ89" t="s">
        <v>114</v>
      </c>
      <c r="CA89" t="s">
        <v>114</v>
      </c>
      <c r="CB89" t="s">
        <v>114</v>
      </c>
      <c r="CC89" t="s">
        <v>114</v>
      </c>
      <c r="CD89" t="s">
        <v>114</v>
      </c>
      <c r="CE89">
        <v>0.5184628</v>
      </c>
      <c r="CF89" t="s">
        <v>114</v>
      </c>
      <c r="CG89">
        <v>0.5184628</v>
      </c>
      <c r="CH89">
        <v>21.710559</v>
      </c>
      <c r="CI89">
        <v>0.93538222199999999</v>
      </c>
      <c r="CJ89">
        <v>10.137912419999999</v>
      </c>
      <c r="CK89">
        <v>-0.5184628</v>
      </c>
      <c r="CL89">
        <v>21.710559</v>
      </c>
      <c r="CM89">
        <v>-0.93538222199999999</v>
      </c>
      <c r="CN89">
        <v>-10.137912419999999</v>
      </c>
      <c r="CO89" t="s">
        <v>114</v>
      </c>
      <c r="CP89" t="s">
        <v>114</v>
      </c>
      <c r="CQ89" t="s">
        <v>114</v>
      </c>
      <c r="CR89" t="s">
        <v>114</v>
      </c>
      <c r="CS89" t="s">
        <v>114</v>
      </c>
      <c r="CT89" t="s">
        <v>114</v>
      </c>
      <c r="CU89" t="s">
        <v>114</v>
      </c>
      <c r="CV89" t="s">
        <v>114</v>
      </c>
      <c r="CW89">
        <v>-0.5184628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1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</row>
    <row r="90" spans="1:134" x14ac:dyDescent="0.25">
      <c r="A90" t="s">
        <v>14</v>
      </c>
      <c r="B90">
        <v>15</v>
      </c>
      <c r="C90" t="s">
        <v>15</v>
      </c>
      <c r="D90" t="s">
        <v>94</v>
      </c>
      <c r="E90" t="s">
        <v>104</v>
      </c>
      <c r="F90" t="s">
        <v>145</v>
      </c>
      <c r="G90" t="s">
        <v>264</v>
      </c>
      <c r="H90" t="s">
        <v>779</v>
      </c>
      <c r="I90" t="s">
        <v>701</v>
      </c>
      <c r="J90" t="s">
        <v>364</v>
      </c>
      <c r="K90">
        <v>3</v>
      </c>
      <c r="L90">
        <v>55</v>
      </c>
      <c r="M90">
        <v>70</v>
      </c>
      <c r="N90">
        <v>55</v>
      </c>
      <c r="O90">
        <v>-15</v>
      </c>
      <c r="P90">
        <v>20</v>
      </c>
      <c r="Q90">
        <v>20</v>
      </c>
      <c r="R90">
        <v>10</v>
      </c>
      <c r="S90">
        <v>15</v>
      </c>
      <c r="T90">
        <v>0.27272727299999999</v>
      </c>
      <c r="U90" t="s">
        <v>15</v>
      </c>
      <c r="V90" t="s">
        <v>104</v>
      </c>
      <c r="W90">
        <v>55</v>
      </c>
      <c r="X90">
        <v>23.8</v>
      </c>
      <c r="Y90">
        <v>22.3</v>
      </c>
      <c r="Z90">
        <v>18.399999999999999</v>
      </c>
      <c r="AA90">
        <v>21.5</v>
      </c>
      <c r="AB90">
        <v>21.5</v>
      </c>
      <c r="AC90">
        <v>22.3</v>
      </c>
      <c r="AD90">
        <v>23.3</v>
      </c>
      <c r="AE90">
        <v>23.8</v>
      </c>
      <c r="AF90">
        <v>23.133333329999999</v>
      </c>
      <c r="AG90">
        <v>21.8</v>
      </c>
      <c r="AH90">
        <v>27.2</v>
      </c>
      <c r="AI90">
        <v>24.3</v>
      </c>
      <c r="AJ90">
        <v>24.43333333</v>
      </c>
      <c r="AK90">
        <v>18.399999999999999</v>
      </c>
      <c r="AL90">
        <v>24.7</v>
      </c>
      <c r="AM90">
        <v>24.3</v>
      </c>
      <c r="AN90">
        <v>22.466666669999999</v>
      </c>
      <c r="AO90">
        <v>24.43333333</v>
      </c>
      <c r="AP90">
        <v>6.1</v>
      </c>
      <c r="AQ90">
        <v>9.5</v>
      </c>
      <c r="AR90">
        <v>9.5</v>
      </c>
      <c r="AS90">
        <v>8.3666666670000005</v>
      </c>
      <c r="AT90">
        <v>10</v>
      </c>
      <c r="AU90">
        <v>9</v>
      </c>
      <c r="AV90">
        <v>10.5</v>
      </c>
      <c r="AW90">
        <v>9.8333333330000006</v>
      </c>
      <c r="AX90">
        <v>8.3666666670000005</v>
      </c>
      <c r="AY90">
        <v>-13.133333329999999</v>
      </c>
      <c r="AZ90">
        <v>40</v>
      </c>
      <c r="BA90">
        <v>20</v>
      </c>
      <c r="BB90">
        <v>20</v>
      </c>
      <c r="BC90">
        <v>10</v>
      </c>
      <c r="BD90">
        <v>0</v>
      </c>
      <c r="BE90">
        <v>1</v>
      </c>
      <c r="BF90">
        <v>1</v>
      </c>
      <c r="BG90">
        <v>1</v>
      </c>
      <c r="BI90">
        <v>13.6</v>
      </c>
      <c r="BJ90">
        <v>2.15</v>
      </c>
      <c r="BK90">
        <v>0</v>
      </c>
      <c r="BL90">
        <v>2</v>
      </c>
      <c r="BM90">
        <v>2</v>
      </c>
      <c r="BN90">
        <v>10</v>
      </c>
      <c r="BO90">
        <v>31</v>
      </c>
      <c r="BP90">
        <v>-21</v>
      </c>
      <c r="BQ90">
        <v>42</v>
      </c>
      <c r="BR90">
        <v>-32</v>
      </c>
      <c r="BS90">
        <v>20.338315219999998</v>
      </c>
      <c r="BT90">
        <v>0.683983334</v>
      </c>
      <c r="BU90">
        <v>0.53916149999999996</v>
      </c>
      <c r="BV90">
        <v>20.338315219999998</v>
      </c>
      <c r="BW90">
        <v>0.683983334</v>
      </c>
      <c r="BX90">
        <v>-0.53916149999999996</v>
      </c>
      <c r="BY90">
        <v>827.29413160000001</v>
      </c>
      <c r="BZ90">
        <v>0.93566640099999998</v>
      </c>
      <c r="CA90">
        <v>0.581390246</v>
      </c>
      <c r="CB90">
        <v>827.29413160000001</v>
      </c>
      <c r="CC90">
        <v>0.93566640099999998</v>
      </c>
      <c r="CD90">
        <v>0.581390246</v>
      </c>
      <c r="CE90">
        <v>0.25102455000000001</v>
      </c>
      <c r="CF90">
        <v>0.12602664899999999</v>
      </c>
      <c r="CG90">
        <v>0.16734969999999999</v>
      </c>
      <c r="CH90">
        <v>13.558876809999999</v>
      </c>
      <c r="CI90">
        <v>0.45598888900000001</v>
      </c>
      <c r="CJ90">
        <v>0.35944100000000001</v>
      </c>
      <c r="CK90">
        <v>-0.16734969999999999</v>
      </c>
      <c r="CL90">
        <v>13.558876809999999</v>
      </c>
      <c r="CM90">
        <v>0.45598888900000001</v>
      </c>
      <c r="CN90">
        <v>-0.35944100000000001</v>
      </c>
      <c r="CO90">
        <v>8.4017765999999994E-2</v>
      </c>
      <c r="CP90">
        <v>551.52942099999996</v>
      </c>
      <c r="CQ90">
        <v>0.62377760100000001</v>
      </c>
      <c r="CR90">
        <v>0.38759349700000001</v>
      </c>
      <c r="CS90">
        <v>8.4017765999999994E-2</v>
      </c>
      <c r="CT90">
        <v>551.52942099999996</v>
      </c>
      <c r="CU90">
        <v>0.62377760100000001</v>
      </c>
      <c r="CV90">
        <v>0.38759349700000001</v>
      </c>
      <c r="CW90">
        <v>-0.25102455000000001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1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2</v>
      </c>
      <c r="DZ90">
        <v>0</v>
      </c>
      <c r="EA90">
        <v>0</v>
      </c>
      <c r="EB90">
        <v>0</v>
      </c>
      <c r="EC90">
        <v>0</v>
      </c>
      <c r="ED90">
        <v>0.636514168294813</v>
      </c>
    </row>
    <row r="91" spans="1:134" x14ac:dyDescent="0.25">
      <c r="A91" t="s">
        <v>16</v>
      </c>
      <c r="B91">
        <v>15</v>
      </c>
      <c r="C91" t="s">
        <v>17</v>
      </c>
      <c r="D91" t="s">
        <v>95</v>
      </c>
      <c r="E91" t="s">
        <v>113</v>
      </c>
      <c r="F91" t="s">
        <v>145</v>
      </c>
      <c r="G91" t="s">
        <v>259</v>
      </c>
      <c r="H91" t="s">
        <v>764</v>
      </c>
      <c r="I91" t="s">
        <v>704</v>
      </c>
      <c r="J91" t="s">
        <v>365</v>
      </c>
      <c r="K91">
        <v>4</v>
      </c>
      <c r="L91">
        <v>100</v>
      </c>
      <c r="M91">
        <v>90</v>
      </c>
      <c r="N91">
        <v>100</v>
      </c>
      <c r="O91">
        <v>10</v>
      </c>
      <c r="P91">
        <v>8</v>
      </c>
      <c r="Q91">
        <v>20</v>
      </c>
      <c r="R91">
        <v>5</v>
      </c>
      <c r="S91">
        <v>12.5</v>
      </c>
      <c r="T91">
        <v>0.125</v>
      </c>
      <c r="V91" t="s">
        <v>104</v>
      </c>
      <c r="W91">
        <v>50</v>
      </c>
      <c r="X91">
        <v>13.9</v>
      </c>
      <c r="Y91">
        <v>15.4</v>
      </c>
      <c r="Z91">
        <v>15.9</v>
      </c>
      <c r="AA91">
        <v>15.06666667</v>
      </c>
      <c r="AB91">
        <v>15.06666667</v>
      </c>
      <c r="AC91">
        <v>26.7</v>
      </c>
      <c r="AD91">
        <v>17.899999999999999</v>
      </c>
      <c r="AE91">
        <v>21.3</v>
      </c>
      <c r="AF91">
        <v>21.966666669999999</v>
      </c>
      <c r="AG91">
        <v>22.3</v>
      </c>
      <c r="AH91">
        <v>22.3</v>
      </c>
      <c r="AI91">
        <v>23.4</v>
      </c>
      <c r="AJ91">
        <v>22.666666670000001</v>
      </c>
      <c r="AK91">
        <v>22.3</v>
      </c>
      <c r="AL91">
        <v>23.7</v>
      </c>
      <c r="AM91">
        <v>33.6</v>
      </c>
      <c r="AN91">
        <v>26.533333330000001</v>
      </c>
      <c r="AO91">
        <v>22.666666670000001</v>
      </c>
      <c r="AP91">
        <v>8.1</v>
      </c>
      <c r="AQ91">
        <v>8.5</v>
      </c>
      <c r="AR91">
        <v>12.5</v>
      </c>
      <c r="AS91">
        <v>9.6999999999999993</v>
      </c>
      <c r="AT91">
        <v>11</v>
      </c>
      <c r="AU91">
        <v>8.1</v>
      </c>
      <c r="AV91">
        <v>9.5</v>
      </c>
      <c r="AW91">
        <v>9.5333333329999999</v>
      </c>
      <c r="AX91">
        <v>9.6999999999999993</v>
      </c>
      <c r="AY91">
        <v>-5.3666666669999996</v>
      </c>
      <c r="AZ91">
        <v>10</v>
      </c>
      <c r="BA91">
        <v>15</v>
      </c>
      <c r="BB91">
        <v>2</v>
      </c>
      <c r="BC91">
        <v>25</v>
      </c>
      <c r="BD91">
        <v>1</v>
      </c>
      <c r="BE91">
        <v>1</v>
      </c>
      <c r="BF91">
        <v>2</v>
      </c>
      <c r="BG91">
        <v>1</v>
      </c>
      <c r="BI91">
        <v>6.6</v>
      </c>
      <c r="BJ91">
        <v>42.4</v>
      </c>
      <c r="BK91">
        <v>0</v>
      </c>
      <c r="BL91">
        <v>7</v>
      </c>
      <c r="BM91">
        <v>5</v>
      </c>
      <c r="BN91">
        <v>15</v>
      </c>
      <c r="BO91">
        <v>22</v>
      </c>
      <c r="BP91">
        <v>-7</v>
      </c>
      <c r="BQ91">
        <v>60</v>
      </c>
      <c r="BR91">
        <v>-45</v>
      </c>
      <c r="BS91">
        <v>15.089962119999999</v>
      </c>
      <c r="BT91">
        <v>0.84872999999999998</v>
      </c>
      <c r="BU91">
        <v>5.38276384</v>
      </c>
      <c r="BV91">
        <v>-15.089962119999999</v>
      </c>
      <c r="BW91">
        <v>-0.84872999999999998</v>
      </c>
      <c r="BX91">
        <v>-5.38276384</v>
      </c>
      <c r="BY91">
        <v>455.4139136</v>
      </c>
      <c r="BZ91">
        <v>1.440685226</v>
      </c>
      <c r="CA91">
        <v>57.948293110000002</v>
      </c>
      <c r="CB91">
        <v>455.4139136</v>
      </c>
      <c r="CC91">
        <v>1.440685226</v>
      </c>
      <c r="CD91">
        <v>57.948293110000002</v>
      </c>
      <c r="CE91">
        <v>9.6954100000000001E-2</v>
      </c>
      <c r="CF91">
        <v>1.8800194999999999E-2</v>
      </c>
      <c r="CG91">
        <v>4.8477050000000001E-2</v>
      </c>
      <c r="CH91">
        <v>7.5449810599999996</v>
      </c>
      <c r="CI91">
        <v>0.42436499999999999</v>
      </c>
      <c r="CJ91">
        <v>2.69138192</v>
      </c>
      <c r="CK91">
        <v>-4.8477050000000001E-2</v>
      </c>
      <c r="CL91">
        <v>-7.5449810599999996</v>
      </c>
      <c r="CM91">
        <v>-0.42436499999999999</v>
      </c>
      <c r="CN91">
        <v>-2.69138192</v>
      </c>
      <c r="CO91">
        <v>9.4000980000000008E-3</v>
      </c>
      <c r="CP91">
        <v>227.7069568</v>
      </c>
      <c r="CQ91">
        <v>0.72034261300000002</v>
      </c>
      <c r="CR91">
        <v>28.974146560000001</v>
      </c>
      <c r="CS91">
        <v>9.4000980000000008E-3</v>
      </c>
      <c r="CT91">
        <v>227.7069568</v>
      </c>
      <c r="CU91">
        <v>0.72034261300000002</v>
      </c>
      <c r="CV91">
        <v>28.974146560000001</v>
      </c>
      <c r="CW91">
        <v>-9.6954100000000001E-2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3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1</v>
      </c>
      <c r="DZ91">
        <v>0</v>
      </c>
      <c r="EA91">
        <v>0</v>
      </c>
      <c r="EB91">
        <v>0</v>
      </c>
      <c r="EC91">
        <v>0</v>
      </c>
      <c r="ED91">
        <v>0.56233514461880796</v>
      </c>
    </row>
    <row r="92" spans="1:134" x14ac:dyDescent="0.25">
      <c r="A92" t="s">
        <v>16</v>
      </c>
      <c r="B92">
        <v>15</v>
      </c>
      <c r="C92" t="s">
        <v>17</v>
      </c>
      <c r="D92" t="s">
        <v>95</v>
      </c>
      <c r="E92" t="s">
        <v>110</v>
      </c>
      <c r="F92" t="s">
        <v>145</v>
      </c>
      <c r="G92" t="s">
        <v>262</v>
      </c>
      <c r="H92" t="s">
        <v>768</v>
      </c>
      <c r="I92" t="s">
        <v>705</v>
      </c>
      <c r="J92" t="s">
        <v>366</v>
      </c>
      <c r="K92">
        <v>2</v>
      </c>
      <c r="L92">
        <v>80</v>
      </c>
      <c r="M92">
        <v>40</v>
      </c>
      <c r="N92">
        <v>80</v>
      </c>
      <c r="O92">
        <v>40</v>
      </c>
      <c r="P92">
        <v>10</v>
      </c>
      <c r="Q92">
        <v>170</v>
      </c>
      <c r="R92">
        <v>70</v>
      </c>
      <c r="S92">
        <v>120</v>
      </c>
      <c r="T92">
        <v>1.5</v>
      </c>
      <c r="V92" t="s">
        <v>121</v>
      </c>
      <c r="W92" t="s">
        <v>114</v>
      </c>
      <c r="X92">
        <v>13.9</v>
      </c>
      <c r="Y92">
        <v>15.4</v>
      </c>
      <c r="Z92">
        <v>15.9</v>
      </c>
      <c r="AA92">
        <v>15.06666667</v>
      </c>
      <c r="AB92">
        <v>15.06666667</v>
      </c>
      <c r="AC92">
        <v>17.399999999999999</v>
      </c>
      <c r="AD92">
        <v>13.5</v>
      </c>
      <c r="AE92">
        <v>16.899999999999999</v>
      </c>
      <c r="AF92">
        <v>15.93333333</v>
      </c>
      <c r="AG92">
        <v>22.3</v>
      </c>
      <c r="AH92">
        <v>22.3</v>
      </c>
      <c r="AI92">
        <v>23.4</v>
      </c>
      <c r="AJ92">
        <v>22.666666670000001</v>
      </c>
      <c r="AK92">
        <v>23.8</v>
      </c>
      <c r="AL92">
        <v>20.8</v>
      </c>
      <c r="AM92">
        <v>18.399999999999999</v>
      </c>
      <c r="AN92">
        <v>21</v>
      </c>
      <c r="AO92">
        <v>22.666666670000001</v>
      </c>
      <c r="AP92">
        <v>8.1</v>
      </c>
      <c r="AQ92">
        <v>8.5</v>
      </c>
      <c r="AR92">
        <v>12.5</v>
      </c>
      <c r="AS92">
        <v>9.6999999999999993</v>
      </c>
      <c r="AT92">
        <v>7.6</v>
      </c>
      <c r="AU92">
        <v>7.6</v>
      </c>
      <c r="AV92">
        <v>6.1</v>
      </c>
      <c r="AW92">
        <v>7.1</v>
      </c>
      <c r="AX92">
        <v>9.6999999999999993</v>
      </c>
      <c r="AY92">
        <v>-5.3666666669999996</v>
      </c>
      <c r="AZ92">
        <v>10</v>
      </c>
      <c r="BA92">
        <v>15</v>
      </c>
      <c r="BB92">
        <v>2</v>
      </c>
      <c r="BC92">
        <v>25</v>
      </c>
      <c r="BD92">
        <v>1</v>
      </c>
      <c r="BE92">
        <v>1</v>
      </c>
      <c r="BF92">
        <v>2</v>
      </c>
      <c r="BG92">
        <v>1</v>
      </c>
      <c r="BI92">
        <v>6.6</v>
      </c>
      <c r="BJ92">
        <v>42.4</v>
      </c>
      <c r="BK92">
        <v>0</v>
      </c>
      <c r="BL92">
        <v>46</v>
      </c>
      <c r="BM92">
        <v>41</v>
      </c>
      <c r="BN92">
        <v>41</v>
      </c>
      <c r="BO92">
        <v>4.6666670000000003</v>
      </c>
      <c r="BP92">
        <v>36.333333000000003</v>
      </c>
      <c r="BQ92">
        <v>11</v>
      </c>
      <c r="BR92">
        <v>30</v>
      </c>
      <c r="BS92">
        <v>40.707880430000003</v>
      </c>
      <c r="BT92">
        <v>0.94623444499999998</v>
      </c>
      <c r="BU92">
        <v>2.550690565</v>
      </c>
      <c r="BV92">
        <v>-40.707880430000003</v>
      </c>
      <c r="BW92">
        <v>-0.42173222300000002</v>
      </c>
      <c r="BX92">
        <v>2.550690565</v>
      </c>
      <c r="BY92">
        <v>1.953125E-3</v>
      </c>
      <c r="BZ92">
        <v>0.35571613499999999</v>
      </c>
      <c r="CA92">
        <v>4.3357324930000001</v>
      </c>
      <c r="CB92">
        <v>1.953125E-3</v>
      </c>
      <c r="CC92">
        <v>1.790719248</v>
      </c>
      <c r="CD92">
        <v>4.3357324930000001</v>
      </c>
      <c r="CE92">
        <v>0.563843235</v>
      </c>
      <c r="CF92">
        <v>7.6370300000000004E-3</v>
      </c>
      <c r="CG92">
        <v>0.563843235</v>
      </c>
      <c r="CH92">
        <v>40.707880430000003</v>
      </c>
      <c r="CI92">
        <v>0.94623444499999998</v>
      </c>
      <c r="CJ92">
        <v>2.550690565</v>
      </c>
      <c r="CK92">
        <v>0.563843235</v>
      </c>
      <c r="CL92">
        <v>-40.707880430000003</v>
      </c>
      <c r="CM92">
        <v>-0.42173222300000002</v>
      </c>
      <c r="CN92">
        <v>2.550690565</v>
      </c>
      <c r="CO92">
        <v>7.6370300000000004E-3</v>
      </c>
      <c r="CP92">
        <v>1.953125E-3</v>
      </c>
      <c r="CQ92">
        <v>0.35571613499999999</v>
      </c>
      <c r="CR92">
        <v>4.3357324930000001</v>
      </c>
      <c r="CS92">
        <v>7.6370300000000004E-3</v>
      </c>
      <c r="CT92">
        <v>1.953125E-3</v>
      </c>
      <c r="CU92">
        <v>1.790719248</v>
      </c>
      <c r="CV92">
        <v>4.3357324930000001</v>
      </c>
      <c r="CW92">
        <v>0.563843235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1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1</v>
      </c>
      <c r="DZ92">
        <v>0</v>
      </c>
      <c r="EA92">
        <v>0</v>
      </c>
      <c r="EB92">
        <v>0</v>
      </c>
      <c r="EC92">
        <v>0</v>
      </c>
      <c r="ED92">
        <v>0.69314718055994495</v>
      </c>
    </row>
    <row r="93" spans="1:134" x14ac:dyDescent="0.25">
      <c r="A93" t="s">
        <v>16</v>
      </c>
      <c r="B93">
        <v>15</v>
      </c>
      <c r="C93" t="s">
        <v>17</v>
      </c>
      <c r="D93" t="s">
        <v>95</v>
      </c>
      <c r="E93" t="s">
        <v>111</v>
      </c>
      <c r="F93" t="s">
        <v>145</v>
      </c>
      <c r="G93" t="s">
        <v>263</v>
      </c>
      <c r="H93" t="s">
        <v>776</v>
      </c>
      <c r="I93" t="s">
        <v>706</v>
      </c>
      <c r="J93" t="s">
        <v>367</v>
      </c>
      <c r="K93">
        <v>5</v>
      </c>
      <c r="L93">
        <v>320</v>
      </c>
      <c r="M93">
        <v>210</v>
      </c>
      <c r="N93">
        <v>320</v>
      </c>
      <c r="O93">
        <v>110</v>
      </c>
      <c r="P93">
        <v>60</v>
      </c>
      <c r="Q93">
        <v>230</v>
      </c>
      <c r="R93">
        <v>100</v>
      </c>
      <c r="S93">
        <v>165</v>
      </c>
      <c r="T93">
        <v>0.515625</v>
      </c>
      <c r="V93" t="s">
        <v>113</v>
      </c>
      <c r="W93">
        <v>50</v>
      </c>
      <c r="X93">
        <v>13.9</v>
      </c>
      <c r="Y93">
        <v>15.4</v>
      </c>
      <c r="Z93">
        <v>15.9</v>
      </c>
      <c r="AA93">
        <v>15.06666667</v>
      </c>
      <c r="AB93">
        <v>15.06666667</v>
      </c>
      <c r="AC93">
        <v>15.9</v>
      </c>
      <c r="AD93">
        <v>26.2</v>
      </c>
      <c r="AE93">
        <v>19.3</v>
      </c>
      <c r="AF93">
        <v>20.466666669999999</v>
      </c>
      <c r="AG93">
        <v>22.3</v>
      </c>
      <c r="AH93">
        <v>22.3</v>
      </c>
      <c r="AI93">
        <v>23.4</v>
      </c>
      <c r="AJ93">
        <v>22.666666670000001</v>
      </c>
      <c r="AK93">
        <v>20.8</v>
      </c>
      <c r="AL93">
        <v>24.7</v>
      </c>
      <c r="AM93">
        <v>29.7</v>
      </c>
      <c r="AN93">
        <v>25.06666667</v>
      </c>
      <c r="AO93">
        <v>22.666666670000001</v>
      </c>
      <c r="AP93">
        <v>8.1</v>
      </c>
      <c r="AQ93">
        <v>8.5</v>
      </c>
      <c r="AR93">
        <v>12.5</v>
      </c>
      <c r="AS93">
        <v>9.6999999999999993</v>
      </c>
      <c r="AT93">
        <v>8.1</v>
      </c>
      <c r="AU93">
        <v>8.5</v>
      </c>
      <c r="AV93">
        <v>12</v>
      </c>
      <c r="AW93">
        <v>9.5333333329999999</v>
      </c>
      <c r="AX93">
        <v>9.6999999999999993</v>
      </c>
      <c r="AY93">
        <v>-5.3666666669999996</v>
      </c>
      <c r="AZ93">
        <v>10</v>
      </c>
      <c r="BA93">
        <v>15</v>
      </c>
      <c r="BB93">
        <v>2</v>
      </c>
      <c r="BC93">
        <v>25</v>
      </c>
      <c r="BD93">
        <v>1</v>
      </c>
      <c r="BE93">
        <v>1</v>
      </c>
      <c r="BF93">
        <v>2</v>
      </c>
      <c r="BG93">
        <v>1</v>
      </c>
      <c r="BI93">
        <v>6.6</v>
      </c>
      <c r="BJ93">
        <v>42.4</v>
      </c>
      <c r="BK93">
        <v>0</v>
      </c>
      <c r="BL93">
        <v>23</v>
      </c>
      <c r="BM93">
        <v>18</v>
      </c>
      <c r="BN93">
        <v>1827</v>
      </c>
      <c r="BO93">
        <v>731.75</v>
      </c>
      <c r="BP93">
        <v>1095.25</v>
      </c>
      <c r="BQ93">
        <v>98</v>
      </c>
      <c r="BR93">
        <v>1729</v>
      </c>
      <c r="BS93">
        <v>20.1971183</v>
      </c>
      <c r="BT93">
        <v>0.323759833</v>
      </c>
      <c r="BU93">
        <v>1.53833219</v>
      </c>
      <c r="BV93">
        <v>20.1971183</v>
      </c>
      <c r="BW93">
        <v>-0.28212905700000002</v>
      </c>
      <c r="BX93">
        <v>1.53833219</v>
      </c>
      <c r="BY93">
        <v>161.3981177</v>
      </c>
      <c r="BZ93">
        <v>0.15919360900000001</v>
      </c>
      <c r="CA93">
        <v>5.6183588999999999E-2</v>
      </c>
      <c r="CB93">
        <v>161.3981177</v>
      </c>
      <c r="CC93">
        <v>0.20964085800000001</v>
      </c>
      <c r="CD93">
        <v>5.6183588999999999E-2</v>
      </c>
      <c r="CE93">
        <v>0.19757292500000001</v>
      </c>
      <c r="CF93">
        <v>8.0628600000000003E-4</v>
      </c>
      <c r="CG93">
        <v>0.20158861</v>
      </c>
      <c r="CH93">
        <v>21.9937714</v>
      </c>
      <c r="CI93">
        <v>0.26733402099999998</v>
      </c>
      <c r="CJ93">
        <v>1.5048109759999999</v>
      </c>
      <c r="CK93">
        <v>0.20158861</v>
      </c>
      <c r="CL93">
        <v>21.9937714</v>
      </c>
      <c r="CM93">
        <v>-0.21737709</v>
      </c>
      <c r="CN93">
        <v>1.5048109759999999</v>
      </c>
      <c r="CO93">
        <v>4.8377199999999999E-4</v>
      </c>
      <c r="CP93">
        <v>96.838870639999996</v>
      </c>
      <c r="CQ93">
        <v>9.5516165E-2</v>
      </c>
      <c r="CR93">
        <v>3.3710153999999999E-2</v>
      </c>
      <c r="CS93">
        <v>4.8377199999999999E-4</v>
      </c>
      <c r="CT93">
        <v>96.838870639999996</v>
      </c>
      <c r="CU93">
        <v>0.12578451500000001</v>
      </c>
      <c r="CV93">
        <v>3.3710153999999999E-2</v>
      </c>
      <c r="CW93">
        <v>0.19757292500000001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2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3</v>
      </c>
      <c r="EC93">
        <v>0</v>
      </c>
      <c r="ED93">
        <v>0.67301166700925696</v>
      </c>
    </row>
    <row r="94" spans="1:134" x14ac:dyDescent="0.25">
      <c r="A94" t="s">
        <v>16</v>
      </c>
      <c r="B94">
        <v>15</v>
      </c>
      <c r="C94" t="s">
        <v>17</v>
      </c>
      <c r="D94" t="s">
        <v>95</v>
      </c>
      <c r="E94" t="s">
        <v>104</v>
      </c>
      <c r="F94" t="s">
        <v>145</v>
      </c>
      <c r="G94" t="s">
        <v>264</v>
      </c>
      <c r="H94" t="s">
        <v>780</v>
      </c>
      <c r="I94" t="s">
        <v>707</v>
      </c>
      <c r="J94" t="s">
        <v>368</v>
      </c>
      <c r="K94">
        <v>2</v>
      </c>
      <c r="L94">
        <v>65</v>
      </c>
      <c r="M94">
        <v>110</v>
      </c>
      <c r="N94">
        <v>65</v>
      </c>
      <c r="O94">
        <v>-45</v>
      </c>
      <c r="P94">
        <v>15</v>
      </c>
      <c r="Q94">
        <v>20</v>
      </c>
      <c r="R94">
        <v>10</v>
      </c>
      <c r="S94">
        <v>15</v>
      </c>
      <c r="T94">
        <v>0.23076923099999999</v>
      </c>
      <c r="V94" t="s">
        <v>121</v>
      </c>
      <c r="W94" t="s">
        <v>114</v>
      </c>
      <c r="X94">
        <v>13.9</v>
      </c>
      <c r="Y94">
        <v>15.4</v>
      </c>
      <c r="Z94">
        <v>15.9</v>
      </c>
      <c r="AA94">
        <v>15.06666667</v>
      </c>
      <c r="AB94">
        <v>15.06666667</v>
      </c>
      <c r="AC94">
        <v>14.4</v>
      </c>
      <c r="AD94">
        <v>18.899999999999999</v>
      </c>
      <c r="AE94">
        <v>17.899999999999999</v>
      </c>
      <c r="AF94">
        <v>17.06666667</v>
      </c>
      <c r="AG94">
        <v>22.3</v>
      </c>
      <c r="AH94">
        <v>22.3</v>
      </c>
      <c r="AI94">
        <v>23.4</v>
      </c>
      <c r="AJ94">
        <v>22.666666670000001</v>
      </c>
      <c r="AK94">
        <v>27.7</v>
      </c>
      <c r="AL94">
        <v>21.8</v>
      </c>
      <c r="AM94">
        <v>32.1</v>
      </c>
      <c r="AN94">
        <v>27.2</v>
      </c>
      <c r="AO94">
        <v>22.666666670000001</v>
      </c>
      <c r="AP94">
        <v>8.1</v>
      </c>
      <c r="AQ94">
        <v>8.5</v>
      </c>
      <c r="AR94">
        <v>12.5</v>
      </c>
      <c r="AS94">
        <v>9.6999999999999993</v>
      </c>
      <c r="AT94">
        <v>7.1</v>
      </c>
      <c r="AU94">
        <v>8.1</v>
      </c>
      <c r="AV94">
        <v>15.4</v>
      </c>
      <c r="AW94">
        <v>10.199999999999999</v>
      </c>
      <c r="AX94">
        <v>9.6999999999999993</v>
      </c>
      <c r="AY94">
        <v>-5.3666666669999996</v>
      </c>
      <c r="AZ94">
        <v>10</v>
      </c>
      <c r="BA94">
        <v>15</v>
      </c>
      <c r="BB94">
        <v>2</v>
      </c>
      <c r="BC94">
        <v>25</v>
      </c>
      <c r="BD94">
        <v>1</v>
      </c>
      <c r="BE94">
        <v>1</v>
      </c>
      <c r="BF94">
        <v>2</v>
      </c>
      <c r="BG94">
        <v>1</v>
      </c>
      <c r="BI94">
        <v>6.6</v>
      </c>
      <c r="BJ94">
        <v>42.4</v>
      </c>
      <c r="BK94">
        <v>0</v>
      </c>
      <c r="BL94">
        <v>2</v>
      </c>
      <c r="BM94">
        <v>2</v>
      </c>
      <c r="BN94">
        <v>8</v>
      </c>
      <c r="BO94">
        <v>154.66666699999999</v>
      </c>
      <c r="BP94">
        <v>-146.66666699999999</v>
      </c>
      <c r="BQ94">
        <v>232</v>
      </c>
      <c r="BR94">
        <v>-224</v>
      </c>
      <c r="BS94">
        <v>33.55626333</v>
      </c>
      <c r="BT94">
        <v>2.3241642769999999</v>
      </c>
      <c r="BU94">
        <v>9.7449524800000003</v>
      </c>
      <c r="BV94">
        <v>33.55626333</v>
      </c>
      <c r="BW94">
        <v>2.3241642769999999</v>
      </c>
      <c r="BX94">
        <v>9.7449524800000003</v>
      </c>
      <c r="BY94">
        <v>425.7473991</v>
      </c>
      <c r="BZ94">
        <v>8.6656099999999996E-4</v>
      </c>
      <c r="CA94">
        <v>0.93944504799999995</v>
      </c>
      <c r="CB94">
        <v>425.7473991</v>
      </c>
      <c r="CC94">
        <v>8.6656099999999996E-4</v>
      </c>
      <c r="CD94">
        <v>0.93944504799999995</v>
      </c>
      <c r="CE94">
        <v>0.12523937499999999</v>
      </c>
      <c r="CF94">
        <v>2.3686055000000001E-2</v>
      </c>
      <c r="CG94">
        <v>0.12523937499999999</v>
      </c>
      <c r="CH94">
        <v>33.55626333</v>
      </c>
      <c r="CI94">
        <v>2.3241642769999999</v>
      </c>
      <c r="CJ94">
        <v>9.7449524800000003</v>
      </c>
      <c r="CK94">
        <v>0.12523937499999999</v>
      </c>
      <c r="CL94">
        <v>33.55626333</v>
      </c>
      <c r="CM94">
        <v>2.3241642769999999</v>
      </c>
      <c r="CN94">
        <v>9.7449524800000003</v>
      </c>
      <c r="CO94">
        <v>2.3686055000000001E-2</v>
      </c>
      <c r="CP94">
        <v>425.7473991</v>
      </c>
      <c r="CQ94">
        <v>8.6656099999999996E-4</v>
      </c>
      <c r="CR94">
        <v>0.93944504799999995</v>
      </c>
      <c r="CS94">
        <v>2.3686055000000001E-2</v>
      </c>
      <c r="CT94">
        <v>425.7473991</v>
      </c>
      <c r="CU94">
        <v>8.6656099999999996E-4</v>
      </c>
      <c r="CV94">
        <v>0.93944504799999995</v>
      </c>
      <c r="CW94">
        <v>0.12523937499999999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1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1</v>
      </c>
      <c r="EC94">
        <v>0</v>
      </c>
      <c r="ED94">
        <v>0.69314718055994495</v>
      </c>
    </row>
    <row r="95" spans="1:134" x14ac:dyDescent="0.25">
      <c r="A95" t="s">
        <v>18</v>
      </c>
      <c r="B95">
        <v>15</v>
      </c>
      <c r="C95" t="s">
        <v>19</v>
      </c>
      <c r="D95" t="s">
        <v>95</v>
      </c>
      <c r="E95" t="s">
        <v>113</v>
      </c>
      <c r="F95" t="s">
        <v>145</v>
      </c>
      <c r="G95" t="s">
        <v>259</v>
      </c>
      <c r="H95" t="s">
        <v>764</v>
      </c>
      <c r="I95" t="s">
        <v>704</v>
      </c>
      <c r="J95" t="s">
        <v>369</v>
      </c>
      <c r="K95">
        <v>19</v>
      </c>
      <c r="L95">
        <v>75</v>
      </c>
      <c r="M95">
        <v>45</v>
      </c>
      <c r="N95">
        <v>75</v>
      </c>
      <c r="O95">
        <v>30</v>
      </c>
      <c r="P95">
        <v>5</v>
      </c>
      <c r="Q95">
        <v>20</v>
      </c>
      <c r="R95">
        <v>10</v>
      </c>
      <c r="S95">
        <v>15</v>
      </c>
      <c r="T95">
        <v>0.2</v>
      </c>
      <c r="V95" t="s">
        <v>121</v>
      </c>
      <c r="W95" t="s">
        <v>114</v>
      </c>
      <c r="X95">
        <v>16.899999999999999</v>
      </c>
      <c r="Y95">
        <v>15.9</v>
      </c>
      <c r="Z95">
        <v>15.4</v>
      </c>
      <c r="AA95">
        <v>16.06666667</v>
      </c>
      <c r="AB95">
        <v>16.06666667</v>
      </c>
      <c r="AC95">
        <v>13.9</v>
      </c>
      <c r="AD95">
        <v>12</v>
      </c>
      <c r="AE95">
        <v>13.5</v>
      </c>
      <c r="AF95">
        <v>13.133333329999999</v>
      </c>
      <c r="AG95">
        <v>16.399999999999999</v>
      </c>
      <c r="AH95">
        <v>20.8</v>
      </c>
      <c r="AI95">
        <v>17.899999999999999</v>
      </c>
      <c r="AJ95">
        <v>18.366666670000001</v>
      </c>
      <c r="AK95">
        <v>16.899999999999999</v>
      </c>
      <c r="AL95">
        <v>15.4</v>
      </c>
      <c r="AM95">
        <v>17.399999999999999</v>
      </c>
      <c r="AN95">
        <v>16.56666667</v>
      </c>
      <c r="AO95">
        <v>18.366666670000001</v>
      </c>
      <c r="AP95">
        <v>5.6</v>
      </c>
      <c r="AQ95">
        <v>5.6</v>
      </c>
      <c r="AR95" t="s">
        <v>114</v>
      </c>
      <c r="AS95">
        <v>5.6</v>
      </c>
      <c r="AT95">
        <v>4.0999999999999996</v>
      </c>
      <c r="AU95">
        <v>5.0999999999999996</v>
      </c>
      <c r="AV95">
        <v>6.1</v>
      </c>
      <c r="AW95">
        <v>5.0999999999999996</v>
      </c>
      <c r="AX95">
        <v>5.6</v>
      </c>
      <c r="AY95">
        <v>-10.46666667</v>
      </c>
      <c r="AZ95">
        <v>20</v>
      </c>
      <c r="BA95">
        <v>35</v>
      </c>
      <c r="BB95">
        <v>1</v>
      </c>
      <c r="BC95">
        <v>30</v>
      </c>
      <c r="BD95">
        <v>1</v>
      </c>
      <c r="BE95">
        <v>1</v>
      </c>
      <c r="BF95">
        <v>2</v>
      </c>
      <c r="BG95">
        <v>1</v>
      </c>
      <c r="BI95">
        <v>9.1</v>
      </c>
      <c r="BJ95">
        <v>45.177</v>
      </c>
      <c r="BK95">
        <v>0</v>
      </c>
      <c r="BL95">
        <v>3</v>
      </c>
      <c r="BM95">
        <v>3</v>
      </c>
      <c r="BN95">
        <v>3</v>
      </c>
      <c r="BO95">
        <v>22</v>
      </c>
      <c r="BP95">
        <v>-19</v>
      </c>
      <c r="BQ95">
        <v>6</v>
      </c>
      <c r="BR95">
        <v>-3</v>
      </c>
      <c r="BS95">
        <v>24.883838390000001</v>
      </c>
      <c r="BT95" t="s">
        <v>114</v>
      </c>
      <c r="BU95">
        <v>1.8502932169999999</v>
      </c>
      <c r="BV95">
        <v>-24.883838390000001</v>
      </c>
      <c r="BW95" t="s">
        <v>114</v>
      </c>
      <c r="BX95">
        <v>-1.8502932169999999</v>
      </c>
      <c r="BY95">
        <v>798.98912870000004</v>
      </c>
      <c r="BZ95" t="s">
        <v>114</v>
      </c>
      <c r="CA95">
        <v>5.3631181659999996</v>
      </c>
      <c r="CB95">
        <v>798.98912870000004</v>
      </c>
      <c r="CC95" t="s">
        <v>114</v>
      </c>
      <c r="CD95">
        <v>5.3631181659999996</v>
      </c>
      <c r="CE95" t="s">
        <v>114</v>
      </c>
      <c r="CF95" t="s">
        <v>114</v>
      </c>
      <c r="CG95" t="s">
        <v>114</v>
      </c>
      <c r="CH95">
        <v>44.910287080000003</v>
      </c>
      <c r="CI95" t="s">
        <v>114</v>
      </c>
      <c r="CJ95">
        <v>1.105246545</v>
      </c>
      <c r="CK95" t="s">
        <v>114</v>
      </c>
      <c r="CL95">
        <v>-44.910287080000003</v>
      </c>
      <c r="CM95" t="s">
        <v>114</v>
      </c>
      <c r="CN95">
        <v>-1.105246545</v>
      </c>
      <c r="CO95" t="s">
        <v>114</v>
      </c>
      <c r="CP95">
        <v>468.89005420000001</v>
      </c>
      <c r="CQ95" t="s">
        <v>114</v>
      </c>
      <c r="CR95">
        <v>0.82415017800000001</v>
      </c>
      <c r="CS95" t="s">
        <v>114</v>
      </c>
      <c r="CT95">
        <v>468.89005420000001</v>
      </c>
      <c r="CU95" t="s">
        <v>114</v>
      </c>
      <c r="CV95">
        <v>0.82415017800000001</v>
      </c>
      <c r="CW95" t="s">
        <v>114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15</v>
      </c>
      <c r="DF95">
        <v>0</v>
      </c>
      <c r="DG95">
        <v>0</v>
      </c>
      <c r="DH95">
        <v>1</v>
      </c>
      <c r="DI95">
        <v>0</v>
      </c>
      <c r="DJ95">
        <v>0</v>
      </c>
      <c r="DK95">
        <v>0</v>
      </c>
      <c r="DL95">
        <v>3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0.63303951166446804</v>
      </c>
    </row>
    <row r="96" spans="1:134" x14ac:dyDescent="0.25">
      <c r="A96" t="s">
        <v>18</v>
      </c>
      <c r="B96">
        <v>15</v>
      </c>
      <c r="C96" t="s">
        <v>19</v>
      </c>
      <c r="D96" t="s">
        <v>95</v>
      </c>
      <c r="E96" t="s">
        <v>111</v>
      </c>
      <c r="F96" t="s">
        <v>145</v>
      </c>
      <c r="G96" t="s">
        <v>263</v>
      </c>
      <c r="H96" t="s">
        <v>776</v>
      </c>
      <c r="I96" t="s">
        <v>706</v>
      </c>
      <c r="J96" t="s">
        <v>370</v>
      </c>
      <c r="K96">
        <v>4</v>
      </c>
      <c r="L96">
        <v>230</v>
      </c>
      <c r="M96">
        <v>230</v>
      </c>
      <c r="N96">
        <v>230</v>
      </c>
      <c r="O96">
        <v>0</v>
      </c>
      <c r="P96">
        <v>65</v>
      </c>
      <c r="Q96">
        <v>80</v>
      </c>
      <c r="R96">
        <v>40</v>
      </c>
      <c r="S96">
        <v>60</v>
      </c>
      <c r="T96">
        <v>0.26086956500000003</v>
      </c>
      <c r="V96" t="s">
        <v>121</v>
      </c>
      <c r="W96" t="s">
        <v>114</v>
      </c>
      <c r="X96">
        <v>16.899999999999999</v>
      </c>
      <c r="Y96">
        <v>15.9</v>
      </c>
      <c r="Z96">
        <v>15.4</v>
      </c>
      <c r="AA96">
        <v>16.06666667</v>
      </c>
      <c r="AB96">
        <v>16.06666667</v>
      </c>
      <c r="AC96">
        <v>13.9</v>
      </c>
      <c r="AD96">
        <v>12</v>
      </c>
      <c r="AE96">
        <v>12.5</v>
      </c>
      <c r="AF96">
        <v>12.8</v>
      </c>
      <c r="AG96">
        <v>16.399999999999999</v>
      </c>
      <c r="AH96">
        <v>20.8</v>
      </c>
      <c r="AI96">
        <v>17.899999999999999</v>
      </c>
      <c r="AJ96">
        <v>18.366666670000001</v>
      </c>
      <c r="AK96">
        <v>18.899999999999999</v>
      </c>
      <c r="AL96">
        <v>15.4</v>
      </c>
      <c r="AM96">
        <v>18.399999999999999</v>
      </c>
      <c r="AN96">
        <v>17.56666667</v>
      </c>
      <c r="AO96">
        <v>18.366666670000001</v>
      </c>
      <c r="AP96">
        <v>5.6</v>
      </c>
      <c r="AQ96">
        <v>5.6</v>
      </c>
      <c r="AR96" t="s">
        <v>114</v>
      </c>
      <c r="AS96">
        <v>5.6</v>
      </c>
      <c r="AT96">
        <v>4.0999999999999996</v>
      </c>
      <c r="AU96">
        <v>4.5999999999999996</v>
      </c>
      <c r="AV96">
        <v>5.6</v>
      </c>
      <c r="AW96">
        <v>4.766666667</v>
      </c>
      <c r="AX96">
        <v>5.6</v>
      </c>
      <c r="AY96">
        <v>-10.46666667</v>
      </c>
      <c r="AZ96">
        <v>20</v>
      </c>
      <c r="BA96">
        <v>35</v>
      </c>
      <c r="BB96">
        <v>1</v>
      </c>
      <c r="BC96">
        <v>30</v>
      </c>
      <c r="BD96">
        <v>1</v>
      </c>
      <c r="BE96">
        <v>1</v>
      </c>
      <c r="BF96">
        <v>2</v>
      </c>
      <c r="BG96">
        <v>1</v>
      </c>
      <c r="BI96">
        <v>9.1</v>
      </c>
      <c r="BJ96">
        <v>45.177</v>
      </c>
      <c r="BK96">
        <v>0</v>
      </c>
      <c r="BL96">
        <v>21</v>
      </c>
      <c r="BM96">
        <v>13</v>
      </c>
      <c r="BN96">
        <v>490</v>
      </c>
      <c r="BO96">
        <v>731.75</v>
      </c>
      <c r="BP96">
        <v>-241.75</v>
      </c>
      <c r="BQ96">
        <v>1659</v>
      </c>
      <c r="BR96">
        <v>-1169</v>
      </c>
      <c r="BS96">
        <v>27.808712119999999</v>
      </c>
      <c r="BT96" t="s">
        <v>114</v>
      </c>
      <c r="BU96">
        <v>1.154195235</v>
      </c>
      <c r="BV96">
        <v>-16.59485931</v>
      </c>
      <c r="BW96" t="s">
        <v>114</v>
      </c>
      <c r="BX96">
        <v>1.154195235</v>
      </c>
      <c r="BY96">
        <v>550.77871100000004</v>
      </c>
      <c r="BZ96" t="s">
        <v>114</v>
      </c>
      <c r="CA96">
        <v>0.60884073100000002</v>
      </c>
      <c r="CB96">
        <v>1546.64894</v>
      </c>
      <c r="CC96" t="s">
        <v>114</v>
      </c>
      <c r="CD96">
        <v>0.60884073100000002</v>
      </c>
      <c r="CE96" t="s">
        <v>114</v>
      </c>
      <c r="CF96" t="s">
        <v>114</v>
      </c>
      <c r="CG96" t="s">
        <v>114</v>
      </c>
      <c r="CH96">
        <v>27.808712119999999</v>
      </c>
      <c r="CI96" t="s">
        <v>114</v>
      </c>
      <c r="CJ96">
        <v>1.154195235</v>
      </c>
      <c r="CK96" t="s">
        <v>114</v>
      </c>
      <c r="CL96">
        <v>-16.59485931</v>
      </c>
      <c r="CM96" t="s">
        <v>114</v>
      </c>
      <c r="CN96">
        <v>1.154195235</v>
      </c>
      <c r="CO96" t="s">
        <v>114</v>
      </c>
      <c r="CP96">
        <v>367.18580739999999</v>
      </c>
      <c r="CQ96" t="s">
        <v>114</v>
      </c>
      <c r="CR96">
        <v>0.40589382099999999</v>
      </c>
      <c r="CS96" t="s">
        <v>114</v>
      </c>
      <c r="CT96">
        <v>1031.099293</v>
      </c>
      <c r="CU96" t="s">
        <v>114</v>
      </c>
      <c r="CV96">
        <v>0.40589382099999999</v>
      </c>
      <c r="CW96" t="s">
        <v>114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2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2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0.69314718055994495</v>
      </c>
    </row>
    <row r="97" spans="1:134" x14ac:dyDescent="0.25">
      <c r="A97" t="s">
        <v>18</v>
      </c>
      <c r="B97">
        <v>15</v>
      </c>
      <c r="C97" t="s">
        <v>19</v>
      </c>
      <c r="D97" t="s">
        <v>95</v>
      </c>
      <c r="E97" t="s">
        <v>104</v>
      </c>
      <c r="F97" t="s">
        <v>145</v>
      </c>
      <c r="G97" t="s">
        <v>264</v>
      </c>
      <c r="H97" t="s">
        <v>780</v>
      </c>
      <c r="I97" t="s">
        <v>707</v>
      </c>
      <c r="J97" t="s">
        <v>371</v>
      </c>
      <c r="K97">
        <v>4</v>
      </c>
      <c r="L97">
        <v>110</v>
      </c>
      <c r="M97">
        <v>90</v>
      </c>
      <c r="N97">
        <v>110</v>
      </c>
      <c r="O97">
        <v>20</v>
      </c>
      <c r="P97">
        <v>20</v>
      </c>
      <c r="Q97">
        <v>30</v>
      </c>
      <c r="R97">
        <v>10</v>
      </c>
      <c r="S97">
        <v>20</v>
      </c>
      <c r="T97">
        <v>0.18181818199999999</v>
      </c>
      <c r="V97" t="s">
        <v>121</v>
      </c>
      <c r="W97" t="s">
        <v>114</v>
      </c>
      <c r="X97">
        <v>16.899999999999999</v>
      </c>
      <c r="Y97">
        <v>15.9</v>
      </c>
      <c r="Z97">
        <v>15.4</v>
      </c>
      <c r="AA97">
        <v>16.06666667</v>
      </c>
      <c r="AB97">
        <v>16.06666667</v>
      </c>
      <c r="AC97">
        <v>12.5</v>
      </c>
      <c r="AD97">
        <v>11.5</v>
      </c>
      <c r="AE97">
        <v>12</v>
      </c>
      <c r="AF97">
        <v>12</v>
      </c>
      <c r="AG97">
        <v>16.399999999999999</v>
      </c>
      <c r="AH97">
        <v>20.8</v>
      </c>
      <c r="AI97">
        <v>17.899999999999999</v>
      </c>
      <c r="AJ97">
        <v>18.366666670000001</v>
      </c>
      <c r="AK97">
        <v>17.399999999999999</v>
      </c>
      <c r="AL97">
        <v>18.399999999999999</v>
      </c>
      <c r="AM97">
        <v>16.899999999999999</v>
      </c>
      <c r="AN97">
        <v>17.56666667</v>
      </c>
      <c r="AO97">
        <v>18.366666670000001</v>
      </c>
      <c r="AP97">
        <v>5.6</v>
      </c>
      <c r="AQ97">
        <v>5.6</v>
      </c>
      <c r="AR97" t="s">
        <v>114</v>
      </c>
      <c r="AS97">
        <v>5.6</v>
      </c>
      <c r="AT97">
        <v>5.0999999999999996</v>
      </c>
      <c r="AU97">
        <v>5.0999999999999996</v>
      </c>
      <c r="AV97">
        <v>5.6</v>
      </c>
      <c r="AW97">
        <v>5.266666667</v>
      </c>
      <c r="AX97">
        <v>5.6</v>
      </c>
      <c r="AY97">
        <v>-10.46666667</v>
      </c>
      <c r="AZ97">
        <v>20</v>
      </c>
      <c r="BA97">
        <v>35</v>
      </c>
      <c r="BB97">
        <v>1</v>
      </c>
      <c r="BC97">
        <v>30</v>
      </c>
      <c r="BD97">
        <v>1</v>
      </c>
      <c r="BE97">
        <v>1</v>
      </c>
      <c r="BF97">
        <v>2</v>
      </c>
      <c r="BG97">
        <v>1</v>
      </c>
      <c r="BI97">
        <v>9.1</v>
      </c>
      <c r="BJ97">
        <v>45.177</v>
      </c>
      <c r="BK97">
        <v>0</v>
      </c>
      <c r="BL97">
        <v>14</v>
      </c>
      <c r="BM97">
        <v>14</v>
      </c>
      <c r="BN97">
        <v>76</v>
      </c>
      <c r="BO97">
        <v>154.66666699999999</v>
      </c>
      <c r="BP97">
        <v>-78.666667000000004</v>
      </c>
      <c r="BQ97">
        <v>58</v>
      </c>
      <c r="BR97">
        <v>18</v>
      </c>
      <c r="BS97">
        <v>39.163189729999999</v>
      </c>
      <c r="BT97">
        <v>2.021219833</v>
      </c>
      <c r="BU97">
        <v>10.59792161</v>
      </c>
      <c r="BV97">
        <v>39.163189729999999</v>
      </c>
      <c r="BW97">
        <v>2.021219833</v>
      </c>
      <c r="BX97">
        <v>10.59792161</v>
      </c>
      <c r="BY97">
        <v>161.3981177</v>
      </c>
      <c r="BZ97">
        <v>0.20964085800000001</v>
      </c>
      <c r="CA97">
        <v>5.6183588999999999E-2</v>
      </c>
      <c r="CB97">
        <v>161.3981177</v>
      </c>
      <c r="CC97">
        <v>0.20964085800000001</v>
      </c>
      <c r="CD97">
        <v>5.6183588999999999E-2</v>
      </c>
      <c r="CE97">
        <v>0.21398662500000001</v>
      </c>
      <c r="CF97">
        <v>8.0628600000000003E-4</v>
      </c>
      <c r="CG97">
        <v>0.20394741299999999</v>
      </c>
      <c r="CH97">
        <v>34.671556989999999</v>
      </c>
      <c r="CI97">
        <v>1.8593399159999999</v>
      </c>
      <c r="CJ97">
        <v>10.68172465</v>
      </c>
      <c r="CK97">
        <v>0.20394741299999999</v>
      </c>
      <c r="CL97">
        <v>34.671556989999999</v>
      </c>
      <c r="CM97">
        <v>1.8593399159999999</v>
      </c>
      <c r="CN97">
        <v>10.68172465</v>
      </c>
      <c r="CO97">
        <v>4.0314300000000001E-4</v>
      </c>
      <c r="CP97">
        <v>80.699058859999994</v>
      </c>
      <c r="CQ97">
        <v>0.10482042900000001</v>
      </c>
      <c r="CR97">
        <v>2.8091794999999999E-2</v>
      </c>
      <c r="CS97">
        <v>4.0314300000000001E-4</v>
      </c>
      <c r="CT97">
        <v>80.699058859999994</v>
      </c>
      <c r="CU97">
        <v>0.10482042900000001</v>
      </c>
      <c r="CV97">
        <v>2.8091794999999999E-2</v>
      </c>
      <c r="CW97">
        <v>0.21398662500000001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3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1</v>
      </c>
      <c r="EC97">
        <v>0</v>
      </c>
      <c r="ED97">
        <v>0.56233514461880796</v>
      </c>
    </row>
    <row r="98" spans="1:134" x14ac:dyDescent="0.25">
      <c r="A98" t="s">
        <v>18</v>
      </c>
      <c r="B98">
        <v>15</v>
      </c>
      <c r="C98" t="s">
        <v>19</v>
      </c>
      <c r="D98" t="s">
        <v>95</v>
      </c>
      <c r="E98" t="s">
        <v>112</v>
      </c>
      <c r="F98" t="s">
        <v>145</v>
      </c>
      <c r="G98" t="s">
        <v>261</v>
      </c>
      <c r="H98" t="s">
        <v>784</v>
      </c>
      <c r="I98" t="s">
        <v>708</v>
      </c>
      <c r="J98" t="s">
        <v>372</v>
      </c>
      <c r="K98">
        <v>1</v>
      </c>
      <c r="L98">
        <v>30</v>
      </c>
      <c r="M98">
        <v>70</v>
      </c>
      <c r="N98">
        <v>30</v>
      </c>
      <c r="O98">
        <v>-40</v>
      </c>
      <c r="P98">
        <v>20</v>
      </c>
      <c r="Q98">
        <v>20</v>
      </c>
      <c r="R98">
        <v>20</v>
      </c>
      <c r="S98">
        <v>20</v>
      </c>
      <c r="T98">
        <v>0.66666666699999999</v>
      </c>
      <c r="V98" t="s">
        <v>113</v>
      </c>
      <c r="W98" t="s">
        <v>114</v>
      </c>
      <c r="X98">
        <v>16.899999999999999</v>
      </c>
      <c r="Y98">
        <v>15.9</v>
      </c>
      <c r="Z98">
        <v>15.4</v>
      </c>
      <c r="AA98">
        <v>16.06666667</v>
      </c>
      <c r="AB98">
        <v>16.06666667</v>
      </c>
      <c r="AC98">
        <v>13</v>
      </c>
      <c r="AD98">
        <v>13.9</v>
      </c>
      <c r="AE98">
        <v>13.9</v>
      </c>
      <c r="AF98">
        <v>13.6</v>
      </c>
      <c r="AG98">
        <v>16.399999999999999</v>
      </c>
      <c r="AH98">
        <v>20.8</v>
      </c>
      <c r="AI98">
        <v>17.899999999999999</v>
      </c>
      <c r="AJ98">
        <v>18.366666670000001</v>
      </c>
      <c r="AK98">
        <v>16.899999999999999</v>
      </c>
      <c r="AL98">
        <v>19.3</v>
      </c>
      <c r="AM98">
        <v>17.899999999999999</v>
      </c>
      <c r="AN98">
        <v>18.033333330000001</v>
      </c>
      <c r="AO98">
        <v>18.366666670000001</v>
      </c>
      <c r="AP98">
        <v>5.6</v>
      </c>
      <c r="AQ98">
        <v>5.6</v>
      </c>
      <c r="AR98" t="s">
        <v>114</v>
      </c>
      <c r="AS98">
        <v>5.6</v>
      </c>
      <c r="AT98">
        <v>5.6</v>
      </c>
      <c r="AU98">
        <v>6.6</v>
      </c>
      <c r="AV98">
        <v>5.6</v>
      </c>
      <c r="AW98">
        <v>5.9333333330000002</v>
      </c>
      <c r="AX98">
        <v>5.6</v>
      </c>
      <c r="AY98">
        <v>-10.46666667</v>
      </c>
      <c r="AZ98">
        <v>20</v>
      </c>
      <c r="BA98">
        <v>35</v>
      </c>
      <c r="BB98">
        <v>1</v>
      </c>
      <c r="BC98">
        <v>30</v>
      </c>
      <c r="BD98">
        <v>1</v>
      </c>
      <c r="BE98">
        <v>1</v>
      </c>
      <c r="BF98">
        <v>2</v>
      </c>
      <c r="BG98">
        <v>1</v>
      </c>
      <c r="BI98">
        <v>9.1</v>
      </c>
      <c r="BJ98">
        <v>45.177</v>
      </c>
      <c r="BK98">
        <v>0</v>
      </c>
      <c r="BL98">
        <v>0</v>
      </c>
      <c r="BM98">
        <v>0</v>
      </c>
      <c r="BN98">
        <v>0</v>
      </c>
      <c r="BO98">
        <v>31.75</v>
      </c>
      <c r="BP98">
        <v>-31.75</v>
      </c>
      <c r="BQ98">
        <v>30</v>
      </c>
      <c r="BR98">
        <v>-30</v>
      </c>
      <c r="BS98">
        <v>18.663825760000002</v>
      </c>
      <c r="BT98">
        <v>1.5594277780000001</v>
      </c>
      <c r="BU98">
        <v>15.285372730000001</v>
      </c>
      <c r="BV98">
        <v>-18.663825760000002</v>
      </c>
      <c r="BW98">
        <v>1.5594277780000001</v>
      </c>
      <c r="BX98">
        <v>15.285372730000001</v>
      </c>
      <c r="BY98" t="s">
        <v>114</v>
      </c>
      <c r="BZ98" t="s">
        <v>114</v>
      </c>
      <c r="CA98" t="s">
        <v>114</v>
      </c>
      <c r="CB98" t="s">
        <v>114</v>
      </c>
      <c r="CC98" t="s">
        <v>114</v>
      </c>
      <c r="CD98" t="s">
        <v>114</v>
      </c>
      <c r="CE98">
        <v>1.9981640000000001</v>
      </c>
      <c r="CF98" t="s">
        <v>114</v>
      </c>
      <c r="CG98">
        <v>1.9981640000000001</v>
      </c>
      <c r="CH98">
        <v>18.663825760000002</v>
      </c>
      <c r="CI98">
        <v>1.5594277780000001</v>
      </c>
      <c r="CJ98">
        <v>15.285372730000001</v>
      </c>
      <c r="CK98">
        <v>1.9981640000000001</v>
      </c>
      <c r="CL98">
        <v>-18.663825760000002</v>
      </c>
      <c r="CM98">
        <v>1.5594277780000001</v>
      </c>
      <c r="CN98">
        <v>15.285372730000001</v>
      </c>
      <c r="CO98" t="s">
        <v>114</v>
      </c>
      <c r="CP98" t="s">
        <v>114</v>
      </c>
      <c r="CQ98" t="s">
        <v>114</v>
      </c>
      <c r="CR98" t="s">
        <v>114</v>
      </c>
      <c r="CS98" t="s">
        <v>114</v>
      </c>
      <c r="CT98" t="s">
        <v>114</v>
      </c>
      <c r="CU98" t="s">
        <v>114</v>
      </c>
      <c r="CV98" t="s">
        <v>114</v>
      </c>
      <c r="CW98">
        <v>1.9981640000000001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1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</row>
    <row r="99" spans="1:134" x14ac:dyDescent="0.25">
      <c r="A99" t="s">
        <v>20</v>
      </c>
      <c r="B99">
        <v>15</v>
      </c>
      <c r="C99" t="s">
        <v>21</v>
      </c>
      <c r="D99" t="s">
        <v>94</v>
      </c>
      <c r="E99" t="s">
        <v>102</v>
      </c>
      <c r="F99" t="s">
        <v>145</v>
      </c>
      <c r="G99" t="s">
        <v>265</v>
      </c>
      <c r="H99" t="s">
        <v>755</v>
      </c>
      <c r="I99" t="s">
        <v>698</v>
      </c>
      <c r="J99" t="s">
        <v>373</v>
      </c>
      <c r="K99">
        <v>1</v>
      </c>
      <c r="L99">
        <v>100</v>
      </c>
      <c r="M99">
        <v>70</v>
      </c>
      <c r="N99">
        <v>100</v>
      </c>
      <c r="O99">
        <v>30</v>
      </c>
      <c r="P99">
        <v>130</v>
      </c>
      <c r="Q99">
        <v>130</v>
      </c>
      <c r="R99">
        <v>80</v>
      </c>
      <c r="S99">
        <v>105</v>
      </c>
      <c r="T99">
        <v>1.05</v>
      </c>
      <c r="U99" t="s">
        <v>792</v>
      </c>
      <c r="V99" t="s">
        <v>121</v>
      </c>
      <c r="W99" t="s">
        <v>114</v>
      </c>
      <c r="X99">
        <v>23.8</v>
      </c>
      <c r="Y99">
        <v>13.5</v>
      </c>
      <c r="Z99">
        <v>13.9</v>
      </c>
      <c r="AA99">
        <v>17.06666667</v>
      </c>
      <c r="AB99">
        <v>17.06666667</v>
      </c>
      <c r="AC99">
        <v>21.8</v>
      </c>
      <c r="AD99">
        <v>16.899999999999999</v>
      </c>
      <c r="AE99">
        <v>14.9</v>
      </c>
      <c r="AF99">
        <v>17.866666670000001</v>
      </c>
      <c r="AG99">
        <v>16.899999999999999</v>
      </c>
      <c r="AH99">
        <v>26.2</v>
      </c>
      <c r="AI99">
        <v>20.3</v>
      </c>
      <c r="AJ99">
        <v>21.133333329999999</v>
      </c>
      <c r="AK99">
        <v>24.7</v>
      </c>
      <c r="AL99">
        <v>19.3</v>
      </c>
      <c r="AM99">
        <v>15.9</v>
      </c>
      <c r="AN99">
        <v>19.966666669999999</v>
      </c>
      <c r="AO99">
        <v>21.133333329999999</v>
      </c>
      <c r="AP99">
        <v>8.5</v>
      </c>
      <c r="AQ99">
        <v>5.6</v>
      </c>
      <c r="AR99">
        <v>6.6</v>
      </c>
      <c r="AS99">
        <v>6.9</v>
      </c>
      <c r="AT99">
        <v>6.1</v>
      </c>
      <c r="AU99">
        <v>6.6</v>
      </c>
      <c r="AV99">
        <v>8.1</v>
      </c>
      <c r="AW99">
        <v>6.9333333330000002</v>
      </c>
      <c r="AX99">
        <v>6.9</v>
      </c>
      <c r="AY99">
        <v>-10.16666667</v>
      </c>
      <c r="AZ99">
        <v>20</v>
      </c>
      <c r="BA99">
        <v>20</v>
      </c>
      <c r="BB99">
        <v>10</v>
      </c>
      <c r="BC99">
        <v>20</v>
      </c>
      <c r="BD99">
        <v>1</v>
      </c>
      <c r="BE99">
        <v>1</v>
      </c>
      <c r="BF99">
        <v>0</v>
      </c>
      <c r="BG99">
        <v>0</v>
      </c>
      <c r="BI99">
        <v>10.7</v>
      </c>
      <c r="BJ99">
        <v>0</v>
      </c>
      <c r="BK99">
        <v>0</v>
      </c>
      <c r="BL99">
        <v>16</v>
      </c>
      <c r="BM99">
        <v>14</v>
      </c>
      <c r="BN99">
        <v>541</v>
      </c>
      <c r="BO99">
        <v>383.66669999999999</v>
      </c>
      <c r="BP99">
        <v>157.33330000000001</v>
      </c>
      <c r="BQ99">
        <v>623</v>
      </c>
      <c r="BR99">
        <v>-82</v>
      </c>
      <c r="BS99">
        <v>35.50925926</v>
      </c>
      <c r="BT99">
        <v>0.20661001500000001</v>
      </c>
      <c r="BU99">
        <v>1.5034360600000001</v>
      </c>
      <c r="BV99">
        <v>-35.50925926</v>
      </c>
      <c r="BW99">
        <v>0.20661001500000001</v>
      </c>
      <c r="BX99">
        <v>-1.5034360600000001</v>
      </c>
      <c r="BY99" t="s">
        <v>114</v>
      </c>
      <c r="BZ99" t="s">
        <v>114</v>
      </c>
      <c r="CA99" t="s">
        <v>114</v>
      </c>
      <c r="CB99" t="s">
        <v>114</v>
      </c>
      <c r="CC99" t="s">
        <v>114</v>
      </c>
      <c r="CD99" t="s">
        <v>114</v>
      </c>
      <c r="CE99" t="s">
        <v>114</v>
      </c>
      <c r="CF99" t="s">
        <v>114</v>
      </c>
      <c r="CG99" t="s">
        <v>114</v>
      </c>
      <c r="CH99">
        <v>35.50925926</v>
      </c>
      <c r="CI99">
        <v>0.20661001500000001</v>
      </c>
      <c r="CJ99">
        <v>1.5034360600000001</v>
      </c>
      <c r="CK99" t="s">
        <v>114</v>
      </c>
      <c r="CL99">
        <v>-35.50925926</v>
      </c>
      <c r="CM99">
        <v>0.20661001500000001</v>
      </c>
      <c r="CN99">
        <v>-1.5034360600000001</v>
      </c>
      <c r="CO99" t="s">
        <v>114</v>
      </c>
      <c r="CP99" t="s">
        <v>114</v>
      </c>
      <c r="CQ99" t="s">
        <v>114</v>
      </c>
      <c r="CR99" t="s">
        <v>114</v>
      </c>
      <c r="CS99" t="s">
        <v>114</v>
      </c>
      <c r="CT99" t="s">
        <v>114</v>
      </c>
      <c r="CU99" t="s">
        <v>114</v>
      </c>
      <c r="CV99" t="s">
        <v>114</v>
      </c>
      <c r="CW99" t="s">
        <v>114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1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</row>
    <row r="100" spans="1:134" x14ac:dyDescent="0.25">
      <c r="A100" t="s">
        <v>20</v>
      </c>
      <c r="B100">
        <v>15</v>
      </c>
      <c r="C100" t="s">
        <v>21</v>
      </c>
      <c r="D100" t="s">
        <v>94</v>
      </c>
      <c r="E100" t="s">
        <v>113</v>
      </c>
      <c r="F100" t="s">
        <v>145</v>
      </c>
      <c r="G100" t="s">
        <v>259</v>
      </c>
      <c r="H100" t="s">
        <v>763</v>
      </c>
      <c r="I100" t="s">
        <v>709</v>
      </c>
      <c r="J100" t="s">
        <v>374</v>
      </c>
      <c r="K100">
        <v>1</v>
      </c>
      <c r="L100">
        <v>90</v>
      </c>
      <c r="M100">
        <v>10</v>
      </c>
      <c r="N100">
        <v>90</v>
      </c>
      <c r="O100">
        <v>80</v>
      </c>
      <c r="P100">
        <v>10</v>
      </c>
      <c r="Q100">
        <v>80</v>
      </c>
      <c r="R100">
        <v>20</v>
      </c>
      <c r="S100">
        <v>50</v>
      </c>
      <c r="T100">
        <v>0.55555555599999995</v>
      </c>
      <c r="U100" t="s">
        <v>23</v>
      </c>
      <c r="V100" t="s">
        <v>113</v>
      </c>
      <c r="W100">
        <v>60</v>
      </c>
      <c r="X100">
        <v>23.8</v>
      </c>
      <c r="Y100">
        <v>13.5</v>
      </c>
      <c r="Z100">
        <v>13.9</v>
      </c>
      <c r="AA100">
        <v>17.06666667</v>
      </c>
      <c r="AB100">
        <v>17.06666667</v>
      </c>
      <c r="AC100">
        <v>11.5</v>
      </c>
      <c r="AD100">
        <v>13.9</v>
      </c>
      <c r="AE100">
        <v>11</v>
      </c>
      <c r="AF100">
        <v>12.133333329999999</v>
      </c>
      <c r="AG100">
        <v>16.899999999999999</v>
      </c>
      <c r="AH100">
        <v>26.2</v>
      </c>
      <c r="AI100">
        <v>20.3</v>
      </c>
      <c r="AJ100">
        <v>21.133333329999999</v>
      </c>
      <c r="AK100">
        <v>14.4</v>
      </c>
      <c r="AL100">
        <v>19.3</v>
      </c>
      <c r="AM100">
        <v>18.399999999999999</v>
      </c>
      <c r="AN100">
        <v>17.366666670000001</v>
      </c>
      <c r="AO100">
        <v>21.133333329999999</v>
      </c>
      <c r="AP100">
        <v>8.5</v>
      </c>
      <c r="AQ100">
        <v>5.6</v>
      </c>
      <c r="AR100">
        <v>6.6</v>
      </c>
      <c r="AS100">
        <v>6.9</v>
      </c>
      <c r="AT100">
        <v>7.6</v>
      </c>
      <c r="AU100">
        <v>7.6</v>
      </c>
      <c r="AV100" t="s">
        <v>114</v>
      </c>
      <c r="AW100">
        <v>7.6</v>
      </c>
      <c r="AX100">
        <v>6.9</v>
      </c>
      <c r="AY100">
        <v>-10.16666667</v>
      </c>
      <c r="AZ100">
        <v>20</v>
      </c>
      <c r="BA100">
        <v>20</v>
      </c>
      <c r="BB100">
        <v>10</v>
      </c>
      <c r="BC100">
        <v>20</v>
      </c>
      <c r="BD100">
        <v>1</v>
      </c>
      <c r="BE100">
        <v>1</v>
      </c>
      <c r="BF100">
        <v>0</v>
      </c>
      <c r="BG100">
        <v>0</v>
      </c>
      <c r="BI100">
        <v>10.7</v>
      </c>
      <c r="BJ100">
        <v>0</v>
      </c>
      <c r="BK100">
        <v>0</v>
      </c>
      <c r="BL100">
        <v>4</v>
      </c>
      <c r="BM100">
        <v>4</v>
      </c>
      <c r="BN100">
        <v>60</v>
      </c>
      <c r="BO100">
        <v>8.5</v>
      </c>
      <c r="BP100">
        <v>51.5</v>
      </c>
      <c r="BQ100">
        <v>0</v>
      </c>
      <c r="BR100">
        <v>60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 t="s">
        <v>114</v>
      </c>
      <c r="BZ100" t="s">
        <v>114</v>
      </c>
      <c r="CA100" t="s">
        <v>114</v>
      </c>
      <c r="CB100" t="s">
        <v>114</v>
      </c>
      <c r="CC100" t="s">
        <v>114</v>
      </c>
      <c r="CD100" t="s">
        <v>114</v>
      </c>
      <c r="CE100">
        <v>0</v>
      </c>
      <c r="CF100" t="s">
        <v>114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 t="s">
        <v>114</v>
      </c>
      <c r="CP100" t="s">
        <v>114</v>
      </c>
      <c r="CQ100" t="s">
        <v>114</v>
      </c>
      <c r="CR100" t="s">
        <v>114</v>
      </c>
      <c r="CS100" t="s">
        <v>114</v>
      </c>
      <c r="CT100" t="s">
        <v>114</v>
      </c>
      <c r="CU100" t="s">
        <v>114</v>
      </c>
      <c r="CV100" t="s">
        <v>114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1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</row>
    <row r="101" spans="1:134" x14ac:dyDescent="0.25">
      <c r="A101" t="s">
        <v>20</v>
      </c>
      <c r="B101">
        <v>15</v>
      </c>
      <c r="C101" t="s">
        <v>21</v>
      </c>
      <c r="D101" t="s">
        <v>94</v>
      </c>
      <c r="E101" t="s">
        <v>110</v>
      </c>
      <c r="F101" t="s">
        <v>145</v>
      </c>
      <c r="G101" t="s">
        <v>262</v>
      </c>
      <c r="H101" t="s">
        <v>767</v>
      </c>
      <c r="I101" t="s">
        <v>702</v>
      </c>
      <c r="J101" t="s">
        <v>375</v>
      </c>
      <c r="K101">
        <v>3</v>
      </c>
      <c r="L101">
        <v>30</v>
      </c>
      <c r="M101">
        <v>20</v>
      </c>
      <c r="N101">
        <v>30</v>
      </c>
      <c r="O101">
        <v>10</v>
      </c>
      <c r="P101">
        <v>5</v>
      </c>
      <c r="Q101">
        <v>55</v>
      </c>
      <c r="R101">
        <v>22</v>
      </c>
      <c r="S101">
        <v>38.5</v>
      </c>
      <c r="T101">
        <v>1.2833333330000001</v>
      </c>
      <c r="U101" t="s">
        <v>795</v>
      </c>
      <c r="V101" t="s">
        <v>121</v>
      </c>
      <c r="W101" t="s">
        <v>114</v>
      </c>
      <c r="X101">
        <v>23.8</v>
      </c>
      <c r="Y101">
        <v>13.5</v>
      </c>
      <c r="Z101">
        <v>13.9</v>
      </c>
      <c r="AA101">
        <v>17.06666667</v>
      </c>
      <c r="AB101">
        <v>17.06666667</v>
      </c>
      <c r="AC101">
        <v>14.9</v>
      </c>
      <c r="AD101">
        <v>13.9</v>
      </c>
      <c r="AE101">
        <v>14.9</v>
      </c>
      <c r="AF101">
        <v>14.56666667</v>
      </c>
      <c r="AG101">
        <v>16.899999999999999</v>
      </c>
      <c r="AH101">
        <v>26.2</v>
      </c>
      <c r="AI101">
        <v>20.3</v>
      </c>
      <c r="AJ101">
        <v>21.133333329999999</v>
      </c>
      <c r="AK101">
        <v>18.399999999999999</v>
      </c>
      <c r="AL101">
        <v>19.8</v>
      </c>
      <c r="AM101">
        <v>17.399999999999999</v>
      </c>
      <c r="AN101">
        <v>18.533333330000001</v>
      </c>
      <c r="AO101">
        <v>21.133333329999999</v>
      </c>
      <c r="AP101">
        <v>8.5</v>
      </c>
      <c r="AQ101">
        <v>5.6</v>
      </c>
      <c r="AR101">
        <v>6.6</v>
      </c>
      <c r="AS101">
        <v>6.9</v>
      </c>
      <c r="AT101">
        <v>5.6</v>
      </c>
      <c r="AU101">
        <v>8.1</v>
      </c>
      <c r="AV101" t="s">
        <v>114</v>
      </c>
      <c r="AW101">
        <v>6.85</v>
      </c>
      <c r="AX101">
        <v>6.9</v>
      </c>
      <c r="AY101">
        <v>-10.16666667</v>
      </c>
      <c r="AZ101">
        <v>20</v>
      </c>
      <c r="BA101">
        <v>20</v>
      </c>
      <c r="BB101">
        <v>10</v>
      </c>
      <c r="BC101">
        <v>20</v>
      </c>
      <c r="BD101">
        <v>1</v>
      </c>
      <c r="BE101">
        <v>1</v>
      </c>
      <c r="BF101">
        <v>0</v>
      </c>
      <c r="BG101">
        <v>0</v>
      </c>
      <c r="BI101">
        <v>10.7</v>
      </c>
      <c r="BJ101">
        <v>0</v>
      </c>
      <c r="BK101">
        <v>0</v>
      </c>
      <c r="BL101">
        <v>6</v>
      </c>
      <c r="BM101">
        <v>6</v>
      </c>
      <c r="BN101">
        <v>6</v>
      </c>
      <c r="BO101">
        <v>6</v>
      </c>
      <c r="BP101">
        <v>0</v>
      </c>
      <c r="BQ101">
        <v>7</v>
      </c>
      <c r="BR101">
        <v>-1</v>
      </c>
      <c r="BS101">
        <v>10.98828868</v>
      </c>
      <c r="BT101">
        <v>0.19407250000000001</v>
      </c>
      <c r="BU101">
        <v>8.5653335899999998</v>
      </c>
      <c r="BV101">
        <v>-10.98828868</v>
      </c>
      <c r="BW101">
        <v>0.13542083299999999</v>
      </c>
      <c r="BX101">
        <v>8.5653335899999998</v>
      </c>
      <c r="BY101">
        <v>0.48330668900000001</v>
      </c>
      <c r="BZ101">
        <v>3.6677604000000003E-2</v>
      </c>
      <c r="CA101">
        <v>21.49734862</v>
      </c>
      <c r="CB101">
        <v>0.48330668900000001</v>
      </c>
      <c r="CC101">
        <v>7.5328271000000002E-2</v>
      </c>
      <c r="CD101">
        <v>21.49734862</v>
      </c>
      <c r="CE101">
        <v>0.47206825000000002</v>
      </c>
      <c r="CF101">
        <v>0.445696865</v>
      </c>
      <c r="CG101">
        <v>0.54669793300000002</v>
      </c>
      <c r="CH101">
        <v>10.824427849999999</v>
      </c>
      <c r="CI101">
        <v>0.23921277799999999</v>
      </c>
      <c r="CJ101">
        <v>9.6581726200000002</v>
      </c>
      <c r="CK101">
        <v>0.38124513300000001</v>
      </c>
      <c r="CL101">
        <v>-10.824427849999999</v>
      </c>
      <c r="CM101">
        <v>0.20011166599999999</v>
      </c>
      <c r="CN101">
        <v>9.6581726200000002</v>
      </c>
      <c r="CO101">
        <v>6.6835075999999993E-2</v>
      </c>
      <c r="CP101">
        <v>0.322204459</v>
      </c>
      <c r="CQ101">
        <v>2.4451736000000002E-2</v>
      </c>
      <c r="CR101">
        <v>14.331565749999999</v>
      </c>
      <c r="CS101">
        <v>0.29713124400000002</v>
      </c>
      <c r="CT101">
        <v>0.322204459</v>
      </c>
      <c r="CU101">
        <v>5.0218846999999997E-2</v>
      </c>
      <c r="CV101">
        <v>14.331565749999999</v>
      </c>
      <c r="CW101">
        <v>0.22388905000000001</v>
      </c>
      <c r="CX101">
        <v>1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2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0.636514168294813</v>
      </c>
    </row>
    <row r="102" spans="1:134" x14ac:dyDescent="0.25">
      <c r="A102" t="s">
        <v>20</v>
      </c>
      <c r="B102">
        <v>15</v>
      </c>
      <c r="C102" t="s">
        <v>21</v>
      </c>
      <c r="D102" t="s">
        <v>94</v>
      </c>
      <c r="E102" t="s">
        <v>111</v>
      </c>
      <c r="F102" t="s">
        <v>145</v>
      </c>
      <c r="G102" t="s">
        <v>263</v>
      </c>
      <c r="H102" t="s">
        <v>775</v>
      </c>
      <c r="I102" t="s">
        <v>703</v>
      </c>
      <c r="J102" t="s">
        <v>376</v>
      </c>
      <c r="K102">
        <v>1</v>
      </c>
      <c r="L102">
        <v>250</v>
      </c>
      <c r="M102">
        <v>180</v>
      </c>
      <c r="N102">
        <v>250</v>
      </c>
      <c r="O102">
        <v>70</v>
      </c>
      <c r="P102">
        <v>90</v>
      </c>
      <c r="Q102">
        <v>200</v>
      </c>
      <c r="R102">
        <v>150</v>
      </c>
      <c r="S102">
        <v>175</v>
      </c>
      <c r="T102">
        <v>0.7</v>
      </c>
      <c r="U102" t="s">
        <v>792</v>
      </c>
      <c r="V102" t="s">
        <v>121</v>
      </c>
      <c r="W102" t="s">
        <v>114</v>
      </c>
      <c r="X102">
        <v>23.8</v>
      </c>
      <c r="Y102">
        <v>13.5</v>
      </c>
      <c r="Z102">
        <v>13.9</v>
      </c>
      <c r="AA102">
        <v>17.06666667</v>
      </c>
      <c r="AB102">
        <v>17.06666667</v>
      </c>
      <c r="AC102">
        <v>13</v>
      </c>
      <c r="AD102">
        <v>13.9</v>
      </c>
      <c r="AE102">
        <v>12</v>
      </c>
      <c r="AF102">
        <v>12.96666667</v>
      </c>
      <c r="AG102">
        <v>16.899999999999999</v>
      </c>
      <c r="AH102">
        <v>26.2</v>
      </c>
      <c r="AI102">
        <v>20.3</v>
      </c>
      <c r="AJ102">
        <v>21.133333329999999</v>
      </c>
      <c r="AK102">
        <v>16.399999999999999</v>
      </c>
      <c r="AL102">
        <v>16.399999999999999</v>
      </c>
      <c r="AM102">
        <v>18.399999999999999</v>
      </c>
      <c r="AN102">
        <v>17.06666667</v>
      </c>
      <c r="AO102">
        <v>21.133333329999999</v>
      </c>
      <c r="AP102">
        <v>8.5</v>
      </c>
      <c r="AQ102">
        <v>5.6</v>
      </c>
      <c r="AR102">
        <v>6.6</v>
      </c>
      <c r="AS102">
        <v>6.9</v>
      </c>
      <c r="AT102">
        <v>4.5999999999999996</v>
      </c>
      <c r="AU102">
        <v>5.6</v>
      </c>
      <c r="AV102" t="s">
        <v>114</v>
      </c>
      <c r="AW102">
        <v>5.0999999999999996</v>
      </c>
      <c r="AX102">
        <v>6.9</v>
      </c>
      <c r="AY102">
        <v>-10.16666667</v>
      </c>
      <c r="AZ102">
        <v>20</v>
      </c>
      <c r="BA102">
        <v>20</v>
      </c>
      <c r="BB102">
        <v>10</v>
      </c>
      <c r="BC102">
        <v>20</v>
      </c>
      <c r="BD102">
        <v>1</v>
      </c>
      <c r="BE102">
        <v>1</v>
      </c>
      <c r="BF102">
        <v>0</v>
      </c>
      <c r="BG102">
        <v>0</v>
      </c>
      <c r="BI102">
        <v>10.7</v>
      </c>
      <c r="BJ102">
        <v>0</v>
      </c>
      <c r="BK102">
        <v>0</v>
      </c>
      <c r="BL102">
        <v>106</v>
      </c>
      <c r="BM102">
        <v>92</v>
      </c>
      <c r="BN102">
        <v>8449</v>
      </c>
      <c r="BO102">
        <v>2240.3332999999998</v>
      </c>
      <c r="BP102">
        <v>6208.6666999999998</v>
      </c>
      <c r="BQ102">
        <v>2965</v>
      </c>
      <c r="BR102">
        <v>5484</v>
      </c>
      <c r="BS102">
        <v>21.710559</v>
      </c>
      <c r="BT102">
        <v>0.93538222199999999</v>
      </c>
      <c r="BU102">
        <v>10.137912419999999</v>
      </c>
      <c r="BV102">
        <v>21.710559</v>
      </c>
      <c r="BW102">
        <v>-0.93538222199999999</v>
      </c>
      <c r="BX102">
        <v>-10.137912419999999</v>
      </c>
      <c r="BY102" t="s">
        <v>114</v>
      </c>
      <c r="BZ102" t="s">
        <v>114</v>
      </c>
      <c r="CA102" t="s">
        <v>114</v>
      </c>
      <c r="CB102" t="s">
        <v>114</v>
      </c>
      <c r="CC102" t="s">
        <v>114</v>
      </c>
      <c r="CD102" t="s">
        <v>114</v>
      </c>
      <c r="CE102">
        <v>0.5184628</v>
      </c>
      <c r="CF102" t="s">
        <v>114</v>
      </c>
      <c r="CG102">
        <v>0.5184628</v>
      </c>
      <c r="CH102">
        <v>21.710559</v>
      </c>
      <c r="CI102">
        <v>0.93538222199999999</v>
      </c>
      <c r="CJ102">
        <v>10.137912419999999</v>
      </c>
      <c r="CK102">
        <v>-0.5184628</v>
      </c>
      <c r="CL102">
        <v>21.710559</v>
      </c>
      <c r="CM102">
        <v>-0.93538222199999999</v>
      </c>
      <c r="CN102">
        <v>-10.137912419999999</v>
      </c>
      <c r="CO102" t="s">
        <v>114</v>
      </c>
      <c r="CP102" t="s">
        <v>114</v>
      </c>
      <c r="CQ102" t="s">
        <v>114</v>
      </c>
      <c r="CR102" t="s">
        <v>114</v>
      </c>
      <c r="CS102" t="s">
        <v>114</v>
      </c>
      <c r="CT102" t="s">
        <v>114</v>
      </c>
      <c r="CU102" t="s">
        <v>114</v>
      </c>
      <c r="CV102" t="s">
        <v>114</v>
      </c>
      <c r="CW102">
        <v>-0.5184628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1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</row>
    <row r="103" spans="1:134" x14ac:dyDescent="0.25">
      <c r="A103" t="s">
        <v>22</v>
      </c>
      <c r="B103">
        <v>15</v>
      </c>
      <c r="C103" t="s">
        <v>23</v>
      </c>
      <c r="D103" t="s">
        <v>95</v>
      </c>
      <c r="E103" t="s">
        <v>102</v>
      </c>
      <c r="F103" t="s">
        <v>145</v>
      </c>
      <c r="G103" t="s">
        <v>265</v>
      </c>
      <c r="H103" t="s">
        <v>756</v>
      </c>
      <c r="I103" t="s">
        <v>710</v>
      </c>
      <c r="J103" t="s">
        <v>377</v>
      </c>
      <c r="K103">
        <v>1</v>
      </c>
      <c r="L103">
        <v>170</v>
      </c>
      <c r="M103">
        <v>130</v>
      </c>
      <c r="N103">
        <v>170</v>
      </c>
      <c r="O103">
        <v>40</v>
      </c>
      <c r="P103">
        <v>190</v>
      </c>
      <c r="Q103">
        <v>190</v>
      </c>
      <c r="R103">
        <v>140</v>
      </c>
      <c r="S103">
        <v>165</v>
      </c>
      <c r="T103">
        <v>0.97058823500000002</v>
      </c>
      <c r="V103" t="s">
        <v>121</v>
      </c>
      <c r="W103" t="s">
        <v>114</v>
      </c>
      <c r="X103">
        <v>11</v>
      </c>
      <c r="Y103">
        <v>11</v>
      </c>
      <c r="Z103">
        <v>13.5</v>
      </c>
      <c r="AA103">
        <v>11.83333333</v>
      </c>
      <c r="AB103">
        <v>11.83333333</v>
      </c>
      <c r="AC103">
        <v>13.9</v>
      </c>
      <c r="AD103">
        <v>14.4</v>
      </c>
      <c r="AE103">
        <v>14.9</v>
      </c>
      <c r="AF103">
        <v>14.4</v>
      </c>
      <c r="AG103">
        <v>16.899999999999999</v>
      </c>
      <c r="AH103">
        <v>14.9</v>
      </c>
      <c r="AI103">
        <v>15.9</v>
      </c>
      <c r="AJ103">
        <v>15.9</v>
      </c>
      <c r="AK103">
        <v>17.899999999999999</v>
      </c>
      <c r="AL103">
        <v>17.899999999999999</v>
      </c>
      <c r="AM103">
        <v>18.899999999999999</v>
      </c>
      <c r="AN103">
        <v>18.233333330000001</v>
      </c>
      <c r="AO103">
        <v>15.9</v>
      </c>
      <c r="AP103">
        <v>5.6</v>
      </c>
      <c r="AQ103">
        <v>5.6</v>
      </c>
      <c r="AR103">
        <v>8.1</v>
      </c>
      <c r="AS103">
        <v>6.4333333330000002</v>
      </c>
      <c r="AT103">
        <v>7.1</v>
      </c>
      <c r="AU103">
        <v>7.6</v>
      </c>
      <c r="AV103">
        <v>9.5</v>
      </c>
      <c r="AW103">
        <v>8.0666666669999998</v>
      </c>
      <c r="AX103">
        <v>6.4333333330000002</v>
      </c>
      <c r="AY103">
        <v>-5.4</v>
      </c>
      <c r="AZ103">
        <v>5</v>
      </c>
      <c r="BA103">
        <v>90</v>
      </c>
      <c r="BB103">
        <v>5</v>
      </c>
      <c r="BC103">
        <v>15</v>
      </c>
      <c r="BD103">
        <v>1</v>
      </c>
      <c r="BE103">
        <v>1</v>
      </c>
      <c r="BF103">
        <v>10</v>
      </c>
      <c r="BG103">
        <v>0</v>
      </c>
      <c r="BI103">
        <v>4.4000000000000004</v>
      </c>
      <c r="BJ103">
        <v>46.103999999999999</v>
      </c>
      <c r="BK103">
        <v>0</v>
      </c>
      <c r="BL103">
        <v>34</v>
      </c>
      <c r="BM103">
        <v>34</v>
      </c>
      <c r="BN103">
        <v>1482</v>
      </c>
      <c r="BO103">
        <v>880</v>
      </c>
      <c r="BP103">
        <v>602</v>
      </c>
      <c r="BQ103">
        <v>880</v>
      </c>
      <c r="BR103">
        <v>602</v>
      </c>
      <c r="BS103">
        <v>28.59259256</v>
      </c>
      <c r="BT103">
        <v>0.56747201599999997</v>
      </c>
      <c r="BU103">
        <v>2.7506882400000001</v>
      </c>
      <c r="BV103">
        <v>-28.59259256</v>
      </c>
      <c r="BW103">
        <v>-0.56747201599999997</v>
      </c>
      <c r="BX103">
        <v>2.7506882400000001</v>
      </c>
      <c r="BY103" t="s">
        <v>114</v>
      </c>
      <c r="BZ103" t="s">
        <v>114</v>
      </c>
      <c r="CA103" t="s">
        <v>114</v>
      </c>
      <c r="CB103" t="s">
        <v>114</v>
      </c>
      <c r="CC103" t="s">
        <v>114</v>
      </c>
      <c r="CD103" t="s">
        <v>114</v>
      </c>
      <c r="CE103">
        <v>1.0678641900000001</v>
      </c>
      <c r="CF103" t="s">
        <v>114</v>
      </c>
      <c r="CG103">
        <v>1.0678641900000001</v>
      </c>
      <c r="CH103">
        <v>28.59259256</v>
      </c>
      <c r="CI103">
        <v>0.56747201599999997</v>
      </c>
      <c r="CJ103">
        <v>2.7506882400000001</v>
      </c>
      <c r="CK103">
        <v>1.0678641900000001</v>
      </c>
      <c r="CL103">
        <v>-28.59259256</v>
      </c>
      <c r="CM103">
        <v>-0.56747201599999997</v>
      </c>
      <c r="CN103">
        <v>2.7506882400000001</v>
      </c>
      <c r="CO103" t="s">
        <v>114</v>
      </c>
      <c r="CP103" t="s">
        <v>114</v>
      </c>
      <c r="CQ103" t="s">
        <v>114</v>
      </c>
      <c r="CR103" t="s">
        <v>114</v>
      </c>
      <c r="CS103" t="s">
        <v>114</v>
      </c>
      <c r="CT103" t="s">
        <v>114</v>
      </c>
      <c r="CU103" t="s">
        <v>114</v>
      </c>
      <c r="CV103" t="s">
        <v>114</v>
      </c>
      <c r="CW103">
        <v>1.0678641900000001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1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</row>
    <row r="104" spans="1:134" x14ac:dyDescent="0.25">
      <c r="A104" t="s">
        <v>22</v>
      </c>
      <c r="B104">
        <v>15</v>
      </c>
      <c r="C104" t="s">
        <v>23</v>
      </c>
      <c r="D104" t="s">
        <v>95</v>
      </c>
      <c r="E104" t="s">
        <v>105</v>
      </c>
      <c r="F104" t="s">
        <v>145</v>
      </c>
      <c r="G104" t="s">
        <v>266</v>
      </c>
      <c r="H104" t="s">
        <v>760</v>
      </c>
      <c r="I104" t="s">
        <v>711</v>
      </c>
      <c r="J104" t="s">
        <v>378</v>
      </c>
      <c r="K104">
        <v>6</v>
      </c>
      <c r="L104">
        <v>35</v>
      </c>
      <c r="M104">
        <v>30</v>
      </c>
      <c r="N104">
        <v>35</v>
      </c>
      <c r="O104">
        <v>5</v>
      </c>
      <c r="P104">
        <v>45</v>
      </c>
      <c r="Q104">
        <v>45</v>
      </c>
      <c r="R104">
        <v>20</v>
      </c>
      <c r="S104">
        <v>32.5</v>
      </c>
      <c r="T104">
        <v>0.928571429</v>
      </c>
      <c r="U104" t="s">
        <v>793</v>
      </c>
      <c r="V104" t="s">
        <v>121</v>
      </c>
      <c r="W104" t="s">
        <v>114</v>
      </c>
      <c r="X104">
        <v>11</v>
      </c>
      <c r="Y104">
        <v>11</v>
      </c>
      <c r="Z104">
        <v>13.5</v>
      </c>
      <c r="AA104">
        <v>11.83333333</v>
      </c>
      <c r="AB104">
        <v>11.83333333</v>
      </c>
      <c r="AC104">
        <v>13</v>
      </c>
      <c r="AD104">
        <v>12</v>
      </c>
      <c r="AE104">
        <v>12</v>
      </c>
      <c r="AF104">
        <v>12.33333333</v>
      </c>
      <c r="AG104">
        <v>16.899999999999999</v>
      </c>
      <c r="AH104">
        <v>14.9</v>
      </c>
      <c r="AI104">
        <v>15.9</v>
      </c>
      <c r="AJ104">
        <v>15.9</v>
      </c>
      <c r="AK104">
        <v>13.9</v>
      </c>
      <c r="AL104">
        <v>15.9</v>
      </c>
      <c r="AM104">
        <v>17.899999999999999</v>
      </c>
      <c r="AN104">
        <v>15.9</v>
      </c>
      <c r="AO104">
        <v>15.9</v>
      </c>
      <c r="AP104">
        <v>5.6</v>
      </c>
      <c r="AQ104">
        <v>5.6</v>
      </c>
      <c r="AR104">
        <v>8.1</v>
      </c>
      <c r="AS104">
        <v>6.4333333330000002</v>
      </c>
      <c r="AT104">
        <v>6.1</v>
      </c>
      <c r="AU104">
        <v>6.1</v>
      </c>
      <c r="AV104">
        <v>6.6</v>
      </c>
      <c r="AW104">
        <v>6.266666667</v>
      </c>
      <c r="AX104">
        <v>6.4333333330000002</v>
      </c>
      <c r="AY104">
        <v>-5.4</v>
      </c>
      <c r="AZ104">
        <v>5</v>
      </c>
      <c r="BA104">
        <v>90</v>
      </c>
      <c r="BB104">
        <v>5</v>
      </c>
      <c r="BC104">
        <v>15</v>
      </c>
      <c r="BD104">
        <v>1</v>
      </c>
      <c r="BE104">
        <v>1</v>
      </c>
      <c r="BF104">
        <v>10</v>
      </c>
      <c r="BG104">
        <v>0</v>
      </c>
      <c r="BI104">
        <v>4.4000000000000004</v>
      </c>
      <c r="BJ104">
        <v>46.103999999999999</v>
      </c>
      <c r="BK104">
        <v>0</v>
      </c>
      <c r="BL104">
        <v>7</v>
      </c>
      <c r="BM104">
        <v>6</v>
      </c>
      <c r="BN104">
        <v>164</v>
      </c>
      <c r="BO104">
        <v>97.333332999999996</v>
      </c>
      <c r="BP104">
        <v>66.666667000000004</v>
      </c>
      <c r="BQ104">
        <v>108</v>
      </c>
      <c r="BR104">
        <v>56</v>
      </c>
      <c r="BS104">
        <v>23.12058081</v>
      </c>
      <c r="BT104">
        <v>0.35698940600000001</v>
      </c>
      <c r="BU104">
        <v>18.710630040000002</v>
      </c>
      <c r="BV104">
        <v>-23.12058081</v>
      </c>
      <c r="BW104">
        <v>0.14842725900000001</v>
      </c>
      <c r="BX104">
        <v>18.710630040000002</v>
      </c>
      <c r="BY104">
        <v>53.299695589999999</v>
      </c>
      <c r="BZ104">
        <v>1.6540190000000001E-3</v>
      </c>
      <c r="CA104">
        <v>37.76226218</v>
      </c>
      <c r="CB104">
        <v>53.299695589999999</v>
      </c>
      <c r="CC104">
        <v>0.159770196</v>
      </c>
      <c r="CD104">
        <v>37.76226218</v>
      </c>
      <c r="CE104">
        <v>1.310842423</v>
      </c>
      <c r="CF104">
        <v>1.564421522</v>
      </c>
      <c r="CG104">
        <v>1.596431862</v>
      </c>
      <c r="CH104">
        <v>19.689078290000001</v>
      </c>
      <c r="CI104">
        <v>0.33491631300000002</v>
      </c>
      <c r="CJ104">
        <v>22.018942989999999</v>
      </c>
      <c r="CK104">
        <v>1.4683878720000001</v>
      </c>
      <c r="CL104">
        <v>-19.689078290000001</v>
      </c>
      <c r="CM104">
        <v>-8.2207980999999999E-2</v>
      </c>
      <c r="CN104">
        <v>22.018942989999999</v>
      </c>
      <c r="CO104">
        <v>0.360161648</v>
      </c>
      <c r="CP104">
        <v>35.45012973</v>
      </c>
      <c r="CQ104">
        <v>1.246273E-3</v>
      </c>
      <c r="CR104">
        <v>28.238826360000001</v>
      </c>
      <c r="CS104">
        <v>0.83107974500000004</v>
      </c>
      <c r="CT104">
        <v>35.45012973</v>
      </c>
      <c r="CU104">
        <v>0.12773921499999999</v>
      </c>
      <c r="CV104">
        <v>28.238826360000001</v>
      </c>
      <c r="CW104">
        <v>1.054754443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1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4</v>
      </c>
      <c r="DM104">
        <v>0</v>
      </c>
      <c r="DN104">
        <v>0</v>
      </c>
      <c r="DO104">
        <v>0</v>
      </c>
      <c r="DP104">
        <v>1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0.86756322848146095</v>
      </c>
    </row>
    <row r="105" spans="1:134" x14ac:dyDescent="0.25">
      <c r="A105" t="s">
        <v>22</v>
      </c>
      <c r="B105">
        <v>15</v>
      </c>
      <c r="C105" t="s">
        <v>23</v>
      </c>
      <c r="D105" t="s">
        <v>95</v>
      </c>
      <c r="E105" t="s">
        <v>103</v>
      </c>
      <c r="F105" t="s">
        <v>145</v>
      </c>
      <c r="G105" t="s">
        <v>260</v>
      </c>
      <c r="H105" t="s">
        <v>772</v>
      </c>
      <c r="I105" t="s">
        <v>712</v>
      </c>
      <c r="J105" t="s">
        <v>379</v>
      </c>
      <c r="K105">
        <v>10</v>
      </c>
      <c r="L105">
        <v>70</v>
      </c>
      <c r="M105">
        <v>170</v>
      </c>
      <c r="N105">
        <v>70</v>
      </c>
      <c r="O105">
        <v>-100</v>
      </c>
      <c r="P105">
        <v>20</v>
      </c>
      <c r="Q105">
        <v>20</v>
      </c>
      <c r="R105">
        <v>3</v>
      </c>
      <c r="S105">
        <v>11.5</v>
      </c>
      <c r="T105">
        <v>0.164285714</v>
      </c>
      <c r="V105" t="s">
        <v>103</v>
      </c>
      <c r="W105">
        <v>25</v>
      </c>
      <c r="X105">
        <v>11</v>
      </c>
      <c r="Y105">
        <v>11</v>
      </c>
      <c r="Z105">
        <v>13.5</v>
      </c>
      <c r="AA105">
        <v>11.83333333</v>
      </c>
      <c r="AB105">
        <v>11.83333333</v>
      </c>
      <c r="AC105">
        <v>10</v>
      </c>
      <c r="AD105">
        <v>11</v>
      </c>
      <c r="AE105">
        <v>8.5</v>
      </c>
      <c r="AF105">
        <v>9.8333333330000006</v>
      </c>
      <c r="AG105">
        <v>16.899999999999999</v>
      </c>
      <c r="AH105">
        <v>14.9</v>
      </c>
      <c r="AI105">
        <v>15.9</v>
      </c>
      <c r="AJ105">
        <v>15.9</v>
      </c>
      <c r="AK105" t="s">
        <v>114</v>
      </c>
      <c r="AL105" t="s">
        <v>114</v>
      </c>
      <c r="AM105" t="s">
        <v>114</v>
      </c>
      <c r="AN105" t="s">
        <v>114</v>
      </c>
      <c r="AO105">
        <v>15.9</v>
      </c>
      <c r="AP105">
        <v>5.6</v>
      </c>
      <c r="AQ105">
        <v>5.6</v>
      </c>
      <c r="AR105">
        <v>8.1</v>
      </c>
      <c r="AS105">
        <v>6.4333333330000002</v>
      </c>
      <c r="AT105">
        <v>4.5999999999999996</v>
      </c>
      <c r="AU105">
        <v>5.6</v>
      </c>
      <c r="AV105">
        <v>6.1</v>
      </c>
      <c r="AW105">
        <v>5.4333333330000002</v>
      </c>
      <c r="AX105">
        <v>6.4333333330000002</v>
      </c>
      <c r="AY105">
        <v>-5.4</v>
      </c>
      <c r="AZ105">
        <v>5</v>
      </c>
      <c r="BA105">
        <v>90</v>
      </c>
      <c r="BB105">
        <v>5</v>
      </c>
      <c r="BC105">
        <v>15</v>
      </c>
      <c r="BD105">
        <v>1</v>
      </c>
      <c r="BE105">
        <v>1</v>
      </c>
      <c r="BF105">
        <v>10</v>
      </c>
      <c r="BG105">
        <v>0</v>
      </c>
      <c r="BI105">
        <v>4.4000000000000004</v>
      </c>
      <c r="BJ105">
        <v>46.103999999999999</v>
      </c>
      <c r="BK105">
        <v>0</v>
      </c>
      <c r="BL105">
        <v>1</v>
      </c>
      <c r="BM105">
        <v>1</v>
      </c>
      <c r="BN105">
        <v>39</v>
      </c>
      <c r="BO105">
        <v>216</v>
      </c>
      <c r="BP105">
        <v>-177</v>
      </c>
      <c r="BQ105">
        <v>387</v>
      </c>
      <c r="BR105">
        <v>-348</v>
      </c>
      <c r="BS105">
        <v>7.184294875</v>
      </c>
      <c r="BT105">
        <v>2.2424311999999998E-2</v>
      </c>
      <c r="BU105">
        <v>7.0020024550000004</v>
      </c>
      <c r="BV105">
        <v>7.184294875</v>
      </c>
      <c r="BW105">
        <v>2.2424311999999998E-2</v>
      </c>
      <c r="BX105">
        <v>-7.0020024550000004</v>
      </c>
      <c r="BY105">
        <v>103.2281857</v>
      </c>
      <c r="BZ105">
        <v>1.0056990000000001E-3</v>
      </c>
      <c r="CA105">
        <v>98.056076759999996</v>
      </c>
      <c r="CB105">
        <v>103.2281857</v>
      </c>
      <c r="CC105">
        <v>1.0056990000000001E-3</v>
      </c>
      <c r="CD105">
        <v>98.056076759999996</v>
      </c>
      <c r="CE105">
        <v>0.12424071</v>
      </c>
      <c r="CF105">
        <v>3.0871507999999999E-2</v>
      </c>
      <c r="CG105">
        <v>9.9392568000000001E-2</v>
      </c>
      <c r="CH105">
        <v>5.7474359000000002</v>
      </c>
      <c r="CI105">
        <v>1.7939449E-2</v>
      </c>
      <c r="CJ105">
        <v>5.6016019640000003</v>
      </c>
      <c r="CK105">
        <v>9.9392568000000001E-2</v>
      </c>
      <c r="CL105">
        <v>5.7474359000000002</v>
      </c>
      <c r="CM105">
        <v>1.7939449E-2</v>
      </c>
      <c r="CN105">
        <v>-5.6016019640000003</v>
      </c>
      <c r="CO105">
        <v>1.6464804E-2</v>
      </c>
      <c r="CP105">
        <v>55.055032369999999</v>
      </c>
      <c r="CQ105">
        <v>5.3637300000000004E-4</v>
      </c>
      <c r="CR105">
        <v>52.296574270000001</v>
      </c>
      <c r="CS105">
        <v>1.6464804E-2</v>
      </c>
      <c r="CT105">
        <v>55.055032369999999</v>
      </c>
      <c r="CU105">
        <v>5.3637300000000004E-4</v>
      </c>
      <c r="CV105">
        <v>52.296574270000001</v>
      </c>
      <c r="CW105">
        <v>0.12424071</v>
      </c>
      <c r="CX105">
        <v>0</v>
      </c>
      <c r="CY105">
        <v>0</v>
      </c>
      <c r="CZ105">
        <v>0</v>
      </c>
      <c r="DA105">
        <v>4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6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0.67301166700925696</v>
      </c>
    </row>
    <row r="106" spans="1:134" x14ac:dyDescent="0.25">
      <c r="A106" t="s">
        <v>22</v>
      </c>
      <c r="B106">
        <v>15</v>
      </c>
      <c r="C106" t="s">
        <v>23</v>
      </c>
      <c r="D106" t="s">
        <v>95</v>
      </c>
      <c r="E106" t="s">
        <v>111</v>
      </c>
      <c r="F106" t="s">
        <v>145</v>
      </c>
      <c r="G106" t="s">
        <v>263</v>
      </c>
      <c r="H106" t="s">
        <v>776</v>
      </c>
      <c r="I106" t="s">
        <v>706</v>
      </c>
      <c r="J106" t="s">
        <v>380</v>
      </c>
      <c r="K106">
        <v>7</v>
      </c>
      <c r="L106">
        <v>220</v>
      </c>
      <c r="M106">
        <v>260</v>
      </c>
      <c r="N106">
        <v>220</v>
      </c>
      <c r="O106">
        <v>-40</v>
      </c>
      <c r="P106">
        <v>60</v>
      </c>
      <c r="Q106">
        <v>40</v>
      </c>
      <c r="R106">
        <v>35</v>
      </c>
      <c r="S106">
        <v>37.5</v>
      </c>
      <c r="T106">
        <v>0.17045454500000001</v>
      </c>
      <c r="V106" t="s">
        <v>121</v>
      </c>
      <c r="W106" t="s">
        <v>114</v>
      </c>
      <c r="X106">
        <v>11</v>
      </c>
      <c r="Y106">
        <v>11</v>
      </c>
      <c r="Z106">
        <v>13.5</v>
      </c>
      <c r="AA106">
        <v>11.83333333</v>
      </c>
      <c r="AB106">
        <v>11.83333333</v>
      </c>
      <c r="AC106">
        <v>14.4</v>
      </c>
      <c r="AD106">
        <v>14.4</v>
      </c>
      <c r="AE106">
        <v>13.9</v>
      </c>
      <c r="AF106">
        <v>14.233333330000001</v>
      </c>
      <c r="AG106">
        <v>16.899999999999999</v>
      </c>
      <c r="AH106">
        <v>14.9</v>
      </c>
      <c r="AI106">
        <v>15.9</v>
      </c>
      <c r="AJ106">
        <v>15.9</v>
      </c>
      <c r="AK106">
        <v>18.399999999999999</v>
      </c>
      <c r="AL106">
        <v>16.899999999999999</v>
      </c>
      <c r="AM106">
        <v>17.899999999999999</v>
      </c>
      <c r="AN106">
        <v>17.733333330000001</v>
      </c>
      <c r="AO106">
        <v>15.9</v>
      </c>
      <c r="AP106">
        <v>5.6</v>
      </c>
      <c r="AQ106">
        <v>5.6</v>
      </c>
      <c r="AR106">
        <v>8.1</v>
      </c>
      <c r="AS106">
        <v>6.4333333330000002</v>
      </c>
      <c r="AT106">
        <v>6.1</v>
      </c>
      <c r="AU106">
        <v>7.1</v>
      </c>
      <c r="AV106">
        <v>7.1</v>
      </c>
      <c r="AW106">
        <v>6.766666667</v>
      </c>
      <c r="AX106">
        <v>6.4333333330000002</v>
      </c>
      <c r="AY106">
        <v>-5.4</v>
      </c>
      <c r="AZ106">
        <v>5</v>
      </c>
      <c r="BA106">
        <v>90</v>
      </c>
      <c r="BB106">
        <v>5</v>
      </c>
      <c r="BC106">
        <v>15</v>
      </c>
      <c r="BD106">
        <v>1</v>
      </c>
      <c r="BE106">
        <v>1</v>
      </c>
      <c r="BF106">
        <v>10</v>
      </c>
      <c r="BG106">
        <v>0</v>
      </c>
      <c r="BI106">
        <v>4.4000000000000004</v>
      </c>
      <c r="BJ106">
        <v>46.103999999999999</v>
      </c>
      <c r="BK106">
        <v>1</v>
      </c>
      <c r="BL106" t="s">
        <v>114</v>
      </c>
      <c r="BM106" t="s">
        <v>114</v>
      </c>
      <c r="BN106" t="s">
        <v>114</v>
      </c>
      <c r="BO106">
        <v>731.75</v>
      </c>
      <c r="BP106" t="s">
        <v>114</v>
      </c>
      <c r="BQ106">
        <v>562</v>
      </c>
      <c r="BR106" t="s">
        <v>114</v>
      </c>
      <c r="BS106">
        <v>15.46971572</v>
      </c>
      <c r="BT106">
        <v>0.97255393499999998</v>
      </c>
      <c r="BU106">
        <v>12.00718153</v>
      </c>
      <c r="BV106">
        <v>11.81430443</v>
      </c>
      <c r="BW106">
        <v>-0.89455643500000004</v>
      </c>
      <c r="BX106">
        <v>-12.00718153</v>
      </c>
      <c r="BY106">
        <v>163.43500460000001</v>
      </c>
      <c r="BZ106">
        <v>1.134184565</v>
      </c>
      <c r="CA106">
        <v>78.980362740000004</v>
      </c>
      <c r="CB106">
        <v>313.0364773</v>
      </c>
      <c r="CC106">
        <v>1.352629477</v>
      </c>
      <c r="CD106">
        <v>78.980362740000004</v>
      </c>
      <c r="CE106">
        <v>0.68318961</v>
      </c>
      <c r="CF106">
        <v>1.237484719</v>
      </c>
      <c r="CG106">
        <v>0.41298332999999998</v>
      </c>
      <c r="CH106">
        <v>12.943221960000001</v>
      </c>
      <c r="CI106">
        <v>0.48366382899999999</v>
      </c>
      <c r="CJ106">
        <v>16.576344979999998</v>
      </c>
      <c r="CK106">
        <v>-0.112513873</v>
      </c>
      <c r="CL106">
        <v>11.37661713</v>
      </c>
      <c r="CM106">
        <v>-0.316526329</v>
      </c>
      <c r="CN106">
        <v>-16.576344979999998</v>
      </c>
      <c r="CO106">
        <v>0.390414388</v>
      </c>
      <c r="CP106">
        <v>60.063609200000002</v>
      </c>
      <c r="CQ106">
        <v>0.587198365</v>
      </c>
      <c r="CR106">
        <v>44.594385379999999</v>
      </c>
      <c r="CS106">
        <v>0.57462622299999999</v>
      </c>
      <c r="CT106">
        <v>104.5131164</v>
      </c>
      <c r="CU106">
        <v>0.74323044500000002</v>
      </c>
      <c r="CV106">
        <v>44.594385379999999</v>
      </c>
      <c r="CW106">
        <v>-0.54297052999999995</v>
      </c>
      <c r="CX106">
        <v>0</v>
      </c>
      <c r="CY106">
        <v>0</v>
      </c>
      <c r="CZ106">
        <v>0</v>
      </c>
      <c r="DA106">
        <v>5</v>
      </c>
      <c r="DB106">
        <v>0</v>
      </c>
      <c r="DC106">
        <v>1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1</v>
      </c>
      <c r="EA106">
        <v>0</v>
      </c>
      <c r="EB106">
        <v>0</v>
      </c>
      <c r="EC106">
        <v>0</v>
      </c>
      <c r="ED106">
        <v>0.79631164017381295</v>
      </c>
    </row>
    <row r="107" spans="1:134" x14ac:dyDescent="0.25">
      <c r="A107" t="s">
        <v>22</v>
      </c>
      <c r="B107">
        <v>15</v>
      </c>
      <c r="C107" t="s">
        <v>23</v>
      </c>
      <c r="D107" t="s">
        <v>95</v>
      </c>
      <c r="E107" t="s">
        <v>112</v>
      </c>
      <c r="F107" t="s">
        <v>145</v>
      </c>
      <c r="G107" t="s">
        <v>261</v>
      </c>
      <c r="H107" t="s">
        <v>784</v>
      </c>
      <c r="I107" t="s">
        <v>708</v>
      </c>
      <c r="J107" t="s">
        <v>381</v>
      </c>
      <c r="K107">
        <v>9</v>
      </c>
      <c r="L107">
        <v>50</v>
      </c>
      <c r="M107">
        <v>60</v>
      </c>
      <c r="N107">
        <v>50</v>
      </c>
      <c r="O107">
        <v>-10</v>
      </c>
      <c r="P107">
        <v>25</v>
      </c>
      <c r="Q107">
        <v>25</v>
      </c>
      <c r="R107">
        <v>20</v>
      </c>
      <c r="S107">
        <v>22.5</v>
      </c>
      <c r="T107">
        <v>0.45</v>
      </c>
      <c r="V107" t="s">
        <v>103</v>
      </c>
      <c r="W107">
        <v>50</v>
      </c>
      <c r="X107">
        <v>11</v>
      </c>
      <c r="Y107">
        <v>11</v>
      </c>
      <c r="Z107">
        <v>13.5</v>
      </c>
      <c r="AA107">
        <v>11.83333333</v>
      </c>
      <c r="AB107">
        <v>11.83333333</v>
      </c>
      <c r="AC107">
        <v>13.5</v>
      </c>
      <c r="AD107">
        <v>11.5</v>
      </c>
      <c r="AE107">
        <v>12</v>
      </c>
      <c r="AF107">
        <v>12.33333333</v>
      </c>
      <c r="AG107">
        <v>16.899999999999999</v>
      </c>
      <c r="AH107">
        <v>14.9</v>
      </c>
      <c r="AI107">
        <v>15.9</v>
      </c>
      <c r="AJ107">
        <v>15.9</v>
      </c>
      <c r="AK107">
        <v>14.9</v>
      </c>
      <c r="AL107">
        <v>15.9</v>
      </c>
      <c r="AM107">
        <v>16.899999999999999</v>
      </c>
      <c r="AN107">
        <v>15.9</v>
      </c>
      <c r="AO107">
        <v>15.9</v>
      </c>
      <c r="AP107">
        <v>5.6</v>
      </c>
      <c r="AQ107">
        <v>5.6</v>
      </c>
      <c r="AR107">
        <v>8.1</v>
      </c>
      <c r="AS107">
        <v>6.4333333330000002</v>
      </c>
      <c r="AT107">
        <v>6.1</v>
      </c>
      <c r="AU107">
        <v>7.6</v>
      </c>
      <c r="AV107">
        <v>7.6</v>
      </c>
      <c r="AW107">
        <v>7.1</v>
      </c>
      <c r="AX107">
        <v>6.4333333330000002</v>
      </c>
      <c r="AY107">
        <v>-5.4</v>
      </c>
      <c r="AZ107">
        <v>5</v>
      </c>
      <c r="BA107">
        <v>90</v>
      </c>
      <c r="BB107">
        <v>5</v>
      </c>
      <c r="BC107">
        <v>15</v>
      </c>
      <c r="BD107">
        <v>1</v>
      </c>
      <c r="BE107">
        <v>1</v>
      </c>
      <c r="BF107">
        <v>10</v>
      </c>
      <c r="BG107">
        <v>0</v>
      </c>
      <c r="BI107">
        <v>4.4000000000000004</v>
      </c>
      <c r="BJ107">
        <v>46.103999999999999</v>
      </c>
      <c r="BK107">
        <v>0</v>
      </c>
      <c r="BL107">
        <v>35</v>
      </c>
      <c r="BM107">
        <v>30</v>
      </c>
      <c r="BN107">
        <v>77</v>
      </c>
      <c r="BO107">
        <v>31.75</v>
      </c>
      <c r="BP107">
        <v>45.25</v>
      </c>
      <c r="BQ107">
        <v>46</v>
      </c>
      <c r="BR107">
        <v>31</v>
      </c>
      <c r="BS107">
        <v>17.847091030000001</v>
      </c>
      <c r="BT107">
        <v>2.0715381079999999</v>
      </c>
      <c r="BU107">
        <v>11.05988456</v>
      </c>
      <c r="BV107">
        <v>-17.847091030000001</v>
      </c>
      <c r="BW107">
        <v>2.0715381079999999</v>
      </c>
      <c r="BX107">
        <v>7.8479930080000004</v>
      </c>
      <c r="BY107">
        <v>177.13173409999999</v>
      </c>
      <c r="BZ107">
        <v>0.117516732</v>
      </c>
      <c r="CA107">
        <v>22.19682916</v>
      </c>
      <c r="CB107">
        <v>177.13173409999999</v>
      </c>
      <c r="CC107">
        <v>0.117516732</v>
      </c>
      <c r="CD107">
        <v>103.17023210000001</v>
      </c>
      <c r="CE107">
        <v>1.962499918</v>
      </c>
      <c r="CF107">
        <v>1.4702234E-2</v>
      </c>
      <c r="CG107">
        <v>1.9416881459999999</v>
      </c>
      <c r="CH107">
        <v>21.567408560000001</v>
      </c>
      <c r="CI107">
        <v>2.0983482919999998</v>
      </c>
      <c r="CJ107">
        <v>9.7258800870000002</v>
      </c>
      <c r="CK107">
        <v>1.9416881459999999</v>
      </c>
      <c r="CL107">
        <v>-21.567408560000001</v>
      </c>
      <c r="CM107">
        <v>2.0983482919999998</v>
      </c>
      <c r="CN107">
        <v>5.4433580199999998</v>
      </c>
      <c r="CO107">
        <v>1.4456548E-2</v>
      </c>
      <c r="CP107">
        <v>110.0900832</v>
      </c>
      <c r="CQ107">
        <v>9.4031643999999998E-2</v>
      </c>
      <c r="CR107">
        <v>16.954013190000001</v>
      </c>
      <c r="CS107">
        <v>1.4456548E-2</v>
      </c>
      <c r="CT107">
        <v>110.0900832</v>
      </c>
      <c r="CU107">
        <v>9.4031643999999998E-2</v>
      </c>
      <c r="CV107">
        <v>90.036934729999999</v>
      </c>
      <c r="CW107">
        <v>1.962499918</v>
      </c>
      <c r="CX107">
        <v>0</v>
      </c>
      <c r="CY107">
        <v>0</v>
      </c>
      <c r="CZ107">
        <v>0</v>
      </c>
      <c r="DA107">
        <v>3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2</v>
      </c>
      <c r="DM107">
        <v>0</v>
      </c>
      <c r="DN107">
        <v>0</v>
      </c>
      <c r="DO107">
        <v>0</v>
      </c>
      <c r="DP107">
        <v>3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1</v>
      </c>
      <c r="EC107">
        <v>0</v>
      </c>
      <c r="ED107">
        <v>1.31078367809971</v>
      </c>
    </row>
    <row r="108" spans="1:134" x14ac:dyDescent="0.25">
      <c r="A108" t="s">
        <v>24</v>
      </c>
      <c r="B108">
        <v>15</v>
      </c>
      <c r="C108" t="s">
        <v>25</v>
      </c>
      <c r="D108" t="s">
        <v>95</v>
      </c>
      <c r="E108" t="s">
        <v>105</v>
      </c>
      <c r="F108" t="s">
        <v>145</v>
      </c>
      <c r="G108" t="s">
        <v>266</v>
      </c>
      <c r="H108" t="s">
        <v>760</v>
      </c>
      <c r="I108" t="s">
        <v>711</v>
      </c>
      <c r="J108" t="s">
        <v>382</v>
      </c>
      <c r="K108">
        <v>2</v>
      </c>
      <c r="L108">
        <v>20</v>
      </c>
      <c r="M108">
        <v>20</v>
      </c>
      <c r="N108">
        <v>20</v>
      </c>
      <c r="O108">
        <v>0</v>
      </c>
      <c r="P108">
        <v>50</v>
      </c>
      <c r="Q108">
        <v>50</v>
      </c>
      <c r="R108">
        <v>20</v>
      </c>
      <c r="S108">
        <v>35</v>
      </c>
      <c r="T108">
        <v>1.75</v>
      </c>
      <c r="V108" t="s">
        <v>121</v>
      </c>
      <c r="W108" t="s">
        <v>114</v>
      </c>
      <c r="X108">
        <v>11.5</v>
      </c>
      <c r="Y108">
        <v>13.5</v>
      </c>
      <c r="Z108">
        <v>11</v>
      </c>
      <c r="AA108">
        <v>12</v>
      </c>
      <c r="AB108">
        <v>12</v>
      </c>
      <c r="AC108">
        <v>11.5</v>
      </c>
      <c r="AD108">
        <v>11.5</v>
      </c>
      <c r="AE108">
        <v>9.5</v>
      </c>
      <c r="AF108">
        <v>10.83333333</v>
      </c>
      <c r="AG108">
        <v>15.4</v>
      </c>
      <c r="AH108">
        <v>15.4</v>
      </c>
      <c r="AI108">
        <v>16.899999999999999</v>
      </c>
      <c r="AJ108">
        <v>15.9</v>
      </c>
      <c r="AK108">
        <v>13.9</v>
      </c>
      <c r="AL108">
        <v>14.9</v>
      </c>
      <c r="AM108">
        <v>14.9</v>
      </c>
      <c r="AN108">
        <v>14.56666667</v>
      </c>
      <c r="AO108">
        <v>15.9</v>
      </c>
      <c r="AP108" t="s">
        <v>114</v>
      </c>
      <c r="AQ108" t="s">
        <v>114</v>
      </c>
      <c r="AR108" t="s">
        <v>114</v>
      </c>
      <c r="AS108" t="s">
        <v>114</v>
      </c>
      <c r="AT108" t="s">
        <v>114</v>
      </c>
      <c r="AU108" t="s">
        <v>114</v>
      </c>
      <c r="AV108" t="s">
        <v>114</v>
      </c>
      <c r="AW108" t="s">
        <v>114</v>
      </c>
      <c r="AX108" t="s">
        <v>114</v>
      </c>
      <c r="AY108" t="s">
        <v>114</v>
      </c>
      <c r="AZ108">
        <v>10</v>
      </c>
      <c r="BA108">
        <v>30</v>
      </c>
      <c r="BB108">
        <v>5</v>
      </c>
      <c r="BC108">
        <v>70</v>
      </c>
      <c r="BD108">
        <v>1</v>
      </c>
      <c r="BE108">
        <v>1</v>
      </c>
      <c r="BF108">
        <v>2</v>
      </c>
      <c r="BG108">
        <v>3</v>
      </c>
      <c r="BI108">
        <v>8.4</v>
      </c>
      <c r="BJ108">
        <v>91.049000000000007</v>
      </c>
      <c r="BK108">
        <v>0</v>
      </c>
      <c r="BL108">
        <v>2</v>
      </c>
      <c r="BM108">
        <v>2</v>
      </c>
      <c r="BN108">
        <v>100</v>
      </c>
      <c r="BO108">
        <v>97.333332999999996</v>
      </c>
      <c r="BP108">
        <v>2.6666669999999999</v>
      </c>
      <c r="BQ108">
        <v>96</v>
      </c>
      <c r="BR108">
        <v>4</v>
      </c>
      <c r="BS108">
        <v>36.954464289999997</v>
      </c>
      <c r="BT108">
        <v>1.151674445</v>
      </c>
      <c r="BU108">
        <v>19.09152297</v>
      </c>
      <c r="BV108">
        <v>-36.954464289999997</v>
      </c>
      <c r="BW108">
        <v>-0.85862877599999998</v>
      </c>
      <c r="BX108">
        <v>19.09152297</v>
      </c>
      <c r="BY108">
        <v>179.85593270000001</v>
      </c>
      <c r="BZ108">
        <v>1.4744867479999999</v>
      </c>
      <c r="CA108">
        <v>41.038080229999998</v>
      </c>
      <c r="CB108">
        <v>179.85593270000001</v>
      </c>
      <c r="CC108">
        <v>2.6527080519999999</v>
      </c>
      <c r="CD108">
        <v>41.038080229999998</v>
      </c>
      <c r="CE108">
        <v>1.6963199499999999</v>
      </c>
      <c r="CF108">
        <v>1.3470499999999999E-4</v>
      </c>
      <c r="CG108">
        <v>1.6963199499999999</v>
      </c>
      <c r="CH108">
        <v>36.954464289999997</v>
      </c>
      <c r="CI108">
        <v>1.151674445</v>
      </c>
      <c r="CJ108">
        <v>19.09152297</v>
      </c>
      <c r="CK108">
        <v>1.6963199499999999</v>
      </c>
      <c r="CL108">
        <v>-36.954464289999997</v>
      </c>
      <c r="CM108">
        <v>-0.85862877599999998</v>
      </c>
      <c r="CN108">
        <v>19.09152297</v>
      </c>
      <c r="CO108">
        <v>1.3470499999999999E-4</v>
      </c>
      <c r="CP108">
        <v>179.85593270000001</v>
      </c>
      <c r="CQ108">
        <v>1.4744867479999999</v>
      </c>
      <c r="CR108">
        <v>41.038080229999998</v>
      </c>
      <c r="CS108">
        <v>1.3470499999999999E-4</v>
      </c>
      <c r="CT108">
        <v>179.85593270000001</v>
      </c>
      <c r="CU108">
        <v>2.6527080519999999</v>
      </c>
      <c r="CV108">
        <v>41.038080229999998</v>
      </c>
      <c r="CW108">
        <v>1.6963199499999999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1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1</v>
      </c>
      <c r="DZ108">
        <v>0</v>
      </c>
      <c r="EA108">
        <v>0</v>
      </c>
      <c r="EB108">
        <v>0</v>
      </c>
      <c r="EC108">
        <v>0</v>
      </c>
      <c r="ED108">
        <v>0.69314718055994495</v>
      </c>
    </row>
    <row r="109" spans="1:134" x14ac:dyDescent="0.25">
      <c r="A109" t="s">
        <v>24</v>
      </c>
      <c r="B109">
        <v>15</v>
      </c>
      <c r="C109" t="s">
        <v>25</v>
      </c>
      <c r="D109" t="s">
        <v>95</v>
      </c>
      <c r="E109" t="s">
        <v>112</v>
      </c>
      <c r="F109" t="s">
        <v>145</v>
      </c>
      <c r="G109" t="s">
        <v>261</v>
      </c>
      <c r="H109" t="s">
        <v>784</v>
      </c>
      <c r="I109" t="s">
        <v>708</v>
      </c>
      <c r="J109" t="s">
        <v>383</v>
      </c>
      <c r="K109">
        <v>1</v>
      </c>
      <c r="L109">
        <v>80</v>
      </c>
      <c r="M109">
        <v>40</v>
      </c>
      <c r="N109">
        <v>80</v>
      </c>
      <c r="O109">
        <v>40</v>
      </c>
      <c r="P109">
        <v>70</v>
      </c>
      <c r="Q109">
        <v>120</v>
      </c>
      <c r="R109">
        <v>110</v>
      </c>
      <c r="S109">
        <v>115</v>
      </c>
      <c r="T109">
        <v>1.4375</v>
      </c>
      <c r="V109" t="s">
        <v>112</v>
      </c>
      <c r="W109">
        <v>70</v>
      </c>
      <c r="X109">
        <v>11.5</v>
      </c>
      <c r="Y109">
        <v>13.5</v>
      </c>
      <c r="Z109">
        <v>11</v>
      </c>
      <c r="AA109">
        <v>12</v>
      </c>
      <c r="AB109">
        <v>12</v>
      </c>
      <c r="AC109">
        <v>12</v>
      </c>
      <c r="AD109">
        <v>12</v>
      </c>
      <c r="AE109">
        <v>12.5</v>
      </c>
      <c r="AF109">
        <v>12.16666667</v>
      </c>
      <c r="AG109">
        <v>15.4</v>
      </c>
      <c r="AH109">
        <v>15.4</v>
      </c>
      <c r="AI109">
        <v>16.899999999999999</v>
      </c>
      <c r="AJ109">
        <v>15.9</v>
      </c>
      <c r="AK109">
        <v>13.5</v>
      </c>
      <c r="AL109">
        <v>15.4</v>
      </c>
      <c r="AM109">
        <v>15.4</v>
      </c>
      <c r="AN109">
        <v>14.766666669999999</v>
      </c>
      <c r="AO109">
        <v>15.9</v>
      </c>
      <c r="AP109" t="s">
        <v>114</v>
      </c>
      <c r="AQ109" t="s">
        <v>114</v>
      </c>
      <c r="AR109" t="s">
        <v>114</v>
      </c>
      <c r="AS109" t="s">
        <v>114</v>
      </c>
      <c r="AT109" t="s">
        <v>114</v>
      </c>
      <c r="AU109" t="s">
        <v>114</v>
      </c>
      <c r="AV109" t="s">
        <v>114</v>
      </c>
      <c r="AW109" t="s">
        <v>114</v>
      </c>
      <c r="AX109" t="s">
        <v>114</v>
      </c>
      <c r="AY109" t="s">
        <v>114</v>
      </c>
      <c r="AZ109">
        <v>10</v>
      </c>
      <c r="BA109">
        <v>30</v>
      </c>
      <c r="BB109">
        <v>5</v>
      </c>
      <c r="BC109">
        <v>70</v>
      </c>
      <c r="BD109">
        <v>1</v>
      </c>
      <c r="BE109">
        <v>1</v>
      </c>
      <c r="BF109">
        <v>2</v>
      </c>
      <c r="BG109">
        <v>3</v>
      </c>
      <c r="BI109">
        <v>8.4</v>
      </c>
      <c r="BJ109">
        <v>91.049000000000007</v>
      </c>
      <c r="BK109">
        <v>0</v>
      </c>
      <c r="BL109">
        <v>22</v>
      </c>
      <c r="BM109">
        <v>19</v>
      </c>
      <c r="BN109">
        <v>63</v>
      </c>
      <c r="BO109">
        <v>31.75</v>
      </c>
      <c r="BP109">
        <v>31.25</v>
      </c>
      <c r="BQ109">
        <v>4</v>
      </c>
      <c r="BR109">
        <v>59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 t="s">
        <v>114</v>
      </c>
      <c r="BZ109" t="s">
        <v>114</v>
      </c>
      <c r="CA109" t="s">
        <v>114</v>
      </c>
      <c r="CB109" t="s">
        <v>114</v>
      </c>
      <c r="CC109" t="s">
        <v>114</v>
      </c>
      <c r="CD109" t="s">
        <v>114</v>
      </c>
      <c r="CE109">
        <v>0</v>
      </c>
      <c r="CF109" t="s">
        <v>114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 t="s">
        <v>114</v>
      </c>
      <c r="CP109" t="s">
        <v>114</v>
      </c>
      <c r="CQ109" t="s">
        <v>114</v>
      </c>
      <c r="CR109" t="s">
        <v>114</v>
      </c>
      <c r="CS109" t="s">
        <v>114</v>
      </c>
      <c r="CT109" t="s">
        <v>114</v>
      </c>
      <c r="CU109" t="s">
        <v>114</v>
      </c>
      <c r="CV109" t="s">
        <v>114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1</v>
      </c>
      <c r="EA109">
        <v>0</v>
      </c>
      <c r="EB109">
        <v>0</v>
      </c>
      <c r="EC109">
        <v>0</v>
      </c>
      <c r="ED109">
        <v>0</v>
      </c>
    </row>
    <row r="110" spans="1:134" x14ac:dyDescent="0.25">
      <c r="A110" t="s">
        <v>26</v>
      </c>
      <c r="B110">
        <v>15</v>
      </c>
      <c r="C110" t="s">
        <v>27</v>
      </c>
      <c r="D110" t="s">
        <v>95</v>
      </c>
      <c r="E110" t="s">
        <v>105</v>
      </c>
      <c r="F110" t="s">
        <v>145</v>
      </c>
      <c r="G110" t="s">
        <v>266</v>
      </c>
      <c r="H110" t="s">
        <v>760</v>
      </c>
      <c r="I110" t="s">
        <v>711</v>
      </c>
      <c r="J110" t="s">
        <v>384</v>
      </c>
      <c r="K110">
        <v>3</v>
      </c>
      <c r="L110">
        <v>60</v>
      </c>
      <c r="M110">
        <v>40</v>
      </c>
      <c r="N110">
        <v>60</v>
      </c>
      <c r="O110">
        <v>20</v>
      </c>
      <c r="P110">
        <v>65</v>
      </c>
      <c r="Q110">
        <v>65</v>
      </c>
      <c r="R110">
        <v>60</v>
      </c>
      <c r="S110">
        <v>62.5</v>
      </c>
      <c r="T110">
        <v>1.0416666670000001</v>
      </c>
      <c r="U110" t="s">
        <v>15</v>
      </c>
      <c r="V110" t="s">
        <v>102</v>
      </c>
      <c r="W110">
        <v>80</v>
      </c>
      <c r="X110">
        <v>21.8</v>
      </c>
      <c r="Y110">
        <v>19.8</v>
      </c>
      <c r="Z110">
        <v>21.3</v>
      </c>
      <c r="AA110">
        <v>20.966666669999999</v>
      </c>
      <c r="AB110">
        <v>20.966666669999999</v>
      </c>
      <c r="AC110">
        <v>24.7</v>
      </c>
      <c r="AD110">
        <v>26.7</v>
      </c>
      <c r="AE110">
        <v>25.2</v>
      </c>
      <c r="AF110">
        <v>25.533333330000001</v>
      </c>
      <c r="AG110">
        <v>26.2</v>
      </c>
      <c r="AH110">
        <v>28.2</v>
      </c>
      <c r="AI110">
        <v>28.2</v>
      </c>
      <c r="AJ110">
        <v>27.533333330000001</v>
      </c>
      <c r="AK110">
        <v>28.2</v>
      </c>
      <c r="AL110">
        <v>31.1</v>
      </c>
      <c r="AM110">
        <v>31.6</v>
      </c>
      <c r="AN110">
        <v>30.3</v>
      </c>
      <c r="AO110">
        <v>27.533333330000001</v>
      </c>
      <c r="AP110">
        <v>18.399999999999999</v>
      </c>
      <c r="AQ110">
        <v>10</v>
      </c>
      <c r="AR110">
        <v>11.5</v>
      </c>
      <c r="AS110">
        <v>13.3</v>
      </c>
      <c r="AT110">
        <v>13.9</v>
      </c>
      <c r="AU110">
        <v>13.9</v>
      </c>
      <c r="AV110">
        <v>14.9</v>
      </c>
      <c r="AW110">
        <v>14.233333330000001</v>
      </c>
      <c r="AX110">
        <v>13.3</v>
      </c>
      <c r="AY110">
        <v>-7.6666666670000003</v>
      </c>
      <c r="AZ110">
        <v>5</v>
      </c>
      <c r="BA110">
        <v>30</v>
      </c>
      <c r="BB110">
        <v>0</v>
      </c>
      <c r="BC110">
        <v>2</v>
      </c>
      <c r="BD110">
        <v>3</v>
      </c>
      <c r="BE110">
        <v>1</v>
      </c>
      <c r="BF110">
        <v>0</v>
      </c>
      <c r="BG110">
        <v>0</v>
      </c>
      <c r="BI110">
        <v>13.3</v>
      </c>
      <c r="BJ110">
        <v>46.45</v>
      </c>
      <c r="BK110">
        <v>0</v>
      </c>
      <c r="BL110">
        <v>3</v>
      </c>
      <c r="BM110">
        <v>3</v>
      </c>
      <c r="BN110">
        <v>140</v>
      </c>
      <c r="BO110">
        <v>97.333332999999996</v>
      </c>
      <c r="BP110">
        <v>42.666666999999997</v>
      </c>
      <c r="BQ110">
        <v>88</v>
      </c>
      <c r="BR110">
        <v>52</v>
      </c>
      <c r="BS110">
        <v>38.86238977</v>
      </c>
      <c r="BT110" t="s">
        <v>114</v>
      </c>
      <c r="BU110">
        <v>22.20510311</v>
      </c>
      <c r="BV110">
        <v>-38.86238977</v>
      </c>
      <c r="BW110" t="s">
        <v>114</v>
      </c>
      <c r="BX110">
        <v>22.20510311</v>
      </c>
      <c r="BY110">
        <v>843.54106899999999</v>
      </c>
      <c r="BZ110" t="s">
        <v>114</v>
      </c>
      <c r="CA110">
        <v>8.939544583</v>
      </c>
      <c r="CB110">
        <v>843.54106899999999</v>
      </c>
      <c r="CC110" t="s">
        <v>114</v>
      </c>
      <c r="CD110">
        <v>8.939544583</v>
      </c>
      <c r="CE110" t="s">
        <v>114</v>
      </c>
      <c r="CF110" t="s">
        <v>114</v>
      </c>
      <c r="CG110" t="s">
        <v>114</v>
      </c>
      <c r="CH110">
        <v>38.86238977</v>
      </c>
      <c r="CI110" t="s">
        <v>114</v>
      </c>
      <c r="CJ110">
        <v>22.20510311</v>
      </c>
      <c r="CK110" t="s">
        <v>114</v>
      </c>
      <c r="CL110">
        <v>-38.86238977</v>
      </c>
      <c r="CM110" t="s">
        <v>114</v>
      </c>
      <c r="CN110">
        <v>22.20510311</v>
      </c>
      <c r="CO110" t="s">
        <v>114</v>
      </c>
      <c r="CP110">
        <v>843.54106899999999</v>
      </c>
      <c r="CQ110" t="s">
        <v>114</v>
      </c>
      <c r="CR110">
        <v>8.939544583</v>
      </c>
      <c r="CS110" t="s">
        <v>114</v>
      </c>
      <c r="CT110">
        <v>843.54106899999999</v>
      </c>
      <c r="CU110" t="s">
        <v>114</v>
      </c>
      <c r="CV110">
        <v>8.939544583</v>
      </c>
      <c r="CW110" t="s">
        <v>114</v>
      </c>
      <c r="CX110">
        <v>1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1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1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1.09861228866811</v>
      </c>
    </row>
    <row r="111" spans="1:134" x14ac:dyDescent="0.25">
      <c r="A111" t="s">
        <v>26</v>
      </c>
      <c r="B111">
        <v>15</v>
      </c>
      <c r="C111" t="s">
        <v>27</v>
      </c>
      <c r="D111" t="s">
        <v>95</v>
      </c>
      <c r="E111" t="s">
        <v>110</v>
      </c>
      <c r="F111" t="s">
        <v>145</v>
      </c>
      <c r="G111" t="s">
        <v>262</v>
      </c>
      <c r="H111" t="s">
        <v>768</v>
      </c>
      <c r="I111" t="s">
        <v>705</v>
      </c>
      <c r="J111" t="s">
        <v>385</v>
      </c>
      <c r="K111">
        <v>9</v>
      </c>
      <c r="L111">
        <v>100</v>
      </c>
      <c r="M111">
        <v>60</v>
      </c>
      <c r="N111">
        <v>100</v>
      </c>
      <c r="O111">
        <v>40</v>
      </c>
      <c r="P111">
        <v>12</v>
      </c>
      <c r="Q111">
        <v>60</v>
      </c>
      <c r="R111">
        <v>40</v>
      </c>
      <c r="S111">
        <v>50</v>
      </c>
      <c r="T111">
        <v>0.5</v>
      </c>
      <c r="U111" t="s">
        <v>793</v>
      </c>
      <c r="V111" t="s">
        <v>111</v>
      </c>
      <c r="W111">
        <v>200</v>
      </c>
      <c r="X111">
        <v>21.8</v>
      </c>
      <c r="Y111">
        <v>19.8</v>
      </c>
      <c r="Z111">
        <v>21.3</v>
      </c>
      <c r="AA111">
        <v>20.966666669999999</v>
      </c>
      <c r="AB111">
        <v>20.966666669999999</v>
      </c>
      <c r="AC111">
        <v>25.2</v>
      </c>
      <c r="AD111">
        <v>29.2</v>
      </c>
      <c r="AE111">
        <v>28.9</v>
      </c>
      <c r="AF111">
        <v>27.766666669999999</v>
      </c>
      <c r="AG111">
        <v>26.2</v>
      </c>
      <c r="AH111">
        <v>28.2</v>
      </c>
      <c r="AI111">
        <v>28.2</v>
      </c>
      <c r="AJ111">
        <v>27.533333330000001</v>
      </c>
      <c r="AK111">
        <v>30.6</v>
      </c>
      <c r="AL111">
        <v>28.2</v>
      </c>
      <c r="AM111">
        <v>30.6</v>
      </c>
      <c r="AN111">
        <v>29.8</v>
      </c>
      <c r="AO111">
        <v>27.533333330000001</v>
      </c>
      <c r="AP111">
        <v>18.399999999999999</v>
      </c>
      <c r="AQ111">
        <v>10</v>
      </c>
      <c r="AR111">
        <v>11.5</v>
      </c>
      <c r="AS111">
        <v>13.3</v>
      </c>
      <c r="AT111">
        <v>13</v>
      </c>
      <c r="AU111">
        <v>14.9</v>
      </c>
      <c r="AV111">
        <v>13.9</v>
      </c>
      <c r="AW111">
        <v>13.93333333</v>
      </c>
      <c r="AX111">
        <v>13.3</v>
      </c>
      <c r="AY111">
        <v>-7.6666666670000003</v>
      </c>
      <c r="AZ111">
        <v>5</v>
      </c>
      <c r="BA111">
        <v>30</v>
      </c>
      <c r="BB111">
        <v>0</v>
      </c>
      <c r="BC111">
        <v>2</v>
      </c>
      <c r="BD111">
        <v>3</v>
      </c>
      <c r="BE111">
        <v>1</v>
      </c>
      <c r="BF111">
        <v>0</v>
      </c>
      <c r="BG111">
        <v>0</v>
      </c>
      <c r="BI111">
        <v>13.3</v>
      </c>
      <c r="BJ111">
        <v>46.45</v>
      </c>
      <c r="BK111">
        <v>0</v>
      </c>
      <c r="BL111">
        <v>6</v>
      </c>
      <c r="BM111">
        <v>6</v>
      </c>
      <c r="BN111">
        <v>6</v>
      </c>
      <c r="BO111">
        <v>4.6666670000000003</v>
      </c>
      <c r="BP111">
        <v>1.3333330000000001</v>
      </c>
      <c r="BQ111">
        <v>1</v>
      </c>
      <c r="BR111">
        <v>5</v>
      </c>
      <c r="BS111">
        <v>43.91234472</v>
      </c>
      <c r="BT111" t="s">
        <v>114</v>
      </c>
      <c r="BU111">
        <v>10.439138529999999</v>
      </c>
      <c r="BV111">
        <v>-43.91234472</v>
      </c>
      <c r="BW111" t="s">
        <v>114</v>
      </c>
      <c r="BX111">
        <v>10.439138529999999</v>
      </c>
      <c r="BY111">
        <v>985.83857790000002</v>
      </c>
      <c r="BZ111" t="s">
        <v>114</v>
      </c>
      <c r="CA111">
        <v>0.18147433299999999</v>
      </c>
      <c r="CB111">
        <v>985.83857790000002</v>
      </c>
      <c r="CC111" t="s">
        <v>114</v>
      </c>
      <c r="CD111">
        <v>0.18147433299999999</v>
      </c>
      <c r="CE111" t="s">
        <v>114</v>
      </c>
      <c r="CF111" t="s">
        <v>114</v>
      </c>
      <c r="CG111" t="s">
        <v>114</v>
      </c>
      <c r="CH111">
        <v>61.18040027</v>
      </c>
      <c r="CI111" t="s">
        <v>114</v>
      </c>
      <c r="CJ111">
        <v>10.6734255</v>
      </c>
      <c r="CK111" t="s">
        <v>114</v>
      </c>
      <c r="CL111">
        <v>-61.18040027</v>
      </c>
      <c r="CM111" t="s">
        <v>114</v>
      </c>
      <c r="CN111">
        <v>10.6734255</v>
      </c>
      <c r="CO111" t="s">
        <v>114</v>
      </c>
      <c r="CP111">
        <v>219.07523950000001</v>
      </c>
      <c r="CQ111" t="s">
        <v>114</v>
      </c>
      <c r="CR111">
        <v>4.0327628999999997E-2</v>
      </c>
      <c r="CS111" t="s">
        <v>114</v>
      </c>
      <c r="CT111">
        <v>219.07523950000001</v>
      </c>
      <c r="CU111" t="s">
        <v>114</v>
      </c>
      <c r="CV111">
        <v>4.0327628999999997E-2</v>
      </c>
      <c r="CW111" t="s">
        <v>114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8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1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0.34883209584303199</v>
      </c>
    </row>
    <row r="112" spans="1:134" x14ac:dyDescent="0.25">
      <c r="A112" t="s">
        <v>26</v>
      </c>
      <c r="B112">
        <v>15</v>
      </c>
      <c r="C112" t="s">
        <v>27</v>
      </c>
      <c r="D112" t="s">
        <v>95</v>
      </c>
      <c r="E112" t="s">
        <v>111</v>
      </c>
      <c r="F112" t="s">
        <v>145</v>
      </c>
      <c r="G112" t="s">
        <v>263</v>
      </c>
      <c r="H112" t="s">
        <v>776</v>
      </c>
      <c r="I112" t="s">
        <v>706</v>
      </c>
      <c r="J112" t="s">
        <v>386</v>
      </c>
      <c r="K112">
        <v>6</v>
      </c>
      <c r="L112">
        <v>190</v>
      </c>
      <c r="M112">
        <v>180</v>
      </c>
      <c r="N112">
        <v>190</v>
      </c>
      <c r="O112">
        <v>10</v>
      </c>
      <c r="P112">
        <v>60</v>
      </c>
      <c r="Q112">
        <v>60</v>
      </c>
      <c r="R112">
        <v>30</v>
      </c>
      <c r="S112">
        <v>45</v>
      </c>
      <c r="T112">
        <v>0.236842105</v>
      </c>
      <c r="U112" t="s">
        <v>15</v>
      </c>
      <c r="V112" t="s">
        <v>102</v>
      </c>
      <c r="W112">
        <v>170</v>
      </c>
      <c r="X112">
        <v>21.8</v>
      </c>
      <c r="Y112">
        <v>19.8</v>
      </c>
      <c r="Z112">
        <v>21.3</v>
      </c>
      <c r="AA112">
        <v>20.966666669999999</v>
      </c>
      <c r="AB112">
        <v>20.966666669999999</v>
      </c>
      <c r="AC112">
        <v>15.4</v>
      </c>
      <c r="AD112">
        <v>14.4</v>
      </c>
      <c r="AE112">
        <v>15.9</v>
      </c>
      <c r="AF112">
        <v>15.233333330000001</v>
      </c>
      <c r="AG112">
        <v>26.2</v>
      </c>
      <c r="AH112">
        <v>28.2</v>
      </c>
      <c r="AI112">
        <v>28.2</v>
      </c>
      <c r="AJ112">
        <v>27.533333330000001</v>
      </c>
      <c r="AK112">
        <v>18.399999999999999</v>
      </c>
      <c r="AL112">
        <v>19.8</v>
      </c>
      <c r="AM112">
        <v>20.8</v>
      </c>
      <c r="AN112">
        <v>19.666666670000001</v>
      </c>
      <c r="AO112">
        <v>27.533333330000001</v>
      </c>
      <c r="AP112">
        <v>18.399999999999999</v>
      </c>
      <c r="AQ112">
        <v>10</v>
      </c>
      <c r="AR112">
        <v>11.5</v>
      </c>
      <c r="AS112">
        <v>13.3</v>
      </c>
      <c r="AT112">
        <v>7.1</v>
      </c>
      <c r="AU112">
        <v>7.1</v>
      </c>
      <c r="AV112">
        <v>6.6</v>
      </c>
      <c r="AW112">
        <v>6.9333333330000002</v>
      </c>
      <c r="AX112">
        <v>13.3</v>
      </c>
      <c r="AY112">
        <v>-7.6666666670000003</v>
      </c>
      <c r="AZ112">
        <v>5</v>
      </c>
      <c r="BA112">
        <v>30</v>
      </c>
      <c r="BB112">
        <v>0</v>
      </c>
      <c r="BC112">
        <v>2</v>
      </c>
      <c r="BD112">
        <v>3</v>
      </c>
      <c r="BE112">
        <v>1</v>
      </c>
      <c r="BF112">
        <v>0</v>
      </c>
      <c r="BG112">
        <v>0</v>
      </c>
      <c r="BI112">
        <v>13.3</v>
      </c>
      <c r="BJ112">
        <v>46.45</v>
      </c>
      <c r="BK112">
        <v>0</v>
      </c>
      <c r="BL112">
        <v>7</v>
      </c>
      <c r="BM112">
        <v>2</v>
      </c>
      <c r="BN112">
        <v>31</v>
      </c>
      <c r="BO112">
        <v>731.75</v>
      </c>
      <c r="BP112">
        <v>-700.75</v>
      </c>
      <c r="BQ112">
        <v>608</v>
      </c>
      <c r="BR112">
        <v>-577</v>
      </c>
      <c r="BS112">
        <v>23.24189814</v>
      </c>
      <c r="BT112" t="s">
        <v>114</v>
      </c>
      <c r="BU112">
        <v>3.011045668</v>
      </c>
      <c r="BV112">
        <v>-8.1408399399999993</v>
      </c>
      <c r="BW112" t="s">
        <v>114</v>
      </c>
      <c r="BX112">
        <v>-2.7098195629999999</v>
      </c>
      <c r="BY112">
        <v>217.20610569999999</v>
      </c>
      <c r="BZ112" t="s">
        <v>114</v>
      </c>
      <c r="CA112">
        <v>4.0681153070000002</v>
      </c>
      <c r="CB112">
        <v>849.08951130000003</v>
      </c>
      <c r="CC112" t="s">
        <v>114</v>
      </c>
      <c r="CD112">
        <v>6.3658139069999997</v>
      </c>
      <c r="CE112" t="s">
        <v>114</v>
      </c>
      <c r="CF112" t="s">
        <v>114</v>
      </c>
      <c r="CG112" t="s">
        <v>114</v>
      </c>
      <c r="CH112">
        <v>30.295789240000001</v>
      </c>
      <c r="CI112" t="s">
        <v>114</v>
      </c>
      <c r="CJ112">
        <v>2.2081811820000001</v>
      </c>
      <c r="CK112" t="s">
        <v>114</v>
      </c>
      <c r="CL112">
        <v>-20.228417100000001</v>
      </c>
      <c r="CM112" t="s">
        <v>114</v>
      </c>
      <c r="CN112">
        <v>-1.6057289720000001</v>
      </c>
      <c r="CO112" t="s">
        <v>114</v>
      </c>
      <c r="CP112">
        <v>249.74137450000001</v>
      </c>
      <c r="CQ112" t="s">
        <v>114</v>
      </c>
      <c r="CR112">
        <v>3.9878885020000001</v>
      </c>
      <c r="CS112" t="s">
        <v>114</v>
      </c>
      <c r="CT112">
        <v>860.11655880000001</v>
      </c>
      <c r="CU112" t="s">
        <v>114</v>
      </c>
      <c r="CV112">
        <v>6.7451268229999997</v>
      </c>
      <c r="CW112" t="s">
        <v>114</v>
      </c>
      <c r="CX112">
        <v>1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3</v>
      </c>
      <c r="DF112">
        <v>1</v>
      </c>
      <c r="DG112">
        <v>0</v>
      </c>
      <c r="DH112">
        <v>0</v>
      </c>
      <c r="DI112">
        <v>1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1.242453324894</v>
      </c>
    </row>
    <row r="113" spans="1:134" x14ac:dyDescent="0.25">
      <c r="A113" t="s">
        <v>28</v>
      </c>
      <c r="B113">
        <v>15</v>
      </c>
      <c r="C113" t="s">
        <v>29</v>
      </c>
      <c r="D113" t="s">
        <v>94</v>
      </c>
      <c r="E113" t="s">
        <v>113</v>
      </c>
      <c r="F113" t="s">
        <v>145</v>
      </c>
      <c r="G113" t="s">
        <v>259</v>
      </c>
      <c r="H113" t="s">
        <v>763</v>
      </c>
      <c r="I113" t="s">
        <v>709</v>
      </c>
      <c r="J113" t="s">
        <v>387</v>
      </c>
      <c r="K113">
        <v>16</v>
      </c>
      <c r="L113">
        <v>60</v>
      </c>
      <c r="M113">
        <v>60</v>
      </c>
      <c r="N113">
        <v>60</v>
      </c>
      <c r="O113">
        <v>0</v>
      </c>
      <c r="P113">
        <v>4</v>
      </c>
      <c r="Q113">
        <v>4</v>
      </c>
      <c r="R113">
        <v>2</v>
      </c>
      <c r="S113">
        <v>3</v>
      </c>
      <c r="T113">
        <v>0.05</v>
      </c>
      <c r="U113" t="s">
        <v>15</v>
      </c>
      <c r="V113" t="s">
        <v>113</v>
      </c>
      <c r="W113">
        <v>30</v>
      </c>
      <c r="X113">
        <v>12.5</v>
      </c>
      <c r="Y113">
        <v>13</v>
      </c>
      <c r="Z113">
        <v>11.5</v>
      </c>
      <c r="AA113">
        <v>12.33333333</v>
      </c>
      <c r="AB113">
        <v>12.33333333</v>
      </c>
      <c r="AC113">
        <v>11.5</v>
      </c>
      <c r="AD113">
        <v>12</v>
      </c>
      <c r="AE113">
        <v>12</v>
      </c>
      <c r="AF113">
        <v>11.83333333</v>
      </c>
      <c r="AG113">
        <v>15.4</v>
      </c>
      <c r="AH113">
        <v>16.399999999999999</v>
      </c>
      <c r="AI113">
        <v>16.899999999999999</v>
      </c>
      <c r="AJ113">
        <v>16.233333330000001</v>
      </c>
      <c r="AK113">
        <v>13.9</v>
      </c>
      <c r="AL113">
        <v>14.4</v>
      </c>
      <c r="AM113">
        <v>15.9</v>
      </c>
      <c r="AN113">
        <v>14.733333330000001</v>
      </c>
      <c r="AO113">
        <v>16.233333330000001</v>
      </c>
      <c r="AP113">
        <v>4.0999999999999996</v>
      </c>
      <c r="AQ113">
        <v>4.5999999999999996</v>
      </c>
      <c r="AR113">
        <v>4.5999999999999996</v>
      </c>
      <c r="AS113">
        <v>4.4333333330000002</v>
      </c>
      <c r="AT113">
        <v>3.1</v>
      </c>
      <c r="AU113">
        <v>4.5999999999999996</v>
      </c>
      <c r="AV113">
        <v>4.0999999999999996</v>
      </c>
      <c r="AW113">
        <v>3.9333333330000002</v>
      </c>
      <c r="AX113">
        <v>4.4333333330000002</v>
      </c>
      <c r="AY113">
        <v>-7.9</v>
      </c>
      <c r="AZ113">
        <v>10</v>
      </c>
      <c r="BA113">
        <v>60</v>
      </c>
      <c r="BB113">
        <v>1</v>
      </c>
      <c r="BC113">
        <v>2</v>
      </c>
      <c r="BD113">
        <v>1</v>
      </c>
      <c r="BE113">
        <v>0</v>
      </c>
      <c r="BF113">
        <v>0</v>
      </c>
      <c r="BG113">
        <v>0</v>
      </c>
      <c r="BI113">
        <v>11.1</v>
      </c>
      <c r="BJ113">
        <v>7.282</v>
      </c>
      <c r="BK113">
        <v>0</v>
      </c>
      <c r="BL113">
        <v>1</v>
      </c>
      <c r="BM113">
        <v>1</v>
      </c>
      <c r="BN113" t="s">
        <v>114</v>
      </c>
      <c r="BO113">
        <v>8.5</v>
      </c>
      <c r="BP113" t="s">
        <v>114</v>
      </c>
      <c r="BQ113">
        <v>17</v>
      </c>
      <c r="BR113" t="s">
        <v>114</v>
      </c>
      <c r="BS113">
        <v>8.70725047</v>
      </c>
      <c r="BT113">
        <v>0.34996620099999998</v>
      </c>
      <c r="BU113">
        <v>6.5472996979999998</v>
      </c>
      <c r="BV113">
        <v>0.27601502</v>
      </c>
      <c r="BW113">
        <v>0.33523620100000001</v>
      </c>
      <c r="BX113">
        <v>-6.5472996979999998</v>
      </c>
      <c r="BY113">
        <v>99.449193870000002</v>
      </c>
      <c r="BZ113">
        <v>0.15093572199999999</v>
      </c>
      <c r="CA113">
        <v>105.7036344</v>
      </c>
      <c r="CB113">
        <v>200.4358958</v>
      </c>
      <c r="CC113">
        <v>0.16439309699999999</v>
      </c>
      <c r="CD113">
        <v>105.7036344</v>
      </c>
      <c r="CE113">
        <v>6.7264044999999995E-2</v>
      </c>
      <c r="CF113">
        <v>1.2448467E-2</v>
      </c>
      <c r="CG113">
        <v>3.9389469000000003E-2</v>
      </c>
      <c r="CH113">
        <v>2.290594665</v>
      </c>
      <c r="CI113">
        <v>0.58447508299999995</v>
      </c>
      <c r="CJ113">
        <v>16.561869560000002</v>
      </c>
      <c r="CK113">
        <v>1.4881317999999999E-2</v>
      </c>
      <c r="CL113">
        <v>-4.4778291999999997E-2</v>
      </c>
      <c r="CM113">
        <v>0.58079258300000003</v>
      </c>
      <c r="CN113">
        <v>-16.561869560000002</v>
      </c>
      <c r="CO113">
        <v>1.877774E-3</v>
      </c>
      <c r="CP113">
        <v>34.530969259999999</v>
      </c>
      <c r="CQ113">
        <v>8.1675115000000006E-2</v>
      </c>
      <c r="CR113">
        <v>85.600865339999999</v>
      </c>
      <c r="CS113">
        <v>3.2965220000000001E-3</v>
      </c>
      <c r="CT113">
        <v>40.125442669999998</v>
      </c>
      <c r="CU113">
        <v>8.6252286999999997E-2</v>
      </c>
      <c r="CV113">
        <v>85.600865339999999</v>
      </c>
      <c r="CW113">
        <v>-3.076856E-2</v>
      </c>
      <c r="CX113">
        <v>0</v>
      </c>
      <c r="CY113">
        <v>0</v>
      </c>
      <c r="CZ113">
        <v>0</v>
      </c>
      <c r="DA113">
        <v>12</v>
      </c>
      <c r="DB113">
        <v>0</v>
      </c>
      <c r="DC113">
        <v>1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2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1</v>
      </c>
      <c r="EC113">
        <v>0</v>
      </c>
      <c r="ED113">
        <v>0.82226533732878804</v>
      </c>
    </row>
    <row r="114" spans="1:134" x14ac:dyDescent="0.25">
      <c r="A114" t="s">
        <v>28</v>
      </c>
      <c r="B114">
        <v>15</v>
      </c>
      <c r="C114" t="s">
        <v>29</v>
      </c>
      <c r="D114" t="s">
        <v>94</v>
      </c>
      <c r="E114" t="s">
        <v>103</v>
      </c>
      <c r="F114" t="s">
        <v>145</v>
      </c>
      <c r="G114" t="s">
        <v>260</v>
      </c>
      <c r="H114" t="s">
        <v>771</v>
      </c>
      <c r="I114" t="s">
        <v>700</v>
      </c>
      <c r="J114" t="s">
        <v>388</v>
      </c>
      <c r="K114">
        <v>3</v>
      </c>
      <c r="L114">
        <v>75</v>
      </c>
      <c r="M114">
        <v>25</v>
      </c>
      <c r="N114">
        <v>75</v>
      </c>
      <c r="O114">
        <v>50</v>
      </c>
      <c r="P114">
        <v>20</v>
      </c>
      <c r="Q114">
        <v>10</v>
      </c>
      <c r="R114">
        <v>0</v>
      </c>
      <c r="S114">
        <v>5</v>
      </c>
      <c r="T114">
        <v>6.6666666999999999E-2</v>
      </c>
      <c r="U114" t="s">
        <v>15</v>
      </c>
      <c r="V114" t="s">
        <v>103</v>
      </c>
      <c r="W114">
        <v>50</v>
      </c>
      <c r="X114">
        <v>12.5</v>
      </c>
      <c r="Y114">
        <v>13</v>
      </c>
      <c r="Z114">
        <v>11.5</v>
      </c>
      <c r="AA114">
        <v>12.33333333</v>
      </c>
      <c r="AB114">
        <v>12.33333333</v>
      </c>
      <c r="AC114">
        <v>12.5</v>
      </c>
      <c r="AD114">
        <v>12</v>
      </c>
      <c r="AE114">
        <v>9.5</v>
      </c>
      <c r="AF114">
        <v>11.33333333</v>
      </c>
      <c r="AG114">
        <v>15.4</v>
      </c>
      <c r="AH114">
        <v>16.399999999999999</v>
      </c>
      <c r="AI114">
        <v>16.899999999999999</v>
      </c>
      <c r="AJ114">
        <v>16.233333330000001</v>
      </c>
      <c r="AK114">
        <v>15.4</v>
      </c>
      <c r="AL114">
        <v>13</v>
      </c>
      <c r="AM114">
        <v>14.4</v>
      </c>
      <c r="AN114">
        <v>14.266666669999999</v>
      </c>
      <c r="AO114">
        <v>16.233333330000001</v>
      </c>
      <c r="AP114">
        <v>4.0999999999999996</v>
      </c>
      <c r="AQ114">
        <v>4.5999999999999996</v>
      </c>
      <c r="AR114">
        <v>4.5999999999999996</v>
      </c>
      <c r="AS114">
        <v>4.4333333330000002</v>
      </c>
      <c r="AT114">
        <v>4.5999999999999996</v>
      </c>
      <c r="AU114">
        <v>3.1</v>
      </c>
      <c r="AV114">
        <v>4.0999999999999996</v>
      </c>
      <c r="AW114">
        <v>3.9333333330000002</v>
      </c>
      <c r="AX114">
        <v>4.4333333330000002</v>
      </c>
      <c r="AY114">
        <v>-7.9</v>
      </c>
      <c r="AZ114">
        <v>10</v>
      </c>
      <c r="BA114">
        <v>60</v>
      </c>
      <c r="BB114">
        <v>1</v>
      </c>
      <c r="BC114">
        <v>2</v>
      </c>
      <c r="BD114">
        <v>1</v>
      </c>
      <c r="BE114">
        <v>0</v>
      </c>
      <c r="BF114">
        <v>0</v>
      </c>
      <c r="BG114">
        <v>0</v>
      </c>
      <c r="BI114">
        <v>11.1</v>
      </c>
      <c r="BJ114">
        <v>7.282</v>
      </c>
      <c r="BK114">
        <v>0</v>
      </c>
      <c r="BL114">
        <v>1</v>
      </c>
      <c r="BM114">
        <v>1</v>
      </c>
      <c r="BN114">
        <v>43</v>
      </c>
      <c r="BO114">
        <v>274</v>
      </c>
      <c r="BP114">
        <v>-231</v>
      </c>
      <c r="BQ114">
        <v>146</v>
      </c>
      <c r="BR114">
        <v>-103</v>
      </c>
      <c r="BS114">
        <v>6.775462965</v>
      </c>
      <c r="BT114">
        <v>0.53309075800000005</v>
      </c>
      <c r="BU114">
        <v>0.57405837000000004</v>
      </c>
      <c r="BV114">
        <v>6.775462965</v>
      </c>
      <c r="BW114">
        <v>-0.53309075800000005</v>
      </c>
      <c r="BX114">
        <v>0.57405837000000004</v>
      </c>
      <c r="BY114">
        <v>91.813796780000004</v>
      </c>
      <c r="BZ114">
        <v>0.56837151299999999</v>
      </c>
      <c r="CA114">
        <v>0.65908602400000005</v>
      </c>
      <c r="CB114">
        <v>91.813796780000004</v>
      </c>
      <c r="CC114">
        <v>0.56837151299999999</v>
      </c>
      <c r="CD114">
        <v>0.65908602400000005</v>
      </c>
      <c r="CE114">
        <v>0.36424459999999997</v>
      </c>
      <c r="CF114">
        <v>0.26534825699999998</v>
      </c>
      <c r="CG114">
        <v>0.24282973299999999</v>
      </c>
      <c r="CH114">
        <v>4.5169753100000003</v>
      </c>
      <c r="CI114">
        <v>0.35539383899999999</v>
      </c>
      <c r="CJ114">
        <v>0.38270557999999999</v>
      </c>
      <c r="CK114">
        <v>-0.24282973299999999</v>
      </c>
      <c r="CL114">
        <v>4.5169753100000003</v>
      </c>
      <c r="CM114">
        <v>-0.35539383899999999</v>
      </c>
      <c r="CN114">
        <v>0.38270557999999999</v>
      </c>
      <c r="CO114">
        <v>0.176898838</v>
      </c>
      <c r="CP114">
        <v>61.209197850000002</v>
      </c>
      <c r="CQ114">
        <v>0.37891434200000002</v>
      </c>
      <c r="CR114">
        <v>0.439390683</v>
      </c>
      <c r="CS114">
        <v>0.176898838</v>
      </c>
      <c r="CT114">
        <v>61.209197850000002</v>
      </c>
      <c r="CU114">
        <v>0.37891434200000002</v>
      </c>
      <c r="CV114">
        <v>0.439390683</v>
      </c>
      <c r="CW114">
        <v>-0.36424459999999997</v>
      </c>
      <c r="CX114">
        <v>1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2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0.636514168294813</v>
      </c>
    </row>
    <row r="115" spans="1:134" x14ac:dyDescent="0.25">
      <c r="A115" t="s">
        <v>28</v>
      </c>
      <c r="B115">
        <v>15</v>
      </c>
      <c r="C115" t="s">
        <v>29</v>
      </c>
      <c r="D115" t="s">
        <v>94</v>
      </c>
      <c r="E115" t="s">
        <v>111</v>
      </c>
      <c r="F115" t="s">
        <v>145</v>
      </c>
      <c r="G115" t="s">
        <v>263</v>
      </c>
      <c r="H115" t="s">
        <v>775</v>
      </c>
      <c r="I115" t="s">
        <v>703</v>
      </c>
      <c r="J115" t="s">
        <v>389</v>
      </c>
      <c r="K115">
        <v>5</v>
      </c>
      <c r="L115">
        <v>320</v>
      </c>
      <c r="M115">
        <v>200</v>
      </c>
      <c r="N115">
        <v>320</v>
      </c>
      <c r="O115">
        <v>120</v>
      </c>
      <c r="P115">
        <v>110</v>
      </c>
      <c r="Q115">
        <v>250</v>
      </c>
      <c r="R115">
        <v>200</v>
      </c>
      <c r="S115">
        <v>225</v>
      </c>
      <c r="T115">
        <v>0.703125</v>
      </c>
      <c r="U115" t="s">
        <v>15</v>
      </c>
      <c r="V115" t="s">
        <v>121</v>
      </c>
      <c r="W115" t="s">
        <v>114</v>
      </c>
      <c r="X115">
        <v>12.5</v>
      </c>
      <c r="Y115">
        <v>13</v>
      </c>
      <c r="Z115">
        <v>11.5</v>
      </c>
      <c r="AA115">
        <v>12.33333333</v>
      </c>
      <c r="AB115">
        <v>12.33333333</v>
      </c>
      <c r="AC115">
        <v>11.5</v>
      </c>
      <c r="AD115">
        <v>11.5</v>
      </c>
      <c r="AE115">
        <v>12.5</v>
      </c>
      <c r="AF115">
        <v>11.83333333</v>
      </c>
      <c r="AG115">
        <v>15.4</v>
      </c>
      <c r="AH115">
        <v>16.399999999999999</v>
      </c>
      <c r="AI115">
        <v>16.899999999999999</v>
      </c>
      <c r="AJ115">
        <v>16.233333330000001</v>
      </c>
      <c r="AK115">
        <v>15.9</v>
      </c>
      <c r="AL115">
        <v>14.4</v>
      </c>
      <c r="AM115">
        <v>16.399999999999999</v>
      </c>
      <c r="AN115">
        <v>15.56666667</v>
      </c>
      <c r="AO115">
        <v>16.233333330000001</v>
      </c>
      <c r="AP115">
        <v>4.0999999999999996</v>
      </c>
      <c r="AQ115">
        <v>4.5999999999999996</v>
      </c>
      <c r="AR115">
        <v>4.5999999999999996</v>
      </c>
      <c r="AS115">
        <v>4.4333333330000002</v>
      </c>
      <c r="AT115">
        <v>3.6</v>
      </c>
      <c r="AU115">
        <v>4.5999999999999996</v>
      </c>
      <c r="AV115">
        <v>4.0999999999999996</v>
      </c>
      <c r="AW115">
        <v>4.0999999999999996</v>
      </c>
      <c r="AX115">
        <v>4.4333333330000002</v>
      </c>
      <c r="AY115">
        <v>-7.9</v>
      </c>
      <c r="AZ115">
        <v>10</v>
      </c>
      <c r="BA115">
        <v>60</v>
      </c>
      <c r="BB115">
        <v>1</v>
      </c>
      <c r="BC115">
        <v>2</v>
      </c>
      <c r="BD115">
        <v>1</v>
      </c>
      <c r="BE115">
        <v>0</v>
      </c>
      <c r="BF115">
        <v>0</v>
      </c>
      <c r="BG115">
        <v>0</v>
      </c>
      <c r="BI115">
        <v>11.1</v>
      </c>
      <c r="BJ115">
        <v>7.282</v>
      </c>
      <c r="BK115">
        <v>0</v>
      </c>
      <c r="BL115">
        <v>30</v>
      </c>
      <c r="BM115">
        <v>23</v>
      </c>
      <c r="BN115">
        <v>2038</v>
      </c>
      <c r="BO115">
        <v>2240.3332999999998</v>
      </c>
      <c r="BP115">
        <v>-202.33330000000001</v>
      </c>
      <c r="BQ115">
        <v>1382</v>
      </c>
      <c r="BR115">
        <v>656</v>
      </c>
      <c r="BS115">
        <v>17.147529420000001</v>
      </c>
      <c r="BT115">
        <v>0.25483863800000001</v>
      </c>
      <c r="BU115">
        <v>7.6932939830000002</v>
      </c>
      <c r="BV115">
        <v>17.147529420000001</v>
      </c>
      <c r="BW115">
        <v>-0.14908728800000001</v>
      </c>
      <c r="BX115">
        <v>-5.6421843970000003</v>
      </c>
      <c r="BY115">
        <v>108.5990359</v>
      </c>
      <c r="BZ115">
        <v>9.3847198000000007E-2</v>
      </c>
      <c r="CA115">
        <v>113.6787558</v>
      </c>
      <c r="CB115">
        <v>108.5990359</v>
      </c>
      <c r="CC115">
        <v>0.15792076599999999</v>
      </c>
      <c r="CD115">
        <v>154.7075471</v>
      </c>
      <c r="CE115">
        <v>0.20182482299999999</v>
      </c>
      <c r="CF115">
        <v>4.57379E-4</v>
      </c>
      <c r="CG115">
        <v>0.19209269400000001</v>
      </c>
      <c r="CH115">
        <v>14.77405877</v>
      </c>
      <c r="CI115">
        <v>0.39525873900000003</v>
      </c>
      <c r="CJ115">
        <v>5.2983516939999999</v>
      </c>
      <c r="CK115">
        <v>0.19209269400000001</v>
      </c>
      <c r="CL115">
        <v>14.77405877</v>
      </c>
      <c r="CM115">
        <v>-0.33180792799999997</v>
      </c>
      <c r="CN115">
        <v>-2.7029353340000002</v>
      </c>
      <c r="CO115">
        <v>4.06279E-4</v>
      </c>
      <c r="CP115">
        <v>64.862073390000006</v>
      </c>
      <c r="CQ115">
        <v>8.3894482000000006E-2</v>
      </c>
      <c r="CR115">
        <v>67.593906480000001</v>
      </c>
      <c r="CS115">
        <v>4.06279E-4</v>
      </c>
      <c r="CT115">
        <v>64.862073390000006</v>
      </c>
      <c r="CU115">
        <v>0.14156069399999999</v>
      </c>
      <c r="CV115">
        <v>93.552245549999995</v>
      </c>
      <c r="CW115">
        <v>0.20182482299999999</v>
      </c>
      <c r="CX115">
        <v>0</v>
      </c>
      <c r="CY115">
        <v>0</v>
      </c>
      <c r="CZ115">
        <v>0</v>
      </c>
      <c r="DA115">
        <v>1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3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1</v>
      </c>
      <c r="EC115">
        <v>0</v>
      </c>
      <c r="ED115">
        <v>0.95027053923323501</v>
      </c>
    </row>
    <row r="116" spans="1:134" x14ac:dyDescent="0.25">
      <c r="A116" t="s">
        <v>28</v>
      </c>
      <c r="B116">
        <v>15</v>
      </c>
      <c r="C116" t="s">
        <v>29</v>
      </c>
      <c r="D116" t="s">
        <v>94</v>
      </c>
      <c r="E116" t="s">
        <v>112</v>
      </c>
      <c r="F116" t="s">
        <v>145</v>
      </c>
      <c r="G116" t="s">
        <v>261</v>
      </c>
      <c r="H116" t="s">
        <v>783</v>
      </c>
      <c r="I116" t="s">
        <v>713</v>
      </c>
      <c r="J116" t="s">
        <v>390</v>
      </c>
      <c r="K116">
        <v>13</v>
      </c>
      <c r="L116">
        <v>110</v>
      </c>
      <c r="M116">
        <v>40</v>
      </c>
      <c r="N116">
        <v>110</v>
      </c>
      <c r="O116">
        <v>70</v>
      </c>
      <c r="P116">
        <v>60</v>
      </c>
      <c r="Q116">
        <v>130</v>
      </c>
      <c r="R116">
        <v>120</v>
      </c>
      <c r="S116">
        <v>125</v>
      </c>
      <c r="T116">
        <v>1.136363636</v>
      </c>
      <c r="U116" t="s">
        <v>792</v>
      </c>
      <c r="V116" t="s">
        <v>103</v>
      </c>
      <c r="W116">
        <v>10</v>
      </c>
      <c r="X116">
        <v>12.5</v>
      </c>
      <c r="Y116">
        <v>13</v>
      </c>
      <c r="Z116">
        <v>11.5</v>
      </c>
      <c r="AA116">
        <v>12.33333333</v>
      </c>
      <c r="AB116">
        <v>12.33333333</v>
      </c>
      <c r="AC116">
        <v>11.5</v>
      </c>
      <c r="AD116">
        <v>12</v>
      </c>
      <c r="AE116">
        <v>13.5</v>
      </c>
      <c r="AF116">
        <v>12.33333333</v>
      </c>
      <c r="AG116">
        <v>15.4</v>
      </c>
      <c r="AH116">
        <v>16.399999999999999</v>
      </c>
      <c r="AI116">
        <v>16.899999999999999</v>
      </c>
      <c r="AJ116">
        <v>16.233333330000001</v>
      </c>
      <c r="AK116">
        <v>16.899999999999999</v>
      </c>
      <c r="AL116">
        <v>13.5</v>
      </c>
      <c r="AM116">
        <v>17.399999999999999</v>
      </c>
      <c r="AN116">
        <v>15.93333333</v>
      </c>
      <c r="AO116">
        <v>16.233333330000001</v>
      </c>
      <c r="AP116">
        <v>4.0999999999999996</v>
      </c>
      <c r="AQ116">
        <v>4.5999999999999996</v>
      </c>
      <c r="AR116">
        <v>4.5999999999999996</v>
      </c>
      <c r="AS116">
        <v>4.4333333330000002</v>
      </c>
      <c r="AT116">
        <v>4.5999999999999996</v>
      </c>
      <c r="AU116">
        <v>4.5999999999999996</v>
      </c>
      <c r="AV116">
        <v>5.0999999999999996</v>
      </c>
      <c r="AW116">
        <v>4.766666667</v>
      </c>
      <c r="AX116">
        <v>4.4333333330000002</v>
      </c>
      <c r="AY116">
        <v>-7.9</v>
      </c>
      <c r="AZ116">
        <v>10</v>
      </c>
      <c r="BA116">
        <v>60</v>
      </c>
      <c r="BB116">
        <v>1</v>
      </c>
      <c r="BC116">
        <v>2</v>
      </c>
      <c r="BD116">
        <v>1</v>
      </c>
      <c r="BE116">
        <v>0</v>
      </c>
      <c r="BF116">
        <v>0</v>
      </c>
      <c r="BG116">
        <v>0</v>
      </c>
      <c r="BI116">
        <v>11.1</v>
      </c>
      <c r="BJ116">
        <v>7.282</v>
      </c>
      <c r="BK116">
        <v>0</v>
      </c>
      <c r="BL116">
        <v>63</v>
      </c>
      <c r="BM116">
        <v>63</v>
      </c>
      <c r="BN116">
        <v>213</v>
      </c>
      <c r="BO116">
        <v>76</v>
      </c>
      <c r="BP116">
        <v>137</v>
      </c>
      <c r="BQ116">
        <v>41</v>
      </c>
      <c r="BR116">
        <v>172</v>
      </c>
      <c r="BS116">
        <v>23.563689780000001</v>
      </c>
      <c r="BT116">
        <v>2.0264016630000001</v>
      </c>
      <c r="BU116">
        <v>9.7631258800000005</v>
      </c>
      <c r="BV116">
        <v>-23.563689780000001</v>
      </c>
      <c r="BW116">
        <v>2.0264016630000001</v>
      </c>
      <c r="BX116">
        <v>5.4806038130000001</v>
      </c>
      <c r="BY116">
        <v>69.620593439999993</v>
      </c>
      <c r="BZ116">
        <v>0.16405130700000001</v>
      </c>
      <c r="CA116">
        <v>23.205745329999999</v>
      </c>
      <c r="CB116">
        <v>69.620593439999993</v>
      </c>
      <c r="CC116">
        <v>0.16405130700000001</v>
      </c>
      <c r="CD116">
        <v>121.1281585</v>
      </c>
      <c r="CE116">
        <v>1.9372262730000001</v>
      </c>
      <c r="CF116">
        <v>1.8220809000000001E-2</v>
      </c>
      <c r="CG116">
        <v>1.9393880889999999</v>
      </c>
      <c r="CH116">
        <v>23.174046310000001</v>
      </c>
      <c r="CI116">
        <v>1.934874046</v>
      </c>
      <c r="CJ116">
        <v>10.86957484</v>
      </c>
      <c r="CK116">
        <v>1.9393880889999999</v>
      </c>
      <c r="CL116">
        <v>-23.174046310000001</v>
      </c>
      <c r="CM116">
        <v>1.934874046</v>
      </c>
      <c r="CN116">
        <v>7.9047518710000002</v>
      </c>
      <c r="CO116">
        <v>1.2028281E-2</v>
      </c>
      <c r="CP116">
        <v>48.382850349999998</v>
      </c>
      <c r="CQ116">
        <v>0.13117867799999999</v>
      </c>
      <c r="CR116">
        <v>18.297516000000002</v>
      </c>
      <c r="CS116">
        <v>1.2028281E-2</v>
      </c>
      <c r="CT116">
        <v>48.382850349999998</v>
      </c>
      <c r="CU116">
        <v>0.13117867799999999</v>
      </c>
      <c r="CV116">
        <v>78.598617320000002</v>
      </c>
      <c r="CW116">
        <v>1.9372262730000001</v>
      </c>
      <c r="CX116">
        <v>0</v>
      </c>
      <c r="CY116">
        <v>0</v>
      </c>
      <c r="CZ116">
        <v>0</v>
      </c>
      <c r="DA116">
        <v>3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6</v>
      </c>
      <c r="DM116">
        <v>0</v>
      </c>
      <c r="DN116">
        <v>0</v>
      </c>
      <c r="DO116">
        <v>0</v>
      </c>
      <c r="DP116">
        <v>4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1.0579054247036701</v>
      </c>
    </row>
    <row r="117" spans="1:134" x14ac:dyDescent="0.25">
      <c r="A117" t="s">
        <v>30</v>
      </c>
      <c r="B117">
        <v>15</v>
      </c>
      <c r="C117" t="s">
        <v>31</v>
      </c>
      <c r="D117" t="s">
        <v>95</v>
      </c>
      <c r="E117" t="s">
        <v>113</v>
      </c>
      <c r="F117" t="s">
        <v>145</v>
      </c>
      <c r="G117" t="s">
        <v>259</v>
      </c>
      <c r="H117" t="s">
        <v>764</v>
      </c>
      <c r="I117" t="s">
        <v>704</v>
      </c>
      <c r="J117" t="s">
        <v>391</v>
      </c>
      <c r="K117">
        <v>13</v>
      </c>
      <c r="L117">
        <v>100</v>
      </c>
      <c r="M117">
        <v>70</v>
      </c>
      <c r="N117">
        <v>100</v>
      </c>
      <c r="O117">
        <v>30</v>
      </c>
      <c r="P117">
        <v>10</v>
      </c>
      <c r="Q117">
        <v>10</v>
      </c>
      <c r="R117">
        <v>10</v>
      </c>
      <c r="S117">
        <v>10</v>
      </c>
      <c r="T117">
        <v>0.1</v>
      </c>
      <c r="V117" t="s">
        <v>121</v>
      </c>
      <c r="W117" t="s">
        <v>114</v>
      </c>
      <c r="X117">
        <v>15.4</v>
      </c>
      <c r="Y117">
        <v>14.9</v>
      </c>
      <c r="Z117">
        <v>12</v>
      </c>
      <c r="AA117">
        <v>14.1</v>
      </c>
      <c r="AB117">
        <v>14.1</v>
      </c>
      <c r="AC117">
        <v>13.9</v>
      </c>
      <c r="AD117">
        <v>13.5</v>
      </c>
      <c r="AE117">
        <v>13</v>
      </c>
      <c r="AF117">
        <v>13.46666667</v>
      </c>
      <c r="AG117">
        <v>16.899999999999999</v>
      </c>
      <c r="AH117">
        <v>18.399999999999999</v>
      </c>
      <c r="AI117">
        <v>18.399999999999999</v>
      </c>
      <c r="AJ117">
        <v>17.899999999999999</v>
      </c>
      <c r="AK117">
        <v>18.399999999999999</v>
      </c>
      <c r="AL117">
        <v>16.899999999999999</v>
      </c>
      <c r="AM117">
        <v>17.399999999999999</v>
      </c>
      <c r="AN117">
        <v>17.56666667</v>
      </c>
      <c r="AO117">
        <v>17.899999999999999</v>
      </c>
      <c r="AP117">
        <v>7.6</v>
      </c>
      <c r="AQ117">
        <v>8.1</v>
      </c>
      <c r="AR117">
        <v>8.5</v>
      </c>
      <c r="AS117">
        <v>8.0666666669999998</v>
      </c>
      <c r="AT117">
        <v>6.1</v>
      </c>
      <c r="AU117">
        <v>7.1</v>
      </c>
      <c r="AV117">
        <v>7.6</v>
      </c>
      <c r="AW117">
        <v>6.9333333330000002</v>
      </c>
      <c r="AX117">
        <v>8.0666666669999998</v>
      </c>
      <c r="AY117">
        <v>-6.0333333329999999</v>
      </c>
      <c r="AZ117">
        <v>3</v>
      </c>
      <c r="BA117">
        <v>90</v>
      </c>
      <c r="BB117">
        <v>25</v>
      </c>
      <c r="BC117">
        <v>5</v>
      </c>
      <c r="BD117">
        <v>0</v>
      </c>
      <c r="BE117">
        <v>1</v>
      </c>
      <c r="BF117">
        <v>2</v>
      </c>
      <c r="BG117">
        <v>0</v>
      </c>
      <c r="BI117">
        <v>2.7</v>
      </c>
      <c r="BJ117">
        <v>44.411999999999999</v>
      </c>
      <c r="BK117">
        <v>0</v>
      </c>
      <c r="BL117">
        <v>3</v>
      </c>
      <c r="BM117">
        <v>3</v>
      </c>
      <c r="BN117">
        <v>6</v>
      </c>
      <c r="BO117">
        <v>22</v>
      </c>
      <c r="BP117">
        <v>-16</v>
      </c>
      <c r="BQ117">
        <v>0</v>
      </c>
      <c r="BR117">
        <v>6</v>
      </c>
      <c r="BS117">
        <v>6.47836122</v>
      </c>
      <c r="BT117">
        <v>0.50170263599999998</v>
      </c>
      <c r="BU117">
        <v>7.7800612530000004</v>
      </c>
      <c r="BV117">
        <v>-6.47836122</v>
      </c>
      <c r="BW117">
        <v>0.50170263599999998</v>
      </c>
      <c r="BX117">
        <v>-7.7800612530000004</v>
      </c>
      <c r="BY117">
        <v>56.380342560000003</v>
      </c>
      <c r="BZ117">
        <v>0.11419188199999999</v>
      </c>
      <c r="CA117">
        <v>97.149870179999994</v>
      </c>
      <c r="CB117">
        <v>56.380342560000003</v>
      </c>
      <c r="CC117">
        <v>0.11419188199999999</v>
      </c>
      <c r="CD117">
        <v>97.149870179999994</v>
      </c>
      <c r="CE117">
        <v>0.10649398</v>
      </c>
      <c r="CF117">
        <v>1.5543576E-2</v>
      </c>
      <c r="CG117">
        <v>6.9561244999999994E-2</v>
      </c>
      <c r="CH117">
        <v>3.213195775</v>
      </c>
      <c r="CI117">
        <v>0.65137909000000005</v>
      </c>
      <c r="CJ117">
        <v>16.346049430000001</v>
      </c>
      <c r="CK117">
        <v>-2.4098616999999999E-2</v>
      </c>
      <c r="CL117">
        <v>-3.213195775</v>
      </c>
      <c r="CM117">
        <v>0.65137909000000005</v>
      </c>
      <c r="CN117">
        <v>-16.346049430000001</v>
      </c>
      <c r="CO117">
        <v>5.9425470000000003E-3</v>
      </c>
      <c r="CP117">
        <v>34.521371299999998</v>
      </c>
      <c r="CQ117">
        <v>3.9483612000000001E-2</v>
      </c>
      <c r="CR117">
        <v>74.143552790000001</v>
      </c>
      <c r="CS117">
        <v>1.0555405E-2</v>
      </c>
      <c r="CT117">
        <v>34.521371299999998</v>
      </c>
      <c r="CU117">
        <v>3.9483612000000001E-2</v>
      </c>
      <c r="CV117">
        <v>74.143552790000001</v>
      </c>
      <c r="CW117">
        <v>-9.0076920000000005E-2</v>
      </c>
      <c r="CX117">
        <v>0</v>
      </c>
      <c r="CY117">
        <v>0</v>
      </c>
      <c r="CZ117">
        <v>0</v>
      </c>
      <c r="DA117">
        <v>9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1</v>
      </c>
      <c r="DM117">
        <v>0</v>
      </c>
      <c r="DN117">
        <v>0</v>
      </c>
      <c r="DO117">
        <v>0</v>
      </c>
      <c r="DP117">
        <v>2</v>
      </c>
      <c r="DQ117">
        <v>1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0.93715585306570104</v>
      </c>
    </row>
    <row r="118" spans="1:134" x14ac:dyDescent="0.25">
      <c r="A118" t="s">
        <v>30</v>
      </c>
      <c r="B118">
        <v>15</v>
      </c>
      <c r="C118" t="s">
        <v>31</v>
      </c>
      <c r="D118" t="s">
        <v>95</v>
      </c>
      <c r="E118" t="s">
        <v>103</v>
      </c>
      <c r="F118" t="s">
        <v>145</v>
      </c>
      <c r="G118" t="s">
        <v>260</v>
      </c>
      <c r="H118" t="s">
        <v>772</v>
      </c>
      <c r="I118" t="s">
        <v>712</v>
      </c>
      <c r="J118" t="s">
        <v>392</v>
      </c>
      <c r="K118">
        <v>7</v>
      </c>
      <c r="L118">
        <v>90</v>
      </c>
      <c r="M118">
        <v>20</v>
      </c>
      <c r="N118">
        <v>90</v>
      </c>
      <c r="O118">
        <v>70</v>
      </c>
      <c r="P118">
        <v>30</v>
      </c>
      <c r="Q118">
        <v>25</v>
      </c>
      <c r="R118">
        <v>10</v>
      </c>
      <c r="S118">
        <v>17.5</v>
      </c>
      <c r="T118">
        <v>0.19444444399999999</v>
      </c>
      <c r="V118" t="s">
        <v>113</v>
      </c>
      <c r="W118">
        <v>35</v>
      </c>
      <c r="X118">
        <v>15.4</v>
      </c>
      <c r="Y118">
        <v>14.9</v>
      </c>
      <c r="Z118">
        <v>12</v>
      </c>
      <c r="AA118">
        <v>14.1</v>
      </c>
      <c r="AB118">
        <v>14.1</v>
      </c>
      <c r="AC118">
        <v>13</v>
      </c>
      <c r="AD118">
        <v>13.5</v>
      </c>
      <c r="AE118">
        <v>12</v>
      </c>
      <c r="AF118">
        <v>12.83333333</v>
      </c>
      <c r="AG118">
        <v>16.899999999999999</v>
      </c>
      <c r="AH118">
        <v>18.399999999999999</v>
      </c>
      <c r="AI118">
        <v>18.399999999999999</v>
      </c>
      <c r="AJ118">
        <v>17.899999999999999</v>
      </c>
      <c r="AK118">
        <v>17.899999999999999</v>
      </c>
      <c r="AL118">
        <v>16.399999999999999</v>
      </c>
      <c r="AM118">
        <v>16.899999999999999</v>
      </c>
      <c r="AN118">
        <v>17.06666667</v>
      </c>
      <c r="AO118">
        <v>17.899999999999999</v>
      </c>
      <c r="AP118">
        <v>7.6</v>
      </c>
      <c r="AQ118">
        <v>8.1</v>
      </c>
      <c r="AR118">
        <v>8.5</v>
      </c>
      <c r="AS118">
        <v>8.0666666669999998</v>
      </c>
      <c r="AT118">
        <v>7.1</v>
      </c>
      <c r="AU118">
        <v>6.1</v>
      </c>
      <c r="AV118">
        <v>6.1</v>
      </c>
      <c r="AW118">
        <v>6.4333333330000002</v>
      </c>
      <c r="AX118">
        <v>8.0666666669999998</v>
      </c>
      <c r="AY118">
        <v>-6.0333333329999999</v>
      </c>
      <c r="AZ118">
        <v>3</v>
      </c>
      <c r="BA118">
        <v>90</v>
      </c>
      <c r="BB118">
        <v>25</v>
      </c>
      <c r="BC118">
        <v>5</v>
      </c>
      <c r="BD118">
        <v>0</v>
      </c>
      <c r="BE118">
        <v>1</v>
      </c>
      <c r="BF118">
        <v>2</v>
      </c>
      <c r="BG118">
        <v>0</v>
      </c>
      <c r="BI118">
        <v>2.7</v>
      </c>
      <c r="BJ118">
        <v>44.411999999999999</v>
      </c>
      <c r="BK118">
        <v>0</v>
      </c>
      <c r="BL118">
        <v>3</v>
      </c>
      <c r="BM118">
        <v>3</v>
      </c>
      <c r="BN118">
        <v>187</v>
      </c>
      <c r="BO118">
        <v>216</v>
      </c>
      <c r="BP118">
        <v>-29</v>
      </c>
      <c r="BQ118">
        <v>45</v>
      </c>
      <c r="BR118">
        <v>142</v>
      </c>
      <c r="BS118">
        <v>14.908490179999999</v>
      </c>
      <c r="BT118">
        <v>0.25829340499999998</v>
      </c>
      <c r="BU118">
        <v>5.1259039700000004</v>
      </c>
      <c r="BV118">
        <v>8.6251568479999996</v>
      </c>
      <c r="BW118">
        <v>-0.24719804300000001</v>
      </c>
      <c r="BX118">
        <v>3.3038169740000001</v>
      </c>
      <c r="BY118">
        <v>121.4717023</v>
      </c>
      <c r="BZ118">
        <v>9.1594441999999998E-2</v>
      </c>
      <c r="CA118">
        <v>9.5061625289999991</v>
      </c>
      <c r="CB118">
        <v>306.30888829999998</v>
      </c>
      <c r="CC118">
        <v>9.8605205000000001E-2</v>
      </c>
      <c r="CD118">
        <v>28.705768670000001</v>
      </c>
      <c r="CE118">
        <v>0.54108751799999999</v>
      </c>
      <c r="CF118">
        <v>0.987391095</v>
      </c>
      <c r="CG118">
        <v>0.44810459899999999</v>
      </c>
      <c r="CH118">
        <v>14.801518959999999</v>
      </c>
      <c r="CI118">
        <v>0.378220008</v>
      </c>
      <c r="CJ118">
        <v>5.8628316700000003</v>
      </c>
      <c r="CK118">
        <v>-0.13775424999999999</v>
      </c>
      <c r="CL118">
        <v>10.313423719999999</v>
      </c>
      <c r="CM118">
        <v>-0.37029475000000001</v>
      </c>
      <c r="CN118">
        <v>4.5613409589999998</v>
      </c>
      <c r="CO118">
        <v>0.50441888899999998</v>
      </c>
      <c r="CP118">
        <v>81.014509799999999</v>
      </c>
      <c r="CQ118">
        <v>0.103011599</v>
      </c>
      <c r="CR118">
        <v>7.9213737880000004</v>
      </c>
      <c r="CS118">
        <v>0.71654397000000003</v>
      </c>
      <c r="CT118">
        <v>212.51914020000001</v>
      </c>
      <c r="CU118">
        <v>0.10993246800000001</v>
      </c>
      <c r="CV118">
        <v>23.749498280000001</v>
      </c>
      <c r="CW118">
        <v>-0.27911487000000001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1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3</v>
      </c>
      <c r="DM118">
        <v>0</v>
      </c>
      <c r="DN118">
        <v>0</v>
      </c>
      <c r="DO118">
        <v>0</v>
      </c>
      <c r="DP118">
        <v>0</v>
      </c>
      <c r="DQ118">
        <v>1</v>
      </c>
      <c r="DR118">
        <v>1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1</v>
      </c>
      <c r="EC118">
        <v>0</v>
      </c>
      <c r="ED118">
        <v>1.4750763110546901</v>
      </c>
    </row>
    <row r="119" spans="1:134" x14ac:dyDescent="0.25">
      <c r="A119" t="s">
        <v>30</v>
      </c>
      <c r="B119">
        <v>15</v>
      </c>
      <c r="C119" t="s">
        <v>31</v>
      </c>
      <c r="D119" t="s">
        <v>95</v>
      </c>
      <c r="E119" t="s">
        <v>112</v>
      </c>
      <c r="F119" t="s">
        <v>145</v>
      </c>
      <c r="G119" t="s">
        <v>261</v>
      </c>
      <c r="H119" t="s">
        <v>784</v>
      </c>
      <c r="I119" t="s">
        <v>708</v>
      </c>
      <c r="J119" t="s">
        <v>393</v>
      </c>
      <c r="K119" t="s">
        <v>114</v>
      </c>
      <c r="L119">
        <v>60</v>
      </c>
      <c r="M119">
        <v>100</v>
      </c>
      <c r="N119">
        <v>60</v>
      </c>
      <c r="O119">
        <v>-40</v>
      </c>
      <c r="P119">
        <v>60</v>
      </c>
      <c r="Q119">
        <v>35</v>
      </c>
      <c r="R119">
        <v>20</v>
      </c>
      <c r="S119">
        <v>27.5</v>
      </c>
      <c r="T119">
        <v>0.45833333300000001</v>
      </c>
      <c r="V119" t="s">
        <v>103</v>
      </c>
      <c r="W119">
        <v>50</v>
      </c>
      <c r="X119">
        <v>15.4</v>
      </c>
      <c r="Y119">
        <v>14.9</v>
      </c>
      <c r="Z119">
        <v>12</v>
      </c>
      <c r="AA119">
        <v>14.1</v>
      </c>
      <c r="AB119">
        <v>14.1</v>
      </c>
      <c r="AC119">
        <v>13</v>
      </c>
      <c r="AD119">
        <v>12</v>
      </c>
      <c r="AE119">
        <v>12</v>
      </c>
      <c r="AF119">
        <v>12.33333333</v>
      </c>
      <c r="AG119">
        <v>16.899999999999999</v>
      </c>
      <c r="AH119">
        <v>18.399999999999999</v>
      </c>
      <c r="AI119">
        <v>18.399999999999999</v>
      </c>
      <c r="AJ119">
        <v>17.899999999999999</v>
      </c>
      <c r="AK119">
        <v>14.9</v>
      </c>
      <c r="AL119">
        <v>16.899999999999999</v>
      </c>
      <c r="AM119">
        <v>16.899999999999999</v>
      </c>
      <c r="AN119">
        <v>16.233333330000001</v>
      </c>
      <c r="AO119">
        <v>17.899999999999999</v>
      </c>
      <c r="AP119">
        <v>7.6</v>
      </c>
      <c r="AQ119">
        <v>8.1</v>
      </c>
      <c r="AR119">
        <v>8.5</v>
      </c>
      <c r="AS119">
        <v>8.0666666669999998</v>
      </c>
      <c r="AT119">
        <v>5.6</v>
      </c>
      <c r="AU119">
        <v>6.1</v>
      </c>
      <c r="AV119">
        <v>6.1</v>
      </c>
      <c r="AW119">
        <v>5.9333333330000002</v>
      </c>
      <c r="AX119">
        <v>8.0666666669999998</v>
      </c>
      <c r="AY119">
        <v>-6.0333333329999999</v>
      </c>
      <c r="AZ119">
        <v>3</v>
      </c>
      <c r="BA119">
        <v>90</v>
      </c>
      <c r="BB119">
        <v>25</v>
      </c>
      <c r="BC119">
        <v>5</v>
      </c>
      <c r="BD119">
        <v>0</v>
      </c>
      <c r="BE119">
        <v>1</v>
      </c>
      <c r="BF119">
        <v>2</v>
      </c>
      <c r="BG119">
        <v>0</v>
      </c>
      <c r="BI119">
        <v>2.7</v>
      </c>
      <c r="BJ119">
        <v>44.411999999999999</v>
      </c>
      <c r="BK119">
        <v>0</v>
      </c>
      <c r="BL119">
        <v>13</v>
      </c>
      <c r="BM119">
        <v>12</v>
      </c>
      <c r="BN119">
        <v>33</v>
      </c>
      <c r="BO119">
        <v>31.75</v>
      </c>
      <c r="BP119">
        <v>1.25</v>
      </c>
      <c r="BQ119">
        <v>47</v>
      </c>
      <c r="BR119">
        <v>-14</v>
      </c>
      <c r="BS119" t="s">
        <v>114</v>
      </c>
      <c r="BT119" t="s">
        <v>114</v>
      </c>
      <c r="BU119" t="s">
        <v>114</v>
      </c>
      <c r="BV119" t="s">
        <v>114</v>
      </c>
      <c r="BW119" t="s">
        <v>114</v>
      </c>
      <c r="BX119" t="s">
        <v>114</v>
      </c>
      <c r="BY119" t="s">
        <v>114</v>
      </c>
      <c r="BZ119" t="s">
        <v>114</v>
      </c>
      <c r="CA119" t="s">
        <v>114</v>
      </c>
      <c r="CB119" t="s">
        <v>114</v>
      </c>
      <c r="CC119" t="s">
        <v>114</v>
      </c>
      <c r="CD119" t="s">
        <v>114</v>
      </c>
      <c r="CE119" t="s">
        <v>114</v>
      </c>
      <c r="CF119" t="s">
        <v>114</v>
      </c>
      <c r="CG119" t="s">
        <v>114</v>
      </c>
      <c r="CH119" t="s">
        <v>114</v>
      </c>
      <c r="CI119" t="s">
        <v>114</v>
      </c>
      <c r="CJ119" t="s">
        <v>114</v>
      </c>
      <c r="CK119" t="s">
        <v>114</v>
      </c>
      <c r="CL119" t="s">
        <v>114</v>
      </c>
      <c r="CM119" t="s">
        <v>114</v>
      </c>
      <c r="CN119" t="s">
        <v>114</v>
      </c>
      <c r="CO119" t="s">
        <v>114</v>
      </c>
      <c r="CP119" t="s">
        <v>114</v>
      </c>
      <c r="CQ119" t="s">
        <v>114</v>
      </c>
      <c r="CR119" t="s">
        <v>114</v>
      </c>
      <c r="CS119" t="s">
        <v>114</v>
      </c>
      <c r="CT119" t="s">
        <v>114</v>
      </c>
      <c r="CU119" t="s">
        <v>114</v>
      </c>
      <c r="CV119" t="s">
        <v>114</v>
      </c>
      <c r="CW119" t="s">
        <v>114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</row>
    <row r="120" spans="1:134" x14ac:dyDescent="0.25">
      <c r="A120" t="s">
        <v>32</v>
      </c>
      <c r="B120">
        <v>15</v>
      </c>
      <c r="C120" t="s">
        <v>33</v>
      </c>
      <c r="D120" t="s">
        <v>94</v>
      </c>
      <c r="E120" t="s">
        <v>105</v>
      </c>
      <c r="F120" t="s">
        <v>145</v>
      </c>
      <c r="G120" t="s">
        <v>266</v>
      </c>
      <c r="H120" t="s">
        <v>759</v>
      </c>
      <c r="I120" t="s">
        <v>699</v>
      </c>
      <c r="J120" t="s">
        <v>394</v>
      </c>
      <c r="K120">
        <v>3</v>
      </c>
      <c r="L120">
        <v>40</v>
      </c>
      <c r="M120">
        <v>30</v>
      </c>
      <c r="N120">
        <v>40</v>
      </c>
      <c r="O120">
        <v>10</v>
      </c>
      <c r="P120">
        <v>80</v>
      </c>
      <c r="Q120">
        <v>80</v>
      </c>
      <c r="R120">
        <v>60</v>
      </c>
      <c r="S120">
        <v>70</v>
      </c>
      <c r="T120">
        <v>1.75</v>
      </c>
      <c r="U120" t="s">
        <v>15</v>
      </c>
      <c r="V120" t="s">
        <v>114</v>
      </c>
      <c r="W120" t="s">
        <v>114</v>
      </c>
      <c r="X120">
        <v>10.5</v>
      </c>
      <c r="Y120">
        <v>11</v>
      </c>
      <c r="Z120">
        <v>11.5</v>
      </c>
      <c r="AA120">
        <v>11</v>
      </c>
      <c r="AB120">
        <v>11</v>
      </c>
      <c r="AC120">
        <v>16.399999999999999</v>
      </c>
      <c r="AD120">
        <v>16.399999999999999</v>
      </c>
      <c r="AE120">
        <v>15.9</v>
      </c>
      <c r="AF120">
        <v>16.233333330000001</v>
      </c>
      <c r="AG120">
        <v>12.5</v>
      </c>
      <c r="AH120">
        <v>13</v>
      </c>
      <c r="AI120">
        <v>15.4</v>
      </c>
      <c r="AJ120">
        <v>13.633333329999999</v>
      </c>
      <c r="AK120">
        <v>20.3</v>
      </c>
      <c r="AL120">
        <v>18.399999999999999</v>
      </c>
      <c r="AM120">
        <v>17.399999999999999</v>
      </c>
      <c r="AN120">
        <v>18.7</v>
      </c>
      <c r="AO120">
        <v>13.633333329999999</v>
      </c>
      <c r="AP120">
        <v>5.6</v>
      </c>
      <c r="AQ120">
        <v>5.6</v>
      </c>
      <c r="AR120">
        <v>8.5</v>
      </c>
      <c r="AS120">
        <v>6.5666666669999998</v>
      </c>
      <c r="AT120">
        <v>5.0999999999999996</v>
      </c>
      <c r="AU120">
        <v>5.0999999999999996</v>
      </c>
      <c r="AV120">
        <v>6.6</v>
      </c>
      <c r="AW120">
        <v>5.6</v>
      </c>
      <c r="AX120">
        <v>6.5666666669999998</v>
      </c>
      <c r="AY120">
        <v>-4.4333333330000002</v>
      </c>
      <c r="AZ120">
        <v>0</v>
      </c>
      <c r="BA120">
        <v>3</v>
      </c>
      <c r="BB120">
        <v>0</v>
      </c>
      <c r="BC120">
        <v>90</v>
      </c>
      <c r="BD120">
        <v>0</v>
      </c>
      <c r="BE120">
        <v>0</v>
      </c>
      <c r="BF120">
        <v>15</v>
      </c>
      <c r="BG120">
        <v>0</v>
      </c>
      <c r="BI120">
        <v>14.5</v>
      </c>
      <c r="BJ120">
        <v>28.347999999999999</v>
      </c>
      <c r="BK120">
        <v>0</v>
      </c>
      <c r="BL120">
        <v>7</v>
      </c>
      <c r="BM120">
        <v>7</v>
      </c>
      <c r="BN120">
        <v>485</v>
      </c>
      <c r="BO120">
        <v>582</v>
      </c>
      <c r="BP120">
        <v>-97</v>
      </c>
      <c r="BQ120">
        <v>614</v>
      </c>
      <c r="BR120">
        <v>-129</v>
      </c>
      <c r="BS120">
        <v>7.9378109449999998</v>
      </c>
      <c r="BT120">
        <v>0.31519093100000001</v>
      </c>
      <c r="BU120">
        <v>12.55553823</v>
      </c>
      <c r="BV120">
        <v>-6.2288557249999998</v>
      </c>
      <c r="BW120">
        <v>0.31519093100000001</v>
      </c>
      <c r="BX120">
        <v>12.43650558</v>
      </c>
      <c r="BY120">
        <v>77.597287289999997</v>
      </c>
      <c r="BZ120">
        <v>7.59371E-4</v>
      </c>
      <c r="CA120">
        <v>309.33334180000003</v>
      </c>
      <c r="CB120">
        <v>126.0176852</v>
      </c>
      <c r="CC120">
        <v>7.59371E-4</v>
      </c>
      <c r="CD120">
        <v>315.28308019999997</v>
      </c>
      <c r="CE120" t="s">
        <v>114</v>
      </c>
      <c r="CF120" t="s">
        <v>114</v>
      </c>
      <c r="CG120" t="s">
        <v>114</v>
      </c>
      <c r="CH120">
        <v>5.8615257029999999</v>
      </c>
      <c r="CI120">
        <v>0.32168610199999997</v>
      </c>
      <c r="CJ120">
        <v>16.701040079999999</v>
      </c>
      <c r="CK120" t="s">
        <v>114</v>
      </c>
      <c r="CL120">
        <v>-3.582918743</v>
      </c>
      <c r="CM120">
        <v>0.32168610199999997</v>
      </c>
      <c r="CN120">
        <v>16.621684980000001</v>
      </c>
      <c r="CO120" t="s">
        <v>114</v>
      </c>
      <c r="CP120">
        <v>51.73152486</v>
      </c>
      <c r="CQ120">
        <v>5.0624700000000003E-4</v>
      </c>
      <c r="CR120">
        <v>206.22222790000001</v>
      </c>
      <c r="CS120" t="s">
        <v>114</v>
      </c>
      <c r="CT120">
        <v>84.011790129999994</v>
      </c>
      <c r="CU120">
        <v>5.0624700000000003E-4</v>
      </c>
      <c r="CV120">
        <v>210.18872020000001</v>
      </c>
      <c r="CW120" t="s">
        <v>114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1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2</v>
      </c>
      <c r="EC120">
        <v>0</v>
      </c>
      <c r="ED120">
        <v>0.636514168294813</v>
      </c>
    </row>
    <row r="121" spans="1:134" x14ac:dyDescent="0.25">
      <c r="A121" t="s">
        <v>34</v>
      </c>
      <c r="B121">
        <v>15</v>
      </c>
      <c r="C121" t="s">
        <v>35</v>
      </c>
      <c r="D121" t="s">
        <v>94</v>
      </c>
      <c r="E121" t="s">
        <v>112</v>
      </c>
      <c r="F121" t="s">
        <v>145</v>
      </c>
      <c r="G121" t="s">
        <v>261</v>
      </c>
      <c r="H121" t="s">
        <v>783</v>
      </c>
      <c r="I121" t="s">
        <v>713</v>
      </c>
      <c r="J121" t="s">
        <v>395</v>
      </c>
      <c r="K121">
        <v>1</v>
      </c>
      <c r="L121">
        <v>35</v>
      </c>
      <c r="M121">
        <v>10</v>
      </c>
      <c r="N121">
        <v>35</v>
      </c>
      <c r="O121">
        <v>25</v>
      </c>
      <c r="P121">
        <v>35</v>
      </c>
      <c r="Q121">
        <v>35</v>
      </c>
      <c r="R121">
        <v>20</v>
      </c>
      <c r="S121">
        <v>27.5</v>
      </c>
      <c r="T121">
        <v>0.78571428600000004</v>
      </c>
      <c r="V121" t="s">
        <v>112</v>
      </c>
      <c r="W121">
        <v>10</v>
      </c>
      <c r="X121">
        <v>8.5</v>
      </c>
      <c r="Y121">
        <v>8.5</v>
      </c>
      <c r="Z121">
        <v>10</v>
      </c>
      <c r="AA121">
        <v>9</v>
      </c>
      <c r="AB121">
        <v>9</v>
      </c>
      <c r="AC121">
        <v>8.1</v>
      </c>
      <c r="AD121">
        <v>8.5</v>
      </c>
      <c r="AE121">
        <v>9.5</v>
      </c>
      <c r="AF121">
        <v>8.6999999999999993</v>
      </c>
      <c r="AG121">
        <v>12</v>
      </c>
      <c r="AH121">
        <v>10</v>
      </c>
      <c r="AI121">
        <v>10.5</v>
      </c>
      <c r="AJ121">
        <v>10.83333333</v>
      </c>
      <c r="AK121">
        <v>9</v>
      </c>
      <c r="AL121">
        <v>8.5</v>
      </c>
      <c r="AM121">
        <v>10.5</v>
      </c>
      <c r="AN121">
        <v>9.3333333330000006</v>
      </c>
      <c r="AO121">
        <v>10.83333333</v>
      </c>
      <c r="AP121">
        <v>4.0999999999999996</v>
      </c>
      <c r="AQ121">
        <v>4.5999999999999996</v>
      </c>
      <c r="AR121">
        <v>4.0999999999999996</v>
      </c>
      <c r="AS121">
        <v>4.266666667</v>
      </c>
      <c r="AT121">
        <v>2.2000000000000002</v>
      </c>
      <c r="AU121">
        <v>4.0999999999999996</v>
      </c>
      <c r="AV121">
        <v>4.0999999999999996</v>
      </c>
      <c r="AW121">
        <v>3.4666666670000001</v>
      </c>
      <c r="AX121">
        <v>4.266666667</v>
      </c>
      <c r="AY121">
        <v>-4.733333333</v>
      </c>
      <c r="AZ121">
        <v>80</v>
      </c>
      <c r="BA121">
        <v>1</v>
      </c>
      <c r="BB121">
        <v>4</v>
      </c>
      <c r="BC121">
        <v>1</v>
      </c>
      <c r="BD121">
        <v>1</v>
      </c>
      <c r="BE121">
        <v>0</v>
      </c>
      <c r="BF121">
        <v>10</v>
      </c>
      <c r="BG121">
        <v>0</v>
      </c>
      <c r="BI121">
        <v>6.7</v>
      </c>
      <c r="BJ121">
        <v>8.1159999999999997</v>
      </c>
      <c r="BK121">
        <v>0</v>
      </c>
      <c r="BL121">
        <v>124</v>
      </c>
      <c r="BM121">
        <v>83</v>
      </c>
      <c r="BN121">
        <v>267</v>
      </c>
      <c r="BO121">
        <v>76</v>
      </c>
      <c r="BP121">
        <v>191</v>
      </c>
      <c r="BQ121">
        <v>111</v>
      </c>
      <c r="BR121">
        <v>156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 t="s">
        <v>114</v>
      </c>
      <c r="BZ121" t="s">
        <v>114</v>
      </c>
      <c r="CA121" t="s">
        <v>114</v>
      </c>
      <c r="CB121" t="s">
        <v>114</v>
      </c>
      <c r="CC121" t="s">
        <v>114</v>
      </c>
      <c r="CD121" t="s">
        <v>114</v>
      </c>
      <c r="CE121">
        <v>0</v>
      </c>
      <c r="CF121" t="s">
        <v>114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 t="s">
        <v>114</v>
      </c>
      <c r="CP121" t="s">
        <v>114</v>
      </c>
      <c r="CQ121" t="s">
        <v>114</v>
      </c>
      <c r="CR121" t="s">
        <v>114</v>
      </c>
      <c r="CS121" t="s">
        <v>114</v>
      </c>
      <c r="CT121" t="s">
        <v>114</v>
      </c>
      <c r="CU121" t="s">
        <v>114</v>
      </c>
      <c r="CV121" t="s">
        <v>114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1</v>
      </c>
      <c r="EA121">
        <v>0</v>
      </c>
      <c r="EB121">
        <v>0</v>
      </c>
      <c r="EC121">
        <v>0</v>
      </c>
      <c r="ED121">
        <v>0</v>
      </c>
    </row>
    <row r="122" spans="1:134" x14ac:dyDescent="0.25">
      <c r="A122" t="s">
        <v>36</v>
      </c>
      <c r="B122">
        <v>15</v>
      </c>
      <c r="C122" t="s">
        <v>37</v>
      </c>
      <c r="D122" t="s">
        <v>95</v>
      </c>
      <c r="E122" t="s">
        <v>110</v>
      </c>
      <c r="F122" t="s">
        <v>145</v>
      </c>
      <c r="G122" t="s">
        <v>262</v>
      </c>
      <c r="H122" t="s">
        <v>768</v>
      </c>
      <c r="I122" t="s">
        <v>705</v>
      </c>
      <c r="J122" t="s">
        <v>396</v>
      </c>
      <c r="K122">
        <v>1</v>
      </c>
      <c r="L122">
        <v>120</v>
      </c>
      <c r="M122">
        <v>55</v>
      </c>
      <c r="N122">
        <v>120</v>
      </c>
      <c r="O122">
        <v>65</v>
      </c>
      <c r="P122">
        <v>10</v>
      </c>
      <c r="Q122">
        <v>30</v>
      </c>
      <c r="R122">
        <v>10</v>
      </c>
      <c r="S122">
        <v>20</v>
      </c>
      <c r="T122">
        <v>0.16666666699999999</v>
      </c>
      <c r="V122" t="s">
        <v>121</v>
      </c>
      <c r="W122" t="s">
        <v>114</v>
      </c>
      <c r="X122">
        <v>20.8</v>
      </c>
      <c r="Y122">
        <v>24.7</v>
      </c>
      <c r="Z122">
        <v>17.399999999999999</v>
      </c>
      <c r="AA122">
        <v>20.966666669999999</v>
      </c>
      <c r="AB122">
        <v>20.966666669999999</v>
      </c>
      <c r="AC122">
        <v>19.8</v>
      </c>
      <c r="AD122">
        <v>17.899999999999999</v>
      </c>
      <c r="AE122">
        <v>21.3</v>
      </c>
      <c r="AF122">
        <v>19.666666670000001</v>
      </c>
      <c r="AG122">
        <v>25.7</v>
      </c>
      <c r="AH122">
        <v>26.7</v>
      </c>
      <c r="AI122">
        <v>25.7</v>
      </c>
      <c r="AJ122">
        <v>26.033333330000001</v>
      </c>
      <c r="AK122">
        <v>22.8</v>
      </c>
      <c r="AL122">
        <v>21.3</v>
      </c>
      <c r="AM122">
        <v>21.8</v>
      </c>
      <c r="AN122">
        <v>21.966666669999999</v>
      </c>
      <c r="AO122">
        <v>26.033333330000001</v>
      </c>
      <c r="AP122">
        <v>13</v>
      </c>
      <c r="AQ122">
        <v>9.5</v>
      </c>
      <c r="AR122">
        <v>8.5</v>
      </c>
      <c r="AS122">
        <v>10.33333333</v>
      </c>
      <c r="AT122">
        <v>8.5</v>
      </c>
      <c r="AU122">
        <v>10.5</v>
      </c>
      <c r="AV122">
        <v>11.5</v>
      </c>
      <c r="AW122">
        <v>10.16666667</v>
      </c>
      <c r="AX122">
        <v>10.33333333</v>
      </c>
      <c r="AY122">
        <v>-10.633333329999999</v>
      </c>
      <c r="AZ122">
        <v>50</v>
      </c>
      <c r="BA122">
        <v>1</v>
      </c>
      <c r="BB122">
        <v>0</v>
      </c>
      <c r="BC122">
        <v>15</v>
      </c>
      <c r="BD122">
        <v>1</v>
      </c>
      <c r="BE122">
        <v>1</v>
      </c>
      <c r="BF122">
        <v>0</v>
      </c>
      <c r="BG122">
        <v>0</v>
      </c>
      <c r="BI122">
        <v>9</v>
      </c>
      <c r="BJ122">
        <v>45.8</v>
      </c>
      <c r="BK122">
        <v>0</v>
      </c>
      <c r="BL122">
        <v>3</v>
      </c>
      <c r="BM122">
        <v>3</v>
      </c>
      <c r="BN122">
        <v>3</v>
      </c>
      <c r="BO122">
        <v>4.6666670000000003</v>
      </c>
      <c r="BP122">
        <v>-1.6666669999999999</v>
      </c>
      <c r="BQ122">
        <v>2</v>
      </c>
      <c r="BR122">
        <v>1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 t="s">
        <v>114</v>
      </c>
      <c r="BZ122" t="s">
        <v>114</v>
      </c>
      <c r="CA122" t="s">
        <v>114</v>
      </c>
      <c r="CB122" t="s">
        <v>114</v>
      </c>
      <c r="CC122" t="s">
        <v>114</v>
      </c>
      <c r="CD122" t="s">
        <v>114</v>
      </c>
      <c r="CE122">
        <v>0</v>
      </c>
      <c r="CF122" t="s">
        <v>114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 t="s">
        <v>114</v>
      </c>
      <c r="CP122" t="s">
        <v>114</v>
      </c>
      <c r="CQ122" t="s">
        <v>114</v>
      </c>
      <c r="CR122" t="s">
        <v>114</v>
      </c>
      <c r="CS122" t="s">
        <v>114</v>
      </c>
      <c r="CT122" t="s">
        <v>114</v>
      </c>
      <c r="CU122" t="s">
        <v>114</v>
      </c>
      <c r="CV122" t="s">
        <v>114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1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</row>
    <row r="123" spans="1:134" x14ac:dyDescent="0.25">
      <c r="A123" t="s">
        <v>36</v>
      </c>
      <c r="B123">
        <v>15</v>
      </c>
      <c r="C123" t="s">
        <v>37</v>
      </c>
      <c r="D123" t="s">
        <v>95</v>
      </c>
      <c r="E123" t="s">
        <v>104</v>
      </c>
      <c r="F123" t="s">
        <v>145</v>
      </c>
      <c r="G123" t="s">
        <v>264</v>
      </c>
      <c r="H123" t="s">
        <v>780</v>
      </c>
      <c r="I123" t="s">
        <v>707</v>
      </c>
      <c r="J123" t="s">
        <v>397</v>
      </c>
      <c r="K123">
        <v>3</v>
      </c>
      <c r="L123">
        <v>55</v>
      </c>
      <c r="M123">
        <v>80</v>
      </c>
      <c r="N123">
        <v>55</v>
      </c>
      <c r="O123">
        <v>-25</v>
      </c>
      <c r="P123">
        <v>15</v>
      </c>
      <c r="Q123">
        <v>30</v>
      </c>
      <c r="R123">
        <v>15</v>
      </c>
      <c r="S123">
        <v>22.5</v>
      </c>
      <c r="T123">
        <v>0.409090909</v>
      </c>
      <c r="V123" t="s">
        <v>121</v>
      </c>
      <c r="W123" t="s">
        <v>114</v>
      </c>
      <c r="X123">
        <v>20.8</v>
      </c>
      <c r="Y123">
        <v>24.7</v>
      </c>
      <c r="Z123">
        <v>17.399999999999999</v>
      </c>
      <c r="AA123">
        <v>20.966666669999999</v>
      </c>
      <c r="AB123">
        <v>20.966666669999999</v>
      </c>
      <c r="AC123">
        <v>21.3</v>
      </c>
      <c r="AD123">
        <v>21.8</v>
      </c>
      <c r="AE123">
        <v>17.899999999999999</v>
      </c>
      <c r="AF123">
        <v>20.333333329999999</v>
      </c>
      <c r="AG123">
        <v>25.7</v>
      </c>
      <c r="AH123">
        <v>26.7</v>
      </c>
      <c r="AI123">
        <v>25.7</v>
      </c>
      <c r="AJ123">
        <v>26.033333330000001</v>
      </c>
      <c r="AK123">
        <v>24.3</v>
      </c>
      <c r="AL123">
        <v>23.8</v>
      </c>
      <c r="AM123">
        <v>26.7</v>
      </c>
      <c r="AN123">
        <v>24.93333333</v>
      </c>
      <c r="AO123">
        <v>26.033333330000001</v>
      </c>
      <c r="AP123">
        <v>13</v>
      </c>
      <c r="AQ123">
        <v>9.5</v>
      </c>
      <c r="AR123">
        <v>8.5</v>
      </c>
      <c r="AS123">
        <v>10.33333333</v>
      </c>
      <c r="AT123">
        <v>9</v>
      </c>
      <c r="AU123">
        <v>11</v>
      </c>
      <c r="AV123">
        <v>12</v>
      </c>
      <c r="AW123">
        <v>10.66666667</v>
      </c>
      <c r="AX123">
        <v>10.33333333</v>
      </c>
      <c r="AY123">
        <v>-10.633333329999999</v>
      </c>
      <c r="AZ123">
        <v>50</v>
      </c>
      <c r="BA123">
        <v>1</v>
      </c>
      <c r="BB123">
        <v>0</v>
      </c>
      <c r="BC123">
        <v>15</v>
      </c>
      <c r="BD123">
        <v>1</v>
      </c>
      <c r="BE123">
        <v>1</v>
      </c>
      <c r="BF123">
        <v>0</v>
      </c>
      <c r="BG123">
        <v>0</v>
      </c>
      <c r="BI123">
        <v>9</v>
      </c>
      <c r="BJ123">
        <v>45.8</v>
      </c>
      <c r="BK123">
        <v>0</v>
      </c>
      <c r="BL123">
        <v>10</v>
      </c>
      <c r="BM123">
        <v>8</v>
      </c>
      <c r="BN123">
        <v>38</v>
      </c>
      <c r="BO123">
        <v>154.66666699999999</v>
      </c>
      <c r="BP123">
        <v>-116.666667</v>
      </c>
      <c r="BQ123">
        <v>174</v>
      </c>
      <c r="BR123">
        <v>-136</v>
      </c>
      <c r="BS123">
        <v>16.788369960000001</v>
      </c>
      <c r="BT123">
        <v>1.084166296</v>
      </c>
      <c r="BU123">
        <v>3.7815373029999999</v>
      </c>
      <c r="BV123">
        <v>16.788369960000001</v>
      </c>
      <c r="BW123">
        <v>0.45139963</v>
      </c>
      <c r="BX123">
        <v>2.2581889770000001</v>
      </c>
      <c r="BY123">
        <v>250.0316918</v>
      </c>
      <c r="BZ123">
        <v>1.340026076</v>
      </c>
      <c r="CA123">
        <v>22.198707550000002</v>
      </c>
      <c r="CB123">
        <v>250.0316918</v>
      </c>
      <c r="CC123">
        <v>2.7975084749999999</v>
      </c>
      <c r="CD123">
        <v>35.99961794</v>
      </c>
      <c r="CE123" t="s">
        <v>114</v>
      </c>
      <c r="CF123" t="s">
        <v>114</v>
      </c>
      <c r="CG123" t="s">
        <v>114</v>
      </c>
      <c r="CH123">
        <v>16.788369960000001</v>
      </c>
      <c r="CI123">
        <v>1.084166296</v>
      </c>
      <c r="CJ123">
        <v>3.7815373029999999</v>
      </c>
      <c r="CK123" t="s">
        <v>114</v>
      </c>
      <c r="CL123">
        <v>16.788369960000001</v>
      </c>
      <c r="CM123">
        <v>0.45139963</v>
      </c>
      <c r="CN123">
        <v>2.2581889770000001</v>
      </c>
      <c r="CO123" t="s">
        <v>114</v>
      </c>
      <c r="CP123">
        <v>250.0316918</v>
      </c>
      <c r="CQ123">
        <v>1.340026076</v>
      </c>
      <c r="CR123">
        <v>22.198707550000002</v>
      </c>
      <c r="CS123" t="s">
        <v>114</v>
      </c>
      <c r="CT123">
        <v>250.0316918</v>
      </c>
      <c r="CU123">
        <v>2.7975084749999999</v>
      </c>
      <c r="CV123">
        <v>35.99961794</v>
      </c>
      <c r="CW123" t="s">
        <v>114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1</v>
      </c>
      <c r="DO123">
        <v>0</v>
      </c>
      <c r="DP123">
        <v>0</v>
      </c>
      <c r="DQ123">
        <v>1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1</v>
      </c>
      <c r="DZ123">
        <v>0</v>
      </c>
      <c r="EA123">
        <v>0</v>
      </c>
      <c r="EB123">
        <v>0</v>
      </c>
      <c r="EC123">
        <v>0</v>
      </c>
      <c r="ED123">
        <v>1.09861228866811</v>
      </c>
    </row>
    <row r="124" spans="1:134" x14ac:dyDescent="0.25">
      <c r="A124" t="s">
        <v>38</v>
      </c>
      <c r="B124">
        <v>2</v>
      </c>
      <c r="C124" t="s">
        <v>11</v>
      </c>
      <c r="D124" t="s">
        <v>95</v>
      </c>
      <c r="E124" t="s">
        <v>113</v>
      </c>
      <c r="F124" t="s">
        <v>145</v>
      </c>
      <c r="G124" t="s">
        <v>259</v>
      </c>
      <c r="H124" t="s">
        <v>764</v>
      </c>
      <c r="I124" t="s">
        <v>714</v>
      </c>
      <c r="J124" t="s">
        <v>398</v>
      </c>
      <c r="K124">
        <v>3</v>
      </c>
      <c r="L124">
        <v>50</v>
      </c>
      <c r="M124">
        <v>70</v>
      </c>
      <c r="N124">
        <v>50</v>
      </c>
      <c r="O124">
        <v>-20</v>
      </c>
      <c r="P124">
        <v>9</v>
      </c>
      <c r="Q124">
        <v>7</v>
      </c>
      <c r="R124">
        <v>5</v>
      </c>
      <c r="S124">
        <v>6</v>
      </c>
      <c r="T124">
        <v>0.12</v>
      </c>
      <c r="V124" t="s">
        <v>103</v>
      </c>
      <c r="W124">
        <v>60</v>
      </c>
      <c r="X124">
        <v>18.399999999999999</v>
      </c>
      <c r="Y124">
        <v>16.399999999999999</v>
      </c>
      <c r="Z124">
        <v>18.399999999999999</v>
      </c>
      <c r="AA124">
        <v>17.733333330000001</v>
      </c>
      <c r="AB124">
        <v>17.733333330000001</v>
      </c>
      <c r="AC124">
        <v>18.399999999999999</v>
      </c>
      <c r="AD124">
        <v>18.399999999999999</v>
      </c>
      <c r="AE124">
        <v>17.899999999999999</v>
      </c>
      <c r="AF124">
        <v>18.233333330000001</v>
      </c>
      <c r="AG124">
        <v>15.9</v>
      </c>
      <c r="AH124">
        <v>18.399999999999999</v>
      </c>
      <c r="AI124">
        <v>17.399999999999999</v>
      </c>
      <c r="AJ124">
        <v>17.233333330000001</v>
      </c>
      <c r="AK124">
        <v>18.399999999999999</v>
      </c>
      <c r="AL124">
        <v>16.899999999999999</v>
      </c>
      <c r="AM124">
        <v>17.399999999999999</v>
      </c>
      <c r="AN124">
        <v>17.56666667</v>
      </c>
      <c r="AO124">
        <v>17.233333330000001</v>
      </c>
      <c r="AP124">
        <v>6.1</v>
      </c>
      <c r="AQ124">
        <v>6.1</v>
      </c>
      <c r="AR124" t="s">
        <v>114</v>
      </c>
      <c r="AS124">
        <v>6.1</v>
      </c>
      <c r="AT124">
        <v>4.0999999999999996</v>
      </c>
      <c r="AU124" t="s">
        <v>114</v>
      </c>
      <c r="AV124" t="s">
        <v>114</v>
      </c>
      <c r="AW124">
        <v>4.0999999999999996</v>
      </c>
      <c r="AX124">
        <v>6.1</v>
      </c>
      <c r="AY124">
        <v>-11.633333329999999</v>
      </c>
      <c r="AZ124">
        <v>75</v>
      </c>
      <c r="BA124">
        <v>20</v>
      </c>
      <c r="BB124">
        <v>1</v>
      </c>
      <c r="BC124">
        <v>1</v>
      </c>
      <c r="BD124">
        <v>4</v>
      </c>
      <c r="BE124">
        <v>0</v>
      </c>
      <c r="BF124">
        <v>1</v>
      </c>
      <c r="BG124">
        <v>0</v>
      </c>
      <c r="BI124">
        <v>4.7</v>
      </c>
      <c r="BJ124">
        <v>42.4</v>
      </c>
      <c r="BK124">
        <v>0</v>
      </c>
      <c r="BL124">
        <v>1</v>
      </c>
      <c r="BM124">
        <v>1</v>
      </c>
      <c r="BN124" t="s">
        <v>114</v>
      </c>
      <c r="BO124">
        <v>0</v>
      </c>
      <c r="BP124" t="s">
        <v>114</v>
      </c>
      <c r="BQ124" t="s">
        <v>114</v>
      </c>
      <c r="BR124" t="s">
        <v>114</v>
      </c>
      <c r="BS124">
        <v>14.53409091</v>
      </c>
      <c r="BT124">
        <v>0.67803651600000003</v>
      </c>
      <c r="BU124">
        <v>7.7051509200000003</v>
      </c>
      <c r="BV124">
        <v>-14.53409091</v>
      </c>
      <c r="BW124">
        <v>0.67803651600000003</v>
      </c>
      <c r="BX124">
        <v>-7.7051509200000003</v>
      </c>
      <c r="BY124" t="s">
        <v>114</v>
      </c>
      <c r="BZ124" t="s">
        <v>114</v>
      </c>
      <c r="CA124" t="s">
        <v>114</v>
      </c>
      <c r="CB124" t="s">
        <v>114</v>
      </c>
      <c r="CC124" t="s">
        <v>114</v>
      </c>
      <c r="CD124" t="s">
        <v>114</v>
      </c>
      <c r="CE124">
        <v>0.21564729999999999</v>
      </c>
      <c r="CF124" t="s">
        <v>114</v>
      </c>
      <c r="CG124">
        <v>0.21564729999999999</v>
      </c>
      <c r="CH124">
        <v>14.53409091</v>
      </c>
      <c r="CI124">
        <v>0.67803651600000003</v>
      </c>
      <c r="CJ124">
        <v>7.7051509200000003</v>
      </c>
      <c r="CK124">
        <v>-0.21564729999999999</v>
      </c>
      <c r="CL124">
        <v>-14.53409091</v>
      </c>
      <c r="CM124">
        <v>0.67803651600000003</v>
      </c>
      <c r="CN124">
        <v>-7.7051509200000003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-0.21564729999999999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3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</row>
    <row r="125" spans="1:134" x14ac:dyDescent="0.25">
      <c r="A125" t="s">
        <v>38</v>
      </c>
      <c r="B125">
        <v>2</v>
      </c>
      <c r="C125" t="s">
        <v>11</v>
      </c>
      <c r="D125" t="s">
        <v>95</v>
      </c>
      <c r="E125" t="s">
        <v>103</v>
      </c>
      <c r="F125" t="s">
        <v>145</v>
      </c>
      <c r="G125" t="s">
        <v>260</v>
      </c>
      <c r="H125" t="s">
        <v>772</v>
      </c>
      <c r="I125" t="s">
        <v>715</v>
      </c>
      <c r="J125" t="s">
        <v>399</v>
      </c>
      <c r="K125">
        <v>9</v>
      </c>
      <c r="L125">
        <v>90</v>
      </c>
      <c r="M125">
        <v>35</v>
      </c>
      <c r="N125">
        <v>90</v>
      </c>
      <c r="O125">
        <v>55</v>
      </c>
      <c r="P125">
        <v>23</v>
      </c>
      <c r="Q125">
        <v>25</v>
      </c>
      <c r="R125">
        <v>25</v>
      </c>
      <c r="S125">
        <v>25</v>
      </c>
      <c r="T125">
        <v>0.27777777799999998</v>
      </c>
      <c r="V125" t="s">
        <v>103</v>
      </c>
      <c r="W125">
        <v>50</v>
      </c>
      <c r="X125">
        <v>18.399999999999999</v>
      </c>
      <c r="Y125">
        <v>16.399999999999999</v>
      </c>
      <c r="Z125">
        <v>18.399999999999999</v>
      </c>
      <c r="AA125">
        <v>17.733333330000001</v>
      </c>
      <c r="AB125">
        <v>17.733333330000001</v>
      </c>
      <c r="AC125">
        <v>18.399999999999999</v>
      </c>
      <c r="AD125">
        <v>18.899999999999999</v>
      </c>
      <c r="AE125">
        <v>17.399999999999999</v>
      </c>
      <c r="AF125">
        <v>18.233333330000001</v>
      </c>
      <c r="AG125">
        <v>15.9</v>
      </c>
      <c r="AH125">
        <v>18.399999999999999</v>
      </c>
      <c r="AI125">
        <v>17.399999999999999</v>
      </c>
      <c r="AJ125">
        <v>17.233333330000001</v>
      </c>
      <c r="AK125">
        <v>19.3</v>
      </c>
      <c r="AL125">
        <v>20.8</v>
      </c>
      <c r="AM125">
        <v>19.8</v>
      </c>
      <c r="AN125">
        <v>19.966666669999999</v>
      </c>
      <c r="AO125">
        <v>17.233333330000001</v>
      </c>
      <c r="AP125">
        <v>6.1</v>
      </c>
      <c r="AQ125">
        <v>6.1</v>
      </c>
      <c r="AR125" t="s">
        <v>114</v>
      </c>
      <c r="AS125">
        <v>6.1</v>
      </c>
      <c r="AT125">
        <v>4.0999999999999996</v>
      </c>
      <c r="AU125" t="s">
        <v>114</v>
      </c>
      <c r="AV125" t="s">
        <v>114</v>
      </c>
      <c r="AW125">
        <v>4.0999999999999996</v>
      </c>
      <c r="AX125">
        <v>6.1</v>
      </c>
      <c r="AY125">
        <v>-11.633333329999999</v>
      </c>
      <c r="AZ125">
        <v>75</v>
      </c>
      <c r="BA125">
        <v>20</v>
      </c>
      <c r="BB125">
        <v>1</v>
      </c>
      <c r="BC125">
        <v>1</v>
      </c>
      <c r="BD125">
        <v>4</v>
      </c>
      <c r="BE125">
        <v>0</v>
      </c>
      <c r="BF125">
        <v>1</v>
      </c>
      <c r="BG125">
        <v>0</v>
      </c>
      <c r="BI125">
        <v>4.7</v>
      </c>
      <c r="BJ125">
        <v>42.4</v>
      </c>
      <c r="BK125">
        <v>0</v>
      </c>
      <c r="BL125">
        <v>5</v>
      </c>
      <c r="BM125">
        <v>5</v>
      </c>
      <c r="BN125">
        <v>247</v>
      </c>
      <c r="BO125">
        <v>196.5</v>
      </c>
      <c r="BP125">
        <v>50.5</v>
      </c>
      <c r="BQ125">
        <v>175</v>
      </c>
      <c r="BR125">
        <v>72</v>
      </c>
      <c r="BS125">
        <v>7.2670454549999999</v>
      </c>
      <c r="BT125">
        <v>0.33901825800000002</v>
      </c>
      <c r="BU125">
        <v>3.8525754600000002</v>
      </c>
      <c r="BV125">
        <v>7.2670454549999999</v>
      </c>
      <c r="BW125">
        <v>-0.33901825800000002</v>
      </c>
      <c r="BX125">
        <v>3.8525754600000002</v>
      </c>
      <c r="BY125">
        <v>105.6198993</v>
      </c>
      <c r="BZ125">
        <v>0.229866759</v>
      </c>
      <c r="CA125">
        <v>29.684675349999999</v>
      </c>
      <c r="CB125">
        <v>105.6198993</v>
      </c>
      <c r="CC125">
        <v>0.229866759</v>
      </c>
      <c r="CD125">
        <v>29.684675349999999</v>
      </c>
      <c r="CE125">
        <v>0.10782364999999999</v>
      </c>
      <c r="CF125">
        <v>2.3251879E-2</v>
      </c>
      <c r="CG125">
        <v>4.7921621999999997E-2</v>
      </c>
      <c r="CH125">
        <v>3.2297979799999998</v>
      </c>
      <c r="CI125">
        <v>0.15067478100000001</v>
      </c>
      <c r="CJ125">
        <v>1.7122557599999999</v>
      </c>
      <c r="CK125">
        <v>4.7921621999999997E-2</v>
      </c>
      <c r="CL125">
        <v>3.2297979799999998</v>
      </c>
      <c r="CM125">
        <v>-0.15067478100000001</v>
      </c>
      <c r="CN125">
        <v>1.7122557599999999</v>
      </c>
      <c r="CO125">
        <v>9.0423970000000006E-3</v>
      </c>
      <c r="CP125">
        <v>41.074405280000001</v>
      </c>
      <c r="CQ125">
        <v>8.9392628000000002E-2</v>
      </c>
      <c r="CR125">
        <v>11.544040409999999</v>
      </c>
      <c r="CS125">
        <v>9.0423970000000006E-3</v>
      </c>
      <c r="CT125">
        <v>41.074405280000001</v>
      </c>
      <c r="CU125">
        <v>8.9392628000000002E-2</v>
      </c>
      <c r="CV125">
        <v>11.544040409999999</v>
      </c>
      <c r="CW125">
        <v>0.10782364999999999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2</v>
      </c>
      <c r="DM125">
        <v>0</v>
      </c>
      <c r="DN125">
        <v>0</v>
      </c>
      <c r="DO125">
        <v>0</v>
      </c>
      <c r="DP125">
        <v>7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0.52970619905765404</v>
      </c>
    </row>
    <row r="126" spans="1:134" x14ac:dyDescent="0.25">
      <c r="A126" t="s">
        <v>38</v>
      </c>
      <c r="B126">
        <v>2</v>
      </c>
      <c r="C126" t="s">
        <v>11</v>
      </c>
      <c r="D126" t="s">
        <v>95</v>
      </c>
      <c r="E126" t="s">
        <v>111</v>
      </c>
      <c r="F126" t="s">
        <v>145</v>
      </c>
      <c r="G126" t="s">
        <v>263</v>
      </c>
      <c r="H126" t="s">
        <v>776</v>
      </c>
      <c r="I126" t="s">
        <v>716</v>
      </c>
      <c r="J126" t="s">
        <v>400</v>
      </c>
      <c r="K126">
        <v>2</v>
      </c>
      <c r="L126">
        <v>270</v>
      </c>
      <c r="M126">
        <v>230</v>
      </c>
      <c r="N126">
        <v>270</v>
      </c>
      <c r="O126">
        <v>40</v>
      </c>
      <c r="P126">
        <v>75</v>
      </c>
      <c r="Q126">
        <v>200</v>
      </c>
      <c r="R126">
        <v>60</v>
      </c>
      <c r="S126">
        <v>130</v>
      </c>
      <c r="T126">
        <v>0.48148148099999999</v>
      </c>
      <c r="V126" t="s">
        <v>103</v>
      </c>
      <c r="W126">
        <v>50</v>
      </c>
      <c r="X126">
        <v>18.399999999999999</v>
      </c>
      <c r="Y126">
        <v>16.399999999999999</v>
      </c>
      <c r="Z126">
        <v>18.399999999999999</v>
      </c>
      <c r="AA126">
        <v>17.733333330000001</v>
      </c>
      <c r="AB126">
        <v>17.733333330000001</v>
      </c>
      <c r="AC126">
        <v>17.399999999999999</v>
      </c>
      <c r="AD126">
        <v>17.899999999999999</v>
      </c>
      <c r="AE126">
        <v>18.399999999999999</v>
      </c>
      <c r="AF126">
        <v>17.899999999999999</v>
      </c>
      <c r="AG126">
        <v>15.9</v>
      </c>
      <c r="AH126">
        <v>18.399999999999999</v>
      </c>
      <c r="AI126">
        <v>17.399999999999999</v>
      </c>
      <c r="AJ126">
        <v>17.233333330000001</v>
      </c>
      <c r="AK126">
        <v>18.399999999999999</v>
      </c>
      <c r="AL126">
        <v>21.3</v>
      </c>
      <c r="AM126">
        <v>20.8</v>
      </c>
      <c r="AN126">
        <v>20.166666670000001</v>
      </c>
      <c r="AO126">
        <v>17.233333330000001</v>
      </c>
      <c r="AP126">
        <v>6.1</v>
      </c>
      <c r="AQ126">
        <v>6.1</v>
      </c>
      <c r="AR126" t="s">
        <v>114</v>
      </c>
      <c r="AS126">
        <v>6.1</v>
      </c>
      <c r="AT126">
        <v>5.0999999999999996</v>
      </c>
      <c r="AU126" t="s">
        <v>114</v>
      </c>
      <c r="AV126" t="s">
        <v>114</v>
      </c>
      <c r="AW126">
        <v>5.0999999999999996</v>
      </c>
      <c r="AX126">
        <v>6.1</v>
      </c>
      <c r="AY126">
        <v>-11.633333329999999</v>
      </c>
      <c r="AZ126">
        <v>75</v>
      </c>
      <c r="BA126">
        <v>20</v>
      </c>
      <c r="BB126">
        <v>1</v>
      </c>
      <c r="BC126">
        <v>1</v>
      </c>
      <c r="BD126">
        <v>4</v>
      </c>
      <c r="BE126">
        <v>0</v>
      </c>
      <c r="BF126">
        <v>1</v>
      </c>
      <c r="BG126">
        <v>0</v>
      </c>
      <c r="BI126">
        <v>4.7</v>
      </c>
      <c r="BJ126">
        <v>42.4</v>
      </c>
      <c r="BK126">
        <v>0</v>
      </c>
      <c r="BL126">
        <v>51</v>
      </c>
      <c r="BM126">
        <v>38</v>
      </c>
      <c r="BN126">
        <v>2226</v>
      </c>
      <c r="BO126">
        <v>177.5</v>
      </c>
      <c r="BP126">
        <v>2048.5</v>
      </c>
      <c r="BQ126">
        <v>355</v>
      </c>
      <c r="BR126">
        <v>1871</v>
      </c>
      <c r="BS126">
        <v>3.3202381000000001</v>
      </c>
      <c r="BT126">
        <v>7.2147627000000006E-2</v>
      </c>
      <c r="BU126">
        <v>5.9992126600000004</v>
      </c>
      <c r="BV126">
        <v>-3.3202381000000001</v>
      </c>
      <c r="BW126">
        <v>7.2147627000000006E-2</v>
      </c>
      <c r="BX126">
        <v>-5.9992126600000004</v>
      </c>
      <c r="BY126" t="s">
        <v>114</v>
      </c>
      <c r="BZ126" t="s">
        <v>114</v>
      </c>
      <c r="CA126" t="s">
        <v>114</v>
      </c>
      <c r="CB126" t="s">
        <v>114</v>
      </c>
      <c r="CC126" t="s">
        <v>114</v>
      </c>
      <c r="CD126" t="s">
        <v>114</v>
      </c>
      <c r="CE126">
        <v>3.8152800000000001E-2</v>
      </c>
      <c r="CF126" t="s">
        <v>114</v>
      </c>
      <c r="CG126">
        <v>3.8152800000000001E-2</v>
      </c>
      <c r="CH126">
        <v>3.3202381000000001</v>
      </c>
      <c r="CI126">
        <v>7.2147627000000006E-2</v>
      </c>
      <c r="CJ126">
        <v>5.9992126600000004</v>
      </c>
      <c r="CK126">
        <v>-3.8152800000000001E-2</v>
      </c>
      <c r="CL126">
        <v>-3.3202381000000001</v>
      </c>
      <c r="CM126">
        <v>7.2147627000000006E-2</v>
      </c>
      <c r="CN126">
        <v>-5.9992126600000004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-3.8152800000000001E-2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2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</row>
    <row r="127" spans="1:134" x14ac:dyDescent="0.25">
      <c r="A127" t="s">
        <v>39</v>
      </c>
      <c r="B127">
        <v>2</v>
      </c>
      <c r="C127" t="s">
        <v>15</v>
      </c>
      <c r="D127" t="s">
        <v>94</v>
      </c>
      <c r="E127" t="s">
        <v>102</v>
      </c>
      <c r="F127" t="s">
        <v>145</v>
      </c>
      <c r="G127" t="s">
        <v>265</v>
      </c>
      <c r="H127" t="s">
        <v>755</v>
      </c>
      <c r="I127" t="s">
        <v>717</v>
      </c>
      <c r="J127" t="s">
        <v>401</v>
      </c>
      <c r="K127">
        <v>8</v>
      </c>
      <c r="L127">
        <v>70</v>
      </c>
      <c r="M127">
        <v>90</v>
      </c>
      <c r="N127">
        <v>70</v>
      </c>
      <c r="O127">
        <v>-20</v>
      </c>
      <c r="P127">
        <v>90</v>
      </c>
      <c r="Q127">
        <v>90</v>
      </c>
      <c r="R127">
        <v>0</v>
      </c>
      <c r="S127">
        <v>45</v>
      </c>
      <c r="T127">
        <v>0.64285714299999996</v>
      </c>
      <c r="V127" t="s">
        <v>102</v>
      </c>
      <c r="W127">
        <v>60</v>
      </c>
      <c r="X127">
        <v>14.4</v>
      </c>
      <c r="Y127">
        <v>12</v>
      </c>
      <c r="Z127">
        <v>13.5</v>
      </c>
      <c r="AA127">
        <v>13.3</v>
      </c>
      <c r="AB127">
        <v>13.3</v>
      </c>
      <c r="AC127">
        <v>13</v>
      </c>
      <c r="AD127">
        <v>14.4</v>
      </c>
      <c r="AE127">
        <v>15.9</v>
      </c>
      <c r="AF127">
        <v>14.43333333</v>
      </c>
      <c r="AG127">
        <v>12</v>
      </c>
      <c r="AH127">
        <v>13.9</v>
      </c>
      <c r="AI127">
        <v>13.9</v>
      </c>
      <c r="AJ127">
        <v>13.266666669999999</v>
      </c>
      <c r="AK127">
        <v>13.9</v>
      </c>
      <c r="AL127">
        <v>14.9</v>
      </c>
      <c r="AM127">
        <v>15.9</v>
      </c>
      <c r="AN127">
        <v>14.9</v>
      </c>
      <c r="AO127">
        <v>13.266666669999999</v>
      </c>
      <c r="AP127">
        <v>4.0999999999999996</v>
      </c>
      <c r="AQ127">
        <v>4.5999999999999996</v>
      </c>
      <c r="AR127">
        <v>5.0999999999999996</v>
      </c>
      <c r="AS127">
        <v>4.5999999999999996</v>
      </c>
      <c r="AT127">
        <v>4.5999999999999996</v>
      </c>
      <c r="AU127">
        <v>5.6</v>
      </c>
      <c r="AV127">
        <v>5.0999999999999996</v>
      </c>
      <c r="AW127">
        <v>5.0999999999999996</v>
      </c>
      <c r="AX127">
        <v>4.5999999999999996</v>
      </c>
      <c r="AY127">
        <v>-8.6999999999999993</v>
      </c>
      <c r="AZ127">
        <v>60</v>
      </c>
      <c r="BA127">
        <v>4</v>
      </c>
      <c r="BB127">
        <v>5</v>
      </c>
      <c r="BC127">
        <v>1</v>
      </c>
      <c r="BD127">
        <v>1</v>
      </c>
      <c r="BE127">
        <v>0</v>
      </c>
      <c r="BF127">
        <v>0</v>
      </c>
      <c r="BG127">
        <v>5</v>
      </c>
      <c r="BI127">
        <v>7.3</v>
      </c>
      <c r="BJ127">
        <v>0</v>
      </c>
      <c r="BK127">
        <v>0</v>
      </c>
      <c r="BL127">
        <v>12</v>
      </c>
      <c r="BM127">
        <v>11</v>
      </c>
      <c r="BN127">
        <v>228</v>
      </c>
      <c r="BO127">
        <v>161.5</v>
      </c>
      <c r="BP127">
        <v>66.5</v>
      </c>
      <c r="BQ127">
        <v>182</v>
      </c>
      <c r="BR127">
        <v>46</v>
      </c>
      <c r="BS127">
        <v>22.515230020000001</v>
      </c>
      <c r="BT127">
        <v>0.97674781899999996</v>
      </c>
      <c r="BU127">
        <v>8.8847458400000008</v>
      </c>
      <c r="BV127">
        <v>-22.121964030000001</v>
      </c>
      <c r="BW127">
        <v>0.45302181899999999</v>
      </c>
      <c r="BX127">
        <v>-2.667305984</v>
      </c>
      <c r="BY127">
        <v>303.97852929999999</v>
      </c>
      <c r="BZ127">
        <v>0.119915514</v>
      </c>
      <c r="CA127">
        <v>75.361265900000006</v>
      </c>
      <c r="CB127">
        <v>325.92139229999998</v>
      </c>
      <c r="CC127">
        <v>1.0559249319999999</v>
      </c>
      <c r="CD127">
        <v>165.1415002</v>
      </c>
      <c r="CE127">
        <v>0.77484417999999999</v>
      </c>
      <c r="CF127">
        <v>9.2138129999999995E-3</v>
      </c>
      <c r="CG127">
        <v>0.78441697499999996</v>
      </c>
      <c r="CH127">
        <v>17.58264587</v>
      </c>
      <c r="CI127">
        <v>0.92553089099999997</v>
      </c>
      <c r="CJ127">
        <v>6.6596246079999997</v>
      </c>
      <c r="CK127">
        <v>0.78441697499999996</v>
      </c>
      <c r="CL127">
        <v>-17.091063380000001</v>
      </c>
      <c r="CM127">
        <v>0.59820214100000002</v>
      </c>
      <c r="CN127">
        <v>-1.134466153</v>
      </c>
      <c r="CO127">
        <v>9.8685149999999996E-3</v>
      </c>
      <c r="CP127">
        <v>235.08833519999999</v>
      </c>
      <c r="CQ127">
        <v>0.117303817</v>
      </c>
      <c r="CR127">
        <v>55.280692690000002</v>
      </c>
      <c r="CS127">
        <v>9.8685149999999996E-3</v>
      </c>
      <c r="CT127">
        <v>254.56832180000001</v>
      </c>
      <c r="CU127">
        <v>0.68731710700000004</v>
      </c>
      <c r="CV127">
        <v>104.4962201</v>
      </c>
      <c r="CW127">
        <v>0.77484417999999999</v>
      </c>
      <c r="CX127">
        <v>0</v>
      </c>
      <c r="CY127">
        <v>0</v>
      </c>
      <c r="CZ127">
        <v>0</v>
      </c>
      <c r="DA127">
        <v>0</v>
      </c>
      <c r="DB127">
        <v>1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2</v>
      </c>
      <c r="DM127">
        <v>0</v>
      </c>
      <c r="DN127">
        <v>0</v>
      </c>
      <c r="DO127">
        <v>0</v>
      </c>
      <c r="DP127">
        <v>3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1</v>
      </c>
      <c r="DW127">
        <v>0</v>
      </c>
      <c r="DX127">
        <v>0</v>
      </c>
      <c r="DY127">
        <v>1</v>
      </c>
      <c r="DZ127">
        <v>0</v>
      </c>
      <c r="EA127">
        <v>0</v>
      </c>
      <c r="EB127">
        <v>0</v>
      </c>
      <c r="EC127">
        <v>0</v>
      </c>
      <c r="ED127">
        <v>1.49417513828931</v>
      </c>
    </row>
    <row r="128" spans="1:134" x14ac:dyDescent="0.25">
      <c r="A128" t="s">
        <v>39</v>
      </c>
      <c r="B128">
        <v>2</v>
      </c>
      <c r="C128" t="s">
        <v>15</v>
      </c>
      <c r="D128" t="s">
        <v>94</v>
      </c>
      <c r="E128" t="s">
        <v>113</v>
      </c>
      <c r="F128" t="s">
        <v>145</v>
      </c>
      <c r="G128" t="s">
        <v>259</v>
      </c>
      <c r="H128" t="s">
        <v>763</v>
      </c>
      <c r="I128" t="s">
        <v>718</v>
      </c>
      <c r="J128" t="s">
        <v>402</v>
      </c>
      <c r="K128">
        <v>10</v>
      </c>
      <c r="L128">
        <v>60</v>
      </c>
      <c r="M128">
        <v>70</v>
      </c>
      <c r="N128">
        <v>60</v>
      </c>
      <c r="O128">
        <v>-10</v>
      </c>
      <c r="P128">
        <v>3</v>
      </c>
      <c r="Q128">
        <v>25</v>
      </c>
      <c r="R128">
        <v>25</v>
      </c>
      <c r="S128">
        <v>25</v>
      </c>
      <c r="T128">
        <v>0.41666666699999999</v>
      </c>
      <c r="V128" t="s">
        <v>113</v>
      </c>
      <c r="W128">
        <v>50</v>
      </c>
      <c r="X128">
        <v>14.4</v>
      </c>
      <c r="Y128">
        <v>12</v>
      </c>
      <c r="Z128">
        <v>13.5</v>
      </c>
      <c r="AA128">
        <v>13.3</v>
      </c>
      <c r="AB128">
        <v>13.3</v>
      </c>
      <c r="AC128">
        <v>15.4</v>
      </c>
      <c r="AD128">
        <v>16.399999999999999</v>
      </c>
      <c r="AE128">
        <v>14.9</v>
      </c>
      <c r="AF128">
        <v>15.56666667</v>
      </c>
      <c r="AG128">
        <v>12</v>
      </c>
      <c r="AH128">
        <v>13.9</v>
      </c>
      <c r="AI128">
        <v>13.9</v>
      </c>
      <c r="AJ128">
        <v>13.266666669999999</v>
      </c>
      <c r="AK128">
        <v>14.9</v>
      </c>
      <c r="AL128">
        <v>16.399999999999999</v>
      </c>
      <c r="AM128">
        <v>17.399999999999999</v>
      </c>
      <c r="AN128">
        <v>16.233333330000001</v>
      </c>
      <c r="AO128">
        <v>13.266666669999999</v>
      </c>
      <c r="AP128">
        <v>4.0999999999999996</v>
      </c>
      <c r="AQ128">
        <v>4.5999999999999996</v>
      </c>
      <c r="AR128">
        <v>5.0999999999999996</v>
      </c>
      <c r="AS128">
        <v>4.5999999999999996</v>
      </c>
      <c r="AT128">
        <v>4.5999999999999996</v>
      </c>
      <c r="AU128">
        <v>5.6</v>
      </c>
      <c r="AV128">
        <v>6.1</v>
      </c>
      <c r="AW128">
        <v>5.4333333330000002</v>
      </c>
      <c r="AX128">
        <v>4.5999999999999996</v>
      </c>
      <c r="AY128">
        <v>-8.6999999999999993</v>
      </c>
      <c r="AZ128">
        <v>60</v>
      </c>
      <c r="BA128">
        <v>4</v>
      </c>
      <c r="BB128">
        <v>5</v>
      </c>
      <c r="BC128">
        <v>1</v>
      </c>
      <c r="BD128">
        <v>1</v>
      </c>
      <c r="BE128">
        <v>0</v>
      </c>
      <c r="BF128">
        <v>0</v>
      </c>
      <c r="BG128">
        <v>5</v>
      </c>
      <c r="BI128">
        <v>7.3</v>
      </c>
      <c r="BJ128">
        <v>0</v>
      </c>
      <c r="BK128">
        <v>0</v>
      </c>
      <c r="BL128">
        <v>1</v>
      </c>
      <c r="BM128">
        <v>1</v>
      </c>
      <c r="BN128">
        <v>1</v>
      </c>
      <c r="BO128">
        <v>2</v>
      </c>
      <c r="BP128">
        <v>-1</v>
      </c>
      <c r="BQ128" t="s">
        <v>114</v>
      </c>
      <c r="BR128" t="s">
        <v>114</v>
      </c>
      <c r="BS128">
        <v>9.4504675270000007</v>
      </c>
      <c r="BT128">
        <v>0.45285198399999999</v>
      </c>
      <c r="BU128">
        <v>14.075093430000001</v>
      </c>
      <c r="BV128">
        <v>-9.4504675270000007</v>
      </c>
      <c r="BW128">
        <v>0.45285198399999999</v>
      </c>
      <c r="BX128">
        <v>-14.075093430000001</v>
      </c>
      <c r="BY128">
        <v>132.93052230000001</v>
      </c>
      <c r="BZ128">
        <v>0.154508278</v>
      </c>
      <c r="CA128">
        <v>229.00466130000001</v>
      </c>
      <c r="CB128">
        <v>132.93052230000001</v>
      </c>
      <c r="CC128">
        <v>0.154508278</v>
      </c>
      <c r="CD128">
        <v>229.00466130000001</v>
      </c>
      <c r="CE128">
        <v>0.83400958700000005</v>
      </c>
      <c r="CF128">
        <v>1.552185959</v>
      </c>
      <c r="CG128">
        <v>0.32096552299999997</v>
      </c>
      <c r="CH128">
        <v>9.5240837599999999</v>
      </c>
      <c r="CI128">
        <v>0.33168990500000001</v>
      </c>
      <c r="CJ128">
        <v>13.246694079999999</v>
      </c>
      <c r="CK128">
        <v>-0.32096552299999997</v>
      </c>
      <c r="CL128">
        <v>-9.5240837599999999</v>
      </c>
      <c r="CM128">
        <v>0.33168990500000001</v>
      </c>
      <c r="CN128">
        <v>-13.246694079999999</v>
      </c>
      <c r="CO128">
        <v>0.48086788499999999</v>
      </c>
      <c r="CP128">
        <v>124.2346865</v>
      </c>
      <c r="CQ128">
        <v>0.122492068</v>
      </c>
      <c r="CR128">
        <v>223.56712709999999</v>
      </c>
      <c r="CS128">
        <v>0.48086788499999999</v>
      </c>
      <c r="CT128">
        <v>124.2346865</v>
      </c>
      <c r="CU128">
        <v>0.122492068</v>
      </c>
      <c r="CV128">
        <v>223.56712709999999</v>
      </c>
      <c r="CW128">
        <v>-0.83400958700000005</v>
      </c>
      <c r="CX128">
        <v>0</v>
      </c>
      <c r="CY128">
        <v>0</v>
      </c>
      <c r="CZ128">
        <v>0</v>
      </c>
      <c r="DA128">
        <v>0</v>
      </c>
      <c r="DB128">
        <v>4</v>
      </c>
      <c r="DC128">
        <v>0</v>
      </c>
      <c r="DD128">
        <v>1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5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0.943348392329039</v>
      </c>
    </row>
    <row r="129" spans="1:134" x14ac:dyDescent="0.25">
      <c r="A129" t="s">
        <v>39</v>
      </c>
      <c r="B129">
        <v>2</v>
      </c>
      <c r="C129" t="s">
        <v>15</v>
      </c>
      <c r="D129" t="s">
        <v>94</v>
      </c>
      <c r="E129" t="s">
        <v>103</v>
      </c>
      <c r="F129" t="s">
        <v>145</v>
      </c>
      <c r="G129" t="s">
        <v>260</v>
      </c>
      <c r="H129" t="s">
        <v>771</v>
      </c>
      <c r="I129" t="s">
        <v>719</v>
      </c>
      <c r="J129" t="s">
        <v>403</v>
      </c>
      <c r="K129">
        <v>8</v>
      </c>
      <c r="L129">
        <v>40</v>
      </c>
      <c r="M129">
        <v>50</v>
      </c>
      <c r="N129">
        <v>40</v>
      </c>
      <c r="O129">
        <v>-10</v>
      </c>
      <c r="P129">
        <v>15</v>
      </c>
      <c r="Q129">
        <v>18</v>
      </c>
      <c r="R129">
        <v>10</v>
      </c>
      <c r="S129">
        <v>14</v>
      </c>
      <c r="T129">
        <v>0.35</v>
      </c>
      <c r="V129" t="s">
        <v>103</v>
      </c>
      <c r="W129">
        <v>60</v>
      </c>
      <c r="X129">
        <v>14.4</v>
      </c>
      <c r="Y129">
        <v>12</v>
      </c>
      <c r="Z129">
        <v>13.5</v>
      </c>
      <c r="AA129">
        <v>13.3</v>
      </c>
      <c r="AB129">
        <v>13.3</v>
      </c>
      <c r="AC129">
        <v>15.4</v>
      </c>
      <c r="AD129">
        <v>14.4</v>
      </c>
      <c r="AE129">
        <v>17.899999999999999</v>
      </c>
      <c r="AF129">
        <v>15.9</v>
      </c>
      <c r="AG129">
        <v>12</v>
      </c>
      <c r="AH129">
        <v>13.9</v>
      </c>
      <c r="AI129">
        <v>13.9</v>
      </c>
      <c r="AJ129">
        <v>13.266666669999999</v>
      </c>
      <c r="AK129">
        <v>17.399999999999999</v>
      </c>
      <c r="AL129">
        <v>14.4</v>
      </c>
      <c r="AM129">
        <v>14.9</v>
      </c>
      <c r="AN129">
        <v>15.56666667</v>
      </c>
      <c r="AO129">
        <v>13.266666669999999</v>
      </c>
      <c r="AP129">
        <v>4.0999999999999996</v>
      </c>
      <c r="AQ129">
        <v>4.5999999999999996</v>
      </c>
      <c r="AR129">
        <v>5.0999999999999996</v>
      </c>
      <c r="AS129">
        <v>4.5999999999999996</v>
      </c>
      <c r="AT129">
        <v>5.0999999999999996</v>
      </c>
      <c r="AU129">
        <v>5.0999999999999996</v>
      </c>
      <c r="AV129">
        <v>5.6</v>
      </c>
      <c r="AW129">
        <v>5.266666667</v>
      </c>
      <c r="AX129">
        <v>4.5999999999999996</v>
      </c>
      <c r="AY129">
        <v>-8.6999999999999993</v>
      </c>
      <c r="AZ129">
        <v>60</v>
      </c>
      <c r="BA129">
        <v>4</v>
      </c>
      <c r="BB129">
        <v>5</v>
      </c>
      <c r="BC129">
        <v>1</v>
      </c>
      <c r="BD129">
        <v>1</v>
      </c>
      <c r="BE129">
        <v>0</v>
      </c>
      <c r="BF129">
        <v>0</v>
      </c>
      <c r="BG129">
        <v>5</v>
      </c>
      <c r="BI129">
        <v>7.3</v>
      </c>
      <c r="BJ129">
        <v>0</v>
      </c>
      <c r="BK129">
        <v>0</v>
      </c>
      <c r="BL129">
        <v>2</v>
      </c>
      <c r="BM129">
        <v>2</v>
      </c>
      <c r="BN129">
        <v>144</v>
      </c>
      <c r="BO129">
        <v>333</v>
      </c>
      <c r="BP129">
        <v>-189</v>
      </c>
      <c r="BQ129">
        <v>240</v>
      </c>
      <c r="BR129">
        <v>-96</v>
      </c>
      <c r="BS129">
        <v>10.05997475</v>
      </c>
      <c r="BT129">
        <v>1.017844344</v>
      </c>
      <c r="BU129">
        <v>3.5885092269999999</v>
      </c>
      <c r="BV129">
        <v>-0.37058080700000001</v>
      </c>
      <c r="BW129">
        <v>-1.017844344</v>
      </c>
      <c r="BX129">
        <v>1.5482580530000001</v>
      </c>
      <c r="BY129">
        <v>76.211311730000006</v>
      </c>
      <c r="BZ129">
        <v>1.4973479439999999</v>
      </c>
      <c r="CA129">
        <v>15.0515306</v>
      </c>
      <c r="CB129">
        <v>227.80995440000001</v>
      </c>
      <c r="CC129">
        <v>1.4973479439999999</v>
      </c>
      <c r="CD129">
        <v>30.771973809999999</v>
      </c>
      <c r="CE129">
        <v>7.9128799999999999E-2</v>
      </c>
      <c r="CF129">
        <v>1.4096123E-2</v>
      </c>
      <c r="CG129">
        <v>0.11054103799999999</v>
      </c>
      <c r="CH129">
        <v>9.2227746209999992</v>
      </c>
      <c r="CI129">
        <v>0.63595532300000002</v>
      </c>
      <c r="CJ129">
        <v>4.2351225550000002</v>
      </c>
      <c r="CK129">
        <v>0.11054103799999999</v>
      </c>
      <c r="CL129">
        <v>5.3113162889999996</v>
      </c>
      <c r="CM129">
        <v>-0.63595532300000002</v>
      </c>
      <c r="CN129">
        <v>3.4700283650000001</v>
      </c>
      <c r="CO129">
        <v>1.2676150000000001E-2</v>
      </c>
      <c r="CP129">
        <v>58.467817310000001</v>
      </c>
      <c r="CQ129">
        <v>0.60662919800000004</v>
      </c>
      <c r="CR129">
        <v>14.764743470000001</v>
      </c>
      <c r="CS129">
        <v>1.2676150000000001E-2</v>
      </c>
      <c r="CT129">
        <v>123.43866420000001</v>
      </c>
      <c r="CU129">
        <v>0.60662919800000004</v>
      </c>
      <c r="CV129">
        <v>21.50207627</v>
      </c>
      <c r="CW129">
        <v>7.9128799999999999E-2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4</v>
      </c>
      <c r="DM129">
        <v>0</v>
      </c>
      <c r="DN129">
        <v>0</v>
      </c>
      <c r="DO129">
        <v>0</v>
      </c>
      <c r="DP129">
        <v>3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1</v>
      </c>
      <c r="DZ129">
        <v>0</v>
      </c>
      <c r="EA129">
        <v>0</v>
      </c>
      <c r="EB129">
        <v>0</v>
      </c>
      <c r="EC129">
        <v>0</v>
      </c>
      <c r="ED129">
        <v>0.97431475286934899</v>
      </c>
    </row>
    <row r="130" spans="1:134" x14ac:dyDescent="0.25">
      <c r="A130" t="s">
        <v>39</v>
      </c>
      <c r="B130">
        <v>2</v>
      </c>
      <c r="C130" t="s">
        <v>15</v>
      </c>
      <c r="D130" t="s">
        <v>94</v>
      </c>
      <c r="E130" t="s">
        <v>111</v>
      </c>
      <c r="F130" t="s">
        <v>145</v>
      </c>
      <c r="G130" t="s">
        <v>263</v>
      </c>
      <c r="H130" t="s">
        <v>775</v>
      </c>
      <c r="I130" t="s">
        <v>720</v>
      </c>
      <c r="J130" t="s">
        <v>404</v>
      </c>
      <c r="K130">
        <v>3</v>
      </c>
      <c r="L130">
        <v>400</v>
      </c>
      <c r="M130">
        <v>210</v>
      </c>
      <c r="N130">
        <v>400</v>
      </c>
      <c r="O130">
        <v>190</v>
      </c>
      <c r="P130">
        <v>75</v>
      </c>
      <c r="Q130">
        <v>220</v>
      </c>
      <c r="R130">
        <v>20</v>
      </c>
      <c r="S130">
        <v>120</v>
      </c>
      <c r="T130">
        <v>0.3</v>
      </c>
      <c r="V130" t="s">
        <v>104</v>
      </c>
      <c r="W130">
        <v>40</v>
      </c>
      <c r="X130">
        <v>14.4</v>
      </c>
      <c r="Y130">
        <v>12</v>
      </c>
      <c r="Z130">
        <v>13.5</v>
      </c>
      <c r="AA130">
        <v>13.3</v>
      </c>
      <c r="AB130">
        <v>13.3</v>
      </c>
      <c r="AC130">
        <v>16.899999999999999</v>
      </c>
      <c r="AD130">
        <v>14.4</v>
      </c>
      <c r="AE130">
        <v>16.899999999999999</v>
      </c>
      <c r="AF130">
        <v>16.06666667</v>
      </c>
      <c r="AG130">
        <v>12</v>
      </c>
      <c r="AH130">
        <v>13.9</v>
      </c>
      <c r="AI130">
        <v>13.9</v>
      </c>
      <c r="AJ130">
        <v>13.266666669999999</v>
      </c>
      <c r="AK130">
        <v>14.9</v>
      </c>
      <c r="AL130">
        <v>14.4</v>
      </c>
      <c r="AM130">
        <v>15.4</v>
      </c>
      <c r="AN130">
        <v>14.9</v>
      </c>
      <c r="AO130">
        <v>13.266666669999999</v>
      </c>
      <c r="AP130">
        <v>4.0999999999999996</v>
      </c>
      <c r="AQ130">
        <v>4.5999999999999996</v>
      </c>
      <c r="AR130">
        <v>5.0999999999999996</v>
      </c>
      <c r="AS130">
        <v>4.5999999999999996</v>
      </c>
      <c r="AT130">
        <v>5.0999999999999996</v>
      </c>
      <c r="AU130">
        <v>5.0999999999999996</v>
      </c>
      <c r="AV130">
        <v>5.6</v>
      </c>
      <c r="AW130">
        <v>5.266666667</v>
      </c>
      <c r="AX130">
        <v>4.5999999999999996</v>
      </c>
      <c r="AY130">
        <v>-8.6999999999999993</v>
      </c>
      <c r="AZ130">
        <v>60</v>
      </c>
      <c r="BA130">
        <v>4</v>
      </c>
      <c r="BB130">
        <v>5</v>
      </c>
      <c r="BC130">
        <v>1</v>
      </c>
      <c r="BD130">
        <v>1</v>
      </c>
      <c r="BE130">
        <v>0</v>
      </c>
      <c r="BF130">
        <v>0</v>
      </c>
      <c r="BG130">
        <v>5</v>
      </c>
      <c r="BI130">
        <v>7.3</v>
      </c>
      <c r="BJ130">
        <v>0</v>
      </c>
      <c r="BK130">
        <v>0</v>
      </c>
      <c r="BL130">
        <v>107</v>
      </c>
      <c r="BM130">
        <v>40</v>
      </c>
      <c r="BN130">
        <v>3885</v>
      </c>
      <c r="BO130">
        <v>1464.6667</v>
      </c>
      <c r="BP130">
        <v>2420.3332999999998</v>
      </c>
      <c r="BQ130">
        <v>481</v>
      </c>
      <c r="BR130">
        <v>3404</v>
      </c>
      <c r="BS130">
        <v>13.549404750000001</v>
      </c>
      <c r="BT130">
        <v>1.3123341399999999</v>
      </c>
      <c r="BU130">
        <v>5.7197365869999999</v>
      </c>
      <c r="BV130">
        <v>-13.549404750000001</v>
      </c>
      <c r="BW130">
        <v>-1.264235722</v>
      </c>
      <c r="BX130">
        <v>-5.7197365869999999</v>
      </c>
      <c r="BY130">
        <v>78.568142170000002</v>
      </c>
      <c r="BZ130">
        <v>1.2911296940000001</v>
      </c>
      <c r="CA130">
        <v>12.16613278</v>
      </c>
      <c r="CB130">
        <v>78.568142170000002</v>
      </c>
      <c r="CC130">
        <v>1.4770230959999999</v>
      </c>
      <c r="CD130">
        <v>12.16613278</v>
      </c>
      <c r="CE130">
        <v>0.11859623</v>
      </c>
      <c r="CF130">
        <v>3.6090087999999999E-2</v>
      </c>
      <c r="CG130">
        <v>0.11859623</v>
      </c>
      <c r="CH130">
        <v>13.549404750000001</v>
      </c>
      <c r="CI130">
        <v>1.3123341399999999</v>
      </c>
      <c r="CJ130">
        <v>5.7197365869999999</v>
      </c>
      <c r="CK130">
        <v>8.2218562999999995E-2</v>
      </c>
      <c r="CL130">
        <v>-13.549404750000001</v>
      </c>
      <c r="CM130">
        <v>-1.264235722</v>
      </c>
      <c r="CN130">
        <v>-5.7197365869999999</v>
      </c>
      <c r="CO130">
        <v>2.5132327999999999E-2</v>
      </c>
      <c r="CP130">
        <v>78.568142170000002</v>
      </c>
      <c r="CQ130">
        <v>1.2911296940000001</v>
      </c>
      <c r="CR130">
        <v>12.16613278</v>
      </c>
      <c r="CS130">
        <v>3.6090087999999999E-2</v>
      </c>
      <c r="CT130">
        <v>78.568142170000002</v>
      </c>
      <c r="CU130">
        <v>1.4770230959999999</v>
      </c>
      <c r="CV130">
        <v>12.16613278</v>
      </c>
      <c r="CW130">
        <v>8.2218562999999995E-2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1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1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1</v>
      </c>
      <c r="DZ130">
        <v>0</v>
      </c>
      <c r="EA130">
        <v>0</v>
      </c>
      <c r="EB130">
        <v>0</v>
      </c>
      <c r="EC130">
        <v>0</v>
      </c>
      <c r="ED130">
        <v>1.09861228866811</v>
      </c>
    </row>
    <row r="131" spans="1:134" x14ac:dyDescent="0.25">
      <c r="A131" t="s">
        <v>39</v>
      </c>
      <c r="B131">
        <v>2</v>
      </c>
      <c r="C131" t="s">
        <v>15</v>
      </c>
      <c r="D131" t="s">
        <v>94</v>
      </c>
      <c r="E131" t="s">
        <v>104</v>
      </c>
      <c r="F131" t="s">
        <v>145</v>
      </c>
      <c r="G131" t="s">
        <v>264</v>
      </c>
      <c r="H131" t="s">
        <v>779</v>
      </c>
      <c r="I131" t="s">
        <v>721</v>
      </c>
      <c r="J131" t="s">
        <v>405</v>
      </c>
      <c r="K131">
        <v>4</v>
      </c>
      <c r="L131">
        <v>70</v>
      </c>
      <c r="M131">
        <v>35</v>
      </c>
      <c r="N131">
        <v>70</v>
      </c>
      <c r="O131">
        <v>35</v>
      </c>
      <c r="P131">
        <v>25</v>
      </c>
      <c r="Q131">
        <v>20</v>
      </c>
      <c r="R131">
        <v>20</v>
      </c>
      <c r="S131">
        <v>20</v>
      </c>
      <c r="T131">
        <v>0.28571428599999998</v>
      </c>
      <c r="V131" t="s">
        <v>104</v>
      </c>
      <c r="W131">
        <v>80</v>
      </c>
      <c r="X131">
        <v>14.4</v>
      </c>
      <c r="Y131">
        <v>12</v>
      </c>
      <c r="Z131">
        <v>13.5</v>
      </c>
      <c r="AA131">
        <v>13.3</v>
      </c>
      <c r="AB131">
        <v>13.3</v>
      </c>
      <c r="AC131">
        <v>15.9</v>
      </c>
      <c r="AD131">
        <v>14.4</v>
      </c>
      <c r="AE131">
        <v>13.5</v>
      </c>
      <c r="AF131">
        <v>14.6</v>
      </c>
      <c r="AG131">
        <v>12</v>
      </c>
      <c r="AH131">
        <v>13.9</v>
      </c>
      <c r="AI131">
        <v>13.9</v>
      </c>
      <c r="AJ131">
        <v>13.266666669999999</v>
      </c>
      <c r="AK131">
        <v>14.9</v>
      </c>
      <c r="AL131">
        <v>15.9</v>
      </c>
      <c r="AM131">
        <v>16.899999999999999</v>
      </c>
      <c r="AN131">
        <v>15.9</v>
      </c>
      <c r="AO131">
        <v>13.266666669999999</v>
      </c>
      <c r="AP131">
        <v>4.0999999999999996</v>
      </c>
      <c r="AQ131">
        <v>4.5999999999999996</v>
      </c>
      <c r="AR131">
        <v>5.0999999999999996</v>
      </c>
      <c r="AS131">
        <v>4.5999999999999996</v>
      </c>
      <c r="AT131">
        <v>5.0999999999999996</v>
      </c>
      <c r="AU131">
        <v>5.6</v>
      </c>
      <c r="AV131">
        <v>6.1</v>
      </c>
      <c r="AW131">
        <v>5.6</v>
      </c>
      <c r="AX131">
        <v>4.5999999999999996</v>
      </c>
      <c r="AY131">
        <v>-8.6999999999999993</v>
      </c>
      <c r="AZ131">
        <v>60</v>
      </c>
      <c r="BA131">
        <v>4</v>
      </c>
      <c r="BB131">
        <v>5</v>
      </c>
      <c r="BC131">
        <v>1</v>
      </c>
      <c r="BD131">
        <v>1</v>
      </c>
      <c r="BE131">
        <v>0</v>
      </c>
      <c r="BF131">
        <v>0</v>
      </c>
      <c r="BG131">
        <v>5</v>
      </c>
      <c r="BI131">
        <v>7.3</v>
      </c>
      <c r="BJ131">
        <v>0</v>
      </c>
      <c r="BK131">
        <v>0</v>
      </c>
      <c r="BL131">
        <v>2</v>
      </c>
      <c r="BM131">
        <v>2</v>
      </c>
      <c r="BN131">
        <v>14</v>
      </c>
      <c r="BO131">
        <v>35</v>
      </c>
      <c r="BP131">
        <v>-21</v>
      </c>
      <c r="BQ131">
        <v>56</v>
      </c>
      <c r="BR131">
        <v>-42</v>
      </c>
      <c r="BS131">
        <v>15.089962119999999</v>
      </c>
      <c r="BT131">
        <v>0.84872999999999998</v>
      </c>
      <c r="BU131">
        <v>5.38276384</v>
      </c>
      <c r="BV131">
        <v>15.089962119999999</v>
      </c>
      <c r="BW131">
        <v>0.84872999999999998</v>
      </c>
      <c r="BX131">
        <v>5.38276384</v>
      </c>
      <c r="BY131">
        <v>455.4139136</v>
      </c>
      <c r="BZ131">
        <v>1.440685226</v>
      </c>
      <c r="CA131">
        <v>57.948293110000002</v>
      </c>
      <c r="CB131">
        <v>455.4139136</v>
      </c>
      <c r="CC131">
        <v>1.440685226</v>
      </c>
      <c r="CD131">
        <v>57.948293110000002</v>
      </c>
      <c r="CE131">
        <v>9.6954100000000001E-2</v>
      </c>
      <c r="CF131">
        <v>1.8800194999999999E-2</v>
      </c>
      <c r="CG131">
        <v>4.8477050000000001E-2</v>
      </c>
      <c r="CH131">
        <v>7.5449810599999996</v>
      </c>
      <c r="CI131">
        <v>0.42436499999999999</v>
      </c>
      <c r="CJ131">
        <v>2.69138192</v>
      </c>
      <c r="CK131">
        <v>4.8477050000000001E-2</v>
      </c>
      <c r="CL131">
        <v>7.5449810599999996</v>
      </c>
      <c r="CM131">
        <v>0.42436499999999999</v>
      </c>
      <c r="CN131">
        <v>2.69138192</v>
      </c>
      <c r="CO131">
        <v>9.4000980000000008E-3</v>
      </c>
      <c r="CP131">
        <v>227.7069568</v>
      </c>
      <c r="CQ131">
        <v>0.72034261300000002</v>
      </c>
      <c r="CR131">
        <v>28.974146560000001</v>
      </c>
      <c r="CS131">
        <v>9.4000980000000008E-3</v>
      </c>
      <c r="CT131">
        <v>227.7069568</v>
      </c>
      <c r="CU131">
        <v>0.72034261300000002</v>
      </c>
      <c r="CV131">
        <v>28.974146560000001</v>
      </c>
      <c r="CW131">
        <v>9.6954100000000001E-2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1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3</v>
      </c>
      <c r="DZ131">
        <v>0</v>
      </c>
      <c r="EA131">
        <v>0</v>
      </c>
      <c r="EB131">
        <v>0</v>
      </c>
      <c r="EC131">
        <v>0</v>
      </c>
      <c r="ED131">
        <v>0.56233514461880796</v>
      </c>
    </row>
    <row r="132" spans="1:134" x14ac:dyDescent="0.25">
      <c r="A132" t="s">
        <v>40</v>
      </c>
      <c r="B132">
        <v>2</v>
      </c>
      <c r="C132" t="s">
        <v>17</v>
      </c>
      <c r="D132" t="s">
        <v>95</v>
      </c>
      <c r="E132" t="s">
        <v>113</v>
      </c>
      <c r="F132" t="s">
        <v>145</v>
      </c>
      <c r="G132" t="s">
        <v>259</v>
      </c>
      <c r="H132" t="s">
        <v>764</v>
      </c>
      <c r="I132" t="s">
        <v>714</v>
      </c>
      <c r="J132" t="s">
        <v>406</v>
      </c>
      <c r="K132">
        <v>3</v>
      </c>
      <c r="L132">
        <v>60</v>
      </c>
      <c r="M132">
        <v>70</v>
      </c>
      <c r="N132">
        <v>60</v>
      </c>
      <c r="O132">
        <v>-10</v>
      </c>
      <c r="P132">
        <v>8</v>
      </c>
      <c r="Q132">
        <v>20</v>
      </c>
      <c r="R132">
        <v>8</v>
      </c>
      <c r="S132">
        <v>14</v>
      </c>
      <c r="T132">
        <v>0.233333333</v>
      </c>
      <c r="V132" t="s">
        <v>113</v>
      </c>
      <c r="W132">
        <v>35</v>
      </c>
      <c r="X132">
        <v>14.9</v>
      </c>
      <c r="Y132">
        <v>17.399999999999999</v>
      </c>
      <c r="Z132">
        <v>16.399999999999999</v>
      </c>
      <c r="AA132">
        <v>16.233333330000001</v>
      </c>
      <c r="AB132">
        <v>16.233333330000001</v>
      </c>
      <c r="AC132">
        <v>13</v>
      </c>
      <c r="AD132">
        <v>13.5</v>
      </c>
      <c r="AE132">
        <v>16.399999999999999</v>
      </c>
      <c r="AF132">
        <v>14.3</v>
      </c>
      <c r="AG132">
        <v>16.399999999999999</v>
      </c>
      <c r="AH132">
        <v>15.4</v>
      </c>
      <c r="AI132">
        <v>17.899999999999999</v>
      </c>
      <c r="AJ132">
        <v>16.56666667</v>
      </c>
      <c r="AK132">
        <v>13.9</v>
      </c>
      <c r="AL132">
        <v>13.9</v>
      </c>
      <c r="AM132">
        <v>17.399999999999999</v>
      </c>
      <c r="AN132">
        <v>15.06666667</v>
      </c>
      <c r="AO132">
        <v>16.56666667</v>
      </c>
      <c r="AP132">
        <v>8.5</v>
      </c>
      <c r="AQ132">
        <v>9</v>
      </c>
      <c r="AR132">
        <v>8.5</v>
      </c>
      <c r="AS132">
        <v>8.6666666669999994</v>
      </c>
      <c r="AT132">
        <v>6.6</v>
      </c>
      <c r="AU132">
        <v>7.6</v>
      </c>
      <c r="AV132">
        <v>8.1</v>
      </c>
      <c r="AW132">
        <v>7.4333333330000002</v>
      </c>
      <c r="AX132">
        <v>8.6666666669999994</v>
      </c>
      <c r="AY132">
        <v>-7.5666666669999998</v>
      </c>
      <c r="AZ132">
        <v>55</v>
      </c>
      <c r="BA132">
        <v>15</v>
      </c>
      <c r="BB132">
        <v>2</v>
      </c>
      <c r="BC132">
        <v>1</v>
      </c>
      <c r="BD132">
        <v>1</v>
      </c>
      <c r="BE132">
        <v>0</v>
      </c>
      <c r="BF132">
        <v>1</v>
      </c>
      <c r="BG132">
        <v>1</v>
      </c>
      <c r="BI132">
        <v>9.6999999999999993</v>
      </c>
      <c r="BJ132">
        <v>46.179000000000002</v>
      </c>
      <c r="BK132">
        <v>0</v>
      </c>
      <c r="BL132">
        <v>2</v>
      </c>
      <c r="BM132">
        <v>2</v>
      </c>
      <c r="BN132">
        <v>4</v>
      </c>
      <c r="BO132">
        <v>0</v>
      </c>
      <c r="BP132">
        <v>4</v>
      </c>
      <c r="BQ132">
        <v>0</v>
      </c>
      <c r="BR132">
        <v>4</v>
      </c>
      <c r="BS132">
        <v>7.2670454549999999</v>
      </c>
      <c r="BT132">
        <v>0.33901825800000002</v>
      </c>
      <c r="BU132">
        <v>3.8525754600000002</v>
      </c>
      <c r="BV132">
        <v>-7.2670454549999999</v>
      </c>
      <c r="BW132">
        <v>0.33901825800000002</v>
      </c>
      <c r="BX132">
        <v>-3.8525754600000002</v>
      </c>
      <c r="BY132">
        <v>105.6198993</v>
      </c>
      <c r="BZ132">
        <v>0.229866759</v>
      </c>
      <c r="CA132">
        <v>29.684675349999999</v>
      </c>
      <c r="CB132">
        <v>105.6198993</v>
      </c>
      <c r="CC132">
        <v>0.229866759</v>
      </c>
      <c r="CD132">
        <v>29.684675349999999</v>
      </c>
      <c r="CE132">
        <v>0.10782364999999999</v>
      </c>
      <c r="CF132">
        <v>2.3251879E-2</v>
      </c>
      <c r="CG132">
        <v>0.14376486699999999</v>
      </c>
      <c r="CH132">
        <v>9.6893939400000004</v>
      </c>
      <c r="CI132">
        <v>0.45202434400000002</v>
      </c>
      <c r="CJ132">
        <v>5.1367672799999999</v>
      </c>
      <c r="CK132">
        <v>-0.14376486699999999</v>
      </c>
      <c r="CL132">
        <v>-9.6893939400000004</v>
      </c>
      <c r="CM132">
        <v>0.45202434400000002</v>
      </c>
      <c r="CN132">
        <v>-5.1367672799999999</v>
      </c>
      <c r="CO132">
        <v>1.5501253E-2</v>
      </c>
      <c r="CP132">
        <v>70.413266190000002</v>
      </c>
      <c r="CQ132">
        <v>0.153244506</v>
      </c>
      <c r="CR132">
        <v>19.789783570000001</v>
      </c>
      <c r="CS132">
        <v>1.5501253E-2</v>
      </c>
      <c r="CT132">
        <v>70.413266190000002</v>
      </c>
      <c r="CU132">
        <v>0.153244506</v>
      </c>
      <c r="CV132">
        <v>19.789783570000001</v>
      </c>
      <c r="CW132">
        <v>-0.10782364999999999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1</v>
      </c>
      <c r="DM132">
        <v>0</v>
      </c>
      <c r="DN132">
        <v>0</v>
      </c>
      <c r="DO132">
        <v>0</v>
      </c>
      <c r="DP132">
        <v>2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0.636514168294813</v>
      </c>
    </row>
    <row r="133" spans="1:134" x14ac:dyDescent="0.25">
      <c r="A133" t="s">
        <v>40</v>
      </c>
      <c r="B133">
        <v>2</v>
      </c>
      <c r="C133" t="s">
        <v>17</v>
      </c>
      <c r="D133" t="s">
        <v>95</v>
      </c>
      <c r="E133" t="s">
        <v>103</v>
      </c>
      <c r="F133" t="s">
        <v>145</v>
      </c>
      <c r="G133" t="s">
        <v>260</v>
      </c>
      <c r="H133" t="s">
        <v>772</v>
      </c>
      <c r="I133" t="s">
        <v>715</v>
      </c>
      <c r="J133" t="s">
        <v>407</v>
      </c>
      <c r="K133">
        <v>6</v>
      </c>
      <c r="L133">
        <v>90</v>
      </c>
      <c r="M133">
        <v>40</v>
      </c>
      <c r="N133">
        <v>90</v>
      </c>
      <c r="O133">
        <v>50</v>
      </c>
      <c r="P133">
        <v>22</v>
      </c>
      <c r="Q133">
        <v>20</v>
      </c>
      <c r="R133">
        <v>0</v>
      </c>
      <c r="S133">
        <v>10</v>
      </c>
      <c r="T133">
        <v>0.111111111</v>
      </c>
      <c r="U133" t="s">
        <v>15</v>
      </c>
      <c r="V133" t="s">
        <v>103</v>
      </c>
      <c r="W133">
        <v>35</v>
      </c>
      <c r="X133">
        <v>14.9</v>
      </c>
      <c r="Y133">
        <v>17.399999999999999</v>
      </c>
      <c r="Z133">
        <v>16.399999999999999</v>
      </c>
      <c r="AA133">
        <v>16.233333330000001</v>
      </c>
      <c r="AB133">
        <v>16.233333330000001</v>
      </c>
      <c r="AC133">
        <v>14.9</v>
      </c>
      <c r="AD133">
        <v>13.9</v>
      </c>
      <c r="AE133">
        <v>16.399999999999999</v>
      </c>
      <c r="AF133">
        <v>15.06666667</v>
      </c>
      <c r="AG133">
        <v>16.399999999999999</v>
      </c>
      <c r="AH133">
        <v>15.4</v>
      </c>
      <c r="AI133">
        <v>17.899999999999999</v>
      </c>
      <c r="AJ133">
        <v>16.56666667</v>
      </c>
      <c r="AK133">
        <v>18.899999999999999</v>
      </c>
      <c r="AL133">
        <v>16.899999999999999</v>
      </c>
      <c r="AM133">
        <v>17.899999999999999</v>
      </c>
      <c r="AN133">
        <v>17.899999999999999</v>
      </c>
      <c r="AO133">
        <v>16.56666667</v>
      </c>
      <c r="AP133">
        <v>8.5</v>
      </c>
      <c r="AQ133">
        <v>9</v>
      </c>
      <c r="AR133">
        <v>8.5</v>
      </c>
      <c r="AS133">
        <v>8.6666666669999994</v>
      </c>
      <c r="AT133">
        <v>7.1</v>
      </c>
      <c r="AU133">
        <v>7.6</v>
      </c>
      <c r="AV133">
        <v>7.6</v>
      </c>
      <c r="AW133">
        <v>7.4333333330000002</v>
      </c>
      <c r="AX133">
        <v>8.6666666669999994</v>
      </c>
      <c r="AY133">
        <v>-7.5666666669999998</v>
      </c>
      <c r="AZ133">
        <v>55</v>
      </c>
      <c r="BA133">
        <v>15</v>
      </c>
      <c r="BB133">
        <v>2</v>
      </c>
      <c r="BC133">
        <v>1</v>
      </c>
      <c r="BD133">
        <v>1</v>
      </c>
      <c r="BE133">
        <v>0</v>
      </c>
      <c r="BF133">
        <v>1</v>
      </c>
      <c r="BG133">
        <v>1</v>
      </c>
      <c r="BI133">
        <v>9.6999999999999993</v>
      </c>
      <c r="BJ133">
        <v>46.179000000000002</v>
      </c>
      <c r="BK133">
        <v>0</v>
      </c>
      <c r="BL133">
        <v>1</v>
      </c>
      <c r="BM133">
        <v>1</v>
      </c>
      <c r="BN133">
        <v>46</v>
      </c>
      <c r="BO133">
        <v>196.5</v>
      </c>
      <c r="BP133">
        <v>-150.5</v>
      </c>
      <c r="BQ133">
        <v>218</v>
      </c>
      <c r="BR133">
        <v>-172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 t="s">
        <v>114</v>
      </c>
      <c r="BZ133" t="s">
        <v>114</v>
      </c>
      <c r="CA133" t="s">
        <v>114</v>
      </c>
      <c r="CB133" t="s">
        <v>114</v>
      </c>
      <c r="CC133" t="s">
        <v>114</v>
      </c>
      <c r="CD133" t="s">
        <v>114</v>
      </c>
      <c r="CE133">
        <v>0</v>
      </c>
      <c r="CF133" t="s">
        <v>114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6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</row>
    <row r="134" spans="1:134" x14ac:dyDescent="0.25">
      <c r="A134" t="s">
        <v>40</v>
      </c>
      <c r="B134">
        <v>2</v>
      </c>
      <c r="C134" t="s">
        <v>17</v>
      </c>
      <c r="D134" t="s">
        <v>95</v>
      </c>
      <c r="E134" t="s">
        <v>112</v>
      </c>
      <c r="F134" t="s">
        <v>145</v>
      </c>
      <c r="G134" t="s">
        <v>261</v>
      </c>
      <c r="H134" t="s">
        <v>784</v>
      </c>
      <c r="I134" t="s">
        <v>722</v>
      </c>
      <c r="J134" t="s">
        <v>408</v>
      </c>
      <c r="K134">
        <v>12</v>
      </c>
      <c r="L134">
        <v>100</v>
      </c>
      <c r="M134">
        <v>60</v>
      </c>
      <c r="N134">
        <v>100</v>
      </c>
      <c r="O134">
        <v>40</v>
      </c>
      <c r="P134">
        <v>70</v>
      </c>
      <c r="Q134">
        <v>190</v>
      </c>
      <c r="R134">
        <v>50</v>
      </c>
      <c r="S134">
        <v>120</v>
      </c>
      <c r="T134">
        <v>1.2</v>
      </c>
      <c r="V134" t="s">
        <v>103</v>
      </c>
      <c r="W134">
        <v>50</v>
      </c>
      <c r="X134">
        <v>14.9</v>
      </c>
      <c r="Y134">
        <v>17.399999999999999</v>
      </c>
      <c r="Z134">
        <v>16.399999999999999</v>
      </c>
      <c r="AA134">
        <v>16.233333330000001</v>
      </c>
      <c r="AB134">
        <v>16.233333330000001</v>
      </c>
      <c r="AC134">
        <v>14.4</v>
      </c>
      <c r="AD134">
        <v>17.899999999999999</v>
      </c>
      <c r="AE134">
        <v>17.399999999999999</v>
      </c>
      <c r="AF134">
        <v>16.56666667</v>
      </c>
      <c r="AG134">
        <v>16.399999999999999</v>
      </c>
      <c r="AH134">
        <v>15.4</v>
      </c>
      <c r="AI134">
        <v>17.899999999999999</v>
      </c>
      <c r="AJ134">
        <v>16.56666667</v>
      </c>
      <c r="AK134">
        <v>18.399999999999999</v>
      </c>
      <c r="AL134">
        <v>19.8</v>
      </c>
      <c r="AM134">
        <v>13</v>
      </c>
      <c r="AN134">
        <v>17.06666667</v>
      </c>
      <c r="AO134">
        <v>16.56666667</v>
      </c>
      <c r="AP134">
        <v>8.5</v>
      </c>
      <c r="AQ134">
        <v>9</v>
      </c>
      <c r="AR134">
        <v>8.5</v>
      </c>
      <c r="AS134">
        <v>8.6666666669999994</v>
      </c>
      <c r="AT134">
        <v>8.5</v>
      </c>
      <c r="AU134">
        <v>10</v>
      </c>
      <c r="AV134">
        <v>10</v>
      </c>
      <c r="AW134">
        <v>9.5</v>
      </c>
      <c r="AX134">
        <v>8.6666666669999994</v>
      </c>
      <c r="AY134">
        <v>-7.5666666669999998</v>
      </c>
      <c r="AZ134">
        <v>55</v>
      </c>
      <c r="BA134">
        <v>15</v>
      </c>
      <c r="BB134">
        <v>2</v>
      </c>
      <c r="BC134">
        <v>1</v>
      </c>
      <c r="BD134">
        <v>1</v>
      </c>
      <c r="BE134">
        <v>0</v>
      </c>
      <c r="BF134">
        <v>1</v>
      </c>
      <c r="BG134">
        <v>1</v>
      </c>
      <c r="BI134">
        <v>9.6999999999999993</v>
      </c>
      <c r="BJ134">
        <v>46.179000000000002</v>
      </c>
      <c r="BK134">
        <v>1</v>
      </c>
      <c r="BL134">
        <v>46</v>
      </c>
      <c r="BM134">
        <v>42</v>
      </c>
      <c r="BN134">
        <v>164</v>
      </c>
      <c r="BO134">
        <v>116.5</v>
      </c>
      <c r="BP134">
        <v>47.5</v>
      </c>
      <c r="BQ134">
        <v>57</v>
      </c>
      <c r="BR134">
        <v>107</v>
      </c>
      <c r="BS134">
        <v>25.93087122</v>
      </c>
      <c r="BT134">
        <v>1.8984460359999999</v>
      </c>
      <c r="BU134">
        <v>11.43279727</v>
      </c>
      <c r="BV134">
        <v>-25.93087122</v>
      </c>
      <c r="BW134">
        <v>1.8984460359999999</v>
      </c>
      <c r="BX134">
        <v>11.43279727</v>
      </c>
      <c r="BY134">
        <v>105.6198993</v>
      </c>
      <c r="BZ134">
        <v>0.229866759</v>
      </c>
      <c r="CA134">
        <v>29.684675349999999</v>
      </c>
      <c r="CB134">
        <v>105.6198993</v>
      </c>
      <c r="CC134">
        <v>0.229866759</v>
      </c>
      <c r="CD134">
        <v>29.684675349999999</v>
      </c>
      <c r="CE134">
        <v>1.89034035</v>
      </c>
      <c r="CF134">
        <v>2.3251879E-2</v>
      </c>
      <c r="CG134">
        <v>1.8723697420000001</v>
      </c>
      <c r="CH134">
        <v>27.142045459999999</v>
      </c>
      <c r="CI134">
        <v>1.9549490789999999</v>
      </c>
      <c r="CJ134">
        <v>10.79070136</v>
      </c>
      <c r="CK134">
        <v>1.8723697420000001</v>
      </c>
      <c r="CL134">
        <v>-27.142045459999999</v>
      </c>
      <c r="CM134">
        <v>1.9549490789999999</v>
      </c>
      <c r="CN134">
        <v>10.79070136</v>
      </c>
      <c r="CO134">
        <v>1.2330542E-2</v>
      </c>
      <c r="CP134">
        <v>56.010552650000001</v>
      </c>
      <c r="CQ134">
        <v>0.121899039</v>
      </c>
      <c r="CR134">
        <v>15.741873289999999</v>
      </c>
      <c r="CS134">
        <v>1.2330542E-2</v>
      </c>
      <c r="CT134">
        <v>56.010552650000001</v>
      </c>
      <c r="CU134">
        <v>0.121899039</v>
      </c>
      <c r="CV134">
        <v>15.741873289999999</v>
      </c>
      <c r="CW134">
        <v>1.89034035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5</v>
      </c>
      <c r="DM134">
        <v>0</v>
      </c>
      <c r="DN134">
        <v>0</v>
      </c>
      <c r="DO134">
        <v>0</v>
      </c>
      <c r="DP134">
        <v>7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0.67919326599152596</v>
      </c>
    </row>
    <row r="135" spans="1:134" x14ac:dyDescent="0.25">
      <c r="A135" t="s">
        <v>41</v>
      </c>
      <c r="B135">
        <v>2</v>
      </c>
      <c r="C135" t="s">
        <v>19</v>
      </c>
      <c r="D135" t="s">
        <v>94</v>
      </c>
      <c r="E135" t="s">
        <v>105</v>
      </c>
      <c r="F135" t="s">
        <v>145</v>
      </c>
      <c r="G135" t="s">
        <v>266</v>
      </c>
      <c r="H135" t="s">
        <v>759</v>
      </c>
      <c r="I135" t="s">
        <v>723</v>
      </c>
      <c r="J135" t="s">
        <v>409</v>
      </c>
      <c r="K135" t="s">
        <v>114</v>
      </c>
      <c r="L135">
        <v>30</v>
      </c>
      <c r="M135">
        <v>25</v>
      </c>
      <c r="N135">
        <v>30</v>
      </c>
      <c r="O135">
        <v>5</v>
      </c>
      <c r="P135">
        <v>40</v>
      </c>
      <c r="Q135">
        <v>40</v>
      </c>
      <c r="R135">
        <v>35</v>
      </c>
      <c r="S135">
        <v>37.5</v>
      </c>
      <c r="T135">
        <v>1.25</v>
      </c>
      <c r="V135" t="s">
        <v>104</v>
      </c>
      <c r="W135">
        <v>90</v>
      </c>
      <c r="X135">
        <v>14.9</v>
      </c>
      <c r="Y135">
        <v>17.899999999999999</v>
      </c>
      <c r="Z135">
        <v>14.9</v>
      </c>
      <c r="AA135">
        <v>15.9</v>
      </c>
      <c r="AB135">
        <v>15.9</v>
      </c>
      <c r="AC135">
        <v>13.9</v>
      </c>
      <c r="AD135">
        <v>11.5</v>
      </c>
      <c r="AE135">
        <v>15.4</v>
      </c>
      <c r="AF135">
        <v>13.6</v>
      </c>
      <c r="AG135">
        <v>14.4</v>
      </c>
      <c r="AH135">
        <v>15.4</v>
      </c>
      <c r="AI135">
        <v>17.899999999999999</v>
      </c>
      <c r="AJ135">
        <v>15.9</v>
      </c>
      <c r="AK135">
        <v>14.9</v>
      </c>
      <c r="AL135">
        <v>15.4</v>
      </c>
      <c r="AM135">
        <v>17.399999999999999</v>
      </c>
      <c r="AN135">
        <v>15.9</v>
      </c>
      <c r="AO135">
        <v>15.9</v>
      </c>
      <c r="AP135">
        <v>6.6</v>
      </c>
      <c r="AQ135">
        <v>7.6</v>
      </c>
      <c r="AR135">
        <v>8.1</v>
      </c>
      <c r="AS135">
        <v>7.4333333330000002</v>
      </c>
      <c r="AT135">
        <v>6.1</v>
      </c>
      <c r="AU135">
        <v>7.1</v>
      </c>
      <c r="AV135">
        <v>7.1</v>
      </c>
      <c r="AW135">
        <v>6.766666667</v>
      </c>
      <c r="AX135">
        <v>7.4333333330000002</v>
      </c>
      <c r="AY135">
        <v>-8.4666666670000001</v>
      </c>
      <c r="AZ135">
        <v>30</v>
      </c>
      <c r="BA135">
        <v>25</v>
      </c>
      <c r="BB135">
        <v>1</v>
      </c>
      <c r="BC135">
        <v>15</v>
      </c>
      <c r="BD135">
        <v>5</v>
      </c>
      <c r="BE135">
        <v>1</v>
      </c>
      <c r="BF135">
        <v>0</v>
      </c>
      <c r="BG135">
        <v>1</v>
      </c>
      <c r="BI135">
        <v>9.9</v>
      </c>
      <c r="BJ135">
        <v>4.4909999999999997</v>
      </c>
      <c r="BK135">
        <v>0</v>
      </c>
      <c r="BL135">
        <v>4</v>
      </c>
      <c r="BM135">
        <v>4</v>
      </c>
      <c r="BN135">
        <v>113</v>
      </c>
      <c r="BO135">
        <v>305.33330000000001</v>
      </c>
      <c r="BP135">
        <v>-192.33330000000001</v>
      </c>
      <c r="BQ135">
        <v>267</v>
      </c>
      <c r="BR135">
        <v>-154</v>
      </c>
      <c r="BS135">
        <v>28.00962754</v>
      </c>
      <c r="BT135">
        <v>0.69507322000000005</v>
      </c>
      <c r="BU135">
        <v>19.49542546</v>
      </c>
      <c r="BV135">
        <v>-28.00962754</v>
      </c>
      <c r="BW135">
        <v>-0.69507322000000005</v>
      </c>
      <c r="BX135">
        <v>19.49542546</v>
      </c>
      <c r="BY135">
        <v>212.39699490000001</v>
      </c>
      <c r="BZ135">
        <v>0.77901441699999996</v>
      </c>
      <c r="CA135">
        <v>22.626831639999999</v>
      </c>
      <c r="CB135">
        <v>212.39699490000001</v>
      </c>
      <c r="CC135">
        <v>0.77901441699999996</v>
      </c>
      <c r="CD135">
        <v>22.626831639999999</v>
      </c>
      <c r="CE135">
        <v>1.77566775</v>
      </c>
      <c r="CF135">
        <v>1.0684565E-2</v>
      </c>
      <c r="CG135">
        <v>1.7464828670000001</v>
      </c>
      <c r="CH135">
        <v>34.15225169</v>
      </c>
      <c r="CI135">
        <v>1.13348322</v>
      </c>
      <c r="CJ135">
        <v>17.85085973</v>
      </c>
      <c r="CK135">
        <v>1.7464828670000001</v>
      </c>
      <c r="CL135">
        <v>-34.15225169</v>
      </c>
      <c r="CM135">
        <v>-1.13348322</v>
      </c>
      <c r="CN135">
        <v>17.85085973</v>
      </c>
      <c r="CO135">
        <v>8.4549570000000008E-3</v>
      </c>
      <c r="CP135">
        <v>217.9945926</v>
      </c>
      <c r="CQ135">
        <v>0.92869663800000002</v>
      </c>
      <c r="CR135">
        <v>20.067130479999999</v>
      </c>
      <c r="CS135">
        <v>8.4549570000000008E-3</v>
      </c>
      <c r="CT135">
        <v>217.9945926</v>
      </c>
      <c r="CU135">
        <v>0.92869663800000002</v>
      </c>
      <c r="CV135">
        <v>20.067130479999999</v>
      </c>
      <c r="CW135">
        <v>1.77566775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1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1</v>
      </c>
      <c r="DK135">
        <v>0</v>
      </c>
      <c r="DL135">
        <v>1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3</v>
      </c>
      <c r="DZ135">
        <v>0</v>
      </c>
      <c r="EA135">
        <v>0</v>
      </c>
      <c r="EB135">
        <v>0</v>
      </c>
      <c r="EC135">
        <v>0</v>
      </c>
      <c r="ED135">
        <v>1.242453324894</v>
      </c>
    </row>
    <row r="136" spans="1:134" x14ac:dyDescent="0.25">
      <c r="A136" t="s">
        <v>41</v>
      </c>
      <c r="B136">
        <v>2</v>
      </c>
      <c r="C136" t="s">
        <v>19</v>
      </c>
      <c r="D136" t="s">
        <v>94</v>
      </c>
      <c r="E136" t="s">
        <v>113</v>
      </c>
      <c r="F136" t="s">
        <v>145</v>
      </c>
      <c r="G136" t="s">
        <v>259</v>
      </c>
      <c r="H136" t="s">
        <v>763</v>
      </c>
      <c r="I136" t="s">
        <v>718</v>
      </c>
      <c r="J136" t="s">
        <v>410</v>
      </c>
      <c r="K136">
        <v>6</v>
      </c>
      <c r="L136">
        <v>60</v>
      </c>
      <c r="M136">
        <v>55</v>
      </c>
      <c r="N136">
        <v>60</v>
      </c>
      <c r="O136">
        <v>5</v>
      </c>
      <c r="P136">
        <v>5</v>
      </c>
      <c r="Q136">
        <v>3</v>
      </c>
      <c r="R136">
        <v>2</v>
      </c>
      <c r="S136">
        <v>2.5</v>
      </c>
      <c r="T136">
        <v>4.1666666999999998E-2</v>
      </c>
      <c r="V136" t="s">
        <v>104</v>
      </c>
      <c r="W136">
        <v>15</v>
      </c>
      <c r="X136">
        <v>14.9</v>
      </c>
      <c r="Y136">
        <v>17.899999999999999</v>
      </c>
      <c r="Z136">
        <v>14.9</v>
      </c>
      <c r="AA136">
        <v>15.9</v>
      </c>
      <c r="AB136">
        <v>15.9</v>
      </c>
      <c r="AC136">
        <v>14.4</v>
      </c>
      <c r="AD136">
        <v>12.5</v>
      </c>
      <c r="AE136">
        <v>13.5</v>
      </c>
      <c r="AF136">
        <v>13.46666667</v>
      </c>
      <c r="AG136">
        <v>14.4</v>
      </c>
      <c r="AH136">
        <v>15.4</v>
      </c>
      <c r="AI136">
        <v>17.899999999999999</v>
      </c>
      <c r="AJ136">
        <v>15.9</v>
      </c>
      <c r="AK136">
        <v>10</v>
      </c>
      <c r="AL136">
        <v>13.9</v>
      </c>
      <c r="AM136">
        <v>17.399999999999999</v>
      </c>
      <c r="AN136">
        <v>13.766666669999999</v>
      </c>
      <c r="AO136">
        <v>15.9</v>
      </c>
      <c r="AP136">
        <v>6.6</v>
      </c>
      <c r="AQ136">
        <v>7.6</v>
      </c>
      <c r="AR136">
        <v>8.1</v>
      </c>
      <c r="AS136">
        <v>7.4333333330000002</v>
      </c>
      <c r="AT136">
        <v>6.1</v>
      </c>
      <c r="AU136">
        <v>5.6</v>
      </c>
      <c r="AV136">
        <v>5.6</v>
      </c>
      <c r="AW136">
        <v>5.766666667</v>
      </c>
      <c r="AX136">
        <v>7.4333333330000002</v>
      </c>
      <c r="AY136">
        <v>-8.4666666670000001</v>
      </c>
      <c r="AZ136">
        <v>30</v>
      </c>
      <c r="BA136">
        <v>25</v>
      </c>
      <c r="BB136">
        <v>1</v>
      </c>
      <c r="BC136">
        <v>15</v>
      </c>
      <c r="BD136">
        <v>5</v>
      </c>
      <c r="BE136">
        <v>1</v>
      </c>
      <c r="BF136">
        <v>0</v>
      </c>
      <c r="BG136">
        <v>1</v>
      </c>
      <c r="BI136">
        <v>9.9</v>
      </c>
      <c r="BJ136">
        <v>4.4909999999999997</v>
      </c>
      <c r="BK136">
        <v>0</v>
      </c>
      <c r="BL136">
        <v>1</v>
      </c>
      <c r="BM136">
        <v>1</v>
      </c>
      <c r="BN136">
        <v>7</v>
      </c>
      <c r="BO136">
        <v>2</v>
      </c>
      <c r="BP136">
        <v>5</v>
      </c>
      <c r="BQ136">
        <v>2</v>
      </c>
      <c r="BR136">
        <v>5</v>
      </c>
      <c r="BS136">
        <v>8.5134154029999998</v>
      </c>
      <c r="BT136">
        <v>0.64837556200000002</v>
      </c>
      <c r="BU136">
        <v>6.5127057050000001</v>
      </c>
      <c r="BV136">
        <v>-8.5134154029999998</v>
      </c>
      <c r="BW136">
        <v>-0.200354438</v>
      </c>
      <c r="BX136">
        <v>-6.5127057050000001</v>
      </c>
      <c r="BY136">
        <v>211.64594740000001</v>
      </c>
      <c r="BZ136">
        <v>0.57542465099999995</v>
      </c>
      <c r="CA136">
        <v>21.41816588</v>
      </c>
      <c r="CB136">
        <v>211.64594740000001</v>
      </c>
      <c r="CC136">
        <v>1.082423277</v>
      </c>
      <c r="CD136">
        <v>21.41816588</v>
      </c>
      <c r="CE136">
        <v>7.8261010000000006E-2</v>
      </c>
      <c r="CF136">
        <v>1.3519178E-2</v>
      </c>
      <c r="CG136">
        <v>3.1304404000000001E-2</v>
      </c>
      <c r="CH136">
        <v>3.4053661609999999</v>
      </c>
      <c r="CI136">
        <v>0.25935022499999999</v>
      </c>
      <c r="CJ136">
        <v>2.6050822820000001</v>
      </c>
      <c r="CK136">
        <v>-1.4565394000000001E-2</v>
      </c>
      <c r="CL136">
        <v>-3.4053661609999999</v>
      </c>
      <c r="CM136">
        <v>-8.0141774999999998E-2</v>
      </c>
      <c r="CN136">
        <v>-2.6050822820000001</v>
      </c>
      <c r="CO136">
        <v>4.0068489999999998E-3</v>
      </c>
      <c r="CP136">
        <v>89.87618028</v>
      </c>
      <c r="CQ136">
        <v>0.30391244899999997</v>
      </c>
      <c r="CR136">
        <v>18.45014479</v>
      </c>
      <c r="CS136">
        <v>4.8599769999999997E-3</v>
      </c>
      <c r="CT136">
        <v>89.87618028</v>
      </c>
      <c r="CU136">
        <v>0.37151226599999998</v>
      </c>
      <c r="CV136">
        <v>18.45014479</v>
      </c>
      <c r="CW136">
        <v>-3.6413485000000002E-2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1</v>
      </c>
      <c r="DK136">
        <v>0</v>
      </c>
      <c r="DL136">
        <v>7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1</v>
      </c>
      <c r="DV136">
        <v>0</v>
      </c>
      <c r="DW136">
        <v>0</v>
      </c>
      <c r="DX136">
        <v>0</v>
      </c>
      <c r="DY136">
        <v>1</v>
      </c>
      <c r="DZ136">
        <v>0</v>
      </c>
      <c r="EA136">
        <v>0</v>
      </c>
      <c r="EB136">
        <v>0</v>
      </c>
      <c r="EC136">
        <v>0</v>
      </c>
      <c r="ED136">
        <v>0.94044798865532597</v>
      </c>
    </row>
    <row r="137" spans="1:134" x14ac:dyDescent="0.25">
      <c r="A137" t="s">
        <v>41</v>
      </c>
      <c r="B137">
        <v>2</v>
      </c>
      <c r="C137" t="s">
        <v>19</v>
      </c>
      <c r="D137" t="s">
        <v>94</v>
      </c>
      <c r="E137" t="s">
        <v>103</v>
      </c>
      <c r="F137" t="s">
        <v>145</v>
      </c>
      <c r="G137" t="s">
        <v>260</v>
      </c>
      <c r="H137" t="s">
        <v>771</v>
      </c>
      <c r="I137" t="s">
        <v>719</v>
      </c>
      <c r="J137" t="s">
        <v>411</v>
      </c>
      <c r="K137">
        <v>10</v>
      </c>
      <c r="L137">
        <v>50</v>
      </c>
      <c r="M137">
        <v>40</v>
      </c>
      <c r="N137">
        <v>50</v>
      </c>
      <c r="O137">
        <v>10</v>
      </c>
      <c r="P137">
        <v>12</v>
      </c>
      <c r="Q137">
        <v>10</v>
      </c>
      <c r="R137">
        <v>10</v>
      </c>
      <c r="S137">
        <v>10</v>
      </c>
      <c r="T137">
        <v>0.2</v>
      </c>
      <c r="V137" t="s">
        <v>113</v>
      </c>
      <c r="W137">
        <v>70</v>
      </c>
      <c r="X137">
        <v>14.9</v>
      </c>
      <c r="Y137">
        <v>17.899999999999999</v>
      </c>
      <c r="Z137">
        <v>14.9</v>
      </c>
      <c r="AA137">
        <v>15.9</v>
      </c>
      <c r="AB137">
        <v>15.9</v>
      </c>
      <c r="AC137">
        <v>14.4</v>
      </c>
      <c r="AD137">
        <v>14.9</v>
      </c>
      <c r="AE137">
        <v>18.399999999999999</v>
      </c>
      <c r="AF137">
        <v>15.9</v>
      </c>
      <c r="AG137">
        <v>14.4</v>
      </c>
      <c r="AH137">
        <v>15.4</v>
      </c>
      <c r="AI137">
        <v>17.899999999999999</v>
      </c>
      <c r="AJ137">
        <v>15.9</v>
      </c>
      <c r="AK137">
        <v>12.5</v>
      </c>
      <c r="AL137">
        <v>15.9</v>
      </c>
      <c r="AM137">
        <v>18.899999999999999</v>
      </c>
      <c r="AN137">
        <v>15.766666669999999</v>
      </c>
      <c r="AO137">
        <v>15.9</v>
      </c>
      <c r="AP137">
        <v>6.6</v>
      </c>
      <c r="AQ137">
        <v>7.6</v>
      </c>
      <c r="AR137">
        <v>8.1</v>
      </c>
      <c r="AS137">
        <v>7.4333333330000002</v>
      </c>
      <c r="AT137">
        <v>6.6</v>
      </c>
      <c r="AU137">
        <v>7.1</v>
      </c>
      <c r="AV137">
        <v>8.5</v>
      </c>
      <c r="AW137">
        <v>7.4</v>
      </c>
      <c r="AX137">
        <v>7.4333333330000002</v>
      </c>
      <c r="AY137">
        <v>-8.4666666670000001</v>
      </c>
      <c r="AZ137">
        <v>30</v>
      </c>
      <c r="BA137">
        <v>25</v>
      </c>
      <c r="BB137">
        <v>1</v>
      </c>
      <c r="BC137">
        <v>15</v>
      </c>
      <c r="BD137">
        <v>5</v>
      </c>
      <c r="BE137">
        <v>1</v>
      </c>
      <c r="BF137">
        <v>0</v>
      </c>
      <c r="BG137">
        <v>1</v>
      </c>
      <c r="BI137">
        <v>9.9</v>
      </c>
      <c r="BJ137">
        <v>4.4909999999999997</v>
      </c>
      <c r="BK137">
        <v>0</v>
      </c>
      <c r="BL137">
        <v>4</v>
      </c>
      <c r="BM137">
        <v>3</v>
      </c>
      <c r="BN137">
        <v>103</v>
      </c>
      <c r="BO137">
        <v>333</v>
      </c>
      <c r="BP137">
        <v>-230</v>
      </c>
      <c r="BQ137">
        <v>426</v>
      </c>
      <c r="BR137">
        <v>-323</v>
      </c>
      <c r="BS137">
        <v>7.2670454549999999</v>
      </c>
      <c r="BT137">
        <v>0.33901825800000002</v>
      </c>
      <c r="BU137">
        <v>3.8525754600000002</v>
      </c>
      <c r="BV137">
        <v>7.2670454549999999</v>
      </c>
      <c r="BW137">
        <v>-0.33901825800000002</v>
      </c>
      <c r="BX137">
        <v>3.8525754600000002</v>
      </c>
      <c r="BY137">
        <v>105.6198993</v>
      </c>
      <c r="BZ137">
        <v>0.229866759</v>
      </c>
      <c r="CA137">
        <v>29.684675349999999</v>
      </c>
      <c r="CB137">
        <v>105.6198993</v>
      </c>
      <c r="CC137">
        <v>0.229866759</v>
      </c>
      <c r="CD137">
        <v>29.684675349999999</v>
      </c>
      <c r="CE137">
        <v>0.10782364999999999</v>
      </c>
      <c r="CF137">
        <v>2.3251879E-2</v>
      </c>
      <c r="CG137">
        <v>0.12938838</v>
      </c>
      <c r="CH137">
        <v>8.7204545459999991</v>
      </c>
      <c r="CI137">
        <v>0.40682191000000001</v>
      </c>
      <c r="CJ137">
        <v>4.6230905519999999</v>
      </c>
      <c r="CK137">
        <v>0.12938838</v>
      </c>
      <c r="CL137">
        <v>8.7204545459999991</v>
      </c>
      <c r="CM137">
        <v>-0.40682191000000001</v>
      </c>
      <c r="CN137">
        <v>4.6230905519999999</v>
      </c>
      <c r="CO137">
        <v>1.3951127000000001E-2</v>
      </c>
      <c r="CP137">
        <v>63.371939570000002</v>
      </c>
      <c r="CQ137">
        <v>0.13792005500000001</v>
      </c>
      <c r="CR137">
        <v>17.810805210000002</v>
      </c>
      <c r="CS137">
        <v>1.3951127000000001E-2</v>
      </c>
      <c r="CT137">
        <v>63.371939570000002</v>
      </c>
      <c r="CU137">
        <v>0.13792005500000001</v>
      </c>
      <c r="CV137">
        <v>17.810805210000002</v>
      </c>
      <c r="CW137">
        <v>0.10782364999999999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3</v>
      </c>
      <c r="DM137">
        <v>0</v>
      </c>
      <c r="DN137">
        <v>0</v>
      </c>
      <c r="DO137">
        <v>0</v>
      </c>
      <c r="DP137">
        <v>2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0.67301166700925696</v>
      </c>
    </row>
    <row r="138" spans="1:134" x14ac:dyDescent="0.25">
      <c r="A138" t="s">
        <v>42</v>
      </c>
      <c r="B138">
        <v>2</v>
      </c>
      <c r="C138" t="s">
        <v>21</v>
      </c>
      <c r="D138" t="s">
        <v>94</v>
      </c>
      <c r="E138" t="s">
        <v>105</v>
      </c>
      <c r="F138" t="s">
        <v>145</v>
      </c>
      <c r="G138" t="s">
        <v>266</v>
      </c>
      <c r="H138" t="s">
        <v>759</v>
      </c>
      <c r="I138" t="s">
        <v>723</v>
      </c>
      <c r="J138" t="s">
        <v>412</v>
      </c>
      <c r="K138">
        <v>5</v>
      </c>
      <c r="L138">
        <v>40</v>
      </c>
      <c r="M138">
        <v>30</v>
      </c>
      <c r="N138">
        <v>40</v>
      </c>
      <c r="O138">
        <v>10</v>
      </c>
      <c r="P138">
        <v>70</v>
      </c>
      <c r="Q138">
        <v>70</v>
      </c>
      <c r="R138">
        <v>40</v>
      </c>
      <c r="S138">
        <v>55</v>
      </c>
      <c r="T138">
        <v>1.375</v>
      </c>
      <c r="U138" t="s">
        <v>15</v>
      </c>
      <c r="V138" t="s">
        <v>121</v>
      </c>
      <c r="W138" t="s">
        <v>114</v>
      </c>
      <c r="X138">
        <v>27.7</v>
      </c>
      <c r="Y138">
        <v>20.8</v>
      </c>
      <c r="Z138">
        <v>22.8</v>
      </c>
      <c r="AA138">
        <v>23.766666669999999</v>
      </c>
      <c r="AB138">
        <v>23.766666669999999</v>
      </c>
      <c r="AC138">
        <v>23.3</v>
      </c>
      <c r="AD138">
        <v>22.8</v>
      </c>
      <c r="AE138">
        <v>22.8</v>
      </c>
      <c r="AF138">
        <v>22.966666669999999</v>
      </c>
      <c r="AG138">
        <v>24.7</v>
      </c>
      <c r="AH138">
        <v>16.899999999999999</v>
      </c>
      <c r="AI138">
        <v>19.8</v>
      </c>
      <c r="AJ138">
        <v>20.466666669999999</v>
      </c>
      <c r="AK138">
        <v>19.3</v>
      </c>
      <c r="AL138">
        <v>17.399999999999999</v>
      </c>
      <c r="AM138">
        <v>24.3</v>
      </c>
      <c r="AN138">
        <v>20.333333329999999</v>
      </c>
      <c r="AO138">
        <v>20.466666669999999</v>
      </c>
      <c r="AP138">
        <v>9.5</v>
      </c>
      <c r="AQ138">
        <v>9</v>
      </c>
      <c r="AR138">
        <v>8.5</v>
      </c>
      <c r="AS138">
        <v>9</v>
      </c>
      <c r="AT138">
        <v>8.5</v>
      </c>
      <c r="AU138">
        <v>8.5</v>
      </c>
      <c r="AV138">
        <v>9.5</v>
      </c>
      <c r="AW138">
        <v>8.8333333330000006</v>
      </c>
      <c r="AX138">
        <v>9</v>
      </c>
      <c r="AY138">
        <v>-14.766666669999999</v>
      </c>
      <c r="AZ138">
        <v>15</v>
      </c>
      <c r="BA138">
        <v>5</v>
      </c>
      <c r="BB138">
        <v>0</v>
      </c>
      <c r="BC138">
        <v>10</v>
      </c>
      <c r="BD138">
        <v>1</v>
      </c>
      <c r="BE138">
        <v>1</v>
      </c>
      <c r="BF138">
        <v>2</v>
      </c>
      <c r="BG138">
        <v>3</v>
      </c>
      <c r="BI138">
        <v>17.2</v>
      </c>
      <c r="BJ138">
        <v>26.582000000000001</v>
      </c>
      <c r="BK138">
        <v>0</v>
      </c>
      <c r="BL138">
        <v>6</v>
      </c>
      <c r="BM138">
        <v>6</v>
      </c>
      <c r="BN138">
        <v>308</v>
      </c>
      <c r="BO138">
        <v>305.33330000000001</v>
      </c>
      <c r="BP138">
        <v>2.6667000000000001</v>
      </c>
      <c r="BQ138">
        <v>238</v>
      </c>
      <c r="BR138">
        <v>70</v>
      </c>
      <c r="BS138">
        <v>71.875</v>
      </c>
      <c r="BT138" t="s">
        <v>114</v>
      </c>
      <c r="BU138">
        <v>24.22376989</v>
      </c>
      <c r="BV138">
        <v>-71.875</v>
      </c>
      <c r="BW138" t="s">
        <v>114</v>
      </c>
      <c r="BX138">
        <v>24.22376989</v>
      </c>
      <c r="BY138" t="s">
        <v>114</v>
      </c>
      <c r="BZ138" t="s">
        <v>114</v>
      </c>
      <c r="CA138" t="s">
        <v>114</v>
      </c>
      <c r="CB138" t="s">
        <v>114</v>
      </c>
      <c r="CC138" t="s">
        <v>114</v>
      </c>
      <c r="CD138" t="s">
        <v>114</v>
      </c>
      <c r="CE138" t="s">
        <v>114</v>
      </c>
      <c r="CF138" t="s">
        <v>114</v>
      </c>
      <c r="CG138" t="s">
        <v>114</v>
      </c>
      <c r="CH138">
        <v>71.875</v>
      </c>
      <c r="CI138" t="s">
        <v>114</v>
      </c>
      <c r="CJ138">
        <v>24.22376989</v>
      </c>
      <c r="CK138" t="s">
        <v>114</v>
      </c>
      <c r="CL138">
        <v>-71.875</v>
      </c>
      <c r="CM138" t="s">
        <v>114</v>
      </c>
      <c r="CN138">
        <v>24.22376989</v>
      </c>
      <c r="CO138" t="s">
        <v>114</v>
      </c>
      <c r="CP138">
        <v>0</v>
      </c>
      <c r="CQ138" t="s">
        <v>114</v>
      </c>
      <c r="CR138">
        <v>0</v>
      </c>
      <c r="CS138" t="s">
        <v>114</v>
      </c>
      <c r="CT138">
        <v>0</v>
      </c>
      <c r="CU138" t="s">
        <v>114</v>
      </c>
      <c r="CV138">
        <v>0</v>
      </c>
      <c r="CW138" t="s">
        <v>114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6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</row>
    <row r="139" spans="1:134" x14ac:dyDescent="0.25">
      <c r="A139" t="s">
        <v>42</v>
      </c>
      <c r="B139">
        <v>2</v>
      </c>
      <c r="C139" t="s">
        <v>21</v>
      </c>
      <c r="D139" t="s">
        <v>94</v>
      </c>
      <c r="E139" t="s">
        <v>110</v>
      </c>
      <c r="F139" t="s">
        <v>145</v>
      </c>
      <c r="G139" t="s">
        <v>262</v>
      </c>
      <c r="H139" t="s">
        <v>767</v>
      </c>
      <c r="I139" t="s">
        <v>724</v>
      </c>
      <c r="J139" t="s">
        <v>413</v>
      </c>
      <c r="K139">
        <v>6</v>
      </c>
      <c r="L139">
        <v>70</v>
      </c>
      <c r="M139">
        <v>40</v>
      </c>
      <c r="N139">
        <v>70</v>
      </c>
      <c r="O139">
        <v>30</v>
      </c>
      <c r="P139">
        <v>15</v>
      </c>
      <c r="Q139">
        <v>20</v>
      </c>
      <c r="R139">
        <v>15</v>
      </c>
      <c r="S139">
        <v>17.5</v>
      </c>
      <c r="T139">
        <v>0.25</v>
      </c>
      <c r="V139" t="s">
        <v>113</v>
      </c>
      <c r="W139">
        <v>40</v>
      </c>
      <c r="X139">
        <v>27.7</v>
      </c>
      <c r="Y139">
        <v>20.8</v>
      </c>
      <c r="Z139">
        <v>22.8</v>
      </c>
      <c r="AA139">
        <v>23.766666669999999</v>
      </c>
      <c r="AB139">
        <v>23.766666669999999</v>
      </c>
      <c r="AC139">
        <v>22.8</v>
      </c>
      <c r="AD139">
        <v>20.8</v>
      </c>
      <c r="AE139">
        <v>20.8</v>
      </c>
      <c r="AF139">
        <v>21.466666669999999</v>
      </c>
      <c r="AG139">
        <v>24.7</v>
      </c>
      <c r="AH139">
        <v>16.899999999999999</v>
      </c>
      <c r="AI139">
        <v>19.8</v>
      </c>
      <c r="AJ139">
        <v>20.466666669999999</v>
      </c>
      <c r="AK139">
        <v>17.899999999999999</v>
      </c>
      <c r="AL139">
        <v>18.399999999999999</v>
      </c>
      <c r="AM139">
        <v>19.8</v>
      </c>
      <c r="AN139">
        <v>18.7</v>
      </c>
      <c r="AO139">
        <v>20.466666669999999</v>
      </c>
      <c r="AP139">
        <v>9.5</v>
      </c>
      <c r="AQ139">
        <v>9</v>
      </c>
      <c r="AR139">
        <v>8.5</v>
      </c>
      <c r="AS139">
        <v>9</v>
      </c>
      <c r="AT139">
        <v>8.5</v>
      </c>
      <c r="AU139">
        <v>8</v>
      </c>
      <c r="AV139">
        <v>11</v>
      </c>
      <c r="AW139">
        <v>9.1666666669999994</v>
      </c>
      <c r="AX139">
        <v>9</v>
      </c>
      <c r="AY139">
        <v>-14.766666669999999</v>
      </c>
      <c r="AZ139">
        <v>15</v>
      </c>
      <c r="BA139">
        <v>5</v>
      </c>
      <c r="BB139">
        <v>0</v>
      </c>
      <c r="BC139">
        <v>10</v>
      </c>
      <c r="BD139">
        <v>1</v>
      </c>
      <c r="BE139">
        <v>1</v>
      </c>
      <c r="BF139">
        <v>2</v>
      </c>
      <c r="BG139">
        <v>3</v>
      </c>
      <c r="BI139">
        <v>17.2</v>
      </c>
      <c r="BJ139">
        <v>26.582000000000001</v>
      </c>
      <c r="BK139">
        <v>0</v>
      </c>
      <c r="BL139">
        <v>8</v>
      </c>
      <c r="BM139">
        <v>7</v>
      </c>
      <c r="BN139">
        <v>7</v>
      </c>
      <c r="BO139">
        <v>2.5</v>
      </c>
      <c r="BP139">
        <v>4.5</v>
      </c>
      <c r="BQ139">
        <v>4</v>
      </c>
      <c r="BR139">
        <v>3</v>
      </c>
      <c r="BS139">
        <v>39.095822349999999</v>
      </c>
      <c r="BT139" t="s">
        <v>114</v>
      </c>
      <c r="BU139">
        <v>7.8875127699999998</v>
      </c>
      <c r="BV139">
        <v>-39.095822349999999</v>
      </c>
      <c r="BW139" t="s">
        <v>114</v>
      </c>
      <c r="BX139">
        <v>7.8875127699999998</v>
      </c>
      <c r="BY139">
        <v>775.19868540000004</v>
      </c>
      <c r="BZ139" t="s">
        <v>114</v>
      </c>
      <c r="CA139">
        <v>35.078219359999999</v>
      </c>
      <c r="CB139">
        <v>775.19868540000004</v>
      </c>
      <c r="CC139" t="s">
        <v>114</v>
      </c>
      <c r="CD139">
        <v>35.078219359999999</v>
      </c>
      <c r="CE139" t="s">
        <v>114</v>
      </c>
      <c r="CF139" t="s">
        <v>114</v>
      </c>
      <c r="CG139" t="s">
        <v>114</v>
      </c>
      <c r="CH139">
        <v>48.101925039999998</v>
      </c>
      <c r="CI139" t="s">
        <v>114</v>
      </c>
      <c r="CJ139">
        <v>8.8384633899999994</v>
      </c>
      <c r="CK139" t="s">
        <v>114</v>
      </c>
      <c r="CL139">
        <v>-48.101925039999998</v>
      </c>
      <c r="CM139" t="s">
        <v>114</v>
      </c>
      <c r="CN139">
        <v>8.8384633899999994</v>
      </c>
      <c r="CO139" t="s">
        <v>114</v>
      </c>
      <c r="CP139">
        <v>570.09658560000003</v>
      </c>
      <c r="CQ139" t="s">
        <v>114</v>
      </c>
      <c r="CR139">
        <v>19.573800609999999</v>
      </c>
      <c r="CS139" t="s">
        <v>114</v>
      </c>
      <c r="CT139">
        <v>570.09658560000003</v>
      </c>
      <c r="CU139" t="s">
        <v>114</v>
      </c>
      <c r="CV139">
        <v>19.573800609999999</v>
      </c>
      <c r="CW139" t="s">
        <v>114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5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2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2</v>
      </c>
      <c r="DZ139">
        <v>0</v>
      </c>
      <c r="EA139">
        <v>0</v>
      </c>
      <c r="EB139">
        <v>0</v>
      </c>
      <c r="EC139">
        <v>0</v>
      </c>
      <c r="ED139">
        <v>0.99502699017952101</v>
      </c>
    </row>
    <row r="140" spans="1:134" x14ac:dyDescent="0.25">
      <c r="A140" t="s">
        <v>42</v>
      </c>
      <c r="B140">
        <v>2</v>
      </c>
      <c r="C140" t="s">
        <v>21</v>
      </c>
      <c r="D140" t="s">
        <v>94</v>
      </c>
      <c r="E140" t="s">
        <v>111</v>
      </c>
      <c r="F140" t="s">
        <v>145</v>
      </c>
      <c r="G140" t="s">
        <v>263</v>
      </c>
      <c r="H140" t="s">
        <v>775</v>
      </c>
      <c r="I140" t="s">
        <v>720</v>
      </c>
      <c r="J140" t="s">
        <v>414</v>
      </c>
      <c r="K140">
        <v>9</v>
      </c>
      <c r="L140">
        <v>290</v>
      </c>
      <c r="M140">
        <v>250</v>
      </c>
      <c r="N140">
        <v>290</v>
      </c>
      <c r="O140">
        <v>40</v>
      </c>
      <c r="P140">
        <v>85</v>
      </c>
      <c r="Q140">
        <v>140</v>
      </c>
      <c r="R140">
        <v>35</v>
      </c>
      <c r="S140">
        <v>87.5</v>
      </c>
      <c r="T140">
        <v>0.30172413799999998</v>
      </c>
      <c r="V140" t="s">
        <v>110</v>
      </c>
      <c r="W140">
        <v>100</v>
      </c>
      <c r="X140">
        <v>27.7</v>
      </c>
      <c r="Y140">
        <v>20.8</v>
      </c>
      <c r="Z140">
        <v>22.8</v>
      </c>
      <c r="AA140">
        <v>23.766666669999999</v>
      </c>
      <c r="AB140">
        <v>23.766666669999999</v>
      </c>
      <c r="AC140">
        <v>28.2</v>
      </c>
      <c r="AD140">
        <v>23.8</v>
      </c>
      <c r="AE140">
        <v>21.8</v>
      </c>
      <c r="AF140">
        <v>24.6</v>
      </c>
      <c r="AG140">
        <v>24.7</v>
      </c>
      <c r="AH140">
        <v>16.899999999999999</v>
      </c>
      <c r="AI140">
        <v>19.8</v>
      </c>
      <c r="AJ140">
        <v>20.466666669999999</v>
      </c>
      <c r="AK140">
        <v>23.8</v>
      </c>
      <c r="AL140">
        <v>20.3</v>
      </c>
      <c r="AM140">
        <v>19.8</v>
      </c>
      <c r="AN140">
        <v>21.3</v>
      </c>
      <c r="AO140">
        <v>20.466666669999999</v>
      </c>
      <c r="AP140">
        <v>9.5</v>
      </c>
      <c r="AQ140">
        <v>9</v>
      </c>
      <c r="AR140">
        <v>8.5</v>
      </c>
      <c r="AS140">
        <v>9</v>
      </c>
      <c r="AT140">
        <v>10</v>
      </c>
      <c r="AU140">
        <v>8.5</v>
      </c>
      <c r="AV140">
        <v>11</v>
      </c>
      <c r="AW140">
        <v>9.8333333330000006</v>
      </c>
      <c r="AX140">
        <v>9</v>
      </c>
      <c r="AY140">
        <v>-14.766666669999999</v>
      </c>
      <c r="AZ140">
        <v>15</v>
      </c>
      <c r="BA140">
        <v>5</v>
      </c>
      <c r="BB140">
        <v>0</v>
      </c>
      <c r="BC140">
        <v>10</v>
      </c>
      <c r="BD140">
        <v>1</v>
      </c>
      <c r="BE140">
        <v>1</v>
      </c>
      <c r="BF140">
        <v>2</v>
      </c>
      <c r="BG140">
        <v>3</v>
      </c>
      <c r="BI140">
        <v>17.2</v>
      </c>
      <c r="BJ140">
        <v>26.582000000000001</v>
      </c>
      <c r="BK140">
        <v>0</v>
      </c>
      <c r="BL140">
        <v>23</v>
      </c>
      <c r="BM140">
        <v>17</v>
      </c>
      <c r="BN140">
        <v>1527</v>
      </c>
      <c r="BO140">
        <v>1464.6667</v>
      </c>
      <c r="BP140">
        <v>62.333300000000001</v>
      </c>
      <c r="BQ140">
        <v>1464</v>
      </c>
      <c r="BR140">
        <v>63</v>
      </c>
      <c r="BS140">
        <v>16.462205910000002</v>
      </c>
      <c r="BT140">
        <v>0.770635556</v>
      </c>
      <c r="BU140">
        <v>5.9219253399999996</v>
      </c>
      <c r="BV140">
        <v>16.462205910000002</v>
      </c>
      <c r="BW140">
        <v>-0.770635556</v>
      </c>
      <c r="BX140">
        <v>-4.2159870799999997</v>
      </c>
      <c r="BY140">
        <v>55.090420420000001</v>
      </c>
      <c r="BZ140">
        <v>5.4282928000000001E-2</v>
      </c>
      <c r="CA140">
        <v>35.549094119999999</v>
      </c>
      <c r="CB140">
        <v>55.090420420000001</v>
      </c>
      <c r="CC140">
        <v>5.4282928000000001E-2</v>
      </c>
      <c r="CD140">
        <v>70.138399469999996</v>
      </c>
      <c r="CE140">
        <v>0.34797865</v>
      </c>
      <c r="CF140">
        <v>0.24217828199999999</v>
      </c>
      <c r="CG140">
        <v>0.34797865</v>
      </c>
      <c r="CH140">
        <v>16.462205910000002</v>
      </c>
      <c r="CI140">
        <v>0.770635556</v>
      </c>
      <c r="CJ140">
        <v>5.9219253399999996</v>
      </c>
      <c r="CK140">
        <v>-0.17048415</v>
      </c>
      <c r="CL140">
        <v>16.462205910000002</v>
      </c>
      <c r="CM140">
        <v>-0.770635556</v>
      </c>
      <c r="CN140">
        <v>-4.2159870799999997</v>
      </c>
      <c r="CO140">
        <v>5.8129690999999997E-2</v>
      </c>
      <c r="CP140">
        <v>55.090420420000001</v>
      </c>
      <c r="CQ140">
        <v>5.4282928000000001E-2</v>
      </c>
      <c r="CR140">
        <v>35.549094119999999</v>
      </c>
      <c r="CS140">
        <v>0.24217828199999999</v>
      </c>
      <c r="CT140">
        <v>55.090420420000001</v>
      </c>
      <c r="CU140">
        <v>5.4282928000000001E-2</v>
      </c>
      <c r="CV140">
        <v>70.138399469999996</v>
      </c>
      <c r="CW140">
        <v>-0.17048415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1</v>
      </c>
      <c r="DM140">
        <v>1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0.69314718055994495</v>
      </c>
    </row>
    <row r="141" spans="1:134" x14ac:dyDescent="0.25">
      <c r="A141" t="s">
        <v>42</v>
      </c>
      <c r="B141">
        <v>2</v>
      </c>
      <c r="C141" t="s">
        <v>21</v>
      </c>
      <c r="D141" t="s">
        <v>94</v>
      </c>
      <c r="E141" t="s">
        <v>104</v>
      </c>
      <c r="F141" t="s">
        <v>145</v>
      </c>
      <c r="G141" t="s">
        <v>264</v>
      </c>
      <c r="H141" t="s">
        <v>779</v>
      </c>
      <c r="I141" t="s">
        <v>721</v>
      </c>
      <c r="J141" t="s">
        <v>415</v>
      </c>
      <c r="K141">
        <v>2</v>
      </c>
      <c r="L141">
        <v>70</v>
      </c>
      <c r="M141">
        <v>50</v>
      </c>
      <c r="N141">
        <v>70</v>
      </c>
      <c r="O141">
        <v>20</v>
      </c>
      <c r="P141">
        <v>30</v>
      </c>
      <c r="Q141">
        <v>30</v>
      </c>
      <c r="R141">
        <v>25</v>
      </c>
      <c r="S141">
        <v>27.5</v>
      </c>
      <c r="T141">
        <v>0.39285714300000002</v>
      </c>
      <c r="V141" t="s">
        <v>110</v>
      </c>
      <c r="W141">
        <v>60</v>
      </c>
      <c r="X141">
        <v>27.7</v>
      </c>
      <c r="Y141">
        <v>20.8</v>
      </c>
      <c r="Z141">
        <v>22.8</v>
      </c>
      <c r="AA141">
        <v>23.766666669999999</v>
      </c>
      <c r="AB141">
        <v>23.766666669999999</v>
      </c>
      <c r="AC141">
        <v>15.4</v>
      </c>
      <c r="AD141">
        <v>19.3</v>
      </c>
      <c r="AE141">
        <v>20.3</v>
      </c>
      <c r="AF141">
        <v>18.333333329999999</v>
      </c>
      <c r="AG141">
        <v>24.7</v>
      </c>
      <c r="AH141">
        <v>16.899999999999999</v>
      </c>
      <c r="AI141">
        <v>19.8</v>
      </c>
      <c r="AJ141">
        <v>20.466666669999999</v>
      </c>
      <c r="AK141">
        <v>18.399999999999999</v>
      </c>
      <c r="AL141">
        <v>14.9</v>
      </c>
      <c r="AM141">
        <v>18.899999999999999</v>
      </c>
      <c r="AN141">
        <v>17.399999999999999</v>
      </c>
      <c r="AO141">
        <v>20.466666669999999</v>
      </c>
      <c r="AP141">
        <v>9.5</v>
      </c>
      <c r="AQ141">
        <v>9</v>
      </c>
      <c r="AR141">
        <v>8.5</v>
      </c>
      <c r="AS141">
        <v>9</v>
      </c>
      <c r="AT141">
        <v>8.1</v>
      </c>
      <c r="AU141">
        <v>6.1</v>
      </c>
      <c r="AV141">
        <v>9</v>
      </c>
      <c r="AW141">
        <v>7.733333333</v>
      </c>
      <c r="AX141">
        <v>9</v>
      </c>
      <c r="AY141">
        <v>-14.766666669999999</v>
      </c>
      <c r="AZ141">
        <v>15</v>
      </c>
      <c r="BA141">
        <v>5</v>
      </c>
      <c r="BB141">
        <v>0</v>
      </c>
      <c r="BC141">
        <v>10</v>
      </c>
      <c r="BD141">
        <v>1</v>
      </c>
      <c r="BE141">
        <v>1</v>
      </c>
      <c r="BF141">
        <v>2</v>
      </c>
      <c r="BG141">
        <v>3</v>
      </c>
      <c r="BI141">
        <v>17.2</v>
      </c>
      <c r="BJ141">
        <v>26.582000000000001</v>
      </c>
      <c r="BK141">
        <v>1</v>
      </c>
      <c r="BL141">
        <v>4</v>
      </c>
      <c r="BM141">
        <v>4</v>
      </c>
      <c r="BN141">
        <v>22</v>
      </c>
      <c r="BO141">
        <v>35</v>
      </c>
      <c r="BP141">
        <v>-13</v>
      </c>
      <c r="BQ141">
        <v>38</v>
      </c>
      <c r="BR141">
        <v>-16</v>
      </c>
      <c r="BS141">
        <v>16.61443238</v>
      </c>
      <c r="BT141">
        <v>1.892987121</v>
      </c>
      <c r="BU141">
        <v>4.8153994200000003</v>
      </c>
      <c r="BV141">
        <v>16.572765709999999</v>
      </c>
      <c r="BW141">
        <v>1.892987121</v>
      </c>
      <c r="BX141">
        <v>-2.8522426670000001</v>
      </c>
      <c r="BY141">
        <v>454.67996549999998</v>
      </c>
      <c r="BZ141">
        <v>0.275918828</v>
      </c>
      <c r="CA141">
        <v>24.455940460000001</v>
      </c>
      <c r="CB141">
        <v>456.75416539999998</v>
      </c>
      <c r="CC141">
        <v>0.275918828</v>
      </c>
      <c r="CD141">
        <v>47.035115480000002</v>
      </c>
      <c r="CE141" t="s">
        <v>114</v>
      </c>
      <c r="CF141" t="s">
        <v>114</v>
      </c>
      <c r="CG141" t="s">
        <v>114</v>
      </c>
      <c r="CH141">
        <v>19.924818850000001</v>
      </c>
      <c r="CI141">
        <v>1.8930907669999999</v>
      </c>
      <c r="CJ141">
        <v>5.1895322779999997</v>
      </c>
      <c r="CK141" t="s">
        <v>114</v>
      </c>
      <c r="CL141">
        <v>19.899818849999999</v>
      </c>
      <c r="CM141">
        <v>1.8930907669999999</v>
      </c>
      <c r="CN141">
        <v>-4.0116382259999996</v>
      </c>
      <c r="CO141" t="s">
        <v>114</v>
      </c>
      <c r="CP141">
        <v>372.49002589999998</v>
      </c>
      <c r="CQ141">
        <v>0.27591874700000002</v>
      </c>
      <c r="CR141">
        <v>23.406124999999999</v>
      </c>
      <c r="CS141" t="s">
        <v>114</v>
      </c>
      <c r="CT141">
        <v>373.7345459</v>
      </c>
      <c r="CU141">
        <v>0.27591874700000002</v>
      </c>
      <c r="CV141">
        <v>36.953630009999998</v>
      </c>
      <c r="CW141" t="s">
        <v>114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2</v>
      </c>
      <c r="DN141">
        <v>0</v>
      </c>
      <c r="DO141">
        <v>0</v>
      </c>
      <c r="DP141">
        <v>0</v>
      </c>
      <c r="DQ141">
        <v>0</v>
      </c>
      <c r="DR141">
        <v>1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2</v>
      </c>
      <c r="ED141">
        <v>1.05492016798614</v>
      </c>
    </row>
    <row r="142" spans="1:134" x14ac:dyDescent="0.25">
      <c r="A142" t="s">
        <v>43</v>
      </c>
      <c r="B142">
        <v>2</v>
      </c>
      <c r="C142" t="s">
        <v>23</v>
      </c>
      <c r="D142" t="s">
        <v>94</v>
      </c>
      <c r="E142" t="s">
        <v>105</v>
      </c>
      <c r="F142" t="s">
        <v>145</v>
      </c>
      <c r="G142" t="s">
        <v>266</v>
      </c>
      <c r="H142" t="s">
        <v>759</v>
      </c>
      <c r="I142" t="s">
        <v>723</v>
      </c>
      <c r="J142" t="s">
        <v>416</v>
      </c>
      <c r="K142">
        <v>5</v>
      </c>
      <c r="L142">
        <v>40</v>
      </c>
      <c r="M142">
        <v>50</v>
      </c>
      <c r="N142">
        <v>40</v>
      </c>
      <c r="O142">
        <v>-10</v>
      </c>
      <c r="P142">
        <v>80</v>
      </c>
      <c r="Q142">
        <v>80</v>
      </c>
      <c r="R142">
        <v>50</v>
      </c>
      <c r="S142">
        <v>65</v>
      </c>
      <c r="T142">
        <v>1.625</v>
      </c>
      <c r="V142" t="s">
        <v>104</v>
      </c>
      <c r="W142">
        <v>45</v>
      </c>
      <c r="X142">
        <v>28.2</v>
      </c>
      <c r="Y142">
        <v>23.3</v>
      </c>
      <c r="Z142">
        <v>23.8</v>
      </c>
      <c r="AA142">
        <v>25.1</v>
      </c>
      <c r="AB142">
        <v>25.1</v>
      </c>
      <c r="AC142">
        <v>14.9</v>
      </c>
      <c r="AD142">
        <v>19.3</v>
      </c>
      <c r="AE142">
        <v>22.8</v>
      </c>
      <c r="AF142">
        <v>19</v>
      </c>
      <c r="AG142">
        <v>23.3</v>
      </c>
      <c r="AH142">
        <v>22.3</v>
      </c>
      <c r="AI142">
        <v>16.399999999999999</v>
      </c>
      <c r="AJ142">
        <v>20.666666670000001</v>
      </c>
      <c r="AK142">
        <v>22.3</v>
      </c>
      <c r="AL142">
        <v>16.399999999999999</v>
      </c>
      <c r="AM142">
        <v>18.899999999999999</v>
      </c>
      <c r="AN142">
        <v>19.2</v>
      </c>
      <c r="AO142">
        <v>20.666666670000001</v>
      </c>
      <c r="AP142">
        <v>12</v>
      </c>
      <c r="AQ142">
        <v>10</v>
      </c>
      <c r="AR142">
        <v>11</v>
      </c>
      <c r="AS142">
        <v>11</v>
      </c>
      <c r="AT142">
        <v>8.5</v>
      </c>
      <c r="AU142">
        <v>7.1</v>
      </c>
      <c r="AV142">
        <v>9.5</v>
      </c>
      <c r="AW142">
        <v>8.3666666670000005</v>
      </c>
      <c r="AX142">
        <v>11</v>
      </c>
      <c r="AY142">
        <v>-14.1</v>
      </c>
      <c r="AZ142">
        <v>5</v>
      </c>
      <c r="BA142">
        <v>30</v>
      </c>
      <c r="BB142">
        <v>5</v>
      </c>
      <c r="BC142">
        <v>10</v>
      </c>
      <c r="BD142">
        <v>0</v>
      </c>
      <c r="BE142">
        <v>1</v>
      </c>
      <c r="BF142">
        <v>3</v>
      </c>
      <c r="BG142">
        <v>3</v>
      </c>
      <c r="BI142">
        <v>18.7</v>
      </c>
      <c r="BJ142">
        <v>19.202000000000002</v>
      </c>
      <c r="BK142">
        <v>0</v>
      </c>
      <c r="BL142">
        <v>6</v>
      </c>
      <c r="BM142">
        <v>6</v>
      </c>
      <c r="BN142">
        <v>393</v>
      </c>
      <c r="BO142">
        <v>305.33330000000001</v>
      </c>
      <c r="BP142">
        <v>87.666700000000006</v>
      </c>
      <c r="BQ142">
        <v>411</v>
      </c>
      <c r="BR142">
        <v>-18</v>
      </c>
      <c r="BS142">
        <v>46.4375</v>
      </c>
      <c r="BT142">
        <v>2.0103032199999999</v>
      </c>
      <c r="BU142">
        <v>14.561728260000001</v>
      </c>
      <c r="BV142">
        <v>-46.4375</v>
      </c>
      <c r="BW142">
        <v>-2.0103032199999999</v>
      </c>
      <c r="BX142">
        <v>14.561728260000001</v>
      </c>
      <c r="BY142" t="s">
        <v>114</v>
      </c>
      <c r="BZ142" t="s">
        <v>114</v>
      </c>
      <c r="CA142" t="s">
        <v>114</v>
      </c>
      <c r="CB142" t="s">
        <v>114</v>
      </c>
      <c r="CC142" t="s">
        <v>114</v>
      </c>
      <c r="CD142" t="s">
        <v>114</v>
      </c>
      <c r="CE142">
        <v>1.6881131</v>
      </c>
      <c r="CF142" t="s">
        <v>114</v>
      </c>
      <c r="CG142">
        <v>1.6881131</v>
      </c>
      <c r="CH142">
        <v>46.4375</v>
      </c>
      <c r="CI142">
        <v>2.0103032199999999</v>
      </c>
      <c r="CJ142">
        <v>14.561728260000001</v>
      </c>
      <c r="CK142">
        <v>1.6881131</v>
      </c>
      <c r="CL142">
        <v>-46.4375</v>
      </c>
      <c r="CM142">
        <v>-2.0103032199999999</v>
      </c>
      <c r="CN142">
        <v>14.561728260000001</v>
      </c>
      <c r="CO142" t="s">
        <v>114</v>
      </c>
      <c r="CP142" t="s">
        <v>114</v>
      </c>
      <c r="CQ142" t="s">
        <v>114</v>
      </c>
      <c r="CR142" t="s">
        <v>114</v>
      </c>
      <c r="CS142" t="s">
        <v>114</v>
      </c>
      <c r="CT142" t="s">
        <v>114</v>
      </c>
      <c r="CU142" t="s">
        <v>114</v>
      </c>
      <c r="CV142" t="s">
        <v>114</v>
      </c>
      <c r="CW142">
        <v>1.6881131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1</v>
      </c>
      <c r="DZ142">
        <v>0</v>
      </c>
      <c r="EA142">
        <v>0</v>
      </c>
      <c r="EB142">
        <v>0</v>
      </c>
      <c r="EC142">
        <v>0</v>
      </c>
      <c r="ED142">
        <v>0</v>
      </c>
    </row>
    <row r="143" spans="1:134" x14ac:dyDescent="0.25">
      <c r="A143" t="s">
        <v>43</v>
      </c>
      <c r="B143">
        <v>2</v>
      </c>
      <c r="C143" t="s">
        <v>23</v>
      </c>
      <c r="D143" t="s">
        <v>94</v>
      </c>
      <c r="E143" t="s">
        <v>110</v>
      </c>
      <c r="F143" t="s">
        <v>145</v>
      </c>
      <c r="G143" t="s">
        <v>262</v>
      </c>
      <c r="H143" t="s">
        <v>767</v>
      </c>
      <c r="I143" t="s">
        <v>724</v>
      </c>
      <c r="J143" t="s">
        <v>417</v>
      </c>
      <c r="K143">
        <v>1</v>
      </c>
      <c r="L143">
        <v>95</v>
      </c>
      <c r="M143">
        <v>20</v>
      </c>
      <c r="N143">
        <v>95</v>
      </c>
      <c r="O143">
        <v>75</v>
      </c>
      <c r="P143">
        <v>15</v>
      </c>
      <c r="Q143">
        <v>70</v>
      </c>
      <c r="R143">
        <v>0</v>
      </c>
      <c r="S143">
        <v>35</v>
      </c>
      <c r="T143">
        <v>0.368421053</v>
      </c>
      <c r="V143" t="s">
        <v>110</v>
      </c>
      <c r="W143">
        <v>10</v>
      </c>
      <c r="X143">
        <v>28.2</v>
      </c>
      <c r="Y143">
        <v>23.3</v>
      </c>
      <c r="Z143">
        <v>23.8</v>
      </c>
      <c r="AA143">
        <v>25.1</v>
      </c>
      <c r="AB143">
        <v>25.1</v>
      </c>
      <c r="AC143">
        <v>24.3</v>
      </c>
      <c r="AD143">
        <v>23.3</v>
      </c>
      <c r="AE143">
        <v>26.7</v>
      </c>
      <c r="AF143">
        <v>24.766666669999999</v>
      </c>
      <c r="AG143">
        <v>23.3</v>
      </c>
      <c r="AH143">
        <v>22.3</v>
      </c>
      <c r="AI143">
        <v>16.399999999999999</v>
      </c>
      <c r="AJ143">
        <v>20.666666670000001</v>
      </c>
      <c r="AK143">
        <v>21.8</v>
      </c>
      <c r="AL143">
        <v>22.8</v>
      </c>
      <c r="AM143">
        <v>19.8</v>
      </c>
      <c r="AN143">
        <v>21.466666669999999</v>
      </c>
      <c r="AO143">
        <v>20.666666670000001</v>
      </c>
      <c r="AP143">
        <v>12</v>
      </c>
      <c r="AQ143">
        <v>10</v>
      </c>
      <c r="AR143">
        <v>11</v>
      </c>
      <c r="AS143">
        <v>11</v>
      </c>
      <c r="AT143">
        <v>7.1</v>
      </c>
      <c r="AU143">
        <v>6.6</v>
      </c>
      <c r="AV143">
        <v>8.5</v>
      </c>
      <c r="AW143">
        <v>7.4</v>
      </c>
      <c r="AX143">
        <v>11</v>
      </c>
      <c r="AY143">
        <v>-14.1</v>
      </c>
      <c r="AZ143">
        <v>5</v>
      </c>
      <c r="BA143">
        <v>30</v>
      </c>
      <c r="BB143">
        <v>5</v>
      </c>
      <c r="BC143">
        <v>10</v>
      </c>
      <c r="BD143">
        <v>0</v>
      </c>
      <c r="BE143">
        <v>1</v>
      </c>
      <c r="BF143">
        <v>3</v>
      </c>
      <c r="BG143">
        <v>3</v>
      </c>
      <c r="BI143">
        <v>18.7</v>
      </c>
      <c r="BJ143">
        <v>19.202000000000002</v>
      </c>
      <c r="BK143">
        <v>0</v>
      </c>
      <c r="BL143">
        <v>8</v>
      </c>
      <c r="BM143">
        <v>8</v>
      </c>
      <c r="BN143">
        <v>8</v>
      </c>
      <c r="BO143">
        <v>2.5</v>
      </c>
      <c r="BP143">
        <v>5.5</v>
      </c>
      <c r="BQ143">
        <v>1</v>
      </c>
      <c r="BR143">
        <v>7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 t="s">
        <v>114</v>
      </c>
      <c r="BZ143" t="s">
        <v>114</v>
      </c>
      <c r="CA143" t="s">
        <v>114</v>
      </c>
      <c r="CB143" t="s">
        <v>114</v>
      </c>
      <c r="CC143" t="s">
        <v>114</v>
      </c>
      <c r="CD143" t="s">
        <v>114</v>
      </c>
      <c r="CE143">
        <v>0</v>
      </c>
      <c r="CF143" t="s">
        <v>114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 t="s">
        <v>114</v>
      </c>
      <c r="CP143" t="s">
        <v>114</v>
      </c>
      <c r="CQ143" t="s">
        <v>114</v>
      </c>
      <c r="CR143" t="s">
        <v>114</v>
      </c>
      <c r="CS143" t="s">
        <v>114</v>
      </c>
      <c r="CT143" t="s">
        <v>114</v>
      </c>
      <c r="CU143" t="s">
        <v>114</v>
      </c>
      <c r="CV143" t="s">
        <v>114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1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</row>
    <row r="144" spans="1:134" x14ac:dyDescent="0.25">
      <c r="A144" t="s">
        <v>43</v>
      </c>
      <c r="B144">
        <v>2</v>
      </c>
      <c r="C144" t="s">
        <v>23</v>
      </c>
      <c r="D144" t="s">
        <v>94</v>
      </c>
      <c r="E144" t="s">
        <v>111</v>
      </c>
      <c r="F144" t="s">
        <v>145</v>
      </c>
      <c r="G144" t="s">
        <v>263</v>
      </c>
      <c r="H144" t="s">
        <v>775</v>
      </c>
      <c r="I144" t="s">
        <v>720</v>
      </c>
      <c r="J144" t="s">
        <v>418</v>
      </c>
      <c r="K144">
        <v>1</v>
      </c>
      <c r="L144">
        <v>280</v>
      </c>
      <c r="M144">
        <v>260</v>
      </c>
      <c r="N144">
        <v>280</v>
      </c>
      <c r="O144">
        <v>20</v>
      </c>
      <c r="P144">
        <v>110</v>
      </c>
      <c r="Q144">
        <v>170</v>
      </c>
      <c r="R144">
        <v>80</v>
      </c>
      <c r="S144">
        <v>125</v>
      </c>
      <c r="T144">
        <v>0.446428571</v>
      </c>
      <c r="V144" t="s">
        <v>121</v>
      </c>
      <c r="W144" t="s">
        <v>114</v>
      </c>
      <c r="X144">
        <v>28.2</v>
      </c>
      <c r="Y144">
        <v>23.3</v>
      </c>
      <c r="Z144">
        <v>23.8</v>
      </c>
      <c r="AA144">
        <v>25.1</v>
      </c>
      <c r="AB144">
        <v>25.1</v>
      </c>
      <c r="AC144" t="s">
        <v>114</v>
      </c>
      <c r="AD144" t="s">
        <v>114</v>
      </c>
      <c r="AE144" t="s">
        <v>114</v>
      </c>
      <c r="AF144" t="s">
        <v>114</v>
      </c>
      <c r="AG144">
        <v>23.3</v>
      </c>
      <c r="AH144">
        <v>22.3</v>
      </c>
      <c r="AI144">
        <v>16.399999999999999</v>
      </c>
      <c r="AJ144">
        <v>20.666666670000001</v>
      </c>
      <c r="AK144">
        <v>25.2</v>
      </c>
      <c r="AL144">
        <v>25.7</v>
      </c>
      <c r="AM144">
        <v>17.899999999999999</v>
      </c>
      <c r="AN144">
        <v>22.93333333</v>
      </c>
      <c r="AO144">
        <v>20.666666670000001</v>
      </c>
      <c r="AP144">
        <v>12</v>
      </c>
      <c r="AQ144">
        <v>10</v>
      </c>
      <c r="AR144">
        <v>11</v>
      </c>
      <c r="AS144">
        <v>11</v>
      </c>
      <c r="AT144">
        <v>13</v>
      </c>
      <c r="AU144">
        <v>11</v>
      </c>
      <c r="AV144">
        <v>9.5</v>
      </c>
      <c r="AW144">
        <v>11.16666667</v>
      </c>
      <c r="AX144">
        <v>11</v>
      </c>
      <c r="AY144">
        <v>-14.1</v>
      </c>
      <c r="AZ144">
        <v>5</v>
      </c>
      <c r="BA144">
        <v>30</v>
      </c>
      <c r="BB144">
        <v>5</v>
      </c>
      <c r="BC144">
        <v>10</v>
      </c>
      <c r="BD144">
        <v>0</v>
      </c>
      <c r="BE144">
        <v>1</v>
      </c>
      <c r="BF144">
        <v>3</v>
      </c>
      <c r="BG144">
        <v>3</v>
      </c>
      <c r="BI144">
        <v>18.7</v>
      </c>
      <c r="BJ144">
        <v>19.202000000000002</v>
      </c>
      <c r="BK144">
        <v>0</v>
      </c>
      <c r="BL144">
        <v>38</v>
      </c>
      <c r="BM144">
        <v>36</v>
      </c>
      <c r="BN144">
        <v>4925</v>
      </c>
      <c r="BO144">
        <v>1464.6667</v>
      </c>
      <c r="BP144">
        <v>3460.3332999999998</v>
      </c>
      <c r="BQ144">
        <v>2449</v>
      </c>
      <c r="BR144">
        <v>2476</v>
      </c>
      <c r="BS144" t="s">
        <v>114</v>
      </c>
      <c r="BT144" t="s">
        <v>114</v>
      </c>
      <c r="BU144" t="s">
        <v>114</v>
      </c>
      <c r="BV144" t="s">
        <v>114</v>
      </c>
      <c r="BW144" t="s">
        <v>114</v>
      </c>
      <c r="BX144" t="s">
        <v>114</v>
      </c>
      <c r="BY144" t="s">
        <v>114</v>
      </c>
      <c r="BZ144" t="s">
        <v>114</v>
      </c>
      <c r="CA144" t="s">
        <v>114</v>
      </c>
      <c r="CB144" t="s">
        <v>114</v>
      </c>
      <c r="CC144" t="s">
        <v>114</v>
      </c>
      <c r="CD144" t="s">
        <v>114</v>
      </c>
      <c r="CE144" t="s">
        <v>114</v>
      </c>
      <c r="CF144" t="s">
        <v>114</v>
      </c>
      <c r="CG144" t="s">
        <v>114</v>
      </c>
      <c r="CH144" t="s">
        <v>114</v>
      </c>
      <c r="CI144" t="s">
        <v>114</v>
      </c>
      <c r="CJ144" t="s">
        <v>114</v>
      </c>
      <c r="CK144" t="s">
        <v>114</v>
      </c>
      <c r="CL144" t="s">
        <v>114</v>
      </c>
      <c r="CM144" t="s">
        <v>114</v>
      </c>
      <c r="CN144" t="s">
        <v>114</v>
      </c>
      <c r="CO144" t="s">
        <v>114</v>
      </c>
      <c r="CP144" t="s">
        <v>114</v>
      </c>
      <c r="CQ144" t="s">
        <v>114</v>
      </c>
      <c r="CR144" t="s">
        <v>114</v>
      </c>
      <c r="CS144" t="s">
        <v>114</v>
      </c>
      <c r="CT144" t="s">
        <v>114</v>
      </c>
      <c r="CU144" t="s">
        <v>114</v>
      </c>
      <c r="CV144" t="s">
        <v>114</v>
      </c>
      <c r="CW144" t="s">
        <v>114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</row>
    <row r="145" spans="1:134" x14ac:dyDescent="0.25">
      <c r="A145" t="s">
        <v>43</v>
      </c>
      <c r="B145">
        <v>2</v>
      </c>
      <c r="C145" t="s">
        <v>23</v>
      </c>
      <c r="D145" t="s">
        <v>94</v>
      </c>
      <c r="E145" t="s">
        <v>104</v>
      </c>
      <c r="F145" t="s">
        <v>145</v>
      </c>
      <c r="G145" t="s">
        <v>264</v>
      </c>
      <c r="H145" t="s">
        <v>779</v>
      </c>
      <c r="I145" t="s">
        <v>721</v>
      </c>
      <c r="J145" t="s">
        <v>419</v>
      </c>
      <c r="K145" t="s">
        <v>114</v>
      </c>
      <c r="L145">
        <v>70</v>
      </c>
      <c r="M145">
        <v>50</v>
      </c>
      <c r="N145">
        <v>70</v>
      </c>
      <c r="O145">
        <v>20</v>
      </c>
      <c r="P145">
        <v>40</v>
      </c>
      <c r="Q145">
        <v>35</v>
      </c>
      <c r="R145">
        <v>20</v>
      </c>
      <c r="S145">
        <v>27.5</v>
      </c>
      <c r="T145">
        <v>0.39285714300000002</v>
      </c>
      <c r="V145" t="s">
        <v>104</v>
      </c>
      <c r="W145">
        <v>25</v>
      </c>
      <c r="X145">
        <v>28.2</v>
      </c>
      <c r="Y145">
        <v>23.3</v>
      </c>
      <c r="Z145">
        <v>23.8</v>
      </c>
      <c r="AA145">
        <v>25.1</v>
      </c>
      <c r="AB145">
        <v>25.1</v>
      </c>
      <c r="AC145">
        <v>21.8</v>
      </c>
      <c r="AD145">
        <v>25.7</v>
      </c>
      <c r="AE145">
        <v>28.7</v>
      </c>
      <c r="AF145">
        <v>25.4</v>
      </c>
      <c r="AG145">
        <v>23.3</v>
      </c>
      <c r="AH145">
        <v>22.3</v>
      </c>
      <c r="AI145">
        <v>16.399999999999999</v>
      </c>
      <c r="AJ145">
        <v>20.666666670000001</v>
      </c>
      <c r="AK145">
        <v>28.7</v>
      </c>
      <c r="AL145">
        <v>25.2</v>
      </c>
      <c r="AM145">
        <v>29.2</v>
      </c>
      <c r="AN145">
        <v>27.7</v>
      </c>
      <c r="AO145">
        <v>20.666666670000001</v>
      </c>
      <c r="AP145">
        <v>12</v>
      </c>
      <c r="AQ145">
        <v>10</v>
      </c>
      <c r="AR145">
        <v>11</v>
      </c>
      <c r="AS145">
        <v>11</v>
      </c>
      <c r="AT145">
        <v>6.6</v>
      </c>
      <c r="AU145">
        <v>12</v>
      </c>
      <c r="AV145">
        <v>10</v>
      </c>
      <c r="AW145">
        <v>9.5333333329999999</v>
      </c>
      <c r="AX145">
        <v>11</v>
      </c>
      <c r="AY145">
        <v>-14.1</v>
      </c>
      <c r="AZ145">
        <v>5</v>
      </c>
      <c r="BA145">
        <v>30</v>
      </c>
      <c r="BB145">
        <v>5</v>
      </c>
      <c r="BC145">
        <v>10</v>
      </c>
      <c r="BD145">
        <v>0</v>
      </c>
      <c r="BE145">
        <v>1</v>
      </c>
      <c r="BF145">
        <v>3</v>
      </c>
      <c r="BG145">
        <v>3</v>
      </c>
      <c r="BI145">
        <v>18.7</v>
      </c>
      <c r="BJ145">
        <v>19.202000000000002</v>
      </c>
      <c r="BK145">
        <v>0</v>
      </c>
      <c r="BL145">
        <v>5</v>
      </c>
      <c r="BM145">
        <v>5</v>
      </c>
      <c r="BN145">
        <v>30</v>
      </c>
      <c r="BO145">
        <v>35</v>
      </c>
      <c r="BP145">
        <v>-5</v>
      </c>
      <c r="BQ145">
        <v>14</v>
      </c>
      <c r="BR145">
        <v>16</v>
      </c>
      <c r="BS145">
        <v>5.5729166499999998</v>
      </c>
      <c r="BT145">
        <v>1.965242497</v>
      </c>
      <c r="BU145">
        <v>3.15906704</v>
      </c>
      <c r="BV145">
        <v>5.5729166499999998</v>
      </c>
      <c r="BW145">
        <v>-1.965242497</v>
      </c>
      <c r="BX145">
        <v>3.15906704</v>
      </c>
      <c r="BY145">
        <v>62.114799980000001</v>
      </c>
      <c r="BZ145">
        <v>7.7243561439999997</v>
      </c>
      <c r="CA145">
        <v>19.959409130000001</v>
      </c>
      <c r="CB145">
        <v>62.114799980000001</v>
      </c>
      <c r="CC145">
        <v>7.7243561439999997</v>
      </c>
      <c r="CD145">
        <v>19.959409130000001</v>
      </c>
      <c r="CE145" t="s">
        <v>114</v>
      </c>
      <c r="CF145" t="s">
        <v>114</v>
      </c>
      <c r="CG145" t="s">
        <v>114</v>
      </c>
      <c r="CH145">
        <v>5.5729166499999998</v>
      </c>
      <c r="CI145">
        <v>1.965242497</v>
      </c>
      <c r="CJ145">
        <v>3.15906704</v>
      </c>
      <c r="CK145" t="s">
        <v>114</v>
      </c>
      <c r="CL145">
        <v>5.5729166499999998</v>
      </c>
      <c r="CM145">
        <v>-1.965242497</v>
      </c>
      <c r="CN145">
        <v>3.15906704</v>
      </c>
      <c r="CO145" t="s">
        <v>114</v>
      </c>
      <c r="CP145">
        <v>62.114799980000001</v>
      </c>
      <c r="CQ145">
        <v>7.7243561439999997</v>
      </c>
      <c r="CR145">
        <v>19.959409130000001</v>
      </c>
      <c r="CS145" t="s">
        <v>114</v>
      </c>
      <c r="CT145">
        <v>62.114799980000001</v>
      </c>
      <c r="CU145">
        <v>7.7243561439999997</v>
      </c>
      <c r="CV145">
        <v>19.959409130000001</v>
      </c>
      <c r="CW145" t="s">
        <v>114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1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1</v>
      </c>
      <c r="DZ145">
        <v>0</v>
      </c>
      <c r="EA145">
        <v>0</v>
      </c>
      <c r="EB145">
        <v>0</v>
      </c>
      <c r="EC145">
        <v>0</v>
      </c>
      <c r="ED145">
        <v>0.69314718055994495</v>
      </c>
    </row>
    <row r="146" spans="1:134" x14ac:dyDescent="0.25">
      <c r="A146" t="s">
        <v>44</v>
      </c>
      <c r="B146">
        <v>2</v>
      </c>
      <c r="C146" t="s">
        <v>25</v>
      </c>
      <c r="D146" t="s">
        <v>95</v>
      </c>
      <c r="E146" t="s">
        <v>102</v>
      </c>
      <c r="F146" t="s">
        <v>145</v>
      </c>
      <c r="G146" t="s">
        <v>265</v>
      </c>
      <c r="H146" t="s">
        <v>756</v>
      </c>
      <c r="I146" t="s">
        <v>725</v>
      </c>
      <c r="J146" t="s">
        <v>420</v>
      </c>
      <c r="K146">
        <v>2</v>
      </c>
      <c r="L146">
        <v>170</v>
      </c>
      <c r="M146">
        <v>210</v>
      </c>
      <c r="N146">
        <v>170</v>
      </c>
      <c r="O146">
        <v>-40</v>
      </c>
      <c r="P146">
        <v>35</v>
      </c>
      <c r="Q146">
        <v>75</v>
      </c>
      <c r="R146">
        <v>30</v>
      </c>
      <c r="S146">
        <v>52.5</v>
      </c>
      <c r="T146">
        <v>0.30882352899999999</v>
      </c>
      <c r="V146" t="s">
        <v>102</v>
      </c>
      <c r="W146">
        <v>190</v>
      </c>
      <c r="X146">
        <v>17.399999999999999</v>
      </c>
      <c r="Y146">
        <v>15.9</v>
      </c>
      <c r="Z146">
        <v>17.899999999999999</v>
      </c>
      <c r="AA146">
        <v>17.06666667</v>
      </c>
      <c r="AB146">
        <v>17.06666667</v>
      </c>
      <c r="AC146">
        <v>15.9</v>
      </c>
      <c r="AD146">
        <v>13</v>
      </c>
      <c r="AE146">
        <v>13.5</v>
      </c>
      <c r="AF146">
        <v>14.133333329999999</v>
      </c>
      <c r="AG146">
        <v>20.8</v>
      </c>
      <c r="AH146">
        <v>17.399999999999999</v>
      </c>
      <c r="AI146">
        <v>20.3</v>
      </c>
      <c r="AJ146">
        <v>19.5</v>
      </c>
      <c r="AK146">
        <v>14.9</v>
      </c>
      <c r="AL146">
        <v>12.5</v>
      </c>
      <c r="AM146">
        <v>13.9</v>
      </c>
      <c r="AN146">
        <v>13.766666669999999</v>
      </c>
      <c r="AO146">
        <v>19.5</v>
      </c>
      <c r="AP146">
        <v>8.1</v>
      </c>
      <c r="AQ146">
        <v>7.1</v>
      </c>
      <c r="AR146">
        <v>8.5</v>
      </c>
      <c r="AS146">
        <v>7.9</v>
      </c>
      <c r="AT146">
        <v>5.6</v>
      </c>
      <c r="AU146">
        <v>5.6</v>
      </c>
      <c r="AV146">
        <v>6.1</v>
      </c>
      <c r="AW146">
        <v>5.766666667</v>
      </c>
      <c r="AX146">
        <v>7.9</v>
      </c>
      <c r="AY146">
        <v>-9.1666666669999994</v>
      </c>
      <c r="AZ146">
        <v>30</v>
      </c>
      <c r="BA146">
        <v>0</v>
      </c>
      <c r="BB146">
        <v>10</v>
      </c>
      <c r="BC146">
        <v>20</v>
      </c>
      <c r="BD146">
        <v>1</v>
      </c>
      <c r="BE146">
        <v>1</v>
      </c>
      <c r="BF146">
        <v>3</v>
      </c>
      <c r="BG146">
        <v>1</v>
      </c>
      <c r="BI146">
        <v>6.4</v>
      </c>
      <c r="BJ146">
        <v>50.609000000000002</v>
      </c>
      <c r="BK146">
        <v>0</v>
      </c>
      <c r="BL146">
        <v>19</v>
      </c>
      <c r="BM146">
        <v>16</v>
      </c>
      <c r="BN146">
        <v>675</v>
      </c>
      <c r="BO146">
        <v>486.66669999999999</v>
      </c>
      <c r="BP146">
        <v>188.33330000000001</v>
      </c>
      <c r="BQ146">
        <v>532</v>
      </c>
      <c r="BR146">
        <v>143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 t="s">
        <v>114</v>
      </c>
      <c r="BZ146" t="s">
        <v>114</v>
      </c>
      <c r="CA146" t="s">
        <v>114</v>
      </c>
      <c r="CB146" t="s">
        <v>114</v>
      </c>
      <c r="CC146" t="s">
        <v>114</v>
      </c>
      <c r="CD146" t="s">
        <v>114</v>
      </c>
      <c r="CE146">
        <v>0</v>
      </c>
      <c r="CF146" t="s">
        <v>114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 t="s">
        <v>114</v>
      </c>
      <c r="CP146" t="s">
        <v>114</v>
      </c>
      <c r="CQ146" t="s">
        <v>114</v>
      </c>
      <c r="CR146" t="s">
        <v>114</v>
      </c>
      <c r="CS146" t="s">
        <v>114</v>
      </c>
      <c r="CT146" t="s">
        <v>114</v>
      </c>
      <c r="CU146" t="s">
        <v>114</v>
      </c>
      <c r="CV146" t="s">
        <v>114</v>
      </c>
      <c r="CW146">
        <v>0</v>
      </c>
      <c r="CX146">
        <v>1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</row>
    <row r="147" spans="1:134" x14ac:dyDescent="0.25">
      <c r="A147" t="s">
        <v>44</v>
      </c>
      <c r="B147">
        <v>2</v>
      </c>
      <c r="C147" t="s">
        <v>25</v>
      </c>
      <c r="D147" t="s">
        <v>95</v>
      </c>
      <c r="E147" t="s">
        <v>110</v>
      </c>
      <c r="F147" t="s">
        <v>145</v>
      </c>
      <c r="G147" t="s">
        <v>262</v>
      </c>
      <c r="H147" t="s">
        <v>768</v>
      </c>
      <c r="I147" t="s">
        <v>726</v>
      </c>
      <c r="J147" t="s">
        <v>421</v>
      </c>
      <c r="K147">
        <v>1</v>
      </c>
      <c r="L147">
        <v>60</v>
      </c>
      <c r="M147">
        <v>110</v>
      </c>
      <c r="N147">
        <v>60</v>
      </c>
      <c r="O147">
        <v>-50</v>
      </c>
      <c r="P147">
        <v>18</v>
      </c>
      <c r="Q147">
        <v>30</v>
      </c>
      <c r="R147">
        <v>5</v>
      </c>
      <c r="S147">
        <v>17.5</v>
      </c>
      <c r="T147">
        <v>0.29166666699999999</v>
      </c>
      <c r="V147" t="s">
        <v>121</v>
      </c>
      <c r="W147" t="s">
        <v>114</v>
      </c>
      <c r="X147">
        <v>17.399999999999999</v>
      </c>
      <c r="Y147">
        <v>15.9</v>
      </c>
      <c r="Z147">
        <v>17.899999999999999</v>
      </c>
      <c r="AA147">
        <v>17.06666667</v>
      </c>
      <c r="AB147">
        <v>17.06666667</v>
      </c>
      <c r="AC147">
        <v>12</v>
      </c>
      <c r="AD147">
        <v>16.899999999999999</v>
      </c>
      <c r="AE147">
        <v>15.9</v>
      </c>
      <c r="AF147">
        <v>14.93333333</v>
      </c>
      <c r="AG147">
        <v>20.8</v>
      </c>
      <c r="AH147">
        <v>17.399999999999999</v>
      </c>
      <c r="AI147">
        <v>20.3</v>
      </c>
      <c r="AJ147">
        <v>19.5</v>
      </c>
      <c r="AK147">
        <v>16.899999999999999</v>
      </c>
      <c r="AL147">
        <v>18.899999999999999</v>
      </c>
      <c r="AM147">
        <v>14.9</v>
      </c>
      <c r="AN147">
        <v>16.899999999999999</v>
      </c>
      <c r="AO147">
        <v>19.5</v>
      </c>
      <c r="AP147">
        <v>8.1</v>
      </c>
      <c r="AQ147">
        <v>7.1</v>
      </c>
      <c r="AR147">
        <v>8.5</v>
      </c>
      <c r="AS147">
        <v>7.9</v>
      </c>
      <c r="AT147">
        <v>7.6</v>
      </c>
      <c r="AU147">
        <v>9</v>
      </c>
      <c r="AV147">
        <v>8.5</v>
      </c>
      <c r="AW147">
        <v>8.3666666670000005</v>
      </c>
      <c r="AX147">
        <v>7.9</v>
      </c>
      <c r="AY147">
        <v>-9.1666666669999994</v>
      </c>
      <c r="AZ147">
        <v>30</v>
      </c>
      <c r="BA147">
        <v>0</v>
      </c>
      <c r="BB147">
        <v>10</v>
      </c>
      <c r="BC147">
        <v>20</v>
      </c>
      <c r="BD147">
        <v>1</v>
      </c>
      <c r="BE147">
        <v>1</v>
      </c>
      <c r="BF147">
        <v>3</v>
      </c>
      <c r="BG147">
        <v>1</v>
      </c>
      <c r="BI147">
        <v>6.4</v>
      </c>
      <c r="BJ147">
        <v>50.609000000000002</v>
      </c>
      <c r="BK147">
        <v>1</v>
      </c>
      <c r="BL147">
        <v>2</v>
      </c>
      <c r="BM147">
        <v>2</v>
      </c>
      <c r="BN147">
        <v>2</v>
      </c>
      <c r="BO147">
        <v>3</v>
      </c>
      <c r="BP147">
        <v>-1</v>
      </c>
      <c r="BQ147">
        <v>3</v>
      </c>
      <c r="BR147">
        <v>-1</v>
      </c>
      <c r="BS147" t="s">
        <v>114</v>
      </c>
      <c r="BT147" t="s">
        <v>114</v>
      </c>
      <c r="BU147" t="s">
        <v>114</v>
      </c>
      <c r="BV147" t="s">
        <v>114</v>
      </c>
      <c r="BW147" t="s">
        <v>114</v>
      </c>
      <c r="BX147" t="s">
        <v>114</v>
      </c>
      <c r="BY147" t="s">
        <v>114</v>
      </c>
      <c r="BZ147" t="s">
        <v>114</v>
      </c>
      <c r="CA147" t="s">
        <v>114</v>
      </c>
      <c r="CB147" t="s">
        <v>114</v>
      </c>
      <c r="CC147" t="s">
        <v>114</v>
      </c>
      <c r="CD147" t="s">
        <v>114</v>
      </c>
      <c r="CE147" t="s">
        <v>114</v>
      </c>
      <c r="CF147" t="s">
        <v>114</v>
      </c>
      <c r="CG147" t="s">
        <v>114</v>
      </c>
      <c r="CH147" t="s">
        <v>114</v>
      </c>
      <c r="CI147" t="s">
        <v>114</v>
      </c>
      <c r="CJ147" t="s">
        <v>114</v>
      </c>
      <c r="CK147" t="s">
        <v>114</v>
      </c>
      <c r="CL147" t="s">
        <v>114</v>
      </c>
      <c r="CM147" t="s">
        <v>114</v>
      </c>
      <c r="CN147" t="s">
        <v>114</v>
      </c>
      <c r="CO147" t="s">
        <v>114</v>
      </c>
      <c r="CP147" t="s">
        <v>114</v>
      </c>
      <c r="CQ147" t="s">
        <v>114</v>
      </c>
      <c r="CR147" t="s">
        <v>114</v>
      </c>
      <c r="CS147" t="s">
        <v>114</v>
      </c>
      <c r="CT147" t="s">
        <v>114</v>
      </c>
      <c r="CU147" t="s">
        <v>114</v>
      </c>
      <c r="CV147" t="s">
        <v>114</v>
      </c>
      <c r="CW147" t="s">
        <v>114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</row>
    <row r="148" spans="1:134" x14ac:dyDescent="0.25">
      <c r="A148" t="s">
        <v>44</v>
      </c>
      <c r="B148">
        <v>2</v>
      </c>
      <c r="C148" t="s">
        <v>25</v>
      </c>
      <c r="D148" t="s">
        <v>95</v>
      </c>
      <c r="E148" t="s">
        <v>104</v>
      </c>
      <c r="F148" t="s">
        <v>145</v>
      </c>
      <c r="G148" t="s">
        <v>264</v>
      </c>
      <c r="H148" t="s">
        <v>780</v>
      </c>
      <c r="I148" t="s">
        <v>727</v>
      </c>
      <c r="J148" t="s">
        <v>422</v>
      </c>
      <c r="K148">
        <v>0</v>
      </c>
      <c r="L148">
        <v>130</v>
      </c>
      <c r="M148">
        <v>140</v>
      </c>
      <c r="N148">
        <v>130</v>
      </c>
      <c r="O148">
        <v>-10</v>
      </c>
      <c r="P148">
        <v>40</v>
      </c>
      <c r="Q148">
        <v>35</v>
      </c>
      <c r="R148">
        <v>20</v>
      </c>
      <c r="S148">
        <v>27.5</v>
      </c>
      <c r="T148">
        <v>0.21153846200000001</v>
      </c>
      <c r="V148" t="s">
        <v>112</v>
      </c>
      <c r="W148">
        <v>30</v>
      </c>
      <c r="X148">
        <v>17.399999999999999</v>
      </c>
      <c r="Y148">
        <v>15.9</v>
      </c>
      <c r="Z148">
        <v>17.899999999999999</v>
      </c>
      <c r="AA148">
        <v>17.06666667</v>
      </c>
      <c r="AB148">
        <v>17.06666667</v>
      </c>
      <c r="AC148">
        <v>13</v>
      </c>
      <c r="AD148">
        <v>13.5</v>
      </c>
      <c r="AE148">
        <v>14.9</v>
      </c>
      <c r="AF148">
        <v>13.8</v>
      </c>
      <c r="AG148">
        <v>20.8</v>
      </c>
      <c r="AH148">
        <v>17.399999999999999</v>
      </c>
      <c r="AI148">
        <v>20.3</v>
      </c>
      <c r="AJ148">
        <v>19.5</v>
      </c>
      <c r="AK148">
        <v>14.9</v>
      </c>
      <c r="AL148">
        <v>16.899999999999999</v>
      </c>
      <c r="AM148">
        <v>15.4</v>
      </c>
      <c r="AN148">
        <v>15.733333330000001</v>
      </c>
      <c r="AO148">
        <v>19.5</v>
      </c>
      <c r="AP148">
        <v>8.1</v>
      </c>
      <c r="AQ148">
        <v>7.1</v>
      </c>
      <c r="AR148">
        <v>8.5</v>
      </c>
      <c r="AS148">
        <v>7.9</v>
      </c>
      <c r="AT148">
        <v>4.5999999999999996</v>
      </c>
      <c r="AU148">
        <v>5.0999999999999996</v>
      </c>
      <c r="AV148">
        <v>6.6</v>
      </c>
      <c r="AW148">
        <v>5.4333333330000002</v>
      </c>
      <c r="AX148">
        <v>7.9</v>
      </c>
      <c r="AY148">
        <v>-9.1666666669999994</v>
      </c>
      <c r="AZ148">
        <v>30</v>
      </c>
      <c r="BA148">
        <v>0</v>
      </c>
      <c r="BB148">
        <v>10</v>
      </c>
      <c r="BC148">
        <v>20</v>
      </c>
      <c r="BD148">
        <v>1</v>
      </c>
      <c r="BE148">
        <v>1</v>
      </c>
      <c r="BF148">
        <v>3</v>
      </c>
      <c r="BG148">
        <v>1</v>
      </c>
      <c r="BI148">
        <v>6.4</v>
      </c>
      <c r="BJ148">
        <v>50.609000000000002</v>
      </c>
      <c r="BK148">
        <v>0</v>
      </c>
      <c r="BL148">
        <v>14</v>
      </c>
      <c r="BM148">
        <v>14</v>
      </c>
      <c r="BN148">
        <v>86</v>
      </c>
      <c r="BO148">
        <v>134</v>
      </c>
      <c r="BP148">
        <v>-48</v>
      </c>
      <c r="BQ148">
        <v>202</v>
      </c>
      <c r="BR148">
        <v>-116</v>
      </c>
      <c r="BS148">
        <v>36.807570900000002</v>
      </c>
      <c r="BT148">
        <v>0.928214074</v>
      </c>
      <c r="BU148">
        <v>5.8567984070000003</v>
      </c>
      <c r="BV148">
        <v>36.807570900000002</v>
      </c>
      <c r="BW148">
        <v>0.295447407</v>
      </c>
      <c r="BX148">
        <v>1.3202200470000001</v>
      </c>
      <c r="BY148">
        <v>109.0237654</v>
      </c>
      <c r="BZ148">
        <v>0.60828248299999998</v>
      </c>
      <c r="CA148">
        <v>19.320325279999999</v>
      </c>
      <c r="CB148">
        <v>109.0237654</v>
      </c>
      <c r="CC148">
        <v>1.7697207779999999</v>
      </c>
      <c r="CD148">
        <v>68.158985180000002</v>
      </c>
      <c r="CE148" t="s">
        <v>114</v>
      </c>
      <c r="CF148" t="s">
        <v>114</v>
      </c>
      <c r="CG148" t="s">
        <v>114</v>
      </c>
      <c r="CH148">
        <v>36.807570900000002</v>
      </c>
      <c r="CI148">
        <v>0.928214074</v>
      </c>
      <c r="CJ148">
        <v>5.8567984070000003</v>
      </c>
      <c r="CK148" t="s">
        <v>114</v>
      </c>
      <c r="CL148">
        <v>36.807570900000002</v>
      </c>
      <c r="CM148">
        <v>0.295447407</v>
      </c>
      <c r="CN148">
        <v>1.3202200470000001</v>
      </c>
      <c r="CO148" t="s">
        <v>114</v>
      </c>
      <c r="CP148">
        <v>109.0237654</v>
      </c>
      <c r="CQ148">
        <v>0.60828248299999998</v>
      </c>
      <c r="CR148">
        <v>19.320325279999999</v>
      </c>
      <c r="CS148" t="s">
        <v>114</v>
      </c>
      <c r="CT148">
        <v>109.0237654</v>
      </c>
      <c r="CU148">
        <v>1.7697207779999999</v>
      </c>
      <c r="CV148">
        <v>68.158985180000002</v>
      </c>
      <c r="CW148" t="s">
        <v>114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1</v>
      </c>
      <c r="DM148">
        <v>0</v>
      </c>
      <c r="DN148">
        <v>1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1</v>
      </c>
      <c r="EA148">
        <v>0</v>
      </c>
      <c r="EB148">
        <v>0</v>
      </c>
      <c r="EC148">
        <v>0</v>
      </c>
      <c r="ED148">
        <v>1.09861228866811</v>
      </c>
    </row>
    <row r="149" spans="1:134" x14ac:dyDescent="0.25">
      <c r="A149" t="s">
        <v>44</v>
      </c>
      <c r="B149">
        <v>2</v>
      </c>
      <c r="C149" t="s">
        <v>25</v>
      </c>
      <c r="D149" t="s">
        <v>95</v>
      </c>
      <c r="E149" t="s">
        <v>112</v>
      </c>
      <c r="F149" t="s">
        <v>145</v>
      </c>
      <c r="G149" t="s">
        <v>261</v>
      </c>
      <c r="H149" t="s">
        <v>784</v>
      </c>
      <c r="I149" t="s">
        <v>722</v>
      </c>
      <c r="J149" t="s">
        <v>423</v>
      </c>
      <c r="K149">
        <v>3</v>
      </c>
      <c r="L149">
        <v>120</v>
      </c>
      <c r="M149">
        <v>70</v>
      </c>
      <c r="N149">
        <v>120</v>
      </c>
      <c r="O149">
        <v>50</v>
      </c>
      <c r="P149">
        <v>65</v>
      </c>
      <c r="Q149">
        <v>150</v>
      </c>
      <c r="R149">
        <v>45</v>
      </c>
      <c r="S149">
        <v>97.5</v>
      </c>
      <c r="T149">
        <v>0.8125</v>
      </c>
      <c r="V149" t="s">
        <v>121</v>
      </c>
      <c r="W149" t="s">
        <v>114</v>
      </c>
      <c r="X149">
        <v>17.399999999999999</v>
      </c>
      <c r="Y149">
        <v>15.9</v>
      </c>
      <c r="Z149">
        <v>17.899999999999999</v>
      </c>
      <c r="AA149">
        <v>17.06666667</v>
      </c>
      <c r="AB149">
        <v>17.06666667</v>
      </c>
      <c r="AC149">
        <v>18.399999999999999</v>
      </c>
      <c r="AD149">
        <v>18.399999999999999</v>
      </c>
      <c r="AE149">
        <v>17.899999999999999</v>
      </c>
      <c r="AF149">
        <v>18.233333330000001</v>
      </c>
      <c r="AG149">
        <v>20.8</v>
      </c>
      <c r="AH149">
        <v>17.399999999999999</v>
      </c>
      <c r="AI149">
        <v>20.3</v>
      </c>
      <c r="AJ149">
        <v>19.5</v>
      </c>
      <c r="AK149">
        <v>17.399999999999999</v>
      </c>
      <c r="AL149">
        <v>19.3</v>
      </c>
      <c r="AM149">
        <v>19.8</v>
      </c>
      <c r="AN149">
        <v>18.833333329999999</v>
      </c>
      <c r="AO149">
        <v>19.5</v>
      </c>
      <c r="AP149">
        <v>8.1</v>
      </c>
      <c r="AQ149">
        <v>7.1</v>
      </c>
      <c r="AR149">
        <v>8.5</v>
      </c>
      <c r="AS149">
        <v>7.9</v>
      </c>
      <c r="AT149">
        <v>7.1</v>
      </c>
      <c r="AU149">
        <v>7.1</v>
      </c>
      <c r="AV149">
        <v>8.5</v>
      </c>
      <c r="AW149">
        <v>7.5666666669999998</v>
      </c>
      <c r="AX149">
        <v>7.9</v>
      </c>
      <c r="AY149">
        <v>-9.1666666669999994</v>
      </c>
      <c r="AZ149">
        <v>30</v>
      </c>
      <c r="BA149">
        <v>0</v>
      </c>
      <c r="BB149">
        <v>10</v>
      </c>
      <c r="BC149">
        <v>20</v>
      </c>
      <c r="BD149">
        <v>1</v>
      </c>
      <c r="BE149">
        <v>1</v>
      </c>
      <c r="BF149">
        <v>3</v>
      </c>
      <c r="BG149">
        <v>1</v>
      </c>
      <c r="BI149">
        <v>6.4</v>
      </c>
      <c r="BJ149">
        <v>50.609000000000002</v>
      </c>
      <c r="BK149">
        <v>0</v>
      </c>
      <c r="BL149">
        <v>20</v>
      </c>
      <c r="BM149">
        <v>20</v>
      </c>
      <c r="BN149">
        <v>64</v>
      </c>
      <c r="BO149">
        <v>116.5</v>
      </c>
      <c r="BP149">
        <v>-52.5</v>
      </c>
      <c r="BQ149">
        <v>83</v>
      </c>
      <c r="BR149">
        <v>-19</v>
      </c>
      <c r="BS149" t="s">
        <v>114</v>
      </c>
      <c r="BT149" t="s">
        <v>114</v>
      </c>
      <c r="BU149" t="s">
        <v>114</v>
      </c>
      <c r="BV149" t="s">
        <v>114</v>
      </c>
      <c r="BW149" t="s">
        <v>114</v>
      </c>
      <c r="BX149" t="s">
        <v>114</v>
      </c>
      <c r="BY149" t="s">
        <v>114</v>
      </c>
      <c r="BZ149" t="s">
        <v>114</v>
      </c>
      <c r="CA149" t="s">
        <v>114</v>
      </c>
      <c r="CB149" t="s">
        <v>114</v>
      </c>
      <c r="CC149" t="s">
        <v>114</v>
      </c>
      <c r="CD149" t="s">
        <v>114</v>
      </c>
      <c r="CE149" t="s">
        <v>114</v>
      </c>
      <c r="CF149" t="s">
        <v>114</v>
      </c>
      <c r="CG149" t="s">
        <v>114</v>
      </c>
      <c r="CH149" t="s">
        <v>114</v>
      </c>
      <c r="CI149" t="s">
        <v>114</v>
      </c>
      <c r="CJ149" t="s">
        <v>114</v>
      </c>
      <c r="CK149" t="s">
        <v>114</v>
      </c>
      <c r="CL149" t="s">
        <v>114</v>
      </c>
      <c r="CM149" t="s">
        <v>114</v>
      </c>
      <c r="CN149" t="s">
        <v>114</v>
      </c>
      <c r="CO149" t="s">
        <v>114</v>
      </c>
      <c r="CP149" t="s">
        <v>114</v>
      </c>
      <c r="CQ149" t="s">
        <v>114</v>
      </c>
      <c r="CR149" t="s">
        <v>114</v>
      </c>
      <c r="CS149" t="s">
        <v>114</v>
      </c>
      <c r="CT149" t="s">
        <v>114</v>
      </c>
      <c r="CU149" t="s">
        <v>114</v>
      </c>
      <c r="CV149" t="s">
        <v>114</v>
      </c>
      <c r="CW149" t="s">
        <v>114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</row>
    <row r="150" spans="1:134" x14ac:dyDescent="0.25">
      <c r="A150" t="s">
        <v>45</v>
      </c>
      <c r="B150">
        <v>2</v>
      </c>
      <c r="C150" t="s">
        <v>27</v>
      </c>
      <c r="D150" t="s">
        <v>95</v>
      </c>
      <c r="E150" t="s">
        <v>102</v>
      </c>
      <c r="F150" t="s">
        <v>145</v>
      </c>
      <c r="G150" t="s">
        <v>265</v>
      </c>
      <c r="H150" t="s">
        <v>756</v>
      </c>
      <c r="I150" t="s">
        <v>725</v>
      </c>
      <c r="J150" t="s">
        <v>424</v>
      </c>
      <c r="K150">
        <v>2</v>
      </c>
      <c r="L150">
        <v>170</v>
      </c>
      <c r="M150">
        <v>145</v>
      </c>
      <c r="N150">
        <v>170</v>
      </c>
      <c r="O150">
        <v>25</v>
      </c>
      <c r="P150">
        <v>160</v>
      </c>
      <c r="Q150">
        <v>160</v>
      </c>
      <c r="R150">
        <v>105</v>
      </c>
      <c r="S150">
        <v>132.5</v>
      </c>
      <c r="T150">
        <v>0.77941176499999998</v>
      </c>
      <c r="V150" t="s">
        <v>113</v>
      </c>
      <c r="W150">
        <v>50</v>
      </c>
      <c r="X150">
        <v>12.5</v>
      </c>
      <c r="Y150">
        <v>14.9</v>
      </c>
      <c r="Z150">
        <v>17.899999999999999</v>
      </c>
      <c r="AA150">
        <v>15.1</v>
      </c>
      <c r="AB150">
        <v>15.1</v>
      </c>
      <c r="AC150">
        <v>12.5</v>
      </c>
      <c r="AD150">
        <v>13.9</v>
      </c>
      <c r="AE150">
        <v>14.4</v>
      </c>
      <c r="AF150">
        <v>13.6</v>
      </c>
      <c r="AG150">
        <v>15.4</v>
      </c>
      <c r="AH150">
        <v>15.9</v>
      </c>
      <c r="AI150">
        <v>17.399999999999999</v>
      </c>
      <c r="AJ150">
        <v>16.233333330000001</v>
      </c>
      <c r="AK150">
        <v>13.9</v>
      </c>
      <c r="AL150">
        <v>13</v>
      </c>
      <c r="AM150">
        <v>14.4</v>
      </c>
      <c r="AN150">
        <v>13.766666669999999</v>
      </c>
      <c r="AO150">
        <v>16.233333330000001</v>
      </c>
      <c r="AP150">
        <v>7.6</v>
      </c>
      <c r="AQ150">
        <v>7.1</v>
      </c>
      <c r="AR150">
        <v>8.5</v>
      </c>
      <c r="AS150">
        <v>7.733333333</v>
      </c>
      <c r="AT150">
        <v>5.0999999999999996</v>
      </c>
      <c r="AU150">
        <v>5.0999999999999996</v>
      </c>
      <c r="AV150">
        <v>5.6</v>
      </c>
      <c r="AW150">
        <v>5.266666667</v>
      </c>
      <c r="AX150">
        <v>7.733333333</v>
      </c>
      <c r="AY150">
        <v>-7.3666666669999996</v>
      </c>
      <c r="AZ150">
        <v>20</v>
      </c>
      <c r="BA150">
        <v>35</v>
      </c>
      <c r="BB150">
        <v>5</v>
      </c>
      <c r="BC150">
        <v>0</v>
      </c>
      <c r="BD150">
        <v>1</v>
      </c>
      <c r="BE150">
        <v>0</v>
      </c>
      <c r="BF150">
        <v>1</v>
      </c>
      <c r="BG150">
        <v>0</v>
      </c>
      <c r="BI150">
        <v>11</v>
      </c>
      <c r="BJ150">
        <v>42.4</v>
      </c>
      <c r="BK150">
        <v>0</v>
      </c>
      <c r="BL150">
        <v>45</v>
      </c>
      <c r="BM150">
        <v>38</v>
      </c>
      <c r="BN150">
        <v>1335</v>
      </c>
      <c r="BO150">
        <v>486.66669999999999</v>
      </c>
      <c r="BP150">
        <v>848.33330000000001</v>
      </c>
      <c r="BQ150">
        <v>774</v>
      </c>
      <c r="BR150">
        <v>561</v>
      </c>
      <c r="BS150">
        <v>0.98316497999999997</v>
      </c>
      <c r="BT150">
        <v>0.38814500000000002</v>
      </c>
      <c r="BU150">
        <v>6.5570341799999996</v>
      </c>
      <c r="BV150">
        <v>0.98316497999999997</v>
      </c>
      <c r="BW150">
        <v>0.38814500000000002</v>
      </c>
      <c r="BX150">
        <v>6.5570341799999996</v>
      </c>
      <c r="BY150" t="s">
        <v>114</v>
      </c>
      <c r="BZ150" t="s">
        <v>114</v>
      </c>
      <c r="CA150" t="s">
        <v>114</v>
      </c>
      <c r="CB150" t="s">
        <v>114</v>
      </c>
      <c r="CC150" t="s">
        <v>114</v>
      </c>
      <c r="CD150" t="s">
        <v>114</v>
      </c>
      <c r="CE150">
        <v>0.94413650000000005</v>
      </c>
      <c r="CF150" t="s">
        <v>114</v>
      </c>
      <c r="CG150">
        <v>0.94413650000000005</v>
      </c>
      <c r="CH150">
        <v>0.98316497999999997</v>
      </c>
      <c r="CI150">
        <v>0.38814500000000002</v>
      </c>
      <c r="CJ150">
        <v>6.5570341799999996</v>
      </c>
      <c r="CK150">
        <v>0.94413650000000005</v>
      </c>
      <c r="CL150">
        <v>0.98316497999999997</v>
      </c>
      <c r="CM150">
        <v>0.38814500000000002</v>
      </c>
      <c r="CN150">
        <v>6.5570341799999996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0.94413650000000005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2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</row>
    <row r="151" spans="1:134" x14ac:dyDescent="0.25">
      <c r="A151" t="s">
        <v>45</v>
      </c>
      <c r="B151">
        <v>2</v>
      </c>
      <c r="C151" t="s">
        <v>27</v>
      </c>
      <c r="D151" t="s">
        <v>95</v>
      </c>
      <c r="E151" t="s">
        <v>105</v>
      </c>
      <c r="F151" t="s">
        <v>145</v>
      </c>
      <c r="G151" t="s">
        <v>266</v>
      </c>
      <c r="H151" t="s">
        <v>760</v>
      </c>
      <c r="I151" t="s">
        <v>728</v>
      </c>
      <c r="J151" t="s">
        <v>425</v>
      </c>
      <c r="K151">
        <v>6</v>
      </c>
      <c r="L151">
        <v>20</v>
      </c>
      <c r="M151">
        <v>80</v>
      </c>
      <c r="N151">
        <v>20</v>
      </c>
      <c r="O151">
        <v>-60</v>
      </c>
      <c r="P151">
        <v>37</v>
      </c>
      <c r="Q151">
        <v>37</v>
      </c>
      <c r="R151">
        <v>17</v>
      </c>
      <c r="S151">
        <v>27</v>
      </c>
      <c r="T151">
        <v>1.35</v>
      </c>
      <c r="V151" t="s">
        <v>113</v>
      </c>
      <c r="W151">
        <v>40</v>
      </c>
      <c r="X151">
        <v>12.5</v>
      </c>
      <c r="Y151">
        <v>14.9</v>
      </c>
      <c r="Z151">
        <v>17.899999999999999</v>
      </c>
      <c r="AA151">
        <v>15.1</v>
      </c>
      <c r="AB151">
        <v>15.1</v>
      </c>
      <c r="AC151">
        <v>14.9</v>
      </c>
      <c r="AD151">
        <v>16.399999999999999</v>
      </c>
      <c r="AE151">
        <v>16.399999999999999</v>
      </c>
      <c r="AF151">
        <v>15.9</v>
      </c>
      <c r="AG151">
        <v>15.4</v>
      </c>
      <c r="AH151">
        <v>15.9</v>
      </c>
      <c r="AI151">
        <v>17.399999999999999</v>
      </c>
      <c r="AJ151">
        <v>16.233333330000001</v>
      </c>
      <c r="AK151">
        <v>14.9</v>
      </c>
      <c r="AL151">
        <v>16.399999999999999</v>
      </c>
      <c r="AM151">
        <v>14.4</v>
      </c>
      <c r="AN151">
        <v>15.233333330000001</v>
      </c>
      <c r="AO151">
        <v>16.233333330000001</v>
      </c>
      <c r="AP151">
        <v>7.6</v>
      </c>
      <c r="AQ151">
        <v>7.1</v>
      </c>
      <c r="AR151">
        <v>8.5</v>
      </c>
      <c r="AS151">
        <v>7.733333333</v>
      </c>
      <c r="AT151">
        <v>8.5</v>
      </c>
      <c r="AU151">
        <v>8.5</v>
      </c>
      <c r="AV151">
        <v>8.1</v>
      </c>
      <c r="AW151">
        <v>8.3666666670000005</v>
      </c>
      <c r="AX151">
        <v>7.733333333</v>
      </c>
      <c r="AY151">
        <v>-7.3666666669999996</v>
      </c>
      <c r="AZ151">
        <v>20</v>
      </c>
      <c r="BA151">
        <v>35</v>
      </c>
      <c r="BB151">
        <v>5</v>
      </c>
      <c r="BC151">
        <v>0</v>
      </c>
      <c r="BD151">
        <v>1</v>
      </c>
      <c r="BE151">
        <v>0</v>
      </c>
      <c r="BF151">
        <v>1</v>
      </c>
      <c r="BG151">
        <v>0</v>
      </c>
      <c r="BI151">
        <v>11</v>
      </c>
      <c r="BJ151">
        <v>42.4</v>
      </c>
      <c r="BK151">
        <v>0</v>
      </c>
      <c r="BL151">
        <v>2</v>
      </c>
      <c r="BM151">
        <v>2</v>
      </c>
      <c r="BN151" t="s">
        <v>114</v>
      </c>
      <c r="BO151">
        <v>320</v>
      </c>
      <c r="BP151" t="s">
        <v>114</v>
      </c>
      <c r="BQ151">
        <v>499</v>
      </c>
      <c r="BR151" t="s">
        <v>114</v>
      </c>
      <c r="BS151">
        <v>16.257575760000002</v>
      </c>
      <c r="BT151">
        <v>0.31284321999999998</v>
      </c>
      <c r="BU151">
        <v>25.327255940000001</v>
      </c>
      <c r="BV151">
        <v>-16.257575760000002</v>
      </c>
      <c r="BW151">
        <v>-0.31284321999999998</v>
      </c>
      <c r="BX151">
        <v>25.327255940000001</v>
      </c>
      <c r="BY151" t="s">
        <v>114</v>
      </c>
      <c r="BZ151" t="s">
        <v>114</v>
      </c>
      <c r="CA151" t="s">
        <v>114</v>
      </c>
      <c r="CB151" t="s">
        <v>114</v>
      </c>
      <c r="CC151" t="s">
        <v>114</v>
      </c>
      <c r="CD151" t="s">
        <v>114</v>
      </c>
      <c r="CE151">
        <v>1.8820212999999999</v>
      </c>
      <c r="CF151" t="s">
        <v>114</v>
      </c>
      <c r="CG151">
        <v>1.8820212999999999</v>
      </c>
      <c r="CH151">
        <v>16.257575760000002</v>
      </c>
      <c r="CI151">
        <v>0.31284321999999998</v>
      </c>
      <c r="CJ151">
        <v>25.327255940000001</v>
      </c>
      <c r="CK151">
        <v>1.8820212999999999</v>
      </c>
      <c r="CL151">
        <v>-16.257575760000002</v>
      </c>
      <c r="CM151">
        <v>-0.31284321999999998</v>
      </c>
      <c r="CN151">
        <v>25.327255940000001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1.8820212999999999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6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</row>
    <row r="152" spans="1:134" x14ac:dyDescent="0.25">
      <c r="A152" t="s">
        <v>45</v>
      </c>
      <c r="B152">
        <v>2</v>
      </c>
      <c r="C152" t="s">
        <v>27</v>
      </c>
      <c r="D152" t="s">
        <v>95</v>
      </c>
      <c r="E152" t="s">
        <v>112</v>
      </c>
      <c r="F152" t="s">
        <v>145</v>
      </c>
      <c r="G152" t="s">
        <v>261</v>
      </c>
      <c r="H152" t="s">
        <v>784</v>
      </c>
      <c r="I152" t="s">
        <v>722</v>
      </c>
      <c r="J152" t="s">
        <v>426</v>
      </c>
      <c r="K152">
        <v>9</v>
      </c>
      <c r="L152">
        <v>90</v>
      </c>
      <c r="M152">
        <v>30</v>
      </c>
      <c r="N152">
        <v>90</v>
      </c>
      <c r="O152">
        <v>60</v>
      </c>
      <c r="P152">
        <v>45</v>
      </c>
      <c r="Q152">
        <v>90</v>
      </c>
      <c r="R152">
        <v>20</v>
      </c>
      <c r="S152">
        <v>55</v>
      </c>
      <c r="T152">
        <v>0.61111111100000004</v>
      </c>
      <c r="V152" t="s">
        <v>121</v>
      </c>
      <c r="W152" t="s">
        <v>114</v>
      </c>
      <c r="X152">
        <v>12.5</v>
      </c>
      <c r="Y152">
        <v>14.9</v>
      </c>
      <c r="Z152">
        <v>17.899999999999999</v>
      </c>
      <c r="AA152">
        <v>15.1</v>
      </c>
      <c r="AB152">
        <v>15.1</v>
      </c>
      <c r="AC152">
        <v>13.9</v>
      </c>
      <c r="AD152">
        <v>13.9</v>
      </c>
      <c r="AE152">
        <v>13.9</v>
      </c>
      <c r="AF152">
        <v>13.9</v>
      </c>
      <c r="AG152">
        <v>15.4</v>
      </c>
      <c r="AH152">
        <v>15.9</v>
      </c>
      <c r="AI152">
        <v>17.399999999999999</v>
      </c>
      <c r="AJ152">
        <v>16.233333330000001</v>
      </c>
      <c r="AK152">
        <v>12.5</v>
      </c>
      <c r="AL152">
        <v>14.4</v>
      </c>
      <c r="AM152">
        <v>14.9</v>
      </c>
      <c r="AN152">
        <v>13.93333333</v>
      </c>
      <c r="AO152">
        <v>16.233333330000001</v>
      </c>
      <c r="AP152">
        <v>7.6</v>
      </c>
      <c r="AQ152">
        <v>7.1</v>
      </c>
      <c r="AR152">
        <v>8.5</v>
      </c>
      <c r="AS152">
        <v>7.733333333</v>
      </c>
      <c r="AT152">
        <v>6.1</v>
      </c>
      <c r="AU152">
        <v>6.6</v>
      </c>
      <c r="AV152">
        <v>8.1</v>
      </c>
      <c r="AW152">
        <v>6.9333333330000002</v>
      </c>
      <c r="AX152">
        <v>7.733333333</v>
      </c>
      <c r="AY152">
        <v>-7.3666666669999996</v>
      </c>
      <c r="AZ152">
        <v>20</v>
      </c>
      <c r="BA152">
        <v>35</v>
      </c>
      <c r="BB152">
        <v>5</v>
      </c>
      <c r="BC152">
        <v>0</v>
      </c>
      <c r="BD152">
        <v>1</v>
      </c>
      <c r="BE152">
        <v>0</v>
      </c>
      <c r="BF152">
        <v>1</v>
      </c>
      <c r="BG152">
        <v>0</v>
      </c>
      <c r="BI152">
        <v>11</v>
      </c>
      <c r="BJ152">
        <v>42.4</v>
      </c>
      <c r="BK152">
        <v>0</v>
      </c>
      <c r="BL152">
        <v>17</v>
      </c>
      <c r="BM152">
        <v>15</v>
      </c>
      <c r="BN152">
        <v>46</v>
      </c>
      <c r="BO152">
        <v>116.5</v>
      </c>
      <c r="BP152">
        <v>-70.5</v>
      </c>
      <c r="BQ152">
        <v>153</v>
      </c>
      <c r="BR152">
        <v>-107</v>
      </c>
      <c r="BS152">
        <v>25.93087122</v>
      </c>
      <c r="BT152">
        <v>1.8984460359999999</v>
      </c>
      <c r="BU152">
        <v>11.43279727</v>
      </c>
      <c r="BV152">
        <v>-25.93087122</v>
      </c>
      <c r="BW152">
        <v>1.8984460359999999</v>
      </c>
      <c r="BX152">
        <v>11.43279727</v>
      </c>
      <c r="BY152">
        <v>105.6198993</v>
      </c>
      <c r="BZ152">
        <v>0.229866759</v>
      </c>
      <c r="CA152">
        <v>29.684675349999999</v>
      </c>
      <c r="CB152">
        <v>105.6198993</v>
      </c>
      <c r="CC152">
        <v>0.229866759</v>
      </c>
      <c r="CD152">
        <v>29.684675349999999</v>
      </c>
      <c r="CE152">
        <v>1.89034035</v>
      </c>
      <c r="CF152">
        <v>2.3251879E-2</v>
      </c>
      <c r="CG152">
        <v>1.974203189</v>
      </c>
      <c r="CH152">
        <v>20.278724749999999</v>
      </c>
      <c r="CI152">
        <v>1.634765169</v>
      </c>
      <c r="CJ152">
        <v>14.42924485</v>
      </c>
      <c r="CK152">
        <v>1.974203189</v>
      </c>
      <c r="CL152">
        <v>-20.278724749999999</v>
      </c>
      <c r="CM152">
        <v>1.634765169</v>
      </c>
      <c r="CN152">
        <v>14.42924485</v>
      </c>
      <c r="CO152">
        <v>5.1670839999999997E-3</v>
      </c>
      <c r="CP152">
        <v>23.471088730000002</v>
      </c>
      <c r="CQ152">
        <v>5.1081502000000001E-2</v>
      </c>
      <c r="CR152">
        <v>6.5965945220000002</v>
      </c>
      <c r="CS152">
        <v>5.1670839999999997E-3</v>
      </c>
      <c r="CT152">
        <v>23.471088730000002</v>
      </c>
      <c r="CU152">
        <v>5.1081502000000001E-2</v>
      </c>
      <c r="CV152">
        <v>6.5965945220000002</v>
      </c>
      <c r="CW152">
        <v>1.89034035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8</v>
      </c>
      <c r="DM152">
        <v>0</v>
      </c>
      <c r="DN152">
        <v>0</v>
      </c>
      <c r="DO152">
        <v>0</v>
      </c>
      <c r="DP152">
        <v>1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0.34883209584303199</v>
      </c>
    </row>
    <row r="153" spans="1:134" x14ac:dyDescent="0.25">
      <c r="A153" t="s">
        <v>46</v>
      </c>
      <c r="B153">
        <v>2</v>
      </c>
      <c r="C153" t="s">
        <v>29</v>
      </c>
      <c r="D153" t="s">
        <v>95</v>
      </c>
      <c r="E153" t="s">
        <v>102</v>
      </c>
      <c r="F153" t="s">
        <v>145</v>
      </c>
      <c r="G153" t="s">
        <v>265</v>
      </c>
      <c r="H153" t="s">
        <v>756</v>
      </c>
      <c r="I153" t="s">
        <v>725</v>
      </c>
      <c r="J153" t="s">
        <v>427</v>
      </c>
      <c r="K153" t="s">
        <v>114</v>
      </c>
      <c r="L153">
        <v>100</v>
      </c>
      <c r="M153">
        <v>110</v>
      </c>
      <c r="N153">
        <v>100</v>
      </c>
      <c r="O153">
        <v>-10</v>
      </c>
      <c r="P153">
        <v>200</v>
      </c>
      <c r="Q153">
        <v>200</v>
      </c>
      <c r="R153">
        <v>180</v>
      </c>
      <c r="S153">
        <v>190</v>
      </c>
      <c r="T153">
        <v>1.9</v>
      </c>
      <c r="V153" t="s">
        <v>113</v>
      </c>
      <c r="W153">
        <v>20</v>
      </c>
      <c r="X153">
        <v>13</v>
      </c>
      <c r="Y153">
        <v>22</v>
      </c>
      <c r="Z153">
        <v>14.9</v>
      </c>
      <c r="AA153">
        <v>16.633333329999999</v>
      </c>
      <c r="AB153">
        <v>16.633333329999999</v>
      </c>
      <c r="AC153">
        <v>13.5</v>
      </c>
      <c r="AD153">
        <v>14.9</v>
      </c>
      <c r="AE153">
        <v>14.4</v>
      </c>
      <c r="AF153">
        <v>14.266666669999999</v>
      </c>
      <c r="AG153">
        <v>24.3</v>
      </c>
      <c r="AH153">
        <v>15.4</v>
      </c>
      <c r="AI153">
        <v>14.9</v>
      </c>
      <c r="AJ153">
        <v>18.2</v>
      </c>
      <c r="AK153">
        <v>14.4</v>
      </c>
      <c r="AL153">
        <v>17.399999999999999</v>
      </c>
      <c r="AM153">
        <v>18.399999999999999</v>
      </c>
      <c r="AN153">
        <v>16.733333330000001</v>
      </c>
      <c r="AO153">
        <v>18.2</v>
      </c>
      <c r="AP153">
        <v>6.1</v>
      </c>
      <c r="AQ153">
        <v>8.5</v>
      </c>
      <c r="AR153">
        <v>10.5</v>
      </c>
      <c r="AS153">
        <v>8.3666666670000005</v>
      </c>
      <c r="AT153">
        <v>5.6</v>
      </c>
      <c r="AU153">
        <v>6.6</v>
      </c>
      <c r="AV153">
        <v>6.6</v>
      </c>
      <c r="AW153">
        <v>6.266666667</v>
      </c>
      <c r="AX153">
        <v>8.3666666670000005</v>
      </c>
      <c r="AY153">
        <v>-8.2666666670000009</v>
      </c>
      <c r="AZ153">
        <v>50</v>
      </c>
      <c r="BA153">
        <v>1</v>
      </c>
      <c r="BB153">
        <v>5</v>
      </c>
      <c r="BC153">
        <v>3</v>
      </c>
      <c r="BD153">
        <v>1</v>
      </c>
      <c r="BE153">
        <v>0</v>
      </c>
      <c r="BF153">
        <v>1</v>
      </c>
      <c r="BG153">
        <v>1</v>
      </c>
      <c r="BI153">
        <v>13.8</v>
      </c>
      <c r="BJ153">
        <v>42.4</v>
      </c>
      <c r="BK153">
        <v>0</v>
      </c>
      <c r="BL153">
        <v>15</v>
      </c>
      <c r="BM153">
        <v>13</v>
      </c>
      <c r="BN153">
        <v>468</v>
      </c>
      <c r="BO153">
        <v>486.66669999999999</v>
      </c>
      <c r="BP153">
        <v>-18.666699999999999</v>
      </c>
      <c r="BQ153">
        <v>154</v>
      </c>
      <c r="BR153">
        <v>314</v>
      </c>
      <c r="BS153" t="s">
        <v>114</v>
      </c>
      <c r="BT153" t="s">
        <v>114</v>
      </c>
      <c r="BU153" t="s">
        <v>114</v>
      </c>
      <c r="BV153" t="s">
        <v>114</v>
      </c>
      <c r="BW153" t="s">
        <v>114</v>
      </c>
      <c r="BX153" t="s">
        <v>114</v>
      </c>
      <c r="BY153" t="s">
        <v>114</v>
      </c>
      <c r="BZ153" t="s">
        <v>114</v>
      </c>
      <c r="CA153" t="s">
        <v>114</v>
      </c>
      <c r="CB153" t="s">
        <v>114</v>
      </c>
      <c r="CC153" t="s">
        <v>114</v>
      </c>
      <c r="CD153" t="s">
        <v>114</v>
      </c>
      <c r="CE153" t="s">
        <v>114</v>
      </c>
      <c r="CF153" t="s">
        <v>114</v>
      </c>
      <c r="CG153" t="s">
        <v>114</v>
      </c>
      <c r="CH153" t="s">
        <v>114</v>
      </c>
      <c r="CI153" t="s">
        <v>114</v>
      </c>
      <c r="CJ153" t="s">
        <v>114</v>
      </c>
      <c r="CK153" t="s">
        <v>114</v>
      </c>
      <c r="CL153" t="s">
        <v>114</v>
      </c>
      <c r="CM153" t="s">
        <v>114</v>
      </c>
      <c r="CN153" t="s">
        <v>114</v>
      </c>
      <c r="CO153" t="s">
        <v>114</v>
      </c>
      <c r="CP153" t="s">
        <v>114</v>
      </c>
      <c r="CQ153" t="s">
        <v>114</v>
      </c>
      <c r="CR153" t="s">
        <v>114</v>
      </c>
      <c r="CS153" t="s">
        <v>114</v>
      </c>
      <c r="CT153" t="s">
        <v>114</v>
      </c>
      <c r="CU153" t="s">
        <v>114</v>
      </c>
      <c r="CV153" t="s">
        <v>114</v>
      </c>
      <c r="CW153" t="s">
        <v>114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</row>
    <row r="154" spans="1:134" x14ac:dyDescent="0.25">
      <c r="A154" t="s">
        <v>46</v>
      </c>
      <c r="B154">
        <v>2</v>
      </c>
      <c r="C154" t="s">
        <v>29</v>
      </c>
      <c r="D154" t="s">
        <v>95</v>
      </c>
      <c r="E154" t="s">
        <v>110</v>
      </c>
      <c r="F154" t="s">
        <v>145</v>
      </c>
      <c r="G154" t="s">
        <v>262</v>
      </c>
      <c r="H154" t="s">
        <v>768</v>
      </c>
      <c r="I154" t="s">
        <v>726</v>
      </c>
      <c r="J154" t="s">
        <v>428</v>
      </c>
      <c r="K154">
        <v>3</v>
      </c>
      <c r="L154">
        <v>50</v>
      </c>
      <c r="M154">
        <v>65</v>
      </c>
      <c r="N154">
        <v>50</v>
      </c>
      <c r="O154">
        <v>-15</v>
      </c>
      <c r="P154">
        <v>13</v>
      </c>
      <c r="Q154">
        <v>10</v>
      </c>
      <c r="R154">
        <v>6</v>
      </c>
      <c r="S154">
        <v>8</v>
      </c>
      <c r="T154">
        <v>0.16</v>
      </c>
      <c r="U154" t="s">
        <v>29</v>
      </c>
      <c r="V154" t="s">
        <v>113</v>
      </c>
      <c r="W154">
        <v>30</v>
      </c>
      <c r="X154">
        <v>13</v>
      </c>
      <c r="Y154">
        <v>22</v>
      </c>
      <c r="Z154">
        <v>14.9</v>
      </c>
      <c r="AA154">
        <v>16.633333329999999</v>
      </c>
      <c r="AB154">
        <v>16.633333329999999</v>
      </c>
      <c r="AC154">
        <v>14.4</v>
      </c>
      <c r="AD154">
        <v>15.4</v>
      </c>
      <c r="AE154">
        <v>15.9</v>
      </c>
      <c r="AF154">
        <v>15.233333330000001</v>
      </c>
      <c r="AG154">
        <v>24.3</v>
      </c>
      <c r="AH154">
        <v>15.4</v>
      </c>
      <c r="AI154">
        <v>14.9</v>
      </c>
      <c r="AJ154">
        <v>18.2</v>
      </c>
      <c r="AK154">
        <v>16.399999999999999</v>
      </c>
      <c r="AL154">
        <v>16.399999999999999</v>
      </c>
      <c r="AM154">
        <v>18.399999999999999</v>
      </c>
      <c r="AN154">
        <v>17.06666667</v>
      </c>
      <c r="AO154">
        <v>18.2</v>
      </c>
      <c r="AP154">
        <v>6.1</v>
      </c>
      <c r="AQ154">
        <v>8.5</v>
      </c>
      <c r="AR154">
        <v>10.5</v>
      </c>
      <c r="AS154">
        <v>8.3666666670000005</v>
      </c>
      <c r="AT154">
        <v>5.6</v>
      </c>
      <c r="AU154">
        <v>7.6</v>
      </c>
      <c r="AV154">
        <v>6.1</v>
      </c>
      <c r="AW154">
        <v>6.4333333330000002</v>
      </c>
      <c r="AX154">
        <v>8.3666666670000005</v>
      </c>
      <c r="AY154">
        <v>-8.2666666670000009</v>
      </c>
      <c r="AZ154">
        <v>50</v>
      </c>
      <c r="BA154">
        <v>1</v>
      </c>
      <c r="BB154">
        <v>5</v>
      </c>
      <c r="BC154">
        <v>3</v>
      </c>
      <c r="BD154">
        <v>1</v>
      </c>
      <c r="BE154">
        <v>0</v>
      </c>
      <c r="BF154">
        <v>1</v>
      </c>
      <c r="BG154">
        <v>1</v>
      </c>
      <c r="BI154">
        <v>13.8</v>
      </c>
      <c r="BJ154">
        <v>42.4</v>
      </c>
      <c r="BK154">
        <v>0</v>
      </c>
      <c r="BL154">
        <v>1</v>
      </c>
      <c r="BM154">
        <v>1</v>
      </c>
      <c r="BN154">
        <v>1</v>
      </c>
      <c r="BO154">
        <v>3</v>
      </c>
      <c r="BP154">
        <v>-2</v>
      </c>
      <c r="BQ154">
        <v>3</v>
      </c>
      <c r="BR154">
        <v>-2</v>
      </c>
      <c r="BS154">
        <v>10.496706189999999</v>
      </c>
      <c r="BT154">
        <v>0.329493333</v>
      </c>
      <c r="BU154">
        <v>11.843850679999999</v>
      </c>
      <c r="BV154">
        <v>-10.496706189999999</v>
      </c>
      <c r="BW154">
        <v>0.329493333</v>
      </c>
      <c r="BX154">
        <v>11.843850679999999</v>
      </c>
      <c r="BY154" t="s">
        <v>114</v>
      </c>
      <c r="BZ154" t="s">
        <v>114</v>
      </c>
      <c r="CA154" t="s">
        <v>114</v>
      </c>
      <c r="CB154" t="s">
        <v>114</v>
      </c>
      <c r="CC154" t="s">
        <v>114</v>
      </c>
      <c r="CD154" t="s">
        <v>114</v>
      </c>
      <c r="CE154">
        <v>0.6959573</v>
      </c>
      <c r="CF154" t="s">
        <v>114</v>
      </c>
      <c r="CG154">
        <v>0.6959573</v>
      </c>
      <c r="CH154">
        <v>10.496706189999999</v>
      </c>
      <c r="CI154">
        <v>0.329493333</v>
      </c>
      <c r="CJ154">
        <v>11.843850679999999</v>
      </c>
      <c r="CK154">
        <v>0.6959573</v>
      </c>
      <c r="CL154">
        <v>-10.496706189999999</v>
      </c>
      <c r="CM154">
        <v>0.329493333</v>
      </c>
      <c r="CN154">
        <v>11.843850679999999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0.6959573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3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</row>
    <row r="155" spans="1:134" x14ac:dyDescent="0.25">
      <c r="A155" t="s">
        <v>46</v>
      </c>
      <c r="B155">
        <v>2</v>
      </c>
      <c r="C155" t="s">
        <v>29</v>
      </c>
      <c r="D155" t="s">
        <v>95</v>
      </c>
      <c r="E155" t="s">
        <v>112</v>
      </c>
      <c r="F155" t="s">
        <v>145</v>
      </c>
      <c r="G155" t="s">
        <v>261</v>
      </c>
      <c r="H155" t="s">
        <v>784</v>
      </c>
      <c r="I155" t="s">
        <v>722</v>
      </c>
      <c r="J155" t="s">
        <v>429</v>
      </c>
      <c r="K155" t="s">
        <v>114</v>
      </c>
      <c r="L155">
        <v>60</v>
      </c>
      <c r="M155">
        <v>45</v>
      </c>
      <c r="N155">
        <v>60</v>
      </c>
      <c r="O155">
        <v>15</v>
      </c>
      <c r="P155">
        <v>65</v>
      </c>
      <c r="Q155">
        <v>210</v>
      </c>
      <c r="R155">
        <v>50</v>
      </c>
      <c r="S155">
        <v>130</v>
      </c>
      <c r="T155">
        <v>2.1666666669999999</v>
      </c>
      <c r="U155" t="s">
        <v>29</v>
      </c>
      <c r="V155" t="s">
        <v>112</v>
      </c>
      <c r="W155">
        <v>80</v>
      </c>
      <c r="X155">
        <v>13</v>
      </c>
      <c r="Y155">
        <v>22</v>
      </c>
      <c r="Z155">
        <v>14.9</v>
      </c>
      <c r="AA155">
        <v>16.633333329999999</v>
      </c>
      <c r="AB155">
        <v>16.633333329999999</v>
      </c>
      <c r="AC155">
        <v>20.8</v>
      </c>
      <c r="AD155">
        <v>14.9</v>
      </c>
      <c r="AE155">
        <v>12.5</v>
      </c>
      <c r="AF155">
        <v>16.06666667</v>
      </c>
      <c r="AG155">
        <v>24.3</v>
      </c>
      <c r="AH155">
        <v>15.4</v>
      </c>
      <c r="AI155">
        <v>14.9</v>
      </c>
      <c r="AJ155">
        <v>18.2</v>
      </c>
      <c r="AK155">
        <v>16.899999999999999</v>
      </c>
      <c r="AL155">
        <v>17.899999999999999</v>
      </c>
      <c r="AM155">
        <v>14.4</v>
      </c>
      <c r="AN155">
        <v>16.399999999999999</v>
      </c>
      <c r="AO155">
        <v>18.2</v>
      </c>
      <c r="AP155">
        <v>6.1</v>
      </c>
      <c r="AQ155">
        <v>8.5</v>
      </c>
      <c r="AR155">
        <v>10.5</v>
      </c>
      <c r="AS155">
        <v>8.3666666670000005</v>
      </c>
      <c r="AT155">
        <v>5.6</v>
      </c>
      <c r="AU155">
        <v>6.6</v>
      </c>
      <c r="AV155">
        <v>8.5</v>
      </c>
      <c r="AW155">
        <v>6.9</v>
      </c>
      <c r="AX155">
        <v>8.3666666670000005</v>
      </c>
      <c r="AY155">
        <v>-8.2666666670000009</v>
      </c>
      <c r="AZ155">
        <v>50</v>
      </c>
      <c r="BA155">
        <v>1</v>
      </c>
      <c r="BB155">
        <v>5</v>
      </c>
      <c r="BC155">
        <v>3</v>
      </c>
      <c r="BD155">
        <v>1</v>
      </c>
      <c r="BE155">
        <v>0</v>
      </c>
      <c r="BF155">
        <v>1</v>
      </c>
      <c r="BG155">
        <v>1</v>
      </c>
      <c r="BI155">
        <v>13.8</v>
      </c>
      <c r="BJ155">
        <v>42.4</v>
      </c>
      <c r="BK155">
        <v>0</v>
      </c>
      <c r="BL155">
        <v>86</v>
      </c>
      <c r="BM155">
        <v>82</v>
      </c>
      <c r="BN155">
        <v>323</v>
      </c>
      <c r="BO155">
        <v>116.5</v>
      </c>
      <c r="BP155">
        <v>206.5</v>
      </c>
      <c r="BQ155">
        <v>173</v>
      </c>
      <c r="BR155">
        <v>150</v>
      </c>
      <c r="BS155" t="s">
        <v>114</v>
      </c>
      <c r="BT155" t="s">
        <v>114</v>
      </c>
      <c r="BU155" t="s">
        <v>114</v>
      </c>
      <c r="BV155" t="s">
        <v>114</v>
      </c>
      <c r="BW155" t="s">
        <v>114</v>
      </c>
      <c r="BX155" t="s">
        <v>114</v>
      </c>
      <c r="BY155" t="s">
        <v>114</v>
      </c>
      <c r="BZ155" t="s">
        <v>114</v>
      </c>
      <c r="CA155" t="s">
        <v>114</v>
      </c>
      <c r="CB155" t="s">
        <v>114</v>
      </c>
      <c r="CC155" t="s">
        <v>114</v>
      </c>
      <c r="CD155" t="s">
        <v>114</v>
      </c>
      <c r="CE155" t="s">
        <v>114</v>
      </c>
      <c r="CF155" t="s">
        <v>114</v>
      </c>
      <c r="CG155" t="s">
        <v>114</v>
      </c>
      <c r="CH155" t="s">
        <v>114</v>
      </c>
      <c r="CI155" t="s">
        <v>114</v>
      </c>
      <c r="CJ155" t="s">
        <v>114</v>
      </c>
      <c r="CK155" t="s">
        <v>114</v>
      </c>
      <c r="CL155" t="s">
        <v>114</v>
      </c>
      <c r="CM155" t="s">
        <v>114</v>
      </c>
      <c r="CN155" t="s">
        <v>114</v>
      </c>
      <c r="CO155" t="s">
        <v>114</v>
      </c>
      <c r="CP155" t="s">
        <v>114</v>
      </c>
      <c r="CQ155" t="s">
        <v>114</v>
      </c>
      <c r="CR155" t="s">
        <v>114</v>
      </c>
      <c r="CS155" t="s">
        <v>114</v>
      </c>
      <c r="CT155" t="s">
        <v>114</v>
      </c>
      <c r="CU155" t="s">
        <v>114</v>
      </c>
      <c r="CV155" t="s">
        <v>114</v>
      </c>
      <c r="CW155" t="s">
        <v>114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</row>
    <row r="156" spans="1:134" x14ac:dyDescent="0.25">
      <c r="A156" t="s">
        <v>47</v>
      </c>
      <c r="B156">
        <v>2</v>
      </c>
      <c r="C156" t="s">
        <v>31</v>
      </c>
      <c r="D156" t="s">
        <v>94</v>
      </c>
      <c r="E156" t="s">
        <v>112</v>
      </c>
      <c r="F156" t="s">
        <v>145</v>
      </c>
      <c r="G156" t="s">
        <v>261</v>
      </c>
      <c r="H156" t="s">
        <v>783</v>
      </c>
      <c r="I156" t="s">
        <v>729</v>
      </c>
      <c r="J156" t="s">
        <v>430</v>
      </c>
      <c r="K156">
        <v>2</v>
      </c>
      <c r="L156">
        <v>65</v>
      </c>
      <c r="M156">
        <v>40</v>
      </c>
      <c r="N156">
        <v>65</v>
      </c>
      <c r="O156">
        <v>25</v>
      </c>
      <c r="P156">
        <v>60</v>
      </c>
      <c r="Q156">
        <v>270</v>
      </c>
      <c r="R156">
        <v>140</v>
      </c>
      <c r="S156">
        <v>205</v>
      </c>
      <c r="T156">
        <v>3.153846154</v>
      </c>
      <c r="V156" t="s">
        <v>112</v>
      </c>
      <c r="W156">
        <v>110</v>
      </c>
      <c r="X156">
        <v>14.4</v>
      </c>
      <c r="Y156">
        <v>12</v>
      </c>
      <c r="Z156">
        <v>14.4</v>
      </c>
      <c r="AA156">
        <v>13.6</v>
      </c>
      <c r="AB156">
        <v>13.6</v>
      </c>
      <c r="AC156" t="s">
        <v>114</v>
      </c>
      <c r="AD156" t="s">
        <v>114</v>
      </c>
      <c r="AE156" t="s">
        <v>114</v>
      </c>
      <c r="AF156" t="s">
        <v>114</v>
      </c>
      <c r="AG156">
        <v>16.899999999999999</v>
      </c>
      <c r="AH156">
        <v>15.9</v>
      </c>
      <c r="AI156">
        <v>17.899999999999999</v>
      </c>
      <c r="AJ156">
        <v>16.899999999999999</v>
      </c>
      <c r="AK156" t="s">
        <v>114</v>
      </c>
      <c r="AL156" t="s">
        <v>114</v>
      </c>
      <c r="AM156" t="s">
        <v>114</v>
      </c>
      <c r="AN156" t="s">
        <v>114</v>
      </c>
      <c r="AO156">
        <v>16.899999999999999</v>
      </c>
      <c r="AP156">
        <v>4.5999999999999996</v>
      </c>
      <c r="AQ156">
        <v>5.6</v>
      </c>
      <c r="AR156">
        <v>6.1</v>
      </c>
      <c r="AS156">
        <v>5.4333333330000002</v>
      </c>
      <c r="AT156">
        <v>4.0999999999999996</v>
      </c>
      <c r="AU156">
        <v>5.0999999999999996</v>
      </c>
      <c r="AV156">
        <v>6.1</v>
      </c>
      <c r="AW156">
        <v>5.0999999999999996</v>
      </c>
      <c r="AX156">
        <v>5.4333333330000002</v>
      </c>
      <c r="AY156">
        <v>-8.1666666669999994</v>
      </c>
      <c r="AZ156">
        <v>30</v>
      </c>
      <c r="BA156">
        <v>25</v>
      </c>
      <c r="BB156">
        <v>0</v>
      </c>
      <c r="BC156">
        <v>1</v>
      </c>
      <c r="BD156">
        <v>1</v>
      </c>
      <c r="BE156">
        <v>0</v>
      </c>
      <c r="BF156">
        <v>3</v>
      </c>
      <c r="BG156">
        <v>0</v>
      </c>
      <c r="BI156">
        <v>11.5</v>
      </c>
      <c r="BJ156">
        <v>0</v>
      </c>
      <c r="BK156">
        <v>0</v>
      </c>
      <c r="BL156">
        <v>91</v>
      </c>
      <c r="BM156">
        <v>91</v>
      </c>
      <c r="BN156">
        <v>364</v>
      </c>
      <c r="BO156">
        <v>193</v>
      </c>
      <c r="BP156">
        <v>171</v>
      </c>
      <c r="BQ156">
        <v>80</v>
      </c>
      <c r="BR156">
        <v>284</v>
      </c>
      <c r="BS156">
        <v>9.3319128800000009</v>
      </c>
      <c r="BT156">
        <v>0.77971388900000005</v>
      </c>
      <c r="BU156">
        <v>7.6426863650000003</v>
      </c>
      <c r="BV156">
        <v>-9.3319128800000009</v>
      </c>
      <c r="BW156">
        <v>0.77971388900000005</v>
      </c>
      <c r="BX156">
        <v>7.6426863650000003</v>
      </c>
      <c r="BY156">
        <v>174.169196</v>
      </c>
      <c r="BZ156">
        <v>1.2159074969999999</v>
      </c>
      <c r="CA156">
        <v>116.8213097</v>
      </c>
      <c r="CB156">
        <v>174.169196</v>
      </c>
      <c r="CC156">
        <v>1.2159074969999999</v>
      </c>
      <c r="CD156">
        <v>116.8213097</v>
      </c>
      <c r="CE156">
        <v>0.99908200000000003</v>
      </c>
      <c r="CF156">
        <v>1.9963296850000001</v>
      </c>
      <c r="CG156">
        <v>0.99908200000000003</v>
      </c>
      <c r="CH156">
        <v>9.3319128800000009</v>
      </c>
      <c r="CI156">
        <v>0.77971388900000005</v>
      </c>
      <c r="CJ156">
        <v>7.6426863650000003</v>
      </c>
      <c r="CK156">
        <v>0.99908200000000003</v>
      </c>
      <c r="CL156">
        <v>-9.3319128800000009</v>
      </c>
      <c r="CM156">
        <v>0.77971388900000005</v>
      </c>
      <c r="CN156">
        <v>7.6426863650000003</v>
      </c>
      <c r="CO156">
        <v>1.9963296850000001</v>
      </c>
      <c r="CP156">
        <v>174.169196</v>
      </c>
      <c r="CQ156">
        <v>1.2159074969999999</v>
      </c>
      <c r="CR156">
        <v>116.8213097</v>
      </c>
      <c r="CS156">
        <v>1.9963296850000001</v>
      </c>
      <c r="CT156">
        <v>174.169196</v>
      </c>
      <c r="CU156">
        <v>1.2159074969999999</v>
      </c>
      <c r="CV156">
        <v>116.8213097</v>
      </c>
      <c r="CW156">
        <v>0.99908200000000003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1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1</v>
      </c>
      <c r="EA156">
        <v>0</v>
      </c>
      <c r="EB156">
        <v>0</v>
      </c>
      <c r="EC156">
        <v>0</v>
      </c>
      <c r="ED156">
        <v>0.69314718055994495</v>
      </c>
    </row>
    <row r="157" spans="1:134" x14ac:dyDescent="0.25">
      <c r="A157" t="s">
        <v>48</v>
      </c>
      <c r="B157">
        <v>2</v>
      </c>
      <c r="C157" t="s">
        <v>33</v>
      </c>
      <c r="D157" t="s">
        <v>95</v>
      </c>
      <c r="E157" t="s">
        <v>105</v>
      </c>
      <c r="F157" t="s">
        <v>145</v>
      </c>
      <c r="G157" t="s">
        <v>266</v>
      </c>
      <c r="H157" t="s">
        <v>760</v>
      </c>
      <c r="I157" t="s">
        <v>728</v>
      </c>
      <c r="J157" t="s">
        <v>431</v>
      </c>
      <c r="K157">
        <v>3</v>
      </c>
      <c r="L157">
        <v>30</v>
      </c>
      <c r="M157">
        <v>45</v>
      </c>
      <c r="N157">
        <v>30</v>
      </c>
      <c r="O157">
        <v>-15</v>
      </c>
      <c r="P157">
        <v>80</v>
      </c>
      <c r="Q157">
        <v>80</v>
      </c>
      <c r="R157">
        <v>60</v>
      </c>
      <c r="S157">
        <v>70</v>
      </c>
      <c r="T157">
        <v>2.3333333330000001</v>
      </c>
      <c r="V157" t="s">
        <v>104</v>
      </c>
      <c r="W157">
        <v>35</v>
      </c>
      <c r="X157">
        <v>13.9</v>
      </c>
      <c r="Y157">
        <v>13</v>
      </c>
      <c r="Z157">
        <v>13.1</v>
      </c>
      <c r="AA157">
        <v>13.33333333</v>
      </c>
      <c r="AB157">
        <v>13.33333333</v>
      </c>
      <c r="AC157">
        <v>13</v>
      </c>
      <c r="AD157">
        <v>13.5</v>
      </c>
      <c r="AE157">
        <v>13.5</v>
      </c>
      <c r="AF157">
        <v>13.33333333</v>
      </c>
      <c r="AG157">
        <v>15.9</v>
      </c>
      <c r="AH157">
        <v>23.3</v>
      </c>
      <c r="AI157">
        <v>15.4</v>
      </c>
      <c r="AJ157">
        <v>18.2</v>
      </c>
      <c r="AK157">
        <v>13.5</v>
      </c>
      <c r="AL157">
        <v>12.5</v>
      </c>
      <c r="AM157">
        <v>13.9</v>
      </c>
      <c r="AN157">
        <v>13.3</v>
      </c>
      <c r="AO157">
        <v>18.2</v>
      </c>
      <c r="AP157">
        <v>4.0999999999999996</v>
      </c>
      <c r="AQ157">
        <v>5.6</v>
      </c>
      <c r="AR157">
        <v>7.1</v>
      </c>
      <c r="AS157">
        <v>5.6</v>
      </c>
      <c r="AT157">
        <v>6.1</v>
      </c>
      <c r="AU157">
        <v>6.1</v>
      </c>
      <c r="AV157">
        <v>8.5</v>
      </c>
      <c r="AW157">
        <v>6.9</v>
      </c>
      <c r="AX157">
        <v>5.6</v>
      </c>
      <c r="AY157">
        <v>-7.733333333</v>
      </c>
      <c r="AZ157">
        <v>80</v>
      </c>
      <c r="BA157">
        <v>1</v>
      </c>
      <c r="BB157">
        <v>3</v>
      </c>
      <c r="BC157">
        <v>2</v>
      </c>
      <c r="BD157">
        <v>5</v>
      </c>
      <c r="BE157">
        <v>0</v>
      </c>
      <c r="BF157">
        <v>3</v>
      </c>
      <c r="BG157">
        <v>0</v>
      </c>
      <c r="BI157">
        <v>10.7</v>
      </c>
      <c r="BJ157">
        <v>55.920999999999999</v>
      </c>
      <c r="BK157">
        <v>0</v>
      </c>
      <c r="BL157">
        <v>4</v>
      </c>
      <c r="BM157">
        <v>3</v>
      </c>
      <c r="BN157">
        <v>197</v>
      </c>
      <c r="BO157">
        <v>320</v>
      </c>
      <c r="BP157">
        <v>-123</v>
      </c>
      <c r="BQ157">
        <v>141</v>
      </c>
      <c r="BR157">
        <v>56</v>
      </c>
      <c r="BS157">
        <v>38.614583340000003</v>
      </c>
      <c r="BT157">
        <v>1.1877482580000001</v>
      </c>
      <c r="BU157">
        <v>16.091916640000001</v>
      </c>
      <c r="BV157">
        <v>-38.614583340000003</v>
      </c>
      <c r="BW157">
        <v>-0.822554962</v>
      </c>
      <c r="BX157">
        <v>16.091916640000001</v>
      </c>
      <c r="BY157">
        <v>122.3960503</v>
      </c>
      <c r="BZ157">
        <v>1.3531933309999999</v>
      </c>
      <c r="CA157">
        <v>4.6829529570000004</v>
      </c>
      <c r="CB157">
        <v>122.3960503</v>
      </c>
      <c r="CC157">
        <v>2.8214918490000001</v>
      </c>
      <c r="CD157">
        <v>4.6829529570000004</v>
      </c>
      <c r="CE157">
        <v>1.67724355</v>
      </c>
      <c r="CF157">
        <v>2.3629400000000001E-4</v>
      </c>
      <c r="CG157">
        <v>1.680866733</v>
      </c>
      <c r="CH157">
        <v>41.222222219999999</v>
      </c>
      <c r="CI157">
        <v>1.461933245</v>
      </c>
      <c r="CJ157">
        <v>15.58185385</v>
      </c>
      <c r="CK157">
        <v>1.680866733</v>
      </c>
      <c r="CL157">
        <v>-41.222222219999999</v>
      </c>
      <c r="CM157">
        <v>-1.2184710480000001</v>
      </c>
      <c r="CN157">
        <v>15.58185385</v>
      </c>
      <c r="CO157">
        <v>1.57529E-4</v>
      </c>
      <c r="CP157">
        <v>81.597366859999994</v>
      </c>
      <c r="CQ157">
        <v>0.90212888700000005</v>
      </c>
      <c r="CR157">
        <v>3.1219686379999998</v>
      </c>
      <c r="CS157">
        <v>1.57529E-4</v>
      </c>
      <c r="CT157">
        <v>81.597366859999994</v>
      </c>
      <c r="CU157">
        <v>1.880994566</v>
      </c>
      <c r="CV157">
        <v>3.1219686379999998</v>
      </c>
      <c r="CW157">
        <v>1.67724355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1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2</v>
      </c>
      <c r="DZ157">
        <v>0</v>
      </c>
      <c r="EA157">
        <v>0</v>
      </c>
      <c r="EB157">
        <v>0</v>
      </c>
      <c r="EC157">
        <v>0</v>
      </c>
      <c r="ED157">
        <v>0.636514168294813</v>
      </c>
    </row>
    <row r="158" spans="1:134" x14ac:dyDescent="0.25">
      <c r="A158" t="s">
        <v>48</v>
      </c>
      <c r="B158">
        <v>2</v>
      </c>
      <c r="C158" t="s">
        <v>33</v>
      </c>
      <c r="D158" t="s">
        <v>95</v>
      </c>
      <c r="E158" t="s">
        <v>111</v>
      </c>
      <c r="F158" t="s">
        <v>145</v>
      </c>
      <c r="G158" t="s">
        <v>263</v>
      </c>
      <c r="H158" t="s">
        <v>776</v>
      </c>
      <c r="I158" t="s">
        <v>716</v>
      </c>
      <c r="J158" t="s">
        <v>432</v>
      </c>
      <c r="K158">
        <v>2</v>
      </c>
      <c r="L158">
        <v>270</v>
      </c>
      <c r="M158">
        <v>78</v>
      </c>
      <c r="N158">
        <v>270</v>
      </c>
      <c r="O158">
        <v>192</v>
      </c>
      <c r="P158">
        <v>70</v>
      </c>
      <c r="Q158">
        <v>80</v>
      </c>
      <c r="R158">
        <v>50</v>
      </c>
      <c r="S158">
        <v>65</v>
      </c>
      <c r="T158">
        <v>0.24074074100000001</v>
      </c>
      <c r="U158" t="s">
        <v>15</v>
      </c>
      <c r="V158" t="s">
        <v>113</v>
      </c>
      <c r="W158">
        <v>30</v>
      </c>
      <c r="X158">
        <v>13.9</v>
      </c>
      <c r="Y158">
        <v>13</v>
      </c>
      <c r="Z158">
        <v>13.1</v>
      </c>
      <c r="AA158">
        <v>13.33333333</v>
      </c>
      <c r="AB158">
        <v>13.33333333</v>
      </c>
      <c r="AC158">
        <v>13</v>
      </c>
      <c r="AD158">
        <v>14.4</v>
      </c>
      <c r="AE158">
        <v>14.9</v>
      </c>
      <c r="AF158">
        <v>14.1</v>
      </c>
      <c r="AG158">
        <v>15.9</v>
      </c>
      <c r="AH158">
        <v>23.3</v>
      </c>
      <c r="AI158">
        <v>15.4</v>
      </c>
      <c r="AJ158">
        <v>18.2</v>
      </c>
      <c r="AK158">
        <v>12</v>
      </c>
      <c r="AL158">
        <v>12.5</v>
      </c>
      <c r="AM158">
        <v>13.5</v>
      </c>
      <c r="AN158">
        <v>12.66666667</v>
      </c>
      <c r="AO158">
        <v>18.2</v>
      </c>
      <c r="AP158">
        <v>4.0999999999999996</v>
      </c>
      <c r="AQ158">
        <v>5.6</v>
      </c>
      <c r="AR158">
        <v>7.1</v>
      </c>
      <c r="AS158">
        <v>5.6</v>
      </c>
      <c r="AT158">
        <v>5.6</v>
      </c>
      <c r="AU158">
        <v>6.1</v>
      </c>
      <c r="AV158">
        <v>5.0999999999999996</v>
      </c>
      <c r="AW158">
        <v>5.6</v>
      </c>
      <c r="AX158">
        <v>5.6</v>
      </c>
      <c r="AY158">
        <v>-7.733333333</v>
      </c>
      <c r="AZ158">
        <v>80</v>
      </c>
      <c r="BA158">
        <v>1</v>
      </c>
      <c r="BB158">
        <v>3</v>
      </c>
      <c r="BC158">
        <v>2</v>
      </c>
      <c r="BD158">
        <v>5</v>
      </c>
      <c r="BE158">
        <v>0</v>
      </c>
      <c r="BF158">
        <v>3</v>
      </c>
      <c r="BG158">
        <v>0</v>
      </c>
      <c r="BI158">
        <v>10.7</v>
      </c>
      <c r="BJ158">
        <v>55.920999999999999</v>
      </c>
      <c r="BK158">
        <v>0</v>
      </c>
      <c r="BL158">
        <v>9</v>
      </c>
      <c r="BM158">
        <v>7</v>
      </c>
      <c r="BN158">
        <v>452</v>
      </c>
      <c r="BO158">
        <v>177.5</v>
      </c>
      <c r="BP158">
        <v>274.5</v>
      </c>
      <c r="BQ158">
        <v>0</v>
      </c>
      <c r="BR158">
        <v>452</v>
      </c>
      <c r="BS158">
        <v>15.121212119999999</v>
      </c>
      <c r="BT158">
        <v>0.50838444500000002</v>
      </c>
      <c r="BU158">
        <v>3.9103962750000001</v>
      </c>
      <c r="BV158">
        <v>-3.9073593099999999</v>
      </c>
      <c r="BW158">
        <v>-0.50838444500000002</v>
      </c>
      <c r="BX158">
        <v>-2.2044580150000002</v>
      </c>
      <c r="BY158">
        <v>30.534913549999999</v>
      </c>
      <c r="BZ158">
        <v>1.9014232999999998E-2</v>
      </c>
      <c r="CA158">
        <v>9.7192702799999999</v>
      </c>
      <c r="CB158">
        <v>457.30211200000002</v>
      </c>
      <c r="CC158">
        <v>1.9014232999999998E-2</v>
      </c>
      <c r="CD158">
        <v>30.582398059999999</v>
      </c>
      <c r="CE158">
        <v>0.14233453500000001</v>
      </c>
      <c r="CF158">
        <v>2.4724460000000001E-3</v>
      </c>
      <c r="CG158">
        <v>0.14233453500000001</v>
      </c>
      <c r="CH158">
        <v>15.121212119999999</v>
      </c>
      <c r="CI158">
        <v>0.50838444500000002</v>
      </c>
      <c r="CJ158">
        <v>3.9103962750000001</v>
      </c>
      <c r="CK158">
        <v>0.14233453500000001</v>
      </c>
      <c r="CL158">
        <v>-3.9073593099999999</v>
      </c>
      <c r="CM158">
        <v>-0.50838444500000002</v>
      </c>
      <c r="CN158">
        <v>-2.2044580150000002</v>
      </c>
      <c r="CO158">
        <v>2.4724460000000001E-3</v>
      </c>
      <c r="CP158">
        <v>30.534913549999999</v>
      </c>
      <c r="CQ158">
        <v>1.9014232999999998E-2</v>
      </c>
      <c r="CR158">
        <v>9.7192702799999999</v>
      </c>
      <c r="CS158">
        <v>2.4724460000000001E-3</v>
      </c>
      <c r="CT158">
        <v>457.30211200000002</v>
      </c>
      <c r="CU158">
        <v>1.9014232999999998E-2</v>
      </c>
      <c r="CV158">
        <v>30.582398059999999</v>
      </c>
      <c r="CW158">
        <v>0.14233453500000001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1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1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0.69314718055994495</v>
      </c>
    </row>
    <row r="159" spans="1:134" x14ac:dyDescent="0.25">
      <c r="A159" t="s">
        <v>48</v>
      </c>
      <c r="B159">
        <v>2</v>
      </c>
      <c r="C159" t="s">
        <v>33</v>
      </c>
      <c r="D159" t="s">
        <v>95</v>
      </c>
      <c r="E159" t="s">
        <v>104</v>
      </c>
      <c r="F159" t="s">
        <v>145</v>
      </c>
      <c r="G159" t="s">
        <v>264</v>
      </c>
      <c r="H159" t="s">
        <v>780</v>
      </c>
      <c r="I159" t="s">
        <v>727</v>
      </c>
      <c r="J159" t="s">
        <v>433</v>
      </c>
      <c r="K159">
        <v>8</v>
      </c>
      <c r="L159">
        <v>45</v>
      </c>
      <c r="M159">
        <v>90</v>
      </c>
      <c r="N159">
        <v>45</v>
      </c>
      <c r="O159">
        <v>-45</v>
      </c>
      <c r="P159">
        <v>40</v>
      </c>
      <c r="Q159">
        <v>35</v>
      </c>
      <c r="R159">
        <v>30</v>
      </c>
      <c r="S159">
        <v>32.5</v>
      </c>
      <c r="T159">
        <v>0.72222222199999997</v>
      </c>
      <c r="V159" t="s">
        <v>121</v>
      </c>
      <c r="W159" t="s">
        <v>114</v>
      </c>
      <c r="X159">
        <v>13.9</v>
      </c>
      <c r="Y159">
        <v>13</v>
      </c>
      <c r="Z159">
        <v>13.1</v>
      </c>
      <c r="AA159">
        <v>13.33333333</v>
      </c>
      <c r="AB159">
        <v>13.33333333</v>
      </c>
      <c r="AC159">
        <v>14.4</v>
      </c>
      <c r="AD159">
        <v>15.4</v>
      </c>
      <c r="AE159">
        <v>15.4</v>
      </c>
      <c r="AF159">
        <v>15.06666667</v>
      </c>
      <c r="AG159">
        <v>15.9</v>
      </c>
      <c r="AH159">
        <v>23.3</v>
      </c>
      <c r="AI159">
        <v>15.4</v>
      </c>
      <c r="AJ159">
        <v>18.2</v>
      </c>
      <c r="AK159">
        <v>14.4</v>
      </c>
      <c r="AL159">
        <v>14.9</v>
      </c>
      <c r="AM159">
        <v>15.4</v>
      </c>
      <c r="AN159">
        <v>14.9</v>
      </c>
      <c r="AO159">
        <v>18.2</v>
      </c>
      <c r="AP159">
        <v>4.0999999999999996</v>
      </c>
      <c r="AQ159">
        <v>5.6</v>
      </c>
      <c r="AR159">
        <v>7.1</v>
      </c>
      <c r="AS159">
        <v>5.6</v>
      </c>
      <c r="AT159">
        <v>6.6</v>
      </c>
      <c r="AU159">
        <v>6.6</v>
      </c>
      <c r="AV159">
        <v>5.6</v>
      </c>
      <c r="AW159">
        <v>6.266666667</v>
      </c>
      <c r="AX159">
        <v>5.6</v>
      </c>
      <c r="AY159">
        <v>-7.733333333</v>
      </c>
      <c r="AZ159">
        <v>80</v>
      </c>
      <c r="BA159">
        <v>1</v>
      </c>
      <c r="BB159">
        <v>3</v>
      </c>
      <c r="BC159">
        <v>2</v>
      </c>
      <c r="BD159">
        <v>5</v>
      </c>
      <c r="BE159">
        <v>0</v>
      </c>
      <c r="BF159">
        <v>3</v>
      </c>
      <c r="BG159">
        <v>0</v>
      </c>
      <c r="BI159">
        <v>10.7</v>
      </c>
      <c r="BJ159">
        <v>55.920999999999999</v>
      </c>
      <c r="BK159">
        <v>0</v>
      </c>
      <c r="BL159">
        <v>3</v>
      </c>
      <c r="BM159">
        <v>3</v>
      </c>
      <c r="BN159">
        <v>14</v>
      </c>
      <c r="BO159">
        <v>134</v>
      </c>
      <c r="BP159">
        <v>-120</v>
      </c>
      <c r="BQ159">
        <v>66</v>
      </c>
      <c r="BR159">
        <v>-52</v>
      </c>
      <c r="BS159">
        <v>15.27525252</v>
      </c>
      <c r="BT159">
        <v>1.3576521720000001</v>
      </c>
      <c r="BU159">
        <v>4.6086348130000001</v>
      </c>
      <c r="BV159">
        <v>15.27525252</v>
      </c>
      <c r="BW159">
        <v>1.3576521720000001</v>
      </c>
      <c r="BX159">
        <v>4.6086348130000001</v>
      </c>
      <c r="BY159">
        <v>227.80995440000001</v>
      </c>
      <c r="BZ159">
        <v>1.4973479439999999</v>
      </c>
      <c r="CA159">
        <v>30.771973809999999</v>
      </c>
      <c r="CB159">
        <v>227.80995440000001</v>
      </c>
      <c r="CC159">
        <v>1.4973479439999999</v>
      </c>
      <c r="CD159">
        <v>30.771973809999999</v>
      </c>
      <c r="CE159">
        <v>7.1882432999999996E-2</v>
      </c>
      <c r="CF159">
        <v>1.4096123E-2</v>
      </c>
      <c r="CG159">
        <v>0.123910013</v>
      </c>
      <c r="CH159">
        <v>20.81818182</v>
      </c>
      <c r="CI159">
        <v>1.357849565</v>
      </c>
      <c r="CJ159">
        <v>7.1110018950000002</v>
      </c>
      <c r="CK159">
        <v>0.118475238</v>
      </c>
      <c r="CL159">
        <v>20.81818182</v>
      </c>
      <c r="CM159">
        <v>1.357849565</v>
      </c>
      <c r="CN159">
        <v>7.1110018950000002</v>
      </c>
      <c r="CO159">
        <v>9.3778579999999993E-3</v>
      </c>
      <c r="CP159">
        <v>190.25109760000001</v>
      </c>
      <c r="CQ159">
        <v>0.75711320500000001</v>
      </c>
      <c r="CR159">
        <v>26.331150489999999</v>
      </c>
      <c r="CS159">
        <v>1.0883355000000001E-2</v>
      </c>
      <c r="CT159">
        <v>190.25109760000001</v>
      </c>
      <c r="CU159">
        <v>0.75711320500000001</v>
      </c>
      <c r="CV159">
        <v>26.331150489999999</v>
      </c>
      <c r="CW159">
        <v>5.7389700000000002E-2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5</v>
      </c>
      <c r="DM159">
        <v>0</v>
      </c>
      <c r="DN159">
        <v>0</v>
      </c>
      <c r="DO159">
        <v>0</v>
      </c>
      <c r="DP159">
        <v>1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2</v>
      </c>
      <c r="DZ159">
        <v>0</v>
      </c>
      <c r="EA159">
        <v>0</v>
      </c>
      <c r="EB159">
        <v>0</v>
      </c>
      <c r="EC159">
        <v>0</v>
      </c>
      <c r="ED159">
        <v>0.90025605126853703</v>
      </c>
    </row>
    <row r="160" spans="1:134" x14ac:dyDescent="0.25">
      <c r="A160" t="s">
        <v>49</v>
      </c>
      <c r="B160">
        <v>2</v>
      </c>
      <c r="C160" t="s">
        <v>35</v>
      </c>
      <c r="D160" t="s">
        <v>94</v>
      </c>
      <c r="E160" t="s">
        <v>102</v>
      </c>
      <c r="F160" t="s">
        <v>145</v>
      </c>
      <c r="G160" t="s">
        <v>265</v>
      </c>
      <c r="H160" t="s">
        <v>755</v>
      </c>
      <c r="I160" t="s">
        <v>717</v>
      </c>
      <c r="J160" t="s">
        <v>434</v>
      </c>
      <c r="K160">
        <v>6</v>
      </c>
      <c r="L160">
        <v>90</v>
      </c>
      <c r="M160">
        <v>60</v>
      </c>
      <c r="N160">
        <v>90</v>
      </c>
      <c r="O160">
        <v>30</v>
      </c>
      <c r="P160">
        <v>75</v>
      </c>
      <c r="Q160">
        <v>75</v>
      </c>
      <c r="R160">
        <v>40</v>
      </c>
      <c r="S160">
        <v>57.5</v>
      </c>
      <c r="T160">
        <v>0.63888888899999996</v>
      </c>
      <c r="V160" t="s">
        <v>112</v>
      </c>
      <c r="W160">
        <v>50</v>
      </c>
      <c r="X160">
        <v>10.5</v>
      </c>
      <c r="Y160">
        <v>10.5</v>
      </c>
      <c r="Z160">
        <v>12.5</v>
      </c>
      <c r="AA160">
        <v>11.16666667</v>
      </c>
      <c r="AB160">
        <v>11.16666667</v>
      </c>
      <c r="AC160">
        <v>10.5</v>
      </c>
      <c r="AD160">
        <v>11</v>
      </c>
      <c r="AE160">
        <v>13.5</v>
      </c>
      <c r="AF160">
        <v>11.66666667</v>
      </c>
      <c r="AG160">
        <v>13.9</v>
      </c>
      <c r="AH160">
        <v>13</v>
      </c>
      <c r="AI160">
        <v>15.9</v>
      </c>
      <c r="AJ160">
        <v>14.266666669999999</v>
      </c>
      <c r="AK160">
        <v>13.9</v>
      </c>
      <c r="AL160">
        <v>13</v>
      </c>
      <c r="AM160">
        <v>14.9</v>
      </c>
      <c r="AN160">
        <v>13.93333333</v>
      </c>
      <c r="AO160">
        <v>14.266666669999999</v>
      </c>
      <c r="AP160">
        <v>4.5999999999999996</v>
      </c>
      <c r="AQ160">
        <v>4.0999999999999996</v>
      </c>
      <c r="AR160">
        <v>5.0999999999999996</v>
      </c>
      <c r="AS160">
        <v>4.5999999999999996</v>
      </c>
      <c r="AT160">
        <v>4.0999999999999996</v>
      </c>
      <c r="AU160">
        <v>5.0999999999999996</v>
      </c>
      <c r="AV160">
        <v>5.6</v>
      </c>
      <c r="AW160">
        <v>4.9333333330000002</v>
      </c>
      <c r="AX160">
        <v>4.5999999999999996</v>
      </c>
      <c r="AY160">
        <v>-6.5666666669999998</v>
      </c>
      <c r="AZ160">
        <v>20</v>
      </c>
      <c r="BA160">
        <v>5</v>
      </c>
      <c r="BB160">
        <v>2</v>
      </c>
      <c r="BC160">
        <v>2</v>
      </c>
      <c r="BD160">
        <v>5</v>
      </c>
      <c r="BE160">
        <v>0</v>
      </c>
      <c r="BF160">
        <v>5</v>
      </c>
      <c r="BG160">
        <v>1</v>
      </c>
      <c r="BI160">
        <v>7.5</v>
      </c>
      <c r="BJ160">
        <v>0</v>
      </c>
      <c r="BK160">
        <v>0</v>
      </c>
      <c r="BL160">
        <v>9</v>
      </c>
      <c r="BM160">
        <v>9</v>
      </c>
      <c r="BN160">
        <v>351</v>
      </c>
      <c r="BO160">
        <v>161.5</v>
      </c>
      <c r="BP160">
        <v>189.5</v>
      </c>
      <c r="BQ160">
        <v>141</v>
      </c>
      <c r="BR160">
        <v>210</v>
      </c>
      <c r="BS160">
        <v>24.421875</v>
      </c>
      <c r="BT160">
        <v>1.240298889</v>
      </c>
      <c r="BU160">
        <v>6.4684160249999998</v>
      </c>
      <c r="BV160">
        <v>-4.7748842600000003</v>
      </c>
      <c r="BW160">
        <v>-1.240298889</v>
      </c>
      <c r="BX160">
        <v>-6.4684160249999998</v>
      </c>
      <c r="BY160">
        <v>45.599039390000002</v>
      </c>
      <c r="BZ160">
        <v>9.5264470000000004E-3</v>
      </c>
      <c r="CA160">
        <v>10.21449964</v>
      </c>
      <c r="CB160">
        <v>1192.855957</v>
      </c>
      <c r="CC160">
        <v>9.5264470000000004E-3</v>
      </c>
      <c r="CD160">
        <v>10.21449964</v>
      </c>
      <c r="CE160">
        <v>0.90212789999999998</v>
      </c>
      <c r="CF160">
        <v>1.627669496</v>
      </c>
      <c r="CG160">
        <v>0.8008615</v>
      </c>
      <c r="CH160">
        <v>27.60513117</v>
      </c>
      <c r="CI160">
        <v>1.2863096300000001</v>
      </c>
      <c r="CJ160">
        <v>4.9618010080000001</v>
      </c>
      <c r="CK160">
        <v>0.449519</v>
      </c>
      <c r="CL160">
        <v>-21.05613426</v>
      </c>
      <c r="CM160">
        <v>-1.2863096300000001</v>
      </c>
      <c r="CN160">
        <v>-4.9618010080000001</v>
      </c>
      <c r="CO160">
        <v>1.5382326E-2</v>
      </c>
      <c r="CP160">
        <v>15.1996798</v>
      </c>
      <c r="CQ160">
        <v>3.1754819999999999E-3</v>
      </c>
      <c r="CR160">
        <v>3.4048332129999999</v>
      </c>
      <c r="CS160">
        <v>0.54255649900000003</v>
      </c>
      <c r="CT160">
        <v>397.61865230000001</v>
      </c>
      <c r="CU160">
        <v>3.1754819999999999E-3</v>
      </c>
      <c r="CV160">
        <v>3.4048332129999999</v>
      </c>
      <c r="CW160">
        <v>-0.1518996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5</v>
      </c>
      <c r="DZ160">
        <v>1</v>
      </c>
      <c r="EA160">
        <v>0</v>
      </c>
      <c r="EB160">
        <v>0</v>
      </c>
      <c r="EC160">
        <v>0</v>
      </c>
      <c r="ED160">
        <v>0.45056120886630502</v>
      </c>
    </row>
    <row r="161" spans="1:134" x14ac:dyDescent="0.25">
      <c r="A161" t="s">
        <v>49</v>
      </c>
      <c r="B161">
        <v>2</v>
      </c>
      <c r="C161" t="s">
        <v>35</v>
      </c>
      <c r="D161" t="s">
        <v>94</v>
      </c>
      <c r="E161" t="s">
        <v>112</v>
      </c>
      <c r="F161" t="s">
        <v>145</v>
      </c>
      <c r="G161" t="s">
        <v>261</v>
      </c>
      <c r="H161" t="s">
        <v>783</v>
      </c>
      <c r="I161" t="s">
        <v>729</v>
      </c>
      <c r="J161" t="s">
        <v>435</v>
      </c>
      <c r="K161">
        <v>2</v>
      </c>
      <c r="L161">
        <v>80</v>
      </c>
      <c r="M161">
        <v>45</v>
      </c>
      <c r="N161">
        <v>80</v>
      </c>
      <c r="O161">
        <v>35</v>
      </c>
      <c r="P161">
        <v>60</v>
      </c>
      <c r="Q161">
        <v>80</v>
      </c>
      <c r="R161">
        <v>35</v>
      </c>
      <c r="S161">
        <v>57.5</v>
      </c>
      <c r="T161">
        <v>0.71875</v>
      </c>
      <c r="V161" t="s">
        <v>112</v>
      </c>
      <c r="W161">
        <v>60</v>
      </c>
      <c r="X161">
        <v>10.5</v>
      </c>
      <c r="Y161">
        <v>10.5</v>
      </c>
      <c r="Z161">
        <v>12.5</v>
      </c>
      <c r="AA161">
        <v>11.16666667</v>
      </c>
      <c r="AB161">
        <v>11.16666667</v>
      </c>
      <c r="AC161">
        <v>12</v>
      </c>
      <c r="AD161">
        <v>10</v>
      </c>
      <c r="AE161">
        <v>10</v>
      </c>
      <c r="AF161">
        <v>10.66666667</v>
      </c>
      <c r="AG161">
        <v>13.9</v>
      </c>
      <c r="AH161">
        <v>13</v>
      </c>
      <c r="AI161">
        <v>15.9</v>
      </c>
      <c r="AJ161">
        <v>14.266666669999999</v>
      </c>
      <c r="AK161">
        <v>13</v>
      </c>
      <c r="AL161">
        <v>11.5</v>
      </c>
      <c r="AM161">
        <v>13.9</v>
      </c>
      <c r="AN161">
        <v>12.8</v>
      </c>
      <c r="AO161">
        <v>14.266666669999999</v>
      </c>
      <c r="AP161">
        <v>4.5999999999999996</v>
      </c>
      <c r="AQ161">
        <v>4.0999999999999996</v>
      </c>
      <c r="AR161">
        <v>5.0999999999999996</v>
      </c>
      <c r="AS161">
        <v>4.5999999999999996</v>
      </c>
      <c r="AT161">
        <v>5.0999999999999996</v>
      </c>
      <c r="AU161">
        <v>4.0999999999999996</v>
      </c>
      <c r="AV161">
        <v>4.5999999999999996</v>
      </c>
      <c r="AW161">
        <v>4.5999999999999996</v>
      </c>
      <c r="AX161">
        <v>4.5999999999999996</v>
      </c>
      <c r="AY161">
        <v>-6.5666666669999998</v>
      </c>
      <c r="AZ161">
        <v>20</v>
      </c>
      <c r="BA161">
        <v>5</v>
      </c>
      <c r="BB161">
        <v>2</v>
      </c>
      <c r="BC161">
        <v>2</v>
      </c>
      <c r="BD161">
        <v>5</v>
      </c>
      <c r="BE161">
        <v>0</v>
      </c>
      <c r="BF161">
        <v>5</v>
      </c>
      <c r="BG161">
        <v>1</v>
      </c>
      <c r="BI161">
        <v>7.5</v>
      </c>
      <c r="BJ161">
        <v>0</v>
      </c>
      <c r="BK161">
        <v>0</v>
      </c>
      <c r="BL161">
        <v>42</v>
      </c>
      <c r="BM161">
        <v>42</v>
      </c>
      <c r="BN161">
        <v>151</v>
      </c>
      <c r="BO161">
        <v>193</v>
      </c>
      <c r="BP161">
        <v>-42</v>
      </c>
      <c r="BQ161">
        <v>306</v>
      </c>
      <c r="BR161">
        <v>-155</v>
      </c>
      <c r="BS161">
        <v>16.598958339999999</v>
      </c>
      <c r="BT161">
        <v>1.118732147</v>
      </c>
      <c r="BU161">
        <v>3.7901109050000001</v>
      </c>
      <c r="BV161">
        <v>-16.598958339999999</v>
      </c>
      <c r="BW161">
        <v>1.118732147</v>
      </c>
      <c r="BX161">
        <v>3.7901109050000001</v>
      </c>
      <c r="BY161">
        <v>551.05083560000003</v>
      </c>
      <c r="BZ161">
        <v>2.5031232330000002</v>
      </c>
      <c r="CA161">
        <v>28.729881339999999</v>
      </c>
      <c r="CB161">
        <v>551.05083560000003</v>
      </c>
      <c r="CC161">
        <v>2.5031232330000002</v>
      </c>
      <c r="CD161">
        <v>28.729881339999999</v>
      </c>
      <c r="CE161">
        <v>0.89125834999999998</v>
      </c>
      <c r="CF161">
        <v>1.5886828930000001</v>
      </c>
      <c r="CG161">
        <v>0.89125834999999998</v>
      </c>
      <c r="CH161">
        <v>16.598958339999999</v>
      </c>
      <c r="CI161">
        <v>1.118732147</v>
      </c>
      <c r="CJ161">
        <v>3.7901109050000001</v>
      </c>
      <c r="CK161">
        <v>0.89125834999999998</v>
      </c>
      <c r="CL161">
        <v>-16.598958339999999</v>
      </c>
      <c r="CM161">
        <v>1.118732147</v>
      </c>
      <c r="CN161">
        <v>3.7901109050000001</v>
      </c>
      <c r="CO161">
        <v>1.5886828930000001</v>
      </c>
      <c r="CP161">
        <v>551.05083560000003</v>
      </c>
      <c r="CQ161">
        <v>2.5031232330000002</v>
      </c>
      <c r="CR161">
        <v>28.729881339999999</v>
      </c>
      <c r="CS161">
        <v>1.5886828930000001</v>
      </c>
      <c r="CT161">
        <v>551.05083560000003</v>
      </c>
      <c r="CU161">
        <v>2.5031232330000002</v>
      </c>
      <c r="CV161">
        <v>28.729881339999999</v>
      </c>
      <c r="CW161">
        <v>0.89125834999999998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1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1</v>
      </c>
      <c r="EA161">
        <v>0</v>
      </c>
      <c r="EB161">
        <v>0</v>
      </c>
      <c r="EC161">
        <v>0</v>
      </c>
      <c r="ED161">
        <v>0.69314718055994495</v>
      </c>
    </row>
    <row r="162" spans="1:134" x14ac:dyDescent="0.25">
      <c r="A162" t="s">
        <v>79</v>
      </c>
      <c r="B162">
        <v>6</v>
      </c>
      <c r="C162" t="s">
        <v>11</v>
      </c>
      <c r="D162" t="s">
        <v>95</v>
      </c>
      <c r="E162" t="s">
        <v>113</v>
      </c>
      <c r="F162" t="s">
        <v>145</v>
      </c>
      <c r="G162" t="s">
        <v>259</v>
      </c>
      <c r="H162" t="s">
        <v>764</v>
      </c>
      <c r="I162" t="s">
        <v>730</v>
      </c>
      <c r="J162" t="s">
        <v>436</v>
      </c>
      <c r="K162">
        <v>4</v>
      </c>
      <c r="L162">
        <v>50</v>
      </c>
      <c r="M162">
        <v>30</v>
      </c>
      <c r="N162">
        <v>50</v>
      </c>
      <c r="O162">
        <v>20</v>
      </c>
      <c r="P162">
        <v>7</v>
      </c>
      <c r="Q162">
        <v>7</v>
      </c>
      <c r="R162">
        <v>3</v>
      </c>
      <c r="S162">
        <v>5</v>
      </c>
      <c r="T162">
        <v>0.1</v>
      </c>
      <c r="U162" t="s">
        <v>15</v>
      </c>
      <c r="V162" t="s">
        <v>113</v>
      </c>
      <c r="W162">
        <v>60</v>
      </c>
      <c r="X162">
        <v>16.899999999999999</v>
      </c>
      <c r="Y162">
        <v>18.899999999999999</v>
      </c>
      <c r="Z162">
        <v>18.399999999999999</v>
      </c>
      <c r="AA162">
        <v>18.06666667</v>
      </c>
      <c r="AB162">
        <v>18.06666667</v>
      </c>
      <c r="AC162">
        <v>17.399999999999999</v>
      </c>
      <c r="AD162">
        <v>14.9</v>
      </c>
      <c r="AE162">
        <v>16.899999999999999</v>
      </c>
      <c r="AF162">
        <v>16.399999999999999</v>
      </c>
      <c r="AG162">
        <v>16.899999999999999</v>
      </c>
      <c r="AH162">
        <v>17.399999999999999</v>
      </c>
      <c r="AI162">
        <v>18.399999999999999</v>
      </c>
      <c r="AJ162">
        <v>17.56666667</v>
      </c>
      <c r="AK162">
        <v>13.5</v>
      </c>
      <c r="AL162">
        <v>14.4</v>
      </c>
      <c r="AM162">
        <v>16.899999999999999</v>
      </c>
      <c r="AN162">
        <v>14.93333333</v>
      </c>
      <c r="AO162">
        <v>17.56666667</v>
      </c>
      <c r="AP162">
        <v>7.6</v>
      </c>
      <c r="AQ162">
        <v>8.1</v>
      </c>
      <c r="AR162">
        <v>6.1</v>
      </c>
      <c r="AS162">
        <v>7.266666667</v>
      </c>
      <c r="AT162">
        <v>6.6</v>
      </c>
      <c r="AU162">
        <v>7.6</v>
      </c>
      <c r="AV162">
        <v>8.5</v>
      </c>
      <c r="AW162">
        <v>7.5666666669999998</v>
      </c>
      <c r="AX162">
        <v>7.266666667</v>
      </c>
      <c r="AY162">
        <v>-10.8</v>
      </c>
      <c r="AZ162">
        <v>5</v>
      </c>
      <c r="BA162">
        <v>85</v>
      </c>
      <c r="BB162">
        <v>5</v>
      </c>
      <c r="BC162">
        <v>5</v>
      </c>
      <c r="BD162">
        <v>1</v>
      </c>
      <c r="BE162">
        <v>0</v>
      </c>
      <c r="BF162">
        <v>0</v>
      </c>
      <c r="BG162">
        <v>0</v>
      </c>
      <c r="BI162">
        <v>9.9</v>
      </c>
      <c r="BJ162">
        <v>42.4</v>
      </c>
      <c r="BK162">
        <v>0</v>
      </c>
      <c r="BL162">
        <v>1</v>
      </c>
      <c r="BM162">
        <v>1</v>
      </c>
      <c r="BN162">
        <v>3</v>
      </c>
      <c r="BO162">
        <v>0</v>
      </c>
      <c r="BP162">
        <v>3</v>
      </c>
      <c r="BQ162">
        <v>0</v>
      </c>
      <c r="BR162">
        <v>3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 t="s">
        <v>114</v>
      </c>
      <c r="BZ162" t="s">
        <v>114</v>
      </c>
      <c r="CA162" t="s">
        <v>114</v>
      </c>
      <c r="CB162" t="s">
        <v>114</v>
      </c>
      <c r="CC162" t="s">
        <v>114</v>
      </c>
      <c r="CD162" t="s">
        <v>114</v>
      </c>
      <c r="CE162">
        <v>0</v>
      </c>
      <c r="CF162" t="s">
        <v>114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4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</row>
    <row r="163" spans="1:134" x14ac:dyDescent="0.25">
      <c r="A163" t="s">
        <v>79</v>
      </c>
      <c r="B163">
        <v>6</v>
      </c>
      <c r="C163" t="s">
        <v>11</v>
      </c>
      <c r="D163" t="s">
        <v>95</v>
      </c>
      <c r="E163" t="s">
        <v>103</v>
      </c>
      <c r="F163" t="s">
        <v>145</v>
      </c>
      <c r="G163" t="s">
        <v>260</v>
      </c>
      <c r="H163" t="s">
        <v>772</v>
      </c>
      <c r="I163" t="s">
        <v>731</v>
      </c>
      <c r="J163" t="s">
        <v>437</v>
      </c>
      <c r="K163">
        <v>11</v>
      </c>
      <c r="L163">
        <v>55</v>
      </c>
      <c r="M163">
        <v>70</v>
      </c>
      <c r="N163">
        <v>55</v>
      </c>
      <c r="O163">
        <v>-15</v>
      </c>
      <c r="P163">
        <v>25</v>
      </c>
      <c r="Q163">
        <v>20</v>
      </c>
      <c r="R163">
        <v>10</v>
      </c>
      <c r="S163">
        <v>15</v>
      </c>
      <c r="T163">
        <v>0.27272727299999999</v>
      </c>
      <c r="U163" t="s">
        <v>15</v>
      </c>
      <c r="V163" t="s">
        <v>113</v>
      </c>
      <c r="W163">
        <v>100</v>
      </c>
      <c r="X163">
        <v>16.899999999999999</v>
      </c>
      <c r="Y163">
        <v>18.899999999999999</v>
      </c>
      <c r="Z163">
        <v>18.399999999999999</v>
      </c>
      <c r="AA163">
        <v>18.06666667</v>
      </c>
      <c r="AB163">
        <v>18.06666667</v>
      </c>
      <c r="AC163">
        <v>14.5</v>
      </c>
      <c r="AD163">
        <v>14.9</v>
      </c>
      <c r="AE163">
        <v>14.9</v>
      </c>
      <c r="AF163">
        <v>14.766666669999999</v>
      </c>
      <c r="AG163">
        <v>16.899999999999999</v>
      </c>
      <c r="AH163">
        <v>17.399999999999999</v>
      </c>
      <c r="AI163">
        <v>18.399999999999999</v>
      </c>
      <c r="AJ163">
        <v>17.56666667</v>
      </c>
      <c r="AK163">
        <v>15.9</v>
      </c>
      <c r="AL163">
        <v>14.4</v>
      </c>
      <c r="AM163">
        <v>14.4</v>
      </c>
      <c r="AN163">
        <v>14.9</v>
      </c>
      <c r="AO163">
        <v>17.56666667</v>
      </c>
      <c r="AP163">
        <v>7.6</v>
      </c>
      <c r="AQ163">
        <v>8.1</v>
      </c>
      <c r="AR163">
        <v>6.1</v>
      </c>
      <c r="AS163">
        <v>7.266666667</v>
      </c>
      <c r="AT163">
        <v>6.6</v>
      </c>
      <c r="AU163">
        <v>6.1</v>
      </c>
      <c r="AV163">
        <v>5.6</v>
      </c>
      <c r="AW163">
        <v>6.1</v>
      </c>
      <c r="AX163">
        <v>7.266666667</v>
      </c>
      <c r="AY163">
        <v>-10.8</v>
      </c>
      <c r="AZ163">
        <v>5</v>
      </c>
      <c r="BA163">
        <v>85</v>
      </c>
      <c r="BB163">
        <v>5</v>
      </c>
      <c r="BC163">
        <v>5</v>
      </c>
      <c r="BD163">
        <v>1</v>
      </c>
      <c r="BE163">
        <v>0</v>
      </c>
      <c r="BF163">
        <v>0</v>
      </c>
      <c r="BG163">
        <v>0</v>
      </c>
      <c r="BI163">
        <v>9.9</v>
      </c>
      <c r="BJ163">
        <v>42.4</v>
      </c>
      <c r="BK163">
        <v>0</v>
      </c>
      <c r="BL163">
        <v>3</v>
      </c>
      <c r="BM163">
        <v>3</v>
      </c>
      <c r="BN163">
        <v>148</v>
      </c>
      <c r="BO163">
        <v>406</v>
      </c>
      <c r="BP163">
        <v>-258</v>
      </c>
      <c r="BQ163">
        <v>356</v>
      </c>
      <c r="BR163">
        <v>-208</v>
      </c>
      <c r="BS163">
        <v>7.2670454549999999</v>
      </c>
      <c r="BT163">
        <v>0.33901825800000002</v>
      </c>
      <c r="BU163">
        <v>3.8525754600000002</v>
      </c>
      <c r="BV163">
        <v>7.2670454549999999</v>
      </c>
      <c r="BW163">
        <v>-0.33901825800000002</v>
      </c>
      <c r="BX163">
        <v>3.8525754600000002</v>
      </c>
      <c r="BY163">
        <v>105.6198993</v>
      </c>
      <c r="BZ163">
        <v>0.229866759</v>
      </c>
      <c r="CA163">
        <v>29.684675349999999</v>
      </c>
      <c r="CB163">
        <v>105.6198993</v>
      </c>
      <c r="CC163">
        <v>0.229866759</v>
      </c>
      <c r="CD163">
        <v>29.684675349999999</v>
      </c>
      <c r="CE163">
        <v>0.10782364999999999</v>
      </c>
      <c r="CF163">
        <v>2.3251879E-2</v>
      </c>
      <c r="CG163">
        <v>0.13723009999999999</v>
      </c>
      <c r="CH163">
        <v>9.2489669429999992</v>
      </c>
      <c r="CI163">
        <v>0.431477783</v>
      </c>
      <c r="CJ163">
        <v>4.903277858</v>
      </c>
      <c r="CK163">
        <v>0.13723009999999999</v>
      </c>
      <c r="CL163">
        <v>9.2489669429999992</v>
      </c>
      <c r="CM163">
        <v>-0.431477783</v>
      </c>
      <c r="CN163">
        <v>4.903277858</v>
      </c>
      <c r="CO163">
        <v>1.183732E-2</v>
      </c>
      <c r="CP163">
        <v>53.770130549999998</v>
      </c>
      <c r="CQ163">
        <v>0.117023077</v>
      </c>
      <c r="CR163">
        <v>15.112198360000001</v>
      </c>
      <c r="CS163">
        <v>1.183732E-2</v>
      </c>
      <c r="CT163">
        <v>53.770130549999998</v>
      </c>
      <c r="CU163">
        <v>0.117023077</v>
      </c>
      <c r="CV163">
        <v>15.112198360000001</v>
      </c>
      <c r="CW163">
        <v>0.10782364999999999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7</v>
      </c>
      <c r="DM163">
        <v>0</v>
      </c>
      <c r="DN163">
        <v>0</v>
      </c>
      <c r="DO163">
        <v>0</v>
      </c>
      <c r="DP163">
        <v>4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0.65548177390139295</v>
      </c>
    </row>
    <row r="164" spans="1:134" x14ac:dyDescent="0.25">
      <c r="A164" t="s">
        <v>79</v>
      </c>
      <c r="B164">
        <v>6</v>
      </c>
      <c r="C164" t="s">
        <v>11</v>
      </c>
      <c r="D164" t="s">
        <v>95</v>
      </c>
      <c r="E164" t="s">
        <v>111</v>
      </c>
      <c r="F164" t="s">
        <v>145</v>
      </c>
      <c r="G164" t="s">
        <v>263</v>
      </c>
      <c r="H164" t="s">
        <v>776</v>
      </c>
      <c r="I164" t="s">
        <v>732</v>
      </c>
      <c r="J164" t="s">
        <v>438</v>
      </c>
      <c r="K164">
        <v>7</v>
      </c>
      <c r="L164">
        <v>380</v>
      </c>
      <c r="M164">
        <v>280</v>
      </c>
      <c r="N164">
        <v>380</v>
      </c>
      <c r="O164">
        <v>100</v>
      </c>
      <c r="P164">
        <v>110</v>
      </c>
      <c r="Q164">
        <v>280</v>
      </c>
      <c r="R164">
        <v>160</v>
      </c>
      <c r="S164">
        <v>220</v>
      </c>
      <c r="T164">
        <v>0.57894736800000002</v>
      </c>
      <c r="U164" t="s">
        <v>15</v>
      </c>
      <c r="V164" t="s">
        <v>113</v>
      </c>
      <c r="W164">
        <v>40</v>
      </c>
      <c r="X164">
        <v>16.899999999999999</v>
      </c>
      <c r="Y164">
        <v>18.899999999999999</v>
      </c>
      <c r="Z164">
        <v>18.399999999999999</v>
      </c>
      <c r="AA164">
        <v>18.06666667</v>
      </c>
      <c r="AB164">
        <v>18.06666667</v>
      </c>
      <c r="AC164">
        <v>15.9</v>
      </c>
      <c r="AD164">
        <v>15.9</v>
      </c>
      <c r="AE164">
        <v>18.899999999999999</v>
      </c>
      <c r="AF164">
        <v>16.899999999999999</v>
      </c>
      <c r="AG164">
        <v>16.899999999999999</v>
      </c>
      <c r="AH164">
        <v>17.399999999999999</v>
      </c>
      <c r="AI164">
        <v>18.399999999999999</v>
      </c>
      <c r="AJ164">
        <v>17.56666667</v>
      </c>
      <c r="AK164">
        <v>19.3</v>
      </c>
      <c r="AL164">
        <v>15.9</v>
      </c>
      <c r="AM164">
        <v>18.399999999999999</v>
      </c>
      <c r="AN164">
        <v>17.866666670000001</v>
      </c>
      <c r="AO164">
        <v>17.56666667</v>
      </c>
      <c r="AP164">
        <v>7.6</v>
      </c>
      <c r="AQ164">
        <v>8.1</v>
      </c>
      <c r="AR164">
        <v>6.1</v>
      </c>
      <c r="AS164">
        <v>7.266666667</v>
      </c>
      <c r="AT164">
        <v>6.6</v>
      </c>
      <c r="AU164">
        <v>8.1</v>
      </c>
      <c r="AV164">
        <v>8.1</v>
      </c>
      <c r="AW164">
        <v>7.6</v>
      </c>
      <c r="AX164">
        <v>7.266666667</v>
      </c>
      <c r="AY164">
        <v>-10.8</v>
      </c>
      <c r="AZ164">
        <v>5</v>
      </c>
      <c r="BA164">
        <v>85</v>
      </c>
      <c r="BB164">
        <v>5</v>
      </c>
      <c r="BC164">
        <v>5</v>
      </c>
      <c r="BD164">
        <v>1</v>
      </c>
      <c r="BE164">
        <v>0</v>
      </c>
      <c r="BF164">
        <v>0</v>
      </c>
      <c r="BG164">
        <v>0</v>
      </c>
      <c r="BI164">
        <v>9.9</v>
      </c>
      <c r="BJ164">
        <v>42.4</v>
      </c>
      <c r="BK164">
        <v>0</v>
      </c>
      <c r="BL164">
        <v>74</v>
      </c>
      <c r="BM164">
        <v>56</v>
      </c>
      <c r="BN164">
        <v>3631</v>
      </c>
      <c r="BO164">
        <v>2858</v>
      </c>
      <c r="BP164">
        <v>773</v>
      </c>
      <c r="BQ164">
        <v>3443</v>
      </c>
      <c r="BR164">
        <v>188</v>
      </c>
      <c r="BS164">
        <v>6.5643398270000004</v>
      </c>
      <c r="BT164">
        <v>0.25930751600000002</v>
      </c>
      <c r="BU164">
        <v>6.0479798130000004</v>
      </c>
      <c r="BV164">
        <v>4.3508477599999997</v>
      </c>
      <c r="BW164">
        <v>-0.14461841</v>
      </c>
      <c r="BX164">
        <v>-4.9106876399999999</v>
      </c>
      <c r="BY164">
        <v>17.058673899999999</v>
      </c>
      <c r="BZ164">
        <v>9.0281341000000001E-2</v>
      </c>
      <c r="CA164">
        <v>19.06745209</v>
      </c>
      <c r="CB164">
        <v>53.299695589999999</v>
      </c>
      <c r="CC164">
        <v>0.159770196</v>
      </c>
      <c r="CD164">
        <v>37.76226218</v>
      </c>
      <c r="CE164">
        <v>0.76810202299999997</v>
      </c>
      <c r="CF164">
        <v>1.564421522</v>
      </c>
      <c r="CG164">
        <v>0.43061200999999999</v>
      </c>
      <c r="CH164">
        <v>9.2212043890000004</v>
      </c>
      <c r="CI164">
        <v>0.457354015</v>
      </c>
      <c r="CJ164">
        <v>3.5668132109999999</v>
      </c>
      <c r="CK164">
        <v>-0.177048439</v>
      </c>
      <c r="CL164">
        <v>8.2725649309999998</v>
      </c>
      <c r="CM164">
        <v>-0.408201541</v>
      </c>
      <c r="CN164">
        <v>-1.1297585539999999</v>
      </c>
      <c r="CO164">
        <v>0.53724760999999999</v>
      </c>
      <c r="CP164">
        <v>11.862787770000001</v>
      </c>
      <c r="CQ164">
        <v>6.4413393999999999E-2</v>
      </c>
      <c r="CR164">
        <v>11.74248161</v>
      </c>
      <c r="CS164">
        <v>0.71700825599999995</v>
      </c>
      <c r="CT164">
        <v>31.22394757</v>
      </c>
      <c r="CU164">
        <v>0.11404829</v>
      </c>
      <c r="CV164">
        <v>25.095917379999999</v>
      </c>
      <c r="CW164">
        <v>-0.64977235700000002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1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5</v>
      </c>
      <c r="DM164">
        <v>0</v>
      </c>
      <c r="DN164">
        <v>0</v>
      </c>
      <c r="DO164">
        <v>0</v>
      </c>
      <c r="DP164">
        <v>1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0.79631164017381295</v>
      </c>
    </row>
    <row r="165" spans="1:134" x14ac:dyDescent="0.25">
      <c r="A165" t="s">
        <v>80</v>
      </c>
      <c r="B165">
        <v>6</v>
      </c>
      <c r="C165" t="s">
        <v>15</v>
      </c>
      <c r="D165" t="s">
        <v>95</v>
      </c>
      <c r="E165" t="s">
        <v>105</v>
      </c>
      <c r="F165" t="s">
        <v>145</v>
      </c>
      <c r="G165" t="s">
        <v>266</v>
      </c>
      <c r="H165" t="s">
        <v>760</v>
      </c>
      <c r="I165" t="s">
        <v>733</v>
      </c>
      <c r="J165" t="s">
        <v>439</v>
      </c>
      <c r="K165">
        <v>10</v>
      </c>
      <c r="L165">
        <v>60</v>
      </c>
      <c r="M165">
        <v>45</v>
      </c>
      <c r="N165">
        <v>60</v>
      </c>
      <c r="O165">
        <v>15</v>
      </c>
      <c r="P165">
        <v>80</v>
      </c>
      <c r="Q165">
        <v>50</v>
      </c>
      <c r="R165">
        <v>0</v>
      </c>
      <c r="S165">
        <v>25</v>
      </c>
      <c r="T165">
        <v>0.41666666699999999</v>
      </c>
      <c r="V165" t="s">
        <v>121</v>
      </c>
      <c r="W165" t="s">
        <v>114</v>
      </c>
      <c r="X165">
        <v>15.9</v>
      </c>
      <c r="Y165">
        <v>14.9</v>
      </c>
      <c r="Z165">
        <v>17.899999999999999</v>
      </c>
      <c r="AA165">
        <v>16.233333330000001</v>
      </c>
      <c r="AB165">
        <v>16.233333330000001</v>
      </c>
      <c r="AC165">
        <v>15.4</v>
      </c>
      <c r="AD165">
        <v>16.399999999999999</v>
      </c>
      <c r="AE165">
        <v>16.899999999999999</v>
      </c>
      <c r="AF165">
        <v>16.233333330000001</v>
      </c>
      <c r="AG165">
        <v>12</v>
      </c>
      <c r="AH165">
        <v>15.9</v>
      </c>
      <c r="AI165">
        <v>14.9</v>
      </c>
      <c r="AJ165">
        <v>14.266666669999999</v>
      </c>
      <c r="AK165">
        <v>14.4</v>
      </c>
      <c r="AL165">
        <v>13.5</v>
      </c>
      <c r="AM165">
        <v>15.9</v>
      </c>
      <c r="AN165">
        <v>14.6</v>
      </c>
      <c r="AO165">
        <v>14.266666669999999</v>
      </c>
      <c r="AP165">
        <v>11</v>
      </c>
      <c r="AQ165">
        <v>8.1</v>
      </c>
      <c r="AR165">
        <v>8.5</v>
      </c>
      <c r="AS165">
        <v>9.1999999999999993</v>
      </c>
      <c r="AT165">
        <v>9.5</v>
      </c>
      <c r="AU165">
        <v>9</v>
      </c>
      <c r="AV165">
        <v>10.5</v>
      </c>
      <c r="AW165">
        <v>9.6666666669999994</v>
      </c>
      <c r="AX165">
        <v>9.1999999999999993</v>
      </c>
      <c r="AY165">
        <v>-7.0333333329999999</v>
      </c>
      <c r="AZ165">
        <v>5</v>
      </c>
      <c r="BA165">
        <v>85</v>
      </c>
      <c r="BB165">
        <v>1</v>
      </c>
      <c r="BC165">
        <v>20</v>
      </c>
      <c r="BD165">
        <v>0</v>
      </c>
      <c r="BE165">
        <v>1</v>
      </c>
      <c r="BF165">
        <v>0</v>
      </c>
      <c r="BG165">
        <v>0</v>
      </c>
      <c r="BI165">
        <v>12.2</v>
      </c>
      <c r="BJ165">
        <v>42.4</v>
      </c>
      <c r="BK165">
        <v>0</v>
      </c>
      <c r="BL165">
        <v>3</v>
      </c>
      <c r="BM165">
        <v>3</v>
      </c>
      <c r="BN165">
        <v>137</v>
      </c>
      <c r="BO165">
        <v>315.5</v>
      </c>
      <c r="BP165">
        <v>-178.5</v>
      </c>
      <c r="BQ165">
        <v>80</v>
      </c>
      <c r="BR165">
        <v>57</v>
      </c>
      <c r="BS165">
        <v>23.52462122</v>
      </c>
      <c r="BT165">
        <v>0.33901825800000002</v>
      </c>
      <c r="BU165">
        <v>21.47468048</v>
      </c>
      <c r="BV165">
        <v>-23.52462122</v>
      </c>
      <c r="BW165">
        <v>2.6175038000000001E-2</v>
      </c>
      <c r="BX165">
        <v>21.47468048</v>
      </c>
      <c r="BY165">
        <v>105.6198993</v>
      </c>
      <c r="BZ165">
        <v>1.3702650000000001E-3</v>
      </c>
      <c r="CA165">
        <v>29.684675349999999</v>
      </c>
      <c r="CB165">
        <v>105.6198993</v>
      </c>
      <c r="CC165">
        <v>0.229866759</v>
      </c>
      <c r="CD165">
        <v>29.684675349999999</v>
      </c>
      <c r="CE165">
        <v>1.7741976500000001</v>
      </c>
      <c r="CF165">
        <v>2.3251879E-2</v>
      </c>
      <c r="CG165">
        <v>1.6879387299999999</v>
      </c>
      <c r="CH165">
        <v>29.338257580000001</v>
      </c>
      <c r="CI165">
        <v>0.35995828800000002</v>
      </c>
      <c r="CJ165">
        <v>18.392620109999999</v>
      </c>
      <c r="CK165">
        <v>1.6879387299999999</v>
      </c>
      <c r="CL165">
        <v>-29.338257580000001</v>
      </c>
      <c r="CM165">
        <v>0.29738964400000001</v>
      </c>
      <c r="CN165">
        <v>18.392620109999999</v>
      </c>
      <c r="CO165">
        <v>4.6503760000000003E-3</v>
      </c>
      <c r="CP165">
        <v>21.123979859999999</v>
      </c>
      <c r="CQ165">
        <v>2.7405300000000001E-4</v>
      </c>
      <c r="CR165">
        <v>5.9369350699999996</v>
      </c>
      <c r="CS165">
        <v>4.6503760000000003E-3</v>
      </c>
      <c r="CT165">
        <v>21.123979859999999</v>
      </c>
      <c r="CU165">
        <v>4.5973352000000002E-2</v>
      </c>
      <c r="CV165">
        <v>5.9369350699999996</v>
      </c>
      <c r="CW165">
        <v>1.7741976500000001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1</v>
      </c>
      <c r="DM165">
        <v>0</v>
      </c>
      <c r="DN165">
        <v>0</v>
      </c>
      <c r="DO165">
        <v>0</v>
      </c>
      <c r="DP165">
        <v>9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0.32508297339144798</v>
      </c>
    </row>
    <row r="166" spans="1:134" x14ac:dyDescent="0.25">
      <c r="A166" t="s">
        <v>80</v>
      </c>
      <c r="B166">
        <v>6</v>
      </c>
      <c r="C166" t="s">
        <v>15</v>
      </c>
      <c r="D166" t="s">
        <v>95</v>
      </c>
      <c r="E166" t="s">
        <v>113</v>
      </c>
      <c r="F166" t="s">
        <v>145</v>
      </c>
      <c r="G166" t="s">
        <v>259</v>
      </c>
      <c r="H166" t="s">
        <v>764</v>
      </c>
      <c r="I166" t="s">
        <v>730</v>
      </c>
      <c r="J166" t="s">
        <v>440</v>
      </c>
      <c r="K166">
        <v>6</v>
      </c>
      <c r="L166">
        <v>60</v>
      </c>
      <c r="M166">
        <v>30</v>
      </c>
      <c r="N166">
        <v>60</v>
      </c>
      <c r="O166">
        <v>30</v>
      </c>
      <c r="P166">
        <v>4</v>
      </c>
      <c r="Q166">
        <v>2</v>
      </c>
      <c r="R166">
        <v>2</v>
      </c>
      <c r="S166">
        <v>2</v>
      </c>
      <c r="T166">
        <v>3.3333333E-2</v>
      </c>
      <c r="V166" t="s">
        <v>113</v>
      </c>
      <c r="W166">
        <v>50</v>
      </c>
      <c r="X166">
        <v>15.9</v>
      </c>
      <c r="Y166">
        <v>14.9</v>
      </c>
      <c r="Z166">
        <v>17.899999999999999</v>
      </c>
      <c r="AA166">
        <v>16.233333330000001</v>
      </c>
      <c r="AB166">
        <v>16.233333330000001</v>
      </c>
      <c r="AC166">
        <v>13.9</v>
      </c>
      <c r="AD166">
        <v>13.9</v>
      </c>
      <c r="AE166">
        <v>15.4</v>
      </c>
      <c r="AF166">
        <v>14.4</v>
      </c>
      <c r="AG166">
        <v>12</v>
      </c>
      <c r="AH166">
        <v>15.9</v>
      </c>
      <c r="AI166">
        <v>14.9</v>
      </c>
      <c r="AJ166">
        <v>14.266666669999999</v>
      </c>
      <c r="AK166">
        <v>11.5</v>
      </c>
      <c r="AL166">
        <v>13.5</v>
      </c>
      <c r="AM166">
        <v>15.4</v>
      </c>
      <c r="AN166">
        <v>13.46666667</v>
      </c>
      <c r="AO166">
        <v>14.266666669999999</v>
      </c>
      <c r="AP166">
        <v>11</v>
      </c>
      <c r="AQ166">
        <v>8.1</v>
      </c>
      <c r="AR166">
        <v>8.5</v>
      </c>
      <c r="AS166">
        <v>9.1999999999999993</v>
      </c>
      <c r="AT166">
        <v>8.5</v>
      </c>
      <c r="AU166">
        <v>7.1</v>
      </c>
      <c r="AV166">
        <v>9</v>
      </c>
      <c r="AW166">
        <v>8.1999999999999993</v>
      </c>
      <c r="AX166">
        <v>9.1999999999999993</v>
      </c>
      <c r="AY166">
        <v>-7.0333333329999999</v>
      </c>
      <c r="AZ166">
        <v>5</v>
      </c>
      <c r="BA166">
        <v>85</v>
      </c>
      <c r="BB166">
        <v>1</v>
      </c>
      <c r="BC166">
        <v>20</v>
      </c>
      <c r="BD166">
        <v>0</v>
      </c>
      <c r="BE166">
        <v>1</v>
      </c>
      <c r="BF166">
        <v>0</v>
      </c>
      <c r="BG166">
        <v>0</v>
      </c>
      <c r="BI166">
        <v>12.2</v>
      </c>
      <c r="BJ166">
        <v>42.4</v>
      </c>
      <c r="BK166">
        <v>0</v>
      </c>
      <c r="BL166">
        <v>1</v>
      </c>
      <c r="BM166">
        <v>1</v>
      </c>
      <c r="BN166">
        <v>3</v>
      </c>
      <c r="BO166">
        <v>0</v>
      </c>
      <c r="BP166">
        <v>3</v>
      </c>
      <c r="BQ166">
        <v>0</v>
      </c>
      <c r="BR166">
        <v>3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 t="s">
        <v>114</v>
      </c>
      <c r="BZ166" t="s">
        <v>114</v>
      </c>
      <c r="CA166" t="s">
        <v>114</v>
      </c>
      <c r="CB166" t="s">
        <v>114</v>
      </c>
      <c r="CC166" t="s">
        <v>114</v>
      </c>
      <c r="CD166" t="s">
        <v>114</v>
      </c>
      <c r="CE166">
        <v>0</v>
      </c>
      <c r="CF166" t="s">
        <v>114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6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</row>
    <row r="167" spans="1:134" x14ac:dyDescent="0.25">
      <c r="A167" t="s">
        <v>80</v>
      </c>
      <c r="B167">
        <v>6</v>
      </c>
      <c r="C167" t="s">
        <v>15</v>
      </c>
      <c r="D167" t="s">
        <v>95</v>
      </c>
      <c r="E167" t="s">
        <v>103</v>
      </c>
      <c r="F167" t="s">
        <v>145</v>
      </c>
      <c r="G167" t="s">
        <v>260</v>
      </c>
      <c r="H167" t="s">
        <v>772</v>
      </c>
      <c r="I167" t="s">
        <v>731</v>
      </c>
      <c r="J167" t="s">
        <v>441</v>
      </c>
      <c r="K167">
        <v>3</v>
      </c>
      <c r="L167">
        <v>40</v>
      </c>
      <c r="M167">
        <v>70</v>
      </c>
      <c r="N167">
        <v>40</v>
      </c>
      <c r="O167">
        <v>-30</v>
      </c>
      <c r="P167">
        <v>32</v>
      </c>
      <c r="Q167">
        <v>26</v>
      </c>
      <c r="R167">
        <v>3</v>
      </c>
      <c r="S167">
        <v>14.5</v>
      </c>
      <c r="T167">
        <v>0.36249999999999999</v>
      </c>
      <c r="V167" t="s">
        <v>103</v>
      </c>
      <c r="W167" t="s">
        <v>114</v>
      </c>
      <c r="X167">
        <v>15.9</v>
      </c>
      <c r="Y167">
        <v>14.9</v>
      </c>
      <c r="Z167">
        <v>17.899999999999999</v>
      </c>
      <c r="AA167">
        <v>16.233333330000001</v>
      </c>
      <c r="AB167">
        <v>16.233333330000001</v>
      </c>
      <c r="AC167">
        <v>14.9</v>
      </c>
      <c r="AD167">
        <v>14.4</v>
      </c>
      <c r="AE167">
        <v>15.9</v>
      </c>
      <c r="AF167">
        <v>15.06666667</v>
      </c>
      <c r="AG167">
        <v>12</v>
      </c>
      <c r="AH167">
        <v>15.9</v>
      </c>
      <c r="AI167">
        <v>14.9</v>
      </c>
      <c r="AJ167">
        <v>14.266666669999999</v>
      </c>
      <c r="AK167">
        <v>13</v>
      </c>
      <c r="AL167">
        <v>13.9</v>
      </c>
      <c r="AM167">
        <v>14.4</v>
      </c>
      <c r="AN167">
        <v>13.766666669999999</v>
      </c>
      <c r="AO167">
        <v>14.266666669999999</v>
      </c>
      <c r="AP167">
        <v>11</v>
      </c>
      <c r="AQ167">
        <v>8.1</v>
      </c>
      <c r="AR167">
        <v>8.5</v>
      </c>
      <c r="AS167">
        <v>9.1999999999999993</v>
      </c>
      <c r="AT167">
        <v>8.1</v>
      </c>
      <c r="AU167">
        <v>8.5</v>
      </c>
      <c r="AV167">
        <v>11.5</v>
      </c>
      <c r="AW167">
        <v>9.3666666670000005</v>
      </c>
      <c r="AX167">
        <v>9.1999999999999993</v>
      </c>
      <c r="AY167">
        <v>-7.0333333329999999</v>
      </c>
      <c r="AZ167">
        <v>5</v>
      </c>
      <c r="BA167">
        <v>85</v>
      </c>
      <c r="BB167">
        <v>1</v>
      </c>
      <c r="BC167">
        <v>20</v>
      </c>
      <c r="BD167">
        <v>0</v>
      </c>
      <c r="BE167">
        <v>1</v>
      </c>
      <c r="BF167">
        <v>0</v>
      </c>
      <c r="BG167">
        <v>0</v>
      </c>
      <c r="BI167">
        <v>12.2</v>
      </c>
      <c r="BJ167">
        <v>42.4</v>
      </c>
      <c r="BK167">
        <v>0</v>
      </c>
      <c r="BL167">
        <v>4</v>
      </c>
      <c r="BM167">
        <v>4</v>
      </c>
      <c r="BN167">
        <v>171</v>
      </c>
      <c r="BO167">
        <v>406</v>
      </c>
      <c r="BP167">
        <v>-235</v>
      </c>
      <c r="BQ167">
        <v>456</v>
      </c>
      <c r="BR167">
        <v>-285</v>
      </c>
      <c r="BS167">
        <v>7.2670454549999999</v>
      </c>
      <c r="BT167">
        <v>0.33901825800000002</v>
      </c>
      <c r="BU167">
        <v>3.8525754600000002</v>
      </c>
      <c r="BV167">
        <v>7.2670454549999999</v>
      </c>
      <c r="BW167">
        <v>-0.33901825800000002</v>
      </c>
      <c r="BX167">
        <v>3.8525754600000002</v>
      </c>
      <c r="BY167">
        <v>105.6198993</v>
      </c>
      <c r="BZ167">
        <v>0.229866759</v>
      </c>
      <c r="CA167">
        <v>29.684675349999999</v>
      </c>
      <c r="CB167">
        <v>105.6198993</v>
      </c>
      <c r="CC167">
        <v>0.229866759</v>
      </c>
      <c r="CD167">
        <v>29.684675349999999</v>
      </c>
      <c r="CE167">
        <v>0.10782364999999999</v>
      </c>
      <c r="CF167">
        <v>2.3251879E-2</v>
      </c>
      <c r="CG167">
        <v>7.1882432999999996E-2</v>
      </c>
      <c r="CH167">
        <v>4.8446969700000002</v>
      </c>
      <c r="CI167">
        <v>0.22601217200000001</v>
      </c>
      <c r="CJ167">
        <v>2.56838364</v>
      </c>
      <c r="CK167">
        <v>7.1882432999999996E-2</v>
      </c>
      <c r="CL167">
        <v>4.8446969700000002</v>
      </c>
      <c r="CM167">
        <v>-0.22601217200000001</v>
      </c>
      <c r="CN167">
        <v>2.56838364</v>
      </c>
      <c r="CO167">
        <v>1.5501253E-2</v>
      </c>
      <c r="CP167">
        <v>70.413266190000002</v>
      </c>
      <c r="CQ167">
        <v>0.153244506</v>
      </c>
      <c r="CR167">
        <v>19.789783570000001</v>
      </c>
      <c r="CS167">
        <v>1.5501253E-2</v>
      </c>
      <c r="CT167">
        <v>70.413266190000002</v>
      </c>
      <c r="CU167">
        <v>0.153244506</v>
      </c>
      <c r="CV167">
        <v>19.789783570000001</v>
      </c>
      <c r="CW167">
        <v>0.10782364999999999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1</v>
      </c>
      <c r="DM167">
        <v>0</v>
      </c>
      <c r="DN167">
        <v>0</v>
      </c>
      <c r="DO167">
        <v>0</v>
      </c>
      <c r="DP167">
        <v>2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0.636514168294813</v>
      </c>
    </row>
    <row r="168" spans="1:134" x14ac:dyDescent="0.25">
      <c r="A168" t="s">
        <v>81</v>
      </c>
      <c r="B168">
        <v>6</v>
      </c>
      <c r="C168" t="s">
        <v>17</v>
      </c>
      <c r="D168" t="s">
        <v>94</v>
      </c>
      <c r="E168" t="s">
        <v>105</v>
      </c>
      <c r="F168" t="s">
        <v>145</v>
      </c>
      <c r="G168" t="s">
        <v>266</v>
      </c>
      <c r="H168" t="s">
        <v>759</v>
      </c>
      <c r="I168" t="s">
        <v>734</v>
      </c>
      <c r="J168" t="s">
        <v>442</v>
      </c>
      <c r="K168">
        <v>6</v>
      </c>
      <c r="L168">
        <v>30</v>
      </c>
      <c r="M168">
        <v>40</v>
      </c>
      <c r="N168">
        <v>30</v>
      </c>
      <c r="O168">
        <v>-10</v>
      </c>
      <c r="P168">
        <v>55</v>
      </c>
      <c r="Q168">
        <v>55</v>
      </c>
      <c r="R168">
        <v>55</v>
      </c>
      <c r="S168">
        <v>55</v>
      </c>
      <c r="T168">
        <v>1.8333333329999999</v>
      </c>
      <c r="V168" t="s">
        <v>113</v>
      </c>
      <c r="W168">
        <v>60</v>
      </c>
      <c r="X168">
        <v>13.9</v>
      </c>
      <c r="Y168">
        <v>14.4</v>
      </c>
      <c r="Z168">
        <v>14.9</v>
      </c>
      <c r="AA168">
        <v>14.4</v>
      </c>
      <c r="AB168">
        <v>14.4</v>
      </c>
      <c r="AC168">
        <v>11</v>
      </c>
      <c r="AD168">
        <v>11.5</v>
      </c>
      <c r="AE168">
        <v>12</v>
      </c>
      <c r="AF168">
        <v>11.5</v>
      </c>
      <c r="AG168">
        <v>13.9</v>
      </c>
      <c r="AH168">
        <v>13.9</v>
      </c>
      <c r="AI168">
        <v>14.9</v>
      </c>
      <c r="AJ168">
        <v>14.233333330000001</v>
      </c>
      <c r="AK168">
        <v>10</v>
      </c>
      <c r="AL168">
        <v>12</v>
      </c>
      <c r="AM168">
        <v>9.5</v>
      </c>
      <c r="AN168">
        <v>10.5</v>
      </c>
      <c r="AO168">
        <v>14.233333330000001</v>
      </c>
      <c r="AP168">
        <v>8.5</v>
      </c>
      <c r="AQ168">
        <v>6.6</v>
      </c>
      <c r="AR168">
        <v>8.1</v>
      </c>
      <c r="AS168">
        <v>7.733333333</v>
      </c>
      <c r="AT168">
        <v>6.6</v>
      </c>
      <c r="AU168">
        <v>6.1</v>
      </c>
      <c r="AV168">
        <v>7.1</v>
      </c>
      <c r="AW168">
        <v>6.6</v>
      </c>
      <c r="AX168">
        <v>7.733333333</v>
      </c>
      <c r="AY168">
        <v>-6.6666666670000003</v>
      </c>
      <c r="AZ168">
        <v>8</v>
      </c>
      <c r="BA168">
        <v>80</v>
      </c>
      <c r="BB168">
        <v>3</v>
      </c>
      <c r="BC168">
        <v>10</v>
      </c>
      <c r="BD168">
        <v>0</v>
      </c>
      <c r="BE168">
        <v>1</v>
      </c>
      <c r="BF168">
        <v>0</v>
      </c>
      <c r="BG168">
        <v>0</v>
      </c>
      <c r="BI168">
        <v>10.6</v>
      </c>
      <c r="BJ168">
        <v>1.0569999999999999</v>
      </c>
      <c r="BK168">
        <v>0</v>
      </c>
      <c r="BL168">
        <v>5</v>
      </c>
      <c r="BM168">
        <v>4</v>
      </c>
      <c r="BN168">
        <v>104</v>
      </c>
      <c r="BO168">
        <v>199.5</v>
      </c>
      <c r="BP168">
        <v>-95.5</v>
      </c>
      <c r="BQ168">
        <v>333</v>
      </c>
      <c r="BR168">
        <v>-229</v>
      </c>
      <c r="BS168">
        <v>16.257575760000002</v>
      </c>
      <c r="BT168">
        <v>0.31284321999999998</v>
      </c>
      <c r="BU168">
        <v>25.327255940000001</v>
      </c>
      <c r="BV168">
        <v>-16.257575760000002</v>
      </c>
      <c r="BW168">
        <v>-0.31284321999999998</v>
      </c>
      <c r="BX168">
        <v>25.327255940000001</v>
      </c>
      <c r="BY168" t="s">
        <v>114</v>
      </c>
      <c r="BZ168" t="s">
        <v>114</v>
      </c>
      <c r="CA168" t="s">
        <v>114</v>
      </c>
      <c r="CB168" t="s">
        <v>114</v>
      </c>
      <c r="CC168" t="s">
        <v>114</v>
      </c>
      <c r="CD168" t="s">
        <v>114</v>
      </c>
      <c r="CE168">
        <v>1.8820212999999999</v>
      </c>
      <c r="CF168" t="s">
        <v>114</v>
      </c>
      <c r="CG168">
        <v>1.8820212999999999</v>
      </c>
      <c r="CH168">
        <v>16.257575760000002</v>
      </c>
      <c r="CI168">
        <v>0.31284321999999998</v>
      </c>
      <c r="CJ168">
        <v>25.327255940000001</v>
      </c>
      <c r="CK168">
        <v>1.8820212999999999</v>
      </c>
      <c r="CL168">
        <v>-16.257575760000002</v>
      </c>
      <c r="CM168">
        <v>-0.31284321999999998</v>
      </c>
      <c r="CN168">
        <v>25.327255940000001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1.8820212999999999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6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</row>
    <row r="169" spans="1:134" x14ac:dyDescent="0.25">
      <c r="A169" t="s">
        <v>81</v>
      </c>
      <c r="B169">
        <v>6</v>
      </c>
      <c r="C169" t="s">
        <v>17</v>
      </c>
      <c r="D169" t="s">
        <v>94</v>
      </c>
      <c r="E169" t="s">
        <v>113</v>
      </c>
      <c r="F169" t="s">
        <v>145</v>
      </c>
      <c r="G169" t="s">
        <v>259</v>
      </c>
      <c r="H169" t="s">
        <v>763</v>
      </c>
      <c r="I169" t="s">
        <v>735</v>
      </c>
      <c r="J169" t="s">
        <v>443</v>
      </c>
      <c r="K169">
        <v>6</v>
      </c>
      <c r="L169">
        <v>70</v>
      </c>
      <c r="M169">
        <v>110</v>
      </c>
      <c r="N169">
        <v>70</v>
      </c>
      <c r="O169">
        <v>-40</v>
      </c>
      <c r="P169">
        <v>5</v>
      </c>
      <c r="Q169">
        <v>25</v>
      </c>
      <c r="R169">
        <v>15</v>
      </c>
      <c r="S169">
        <v>20</v>
      </c>
      <c r="T169">
        <v>0.28571428599999998</v>
      </c>
      <c r="V169" t="s">
        <v>113</v>
      </c>
      <c r="W169">
        <v>80</v>
      </c>
      <c r="X169">
        <v>13.9</v>
      </c>
      <c r="Y169">
        <v>14.4</v>
      </c>
      <c r="Z169">
        <v>14.9</v>
      </c>
      <c r="AA169">
        <v>14.4</v>
      </c>
      <c r="AB169">
        <v>14.4</v>
      </c>
      <c r="AC169">
        <v>14.4</v>
      </c>
      <c r="AD169">
        <v>14.9</v>
      </c>
      <c r="AE169">
        <v>12.5</v>
      </c>
      <c r="AF169">
        <v>13.93333333</v>
      </c>
      <c r="AG169">
        <v>13.9</v>
      </c>
      <c r="AH169">
        <v>13.9</v>
      </c>
      <c r="AI169">
        <v>14.9</v>
      </c>
      <c r="AJ169">
        <v>14.233333330000001</v>
      </c>
      <c r="AK169">
        <v>11.5</v>
      </c>
      <c r="AL169">
        <v>13.9</v>
      </c>
      <c r="AM169">
        <v>13.9</v>
      </c>
      <c r="AN169">
        <v>13.1</v>
      </c>
      <c r="AO169">
        <v>14.233333330000001</v>
      </c>
      <c r="AP169">
        <v>8.5</v>
      </c>
      <c r="AQ169">
        <v>6.6</v>
      </c>
      <c r="AR169">
        <v>8.1</v>
      </c>
      <c r="AS169">
        <v>7.733333333</v>
      </c>
      <c r="AT169">
        <v>7.6</v>
      </c>
      <c r="AU169">
        <v>7.6</v>
      </c>
      <c r="AV169">
        <v>8.5</v>
      </c>
      <c r="AW169">
        <v>7.9</v>
      </c>
      <c r="AX169">
        <v>7.733333333</v>
      </c>
      <c r="AY169">
        <v>-6.6666666670000003</v>
      </c>
      <c r="AZ169">
        <v>8</v>
      </c>
      <c r="BA169">
        <v>80</v>
      </c>
      <c r="BB169">
        <v>3</v>
      </c>
      <c r="BC169">
        <v>10</v>
      </c>
      <c r="BD169">
        <v>0</v>
      </c>
      <c r="BE169">
        <v>1</v>
      </c>
      <c r="BF169">
        <v>0</v>
      </c>
      <c r="BG169">
        <v>0</v>
      </c>
      <c r="BI169">
        <v>10.6</v>
      </c>
      <c r="BJ169">
        <v>1.0569999999999999</v>
      </c>
      <c r="BK169">
        <v>0</v>
      </c>
      <c r="BL169">
        <v>4</v>
      </c>
      <c r="BM169">
        <v>4</v>
      </c>
      <c r="BN169">
        <v>8</v>
      </c>
      <c r="BO169">
        <v>2</v>
      </c>
      <c r="BP169">
        <v>6</v>
      </c>
      <c r="BQ169">
        <v>1</v>
      </c>
      <c r="BR169">
        <v>7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 t="s">
        <v>114</v>
      </c>
      <c r="BZ169" t="s">
        <v>114</v>
      </c>
      <c r="CA169" t="s">
        <v>114</v>
      </c>
      <c r="CB169" t="s">
        <v>114</v>
      </c>
      <c r="CC169" t="s">
        <v>114</v>
      </c>
      <c r="CD169" t="s">
        <v>114</v>
      </c>
      <c r="CE169">
        <v>0</v>
      </c>
      <c r="CF169" t="s">
        <v>114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6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</row>
    <row r="170" spans="1:134" x14ac:dyDescent="0.25">
      <c r="A170" t="s">
        <v>81</v>
      </c>
      <c r="B170">
        <v>6</v>
      </c>
      <c r="C170" t="s">
        <v>17</v>
      </c>
      <c r="D170" t="s">
        <v>94</v>
      </c>
      <c r="E170" t="s">
        <v>103</v>
      </c>
      <c r="F170" t="s">
        <v>145</v>
      </c>
      <c r="G170" t="s">
        <v>260</v>
      </c>
      <c r="H170" t="s">
        <v>771</v>
      </c>
      <c r="I170" t="s">
        <v>736</v>
      </c>
      <c r="J170" t="s">
        <v>444</v>
      </c>
      <c r="K170">
        <v>6</v>
      </c>
      <c r="L170">
        <v>100</v>
      </c>
      <c r="M170">
        <v>50</v>
      </c>
      <c r="N170">
        <v>100</v>
      </c>
      <c r="O170">
        <v>50</v>
      </c>
      <c r="P170">
        <v>30</v>
      </c>
      <c r="Q170">
        <v>15</v>
      </c>
      <c r="R170">
        <v>10</v>
      </c>
      <c r="S170">
        <v>12.5</v>
      </c>
      <c r="T170">
        <v>0.125</v>
      </c>
      <c r="V170" t="s">
        <v>113</v>
      </c>
      <c r="W170">
        <v>70</v>
      </c>
      <c r="X170">
        <v>13.9</v>
      </c>
      <c r="Y170">
        <v>14.4</v>
      </c>
      <c r="Z170">
        <v>14.9</v>
      </c>
      <c r="AA170">
        <v>14.4</v>
      </c>
      <c r="AB170">
        <v>14.4</v>
      </c>
      <c r="AC170">
        <v>14.4</v>
      </c>
      <c r="AD170">
        <v>14.9</v>
      </c>
      <c r="AE170">
        <v>14.9</v>
      </c>
      <c r="AF170">
        <v>14.733333330000001</v>
      </c>
      <c r="AG170">
        <v>13.9</v>
      </c>
      <c r="AH170">
        <v>13.9</v>
      </c>
      <c r="AI170">
        <v>14.9</v>
      </c>
      <c r="AJ170">
        <v>14.233333330000001</v>
      </c>
      <c r="AK170">
        <v>13.5</v>
      </c>
      <c r="AL170">
        <v>13.5</v>
      </c>
      <c r="AM170">
        <v>13.9</v>
      </c>
      <c r="AN170">
        <v>13.633333329999999</v>
      </c>
      <c r="AO170">
        <v>14.233333330000001</v>
      </c>
      <c r="AP170">
        <v>8.5</v>
      </c>
      <c r="AQ170">
        <v>6.6</v>
      </c>
      <c r="AR170">
        <v>8.1</v>
      </c>
      <c r="AS170">
        <v>7.733333333</v>
      </c>
      <c r="AT170">
        <v>7.6</v>
      </c>
      <c r="AU170">
        <v>7.6</v>
      </c>
      <c r="AV170">
        <v>8.1</v>
      </c>
      <c r="AW170">
        <v>7.766666667</v>
      </c>
      <c r="AX170">
        <v>7.733333333</v>
      </c>
      <c r="AY170">
        <v>-6.6666666670000003</v>
      </c>
      <c r="AZ170">
        <v>8</v>
      </c>
      <c r="BA170">
        <v>80</v>
      </c>
      <c r="BB170">
        <v>3</v>
      </c>
      <c r="BC170">
        <v>10</v>
      </c>
      <c r="BD170">
        <v>0</v>
      </c>
      <c r="BE170">
        <v>1</v>
      </c>
      <c r="BF170">
        <v>0</v>
      </c>
      <c r="BG170">
        <v>0</v>
      </c>
      <c r="BI170">
        <v>10.6</v>
      </c>
      <c r="BJ170">
        <v>1.0569999999999999</v>
      </c>
      <c r="BK170">
        <v>0</v>
      </c>
      <c r="BL170">
        <v>2</v>
      </c>
      <c r="BM170">
        <v>2</v>
      </c>
      <c r="BN170">
        <v>122</v>
      </c>
      <c r="BO170">
        <v>828</v>
      </c>
      <c r="BP170">
        <v>-706</v>
      </c>
      <c r="BQ170">
        <v>273</v>
      </c>
      <c r="BR170">
        <v>-151</v>
      </c>
      <c r="BS170">
        <v>7.2670454549999999</v>
      </c>
      <c r="BT170">
        <v>0.33901825800000002</v>
      </c>
      <c r="BU170">
        <v>3.8525754600000002</v>
      </c>
      <c r="BV170">
        <v>7.2670454549999999</v>
      </c>
      <c r="BW170">
        <v>-0.33901825800000002</v>
      </c>
      <c r="BX170">
        <v>3.8525754600000002</v>
      </c>
      <c r="BY170">
        <v>105.6198993</v>
      </c>
      <c r="BZ170">
        <v>0.229866759</v>
      </c>
      <c r="CA170">
        <v>29.684675349999999</v>
      </c>
      <c r="CB170">
        <v>105.6198993</v>
      </c>
      <c r="CC170">
        <v>0.229866759</v>
      </c>
      <c r="CD170">
        <v>29.684675349999999</v>
      </c>
      <c r="CE170">
        <v>0.10782364999999999</v>
      </c>
      <c r="CF170">
        <v>2.3251879E-2</v>
      </c>
      <c r="CG170">
        <v>0.17970608299999999</v>
      </c>
      <c r="CH170">
        <v>12.11174243</v>
      </c>
      <c r="CI170">
        <v>0.56503042999999997</v>
      </c>
      <c r="CJ170">
        <v>6.4209591000000001</v>
      </c>
      <c r="CK170">
        <v>0.17970608299999999</v>
      </c>
      <c r="CL170">
        <v>12.11174243</v>
      </c>
      <c r="CM170">
        <v>-0.56503042999999997</v>
      </c>
      <c r="CN170">
        <v>6.4209591000000001</v>
      </c>
      <c r="CO170">
        <v>7.750626E-3</v>
      </c>
      <c r="CP170">
        <v>35.206633099999998</v>
      </c>
      <c r="CQ170">
        <v>7.6622253000000001E-2</v>
      </c>
      <c r="CR170">
        <v>9.8948917830000003</v>
      </c>
      <c r="CS170">
        <v>7.750626E-3</v>
      </c>
      <c r="CT170">
        <v>35.206633099999998</v>
      </c>
      <c r="CU170">
        <v>7.6622253000000001E-2</v>
      </c>
      <c r="CV170">
        <v>9.8948917830000003</v>
      </c>
      <c r="CW170">
        <v>0.10782364999999999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5</v>
      </c>
      <c r="DM170">
        <v>0</v>
      </c>
      <c r="DN170">
        <v>0</v>
      </c>
      <c r="DO170">
        <v>0</v>
      </c>
      <c r="DP170">
        <v>1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0.45056120886630502</v>
      </c>
    </row>
    <row r="171" spans="1:134" x14ac:dyDescent="0.25">
      <c r="A171" t="s">
        <v>82</v>
      </c>
      <c r="B171">
        <v>6</v>
      </c>
      <c r="C171" t="s">
        <v>19</v>
      </c>
      <c r="D171" t="s">
        <v>94</v>
      </c>
      <c r="E171" t="s">
        <v>102</v>
      </c>
      <c r="F171" t="s">
        <v>145</v>
      </c>
      <c r="G171" t="s">
        <v>265</v>
      </c>
      <c r="H171" t="s">
        <v>755</v>
      </c>
      <c r="I171" t="s">
        <v>737</v>
      </c>
      <c r="J171" t="s">
        <v>445</v>
      </c>
      <c r="K171">
        <v>1</v>
      </c>
      <c r="L171">
        <v>90</v>
      </c>
      <c r="M171">
        <v>70</v>
      </c>
      <c r="N171">
        <v>90</v>
      </c>
      <c r="O171">
        <v>20</v>
      </c>
      <c r="P171">
        <v>110</v>
      </c>
      <c r="Q171">
        <v>110</v>
      </c>
      <c r="R171">
        <v>55</v>
      </c>
      <c r="S171">
        <v>82.5</v>
      </c>
      <c r="T171">
        <v>0.91666666699999999</v>
      </c>
      <c r="V171" t="s">
        <v>102</v>
      </c>
      <c r="W171">
        <v>90</v>
      </c>
      <c r="X171">
        <v>13</v>
      </c>
      <c r="Y171">
        <v>13.5</v>
      </c>
      <c r="Z171">
        <v>13.9</v>
      </c>
      <c r="AA171">
        <v>13.46666667</v>
      </c>
      <c r="AB171">
        <v>13.46666667</v>
      </c>
      <c r="AC171">
        <v>16.899999999999999</v>
      </c>
      <c r="AD171">
        <v>11.9</v>
      </c>
      <c r="AE171">
        <v>14.9</v>
      </c>
      <c r="AF171">
        <v>14.56666667</v>
      </c>
      <c r="AG171">
        <v>13</v>
      </c>
      <c r="AH171">
        <v>13.5</v>
      </c>
      <c r="AI171">
        <v>14.4</v>
      </c>
      <c r="AJ171">
        <v>13.633333329999999</v>
      </c>
      <c r="AK171">
        <v>13.9</v>
      </c>
      <c r="AL171">
        <v>16.899999999999999</v>
      </c>
      <c r="AM171">
        <v>11.5</v>
      </c>
      <c r="AN171">
        <v>14.1</v>
      </c>
      <c r="AO171">
        <v>13.633333329999999</v>
      </c>
      <c r="AP171">
        <v>8.5</v>
      </c>
      <c r="AQ171">
        <v>8.1</v>
      </c>
      <c r="AR171">
        <v>6.6</v>
      </c>
      <c r="AS171">
        <v>7.733333333</v>
      </c>
      <c r="AT171">
        <v>6.6</v>
      </c>
      <c r="AU171">
        <v>7.1</v>
      </c>
      <c r="AV171">
        <v>7.1</v>
      </c>
      <c r="AW171">
        <v>6.9333333330000002</v>
      </c>
      <c r="AX171">
        <v>7.733333333</v>
      </c>
      <c r="AY171">
        <v>-5.733333333</v>
      </c>
      <c r="AZ171">
        <v>10</v>
      </c>
      <c r="BA171">
        <v>55</v>
      </c>
      <c r="BB171">
        <v>10</v>
      </c>
      <c r="BC171">
        <v>1</v>
      </c>
      <c r="BD171">
        <v>0</v>
      </c>
      <c r="BE171">
        <v>1</v>
      </c>
      <c r="BF171">
        <v>0</v>
      </c>
      <c r="BG171">
        <v>0</v>
      </c>
      <c r="BI171">
        <v>9.3000000000000007</v>
      </c>
      <c r="BJ171">
        <v>0</v>
      </c>
      <c r="BK171">
        <v>0</v>
      </c>
      <c r="BL171">
        <v>18</v>
      </c>
      <c r="BM171">
        <v>18</v>
      </c>
      <c r="BN171">
        <v>765</v>
      </c>
      <c r="BO171">
        <v>824</v>
      </c>
      <c r="BP171">
        <v>-59</v>
      </c>
      <c r="BQ171">
        <v>618</v>
      </c>
      <c r="BR171">
        <v>147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 t="s">
        <v>114</v>
      </c>
      <c r="BZ171" t="s">
        <v>114</v>
      </c>
      <c r="CA171" t="s">
        <v>114</v>
      </c>
      <c r="CB171" t="s">
        <v>114</v>
      </c>
      <c r="CC171" t="s">
        <v>114</v>
      </c>
      <c r="CD171" t="s">
        <v>114</v>
      </c>
      <c r="CE171">
        <v>0</v>
      </c>
      <c r="CF171" t="s">
        <v>114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 t="s">
        <v>114</v>
      </c>
      <c r="CP171" t="s">
        <v>114</v>
      </c>
      <c r="CQ171" t="s">
        <v>114</v>
      </c>
      <c r="CR171" t="s">
        <v>114</v>
      </c>
      <c r="CS171" t="s">
        <v>114</v>
      </c>
      <c r="CT171" t="s">
        <v>114</v>
      </c>
      <c r="CU171" t="s">
        <v>114</v>
      </c>
      <c r="CV171" t="s">
        <v>114</v>
      </c>
      <c r="CW171">
        <v>0</v>
      </c>
      <c r="CX171">
        <v>1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</row>
    <row r="172" spans="1:134" x14ac:dyDescent="0.25">
      <c r="A172" t="s">
        <v>82</v>
      </c>
      <c r="B172">
        <v>6</v>
      </c>
      <c r="C172" t="s">
        <v>19</v>
      </c>
      <c r="D172" t="s">
        <v>94</v>
      </c>
      <c r="E172" t="s">
        <v>113</v>
      </c>
      <c r="F172" t="s">
        <v>145</v>
      </c>
      <c r="G172" t="s">
        <v>259</v>
      </c>
      <c r="H172" t="s">
        <v>763</v>
      </c>
      <c r="I172" t="s">
        <v>735</v>
      </c>
      <c r="J172" t="s">
        <v>446</v>
      </c>
      <c r="K172">
        <v>7</v>
      </c>
      <c r="L172">
        <v>90</v>
      </c>
      <c r="M172">
        <v>40</v>
      </c>
      <c r="N172">
        <v>90</v>
      </c>
      <c r="O172">
        <v>50</v>
      </c>
      <c r="P172">
        <v>3</v>
      </c>
      <c r="Q172">
        <v>4</v>
      </c>
      <c r="R172">
        <v>2</v>
      </c>
      <c r="S172">
        <v>3</v>
      </c>
      <c r="T172">
        <v>3.3333333E-2</v>
      </c>
      <c r="V172" t="s">
        <v>113</v>
      </c>
      <c r="W172">
        <v>120</v>
      </c>
      <c r="X172">
        <v>13</v>
      </c>
      <c r="Y172">
        <v>13.5</v>
      </c>
      <c r="Z172">
        <v>13.9</v>
      </c>
      <c r="AA172">
        <v>13.46666667</v>
      </c>
      <c r="AB172">
        <v>13.46666667</v>
      </c>
      <c r="AC172">
        <v>11.5</v>
      </c>
      <c r="AD172">
        <v>15.4</v>
      </c>
      <c r="AE172">
        <v>14.9</v>
      </c>
      <c r="AF172">
        <v>13.93333333</v>
      </c>
      <c r="AG172">
        <v>13</v>
      </c>
      <c r="AH172">
        <v>13.5</v>
      </c>
      <c r="AI172">
        <v>14.4</v>
      </c>
      <c r="AJ172">
        <v>13.633333329999999</v>
      </c>
      <c r="AK172">
        <v>11.5</v>
      </c>
      <c r="AL172">
        <v>12</v>
      </c>
      <c r="AM172">
        <v>13</v>
      </c>
      <c r="AN172">
        <v>12.16666667</v>
      </c>
      <c r="AO172">
        <v>13.633333329999999</v>
      </c>
      <c r="AP172">
        <v>8.5</v>
      </c>
      <c r="AQ172">
        <v>8.1</v>
      </c>
      <c r="AR172">
        <v>6.6</v>
      </c>
      <c r="AS172">
        <v>7.733333333</v>
      </c>
      <c r="AT172">
        <v>4.5999999999999996</v>
      </c>
      <c r="AU172">
        <v>5.0999999999999996</v>
      </c>
      <c r="AV172">
        <v>6.6</v>
      </c>
      <c r="AW172">
        <v>5.4333333330000002</v>
      </c>
      <c r="AX172">
        <v>7.733333333</v>
      </c>
      <c r="AY172">
        <v>-5.733333333</v>
      </c>
      <c r="AZ172">
        <v>10</v>
      </c>
      <c r="BA172">
        <v>55</v>
      </c>
      <c r="BB172">
        <v>10</v>
      </c>
      <c r="BC172">
        <v>1</v>
      </c>
      <c r="BD172">
        <v>0</v>
      </c>
      <c r="BE172">
        <v>1</v>
      </c>
      <c r="BF172">
        <v>0</v>
      </c>
      <c r="BG172">
        <v>0</v>
      </c>
      <c r="BI172">
        <v>9.3000000000000007</v>
      </c>
      <c r="BJ172">
        <v>0</v>
      </c>
      <c r="BK172">
        <v>0</v>
      </c>
      <c r="BL172">
        <v>4</v>
      </c>
      <c r="BM172">
        <v>1</v>
      </c>
      <c r="BN172">
        <v>0</v>
      </c>
      <c r="BO172">
        <v>2</v>
      </c>
      <c r="BP172">
        <v>-2</v>
      </c>
      <c r="BQ172">
        <v>3</v>
      </c>
      <c r="BR172">
        <v>-3</v>
      </c>
      <c r="BS172">
        <v>15.95265152</v>
      </c>
      <c r="BT172">
        <v>1.6252476</v>
      </c>
      <c r="BU172">
        <v>4.9933342679999999</v>
      </c>
      <c r="BV172">
        <v>-15.95265152</v>
      </c>
      <c r="BW172">
        <v>-1.1887248969999999</v>
      </c>
      <c r="BX172">
        <v>-4.9933342679999999</v>
      </c>
      <c r="BY172">
        <v>156.73075929999999</v>
      </c>
      <c r="BZ172">
        <v>7.2019359319999996</v>
      </c>
      <c r="CA172">
        <v>13.52663607</v>
      </c>
      <c r="CB172">
        <v>156.73075929999999</v>
      </c>
      <c r="CC172">
        <v>8.8397531049999998</v>
      </c>
      <c r="CD172">
        <v>13.52663607</v>
      </c>
      <c r="CE172" t="s">
        <v>114</v>
      </c>
      <c r="CF172" t="s">
        <v>114</v>
      </c>
      <c r="CG172" t="s">
        <v>114</v>
      </c>
      <c r="CH172">
        <v>9.1158008699999993</v>
      </c>
      <c r="CI172">
        <v>0.928712914</v>
      </c>
      <c r="CJ172">
        <v>2.8533338669999999</v>
      </c>
      <c r="CK172" t="s">
        <v>114</v>
      </c>
      <c r="CL172">
        <v>-9.1158008699999993</v>
      </c>
      <c r="CM172">
        <v>-0.67927137000000004</v>
      </c>
      <c r="CN172">
        <v>-2.8533338669999999</v>
      </c>
      <c r="CO172" t="s">
        <v>114</v>
      </c>
      <c r="CP172">
        <v>151.07597699999999</v>
      </c>
      <c r="CQ172">
        <v>4.3556621839999998</v>
      </c>
      <c r="CR172">
        <v>13.887142920000001</v>
      </c>
      <c r="CS172" t="s">
        <v>114</v>
      </c>
      <c r="CT172">
        <v>151.07597699999999</v>
      </c>
      <c r="CU172">
        <v>4.8236099469999996</v>
      </c>
      <c r="CV172">
        <v>13.887142920000001</v>
      </c>
      <c r="CW172" t="s">
        <v>114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1</v>
      </c>
      <c r="DI172">
        <v>0</v>
      </c>
      <c r="DJ172">
        <v>0</v>
      </c>
      <c r="DK172">
        <v>0</v>
      </c>
      <c r="DL172">
        <v>4</v>
      </c>
      <c r="DM172">
        <v>0</v>
      </c>
      <c r="DN172">
        <v>0</v>
      </c>
      <c r="DO172">
        <v>0</v>
      </c>
      <c r="DP172">
        <v>1</v>
      </c>
      <c r="DQ172">
        <v>0</v>
      </c>
      <c r="DR172">
        <v>1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1.15374194270109</v>
      </c>
    </row>
    <row r="173" spans="1:134" x14ac:dyDescent="0.25">
      <c r="A173" t="s">
        <v>82</v>
      </c>
      <c r="B173">
        <v>6</v>
      </c>
      <c r="C173" t="s">
        <v>19</v>
      </c>
      <c r="D173" t="s">
        <v>94</v>
      </c>
      <c r="E173" t="s">
        <v>104</v>
      </c>
      <c r="F173" t="s">
        <v>145</v>
      </c>
      <c r="G173" t="s">
        <v>264</v>
      </c>
      <c r="H173" t="s">
        <v>779</v>
      </c>
      <c r="I173" t="s">
        <v>738</v>
      </c>
      <c r="J173" t="s">
        <v>447</v>
      </c>
      <c r="K173">
        <v>3</v>
      </c>
      <c r="L173">
        <v>50</v>
      </c>
      <c r="M173">
        <v>80</v>
      </c>
      <c r="N173">
        <v>50</v>
      </c>
      <c r="O173">
        <v>-30</v>
      </c>
      <c r="P173">
        <v>16</v>
      </c>
      <c r="Q173">
        <v>10</v>
      </c>
      <c r="R173">
        <v>10</v>
      </c>
      <c r="S173">
        <v>10</v>
      </c>
      <c r="T173">
        <v>0.2</v>
      </c>
      <c r="V173" t="s">
        <v>113</v>
      </c>
      <c r="W173">
        <v>20</v>
      </c>
      <c r="X173">
        <v>13</v>
      </c>
      <c r="Y173">
        <v>13.5</v>
      </c>
      <c r="Z173">
        <v>13.9</v>
      </c>
      <c r="AA173">
        <v>13.46666667</v>
      </c>
      <c r="AB173">
        <v>13.46666667</v>
      </c>
      <c r="AC173">
        <v>10</v>
      </c>
      <c r="AD173">
        <v>11.5</v>
      </c>
      <c r="AE173">
        <v>13.5</v>
      </c>
      <c r="AF173">
        <v>11.66666667</v>
      </c>
      <c r="AG173">
        <v>13</v>
      </c>
      <c r="AH173">
        <v>13.5</v>
      </c>
      <c r="AI173">
        <v>14.4</v>
      </c>
      <c r="AJ173">
        <v>13.633333329999999</v>
      </c>
      <c r="AK173">
        <v>13</v>
      </c>
      <c r="AL173">
        <v>9</v>
      </c>
      <c r="AM173">
        <v>13</v>
      </c>
      <c r="AN173">
        <v>11.66666667</v>
      </c>
      <c r="AO173">
        <v>13.633333329999999</v>
      </c>
      <c r="AP173">
        <v>8.5</v>
      </c>
      <c r="AQ173">
        <v>8.1</v>
      </c>
      <c r="AR173">
        <v>6.6</v>
      </c>
      <c r="AS173">
        <v>7.733333333</v>
      </c>
      <c r="AT173">
        <v>3.1</v>
      </c>
      <c r="AU173">
        <v>5.0999999999999996</v>
      </c>
      <c r="AV173">
        <v>6.1</v>
      </c>
      <c r="AW173">
        <v>4.766666667</v>
      </c>
      <c r="AX173">
        <v>7.733333333</v>
      </c>
      <c r="AY173">
        <v>-5.733333333</v>
      </c>
      <c r="AZ173">
        <v>10</v>
      </c>
      <c r="BA173">
        <v>55</v>
      </c>
      <c r="BB173">
        <v>10</v>
      </c>
      <c r="BC173">
        <v>1</v>
      </c>
      <c r="BD173">
        <v>0</v>
      </c>
      <c r="BE173">
        <v>1</v>
      </c>
      <c r="BF173">
        <v>0</v>
      </c>
      <c r="BG173">
        <v>0</v>
      </c>
      <c r="BI173">
        <v>9.3000000000000007</v>
      </c>
      <c r="BJ173">
        <v>0</v>
      </c>
      <c r="BK173">
        <v>0</v>
      </c>
      <c r="BL173">
        <v>3</v>
      </c>
      <c r="BM173">
        <v>3</v>
      </c>
      <c r="BN173">
        <v>18</v>
      </c>
      <c r="BO173">
        <v>48</v>
      </c>
      <c r="BP173">
        <v>-30</v>
      </c>
      <c r="BQ173">
        <v>48</v>
      </c>
      <c r="BR173">
        <v>-30</v>
      </c>
      <c r="BS173">
        <v>30.179924239999998</v>
      </c>
      <c r="BT173">
        <v>1.69746</v>
      </c>
      <c r="BU173">
        <v>10.76552768</v>
      </c>
      <c r="BV173">
        <v>30.179924239999998</v>
      </c>
      <c r="BW173">
        <v>1.69746</v>
      </c>
      <c r="BX173">
        <v>10.76552768</v>
      </c>
      <c r="BY173" t="s">
        <v>114</v>
      </c>
      <c r="BZ173" t="s">
        <v>114</v>
      </c>
      <c r="CA173" t="s">
        <v>114</v>
      </c>
      <c r="CB173" t="s">
        <v>114</v>
      </c>
      <c r="CC173" t="s">
        <v>114</v>
      </c>
      <c r="CD173" t="s">
        <v>114</v>
      </c>
      <c r="CE173">
        <v>0.1939082</v>
      </c>
      <c r="CF173" t="s">
        <v>114</v>
      </c>
      <c r="CG173">
        <v>0.1939082</v>
      </c>
      <c r="CH173">
        <v>30.179924239999998</v>
      </c>
      <c r="CI173">
        <v>1.69746</v>
      </c>
      <c r="CJ173">
        <v>10.76552768</v>
      </c>
      <c r="CK173">
        <v>0.1939082</v>
      </c>
      <c r="CL173">
        <v>30.179924239999998</v>
      </c>
      <c r="CM173">
        <v>1.69746</v>
      </c>
      <c r="CN173">
        <v>10.76552768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0.1939082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3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</row>
    <row r="174" spans="1:134" x14ac:dyDescent="0.25">
      <c r="A174" t="s">
        <v>83</v>
      </c>
      <c r="B174">
        <v>6</v>
      </c>
      <c r="C174" t="s">
        <v>21</v>
      </c>
      <c r="D174" t="s">
        <v>94</v>
      </c>
      <c r="E174" t="s">
        <v>102</v>
      </c>
      <c r="F174" t="s">
        <v>145</v>
      </c>
      <c r="G174" t="s">
        <v>265</v>
      </c>
      <c r="H174" t="s">
        <v>755</v>
      </c>
      <c r="I174" t="s">
        <v>737</v>
      </c>
      <c r="J174" t="s">
        <v>448</v>
      </c>
      <c r="K174">
        <v>0</v>
      </c>
      <c r="L174">
        <v>180</v>
      </c>
      <c r="M174">
        <v>150</v>
      </c>
      <c r="N174">
        <v>180</v>
      </c>
      <c r="O174">
        <v>30</v>
      </c>
      <c r="P174">
        <v>180</v>
      </c>
      <c r="Q174">
        <v>160</v>
      </c>
      <c r="R174">
        <v>110</v>
      </c>
      <c r="S174">
        <v>135</v>
      </c>
      <c r="T174">
        <v>0.75</v>
      </c>
      <c r="V174" t="s">
        <v>121</v>
      </c>
      <c r="W174" t="s">
        <v>114</v>
      </c>
      <c r="X174">
        <v>9</v>
      </c>
      <c r="Y174">
        <v>9.5</v>
      </c>
      <c r="Z174">
        <v>13.5</v>
      </c>
      <c r="AA174">
        <v>10.66666667</v>
      </c>
      <c r="AB174">
        <v>10.66666667</v>
      </c>
      <c r="AC174">
        <v>12.5</v>
      </c>
      <c r="AD174">
        <v>12.5</v>
      </c>
      <c r="AE174">
        <v>13</v>
      </c>
      <c r="AF174">
        <v>12.66666667</v>
      </c>
      <c r="AG174">
        <v>11</v>
      </c>
      <c r="AH174">
        <v>11.5</v>
      </c>
      <c r="AI174">
        <v>11.5</v>
      </c>
      <c r="AJ174">
        <v>11.33333333</v>
      </c>
      <c r="AK174">
        <v>10.5</v>
      </c>
      <c r="AL174">
        <v>13.5</v>
      </c>
      <c r="AM174">
        <v>13.5</v>
      </c>
      <c r="AN174">
        <v>12.5</v>
      </c>
      <c r="AO174">
        <v>11.33333333</v>
      </c>
      <c r="AP174">
        <v>5.6</v>
      </c>
      <c r="AQ174">
        <v>5.0999999999999996</v>
      </c>
      <c r="AR174">
        <v>4.5999999999999996</v>
      </c>
      <c r="AS174">
        <v>5.0999999999999996</v>
      </c>
      <c r="AT174">
        <v>6.6</v>
      </c>
      <c r="AU174">
        <v>6.1</v>
      </c>
      <c r="AV174">
        <v>6.6</v>
      </c>
      <c r="AW174">
        <v>6.4333333330000002</v>
      </c>
      <c r="AX174">
        <v>5.0999999999999996</v>
      </c>
      <c r="AY174">
        <v>-5.5666666669999998</v>
      </c>
      <c r="AZ174">
        <v>40</v>
      </c>
      <c r="BA174">
        <v>3</v>
      </c>
      <c r="BB174">
        <v>2</v>
      </c>
      <c r="BC174">
        <v>2</v>
      </c>
      <c r="BD174">
        <v>0</v>
      </c>
      <c r="BE174">
        <v>0</v>
      </c>
      <c r="BF174">
        <v>0</v>
      </c>
      <c r="BG174">
        <v>0</v>
      </c>
      <c r="BI174">
        <v>13.3</v>
      </c>
      <c r="BJ174">
        <v>8.8239999999999998</v>
      </c>
      <c r="BK174">
        <v>0</v>
      </c>
      <c r="BL174">
        <v>28</v>
      </c>
      <c r="BM174">
        <v>28</v>
      </c>
      <c r="BN174">
        <v>820</v>
      </c>
      <c r="BO174">
        <v>824</v>
      </c>
      <c r="BP174">
        <v>-4</v>
      </c>
      <c r="BQ174">
        <v>1030</v>
      </c>
      <c r="BR174">
        <v>-210</v>
      </c>
      <c r="BS174" t="s">
        <v>114</v>
      </c>
      <c r="BT174" t="s">
        <v>114</v>
      </c>
      <c r="BU174" t="s">
        <v>114</v>
      </c>
      <c r="BV174" t="s">
        <v>114</v>
      </c>
      <c r="BW174" t="s">
        <v>114</v>
      </c>
      <c r="BX174" t="s">
        <v>114</v>
      </c>
      <c r="BY174" t="s">
        <v>114</v>
      </c>
      <c r="BZ174" t="s">
        <v>114</v>
      </c>
      <c r="CA174" t="s">
        <v>114</v>
      </c>
      <c r="CB174" t="s">
        <v>114</v>
      </c>
      <c r="CC174" t="s">
        <v>114</v>
      </c>
      <c r="CD174" t="s">
        <v>114</v>
      </c>
      <c r="CE174" t="s">
        <v>114</v>
      </c>
      <c r="CF174" t="s">
        <v>114</v>
      </c>
      <c r="CG174" t="s">
        <v>114</v>
      </c>
      <c r="CH174" t="s">
        <v>114</v>
      </c>
      <c r="CI174" t="s">
        <v>114</v>
      </c>
      <c r="CJ174" t="s">
        <v>114</v>
      </c>
      <c r="CK174" t="s">
        <v>114</v>
      </c>
      <c r="CL174" t="s">
        <v>114</v>
      </c>
      <c r="CM174" t="s">
        <v>114</v>
      </c>
      <c r="CN174" t="s">
        <v>114</v>
      </c>
      <c r="CO174" t="s">
        <v>114</v>
      </c>
      <c r="CP174" t="s">
        <v>114</v>
      </c>
      <c r="CQ174" t="s">
        <v>114</v>
      </c>
      <c r="CR174" t="s">
        <v>114</v>
      </c>
      <c r="CS174" t="s">
        <v>114</v>
      </c>
      <c r="CT174" t="s">
        <v>114</v>
      </c>
      <c r="CU174" t="s">
        <v>114</v>
      </c>
      <c r="CV174" t="s">
        <v>114</v>
      </c>
      <c r="CW174" t="s">
        <v>114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</row>
    <row r="175" spans="1:134" x14ac:dyDescent="0.25">
      <c r="A175" t="s">
        <v>83</v>
      </c>
      <c r="B175">
        <v>6</v>
      </c>
      <c r="C175" t="s">
        <v>21</v>
      </c>
      <c r="D175" t="s">
        <v>94</v>
      </c>
      <c r="E175" t="s">
        <v>103</v>
      </c>
      <c r="F175" t="s">
        <v>145</v>
      </c>
      <c r="G175" t="s">
        <v>260</v>
      </c>
      <c r="H175" t="s">
        <v>771</v>
      </c>
      <c r="I175" t="s">
        <v>736</v>
      </c>
      <c r="J175" t="s">
        <v>449</v>
      </c>
      <c r="K175">
        <v>4</v>
      </c>
      <c r="L175">
        <v>60</v>
      </c>
      <c r="M175">
        <v>40</v>
      </c>
      <c r="N175">
        <v>60</v>
      </c>
      <c r="O175">
        <v>20</v>
      </c>
      <c r="P175">
        <v>30</v>
      </c>
      <c r="Q175">
        <v>55</v>
      </c>
      <c r="R175">
        <v>30</v>
      </c>
      <c r="S175">
        <v>42.5</v>
      </c>
      <c r="T175">
        <v>0.70833333300000001</v>
      </c>
      <c r="V175" t="s">
        <v>103</v>
      </c>
      <c r="W175" t="s">
        <v>114</v>
      </c>
      <c r="X175">
        <v>9</v>
      </c>
      <c r="Y175">
        <v>9.5</v>
      </c>
      <c r="Z175">
        <v>13.5</v>
      </c>
      <c r="AA175">
        <v>10.66666667</v>
      </c>
      <c r="AB175">
        <v>10.66666667</v>
      </c>
      <c r="AC175">
        <v>10</v>
      </c>
      <c r="AD175">
        <v>8.5</v>
      </c>
      <c r="AE175">
        <v>9.5</v>
      </c>
      <c r="AF175">
        <v>9.3333333330000006</v>
      </c>
      <c r="AG175">
        <v>11</v>
      </c>
      <c r="AH175">
        <v>11.5</v>
      </c>
      <c r="AI175">
        <v>11.5</v>
      </c>
      <c r="AJ175">
        <v>11.33333333</v>
      </c>
      <c r="AK175">
        <v>8.5</v>
      </c>
      <c r="AL175">
        <v>8.5</v>
      </c>
      <c r="AM175">
        <v>10.5</v>
      </c>
      <c r="AN175">
        <v>9.1666666669999994</v>
      </c>
      <c r="AO175">
        <v>11.33333333</v>
      </c>
      <c r="AP175">
        <v>5.6</v>
      </c>
      <c r="AQ175">
        <v>5.0999999999999996</v>
      </c>
      <c r="AR175">
        <v>4.5999999999999996</v>
      </c>
      <c r="AS175">
        <v>5.0999999999999996</v>
      </c>
      <c r="AT175">
        <v>4.5999999999999996</v>
      </c>
      <c r="AU175">
        <v>4.0999999999999996</v>
      </c>
      <c r="AV175">
        <v>5.6</v>
      </c>
      <c r="AW175">
        <v>4.766666667</v>
      </c>
      <c r="AX175">
        <v>5.0999999999999996</v>
      </c>
      <c r="AY175">
        <v>-5.5666666669999998</v>
      </c>
      <c r="AZ175">
        <v>40</v>
      </c>
      <c r="BA175">
        <v>3</v>
      </c>
      <c r="BB175">
        <v>2</v>
      </c>
      <c r="BC175">
        <v>2</v>
      </c>
      <c r="BD175">
        <v>0</v>
      </c>
      <c r="BE175">
        <v>0</v>
      </c>
      <c r="BF175">
        <v>0</v>
      </c>
      <c r="BG175">
        <v>0</v>
      </c>
      <c r="BI175">
        <v>13.3</v>
      </c>
      <c r="BJ175">
        <v>8.8239999999999998</v>
      </c>
      <c r="BK175">
        <v>0</v>
      </c>
      <c r="BL175">
        <v>6</v>
      </c>
      <c r="BM175">
        <v>4</v>
      </c>
      <c r="BN175">
        <v>124</v>
      </c>
      <c r="BO175">
        <v>828</v>
      </c>
      <c r="BP175">
        <v>-704</v>
      </c>
      <c r="BQ175">
        <v>1383</v>
      </c>
      <c r="BR175">
        <v>-1259</v>
      </c>
      <c r="BS175">
        <v>8.0404040529999996</v>
      </c>
      <c r="BT175">
        <v>0.52235600599999998</v>
      </c>
      <c r="BU175">
        <v>1.30521314</v>
      </c>
      <c r="BV175">
        <v>-8.0404040529999996</v>
      </c>
      <c r="BW175">
        <v>-0.52235600599999998</v>
      </c>
      <c r="BX175">
        <v>1.068333593</v>
      </c>
      <c r="BY175">
        <v>146.45107770000001</v>
      </c>
      <c r="BZ175">
        <v>0.21042354799999999</v>
      </c>
      <c r="CA175">
        <v>3.8456935059999999</v>
      </c>
      <c r="CB175">
        <v>146.45107770000001</v>
      </c>
      <c r="CC175">
        <v>0.21042354799999999</v>
      </c>
      <c r="CD175">
        <v>4.6890605169999997</v>
      </c>
      <c r="CE175" t="s">
        <v>114</v>
      </c>
      <c r="CF175" t="s">
        <v>114</v>
      </c>
      <c r="CG175" t="s">
        <v>114</v>
      </c>
      <c r="CH175">
        <v>6.0303030399999997</v>
      </c>
      <c r="CI175">
        <v>0.39176700399999997</v>
      </c>
      <c r="CJ175">
        <v>0.97890985500000005</v>
      </c>
      <c r="CK175" t="s">
        <v>114</v>
      </c>
      <c r="CL175">
        <v>-6.0303030399999997</v>
      </c>
      <c r="CM175">
        <v>-0.39176700399999997</v>
      </c>
      <c r="CN175">
        <v>0.80125019500000005</v>
      </c>
      <c r="CO175" t="s">
        <v>114</v>
      </c>
      <c r="CP175">
        <v>113.79607609999999</v>
      </c>
      <c r="CQ175">
        <v>0.20849631399999999</v>
      </c>
      <c r="CR175">
        <v>2.9896910060000002</v>
      </c>
      <c r="CS175" t="s">
        <v>114</v>
      </c>
      <c r="CT175">
        <v>113.79607609999999</v>
      </c>
      <c r="CU175">
        <v>0.20849631399999999</v>
      </c>
      <c r="CV175">
        <v>3.411374511</v>
      </c>
      <c r="CW175" t="s">
        <v>114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1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2</v>
      </c>
      <c r="DQ175">
        <v>0</v>
      </c>
      <c r="DR175">
        <v>0</v>
      </c>
      <c r="DS175">
        <v>0</v>
      </c>
      <c r="DT175">
        <v>1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1.0397207708399201</v>
      </c>
    </row>
    <row r="176" spans="1:134" x14ac:dyDescent="0.25">
      <c r="A176" t="s">
        <v>83</v>
      </c>
      <c r="B176">
        <v>6</v>
      </c>
      <c r="C176" t="s">
        <v>21</v>
      </c>
      <c r="D176" t="s">
        <v>94</v>
      </c>
      <c r="E176" t="s">
        <v>111</v>
      </c>
      <c r="F176" t="s">
        <v>145</v>
      </c>
      <c r="G176" t="s">
        <v>263</v>
      </c>
      <c r="H176" t="s">
        <v>775</v>
      </c>
      <c r="I176" t="s">
        <v>739</v>
      </c>
      <c r="J176" t="s">
        <v>450</v>
      </c>
      <c r="K176">
        <v>0</v>
      </c>
      <c r="L176">
        <v>150</v>
      </c>
      <c r="M176">
        <v>220</v>
      </c>
      <c r="N176">
        <v>150</v>
      </c>
      <c r="O176">
        <v>-70</v>
      </c>
      <c r="P176">
        <v>60</v>
      </c>
      <c r="Q176">
        <v>140</v>
      </c>
      <c r="R176">
        <v>50</v>
      </c>
      <c r="S176">
        <v>95</v>
      </c>
      <c r="T176">
        <v>0.63333333300000005</v>
      </c>
      <c r="V176" t="s">
        <v>121</v>
      </c>
      <c r="W176" t="s">
        <v>114</v>
      </c>
      <c r="X176">
        <v>9</v>
      </c>
      <c r="Y176">
        <v>9.5</v>
      </c>
      <c r="Z176">
        <v>13.5</v>
      </c>
      <c r="AA176">
        <v>10.66666667</v>
      </c>
      <c r="AB176">
        <v>10.66666667</v>
      </c>
      <c r="AC176">
        <v>9.5</v>
      </c>
      <c r="AD176">
        <v>10.5</v>
      </c>
      <c r="AE176">
        <v>11</v>
      </c>
      <c r="AF176">
        <v>10.33333333</v>
      </c>
      <c r="AG176">
        <v>11</v>
      </c>
      <c r="AH176">
        <v>11.5</v>
      </c>
      <c r="AI176">
        <v>11.5</v>
      </c>
      <c r="AJ176">
        <v>11.33333333</v>
      </c>
      <c r="AK176">
        <v>8.5</v>
      </c>
      <c r="AL176">
        <v>8.5</v>
      </c>
      <c r="AM176">
        <v>11.5</v>
      </c>
      <c r="AN176">
        <v>9.5</v>
      </c>
      <c r="AO176">
        <v>11.33333333</v>
      </c>
      <c r="AP176">
        <v>5.6</v>
      </c>
      <c r="AQ176">
        <v>5.0999999999999996</v>
      </c>
      <c r="AR176">
        <v>4.5999999999999996</v>
      </c>
      <c r="AS176">
        <v>5.0999999999999996</v>
      </c>
      <c r="AT176">
        <v>5.0999999999999996</v>
      </c>
      <c r="AU176">
        <v>5.0999999999999996</v>
      </c>
      <c r="AV176">
        <v>5.0999999999999996</v>
      </c>
      <c r="AW176">
        <v>5.0999999999999996</v>
      </c>
      <c r="AX176">
        <v>5.0999999999999996</v>
      </c>
      <c r="AY176">
        <v>-5.5666666669999998</v>
      </c>
      <c r="AZ176">
        <v>40</v>
      </c>
      <c r="BA176">
        <v>3</v>
      </c>
      <c r="BB176">
        <v>2</v>
      </c>
      <c r="BC176">
        <v>2</v>
      </c>
      <c r="BD176">
        <v>0</v>
      </c>
      <c r="BE176">
        <v>0</v>
      </c>
      <c r="BF176">
        <v>0</v>
      </c>
      <c r="BG176">
        <v>0</v>
      </c>
      <c r="BI176">
        <v>13.3</v>
      </c>
      <c r="BJ176">
        <v>8.8239999999999998</v>
      </c>
      <c r="BK176">
        <v>0</v>
      </c>
      <c r="BL176">
        <v>49</v>
      </c>
      <c r="BM176">
        <v>44</v>
      </c>
      <c r="BN176">
        <v>4268</v>
      </c>
      <c r="BO176">
        <v>4600</v>
      </c>
      <c r="BP176">
        <v>-332</v>
      </c>
      <c r="BQ176">
        <v>4758</v>
      </c>
      <c r="BR176">
        <v>-490</v>
      </c>
      <c r="BS176" t="s">
        <v>114</v>
      </c>
      <c r="BT176" t="s">
        <v>114</v>
      </c>
      <c r="BU176" t="s">
        <v>114</v>
      </c>
      <c r="BV176" t="s">
        <v>114</v>
      </c>
      <c r="BW176" t="s">
        <v>114</v>
      </c>
      <c r="BX176" t="s">
        <v>114</v>
      </c>
      <c r="BY176" t="s">
        <v>114</v>
      </c>
      <c r="BZ176" t="s">
        <v>114</v>
      </c>
      <c r="CA176" t="s">
        <v>114</v>
      </c>
      <c r="CB176" t="s">
        <v>114</v>
      </c>
      <c r="CC176" t="s">
        <v>114</v>
      </c>
      <c r="CD176" t="s">
        <v>114</v>
      </c>
      <c r="CE176" t="s">
        <v>114</v>
      </c>
      <c r="CF176" t="s">
        <v>114</v>
      </c>
      <c r="CG176" t="s">
        <v>114</v>
      </c>
      <c r="CH176" t="s">
        <v>114</v>
      </c>
      <c r="CI176" t="s">
        <v>114</v>
      </c>
      <c r="CJ176" t="s">
        <v>114</v>
      </c>
      <c r="CK176" t="s">
        <v>114</v>
      </c>
      <c r="CL176" t="s">
        <v>114</v>
      </c>
      <c r="CM176" t="s">
        <v>114</v>
      </c>
      <c r="CN176" t="s">
        <v>114</v>
      </c>
      <c r="CO176" t="s">
        <v>114</v>
      </c>
      <c r="CP176" t="s">
        <v>114</v>
      </c>
      <c r="CQ176" t="s">
        <v>114</v>
      </c>
      <c r="CR176" t="s">
        <v>114</v>
      </c>
      <c r="CS176" t="s">
        <v>114</v>
      </c>
      <c r="CT176" t="s">
        <v>114</v>
      </c>
      <c r="CU176" t="s">
        <v>114</v>
      </c>
      <c r="CV176" t="s">
        <v>114</v>
      </c>
      <c r="CW176" t="s">
        <v>114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</row>
    <row r="177" spans="1:134" x14ac:dyDescent="0.25">
      <c r="A177" t="s">
        <v>84</v>
      </c>
      <c r="B177">
        <v>6</v>
      </c>
      <c r="C177" t="s">
        <v>23</v>
      </c>
      <c r="D177" t="s">
        <v>95</v>
      </c>
      <c r="E177" t="s">
        <v>102</v>
      </c>
      <c r="F177" t="s">
        <v>145</v>
      </c>
      <c r="G177" t="s">
        <v>265</v>
      </c>
      <c r="H177" t="s">
        <v>756</v>
      </c>
      <c r="I177" t="s">
        <v>740</v>
      </c>
      <c r="J177" t="s">
        <v>451</v>
      </c>
      <c r="K177">
        <v>10</v>
      </c>
      <c r="L177">
        <v>120</v>
      </c>
      <c r="M177">
        <v>200</v>
      </c>
      <c r="N177">
        <v>120</v>
      </c>
      <c r="O177">
        <v>-80</v>
      </c>
      <c r="P177">
        <v>65</v>
      </c>
      <c r="Q177">
        <v>60</v>
      </c>
      <c r="R177">
        <v>30</v>
      </c>
      <c r="S177">
        <v>45</v>
      </c>
      <c r="T177">
        <v>0.375</v>
      </c>
      <c r="V177" t="s">
        <v>121</v>
      </c>
      <c r="W177" t="s">
        <v>114</v>
      </c>
      <c r="X177">
        <v>15.4</v>
      </c>
      <c r="Y177">
        <v>15.9</v>
      </c>
      <c r="Z177">
        <v>13</v>
      </c>
      <c r="AA177">
        <v>14.766666669999999</v>
      </c>
      <c r="AB177">
        <v>14.766666669999999</v>
      </c>
      <c r="AC177">
        <v>11</v>
      </c>
      <c r="AD177">
        <v>11.5</v>
      </c>
      <c r="AE177">
        <v>13.9</v>
      </c>
      <c r="AF177">
        <v>12.133333329999999</v>
      </c>
      <c r="AG177">
        <v>11.5</v>
      </c>
      <c r="AH177">
        <v>13</v>
      </c>
      <c r="AI177">
        <v>11.5</v>
      </c>
      <c r="AJ177">
        <v>12</v>
      </c>
      <c r="AK177">
        <v>10.5</v>
      </c>
      <c r="AL177">
        <v>13</v>
      </c>
      <c r="AM177">
        <v>13.9</v>
      </c>
      <c r="AN177">
        <v>12.46666667</v>
      </c>
      <c r="AO177">
        <v>12</v>
      </c>
      <c r="AP177">
        <v>5.6</v>
      </c>
      <c r="AQ177">
        <v>5.6</v>
      </c>
      <c r="AR177">
        <v>8.5</v>
      </c>
      <c r="AS177">
        <v>6.5666666669999998</v>
      </c>
      <c r="AT177">
        <v>5.6</v>
      </c>
      <c r="AU177">
        <v>4.0999999999999996</v>
      </c>
      <c r="AV177">
        <v>6.1</v>
      </c>
      <c r="AW177">
        <v>5.266666667</v>
      </c>
      <c r="AX177">
        <v>6.5666666669999998</v>
      </c>
      <c r="AY177">
        <v>-8.1999999999999993</v>
      </c>
      <c r="AZ177">
        <v>5</v>
      </c>
      <c r="BA177">
        <v>15</v>
      </c>
      <c r="BB177">
        <v>0</v>
      </c>
      <c r="BC177">
        <v>25</v>
      </c>
      <c r="BD177">
        <v>0</v>
      </c>
      <c r="BE177">
        <v>1</v>
      </c>
      <c r="BF177">
        <v>0</v>
      </c>
      <c r="BG177">
        <v>0</v>
      </c>
      <c r="BI177">
        <v>14.2</v>
      </c>
      <c r="BJ177">
        <v>58.783000000000001</v>
      </c>
      <c r="BK177">
        <v>0</v>
      </c>
      <c r="BL177">
        <v>28</v>
      </c>
      <c r="BM177">
        <v>27</v>
      </c>
      <c r="BN177">
        <v>1534</v>
      </c>
      <c r="BO177">
        <v>567</v>
      </c>
      <c r="BP177">
        <v>967</v>
      </c>
      <c r="BQ177">
        <v>772</v>
      </c>
      <c r="BR177">
        <v>762</v>
      </c>
      <c r="BS177" t="s">
        <v>114</v>
      </c>
      <c r="BT177" t="s">
        <v>114</v>
      </c>
      <c r="BU177" t="s">
        <v>114</v>
      </c>
      <c r="BV177" t="s">
        <v>114</v>
      </c>
      <c r="BW177" t="s">
        <v>114</v>
      </c>
      <c r="BX177" t="s">
        <v>114</v>
      </c>
      <c r="BY177" t="s">
        <v>114</v>
      </c>
      <c r="BZ177" t="s">
        <v>114</v>
      </c>
      <c r="CA177" t="s">
        <v>114</v>
      </c>
      <c r="CB177" t="s">
        <v>114</v>
      </c>
      <c r="CC177" t="s">
        <v>114</v>
      </c>
      <c r="CD177" t="s">
        <v>114</v>
      </c>
      <c r="CE177" t="s">
        <v>114</v>
      </c>
      <c r="CF177" t="s">
        <v>114</v>
      </c>
      <c r="CG177" t="s">
        <v>114</v>
      </c>
      <c r="CH177" t="s">
        <v>114</v>
      </c>
      <c r="CI177" t="s">
        <v>114</v>
      </c>
      <c r="CJ177" t="s">
        <v>114</v>
      </c>
      <c r="CK177" t="s">
        <v>114</v>
      </c>
      <c r="CL177" t="s">
        <v>114</v>
      </c>
      <c r="CM177" t="s">
        <v>114</v>
      </c>
      <c r="CN177" t="s">
        <v>114</v>
      </c>
      <c r="CO177" t="s">
        <v>114</v>
      </c>
      <c r="CP177" t="s">
        <v>114</v>
      </c>
      <c r="CQ177" t="s">
        <v>114</v>
      </c>
      <c r="CR177" t="s">
        <v>114</v>
      </c>
      <c r="CS177" t="s">
        <v>114</v>
      </c>
      <c r="CT177" t="s">
        <v>114</v>
      </c>
      <c r="CU177" t="s">
        <v>114</v>
      </c>
      <c r="CV177" t="s">
        <v>114</v>
      </c>
      <c r="CW177" t="s">
        <v>114</v>
      </c>
      <c r="CX177">
        <v>0</v>
      </c>
      <c r="CY177">
        <v>0</v>
      </c>
      <c r="CZ177">
        <v>0</v>
      </c>
      <c r="DA177">
        <v>1</v>
      </c>
      <c r="DB177">
        <v>1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5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3</v>
      </c>
      <c r="EB177">
        <v>0</v>
      </c>
      <c r="EC177">
        <v>0</v>
      </c>
      <c r="ED177">
        <v>1.1682824501765601</v>
      </c>
    </row>
    <row r="178" spans="1:134" x14ac:dyDescent="0.25">
      <c r="A178" t="s">
        <v>84</v>
      </c>
      <c r="B178">
        <v>6</v>
      </c>
      <c r="C178" t="s">
        <v>23</v>
      </c>
      <c r="D178" t="s">
        <v>95</v>
      </c>
      <c r="E178" t="s">
        <v>105</v>
      </c>
      <c r="F178" t="s">
        <v>145</v>
      </c>
      <c r="G178" t="s">
        <v>266</v>
      </c>
      <c r="H178" t="s">
        <v>760</v>
      </c>
      <c r="I178" t="s">
        <v>733</v>
      </c>
      <c r="J178" t="s">
        <v>452</v>
      </c>
      <c r="K178" t="s">
        <v>114</v>
      </c>
      <c r="L178">
        <v>30</v>
      </c>
      <c r="M178">
        <v>60</v>
      </c>
      <c r="N178">
        <v>30</v>
      </c>
      <c r="O178">
        <v>-30</v>
      </c>
      <c r="P178">
        <v>50</v>
      </c>
      <c r="Q178">
        <v>60</v>
      </c>
      <c r="R178">
        <v>50</v>
      </c>
      <c r="S178">
        <v>55</v>
      </c>
      <c r="T178">
        <v>1.8333333329999999</v>
      </c>
      <c r="V178" t="s">
        <v>103</v>
      </c>
      <c r="W178">
        <v>50</v>
      </c>
      <c r="X178">
        <v>15.4</v>
      </c>
      <c r="Y178">
        <v>15.9</v>
      </c>
      <c r="Z178">
        <v>13</v>
      </c>
      <c r="AA178">
        <v>14.766666669999999</v>
      </c>
      <c r="AB178">
        <v>14.766666669999999</v>
      </c>
      <c r="AC178">
        <v>11</v>
      </c>
      <c r="AD178">
        <v>10</v>
      </c>
      <c r="AE178">
        <v>12.5</v>
      </c>
      <c r="AF178">
        <v>11.16666667</v>
      </c>
      <c r="AG178">
        <v>11.5</v>
      </c>
      <c r="AH178">
        <v>13</v>
      </c>
      <c r="AI178">
        <v>11.5</v>
      </c>
      <c r="AJ178">
        <v>12</v>
      </c>
      <c r="AK178">
        <v>7.6</v>
      </c>
      <c r="AL178">
        <v>8.5</v>
      </c>
      <c r="AM178">
        <v>11.5</v>
      </c>
      <c r="AN178">
        <v>9.1999999999999993</v>
      </c>
      <c r="AO178">
        <v>12</v>
      </c>
      <c r="AP178">
        <v>5.6</v>
      </c>
      <c r="AQ178">
        <v>5.6</v>
      </c>
      <c r="AR178">
        <v>8.5</v>
      </c>
      <c r="AS178">
        <v>6.5666666669999998</v>
      </c>
      <c r="AT178">
        <v>4.0999999999999996</v>
      </c>
      <c r="AU178">
        <v>4.5999999999999996</v>
      </c>
      <c r="AV178">
        <v>3.6</v>
      </c>
      <c r="AW178">
        <v>4.0999999999999996</v>
      </c>
      <c r="AX178">
        <v>6.5666666669999998</v>
      </c>
      <c r="AY178">
        <v>-8.1999999999999993</v>
      </c>
      <c r="AZ178">
        <v>5</v>
      </c>
      <c r="BA178">
        <v>15</v>
      </c>
      <c r="BB178">
        <v>0</v>
      </c>
      <c r="BC178">
        <v>25</v>
      </c>
      <c r="BD178">
        <v>0</v>
      </c>
      <c r="BE178">
        <v>1</v>
      </c>
      <c r="BF178">
        <v>0</v>
      </c>
      <c r="BG178">
        <v>0</v>
      </c>
      <c r="BI178">
        <v>14.2</v>
      </c>
      <c r="BJ178">
        <v>58.783000000000001</v>
      </c>
      <c r="BK178">
        <v>0</v>
      </c>
      <c r="BL178">
        <v>11</v>
      </c>
      <c r="BM178">
        <v>11</v>
      </c>
      <c r="BN178">
        <v>631</v>
      </c>
      <c r="BO178">
        <v>315.5</v>
      </c>
      <c r="BP178">
        <v>315.5</v>
      </c>
      <c r="BQ178">
        <v>551</v>
      </c>
      <c r="BR178">
        <v>80</v>
      </c>
      <c r="BS178" t="s">
        <v>114</v>
      </c>
      <c r="BT178" t="s">
        <v>114</v>
      </c>
      <c r="BU178" t="s">
        <v>114</v>
      </c>
      <c r="BV178" t="s">
        <v>114</v>
      </c>
      <c r="BW178" t="s">
        <v>114</v>
      </c>
      <c r="BX178" t="s">
        <v>114</v>
      </c>
      <c r="BY178" t="s">
        <v>114</v>
      </c>
      <c r="BZ178" t="s">
        <v>114</v>
      </c>
      <c r="CA178" t="s">
        <v>114</v>
      </c>
      <c r="CB178" t="s">
        <v>114</v>
      </c>
      <c r="CC178" t="s">
        <v>114</v>
      </c>
      <c r="CD178" t="s">
        <v>114</v>
      </c>
      <c r="CE178" t="s">
        <v>114</v>
      </c>
      <c r="CF178" t="s">
        <v>114</v>
      </c>
      <c r="CG178" t="s">
        <v>114</v>
      </c>
      <c r="CH178" t="s">
        <v>114</v>
      </c>
      <c r="CI178" t="s">
        <v>114</v>
      </c>
      <c r="CJ178" t="s">
        <v>114</v>
      </c>
      <c r="CK178" t="s">
        <v>114</v>
      </c>
      <c r="CL178" t="s">
        <v>114</v>
      </c>
      <c r="CM178" t="s">
        <v>114</v>
      </c>
      <c r="CN178" t="s">
        <v>114</v>
      </c>
      <c r="CO178" t="s">
        <v>114</v>
      </c>
      <c r="CP178" t="s">
        <v>114</v>
      </c>
      <c r="CQ178" t="s">
        <v>114</v>
      </c>
      <c r="CR178" t="s">
        <v>114</v>
      </c>
      <c r="CS178" t="s">
        <v>114</v>
      </c>
      <c r="CT178" t="s">
        <v>114</v>
      </c>
      <c r="CU178" t="s">
        <v>114</v>
      </c>
      <c r="CV178" t="s">
        <v>114</v>
      </c>
      <c r="CW178" t="s">
        <v>114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</row>
    <row r="179" spans="1:134" x14ac:dyDescent="0.25">
      <c r="A179" t="s">
        <v>84</v>
      </c>
      <c r="B179">
        <v>6</v>
      </c>
      <c r="C179" t="s">
        <v>23</v>
      </c>
      <c r="D179" t="s">
        <v>95</v>
      </c>
      <c r="E179" t="s">
        <v>111</v>
      </c>
      <c r="F179" t="s">
        <v>145</v>
      </c>
      <c r="G179" t="s">
        <v>263</v>
      </c>
      <c r="H179" t="s">
        <v>776</v>
      </c>
      <c r="I179" t="s">
        <v>732</v>
      </c>
      <c r="J179" t="s">
        <v>453</v>
      </c>
      <c r="K179">
        <v>5</v>
      </c>
      <c r="L179">
        <v>350</v>
      </c>
      <c r="M179">
        <v>340</v>
      </c>
      <c r="N179">
        <v>350</v>
      </c>
      <c r="O179">
        <v>10</v>
      </c>
      <c r="P179">
        <v>75</v>
      </c>
      <c r="Q179">
        <v>300</v>
      </c>
      <c r="R179">
        <v>50</v>
      </c>
      <c r="S179">
        <v>175</v>
      </c>
      <c r="T179">
        <v>0.5</v>
      </c>
      <c r="V179" t="s">
        <v>103</v>
      </c>
      <c r="W179">
        <v>40</v>
      </c>
      <c r="X179">
        <v>15.4</v>
      </c>
      <c r="Y179">
        <v>15.9</v>
      </c>
      <c r="Z179">
        <v>13</v>
      </c>
      <c r="AA179">
        <v>14.766666669999999</v>
      </c>
      <c r="AB179">
        <v>14.766666669999999</v>
      </c>
      <c r="AC179">
        <v>13</v>
      </c>
      <c r="AD179">
        <v>13.5</v>
      </c>
      <c r="AE179">
        <v>13.9</v>
      </c>
      <c r="AF179">
        <v>13.46666667</v>
      </c>
      <c r="AG179">
        <v>11.5</v>
      </c>
      <c r="AH179">
        <v>13</v>
      </c>
      <c r="AI179">
        <v>11.5</v>
      </c>
      <c r="AJ179">
        <v>12</v>
      </c>
      <c r="AK179">
        <v>13</v>
      </c>
      <c r="AL179">
        <v>13.5</v>
      </c>
      <c r="AM179">
        <v>12.5</v>
      </c>
      <c r="AN179">
        <v>13</v>
      </c>
      <c r="AO179">
        <v>12</v>
      </c>
      <c r="AP179">
        <v>5.6</v>
      </c>
      <c r="AQ179">
        <v>5.6</v>
      </c>
      <c r="AR179">
        <v>8.5</v>
      </c>
      <c r="AS179">
        <v>6.5666666669999998</v>
      </c>
      <c r="AT179">
        <v>6.1</v>
      </c>
      <c r="AU179">
        <v>6.6</v>
      </c>
      <c r="AV179">
        <v>6.6</v>
      </c>
      <c r="AW179">
        <v>6.4333333330000002</v>
      </c>
      <c r="AX179">
        <v>6.5666666669999998</v>
      </c>
      <c r="AY179">
        <v>-8.1999999999999993</v>
      </c>
      <c r="AZ179">
        <v>5</v>
      </c>
      <c r="BA179">
        <v>15</v>
      </c>
      <c r="BB179">
        <v>0</v>
      </c>
      <c r="BC179">
        <v>25</v>
      </c>
      <c r="BD179">
        <v>0</v>
      </c>
      <c r="BE179">
        <v>1</v>
      </c>
      <c r="BF179">
        <v>0</v>
      </c>
      <c r="BG179">
        <v>0</v>
      </c>
      <c r="BI179">
        <v>14.2</v>
      </c>
      <c r="BJ179">
        <v>58.783000000000001</v>
      </c>
      <c r="BK179">
        <v>0</v>
      </c>
      <c r="BL179">
        <v>27</v>
      </c>
      <c r="BM179">
        <v>21</v>
      </c>
      <c r="BN179">
        <v>1026</v>
      </c>
      <c r="BO179">
        <v>2858</v>
      </c>
      <c r="BP179">
        <v>-1832</v>
      </c>
      <c r="BQ179">
        <v>2273</v>
      </c>
      <c r="BR179">
        <v>-1247</v>
      </c>
      <c r="BS179">
        <v>12.85087139</v>
      </c>
      <c r="BT179">
        <v>1.5986261070000001</v>
      </c>
      <c r="BU179">
        <v>9.6215023399999993</v>
      </c>
      <c r="BV179">
        <v>1.739320508</v>
      </c>
      <c r="BW179">
        <v>-1.5182908340000001</v>
      </c>
      <c r="BX179">
        <v>-8.9361392800000008</v>
      </c>
      <c r="BY179">
        <v>128.63997019999999</v>
      </c>
      <c r="BZ179">
        <v>9.5491334769999998</v>
      </c>
      <c r="CA179">
        <v>160.07019360000001</v>
      </c>
      <c r="CB179">
        <v>344.79951629999999</v>
      </c>
      <c r="CC179">
        <v>9.8829979750000003</v>
      </c>
      <c r="CD179">
        <v>177.02848969999999</v>
      </c>
      <c r="CE179" t="s">
        <v>114</v>
      </c>
      <c r="CF179" t="s">
        <v>114</v>
      </c>
      <c r="CG179" t="s">
        <v>114</v>
      </c>
      <c r="CH179">
        <v>10.94474473</v>
      </c>
      <c r="CI179">
        <v>1.2933304109999999</v>
      </c>
      <c r="CJ179">
        <v>8.8970444040000007</v>
      </c>
      <c r="CK179" t="s">
        <v>114</v>
      </c>
      <c r="CL179">
        <v>0.72740878600000003</v>
      </c>
      <c r="CM179">
        <v>-1.2002031419999999</v>
      </c>
      <c r="CN179">
        <v>-8.3487539559999995</v>
      </c>
      <c r="CO179" t="s">
        <v>114</v>
      </c>
      <c r="CP179">
        <v>114.6465718</v>
      </c>
      <c r="CQ179">
        <v>7.6278774179999997</v>
      </c>
      <c r="CR179">
        <v>122.6768417</v>
      </c>
      <c r="CS179" t="s">
        <v>114</v>
      </c>
      <c r="CT179">
        <v>263.71946389999999</v>
      </c>
      <c r="CU179">
        <v>7.9181473809999998</v>
      </c>
      <c r="CV179">
        <v>134.49647490000001</v>
      </c>
      <c r="CW179" t="s">
        <v>114</v>
      </c>
      <c r="CX179">
        <v>0</v>
      </c>
      <c r="CY179">
        <v>0</v>
      </c>
      <c r="CZ179">
        <v>0</v>
      </c>
      <c r="DA179">
        <v>0</v>
      </c>
      <c r="DB179">
        <v>1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1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2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1</v>
      </c>
      <c r="EC179">
        <v>0</v>
      </c>
      <c r="ED179">
        <v>1.3321790402101199</v>
      </c>
    </row>
    <row r="180" spans="1:134" x14ac:dyDescent="0.25">
      <c r="A180" t="s">
        <v>84</v>
      </c>
      <c r="B180">
        <v>6</v>
      </c>
      <c r="C180" t="s">
        <v>23</v>
      </c>
      <c r="D180" t="s">
        <v>95</v>
      </c>
      <c r="E180" t="s">
        <v>112</v>
      </c>
      <c r="F180" t="s">
        <v>145</v>
      </c>
      <c r="G180" t="s">
        <v>261</v>
      </c>
      <c r="H180" t="s">
        <v>784</v>
      </c>
      <c r="I180" t="s">
        <v>741</v>
      </c>
      <c r="J180" t="s">
        <v>454</v>
      </c>
      <c r="K180">
        <v>6</v>
      </c>
      <c r="L180">
        <v>60</v>
      </c>
      <c r="M180">
        <v>60</v>
      </c>
      <c r="N180">
        <v>60</v>
      </c>
      <c r="O180">
        <v>0</v>
      </c>
      <c r="P180">
        <v>35</v>
      </c>
      <c r="Q180">
        <v>45</v>
      </c>
      <c r="R180">
        <v>45</v>
      </c>
      <c r="S180">
        <v>45</v>
      </c>
      <c r="T180">
        <v>0.75</v>
      </c>
      <c r="V180" t="s">
        <v>103</v>
      </c>
      <c r="W180">
        <v>50</v>
      </c>
      <c r="X180">
        <v>15.4</v>
      </c>
      <c r="Y180">
        <v>15.9</v>
      </c>
      <c r="Z180">
        <v>13</v>
      </c>
      <c r="AA180">
        <v>14.766666669999999</v>
      </c>
      <c r="AB180">
        <v>14.766666669999999</v>
      </c>
      <c r="AC180">
        <v>14.9</v>
      </c>
      <c r="AD180">
        <v>14.9</v>
      </c>
      <c r="AE180">
        <v>15.4</v>
      </c>
      <c r="AF180">
        <v>15.06666667</v>
      </c>
      <c r="AG180">
        <v>11.5</v>
      </c>
      <c r="AH180">
        <v>13</v>
      </c>
      <c r="AI180">
        <v>11.5</v>
      </c>
      <c r="AJ180">
        <v>12</v>
      </c>
      <c r="AK180">
        <v>16.899999999999999</v>
      </c>
      <c r="AL180">
        <v>16.899999999999999</v>
      </c>
      <c r="AM180">
        <v>16.899999999999999</v>
      </c>
      <c r="AN180">
        <v>16.899999999999999</v>
      </c>
      <c r="AO180">
        <v>12</v>
      </c>
      <c r="AP180">
        <v>5.6</v>
      </c>
      <c r="AQ180">
        <v>5.6</v>
      </c>
      <c r="AR180">
        <v>8.5</v>
      </c>
      <c r="AS180">
        <v>6.5666666669999998</v>
      </c>
      <c r="AT180">
        <v>6.6</v>
      </c>
      <c r="AU180">
        <v>8.1</v>
      </c>
      <c r="AV180">
        <v>7.1</v>
      </c>
      <c r="AW180">
        <v>7.266666667</v>
      </c>
      <c r="AX180">
        <v>6.5666666669999998</v>
      </c>
      <c r="AY180">
        <v>-8.1999999999999993</v>
      </c>
      <c r="AZ180">
        <v>5</v>
      </c>
      <c r="BA180">
        <v>15</v>
      </c>
      <c r="BB180">
        <v>0</v>
      </c>
      <c r="BC180">
        <v>25</v>
      </c>
      <c r="BD180">
        <v>0</v>
      </c>
      <c r="BE180">
        <v>1</v>
      </c>
      <c r="BF180">
        <v>0</v>
      </c>
      <c r="BG180">
        <v>0</v>
      </c>
      <c r="BI180">
        <v>14.2</v>
      </c>
      <c r="BJ180">
        <v>58.783000000000001</v>
      </c>
      <c r="BK180">
        <v>0</v>
      </c>
      <c r="BL180">
        <v>0</v>
      </c>
      <c r="BM180">
        <v>0</v>
      </c>
      <c r="BN180">
        <v>0</v>
      </c>
      <c r="BO180">
        <v>50</v>
      </c>
      <c r="BP180">
        <v>-50</v>
      </c>
      <c r="BQ180">
        <v>24</v>
      </c>
      <c r="BR180">
        <v>-24</v>
      </c>
      <c r="BS180">
        <v>38.62405304</v>
      </c>
      <c r="BT180">
        <v>2.1099400130000001</v>
      </c>
      <c r="BU180">
        <v>10.25944241</v>
      </c>
      <c r="BV180">
        <v>-38.62405304</v>
      </c>
      <c r="BW180">
        <v>7.5681404999999993E-2</v>
      </c>
      <c r="BX180">
        <v>10.25944241</v>
      </c>
      <c r="BY180">
        <v>44.469318790000003</v>
      </c>
      <c r="BZ180">
        <v>2.152360072</v>
      </c>
      <c r="CA180">
        <v>3.2588833830000001</v>
      </c>
      <c r="CB180">
        <v>44.469318790000003</v>
      </c>
      <c r="CC180">
        <v>8.0805189810000009</v>
      </c>
      <c r="CD180">
        <v>3.2588833830000001</v>
      </c>
      <c r="CE180" t="s">
        <v>114</v>
      </c>
      <c r="CF180" t="s">
        <v>114</v>
      </c>
      <c r="CG180" t="s">
        <v>114</v>
      </c>
      <c r="CH180">
        <v>37.175820719999997</v>
      </c>
      <c r="CI180">
        <v>2.0345320199999999</v>
      </c>
      <c r="CJ180">
        <v>9.9597555599999996</v>
      </c>
      <c r="CK180" t="s">
        <v>114</v>
      </c>
      <c r="CL180">
        <v>-37.175820719999997</v>
      </c>
      <c r="CM180">
        <v>0.67835961499999997</v>
      </c>
      <c r="CN180">
        <v>9.9597555599999996</v>
      </c>
      <c r="CO180" t="s">
        <v>114</v>
      </c>
      <c r="CP180">
        <v>32.183100199999998</v>
      </c>
      <c r="CQ180">
        <v>1.3551184519999999</v>
      </c>
      <c r="CR180">
        <v>3.4384672510000001</v>
      </c>
      <c r="CS180" t="s">
        <v>114</v>
      </c>
      <c r="CT180">
        <v>32.183100199999998</v>
      </c>
      <c r="CU180">
        <v>5.770096981</v>
      </c>
      <c r="CV180">
        <v>3.4384672510000001</v>
      </c>
      <c r="CW180" t="s">
        <v>114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2</v>
      </c>
      <c r="DD180">
        <v>0</v>
      </c>
      <c r="DE180">
        <v>0</v>
      </c>
      <c r="DF180">
        <v>1</v>
      </c>
      <c r="DG180">
        <v>0</v>
      </c>
      <c r="DH180">
        <v>1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2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1.32966134885476</v>
      </c>
    </row>
    <row r="181" spans="1:134" x14ac:dyDescent="0.25">
      <c r="A181" t="s">
        <v>85</v>
      </c>
      <c r="B181">
        <v>6</v>
      </c>
      <c r="C181" t="s">
        <v>25</v>
      </c>
      <c r="D181" t="s">
        <v>94</v>
      </c>
      <c r="E181" t="s">
        <v>105</v>
      </c>
      <c r="F181" t="s">
        <v>145</v>
      </c>
      <c r="G181" t="s">
        <v>266</v>
      </c>
      <c r="H181" t="s">
        <v>759</v>
      </c>
      <c r="I181" t="s">
        <v>734</v>
      </c>
      <c r="J181" t="s">
        <v>455</v>
      </c>
      <c r="K181">
        <v>7</v>
      </c>
      <c r="L181">
        <v>45</v>
      </c>
      <c r="M181">
        <v>15</v>
      </c>
      <c r="N181">
        <v>45</v>
      </c>
      <c r="O181">
        <v>30</v>
      </c>
      <c r="P181">
        <v>60</v>
      </c>
      <c r="Q181">
        <v>60</v>
      </c>
      <c r="R181">
        <v>40</v>
      </c>
      <c r="S181">
        <v>50</v>
      </c>
      <c r="T181">
        <v>1.111111111</v>
      </c>
      <c r="V181" t="s">
        <v>103</v>
      </c>
      <c r="W181">
        <v>20</v>
      </c>
      <c r="X181">
        <v>9.5</v>
      </c>
      <c r="Y181">
        <v>10</v>
      </c>
      <c r="Z181">
        <v>11.5</v>
      </c>
      <c r="AA181">
        <v>10.33333333</v>
      </c>
      <c r="AB181">
        <v>10.33333333</v>
      </c>
      <c r="AC181">
        <v>12.5</v>
      </c>
      <c r="AD181">
        <v>10.5</v>
      </c>
      <c r="AE181">
        <v>13.9</v>
      </c>
      <c r="AF181">
        <v>12.3</v>
      </c>
      <c r="AG181">
        <v>11.5</v>
      </c>
      <c r="AH181">
        <v>12</v>
      </c>
      <c r="AI181">
        <v>11</v>
      </c>
      <c r="AJ181">
        <v>11.5</v>
      </c>
      <c r="AK181">
        <v>9</v>
      </c>
      <c r="AL181">
        <v>12.5</v>
      </c>
      <c r="AM181">
        <v>12.5</v>
      </c>
      <c r="AN181">
        <v>11.33333333</v>
      </c>
      <c r="AO181">
        <v>11.5</v>
      </c>
      <c r="AP181">
        <v>6.1</v>
      </c>
      <c r="AQ181">
        <v>5.0999999999999996</v>
      </c>
      <c r="AR181">
        <v>6.6</v>
      </c>
      <c r="AS181">
        <v>5.9333333330000002</v>
      </c>
      <c r="AT181">
        <v>6.6</v>
      </c>
      <c r="AU181">
        <v>5.6</v>
      </c>
      <c r="AV181">
        <v>5.6</v>
      </c>
      <c r="AW181">
        <v>5.9333333330000002</v>
      </c>
      <c r="AX181">
        <v>5.9333333330000002</v>
      </c>
      <c r="AY181">
        <v>-4.4000000000000004</v>
      </c>
      <c r="AZ181">
        <v>20</v>
      </c>
      <c r="BA181">
        <v>0</v>
      </c>
      <c r="BB181">
        <v>1</v>
      </c>
      <c r="BC181">
        <v>20</v>
      </c>
      <c r="BD181">
        <v>0</v>
      </c>
      <c r="BE181">
        <v>0</v>
      </c>
      <c r="BF181">
        <v>0</v>
      </c>
      <c r="BG181">
        <v>0</v>
      </c>
      <c r="BI181">
        <v>10.6</v>
      </c>
      <c r="BJ181">
        <v>4.2060000000000004</v>
      </c>
      <c r="BK181">
        <v>0</v>
      </c>
      <c r="BL181">
        <v>1</v>
      </c>
      <c r="BM181">
        <v>1</v>
      </c>
      <c r="BN181">
        <v>0</v>
      </c>
      <c r="BO181">
        <v>199.5</v>
      </c>
      <c r="BP181">
        <v>-199.5</v>
      </c>
      <c r="BQ181">
        <v>66</v>
      </c>
      <c r="BR181">
        <v>-66</v>
      </c>
      <c r="BS181">
        <v>23.136397949999999</v>
      </c>
      <c r="BT181">
        <v>1.039454074</v>
      </c>
      <c r="BU181">
        <v>18.803840910000002</v>
      </c>
      <c r="BV181">
        <v>-23.136397949999999</v>
      </c>
      <c r="BW181">
        <v>-0.85685742600000003</v>
      </c>
      <c r="BX181">
        <v>18.803840910000002</v>
      </c>
      <c r="BY181">
        <v>362.63092080000001</v>
      </c>
      <c r="BZ181">
        <v>0.52166136600000002</v>
      </c>
      <c r="CA181">
        <v>54.379565900000003</v>
      </c>
      <c r="CB181">
        <v>362.63092080000001</v>
      </c>
      <c r="CC181">
        <v>0.98334153099999999</v>
      </c>
      <c r="CD181">
        <v>54.379565900000003</v>
      </c>
      <c r="CE181" t="s">
        <v>114</v>
      </c>
      <c r="CF181" t="s">
        <v>114</v>
      </c>
      <c r="CG181" t="s">
        <v>114</v>
      </c>
      <c r="CH181">
        <v>26.417227400000002</v>
      </c>
      <c r="CI181">
        <v>0.75048516899999995</v>
      </c>
      <c r="CJ181">
        <v>18.297382670000001</v>
      </c>
      <c r="CK181" t="s">
        <v>114</v>
      </c>
      <c r="CL181">
        <v>-26.417227400000002</v>
      </c>
      <c r="CM181">
        <v>-0.33312140200000001</v>
      </c>
      <c r="CN181">
        <v>18.297382670000001</v>
      </c>
      <c r="CO181" t="s">
        <v>114</v>
      </c>
      <c r="CP181">
        <v>198.0592145</v>
      </c>
      <c r="CQ181">
        <v>0.39072428199999998</v>
      </c>
      <c r="CR181">
        <v>27.588782869999999</v>
      </c>
      <c r="CS181" t="s">
        <v>114</v>
      </c>
      <c r="CT181">
        <v>198.0592145</v>
      </c>
      <c r="CU181">
        <v>0.91835875600000005</v>
      </c>
      <c r="CV181">
        <v>27.588782869999999</v>
      </c>
      <c r="CW181" t="s">
        <v>114</v>
      </c>
      <c r="CX181">
        <v>0</v>
      </c>
      <c r="CY181">
        <v>1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1</v>
      </c>
      <c r="DN181">
        <v>0</v>
      </c>
      <c r="DO181">
        <v>0</v>
      </c>
      <c r="DP181">
        <v>4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1</v>
      </c>
      <c r="DZ181">
        <v>0</v>
      </c>
      <c r="EA181">
        <v>0</v>
      </c>
      <c r="EB181">
        <v>0</v>
      </c>
      <c r="EC181">
        <v>0</v>
      </c>
      <c r="ED181">
        <v>1.15374194270109</v>
      </c>
    </row>
    <row r="182" spans="1:134" x14ac:dyDescent="0.25">
      <c r="A182" t="s">
        <v>85</v>
      </c>
      <c r="B182">
        <v>6</v>
      </c>
      <c r="C182" t="s">
        <v>25</v>
      </c>
      <c r="D182" t="s">
        <v>94</v>
      </c>
      <c r="E182" t="s">
        <v>110</v>
      </c>
      <c r="F182" t="s">
        <v>145</v>
      </c>
      <c r="G182" t="s">
        <v>262</v>
      </c>
      <c r="H182" t="s">
        <v>767</v>
      </c>
      <c r="I182" t="s">
        <v>742</v>
      </c>
      <c r="J182" t="s">
        <v>456</v>
      </c>
      <c r="K182">
        <v>17</v>
      </c>
      <c r="L182">
        <v>90</v>
      </c>
      <c r="M182">
        <v>50</v>
      </c>
      <c r="N182">
        <v>90</v>
      </c>
      <c r="O182">
        <v>40</v>
      </c>
      <c r="P182">
        <v>10</v>
      </c>
      <c r="Q182">
        <v>45</v>
      </c>
      <c r="R182">
        <v>5</v>
      </c>
      <c r="S182">
        <v>25</v>
      </c>
      <c r="T182">
        <v>0.27777777799999998</v>
      </c>
      <c r="V182" t="s">
        <v>103</v>
      </c>
      <c r="W182">
        <v>30</v>
      </c>
      <c r="X182">
        <v>9.5</v>
      </c>
      <c r="Y182">
        <v>10</v>
      </c>
      <c r="Z182">
        <v>11.5</v>
      </c>
      <c r="AA182">
        <v>10.33333333</v>
      </c>
      <c r="AB182">
        <v>10.33333333</v>
      </c>
      <c r="AC182">
        <v>9.5</v>
      </c>
      <c r="AD182">
        <v>10</v>
      </c>
      <c r="AE182">
        <v>12</v>
      </c>
      <c r="AF182">
        <v>10.5</v>
      </c>
      <c r="AG182">
        <v>11.5</v>
      </c>
      <c r="AH182">
        <v>12</v>
      </c>
      <c r="AI182">
        <v>11</v>
      </c>
      <c r="AJ182">
        <v>11.5</v>
      </c>
      <c r="AK182">
        <v>8.5</v>
      </c>
      <c r="AL182">
        <v>11</v>
      </c>
      <c r="AM182">
        <v>11</v>
      </c>
      <c r="AN182">
        <v>10.16666667</v>
      </c>
      <c r="AO182">
        <v>11.5</v>
      </c>
      <c r="AP182">
        <v>6.1</v>
      </c>
      <c r="AQ182">
        <v>5.0999999999999996</v>
      </c>
      <c r="AR182">
        <v>6.6</v>
      </c>
      <c r="AS182">
        <v>5.9333333330000002</v>
      </c>
      <c r="AT182">
        <v>6.6</v>
      </c>
      <c r="AU182">
        <v>5.6</v>
      </c>
      <c r="AV182">
        <v>6.1</v>
      </c>
      <c r="AW182">
        <v>6.1</v>
      </c>
      <c r="AX182">
        <v>5.9333333330000002</v>
      </c>
      <c r="AY182">
        <v>-4.4000000000000004</v>
      </c>
      <c r="AZ182">
        <v>20</v>
      </c>
      <c r="BA182">
        <v>0</v>
      </c>
      <c r="BB182">
        <v>1</v>
      </c>
      <c r="BC182">
        <v>20</v>
      </c>
      <c r="BD182">
        <v>0</v>
      </c>
      <c r="BE182">
        <v>0</v>
      </c>
      <c r="BF182">
        <v>0</v>
      </c>
      <c r="BG182">
        <v>0</v>
      </c>
      <c r="BI182">
        <v>10.6</v>
      </c>
      <c r="BJ182">
        <v>4.2060000000000004</v>
      </c>
      <c r="BK182">
        <v>0</v>
      </c>
      <c r="BL182">
        <v>9</v>
      </c>
      <c r="BM182">
        <v>8</v>
      </c>
      <c r="BN182">
        <v>8</v>
      </c>
      <c r="BO182">
        <v>10</v>
      </c>
      <c r="BP182">
        <v>-2</v>
      </c>
      <c r="BQ182">
        <v>20</v>
      </c>
      <c r="BR182">
        <v>-12</v>
      </c>
      <c r="BS182">
        <v>17.121547249999999</v>
      </c>
      <c r="BT182">
        <v>0.76054567200000001</v>
      </c>
      <c r="BU182">
        <v>8.0601769329999993</v>
      </c>
      <c r="BV182">
        <v>-17.121547249999999</v>
      </c>
      <c r="BW182">
        <v>0.76054567200000001</v>
      </c>
      <c r="BX182">
        <v>-5.9908270530000003</v>
      </c>
      <c r="BY182">
        <v>214.34230009999999</v>
      </c>
      <c r="BZ182">
        <v>0.25792029999999999</v>
      </c>
      <c r="CA182">
        <v>62.388200810000001</v>
      </c>
      <c r="CB182">
        <v>214.34230009999999</v>
      </c>
      <c r="CC182">
        <v>0.25792029999999999</v>
      </c>
      <c r="CD182">
        <v>101.156792</v>
      </c>
      <c r="CE182">
        <v>0.41729580799999999</v>
      </c>
      <c r="CF182">
        <v>9.2322245999999997E-2</v>
      </c>
      <c r="CG182">
        <v>0.50695300600000004</v>
      </c>
      <c r="CH182">
        <v>21.5473857</v>
      </c>
      <c r="CI182">
        <v>0.95435915400000004</v>
      </c>
      <c r="CJ182">
        <v>7.7305662880000003</v>
      </c>
      <c r="CK182">
        <v>0.50695300600000004</v>
      </c>
      <c r="CL182">
        <v>-21.5473857</v>
      </c>
      <c r="CM182">
        <v>0.95435915400000004</v>
      </c>
      <c r="CN182">
        <v>-3.3484136009999999</v>
      </c>
      <c r="CO182">
        <v>2.9176865999999999E-2</v>
      </c>
      <c r="CP182">
        <v>89.17810188</v>
      </c>
      <c r="CQ182">
        <v>6.1063401000000003E-2</v>
      </c>
      <c r="CR182">
        <v>32.827522250000001</v>
      </c>
      <c r="CS182">
        <v>2.9176865999999999E-2</v>
      </c>
      <c r="CT182">
        <v>89.17810188</v>
      </c>
      <c r="CU182">
        <v>6.1063401000000003E-2</v>
      </c>
      <c r="CV182">
        <v>84.41166509</v>
      </c>
      <c r="CW182">
        <v>0.41729580799999999</v>
      </c>
      <c r="CX182">
        <v>0</v>
      </c>
      <c r="CY182">
        <v>0</v>
      </c>
      <c r="CZ182">
        <v>0</v>
      </c>
      <c r="DA182">
        <v>4</v>
      </c>
      <c r="DB182">
        <v>3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1</v>
      </c>
      <c r="DN182">
        <v>0</v>
      </c>
      <c r="DO182">
        <v>0</v>
      </c>
      <c r="DP182">
        <v>9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1.1499171377909301</v>
      </c>
    </row>
    <row r="183" spans="1:134" x14ac:dyDescent="0.25">
      <c r="A183" t="s">
        <v>86</v>
      </c>
      <c r="B183">
        <v>6</v>
      </c>
      <c r="C183" t="s">
        <v>27</v>
      </c>
      <c r="D183" t="s">
        <v>94</v>
      </c>
      <c r="E183" t="s">
        <v>110</v>
      </c>
      <c r="F183" t="s">
        <v>145</v>
      </c>
      <c r="G183" t="s">
        <v>262</v>
      </c>
      <c r="H183" t="s">
        <v>767</v>
      </c>
      <c r="I183" t="s">
        <v>742</v>
      </c>
      <c r="J183" t="s">
        <v>457</v>
      </c>
      <c r="K183">
        <v>3</v>
      </c>
      <c r="L183">
        <v>30</v>
      </c>
      <c r="M183">
        <v>70</v>
      </c>
      <c r="N183">
        <v>30</v>
      </c>
      <c r="O183">
        <v>-40</v>
      </c>
      <c r="P183">
        <v>20</v>
      </c>
      <c r="Q183">
        <v>25</v>
      </c>
      <c r="R183">
        <v>5</v>
      </c>
      <c r="S183">
        <v>15</v>
      </c>
      <c r="T183">
        <v>0.5</v>
      </c>
      <c r="V183" t="s">
        <v>121</v>
      </c>
      <c r="W183" t="s">
        <v>114</v>
      </c>
      <c r="X183">
        <v>8.5</v>
      </c>
      <c r="Y183">
        <v>9</v>
      </c>
      <c r="Z183">
        <v>10</v>
      </c>
      <c r="AA183">
        <v>9.1666666669999994</v>
      </c>
      <c r="AB183">
        <v>9.1666666669999994</v>
      </c>
      <c r="AC183">
        <v>8.1</v>
      </c>
      <c r="AD183">
        <v>8.5</v>
      </c>
      <c r="AE183">
        <v>9</v>
      </c>
      <c r="AF183">
        <v>8.5333333329999999</v>
      </c>
      <c r="AG183">
        <v>8.5</v>
      </c>
      <c r="AH183">
        <v>8.5</v>
      </c>
      <c r="AI183">
        <v>8.5</v>
      </c>
      <c r="AJ183">
        <v>8.5</v>
      </c>
      <c r="AK183">
        <v>9.5</v>
      </c>
      <c r="AL183">
        <v>7.6</v>
      </c>
      <c r="AM183">
        <v>8.1</v>
      </c>
      <c r="AN183">
        <v>8.4</v>
      </c>
      <c r="AO183">
        <v>8.5</v>
      </c>
      <c r="AP183">
        <v>5.0999999999999996</v>
      </c>
      <c r="AQ183">
        <v>4.5999999999999996</v>
      </c>
      <c r="AR183">
        <v>3.6</v>
      </c>
      <c r="AS183">
        <v>4.4333333330000002</v>
      </c>
      <c r="AT183">
        <v>4.0999999999999996</v>
      </c>
      <c r="AU183">
        <v>4.0999999999999996</v>
      </c>
      <c r="AV183">
        <v>3.1</v>
      </c>
      <c r="AW183">
        <v>3.766666667</v>
      </c>
      <c r="AX183">
        <v>4.4333333330000002</v>
      </c>
      <c r="AY183">
        <v>-4.733333333</v>
      </c>
      <c r="AZ183">
        <v>75</v>
      </c>
      <c r="BA183">
        <v>1</v>
      </c>
      <c r="BB183">
        <v>1</v>
      </c>
      <c r="BC183">
        <v>8</v>
      </c>
      <c r="BD183">
        <v>1</v>
      </c>
      <c r="BE183">
        <v>0</v>
      </c>
      <c r="BF183">
        <v>0</v>
      </c>
      <c r="BG183">
        <v>0</v>
      </c>
      <c r="BI183">
        <v>17</v>
      </c>
      <c r="BJ183">
        <v>20.623000000000001</v>
      </c>
      <c r="BK183">
        <v>0</v>
      </c>
      <c r="BL183">
        <v>1</v>
      </c>
      <c r="BM183">
        <v>1</v>
      </c>
      <c r="BN183">
        <v>1</v>
      </c>
      <c r="BO183">
        <v>10</v>
      </c>
      <c r="BP183">
        <v>-9</v>
      </c>
      <c r="BQ183">
        <v>0</v>
      </c>
      <c r="BR183">
        <v>1</v>
      </c>
      <c r="BS183">
        <v>56.551630430000003</v>
      </c>
      <c r="BT183" t="s">
        <v>114</v>
      </c>
      <c r="BU183">
        <v>7.2618725350000002</v>
      </c>
      <c r="BV183">
        <v>-56.551630430000003</v>
      </c>
      <c r="BW183" t="s">
        <v>114</v>
      </c>
      <c r="BX183">
        <v>7.2618725350000002</v>
      </c>
      <c r="BY183">
        <v>182.8828125</v>
      </c>
      <c r="BZ183" t="s">
        <v>114</v>
      </c>
      <c r="CA183">
        <v>24.19981451</v>
      </c>
      <c r="CB183">
        <v>182.8828125</v>
      </c>
      <c r="CC183" t="s">
        <v>114</v>
      </c>
      <c r="CD183">
        <v>24.19981451</v>
      </c>
      <c r="CE183" t="s">
        <v>114</v>
      </c>
      <c r="CF183" t="s">
        <v>114</v>
      </c>
      <c r="CG183" t="s">
        <v>114</v>
      </c>
      <c r="CH183">
        <v>59.739130430000003</v>
      </c>
      <c r="CI183" t="s">
        <v>114</v>
      </c>
      <c r="CJ183">
        <v>8.4213699000000002</v>
      </c>
      <c r="CK183" t="s">
        <v>114</v>
      </c>
      <c r="CL183">
        <v>-59.739130430000003</v>
      </c>
      <c r="CM183" t="s">
        <v>114</v>
      </c>
      <c r="CN183">
        <v>8.4213699000000002</v>
      </c>
      <c r="CO183" t="s">
        <v>114</v>
      </c>
      <c r="CP183">
        <v>121.921875</v>
      </c>
      <c r="CQ183" t="s">
        <v>114</v>
      </c>
      <c r="CR183">
        <v>16.133209669999999</v>
      </c>
      <c r="CS183" t="s">
        <v>114</v>
      </c>
      <c r="CT183">
        <v>121.921875</v>
      </c>
      <c r="CU183" t="s">
        <v>114</v>
      </c>
      <c r="CV183">
        <v>16.133209669999999</v>
      </c>
      <c r="CW183" t="s">
        <v>114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2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1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0.636514168294813</v>
      </c>
    </row>
    <row r="184" spans="1:134" x14ac:dyDescent="0.25">
      <c r="A184" t="s">
        <v>86</v>
      </c>
      <c r="B184">
        <v>6</v>
      </c>
      <c r="C184" t="s">
        <v>27</v>
      </c>
      <c r="D184" t="s">
        <v>94</v>
      </c>
      <c r="E184" t="s">
        <v>112</v>
      </c>
      <c r="F184" t="s">
        <v>145</v>
      </c>
      <c r="G184" t="s">
        <v>261</v>
      </c>
      <c r="H184" t="s">
        <v>783</v>
      </c>
      <c r="I184" t="s">
        <v>743</v>
      </c>
      <c r="J184" t="s">
        <v>458</v>
      </c>
      <c r="K184">
        <v>2</v>
      </c>
      <c r="L184">
        <v>80</v>
      </c>
      <c r="M184">
        <v>50</v>
      </c>
      <c r="N184">
        <v>80</v>
      </c>
      <c r="O184">
        <v>30</v>
      </c>
      <c r="P184">
        <v>90</v>
      </c>
      <c r="Q184">
        <v>290</v>
      </c>
      <c r="R184">
        <v>200</v>
      </c>
      <c r="S184">
        <v>245</v>
      </c>
      <c r="T184">
        <v>3.0625</v>
      </c>
      <c r="V184" t="s">
        <v>110</v>
      </c>
      <c r="W184">
        <v>30</v>
      </c>
      <c r="X184">
        <v>8.5</v>
      </c>
      <c r="Y184">
        <v>9</v>
      </c>
      <c r="Z184">
        <v>10</v>
      </c>
      <c r="AA184">
        <v>9.1666666669999994</v>
      </c>
      <c r="AB184">
        <v>9.1666666669999994</v>
      </c>
      <c r="AC184">
        <v>8.5</v>
      </c>
      <c r="AD184">
        <v>8.5</v>
      </c>
      <c r="AE184">
        <v>8.5</v>
      </c>
      <c r="AF184">
        <v>8.5</v>
      </c>
      <c r="AG184">
        <v>8.5</v>
      </c>
      <c r="AH184">
        <v>8.5</v>
      </c>
      <c r="AI184">
        <v>8.5</v>
      </c>
      <c r="AJ184">
        <v>8.5</v>
      </c>
      <c r="AK184">
        <v>7.6</v>
      </c>
      <c r="AL184">
        <v>7.6</v>
      </c>
      <c r="AM184">
        <v>8.5</v>
      </c>
      <c r="AN184">
        <v>7.9</v>
      </c>
      <c r="AO184">
        <v>8.5</v>
      </c>
      <c r="AP184">
        <v>5.0999999999999996</v>
      </c>
      <c r="AQ184">
        <v>4.5999999999999996</v>
      </c>
      <c r="AR184">
        <v>3.6</v>
      </c>
      <c r="AS184">
        <v>4.4333333330000002</v>
      </c>
      <c r="AT184">
        <v>5.6</v>
      </c>
      <c r="AU184">
        <v>4.5999999999999996</v>
      </c>
      <c r="AV184">
        <v>4.0999999999999996</v>
      </c>
      <c r="AW184">
        <v>4.766666667</v>
      </c>
      <c r="AX184">
        <v>4.4333333330000002</v>
      </c>
      <c r="AY184">
        <v>-4.733333333</v>
      </c>
      <c r="AZ184">
        <v>75</v>
      </c>
      <c r="BA184">
        <v>1</v>
      </c>
      <c r="BB184">
        <v>1</v>
      </c>
      <c r="BC184">
        <v>8</v>
      </c>
      <c r="BD184">
        <v>1</v>
      </c>
      <c r="BE184">
        <v>0</v>
      </c>
      <c r="BF184">
        <v>0</v>
      </c>
      <c r="BG184">
        <v>0</v>
      </c>
      <c r="BI184">
        <v>17</v>
      </c>
      <c r="BJ184">
        <v>20.623000000000001</v>
      </c>
      <c r="BK184">
        <v>0</v>
      </c>
      <c r="BL184">
        <v>53</v>
      </c>
      <c r="BM184">
        <v>35</v>
      </c>
      <c r="BN184">
        <v>144</v>
      </c>
      <c r="BO184">
        <v>152</v>
      </c>
      <c r="BP184">
        <v>-8</v>
      </c>
      <c r="BQ184">
        <v>132</v>
      </c>
      <c r="BR184">
        <v>12</v>
      </c>
      <c r="BS184">
        <v>31.661684789999999</v>
      </c>
      <c r="BT184">
        <v>1.303913619</v>
      </c>
      <c r="BU184">
        <v>5.3332122699999998</v>
      </c>
      <c r="BV184">
        <v>-31.661684789999999</v>
      </c>
      <c r="BW184">
        <v>1.303913619</v>
      </c>
      <c r="BX184">
        <v>5.3332122699999998</v>
      </c>
      <c r="BY184">
        <v>1103.9891889999999</v>
      </c>
      <c r="BZ184">
        <v>1.0945836E-2</v>
      </c>
      <c r="CA184">
        <v>7.1569837769999998</v>
      </c>
      <c r="CB184">
        <v>1103.9891889999999</v>
      </c>
      <c r="CC184">
        <v>1.0945836E-2</v>
      </c>
      <c r="CD184">
        <v>7.1569837769999998</v>
      </c>
      <c r="CE184" t="s">
        <v>114</v>
      </c>
      <c r="CF184" t="s">
        <v>114</v>
      </c>
      <c r="CG184" t="s">
        <v>114</v>
      </c>
      <c r="CH184">
        <v>31.661684789999999</v>
      </c>
      <c r="CI184">
        <v>1.303913619</v>
      </c>
      <c r="CJ184">
        <v>5.3332122699999998</v>
      </c>
      <c r="CK184" t="s">
        <v>114</v>
      </c>
      <c r="CL184">
        <v>-31.661684789999999</v>
      </c>
      <c r="CM184">
        <v>1.303913619</v>
      </c>
      <c r="CN184">
        <v>5.3332122699999998</v>
      </c>
      <c r="CO184" t="s">
        <v>114</v>
      </c>
      <c r="CP184">
        <v>1103.9891889999999</v>
      </c>
      <c r="CQ184">
        <v>1.0945836E-2</v>
      </c>
      <c r="CR184">
        <v>7.1569837769999998</v>
      </c>
      <c r="CS184" t="s">
        <v>114</v>
      </c>
      <c r="CT184">
        <v>1103.9891889999999</v>
      </c>
      <c r="CU184">
        <v>1.0945836E-2</v>
      </c>
      <c r="CV184">
        <v>7.1569837769999998</v>
      </c>
      <c r="CW184" t="s">
        <v>114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1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1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0.69314718055994495</v>
      </c>
    </row>
    <row r="185" spans="1:134" x14ac:dyDescent="0.25">
      <c r="A185" t="s">
        <v>87</v>
      </c>
      <c r="B185">
        <v>6</v>
      </c>
      <c r="C185" t="s">
        <v>29</v>
      </c>
      <c r="D185" t="s">
        <v>95</v>
      </c>
      <c r="E185" t="s">
        <v>102</v>
      </c>
      <c r="F185" t="s">
        <v>145</v>
      </c>
      <c r="G185" t="s">
        <v>265</v>
      </c>
      <c r="H185" t="s">
        <v>756</v>
      </c>
      <c r="I185" t="s">
        <v>740</v>
      </c>
      <c r="J185" t="s">
        <v>459</v>
      </c>
      <c r="K185">
        <v>6</v>
      </c>
      <c r="L185">
        <v>140</v>
      </c>
      <c r="M185">
        <v>140</v>
      </c>
      <c r="N185">
        <v>140</v>
      </c>
      <c r="O185">
        <v>0</v>
      </c>
      <c r="P185">
        <v>160</v>
      </c>
      <c r="Q185">
        <v>160</v>
      </c>
      <c r="R185">
        <v>110</v>
      </c>
      <c r="S185">
        <v>135</v>
      </c>
      <c r="T185">
        <v>0.96428571399999996</v>
      </c>
      <c r="V185" t="s">
        <v>110</v>
      </c>
      <c r="W185">
        <v>30</v>
      </c>
      <c r="X185">
        <v>9</v>
      </c>
      <c r="Y185">
        <v>7.6</v>
      </c>
      <c r="Z185">
        <v>11.5</v>
      </c>
      <c r="AA185">
        <v>9.3666666670000005</v>
      </c>
      <c r="AB185">
        <v>9.3666666670000005</v>
      </c>
      <c r="AC185">
        <v>14.4</v>
      </c>
      <c r="AD185">
        <v>12.5</v>
      </c>
      <c r="AE185">
        <v>12.5</v>
      </c>
      <c r="AF185">
        <v>13.133333329999999</v>
      </c>
      <c r="AG185">
        <v>8.5</v>
      </c>
      <c r="AH185">
        <v>8.5</v>
      </c>
      <c r="AI185">
        <v>9.5</v>
      </c>
      <c r="AJ185">
        <v>8.8333333330000006</v>
      </c>
      <c r="AK185">
        <v>11</v>
      </c>
      <c r="AL185">
        <v>12</v>
      </c>
      <c r="AM185">
        <v>13</v>
      </c>
      <c r="AN185">
        <v>12</v>
      </c>
      <c r="AO185">
        <v>8.8333333330000006</v>
      </c>
      <c r="AP185">
        <v>6.1</v>
      </c>
      <c r="AQ185">
        <v>6.1</v>
      </c>
      <c r="AR185">
        <v>6.1</v>
      </c>
      <c r="AS185">
        <v>6.1</v>
      </c>
      <c r="AT185">
        <v>5.0999999999999996</v>
      </c>
      <c r="AU185">
        <v>6.1</v>
      </c>
      <c r="AV185">
        <v>4.5999999999999996</v>
      </c>
      <c r="AW185">
        <v>5.266666667</v>
      </c>
      <c r="AX185">
        <v>6.1</v>
      </c>
      <c r="AY185">
        <v>-3.266666667</v>
      </c>
      <c r="AZ185">
        <v>75</v>
      </c>
      <c r="BA185">
        <v>0</v>
      </c>
      <c r="BB185">
        <v>5</v>
      </c>
      <c r="BC185">
        <v>10</v>
      </c>
      <c r="BD185">
        <v>0</v>
      </c>
      <c r="BE185">
        <v>1</v>
      </c>
      <c r="BF185">
        <v>0</v>
      </c>
      <c r="BG185">
        <v>0</v>
      </c>
      <c r="BI185">
        <v>15</v>
      </c>
      <c r="BJ185">
        <v>54.951000000000001</v>
      </c>
      <c r="BK185">
        <v>0</v>
      </c>
      <c r="BL185">
        <v>20</v>
      </c>
      <c r="BM185">
        <v>15</v>
      </c>
      <c r="BN185">
        <v>686</v>
      </c>
      <c r="BO185">
        <v>567</v>
      </c>
      <c r="BP185">
        <v>119</v>
      </c>
      <c r="BQ185">
        <v>362</v>
      </c>
      <c r="BR185">
        <v>324</v>
      </c>
      <c r="BS185">
        <v>33.874463230000003</v>
      </c>
      <c r="BT185" t="s">
        <v>114</v>
      </c>
      <c r="BU185">
        <v>4.0812668969999999</v>
      </c>
      <c r="BV185">
        <v>-26.221215780000001</v>
      </c>
      <c r="BW185" t="s">
        <v>114</v>
      </c>
      <c r="BX185">
        <v>-0.44556814300000003</v>
      </c>
      <c r="BY185">
        <v>467.57972139999998</v>
      </c>
      <c r="BZ185" t="s">
        <v>114</v>
      </c>
      <c r="CA185">
        <v>4.9908587259999999</v>
      </c>
      <c r="CB185">
        <v>1157.470374</v>
      </c>
      <c r="CC185" t="s">
        <v>114</v>
      </c>
      <c r="CD185">
        <v>29.67817149</v>
      </c>
      <c r="CE185" t="s">
        <v>114</v>
      </c>
      <c r="CF185" t="s">
        <v>114</v>
      </c>
      <c r="CG185" t="s">
        <v>114</v>
      </c>
      <c r="CH185">
        <v>29.869565219999998</v>
      </c>
      <c r="CI185" t="s">
        <v>114</v>
      </c>
      <c r="CJ185">
        <v>4.7118303030000002</v>
      </c>
      <c r="CK185" t="s">
        <v>114</v>
      </c>
      <c r="CL185">
        <v>-18.389694049999999</v>
      </c>
      <c r="CM185" t="s">
        <v>114</v>
      </c>
      <c r="CN185">
        <v>-1.0761315499999999</v>
      </c>
      <c r="CO185" t="s">
        <v>114</v>
      </c>
      <c r="CP185">
        <v>454.58576649999998</v>
      </c>
      <c r="CQ185" t="s">
        <v>114</v>
      </c>
      <c r="CR185">
        <v>2.4771823340000001</v>
      </c>
      <c r="CS185" t="s">
        <v>114</v>
      </c>
      <c r="CT185">
        <v>1119.3978609999999</v>
      </c>
      <c r="CU185" t="s">
        <v>114</v>
      </c>
      <c r="CV185">
        <v>27.72912517</v>
      </c>
      <c r="CW185" t="s">
        <v>114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2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3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1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1.01140426470735</v>
      </c>
    </row>
    <row r="186" spans="1:134" x14ac:dyDescent="0.25">
      <c r="A186" t="s">
        <v>87</v>
      </c>
      <c r="B186">
        <v>6</v>
      </c>
      <c r="C186" t="s">
        <v>29</v>
      </c>
      <c r="D186" t="s">
        <v>95</v>
      </c>
      <c r="E186" t="s">
        <v>110</v>
      </c>
      <c r="F186" t="s">
        <v>145</v>
      </c>
      <c r="G186" t="s">
        <v>262</v>
      </c>
      <c r="H186" t="s">
        <v>768</v>
      </c>
      <c r="I186" t="s">
        <v>744</v>
      </c>
      <c r="J186" t="s">
        <v>460</v>
      </c>
      <c r="K186">
        <v>1</v>
      </c>
      <c r="L186">
        <v>10</v>
      </c>
      <c r="M186">
        <v>50</v>
      </c>
      <c r="N186">
        <v>10</v>
      </c>
      <c r="O186">
        <v>-40</v>
      </c>
      <c r="P186">
        <v>8</v>
      </c>
      <c r="Q186">
        <v>14</v>
      </c>
      <c r="R186">
        <v>5</v>
      </c>
      <c r="S186">
        <v>9.5</v>
      </c>
      <c r="T186">
        <v>0.95</v>
      </c>
      <c r="V186" t="s">
        <v>110</v>
      </c>
      <c r="W186">
        <v>55</v>
      </c>
      <c r="X186">
        <v>9</v>
      </c>
      <c r="Y186">
        <v>7.6</v>
      </c>
      <c r="Z186">
        <v>11.5</v>
      </c>
      <c r="AA186">
        <v>9.3666666670000005</v>
      </c>
      <c r="AB186">
        <v>9.3666666670000005</v>
      </c>
      <c r="AC186">
        <v>10.5</v>
      </c>
      <c r="AD186">
        <v>8.5</v>
      </c>
      <c r="AE186">
        <v>9.5</v>
      </c>
      <c r="AF186">
        <v>9.5</v>
      </c>
      <c r="AG186">
        <v>8.5</v>
      </c>
      <c r="AH186">
        <v>8.5</v>
      </c>
      <c r="AI186">
        <v>9.5</v>
      </c>
      <c r="AJ186">
        <v>8.8333333330000006</v>
      </c>
      <c r="AK186">
        <v>8.5</v>
      </c>
      <c r="AL186">
        <v>9</v>
      </c>
      <c r="AM186">
        <v>12</v>
      </c>
      <c r="AN186">
        <v>9.8333333330000006</v>
      </c>
      <c r="AO186">
        <v>8.8333333330000006</v>
      </c>
      <c r="AP186">
        <v>6.1</v>
      </c>
      <c r="AQ186">
        <v>6.1</v>
      </c>
      <c r="AR186">
        <v>6.1</v>
      </c>
      <c r="AS186">
        <v>6.1</v>
      </c>
      <c r="AT186">
        <v>5.6</v>
      </c>
      <c r="AU186">
        <v>6.1</v>
      </c>
      <c r="AV186">
        <v>5.0999999999999996</v>
      </c>
      <c r="AW186">
        <v>5.6</v>
      </c>
      <c r="AX186">
        <v>6.1</v>
      </c>
      <c r="AY186">
        <v>-3.266666667</v>
      </c>
      <c r="AZ186">
        <v>75</v>
      </c>
      <c r="BA186">
        <v>0</v>
      </c>
      <c r="BB186">
        <v>5</v>
      </c>
      <c r="BC186">
        <v>10</v>
      </c>
      <c r="BD186">
        <v>0</v>
      </c>
      <c r="BE186">
        <v>1</v>
      </c>
      <c r="BF186">
        <v>0</v>
      </c>
      <c r="BG186">
        <v>0</v>
      </c>
      <c r="BI186">
        <v>15</v>
      </c>
      <c r="BJ186">
        <v>54.951000000000001</v>
      </c>
      <c r="BK186">
        <v>0</v>
      </c>
      <c r="BL186">
        <v>3</v>
      </c>
      <c r="BM186">
        <v>1</v>
      </c>
      <c r="BN186">
        <v>1</v>
      </c>
      <c r="BO186">
        <v>0</v>
      </c>
      <c r="BP186">
        <v>1</v>
      </c>
      <c r="BQ186">
        <v>0</v>
      </c>
      <c r="BR186">
        <v>1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 t="s">
        <v>114</v>
      </c>
      <c r="BZ186" t="s">
        <v>114</v>
      </c>
      <c r="CA186" t="s">
        <v>114</v>
      </c>
      <c r="CB186" t="s">
        <v>114</v>
      </c>
      <c r="CC186" t="s">
        <v>114</v>
      </c>
      <c r="CD186" t="s">
        <v>114</v>
      </c>
      <c r="CE186">
        <v>0</v>
      </c>
      <c r="CF186" t="s">
        <v>114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 t="s">
        <v>114</v>
      </c>
      <c r="CP186" t="s">
        <v>114</v>
      </c>
      <c r="CQ186" t="s">
        <v>114</v>
      </c>
      <c r="CR186" t="s">
        <v>114</v>
      </c>
      <c r="CS186" t="s">
        <v>114</v>
      </c>
      <c r="CT186" t="s">
        <v>114</v>
      </c>
      <c r="CU186" t="s">
        <v>114</v>
      </c>
      <c r="CV186" t="s">
        <v>114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1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</row>
    <row r="187" spans="1:134" x14ac:dyDescent="0.25">
      <c r="A187" t="s">
        <v>88</v>
      </c>
      <c r="B187">
        <v>6</v>
      </c>
      <c r="C187" t="s">
        <v>31</v>
      </c>
      <c r="D187" t="s">
        <v>95</v>
      </c>
      <c r="E187" t="s">
        <v>110</v>
      </c>
      <c r="F187" t="s">
        <v>145</v>
      </c>
      <c r="G187" t="s">
        <v>262</v>
      </c>
      <c r="H187" t="s">
        <v>768</v>
      </c>
      <c r="I187" t="s">
        <v>744</v>
      </c>
      <c r="J187" t="s">
        <v>461</v>
      </c>
      <c r="K187">
        <v>4</v>
      </c>
      <c r="L187">
        <v>180</v>
      </c>
      <c r="M187">
        <v>30</v>
      </c>
      <c r="N187">
        <v>180</v>
      </c>
      <c r="O187">
        <v>150</v>
      </c>
      <c r="P187">
        <v>16</v>
      </c>
      <c r="Q187">
        <v>25</v>
      </c>
      <c r="R187">
        <v>0</v>
      </c>
      <c r="S187">
        <v>12.5</v>
      </c>
      <c r="T187">
        <v>6.9444443999999994E-2</v>
      </c>
      <c r="U187" t="s">
        <v>794</v>
      </c>
      <c r="V187" t="s">
        <v>113</v>
      </c>
      <c r="W187">
        <v>120</v>
      </c>
      <c r="X187">
        <v>15.9</v>
      </c>
      <c r="Y187">
        <v>11.5</v>
      </c>
      <c r="Z187">
        <v>18.399999999999999</v>
      </c>
      <c r="AA187">
        <v>15.266666669999999</v>
      </c>
      <c r="AB187">
        <v>15.266666669999999</v>
      </c>
      <c r="AC187">
        <v>12</v>
      </c>
      <c r="AD187">
        <v>12.5</v>
      </c>
      <c r="AE187">
        <v>13</v>
      </c>
      <c r="AF187">
        <v>12.5</v>
      </c>
      <c r="AG187">
        <v>12</v>
      </c>
      <c r="AH187">
        <v>15.4</v>
      </c>
      <c r="AI187">
        <v>15.9</v>
      </c>
      <c r="AJ187">
        <v>14.43333333</v>
      </c>
      <c r="AK187">
        <v>10.5</v>
      </c>
      <c r="AL187">
        <v>10</v>
      </c>
      <c r="AM187">
        <v>12.5</v>
      </c>
      <c r="AN187">
        <v>11</v>
      </c>
      <c r="AO187">
        <v>14.43333333</v>
      </c>
      <c r="AP187">
        <v>8.5</v>
      </c>
      <c r="AQ187">
        <v>4.5999999999999996</v>
      </c>
      <c r="AR187">
        <v>5.6</v>
      </c>
      <c r="AS187">
        <v>6.233333333</v>
      </c>
      <c r="AT187">
        <v>4.5999999999999996</v>
      </c>
      <c r="AU187">
        <v>5.6</v>
      </c>
      <c r="AV187">
        <v>5.0999999999999996</v>
      </c>
      <c r="AW187">
        <v>5.0999999999999996</v>
      </c>
      <c r="AX187">
        <v>6.233333333</v>
      </c>
      <c r="AY187">
        <v>-9.0333333329999999</v>
      </c>
      <c r="AZ187">
        <v>10</v>
      </c>
      <c r="BA187">
        <v>40</v>
      </c>
      <c r="BB187">
        <v>2</v>
      </c>
      <c r="BC187">
        <v>10</v>
      </c>
      <c r="BD187">
        <v>1</v>
      </c>
      <c r="BE187">
        <v>1</v>
      </c>
      <c r="BF187">
        <v>0</v>
      </c>
      <c r="BG187">
        <v>0</v>
      </c>
      <c r="BI187">
        <v>15.5</v>
      </c>
      <c r="BJ187">
        <v>42.4</v>
      </c>
      <c r="BK187">
        <v>0</v>
      </c>
      <c r="BL187">
        <v>3</v>
      </c>
      <c r="BM187">
        <v>3</v>
      </c>
      <c r="BN187">
        <v>3</v>
      </c>
      <c r="BO187">
        <v>0</v>
      </c>
      <c r="BP187">
        <v>3</v>
      </c>
      <c r="BQ187">
        <v>0</v>
      </c>
      <c r="BR187">
        <v>3</v>
      </c>
      <c r="BS187">
        <v>17.76375165</v>
      </c>
      <c r="BT187">
        <v>0.66851159100000002</v>
      </c>
      <c r="BU187">
        <v>7.9912752200000003</v>
      </c>
      <c r="BV187">
        <v>-17.76375165</v>
      </c>
      <c r="BW187">
        <v>0.66851159100000002</v>
      </c>
      <c r="BX187">
        <v>7.9912752200000003</v>
      </c>
      <c r="BY187">
        <v>105.6198993</v>
      </c>
      <c r="BZ187">
        <v>0.229866759</v>
      </c>
      <c r="CA187">
        <v>29.684675349999999</v>
      </c>
      <c r="CB187">
        <v>105.6198993</v>
      </c>
      <c r="CC187">
        <v>0.229866759</v>
      </c>
      <c r="CD187">
        <v>29.684675349999999</v>
      </c>
      <c r="CE187">
        <v>0.58813364999999995</v>
      </c>
      <c r="CF187">
        <v>2.3251879E-2</v>
      </c>
      <c r="CG187">
        <v>0.64204547499999998</v>
      </c>
      <c r="CH187">
        <v>14.13022892</v>
      </c>
      <c r="CI187">
        <v>0.49900246199999998</v>
      </c>
      <c r="CJ187">
        <v>9.9175629500000007</v>
      </c>
      <c r="CK187">
        <v>0.64204547499999998</v>
      </c>
      <c r="CL187">
        <v>-14.13022892</v>
      </c>
      <c r="CM187">
        <v>0.49900246199999998</v>
      </c>
      <c r="CN187">
        <v>9.9175629500000007</v>
      </c>
      <c r="CO187">
        <v>1.1625939E-2</v>
      </c>
      <c r="CP187">
        <v>52.80994965</v>
      </c>
      <c r="CQ187">
        <v>0.114933379</v>
      </c>
      <c r="CR187">
        <v>14.842337669999999</v>
      </c>
      <c r="CS187">
        <v>1.1625939E-2</v>
      </c>
      <c r="CT187">
        <v>52.80994965</v>
      </c>
      <c r="CU187">
        <v>0.114933379</v>
      </c>
      <c r="CV187">
        <v>14.842337669999999</v>
      </c>
      <c r="CW187">
        <v>0.58813364999999995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3</v>
      </c>
      <c r="DM187">
        <v>0</v>
      </c>
      <c r="DN187">
        <v>0</v>
      </c>
      <c r="DO187">
        <v>0</v>
      </c>
      <c r="DP187">
        <v>1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0.56233514461880796</v>
      </c>
    </row>
    <row r="188" spans="1:134" x14ac:dyDescent="0.25">
      <c r="A188" t="s">
        <v>88</v>
      </c>
      <c r="B188">
        <v>6</v>
      </c>
      <c r="C188" t="s">
        <v>31</v>
      </c>
      <c r="D188" t="s">
        <v>95</v>
      </c>
      <c r="E188" t="s">
        <v>112</v>
      </c>
      <c r="F188" t="s">
        <v>145</v>
      </c>
      <c r="G188" t="s">
        <v>261</v>
      </c>
      <c r="H188" t="s">
        <v>784</v>
      </c>
      <c r="I188" t="s">
        <v>741</v>
      </c>
      <c r="J188" t="s">
        <v>462</v>
      </c>
      <c r="K188">
        <v>2</v>
      </c>
      <c r="L188">
        <v>100</v>
      </c>
      <c r="M188">
        <v>70</v>
      </c>
      <c r="N188">
        <v>100</v>
      </c>
      <c r="O188">
        <v>30</v>
      </c>
      <c r="P188">
        <v>60</v>
      </c>
      <c r="Q188">
        <v>170</v>
      </c>
      <c r="R188">
        <v>45</v>
      </c>
      <c r="S188">
        <v>107.5</v>
      </c>
      <c r="T188">
        <v>1.075</v>
      </c>
      <c r="V188" t="s">
        <v>113</v>
      </c>
      <c r="W188">
        <v>40</v>
      </c>
      <c r="X188">
        <v>15.9</v>
      </c>
      <c r="Y188">
        <v>11.5</v>
      </c>
      <c r="Z188">
        <v>18.399999999999999</v>
      </c>
      <c r="AA188">
        <v>15.266666669999999</v>
      </c>
      <c r="AB188">
        <v>15.266666669999999</v>
      </c>
      <c r="AC188">
        <v>11.5</v>
      </c>
      <c r="AD188">
        <v>10</v>
      </c>
      <c r="AE188">
        <v>11.5</v>
      </c>
      <c r="AF188">
        <v>11</v>
      </c>
      <c r="AG188">
        <v>12</v>
      </c>
      <c r="AH188">
        <v>15.4</v>
      </c>
      <c r="AI188">
        <v>15.9</v>
      </c>
      <c r="AJ188">
        <v>14.43333333</v>
      </c>
      <c r="AK188">
        <v>12</v>
      </c>
      <c r="AL188">
        <v>11</v>
      </c>
      <c r="AM188">
        <v>11.5</v>
      </c>
      <c r="AN188">
        <v>11.5</v>
      </c>
      <c r="AO188">
        <v>14.43333333</v>
      </c>
      <c r="AP188">
        <v>8.5</v>
      </c>
      <c r="AQ188">
        <v>4.5999999999999996</v>
      </c>
      <c r="AR188">
        <v>5.6</v>
      </c>
      <c r="AS188">
        <v>6.233333333</v>
      </c>
      <c r="AT188">
        <v>5.0999999999999996</v>
      </c>
      <c r="AU188">
        <v>4.5999999999999996</v>
      </c>
      <c r="AV188">
        <v>4.5999999999999996</v>
      </c>
      <c r="AW188">
        <v>4.766666667</v>
      </c>
      <c r="AX188">
        <v>6.233333333</v>
      </c>
      <c r="AY188">
        <v>-9.0333333329999999</v>
      </c>
      <c r="AZ188">
        <v>10</v>
      </c>
      <c r="BA188">
        <v>40</v>
      </c>
      <c r="BB188">
        <v>2</v>
      </c>
      <c r="BC188">
        <v>10</v>
      </c>
      <c r="BD188">
        <v>1</v>
      </c>
      <c r="BE188">
        <v>1</v>
      </c>
      <c r="BF188">
        <v>0</v>
      </c>
      <c r="BG188">
        <v>0</v>
      </c>
      <c r="BI188">
        <v>15.5</v>
      </c>
      <c r="BJ188">
        <v>42.4</v>
      </c>
      <c r="BK188">
        <v>0</v>
      </c>
      <c r="BL188">
        <v>36</v>
      </c>
      <c r="BM188">
        <v>29</v>
      </c>
      <c r="BN188">
        <v>112</v>
      </c>
      <c r="BO188">
        <v>50</v>
      </c>
      <c r="BP188">
        <v>62</v>
      </c>
      <c r="BQ188">
        <v>48</v>
      </c>
      <c r="BR188">
        <v>64</v>
      </c>
      <c r="BS188">
        <v>18.663825760000002</v>
      </c>
      <c r="BT188">
        <v>1.5594277780000001</v>
      </c>
      <c r="BU188">
        <v>15.285372730000001</v>
      </c>
      <c r="BV188">
        <v>-18.663825760000002</v>
      </c>
      <c r="BW188">
        <v>1.5594277780000001</v>
      </c>
      <c r="BX188">
        <v>15.285372730000001</v>
      </c>
      <c r="BY188" t="s">
        <v>114</v>
      </c>
      <c r="BZ188" t="s">
        <v>114</v>
      </c>
      <c r="CA188" t="s">
        <v>114</v>
      </c>
      <c r="CB188" t="s">
        <v>114</v>
      </c>
      <c r="CC188" t="s">
        <v>114</v>
      </c>
      <c r="CD188" t="s">
        <v>114</v>
      </c>
      <c r="CE188">
        <v>1.9981640000000001</v>
      </c>
      <c r="CF188" t="s">
        <v>114</v>
      </c>
      <c r="CG188">
        <v>1.9981640000000001</v>
      </c>
      <c r="CH188">
        <v>18.663825760000002</v>
      </c>
      <c r="CI188">
        <v>1.5594277780000001</v>
      </c>
      <c r="CJ188">
        <v>15.285372730000001</v>
      </c>
      <c r="CK188">
        <v>1.9981640000000001</v>
      </c>
      <c r="CL188">
        <v>-18.663825760000002</v>
      </c>
      <c r="CM188">
        <v>1.5594277780000001</v>
      </c>
      <c r="CN188">
        <v>15.285372730000001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1.9981640000000001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2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</row>
    <row r="189" spans="1:134" x14ac:dyDescent="0.25">
      <c r="A189" t="s">
        <v>89</v>
      </c>
      <c r="B189">
        <v>6</v>
      </c>
      <c r="C189" t="s">
        <v>33</v>
      </c>
      <c r="D189" t="s">
        <v>95</v>
      </c>
      <c r="E189" t="s">
        <v>104</v>
      </c>
      <c r="F189" t="s">
        <v>145</v>
      </c>
      <c r="G189" t="s">
        <v>264</v>
      </c>
      <c r="H189" t="s">
        <v>780</v>
      </c>
      <c r="I189" t="s">
        <v>745</v>
      </c>
      <c r="J189" t="s">
        <v>463</v>
      </c>
      <c r="K189">
        <v>3</v>
      </c>
      <c r="L189">
        <v>45</v>
      </c>
      <c r="M189">
        <v>150</v>
      </c>
      <c r="N189">
        <v>45</v>
      </c>
      <c r="O189">
        <v>-105</v>
      </c>
      <c r="P189">
        <v>40</v>
      </c>
      <c r="Q189">
        <v>20</v>
      </c>
      <c r="R189">
        <v>10</v>
      </c>
      <c r="S189">
        <v>15</v>
      </c>
      <c r="T189">
        <v>0.33333333300000001</v>
      </c>
      <c r="V189" t="s">
        <v>104</v>
      </c>
      <c r="W189">
        <v>90</v>
      </c>
      <c r="X189">
        <v>13</v>
      </c>
      <c r="Y189">
        <v>13.9</v>
      </c>
      <c r="Z189">
        <v>16.899999999999999</v>
      </c>
      <c r="AA189">
        <v>14.6</v>
      </c>
      <c r="AB189">
        <v>14.6</v>
      </c>
      <c r="AC189">
        <v>16.399999999999999</v>
      </c>
      <c r="AD189">
        <v>10</v>
      </c>
      <c r="AE189">
        <v>13.9</v>
      </c>
      <c r="AF189">
        <v>13.43333333</v>
      </c>
      <c r="AG189">
        <v>13.9</v>
      </c>
      <c r="AH189">
        <v>16.399999999999999</v>
      </c>
      <c r="AI189">
        <v>14.4</v>
      </c>
      <c r="AJ189">
        <v>14.9</v>
      </c>
      <c r="AK189">
        <v>12</v>
      </c>
      <c r="AL189">
        <v>13.5</v>
      </c>
      <c r="AM189">
        <v>14.9</v>
      </c>
      <c r="AN189">
        <v>13.46666667</v>
      </c>
      <c r="AO189">
        <v>14.9</v>
      </c>
      <c r="AP189">
        <v>6.6</v>
      </c>
      <c r="AQ189">
        <v>6.6</v>
      </c>
      <c r="AR189" t="s">
        <v>114</v>
      </c>
      <c r="AS189">
        <v>6.6</v>
      </c>
      <c r="AT189">
        <v>6.1</v>
      </c>
      <c r="AU189">
        <v>5.0999999999999996</v>
      </c>
      <c r="AV189">
        <v>6.6</v>
      </c>
      <c r="AW189">
        <v>5.9333333330000002</v>
      </c>
      <c r="AX189">
        <v>6.6</v>
      </c>
      <c r="AY189">
        <v>-8</v>
      </c>
      <c r="AZ189">
        <v>15</v>
      </c>
      <c r="BA189">
        <v>15</v>
      </c>
      <c r="BB189">
        <v>5</v>
      </c>
      <c r="BC189">
        <v>50</v>
      </c>
      <c r="BD189">
        <v>1</v>
      </c>
      <c r="BE189">
        <v>1</v>
      </c>
      <c r="BF189">
        <v>0</v>
      </c>
      <c r="BG189">
        <v>0</v>
      </c>
      <c r="BI189">
        <v>8.8000000000000007</v>
      </c>
      <c r="BJ189">
        <v>42.4</v>
      </c>
      <c r="BK189">
        <v>0</v>
      </c>
      <c r="BL189">
        <v>22</v>
      </c>
      <c r="BM189">
        <v>22</v>
      </c>
      <c r="BN189">
        <v>122</v>
      </c>
      <c r="BO189">
        <v>44</v>
      </c>
      <c r="BP189">
        <v>78</v>
      </c>
      <c r="BQ189">
        <v>44</v>
      </c>
      <c r="BR189">
        <v>78</v>
      </c>
      <c r="BS189">
        <v>7.3194444430000001</v>
      </c>
      <c r="BT189">
        <v>1.29714051</v>
      </c>
      <c r="BU189">
        <v>1.9218113999999999</v>
      </c>
      <c r="BV189">
        <v>3.11111111</v>
      </c>
      <c r="BW189">
        <v>1.29714051</v>
      </c>
      <c r="BX189">
        <v>1.9218113999999999</v>
      </c>
      <c r="BY189">
        <v>61.958477979999998</v>
      </c>
      <c r="BZ189">
        <v>1.4466459190000001</v>
      </c>
      <c r="CA189">
        <v>2.8015822479999999</v>
      </c>
      <c r="CB189">
        <v>127.80135989999999</v>
      </c>
      <c r="CC189">
        <v>1.4466459190000001</v>
      </c>
      <c r="CD189">
        <v>2.8015822479999999</v>
      </c>
      <c r="CE189" t="s">
        <v>114</v>
      </c>
      <c r="CF189" t="s">
        <v>114</v>
      </c>
      <c r="CG189" t="s">
        <v>114</v>
      </c>
      <c r="CH189">
        <v>7.3194444430000001</v>
      </c>
      <c r="CI189">
        <v>1.29714051</v>
      </c>
      <c r="CJ189">
        <v>1.9218113999999999</v>
      </c>
      <c r="CK189" t="s">
        <v>114</v>
      </c>
      <c r="CL189">
        <v>3.11111111</v>
      </c>
      <c r="CM189">
        <v>1.29714051</v>
      </c>
      <c r="CN189">
        <v>1.9218113999999999</v>
      </c>
      <c r="CO189" t="s">
        <v>114</v>
      </c>
      <c r="CP189">
        <v>61.958477979999998</v>
      </c>
      <c r="CQ189">
        <v>1.4466459190000001</v>
      </c>
      <c r="CR189">
        <v>2.8015822479999999</v>
      </c>
      <c r="CS189" t="s">
        <v>114</v>
      </c>
      <c r="CT189">
        <v>127.80135989999999</v>
      </c>
      <c r="CU189">
        <v>1.4466459190000001</v>
      </c>
      <c r="CV189">
        <v>2.8015822479999999</v>
      </c>
      <c r="CW189" t="s">
        <v>114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1</v>
      </c>
      <c r="DQ189">
        <v>0</v>
      </c>
      <c r="DR189">
        <v>0</v>
      </c>
      <c r="DS189">
        <v>0</v>
      </c>
      <c r="DT189">
        <v>1</v>
      </c>
      <c r="DU189">
        <v>0</v>
      </c>
      <c r="DV189">
        <v>0</v>
      </c>
      <c r="DW189">
        <v>0</v>
      </c>
      <c r="DX189">
        <v>0</v>
      </c>
      <c r="DY189">
        <v>1</v>
      </c>
      <c r="DZ189">
        <v>0</v>
      </c>
      <c r="EA189">
        <v>0</v>
      </c>
      <c r="EB189">
        <v>0</v>
      </c>
      <c r="EC189">
        <v>0</v>
      </c>
      <c r="ED189">
        <v>1.09861228866811</v>
      </c>
    </row>
    <row r="190" spans="1:134" x14ac:dyDescent="0.25">
      <c r="A190" t="s">
        <v>89</v>
      </c>
      <c r="B190">
        <v>6</v>
      </c>
      <c r="C190" t="s">
        <v>33</v>
      </c>
      <c r="D190" t="s">
        <v>95</v>
      </c>
      <c r="E190" t="s">
        <v>112</v>
      </c>
      <c r="F190" t="s">
        <v>145</v>
      </c>
      <c r="G190" t="s">
        <v>261</v>
      </c>
      <c r="H190" t="s">
        <v>784</v>
      </c>
      <c r="I190" t="s">
        <v>741</v>
      </c>
      <c r="J190" t="s">
        <v>464</v>
      </c>
      <c r="K190">
        <v>4</v>
      </c>
      <c r="L190">
        <v>45</v>
      </c>
      <c r="M190">
        <v>120</v>
      </c>
      <c r="N190">
        <v>45</v>
      </c>
      <c r="O190">
        <v>-75</v>
      </c>
      <c r="P190">
        <v>30</v>
      </c>
      <c r="Q190">
        <v>80</v>
      </c>
      <c r="R190">
        <v>25</v>
      </c>
      <c r="S190">
        <v>52.5</v>
      </c>
      <c r="T190">
        <v>1.1666666670000001</v>
      </c>
      <c r="V190" t="s">
        <v>113</v>
      </c>
      <c r="W190">
        <v>110</v>
      </c>
      <c r="X190">
        <v>13</v>
      </c>
      <c r="Y190">
        <v>13.9</v>
      </c>
      <c r="Z190">
        <v>16.899999999999999</v>
      </c>
      <c r="AA190">
        <v>14.6</v>
      </c>
      <c r="AB190">
        <v>14.6</v>
      </c>
      <c r="AC190">
        <v>18.899999999999999</v>
      </c>
      <c r="AD190">
        <v>18.399999999999999</v>
      </c>
      <c r="AE190">
        <v>17.399999999999999</v>
      </c>
      <c r="AF190">
        <v>18.233333330000001</v>
      </c>
      <c r="AG190">
        <v>13.9</v>
      </c>
      <c r="AH190">
        <v>16.399999999999999</v>
      </c>
      <c r="AI190">
        <v>14.4</v>
      </c>
      <c r="AJ190">
        <v>14.9</v>
      </c>
      <c r="AK190">
        <v>18.899999999999999</v>
      </c>
      <c r="AL190">
        <v>14.9</v>
      </c>
      <c r="AM190">
        <v>15.4</v>
      </c>
      <c r="AN190">
        <v>16.399999999999999</v>
      </c>
      <c r="AO190">
        <v>14.9</v>
      </c>
      <c r="AP190">
        <v>6.6</v>
      </c>
      <c r="AQ190">
        <v>6.6</v>
      </c>
      <c r="AR190" t="s">
        <v>114</v>
      </c>
      <c r="AS190">
        <v>6.6</v>
      </c>
      <c r="AT190">
        <v>6.1</v>
      </c>
      <c r="AU190">
        <v>6.6</v>
      </c>
      <c r="AV190">
        <v>6.1</v>
      </c>
      <c r="AW190">
        <v>6.266666667</v>
      </c>
      <c r="AX190">
        <v>6.6</v>
      </c>
      <c r="AY190">
        <v>-8</v>
      </c>
      <c r="AZ190">
        <v>15</v>
      </c>
      <c r="BA190">
        <v>15</v>
      </c>
      <c r="BB190">
        <v>5</v>
      </c>
      <c r="BC190">
        <v>50</v>
      </c>
      <c r="BD190">
        <v>1</v>
      </c>
      <c r="BE190">
        <v>1</v>
      </c>
      <c r="BF190">
        <v>0</v>
      </c>
      <c r="BG190">
        <v>0</v>
      </c>
      <c r="BI190">
        <v>8.8000000000000007</v>
      </c>
      <c r="BJ190">
        <v>42.4</v>
      </c>
      <c r="BK190">
        <v>1</v>
      </c>
      <c r="BL190">
        <v>3</v>
      </c>
      <c r="BM190">
        <v>3</v>
      </c>
      <c r="BN190">
        <v>9</v>
      </c>
      <c r="BO190">
        <v>50</v>
      </c>
      <c r="BP190">
        <v>-41</v>
      </c>
      <c r="BQ190">
        <v>78</v>
      </c>
      <c r="BR190">
        <v>-69</v>
      </c>
      <c r="BS190">
        <v>18.663825760000002</v>
      </c>
      <c r="BT190">
        <v>1.5594277780000001</v>
      </c>
      <c r="BU190">
        <v>15.285372730000001</v>
      </c>
      <c r="BV190">
        <v>-18.663825760000002</v>
      </c>
      <c r="BW190">
        <v>1.5594277780000001</v>
      </c>
      <c r="BX190">
        <v>15.285372730000001</v>
      </c>
      <c r="BY190" t="s">
        <v>114</v>
      </c>
      <c r="BZ190" t="s">
        <v>114</v>
      </c>
      <c r="CA190" t="s">
        <v>114</v>
      </c>
      <c r="CB190" t="s">
        <v>114</v>
      </c>
      <c r="CC190" t="s">
        <v>114</v>
      </c>
      <c r="CD190" t="s">
        <v>114</v>
      </c>
      <c r="CE190">
        <v>1.9981640000000001</v>
      </c>
      <c r="CF190" t="s">
        <v>114</v>
      </c>
      <c r="CG190">
        <v>1.9981640000000001</v>
      </c>
      <c r="CH190">
        <v>18.663825760000002</v>
      </c>
      <c r="CI190">
        <v>1.5594277780000001</v>
      </c>
      <c r="CJ190">
        <v>15.285372730000001</v>
      </c>
      <c r="CK190">
        <v>1.9981640000000001</v>
      </c>
      <c r="CL190">
        <v>-18.663825760000002</v>
      </c>
      <c r="CM190">
        <v>1.5594277780000001</v>
      </c>
      <c r="CN190">
        <v>15.285372730000001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1.9981640000000001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4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</row>
    <row r="191" spans="1:134" x14ac:dyDescent="0.25">
      <c r="A191" t="s">
        <v>90</v>
      </c>
      <c r="B191">
        <v>6</v>
      </c>
      <c r="C191" t="s">
        <v>35</v>
      </c>
      <c r="D191" t="s">
        <v>94</v>
      </c>
      <c r="E191" t="s">
        <v>111</v>
      </c>
      <c r="F191" t="s">
        <v>145</v>
      </c>
      <c r="G191" t="s">
        <v>263</v>
      </c>
      <c r="H191" t="s">
        <v>775</v>
      </c>
      <c r="I191" t="s">
        <v>739</v>
      </c>
      <c r="J191" t="s">
        <v>465</v>
      </c>
      <c r="K191">
        <v>4</v>
      </c>
      <c r="L191">
        <v>310</v>
      </c>
      <c r="M191">
        <v>490</v>
      </c>
      <c r="N191">
        <v>310</v>
      </c>
      <c r="O191">
        <v>-180</v>
      </c>
      <c r="P191">
        <v>75</v>
      </c>
      <c r="Q191">
        <v>100</v>
      </c>
      <c r="R191">
        <v>70</v>
      </c>
      <c r="S191">
        <v>85</v>
      </c>
      <c r="T191">
        <v>0.27419354800000001</v>
      </c>
      <c r="V191" t="s">
        <v>121</v>
      </c>
      <c r="W191" t="s">
        <v>114</v>
      </c>
      <c r="X191">
        <v>10</v>
      </c>
      <c r="Y191">
        <v>10</v>
      </c>
      <c r="Z191">
        <v>10.5</v>
      </c>
      <c r="AA191">
        <v>10.16666667</v>
      </c>
      <c r="AB191">
        <v>10.16666667</v>
      </c>
      <c r="AC191">
        <v>10</v>
      </c>
      <c r="AD191">
        <v>10.5</v>
      </c>
      <c r="AE191">
        <v>12</v>
      </c>
      <c r="AF191">
        <v>10.83333333</v>
      </c>
      <c r="AG191">
        <v>9</v>
      </c>
      <c r="AH191">
        <v>10</v>
      </c>
      <c r="AI191">
        <v>11</v>
      </c>
      <c r="AJ191">
        <v>10</v>
      </c>
      <c r="AK191">
        <v>9.5</v>
      </c>
      <c r="AL191">
        <v>9.5</v>
      </c>
      <c r="AM191">
        <v>9.5</v>
      </c>
      <c r="AN191">
        <v>9.5</v>
      </c>
      <c r="AO191">
        <v>10</v>
      </c>
      <c r="AP191">
        <v>4.0999999999999996</v>
      </c>
      <c r="AQ191">
        <v>4.0999999999999996</v>
      </c>
      <c r="AR191">
        <v>4.5999999999999996</v>
      </c>
      <c r="AS191">
        <v>4.266666667</v>
      </c>
      <c r="AT191">
        <v>5.0999999999999996</v>
      </c>
      <c r="AU191">
        <v>3.6</v>
      </c>
      <c r="AV191">
        <v>5.6</v>
      </c>
      <c r="AW191">
        <v>4.766666667</v>
      </c>
      <c r="AX191">
        <v>4.266666667</v>
      </c>
      <c r="AY191">
        <v>-5.9</v>
      </c>
      <c r="AZ191">
        <v>20</v>
      </c>
      <c r="BA191">
        <v>25</v>
      </c>
      <c r="BB191">
        <v>3</v>
      </c>
      <c r="BC191">
        <v>10</v>
      </c>
      <c r="BD191">
        <v>0</v>
      </c>
      <c r="BE191">
        <v>1</v>
      </c>
      <c r="BF191">
        <v>0</v>
      </c>
      <c r="BG191">
        <v>0</v>
      </c>
      <c r="BI191">
        <v>15.3</v>
      </c>
      <c r="BJ191">
        <v>4.1269999999999998</v>
      </c>
      <c r="BK191">
        <v>0</v>
      </c>
      <c r="BL191" t="s">
        <v>114</v>
      </c>
      <c r="BM191" t="s">
        <v>114</v>
      </c>
      <c r="BN191" t="s">
        <v>114</v>
      </c>
      <c r="BO191">
        <v>4600</v>
      </c>
      <c r="BP191" t="s">
        <v>114</v>
      </c>
      <c r="BQ191">
        <v>4442</v>
      </c>
      <c r="BR191" t="s">
        <v>114</v>
      </c>
      <c r="BS191">
        <v>44.774886879999997</v>
      </c>
      <c r="BT191">
        <v>1.686176111</v>
      </c>
      <c r="BU191">
        <v>8.3051498699999993</v>
      </c>
      <c r="BV191">
        <v>-32.341919849999996</v>
      </c>
      <c r="BW191">
        <v>-1.686176111</v>
      </c>
      <c r="BX191">
        <v>-8.3051498699999993</v>
      </c>
      <c r="BY191">
        <v>2091.9995589999999</v>
      </c>
      <c r="BZ191">
        <v>4.9067340899999996</v>
      </c>
      <c r="CA191">
        <v>18.476658990000001</v>
      </c>
      <c r="CB191">
        <v>4009.5809899999999</v>
      </c>
      <c r="CC191">
        <v>4.9067340899999996</v>
      </c>
      <c r="CD191">
        <v>18.476658990000001</v>
      </c>
      <c r="CE191" t="s">
        <v>114</v>
      </c>
      <c r="CF191" t="s">
        <v>114</v>
      </c>
      <c r="CG191" t="s">
        <v>114</v>
      </c>
      <c r="CH191">
        <v>60.945846809999999</v>
      </c>
      <c r="CI191">
        <v>0.90301472199999999</v>
      </c>
      <c r="CJ191">
        <v>6.7854188500000001</v>
      </c>
      <c r="CK191" t="s">
        <v>114</v>
      </c>
      <c r="CL191">
        <v>-54.729363290000002</v>
      </c>
      <c r="CM191">
        <v>-0.90301472199999999</v>
      </c>
      <c r="CN191">
        <v>-6.7854188500000001</v>
      </c>
      <c r="CO191" t="s">
        <v>114</v>
      </c>
      <c r="CP191">
        <v>1045.9997800000001</v>
      </c>
      <c r="CQ191">
        <v>2.4533670449999998</v>
      </c>
      <c r="CR191">
        <v>9.2383294930000002</v>
      </c>
      <c r="CS191" t="s">
        <v>114</v>
      </c>
      <c r="CT191">
        <v>2004.790495</v>
      </c>
      <c r="CU191">
        <v>2.4533670449999998</v>
      </c>
      <c r="CV191">
        <v>9.2383294930000002</v>
      </c>
      <c r="CW191" t="s">
        <v>114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1</v>
      </c>
      <c r="DO191">
        <v>0</v>
      </c>
      <c r="DP191">
        <v>0</v>
      </c>
      <c r="DQ191">
        <v>0</v>
      </c>
      <c r="DR191">
        <v>0</v>
      </c>
      <c r="DS191">
        <v>3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0.56233514461880796</v>
      </c>
    </row>
    <row r="192" spans="1:134" x14ac:dyDescent="0.25">
      <c r="A192" t="s">
        <v>90</v>
      </c>
      <c r="B192">
        <v>6</v>
      </c>
      <c r="C192" t="s">
        <v>35</v>
      </c>
      <c r="D192" t="s">
        <v>94</v>
      </c>
      <c r="E192" t="s">
        <v>104</v>
      </c>
      <c r="F192" t="s">
        <v>145</v>
      </c>
      <c r="G192" t="s">
        <v>264</v>
      </c>
      <c r="H192" t="s">
        <v>779</v>
      </c>
      <c r="I192" t="s">
        <v>738</v>
      </c>
      <c r="J192" t="s">
        <v>466</v>
      </c>
      <c r="K192">
        <v>3</v>
      </c>
      <c r="L192">
        <v>120</v>
      </c>
      <c r="M192">
        <v>95</v>
      </c>
      <c r="N192">
        <v>120</v>
      </c>
      <c r="O192">
        <v>25</v>
      </c>
      <c r="P192">
        <v>25</v>
      </c>
      <c r="Q192">
        <v>30</v>
      </c>
      <c r="R192">
        <v>16</v>
      </c>
      <c r="S192">
        <v>23</v>
      </c>
      <c r="T192">
        <v>0.19166666700000001</v>
      </c>
      <c r="V192" t="s">
        <v>111</v>
      </c>
      <c r="W192">
        <v>110</v>
      </c>
      <c r="X192">
        <v>10</v>
      </c>
      <c r="Y192">
        <v>10</v>
      </c>
      <c r="Z192">
        <v>10.5</v>
      </c>
      <c r="AA192">
        <v>10.16666667</v>
      </c>
      <c r="AB192">
        <v>10.16666667</v>
      </c>
      <c r="AC192">
        <v>10</v>
      </c>
      <c r="AD192">
        <v>11</v>
      </c>
      <c r="AE192">
        <v>12</v>
      </c>
      <c r="AF192">
        <v>11</v>
      </c>
      <c r="AG192">
        <v>9</v>
      </c>
      <c r="AH192">
        <v>10</v>
      </c>
      <c r="AI192">
        <v>11</v>
      </c>
      <c r="AJ192">
        <v>10</v>
      </c>
      <c r="AK192">
        <v>11</v>
      </c>
      <c r="AL192">
        <v>11.5</v>
      </c>
      <c r="AM192">
        <v>11.5</v>
      </c>
      <c r="AN192">
        <v>11.33333333</v>
      </c>
      <c r="AO192">
        <v>10</v>
      </c>
      <c r="AP192">
        <v>4.0999999999999996</v>
      </c>
      <c r="AQ192">
        <v>4.0999999999999996</v>
      </c>
      <c r="AR192">
        <v>4.5999999999999996</v>
      </c>
      <c r="AS192">
        <v>4.266666667</v>
      </c>
      <c r="AT192">
        <v>5.6</v>
      </c>
      <c r="AU192">
        <v>5.6</v>
      </c>
      <c r="AV192">
        <v>5.0999999999999996</v>
      </c>
      <c r="AW192">
        <v>5.4333333330000002</v>
      </c>
      <c r="AX192">
        <v>4.266666667</v>
      </c>
      <c r="AY192">
        <v>-5.9</v>
      </c>
      <c r="AZ192">
        <v>20</v>
      </c>
      <c r="BA192">
        <v>25</v>
      </c>
      <c r="BB192">
        <v>3</v>
      </c>
      <c r="BC192">
        <v>10</v>
      </c>
      <c r="BD192">
        <v>0</v>
      </c>
      <c r="BE192">
        <v>1</v>
      </c>
      <c r="BF192">
        <v>0</v>
      </c>
      <c r="BG192">
        <v>0</v>
      </c>
      <c r="BI192">
        <v>15.3</v>
      </c>
      <c r="BJ192">
        <v>4.1269999999999998</v>
      </c>
      <c r="BK192">
        <v>1</v>
      </c>
      <c r="BL192">
        <v>3</v>
      </c>
      <c r="BM192">
        <v>3</v>
      </c>
      <c r="BN192">
        <v>14</v>
      </c>
      <c r="BO192">
        <v>48</v>
      </c>
      <c r="BP192">
        <v>-34</v>
      </c>
      <c r="BQ192">
        <v>78</v>
      </c>
      <c r="BR192">
        <v>-64</v>
      </c>
      <c r="BS192">
        <v>38.558403370000001</v>
      </c>
      <c r="BT192">
        <v>2.243422223</v>
      </c>
      <c r="BU192">
        <v>6.4267455050000004</v>
      </c>
      <c r="BV192">
        <v>-19.592331940000001</v>
      </c>
      <c r="BW192">
        <v>2.243422223</v>
      </c>
      <c r="BX192">
        <v>6.4267455050000004</v>
      </c>
      <c r="BY192">
        <v>767.71894129999998</v>
      </c>
      <c r="BZ192">
        <v>7.1824109999999997E-3</v>
      </c>
      <c r="CA192">
        <v>13.86373416</v>
      </c>
      <c r="CB192">
        <v>2973.5009399999999</v>
      </c>
      <c r="CC192">
        <v>7.1824109999999997E-3</v>
      </c>
      <c r="CD192">
        <v>13.86373416</v>
      </c>
      <c r="CE192" t="s">
        <v>114</v>
      </c>
      <c r="CF192" t="s">
        <v>114</v>
      </c>
      <c r="CG192" t="s">
        <v>114</v>
      </c>
      <c r="CH192">
        <v>45.089180679999998</v>
      </c>
      <c r="CI192">
        <v>2.2234466670000002</v>
      </c>
      <c r="CJ192">
        <v>5.5491308669999997</v>
      </c>
      <c r="CK192" t="s">
        <v>114</v>
      </c>
      <c r="CL192">
        <v>-32.445133060000003</v>
      </c>
      <c r="CM192">
        <v>2.2234466670000002</v>
      </c>
      <c r="CN192">
        <v>5.5491308669999997</v>
      </c>
      <c r="CO192" t="s">
        <v>114</v>
      </c>
      <c r="CP192">
        <v>511.81262750000002</v>
      </c>
      <c r="CQ192">
        <v>4.7882740000000003E-3</v>
      </c>
      <c r="CR192">
        <v>9.242489441</v>
      </c>
      <c r="CS192" t="s">
        <v>114</v>
      </c>
      <c r="CT192">
        <v>1982.3339599999999</v>
      </c>
      <c r="CU192">
        <v>4.7882740000000003E-3</v>
      </c>
      <c r="CV192">
        <v>9.242489441</v>
      </c>
      <c r="CW192" t="s">
        <v>114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1</v>
      </c>
      <c r="DR192">
        <v>0</v>
      </c>
      <c r="DS192">
        <v>2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0.636514168294813</v>
      </c>
    </row>
    <row r="193" spans="1:134" x14ac:dyDescent="0.25">
      <c r="A193" t="s">
        <v>91</v>
      </c>
      <c r="B193">
        <v>6</v>
      </c>
      <c r="C193" t="s">
        <v>37</v>
      </c>
      <c r="D193" t="s">
        <v>94</v>
      </c>
      <c r="E193" t="s">
        <v>112</v>
      </c>
      <c r="F193" t="s">
        <v>145</v>
      </c>
      <c r="G193" t="s">
        <v>261</v>
      </c>
      <c r="H193" t="s">
        <v>783</v>
      </c>
      <c r="I193" t="s">
        <v>743</v>
      </c>
      <c r="J193" t="s">
        <v>467</v>
      </c>
      <c r="K193">
        <v>1</v>
      </c>
      <c r="L193">
        <v>60</v>
      </c>
      <c r="M193">
        <v>50</v>
      </c>
      <c r="N193">
        <v>60</v>
      </c>
      <c r="O193">
        <v>10</v>
      </c>
      <c r="P193">
        <v>55</v>
      </c>
      <c r="Q193">
        <v>220</v>
      </c>
      <c r="R193">
        <v>190</v>
      </c>
      <c r="S193">
        <v>205</v>
      </c>
      <c r="T193">
        <v>3.4166666669999999</v>
      </c>
      <c r="V193" t="s">
        <v>112</v>
      </c>
      <c r="W193">
        <v>100</v>
      </c>
      <c r="X193">
        <v>9</v>
      </c>
      <c r="Y193">
        <v>8.1</v>
      </c>
      <c r="Z193">
        <v>13</v>
      </c>
      <c r="AA193">
        <v>10.03333333</v>
      </c>
      <c r="AB193">
        <v>10.03333333</v>
      </c>
      <c r="AC193">
        <v>10</v>
      </c>
      <c r="AD193">
        <v>11</v>
      </c>
      <c r="AE193">
        <v>11</v>
      </c>
      <c r="AF193">
        <v>10.66666667</v>
      </c>
      <c r="AG193">
        <v>7.1</v>
      </c>
      <c r="AH193">
        <v>8.5</v>
      </c>
      <c r="AI193">
        <v>12</v>
      </c>
      <c r="AJ193">
        <v>9.1999999999999993</v>
      </c>
      <c r="AK193">
        <v>9</v>
      </c>
      <c r="AL193">
        <v>9</v>
      </c>
      <c r="AM193">
        <v>10.5</v>
      </c>
      <c r="AN193">
        <v>9.5</v>
      </c>
      <c r="AO193">
        <v>9.1999999999999993</v>
      </c>
      <c r="AP193">
        <v>4.0999999999999996</v>
      </c>
      <c r="AQ193">
        <v>4.0999999999999996</v>
      </c>
      <c r="AR193">
        <v>3.6</v>
      </c>
      <c r="AS193">
        <v>3.9333333330000002</v>
      </c>
      <c r="AT193">
        <v>5.0999999999999996</v>
      </c>
      <c r="AU193">
        <v>4.0999999999999996</v>
      </c>
      <c r="AV193">
        <v>4.5999999999999996</v>
      </c>
      <c r="AW193">
        <v>4.5999999999999996</v>
      </c>
      <c r="AX193">
        <v>3.9333333330000002</v>
      </c>
      <c r="AY193">
        <v>-6.1</v>
      </c>
      <c r="AZ193">
        <v>75</v>
      </c>
      <c r="BA193">
        <v>0</v>
      </c>
      <c r="BB193">
        <v>3</v>
      </c>
      <c r="BC193">
        <v>1</v>
      </c>
      <c r="BD193">
        <v>0</v>
      </c>
      <c r="BE193">
        <v>0</v>
      </c>
      <c r="BF193">
        <v>0</v>
      </c>
      <c r="BG193">
        <v>0</v>
      </c>
      <c r="BI193">
        <v>15.9</v>
      </c>
      <c r="BJ193">
        <v>0.74299999999999999</v>
      </c>
      <c r="BK193">
        <v>0</v>
      </c>
      <c r="BL193">
        <v>100</v>
      </c>
      <c r="BM193">
        <v>86</v>
      </c>
      <c r="BN193">
        <v>394</v>
      </c>
      <c r="BO193">
        <v>152</v>
      </c>
      <c r="BP193">
        <v>242</v>
      </c>
      <c r="BQ193">
        <v>251</v>
      </c>
      <c r="BR193">
        <v>143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 t="s">
        <v>114</v>
      </c>
      <c r="BZ193" t="s">
        <v>114</v>
      </c>
      <c r="CA193" t="s">
        <v>114</v>
      </c>
      <c r="CB193" t="s">
        <v>114</v>
      </c>
      <c r="CC193" t="s">
        <v>114</v>
      </c>
      <c r="CD193" t="s">
        <v>114</v>
      </c>
      <c r="CE193">
        <v>0</v>
      </c>
      <c r="CF193" t="s">
        <v>114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 t="s">
        <v>114</v>
      </c>
      <c r="CP193" t="s">
        <v>114</v>
      </c>
      <c r="CQ193" t="s">
        <v>114</v>
      </c>
      <c r="CR193" t="s">
        <v>114</v>
      </c>
      <c r="CS193" t="s">
        <v>114</v>
      </c>
      <c r="CT193" t="s">
        <v>114</v>
      </c>
      <c r="CU193" t="s">
        <v>114</v>
      </c>
      <c r="CV193" t="s">
        <v>114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1</v>
      </c>
      <c r="EA193">
        <v>0</v>
      </c>
      <c r="EB193">
        <v>0</v>
      </c>
      <c r="EC193">
        <v>0</v>
      </c>
      <c r="ED193">
        <v>0</v>
      </c>
    </row>
    <row r="194" spans="1:134" x14ac:dyDescent="0.25">
      <c r="A194" t="s">
        <v>92</v>
      </c>
      <c r="B194">
        <v>6</v>
      </c>
      <c r="C194" t="s">
        <v>64</v>
      </c>
      <c r="D194" t="s">
        <v>94</v>
      </c>
      <c r="E194" t="s">
        <v>112</v>
      </c>
      <c r="F194" t="s">
        <v>145</v>
      </c>
      <c r="G194" t="s">
        <v>261</v>
      </c>
      <c r="H194" t="s">
        <v>783</v>
      </c>
      <c r="I194" t="s">
        <v>743</v>
      </c>
      <c r="J194" t="s">
        <v>468</v>
      </c>
      <c r="K194">
        <v>3</v>
      </c>
      <c r="L194">
        <v>70</v>
      </c>
      <c r="M194">
        <v>60</v>
      </c>
      <c r="N194">
        <v>70</v>
      </c>
      <c r="O194">
        <v>10</v>
      </c>
      <c r="P194">
        <v>70</v>
      </c>
      <c r="Q194">
        <v>200</v>
      </c>
      <c r="R194">
        <v>60</v>
      </c>
      <c r="S194">
        <v>130</v>
      </c>
      <c r="T194">
        <v>1.8571428569999999</v>
      </c>
      <c r="U194" t="s">
        <v>15</v>
      </c>
      <c r="V194" t="s">
        <v>102</v>
      </c>
      <c r="W194">
        <v>70</v>
      </c>
      <c r="X194">
        <v>10</v>
      </c>
      <c r="Y194">
        <v>11</v>
      </c>
      <c r="Z194">
        <v>13</v>
      </c>
      <c r="AA194">
        <v>11.33333333</v>
      </c>
      <c r="AB194">
        <v>11.33333333</v>
      </c>
      <c r="AC194">
        <v>9</v>
      </c>
      <c r="AD194">
        <v>10</v>
      </c>
      <c r="AE194">
        <v>11.5</v>
      </c>
      <c r="AF194">
        <v>10.16666667</v>
      </c>
      <c r="AG194">
        <v>11</v>
      </c>
      <c r="AH194">
        <v>10.5</v>
      </c>
      <c r="AI194">
        <v>9</v>
      </c>
      <c r="AJ194">
        <v>10.16666667</v>
      </c>
      <c r="AK194">
        <v>12</v>
      </c>
      <c r="AL194">
        <v>11</v>
      </c>
      <c r="AM194">
        <v>9</v>
      </c>
      <c r="AN194">
        <v>10.66666667</v>
      </c>
      <c r="AO194">
        <v>10.16666667</v>
      </c>
      <c r="AP194">
        <v>4.0999999999999996</v>
      </c>
      <c r="AQ194">
        <v>6.6</v>
      </c>
      <c r="AR194">
        <v>6.1</v>
      </c>
      <c r="AS194">
        <v>5.6</v>
      </c>
      <c r="AT194">
        <v>5.6</v>
      </c>
      <c r="AU194">
        <v>5.0999999999999996</v>
      </c>
      <c r="AV194">
        <v>6.6</v>
      </c>
      <c r="AW194">
        <v>5.766666667</v>
      </c>
      <c r="AX194">
        <v>5.6</v>
      </c>
      <c r="AY194">
        <v>-5.733333333</v>
      </c>
      <c r="AZ194">
        <v>50</v>
      </c>
      <c r="BA194">
        <v>1</v>
      </c>
      <c r="BB194">
        <v>25</v>
      </c>
      <c r="BC194">
        <v>1</v>
      </c>
      <c r="BD194">
        <v>0</v>
      </c>
      <c r="BE194">
        <v>0</v>
      </c>
      <c r="BF194">
        <v>0</v>
      </c>
      <c r="BG194">
        <v>0</v>
      </c>
      <c r="BI194">
        <v>7</v>
      </c>
      <c r="BJ194">
        <v>2.6829999999999998</v>
      </c>
      <c r="BK194">
        <v>0</v>
      </c>
      <c r="BL194">
        <v>45</v>
      </c>
      <c r="BM194">
        <v>45</v>
      </c>
      <c r="BN194">
        <v>186</v>
      </c>
      <c r="BO194">
        <v>152</v>
      </c>
      <c r="BP194">
        <v>34</v>
      </c>
      <c r="BQ194">
        <v>73</v>
      </c>
      <c r="BR194">
        <v>113</v>
      </c>
      <c r="BS194">
        <v>34.276620370000003</v>
      </c>
      <c r="BT194">
        <v>1.462859723</v>
      </c>
      <c r="BU194">
        <v>8.0964593649999994</v>
      </c>
      <c r="BV194">
        <v>-34.276620370000003</v>
      </c>
      <c r="BW194">
        <v>1.462859723</v>
      </c>
      <c r="BX194">
        <v>8.0964593649999994</v>
      </c>
      <c r="BY194">
        <v>428.05212619999998</v>
      </c>
      <c r="BZ194">
        <v>0.17003422900000001</v>
      </c>
      <c r="CA194">
        <v>0.79854260899999996</v>
      </c>
      <c r="CB194">
        <v>428.05212619999998</v>
      </c>
      <c r="CC194">
        <v>0.17003422900000001</v>
      </c>
      <c r="CD194">
        <v>0.79854260899999996</v>
      </c>
      <c r="CE194">
        <v>1.490935785</v>
      </c>
      <c r="CF194">
        <v>0.38177769900000003</v>
      </c>
      <c r="CG194">
        <v>1.34529969</v>
      </c>
      <c r="CH194">
        <v>29.400077159999999</v>
      </c>
      <c r="CI194">
        <v>1.365667408</v>
      </c>
      <c r="CJ194">
        <v>8.3070857599999997</v>
      </c>
      <c r="CK194">
        <v>1.34529969</v>
      </c>
      <c r="CL194">
        <v>-29.400077159999999</v>
      </c>
      <c r="CM194">
        <v>1.365667408</v>
      </c>
      <c r="CN194">
        <v>8.3070857599999997</v>
      </c>
      <c r="CO194">
        <v>0.254518466</v>
      </c>
      <c r="CP194">
        <v>285.36808409999998</v>
      </c>
      <c r="CQ194">
        <v>0.113356153</v>
      </c>
      <c r="CR194">
        <v>0.53236173899999994</v>
      </c>
      <c r="CS194">
        <v>0.254518466</v>
      </c>
      <c r="CT194">
        <v>285.36808409999998</v>
      </c>
      <c r="CU194">
        <v>0.113356153</v>
      </c>
      <c r="CV194">
        <v>0.53236173899999994</v>
      </c>
      <c r="CW194">
        <v>1.490935785</v>
      </c>
      <c r="CX194">
        <v>2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1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0.636514168294813</v>
      </c>
    </row>
    <row r="195" spans="1:134" x14ac:dyDescent="0.25">
      <c r="A195" t="s">
        <v>93</v>
      </c>
      <c r="B195">
        <v>6</v>
      </c>
      <c r="C195" t="s">
        <v>66</v>
      </c>
      <c r="D195" t="s">
        <v>95</v>
      </c>
      <c r="E195" t="s">
        <v>104</v>
      </c>
      <c r="F195" t="s">
        <v>145</v>
      </c>
      <c r="G195" t="s">
        <v>264</v>
      </c>
      <c r="H195" t="s">
        <v>780</v>
      </c>
      <c r="I195" t="s">
        <v>745</v>
      </c>
      <c r="J195" t="s">
        <v>469</v>
      </c>
      <c r="K195">
        <v>9</v>
      </c>
      <c r="L195">
        <v>45</v>
      </c>
      <c r="M195">
        <v>30</v>
      </c>
      <c r="N195">
        <v>45</v>
      </c>
      <c r="O195">
        <v>15</v>
      </c>
      <c r="P195">
        <v>25</v>
      </c>
      <c r="Q195">
        <v>15</v>
      </c>
      <c r="R195">
        <v>10</v>
      </c>
      <c r="S195">
        <v>12.5</v>
      </c>
      <c r="T195">
        <v>0.27777777799999998</v>
      </c>
      <c r="V195" t="s">
        <v>103</v>
      </c>
      <c r="W195">
        <v>80</v>
      </c>
      <c r="X195">
        <v>12</v>
      </c>
      <c r="Y195">
        <v>11</v>
      </c>
      <c r="Z195">
        <v>11.5</v>
      </c>
      <c r="AA195">
        <v>11.5</v>
      </c>
      <c r="AB195">
        <v>11.5</v>
      </c>
      <c r="AC195">
        <v>12</v>
      </c>
      <c r="AD195">
        <v>13</v>
      </c>
      <c r="AE195">
        <v>11.5</v>
      </c>
      <c r="AF195">
        <v>12.16666667</v>
      </c>
      <c r="AG195">
        <v>9.5</v>
      </c>
      <c r="AH195">
        <v>8.5</v>
      </c>
      <c r="AI195">
        <v>9.5</v>
      </c>
      <c r="AJ195">
        <v>9.1666666669999994</v>
      </c>
      <c r="AK195">
        <v>11</v>
      </c>
      <c r="AL195">
        <v>11</v>
      </c>
      <c r="AM195">
        <v>11</v>
      </c>
      <c r="AN195">
        <v>11</v>
      </c>
      <c r="AO195">
        <v>9.1666666669999994</v>
      </c>
      <c r="AP195">
        <v>4.5999999999999996</v>
      </c>
      <c r="AQ195">
        <v>5.0999999999999996</v>
      </c>
      <c r="AR195">
        <v>4.5999999999999996</v>
      </c>
      <c r="AS195">
        <v>4.766666667</v>
      </c>
      <c r="AT195">
        <v>3.6</v>
      </c>
      <c r="AU195">
        <v>6.1</v>
      </c>
      <c r="AV195">
        <v>4.5999999999999996</v>
      </c>
      <c r="AW195">
        <v>4.766666667</v>
      </c>
      <c r="AX195">
        <v>4.766666667</v>
      </c>
      <c r="AY195">
        <v>-6.733333333</v>
      </c>
      <c r="AZ195">
        <v>15</v>
      </c>
      <c r="BA195">
        <v>30</v>
      </c>
      <c r="BB195">
        <v>5</v>
      </c>
      <c r="BC195">
        <v>10</v>
      </c>
      <c r="BD195">
        <v>0</v>
      </c>
      <c r="BE195">
        <v>1</v>
      </c>
      <c r="BF195">
        <v>0</v>
      </c>
      <c r="BG195">
        <v>0</v>
      </c>
      <c r="BI195">
        <v>10.7</v>
      </c>
      <c r="BJ195">
        <v>49.594000000000001</v>
      </c>
      <c r="BK195">
        <v>0</v>
      </c>
      <c r="BL195">
        <v>1</v>
      </c>
      <c r="BM195">
        <v>1</v>
      </c>
      <c r="BN195">
        <v>6</v>
      </c>
      <c r="BO195">
        <v>44</v>
      </c>
      <c r="BP195">
        <v>-38</v>
      </c>
      <c r="BQ195">
        <v>18</v>
      </c>
      <c r="BR195">
        <v>-12</v>
      </c>
      <c r="BS195">
        <v>13.47238095</v>
      </c>
      <c r="BT195">
        <v>1.718054534</v>
      </c>
      <c r="BU195">
        <v>3.7444439140000001</v>
      </c>
      <c r="BV195">
        <v>10.947380949999999</v>
      </c>
      <c r="BW195">
        <v>1.718054534</v>
      </c>
      <c r="BX195">
        <v>3.7444439140000001</v>
      </c>
      <c r="BY195">
        <v>108.9419465</v>
      </c>
      <c r="BZ195">
        <v>1.056575643</v>
      </c>
      <c r="CA195">
        <v>10.960809319999999</v>
      </c>
      <c r="CB195">
        <v>186.01682</v>
      </c>
      <c r="CC195">
        <v>1.056575643</v>
      </c>
      <c r="CD195">
        <v>10.960809319999999</v>
      </c>
      <c r="CE195" t="s">
        <v>114</v>
      </c>
      <c r="CF195" t="s">
        <v>114</v>
      </c>
      <c r="CG195" t="s">
        <v>114</v>
      </c>
      <c r="CH195">
        <v>15.63743386</v>
      </c>
      <c r="CI195">
        <v>2.0124738299999998</v>
      </c>
      <c r="CJ195">
        <v>3.5333939779999999</v>
      </c>
      <c r="CK195" t="s">
        <v>114</v>
      </c>
      <c r="CL195">
        <v>14.234656080000001</v>
      </c>
      <c r="CM195">
        <v>2.0124738299999998</v>
      </c>
      <c r="CN195">
        <v>3.5333939779999999</v>
      </c>
      <c r="CO195" t="s">
        <v>114</v>
      </c>
      <c r="CP195">
        <v>71.980837089999994</v>
      </c>
      <c r="CQ195">
        <v>0.65022292000000004</v>
      </c>
      <c r="CR195">
        <v>5.6086919240000004</v>
      </c>
      <c r="CS195" t="s">
        <v>114</v>
      </c>
      <c r="CT195">
        <v>119.12272900000001</v>
      </c>
      <c r="CU195">
        <v>0.65022292000000004</v>
      </c>
      <c r="CV195">
        <v>5.6086919240000004</v>
      </c>
      <c r="CW195" t="s">
        <v>114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4</v>
      </c>
      <c r="DQ195">
        <v>1</v>
      </c>
      <c r="DR195">
        <v>0</v>
      </c>
      <c r="DS195">
        <v>0</v>
      </c>
      <c r="DT195">
        <v>1</v>
      </c>
      <c r="DU195">
        <v>2</v>
      </c>
      <c r="DV195">
        <v>0</v>
      </c>
      <c r="DW195">
        <v>0</v>
      </c>
      <c r="DX195">
        <v>0</v>
      </c>
      <c r="DY195">
        <v>1</v>
      </c>
      <c r="DZ195">
        <v>0</v>
      </c>
      <c r="EA195">
        <v>0</v>
      </c>
      <c r="EB195">
        <v>0</v>
      </c>
      <c r="EC195">
        <v>0</v>
      </c>
      <c r="ED195">
        <v>1.42706104338072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195"/>
  <sheetViews>
    <sheetView workbookViewId="0">
      <selection activeCell="U32" sqref="U32"/>
    </sheetView>
  </sheetViews>
  <sheetFormatPr defaultRowHeight="15" x14ac:dyDescent="0.25"/>
  <sheetData>
    <row r="1" spans="1:38" x14ac:dyDescent="0.25">
      <c r="A1" t="s">
        <v>96</v>
      </c>
      <c r="B1" t="s">
        <v>146</v>
      </c>
      <c r="C1" t="s">
        <v>2</v>
      </c>
      <c r="D1" t="s">
        <v>97</v>
      </c>
      <c r="E1" t="s">
        <v>230</v>
      </c>
      <c r="F1" t="s">
        <v>218</v>
      </c>
      <c r="G1" t="s">
        <v>102</v>
      </c>
      <c r="H1" t="s">
        <v>810</v>
      </c>
      <c r="I1" t="s">
        <v>251</v>
      </c>
      <c r="J1" t="s">
        <v>248</v>
      </c>
      <c r="K1" t="s">
        <v>233</v>
      </c>
      <c r="L1" t="s">
        <v>239</v>
      </c>
      <c r="M1" t="s">
        <v>234</v>
      </c>
      <c r="N1" t="s">
        <v>242</v>
      </c>
      <c r="O1" t="s">
        <v>236</v>
      </c>
      <c r="P1" t="s">
        <v>245</v>
      </c>
      <c r="Q1" t="s">
        <v>808</v>
      </c>
      <c r="R1" t="s">
        <v>244</v>
      </c>
      <c r="S1" t="s">
        <v>237</v>
      </c>
      <c r="T1" t="s">
        <v>105</v>
      </c>
      <c r="U1" t="s">
        <v>113</v>
      </c>
      <c r="V1" t="s">
        <v>110</v>
      </c>
      <c r="W1" t="s">
        <v>162</v>
      </c>
      <c r="X1" t="s">
        <v>249</v>
      </c>
      <c r="Y1" t="s">
        <v>103</v>
      </c>
      <c r="Z1" t="s">
        <v>111</v>
      </c>
      <c r="AA1" t="s">
        <v>241</v>
      </c>
      <c r="AB1" t="s">
        <v>253</v>
      </c>
      <c r="AC1" t="s">
        <v>246</v>
      </c>
      <c r="AD1" t="s">
        <v>238</v>
      </c>
      <c r="AE1" t="s">
        <v>235</v>
      </c>
      <c r="AF1" t="s">
        <v>797</v>
      </c>
      <c r="AG1" t="s">
        <v>250</v>
      </c>
      <c r="AH1" t="s">
        <v>104</v>
      </c>
      <c r="AI1" t="s">
        <v>112</v>
      </c>
      <c r="AJ1" t="s">
        <v>254</v>
      </c>
      <c r="AK1" t="s">
        <v>247</v>
      </c>
      <c r="AL1" t="s">
        <v>240</v>
      </c>
    </row>
    <row r="2" spans="1:38" x14ac:dyDescent="0.25">
      <c r="A2" t="s">
        <v>67</v>
      </c>
      <c r="B2">
        <v>10</v>
      </c>
      <c r="C2" t="s">
        <v>94</v>
      </c>
      <c r="D2" t="s">
        <v>113</v>
      </c>
      <c r="E2">
        <v>0</v>
      </c>
      <c r="F2">
        <v>9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2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</row>
    <row r="3" spans="1:38" x14ac:dyDescent="0.25">
      <c r="A3" t="s">
        <v>67</v>
      </c>
      <c r="B3">
        <v>10</v>
      </c>
      <c r="C3" t="s">
        <v>94</v>
      </c>
      <c r="D3" t="s">
        <v>103</v>
      </c>
      <c r="E3">
        <v>0</v>
      </c>
      <c r="F3">
        <v>167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</row>
    <row r="4" spans="1:38" x14ac:dyDescent="0.25">
      <c r="A4" t="s">
        <v>67</v>
      </c>
      <c r="B4">
        <v>10</v>
      </c>
      <c r="C4" t="s">
        <v>94</v>
      </c>
      <c r="D4" t="s">
        <v>112</v>
      </c>
      <c r="E4">
        <v>0</v>
      </c>
      <c r="F4">
        <v>379</v>
      </c>
      <c r="G4">
        <v>0</v>
      </c>
      <c r="H4">
        <v>0</v>
      </c>
      <c r="I4">
        <v>0</v>
      </c>
      <c r="J4">
        <v>2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1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</row>
    <row r="5" spans="1:38" x14ac:dyDescent="0.25">
      <c r="A5" t="s">
        <v>68</v>
      </c>
      <c r="B5">
        <v>10</v>
      </c>
      <c r="C5" t="s">
        <v>95</v>
      </c>
      <c r="D5" t="s">
        <v>113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</row>
    <row r="6" spans="1:38" x14ac:dyDescent="0.25">
      <c r="A6" t="s">
        <v>68</v>
      </c>
      <c r="B6">
        <v>10</v>
      </c>
      <c r="C6" t="s">
        <v>95</v>
      </c>
      <c r="D6" t="s">
        <v>110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2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</row>
    <row r="7" spans="1:38" x14ac:dyDescent="0.25">
      <c r="A7" t="s">
        <v>68</v>
      </c>
      <c r="B7">
        <v>10</v>
      </c>
      <c r="C7" t="s">
        <v>95</v>
      </c>
      <c r="D7" t="s">
        <v>111</v>
      </c>
      <c r="E7">
        <v>0</v>
      </c>
      <c r="F7">
        <v>1620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</row>
    <row r="8" spans="1:38" x14ac:dyDescent="0.25">
      <c r="A8" t="s">
        <v>68</v>
      </c>
      <c r="B8">
        <v>10</v>
      </c>
      <c r="C8" t="s">
        <v>95</v>
      </c>
      <c r="D8" t="s">
        <v>104</v>
      </c>
      <c r="E8">
        <v>1</v>
      </c>
      <c r="F8">
        <v>62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</row>
    <row r="9" spans="1:38" x14ac:dyDescent="0.25">
      <c r="A9" t="s">
        <v>69</v>
      </c>
      <c r="B9">
        <v>10</v>
      </c>
      <c r="C9" t="s">
        <v>95</v>
      </c>
      <c r="D9" t="s">
        <v>102</v>
      </c>
      <c r="E9">
        <v>0</v>
      </c>
      <c r="F9">
        <v>398</v>
      </c>
      <c r="G9">
        <v>1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2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</row>
    <row r="10" spans="1:38" x14ac:dyDescent="0.25">
      <c r="A10" t="s">
        <v>69</v>
      </c>
      <c r="B10">
        <v>10</v>
      </c>
      <c r="C10" t="s">
        <v>95</v>
      </c>
      <c r="D10" t="s">
        <v>113</v>
      </c>
      <c r="E10">
        <v>0</v>
      </c>
      <c r="F10">
        <v>5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2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</row>
    <row r="11" spans="1:38" x14ac:dyDescent="0.25">
      <c r="A11" t="s">
        <v>69</v>
      </c>
      <c r="B11">
        <v>10</v>
      </c>
      <c r="C11" t="s">
        <v>95</v>
      </c>
      <c r="D11" t="s">
        <v>103</v>
      </c>
      <c r="E11">
        <v>0</v>
      </c>
      <c r="F11">
        <v>437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1</v>
      </c>
      <c r="Z11">
        <v>0</v>
      </c>
      <c r="AA11">
        <v>1</v>
      </c>
      <c r="AB11">
        <v>0</v>
      </c>
      <c r="AC11">
        <v>0</v>
      </c>
      <c r="AD11">
        <v>0</v>
      </c>
      <c r="AE11">
        <v>1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</row>
    <row r="12" spans="1:38" x14ac:dyDescent="0.25">
      <c r="A12" t="s">
        <v>69</v>
      </c>
      <c r="B12">
        <v>10</v>
      </c>
      <c r="C12" t="s">
        <v>95</v>
      </c>
      <c r="D12" t="s">
        <v>111</v>
      </c>
      <c r="E12">
        <v>0</v>
      </c>
      <c r="F12">
        <v>123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3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</row>
    <row r="13" spans="1:38" x14ac:dyDescent="0.25">
      <c r="A13" t="s">
        <v>69</v>
      </c>
      <c r="B13">
        <v>10</v>
      </c>
      <c r="C13" t="s">
        <v>95</v>
      </c>
      <c r="D13" t="s">
        <v>112</v>
      </c>
      <c r="E13">
        <v>1</v>
      </c>
      <c r="F13">
        <v>77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2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</row>
    <row r="14" spans="1:38" x14ac:dyDescent="0.25">
      <c r="A14" t="s">
        <v>70</v>
      </c>
      <c r="B14">
        <v>10</v>
      </c>
      <c r="C14" t="s">
        <v>95</v>
      </c>
      <c r="D14" t="s">
        <v>102</v>
      </c>
      <c r="E14">
        <v>0</v>
      </c>
      <c r="F14">
        <v>306</v>
      </c>
      <c r="G14">
        <v>1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1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</row>
    <row r="15" spans="1:38" x14ac:dyDescent="0.25">
      <c r="A15" t="s">
        <v>70</v>
      </c>
      <c r="B15">
        <v>10</v>
      </c>
      <c r="C15" t="s">
        <v>95</v>
      </c>
      <c r="D15" t="s">
        <v>105</v>
      </c>
      <c r="E15">
        <v>0</v>
      </c>
      <c r="F15" t="s">
        <v>114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2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1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1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</row>
    <row r="16" spans="1:38" x14ac:dyDescent="0.25">
      <c r="A16" t="s">
        <v>70</v>
      </c>
      <c r="B16">
        <v>10</v>
      </c>
      <c r="C16" t="s">
        <v>95</v>
      </c>
      <c r="D16" t="s">
        <v>111</v>
      </c>
      <c r="E16">
        <v>0</v>
      </c>
      <c r="F16">
        <v>1305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1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</row>
    <row r="17" spans="1:38" x14ac:dyDescent="0.25">
      <c r="A17" t="s">
        <v>71</v>
      </c>
      <c r="B17">
        <v>10</v>
      </c>
      <c r="C17" t="s">
        <v>94</v>
      </c>
      <c r="D17" t="s">
        <v>102</v>
      </c>
      <c r="E17">
        <v>0</v>
      </c>
      <c r="F17">
        <v>583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</row>
    <row r="18" spans="1:38" x14ac:dyDescent="0.25">
      <c r="A18" t="s">
        <v>71</v>
      </c>
      <c r="B18">
        <v>10</v>
      </c>
      <c r="C18" t="s">
        <v>94</v>
      </c>
      <c r="D18" t="s">
        <v>111</v>
      </c>
      <c r="E18">
        <v>0</v>
      </c>
      <c r="F18">
        <v>3137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1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1</v>
      </c>
      <c r="AH18">
        <v>0</v>
      </c>
      <c r="AI18">
        <v>0</v>
      </c>
      <c r="AJ18">
        <v>0</v>
      </c>
      <c r="AK18">
        <v>0</v>
      </c>
      <c r="AL18">
        <v>0</v>
      </c>
    </row>
    <row r="19" spans="1:38" x14ac:dyDescent="0.25">
      <c r="A19" t="s">
        <v>71</v>
      </c>
      <c r="B19">
        <v>10</v>
      </c>
      <c r="C19" t="s">
        <v>94</v>
      </c>
      <c r="D19" t="s">
        <v>104</v>
      </c>
      <c r="E19">
        <v>0</v>
      </c>
      <c r="F19">
        <v>8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1</v>
      </c>
      <c r="AI19">
        <v>0</v>
      </c>
      <c r="AJ19">
        <v>0</v>
      </c>
      <c r="AK19">
        <v>0</v>
      </c>
      <c r="AL19">
        <v>0</v>
      </c>
    </row>
    <row r="20" spans="1:38" x14ac:dyDescent="0.25">
      <c r="A20" t="s">
        <v>72</v>
      </c>
      <c r="B20">
        <v>10</v>
      </c>
      <c r="C20" t="s">
        <v>95</v>
      </c>
      <c r="D20" t="s">
        <v>105</v>
      </c>
      <c r="E20">
        <v>0</v>
      </c>
      <c r="F20">
        <v>504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1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</row>
    <row r="21" spans="1:38" x14ac:dyDescent="0.25">
      <c r="A21" t="s">
        <v>72</v>
      </c>
      <c r="B21">
        <v>10</v>
      </c>
      <c r="C21" t="s">
        <v>95</v>
      </c>
      <c r="D21" t="s">
        <v>111</v>
      </c>
      <c r="E21">
        <v>0</v>
      </c>
      <c r="F21">
        <v>444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</row>
    <row r="22" spans="1:38" x14ac:dyDescent="0.25">
      <c r="A22" t="s">
        <v>72</v>
      </c>
      <c r="B22">
        <v>10</v>
      </c>
      <c r="C22" t="s">
        <v>95</v>
      </c>
      <c r="D22" t="s">
        <v>104</v>
      </c>
      <c r="E22">
        <v>0</v>
      </c>
      <c r="F22">
        <v>6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1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1</v>
      </c>
      <c r="AI22">
        <v>0</v>
      </c>
      <c r="AJ22">
        <v>0</v>
      </c>
      <c r="AK22">
        <v>0</v>
      </c>
      <c r="AL22">
        <v>0</v>
      </c>
    </row>
    <row r="23" spans="1:38" x14ac:dyDescent="0.25">
      <c r="A23" t="s">
        <v>72</v>
      </c>
      <c r="B23">
        <v>10</v>
      </c>
      <c r="C23" t="s">
        <v>95</v>
      </c>
      <c r="D23" t="s">
        <v>112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1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</row>
    <row r="24" spans="1:38" x14ac:dyDescent="0.25">
      <c r="A24" t="s">
        <v>73</v>
      </c>
      <c r="B24">
        <v>10</v>
      </c>
      <c r="C24" t="s">
        <v>94</v>
      </c>
      <c r="D24" t="s">
        <v>105</v>
      </c>
      <c r="E24">
        <v>0</v>
      </c>
      <c r="F24">
        <v>266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1</v>
      </c>
      <c r="AJ24">
        <v>0</v>
      </c>
      <c r="AK24">
        <v>0</v>
      </c>
      <c r="AL24">
        <v>0</v>
      </c>
    </row>
    <row r="25" spans="1:38" x14ac:dyDescent="0.25">
      <c r="A25" t="s">
        <v>73</v>
      </c>
      <c r="B25">
        <v>10</v>
      </c>
      <c r="C25" t="s">
        <v>94</v>
      </c>
      <c r="D25" t="s">
        <v>110</v>
      </c>
      <c r="E25">
        <v>0</v>
      </c>
      <c r="F25">
        <v>2</v>
      </c>
      <c r="G25">
        <v>0</v>
      </c>
      <c r="H25">
        <v>0</v>
      </c>
      <c r="I25">
        <v>1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3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1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</row>
    <row r="26" spans="1:38" x14ac:dyDescent="0.25">
      <c r="A26" t="s">
        <v>73</v>
      </c>
      <c r="B26">
        <v>10</v>
      </c>
      <c r="C26" t="s">
        <v>94</v>
      </c>
      <c r="D26" t="s">
        <v>104</v>
      </c>
      <c r="E26">
        <v>0</v>
      </c>
      <c r="F26">
        <v>12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1</v>
      </c>
      <c r="AI26">
        <v>0</v>
      </c>
      <c r="AJ26">
        <v>0</v>
      </c>
      <c r="AK26">
        <v>0</v>
      </c>
      <c r="AL26">
        <v>0</v>
      </c>
    </row>
    <row r="27" spans="1:38" x14ac:dyDescent="0.25">
      <c r="A27" t="s">
        <v>73</v>
      </c>
      <c r="B27">
        <v>10</v>
      </c>
      <c r="C27" t="s">
        <v>94</v>
      </c>
      <c r="D27" t="s">
        <v>112</v>
      </c>
      <c r="E27">
        <v>0</v>
      </c>
      <c r="F27">
        <v>90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</row>
    <row r="28" spans="1:38" x14ac:dyDescent="0.25">
      <c r="A28" t="s">
        <v>74</v>
      </c>
      <c r="B28">
        <v>10</v>
      </c>
      <c r="C28" t="s">
        <v>95</v>
      </c>
      <c r="D28" t="s">
        <v>102</v>
      </c>
      <c r="E28">
        <v>0</v>
      </c>
      <c r="F28">
        <v>307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3</v>
      </c>
      <c r="V28">
        <v>0</v>
      </c>
      <c r="W28">
        <v>0</v>
      </c>
      <c r="X28">
        <v>0</v>
      </c>
      <c r="Y28">
        <v>1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</row>
    <row r="29" spans="1:38" x14ac:dyDescent="0.25">
      <c r="A29" t="s">
        <v>74</v>
      </c>
      <c r="B29">
        <v>10</v>
      </c>
      <c r="C29" t="s">
        <v>95</v>
      </c>
      <c r="D29" t="s">
        <v>113</v>
      </c>
      <c r="E29">
        <v>0</v>
      </c>
      <c r="F29">
        <v>3</v>
      </c>
      <c r="G29">
        <v>0</v>
      </c>
      <c r="H29">
        <v>0</v>
      </c>
      <c r="I29">
        <v>0</v>
      </c>
      <c r="J29">
        <v>2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1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</row>
    <row r="30" spans="1:38" x14ac:dyDescent="0.25">
      <c r="A30" t="s">
        <v>74</v>
      </c>
      <c r="B30">
        <v>10</v>
      </c>
      <c r="C30" t="s">
        <v>95</v>
      </c>
      <c r="D30" t="s">
        <v>103</v>
      </c>
      <c r="E30">
        <v>0</v>
      </c>
      <c r="F30">
        <v>249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1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</row>
    <row r="31" spans="1:38" x14ac:dyDescent="0.25">
      <c r="A31" t="s">
        <v>75</v>
      </c>
      <c r="B31">
        <v>10</v>
      </c>
      <c r="C31" t="s">
        <v>94</v>
      </c>
      <c r="D31" t="s">
        <v>105</v>
      </c>
      <c r="E31">
        <v>0</v>
      </c>
      <c r="F31">
        <v>527</v>
      </c>
      <c r="G31">
        <v>0</v>
      </c>
      <c r="H31">
        <v>0</v>
      </c>
      <c r="I31">
        <v>1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1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</row>
    <row r="32" spans="1:38" x14ac:dyDescent="0.25">
      <c r="A32" t="s">
        <v>75</v>
      </c>
      <c r="B32">
        <v>10</v>
      </c>
      <c r="C32" t="s">
        <v>94</v>
      </c>
      <c r="D32" t="s">
        <v>110</v>
      </c>
      <c r="E32">
        <v>0</v>
      </c>
      <c r="F32">
        <v>11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2</v>
      </c>
      <c r="AI32">
        <v>0</v>
      </c>
      <c r="AJ32">
        <v>0</v>
      </c>
      <c r="AK32">
        <v>0</v>
      </c>
      <c r="AL32">
        <v>0</v>
      </c>
    </row>
    <row r="33" spans="1:38" x14ac:dyDescent="0.25">
      <c r="A33" t="s">
        <v>75</v>
      </c>
      <c r="B33">
        <v>10</v>
      </c>
      <c r="C33" t="s">
        <v>94</v>
      </c>
      <c r="D33" t="s">
        <v>103</v>
      </c>
      <c r="E33">
        <v>0</v>
      </c>
      <c r="F33">
        <v>189</v>
      </c>
      <c r="G33">
        <v>0</v>
      </c>
      <c r="H33">
        <v>0</v>
      </c>
      <c r="I33">
        <v>1</v>
      </c>
      <c r="J33">
        <v>0</v>
      </c>
      <c r="K33">
        <v>1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1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</row>
    <row r="34" spans="1:38" x14ac:dyDescent="0.25">
      <c r="A34" t="s">
        <v>76</v>
      </c>
      <c r="B34">
        <v>10</v>
      </c>
      <c r="C34" t="s">
        <v>94</v>
      </c>
      <c r="D34" t="s">
        <v>113</v>
      </c>
      <c r="E34">
        <v>0</v>
      </c>
      <c r="F34">
        <v>9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2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1</v>
      </c>
      <c r="AE34">
        <v>5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</row>
    <row r="35" spans="1:38" x14ac:dyDescent="0.25">
      <c r="A35" t="s">
        <v>77</v>
      </c>
      <c r="B35">
        <v>10</v>
      </c>
      <c r="C35" t="s">
        <v>94</v>
      </c>
      <c r="D35" t="s">
        <v>102</v>
      </c>
      <c r="E35">
        <v>0</v>
      </c>
      <c r="F35">
        <v>578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1</v>
      </c>
      <c r="W35">
        <v>1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</row>
    <row r="36" spans="1:38" x14ac:dyDescent="0.25">
      <c r="A36" t="s">
        <v>77</v>
      </c>
      <c r="B36">
        <v>10</v>
      </c>
      <c r="C36" t="s">
        <v>94</v>
      </c>
      <c r="D36" t="s">
        <v>110</v>
      </c>
      <c r="E36">
        <v>0</v>
      </c>
      <c r="F36">
        <v>6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3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</row>
    <row r="37" spans="1:38" x14ac:dyDescent="0.25">
      <c r="A37" t="s">
        <v>78</v>
      </c>
      <c r="B37">
        <v>10</v>
      </c>
      <c r="C37" t="s">
        <v>94</v>
      </c>
      <c r="D37" t="s">
        <v>111</v>
      </c>
      <c r="E37">
        <v>0</v>
      </c>
      <c r="F37">
        <v>4122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</row>
    <row r="38" spans="1:38" x14ac:dyDescent="0.25">
      <c r="A38" t="s">
        <v>50</v>
      </c>
      <c r="B38">
        <v>12</v>
      </c>
      <c r="C38" t="s">
        <v>95</v>
      </c>
      <c r="D38" t="s">
        <v>113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6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1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</row>
    <row r="39" spans="1:38" x14ac:dyDescent="0.25">
      <c r="A39" t="s">
        <v>50</v>
      </c>
      <c r="B39">
        <v>12</v>
      </c>
      <c r="C39" t="s">
        <v>95</v>
      </c>
      <c r="D39" t="s">
        <v>103</v>
      </c>
      <c r="E39">
        <v>0</v>
      </c>
      <c r="F39">
        <v>410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3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4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</row>
    <row r="40" spans="1:38" x14ac:dyDescent="0.25">
      <c r="A40" t="s">
        <v>50</v>
      </c>
      <c r="B40">
        <v>12</v>
      </c>
      <c r="C40" t="s">
        <v>95</v>
      </c>
      <c r="D40" t="s">
        <v>111</v>
      </c>
      <c r="E40">
        <v>0</v>
      </c>
      <c r="F40">
        <v>414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2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3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</row>
    <row r="41" spans="1:38" x14ac:dyDescent="0.25">
      <c r="A41" t="s">
        <v>50</v>
      </c>
      <c r="B41">
        <v>12</v>
      </c>
      <c r="C41" t="s">
        <v>95</v>
      </c>
      <c r="D41" t="s">
        <v>104</v>
      </c>
      <c r="E41">
        <v>0</v>
      </c>
      <c r="F41">
        <v>6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1</v>
      </c>
      <c r="Z41">
        <v>0</v>
      </c>
      <c r="AA41">
        <v>0</v>
      </c>
      <c r="AB41">
        <v>0</v>
      </c>
      <c r="AC41">
        <v>0</v>
      </c>
      <c r="AD41">
        <v>1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</row>
    <row r="42" spans="1:38" x14ac:dyDescent="0.25">
      <c r="A42" t="s">
        <v>51</v>
      </c>
      <c r="B42">
        <v>12</v>
      </c>
      <c r="C42" t="s">
        <v>94</v>
      </c>
      <c r="D42" t="s">
        <v>105</v>
      </c>
      <c r="E42">
        <v>0</v>
      </c>
      <c r="F42">
        <v>158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2</v>
      </c>
      <c r="AI42">
        <v>0</v>
      </c>
      <c r="AJ42">
        <v>0</v>
      </c>
      <c r="AK42">
        <v>0</v>
      </c>
      <c r="AL42">
        <v>0</v>
      </c>
    </row>
    <row r="43" spans="1:38" x14ac:dyDescent="0.25">
      <c r="A43" t="s">
        <v>51</v>
      </c>
      <c r="B43">
        <v>12</v>
      </c>
      <c r="C43" t="s">
        <v>94</v>
      </c>
      <c r="D43" t="s">
        <v>111</v>
      </c>
      <c r="E43">
        <v>0</v>
      </c>
      <c r="F43" t="s">
        <v>114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1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</row>
    <row r="44" spans="1:38" x14ac:dyDescent="0.25">
      <c r="A44" t="s">
        <v>51</v>
      </c>
      <c r="B44">
        <v>12</v>
      </c>
      <c r="C44" t="s">
        <v>94</v>
      </c>
      <c r="D44" t="s">
        <v>112</v>
      </c>
      <c r="E44">
        <v>0</v>
      </c>
      <c r="F44">
        <v>277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2</v>
      </c>
      <c r="AJ44">
        <v>0</v>
      </c>
      <c r="AK44">
        <v>0</v>
      </c>
      <c r="AL44">
        <v>0</v>
      </c>
    </row>
    <row r="45" spans="1:38" x14ac:dyDescent="0.25">
      <c r="A45" t="s">
        <v>52</v>
      </c>
      <c r="B45">
        <v>12</v>
      </c>
      <c r="C45" t="s">
        <v>95</v>
      </c>
      <c r="D45" t="s">
        <v>102</v>
      </c>
      <c r="E45">
        <v>0</v>
      </c>
      <c r="F45">
        <v>647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1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1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</row>
    <row r="46" spans="1:38" x14ac:dyDescent="0.25">
      <c r="A46" t="s">
        <v>52</v>
      </c>
      <c r="B46">
        <v>12</v>
      </c>
      <c r="C46" t="s">
        <v>95</v>
      </c>
      <c r="D46" t="s">
        <v>103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5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</row>
    <row r="47" spans="1:38" x14ac:dyDescent="0.25">
      <c r="A47" t="s">
        <v>52</v>
      </c>
      <c r="B47">
        <v>12</v>
      </c>
      <c r="C47" t="s">
        <v>95</v>
      </c>
      <c r="D47" t="s">
        <v>111</v>
      </c>
      <c r="E47">
        <v>0</v>
      </c>
      <c r="F47">
        <v>319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1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</row>
    <row r="48" spans="1:38" x14ac:dyDescent="0.25">
      <c r="A48" t="s">
        <v>52</v>
      </c>
      <c r="B48">
        <v>12</v>
      </c>
      <c r="C48" t="s">
        <v>95</v>
      </c>
      <c r="D48" t="s">
        <v>112</v>
      </c>
      <c r="E48">
        <v>0</v>
      </c>
      <c r="F48">
        <v>37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1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</row>
    <row r="49" spans="1:38" x14ac:dyDescent="0.25">
      <c r="A49" t="s">
        <v>53</v>
      </c>
      <c r="B49">
        <v>12</v>
      </c>
      <c r="C49" t="s">
        <v>94</v>
      </c>
      <c r="D49" t="s">
        <v>102</v>
      </c>
      <c r="E49">
        <v>0</v>
      </c>
      <c r="F49">
        <v>412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1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1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</row>
    <row r="50" spans="1:38" x14ac:dyDescent="0.25">
      <c r="A50" t="s">
        <v>53</v>
      </c>
      <c r="B50">
        <v>12</v>
      </c>
      <c r="C50" t="s">
        <v>94</v>
      </c>
      <c r="D50" t="s">
        <v>113</v>
      </c>
      <c r="E50">
        <v>0</v>
      </c>
      <c r="F50">
        <v>2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1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1</v>
      </c>
      <c r="Z50">
        <v>0</v>
      </c>
      <c r="AA50">
        <v>2</v>
      </c>
      <c r="AB50">
        <v>0</v>
      </c>
      <c r="AC50">
        <v>0</v>
      </c>
      <c r="AD50">
        <v>1</v>
      </c>
      <c r="AE50">
        <v>1</v>
      </c>
      <c r="AF50">
        <v>0</v>
      </c>
      <c r="AG50">
        <v>0</v>
      </c>
      <c r="AH50">
        <v>0</v>
      </c>
      <c r="AI50">
        <v>1</v>
      </c>
      <c r="AJ50">
        <v>0</v>
      </c>
      <c r="AK50">
        <v>0</v>
      </c>
      <c r="AL50">
        <v>0</v>
      </c>
    </row>
    <row r="51" spans="1:38" x14ac:dyDescent="0.25">
      <c r="A51" t="s">
        <v>53</v>
      </c>
      <c r="B51">
        <v>12</v>
      </c>
      <c r="C51" t="s">
        <v>94</v>
      </c>
      <c r="D51" t="s">
        <v>103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1</v>
      </c>
      <c r="Z51">
        <v>0</v>
      </c>
      <c r="AA51">
        <v>1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</row>
    <row r="52" spans="1:38" x14ac:dyDescent="0.25">
      <c r="A52" t="s">
        <v>53</v>
      </c>
      <c r="B52">
        <v>12</v>
      </c>
      <c r="C52" t="s">
        <v>94</v>
      </c>
      <c r="D52" t="s">
        <v>112</v>
      </c>
      <c r="E52">
        <v>0</v>
      </c>
      <c r="F52">
        <v>27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</row>
    <row r="53" spans="1:38" x14ac:dyDescent="0.25">
      <c r="A53" t="s">
        <v>54</v>
      </c>
      <c r="B53">
        <v>12</v>
      </c>
      <c r="C53" t="s">
        <v>95</v>
      </c>
      <c r="D53" t="s">
        <v>113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2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</row>
    <row r="54" spans="1:38" x14ac:dyDescent="0.25">
      <c r="A54" t="s">
        <v>54</v>
      </c>
      <c r="B54">
        <v>12</v>
      </c>
      <c r="C54" t="s">
        <v>95</v>
      </c>
      <c r="D54" t="s">
        <v>110</v>
      </c>
      <c r="E54">
        <v>1</v>
      </c>
      <c r="F54">
        <v>2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2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</row>
    <row r="55" spans="1:38" x14ac:dyDescent="0.25">
      <c r="A55" t="s">
        <v>54</v>
      </c>
      <c r="B55">
        <v>12</v>
      </c>
      <c r="C55" t="s">
        <v>95</v>
      </c>
      <c r="D55" t="s">
        <v>111</v>
      </c>
      <c r="E55">
        <v>0</v>
      </c>
      <c r="F55">
        <v>2126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1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</row>
    <row r="56" spans="1:38" x14ac:dyDescent="0.25">
      <c r="A56" t="s">
        <v>55</v>
      </c>
      <c r="B56">
        <v>12</v>
      </c>
      <c r="C56" t="s">
        <v>94</v>
      </c>
      <c r="D56" t="s">
        <v>113</v>
      </c>
      <c r="E56">
        <v>0</v>
      </c>
      <c r="F56">
        <v>48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1</v>
      </c>
      <c r="R56">
        <v>0</v>
      </c>
      <c r="S56">
        <v>0</v>
      </c>
      <c r="T56">
        <v>0</v>
      </c>
      <c r="U56">
        <v>1</v>
      </c>
      <c r="V56">
        <v>0</v>
      </c>
      <c r="W56">
        <v>0</v>
      </c>
      <c r="X56">
        <v>0</v>
      </c>
      <c r="Y56">
        <v>1</v>
      </c>
      <c r="Z56">
        <v>0</v>
      </c>
      <c r="AA56">
        <v>0</v>
      </c>
      <c r="AB56">
        <v>0</v>
      </c>
      <c r="AC56">
        <v>0</v>
      </c>
      <c r="AD56">
        <v>1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</row>
    <row r="57" spans="1:38" x14ac:dyDescent="0.25">
      <c r="A57" t="s">
        <v>55</v>
      </c>
      <c r="B57">
        <v>12</v>
      </c>
      <c r="C57" t="s">
        <v>94</v>
      </c>
      <c r="D57" t="s">
        <v>110</v>
      </c>
      <c r="E57">
        <v>0</v>
      </c>
      <c r="F57" t="s">
        <v>114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</row>
    <row r="58" spans="1:38" x14ac:dyDescent="0.25">
      <c r="A58" t="s">
        <v>55</v>
      </c>
      <c r="B58">
        <v>12</v>
      </c>
      <c r="C58" t="s">
        <v>94</v>
      </c>
      <c r="D58" t="s">
        <v>103</v>
      </c>
      <c r="E58">
        <v>0</v>
      </c>
      <c r="F58">
        <v>215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</row>
    <row r="59" spans="1:38" x14ac:dyDescent="0.25">
      <c r="A59" t="s">
        <v>55</v>
      </c>
      <c r="B59">
        <v>12</v>
      </c>
      <c r="C59" t="s">
        <v>94</v>
      </c>
      <c r="D59" t="s">
        <v>111</v>
      </c>
      <c r="E59">
        <v>0</v>
      </c>
      <c r="F59">
        <v>338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2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1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</row>
    <row r="60" spans="1:38" x14ac:dyDescent="0.25">
      <c r="A60" t="s">
        <v>56</v>
      </c>
      <c r="B60">
        <v>12</v>
      </c>
      <c r="C60" t="s">
        <v>94</v>
      </c>
      <c r="D60" t="s">
        <v>113</v>
      </c>
      <c r="E60">
        <v>0</v>
      </c>
      <c r="F60">
        <v>3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3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</row>
    <row r="61" spans="1:38" x14ac:dyDescent="0.25">
      <c r="A61" t="s">
        <v>56</v>
      </c>
      <c r="B61">
        <v>12</v>
      </c>
      <c r="C61" t="s">
        <v>94</v>
      </c>
      <c r="D61" t="s">
        <v>111</v>
      </c>
      <c r="E61">
        <v>0</v>
      </c>
      <c r="F61">
        <v>96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1</v>
      </c>
      <c r="AJ61">
        <v>0</v>
      </c>
      <c r="AK61">
        <v>0</v>
      </c>
      <c r="AL61">
        <v>0</v>
      </c>
    </row>
    <row r="62" spans="1:38" x14ac:dyDescent="0.25">
      <c r="A62" t="s">
        <v>56</v>
      </c>
      <c r="B62">
        <v>12</v>
      </c>
      <c r="C62" t="s">
        <v>94</v>
      </c>
      <c r="D62" t="s">
        <v>104</v>
      </c>
      <c r="E62">
        <v>0</v>
      </c>
      <c r="F62">
        <v>4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1</v>
      </c>
      <c r="AI62">
        <v>0</v>
      </c>
      <c r="AJ62">
        <v>0</v>
      </c>
      <c r="AK62">
        <v>0</v>
      </c>
      <c r="AL62">
        <v>0</v>
      </c>
    </row>
    <row r="63" spans="1:38" x14ac:dyDescent="0.25">
      <c r="A63" t="s">
        <v>56</v>
      </c>
      <c r="B63">
        <v>12</v>
      </c>
      <c r="C63" t="s">
        <v>94</v>
      </c>
      <c r="D63" t="s">
        <v>112</v>
      </c>
      <c r="E63">
        <v>0</v>
      </c>
      <c r="F63">
        <v>19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4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</row>
    <row r="64" spans="1:38" x14ac:dyDescent="0.25">
      <c r="A64" t="s">
        <v>57</v>
      </c>
      <c r="B64">
        <v>12</v>
      </c>
      <c r="C64" t="s">
        <v>94</v>
      </c>
      <c r="D64" t="s">
        <v>105</v>
      </c>
      <c r="E64">
        <v>0</v>
      </c>
      <c r="F64">
        <v>285</v>
      </c>
      <c r="G64">
        <v>0</v>
      </c>
      <c r="H64">
        <v>0</v>
      </c>
      <c r="I64">
        <v>0</v>
      </c>
      <c r="J64">
        <v>0</v>
      </c>
      <c r="K64">
        <v>6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1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1</v>
      </c>
      <c r="AL64">
        <v>0</v>
      </c>
    </row>
    <row r="65" spans="1:38" x14ac:dyDescent="0.25">
      <c r="A65" t="s">
        <v>57</v>
      </c>
      <c r="B65">
        <v>12</v>
      </c>
      <c r="C65" t="s">
        <v>94</v>
      </c>
      <c r="D65" t="s">
        <v>113</v>
      </c>
      <c r="E65">
        <v>0</v>
      </c>
      <c r="F65">
        <v>5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</row>
    <row r="66" spans="1:38" x14ac:dyDescent="0.25">
      <c r="A66" t="s">
        <v>57</v>
      </c>
      <c r="B66">
        <v>12</v>
      </c>
      <c r="C66" t="s">
        <v>94</v>
      </c>
      <c r="D66" t="s">
        <v>112</v>
      </c>
      <c r="E66">
        <v>0</v>
      </c>
      <c r="F66">
        <v>95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2</v>
      </c>
      <c r="AJ66">
        <v>0</v>
      </c>
      <c r="AK66">
        <v>1</v>
      </c>
      <c r="AL66">
        <v>0</v>
      </c>
    </row>
    <row r="67" spans="1:38" x14ac:dyDescent="0.25">
      <c r="A67" t="s">
        <v>58</v>
      </c>
      <c r="B67">
        <v>12</v>
      </c>
      <c r="C67" t="s">
        <v>95</v>
      </c>
      <c r="D67" t="s">
        <v>102</v>
      </c>
      <c r="E67">
        <v>0</v>
      </c>
      <c r="F67">
        <v>965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1</v>
      </c>
      <c r="AD67">
        <v>0</v>
      </c>
      <c r="AE67">
        <v>0</v>
      </c>
      <c r="AF67">
        <v>0</v>
      </c>
      <c r="AG67">
        <v>0</v>
      </c>
      <c r="AH67">
        <v>1</v>
      </c>
      <c r="AI67">
        <v>0</v>
      </c>
      <c r="AJ67">
        <v>0</v>
      </c>
      <c r="AK67">
        <v>0</v>
      </c>
      <c r="AL67">
        <v>0</v>
      </c>
    </row>
    <row r="68" spans="1:38" x14ac:dyDescent="0.25">
      <c r="A68" t="s">
        <v>58</v>
      </c>
      <c r="B68">
        <v>12</v>
      </c>
      <c r="C68" t="s">
        <v>95</v>
      </c>
      <c r="D68" t="s">
        <v>110</v>
      </c>
      <c r="E68">
        <v>1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1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1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</row>
    <row r="69" spans="1:38" x14ac:dyDescent="0.25">
      <c r="A69" t="s">
        <v>58</v>
      </c>
      <c r="B69">
        <v>12</v>
      </c>
      <c r="C69" t="s">
        <v>95</v>
      </c>
      <c r="D69" t="s">
        <v>103</v>
      </c>
      <c r="E69">
        <v>0</v>
      </c>
      <c r="F69">
        <v>143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1</v>
      </c>
      <c r="Y69">
        <v>0</v>
      </c>
      <c r="Z69">
        <v>0</v>
      </c>
      <c r="AA69">
        <v>0</v>
      </c>
      <c r="AB69">
        <v>0</v>
      </c>
      <c r="AC69">
        <v>0</v>
      </c>
      <c r="AD69">
        <v>1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</row>
    <row r="70" spans="1:38" x14ac:dyDescent="0.25">
      <c r="A70" t="s">
        <v>59</v>
      </c>
      <c r="B70">
        <v>12</v>
      </c>
      <c r="C70" t="s">
        <v>94</v>
      </c>
      <c r="D70" t="s">
        <v>105</v>
      </c>
      <c r="E70">
        <v>0</v>
      </c>
      <c r="F70">
        <v>453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1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</row>
    <row r="71" spans="1:38" x14ac:dyDescent="0.25">
      <c r="A71" t="s">
        <v>59</v>
      </c>
      <c r="B71">
        <v>12</v>
      </c>
      <c r="C71" t="s">
        <v>94</v>
      </c>
      <c r="D71" t="s">
        <v>110</v>
      </c>
      <c r="E71">
        <v>0</v>
      </c>
      <c r="F71">
        <v>8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2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</row>
    <row r="72" spans="1:38" x14ac:dyDescent="0.25">
      <c r="A72" t="s">
        <v>60</v>
      </c>
      <c r="B72">
        <v>12</v>
      </c>
      <c r="C72" t="s">
        <v>95</v>
      </c>
      <c r="D72" t="s">
        <v>102</v>
      </c>
      <c r="E72">
        <v>0</v>
      </c>
      <c r="F72">
        <v>1247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1</v>
      </c>
      <c r="AI72">
        <v>0</v>
      </c>
      <c r="AJ72">
        <v>0</v>
      </c>
      <c r="AK72">
        <v>0</v>
      </c>
      <c r="AL72">
        <v>0</v>
      </c>
    </row>
    <row r="73" spans="1:38" x14ac:dyDescent="0.25">
      <c r="A73" t="s">
        <v>60</v>
      </c>
      <c r="B73">
        <v>12</v>
      </c>
      <c r="C73" t="s">
        <v>95</v>
      </c>
      <c r="D73" t="s">
        <v>110</v>
      </c>
      <c r="E73">
        <v>0</v>
      </c>
      <c r="F73">
        <v>14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2</v>
      </c>
      <c r="AB73">
        <v>0</v>
      </c>
      <c r="AC73">
        <v>2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</row>
    <row r="74" spans="1:38" x14ac:dyDescent="0.25">
      <c r="A74" t="s">
        <v>60</v>
      </c>
      <c r="B74">
        <v>12</v>
      </c>
      <c r="C74" t="s">
        <v>95</v>
      </c>
      <c r="D74" t="s">
        <v>104</v>
      </c>
      <c r="E74">
        <v>0</v>
      </c>
      <c r="F74">
        <v>8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2</v>
      </c>
      <c r="AD74">
        <v>0</v>
      </c>
      <c r="AE74">
        <v>0</v>
      </c>
      <c r="AF74">
        <v>1</v>
      </c>
      <c r="AG74">
        <v>0</v>
      </c>
      <c r="AH74">
        <v>1</v>
      </c>
      <c r="AI74">
        <v>0</v>
      </c>
      <c r="AJ74">
        <v>0</v>
      </c>
      <c r="AK74">
        <v>1</v>
      </c>
      <c r="AL74">
        <v>0</v>
      </c>
    </row>
    <row r="75" spans="1:38" x14ac:dyDescent="0.25">
      <c r="A75" t="s">
        <v>60</v>
      </c>
      <c r="B75">
        <v>12</v>
      </c>
      <c r="C75" t="s">
        <v>95</v>
      </c>
      <c r="D75" t="s">
        <v>112</v>
      </c>
      <c r="E75">
        <v>0</v>
      </c>
      <c r="F75">
        <v>65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</row>
    <row r="76" spans="1:38" x14ac:dyDescent="0.25">
      <c r="A76" t="s">
        <v>61</v>
      </c>
      <c r="B76">
        <v>12</v>
      </c>
      <c r="C76" t="s">
        <v>94</v>
      </c>
      <c r="D76" t="s">
        <v>102</v>
      </c>
      <c r="E76">
        <v>1</v>
      </c>
      <c r="F76" t="s">
        <v>114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1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</row>
    <row r="77" spans="1:38" x14ac:dyDescent="0.25">
      <c r="A77" t="s">
        <v>61</v>
      </c>
      <c r="B77">
        <v>12</v>
      </c>
      <c r="C77" t="s">
        <v>94</v>
      </c>
      <c r="D77" t="s">
        <v>110</v>
      </c>
      <c r="E77">
        <v>0</v>
      </c>
      <c r="F77">
        <v>0</v>
      </c>
      <c r="G77">
        <v>1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1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</row>
    <row r="78" spans="1:38" x14ac:dyDescent="0.25">
      <c r="A78" t="s">
        <v>61</v>
      </c>
      <c r="B78">
        <v>12</v>
      </c>
      <c r="C78" t="s">
        <v>94</v>
      </c>
      <c r="D78" t="s">
        <v>112</v>
      </c>
      <c r="E78">
        <v>0</v>
      </c>
      <c r="F78">
        <v>104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1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</row>
    <row r="79" spans="1:38" x14ac:dyDescent="0.25">
      <c r="A79" t="s">
        <v>62</v>
      </c>
      <c r="B79">
        <v>12</v>
      </c>
      <c r="C79" t="s">
        <v>95</v>
      </c>
      <c r="D79" t="s">
        <v>102</v>
      </c>
      <c r="E79">
        <v>0</v>
      </c>
      <c r="F79">
        <v>246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</row>
    <row r="80" spans="1:38" x14ac:dyDescent="0.25">
      <c r="A80" t="s">
        <v>62</v>
      </c>
      <c r="B80">
        <v>12</v>
      </c>
      <c r="C80" t="s">
        <v>95</v>
      </c>
      <c r="D80" t="s">
        <v>103</v>
      </c>
      <c r="E80">
        <v>0</v>
      </c>
      <c r="F80">
        <v>111</v>
      </c>
      <c r="G80">
        <v>0</v>
      </c>
      <c r="H80">
        <v>0</v>
      </c>
      <c r="I80">
        <v>0</v>
      </c>
      <c r="J80">
        <v>0</v>
      </c>
      <c r="K80">
        <v>1</v>
      </c>
      <c r="L80">
        <v>0</v>
      </c>
      <c r="M80">
        <v>1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1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</row>
    <row r="81" spans="1:38" x14ac:dyDescent="0.25">
      <c r="A81" t="s">
        <v>63</v>
      </c>
      <c r="B81">
        <v>12</v>
      </c>
      <c r="C81" t="s">
        <v>94</v>
      </c>
      <c r="D81" t="s">
        <v>104</v>
      </c>
      <c r="E81">
        <v>0</v>
      </c>
      <c r="F81">
        <v>18</v>
      </c>
      <c r="G81">
        <v>0</v>
      </c>
      <c r="H81">
        <v>0</v>
      </c>
      <c r="I81">
        <v>0</v>
      </c>
      <c r="J81">
        <v>2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1</v>
      </c>
      <c r="Z81">
        <v>0</v>
      </c>
      <c r="AA81">
        <v>0</v>
      </c>
      <c r="AB81">
        <v>0</v>
      </c>
      <c r="AC81">
        <v>0</v>
      </c>
      <c r="AD81">
        <v>2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</row>
    <row r="82" spans="1:38" x14ac:dyDescent="0.25">
      <c r="A82" t="s">
        <v>65</v>
      </c>
      <c r="B82">
        <v>12</v>
      </c>
      <c r="C82" t="s">
        <v>95</v>
      </c>
      <c r="D82" t="s">
        <v>105</v>
      </c>
      <c r="E82">
        <v>0</v>
      </c>
      <c r="F82">
        <v>184</v>
      </c>
      <c r="G82">
        <v>0</v>
      </c>
      <c r="H82">
        <v>0</v>
      </c>
      <c r="I82">
        <v>0</v>
      </c>
      <c r="J82">
        <v>2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1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1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1</v>
      </c>
      <c r="AL82">
        <v>0</v>
      </c>
    </row>
    <row r="83" spans="1:38" x14ac:dyDescent="0.25">
      <c r="A83" t="s">
        <v>10</v>
      </c>
      <c r="B83">
        <v>15</v>
      </c>
      <c r="C83" t="s">
        <v>94</v>
      </c>
      <c r="D83" t="s">
        <v>102</v>
      </c>
      <c r="E83">
        <v>0</v>
      </c>
      <c r="F83">
        <v>619</v>
      </c>
      <c r="G83">
        <v>1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1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</row>
    <row r="84" spans="1:38" x14ac:dyDescent="0.25">
      <c r="A84" t="s">
        <v>10</v>
      </c>
      <c r="B84">
        <v>15</v>
      </c>
      <c r="C84" t="s">
        <v>94</v>
      </c>
      <c r="D84" t="s">
        <v>105</v>
      </c>
      <c r="E84">
        <v>0</v>
      </c>
      <c r="F84">
        <v>195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2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1</v>
      </c>
      <c r="AI84">
        <v>0</v>
      </c>
      <c r="AJ84">
        <v>0</v>
      </c>
      <c r="AK84">
        <v>0</v>
      </c>
      <c r="AL84">
        <v>0</v>
      </c>
    </row>
    <row r="85" spans="1:38" x14ac:dyDescent="0.25">
      <c r="A85" t="s">
        <v>10</v>
      </c>
      <c r="B85">
        <v>15</v>
      </c>
      <c r="C85" t="s">
        <v>94</v>
      </c>
      <c r="D85" t="s">
        <v>103</v>
      </c>
      <c r="E85">
        <v>0</v>
      </c>
      <c r="F85">
        <v>155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1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</row>
    <row r="86" spans="1:38" x14ac:dyDescent="0.25">
      <c r="A86" t="s">
        <v>10</v>
      </c>
      <c r="B86">
        <v>15</v>
      </c>
      <c r="C86" t="s">
        <v>94</v>
      </c>
      <c r="D86" t="s">
        <v>104</v>
      </c>
      <c r="E86">
        <v>0</v>
      </c>
      <c r="F86">
        <v>4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6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</row>
    <row r="87" spans="1:38" x14ac:dyDescent="0.25">
      <c r="A87" t="s">
        <v>14</v>
      </c>
      <c r="B87">
        <v>15</v>
      </c>
      <c r="C87" t="s">
        <v>94</v>
      </c>
      <c r="D87" t="s">
        <v>102</v>
      </c>
      <c r="E87">
        <v>0</v>
      </c>
      <c r="F87">
        <v>393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</row>
    <row r="88" spans="1:38" x14ac:dyDescent="0.25">
      <c r="A88" t="s">
        <v>14</v>
      </c>
      <c r="B88">
        <v>15</v>
      </c>
      <c r="C88" t="s">
        <v>94</v>
      </c>
      <c r="D88" t="s">
        <v>110</v>
      </c>
      <c r="E88">
        <v>0</v>
      </c>
      <c r="F88">
        <v>5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</row>
    <row r="89" spans="1:38" x14ac:dyDescent="0.25">
      <c r="A89" t="s">
        <v>14</v>
      </c>
      <c r="B89">
        <v>15</v>
      </c>
      <c r="C89" t="s">
        <v>94</v>
      </c>
      <c r="D89" t="s">
        <v>111</v>
      </c>
      <c r="E89">
        <v>0</v>
      </c>
      <c r="F89">
        <v>3116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1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</row>
    <row r="90" spans="1:38" x14ac:dyDescent="0.25">
      <c r="A90" t="s">
        <v>14</v>
      </c>
      <c r="B90">
        <v>15</v>
      </c>
      <c r="C90" t="s">
        <v>94</v>
      </c>
      <c r="D90" t="s">
        <v>104</v>
      </c>
      <c r="E90">
        <v>0</v>
      </c>
      <c r="F90">
        <v>10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1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2</v>
      </c>
      <c r="AI90">
        <v>0</v>
      </c>
      <c r="AJ90">
        <v>0</v>
      </c>
      <c r="AK90">
        <v>0</v>
      </c>
      <c r="AL90">
        <v>0</v>
      </c>
    </row>
    <row r="91" spans="1:38" x14ac:dyDescent="0.25">
      <c r="A91" t="s">
        <v>16</v>
      </c>
      <c r="B91">
        <v>15</v>
      </c>
      <c r="C91" t="s">
        <v>95</v>
      </c>
      <c r="D91" t="s">
        <v>113</v>
      </c>
      <c r="E91">
        <v>0</v>
      </c>
      <c r="F91">
        <v>15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3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1</v>
      </c>
      <c r="AI91">
        <v>0</v>
      </c>
      <c r="AJ91">
        <v>0</v>
      </c>
      <c r="AK91">
        <v>0</v>
      </c>
      <c r="AL91">
        <v>0</v>
      </c>
    </row>
    <row r="92" spans="1:38" x14ac:dyDescent="0.25">
      <c r="A92" t="s">
        <v>16</v>
      </c>
      <c r="B92">
        <v>15</v>
      </c>
      <c r="C92" t="s">
        <v>95</v>
      </c>
      <c r="D92" t="s">
        <v>110</v>
      </c>
      <c r="E92">
        <v>0</v>
      </c>
      <c r="F92">
        <v>41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1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1</v>
      </c>
      <c r="AI92">
        <v>0</v>
      </c>
      <c r="AJ92">
        <v>0</v>
      </c>
      <c r="AK92">
        <v>0</v>
      </c>
      <c r="AL92">
        <v>0</v>
      </c>
    </row>
    <row r="93" spans="1:38" x14ac:dyDescent="0.25">
      <c r="A93" t="s">
        <v>16</v>
      </c>
      <c r="B93">
        <v>15</v>
      </c>
      <c r="C93" t="s">
        <v>95</v>
      </c>
      <c r="D93" t="s">
        <v>111</v>
      </c>
      <c r="E93">
        <v>0</v>
      </c>
      <c r="F93">
        <v>1827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2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3</v>
      </c>
      <c r="AL93">
        <v>0</v>
      </c>
    </row>
    <row r="94" spans="1:38" x14ac:dyDescent="0.25">
      <c r="A94" t="s">
        <v>16</v>
      </c>
      <c r="B94">
        <v>15</v>
      </c>
      <c r="C94" t="s">
        <v>95</v>
      </c>
      <c r="D94" t="s">
        <v>104</v>
      </c>
      <c r="E94">
        <v>0</v>
      </c>
      <c r="F94">
        <v>8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1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1</v>
      </c>
      <c r="AL94">
        <v>0</v>
      </c>
    </row>
    <row r="95" spans="1:38" x14ac:dyDescent="0.25">
      <c r="A95" t="s">
        <v>18</v>
      </c>
      <c r="B95">
        <v>15</v>
      </c>
      <c r="C95" t="s">
        <v>95</v>
      </c>
      <c r="D95" t="s">
        <v>113</v>
      </c>
      <c r="E95">
        <v>0</v>
      </c>
      <c r="F95">
        <v>3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15</v>
      </c>
      <c r="O95">
        <v>0</v>
      </c>
      <c r="P95">
        <v>0</v>
      </c>
      <c r="Q95">
        <v>1</v>
      </c>
      <c r="R95">
        <v>0</v>
      </c>
      <c r="S95">
        <v>0</v>
      </c>
      <c r="T95">
        <v>0</v>
      </c>
      <c r="U95">
        <v>3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</row>
    <row r="96" spans="1:38" x14ac:dyDescent="0.25">
      <c r="A96" t="s">
        <v>18</v>
      </c>
      <c r="B96">
        <v>15</v>
      </c>
      <c r="C96" t="s">
        <v>95</v>
      </c>
      <c r="D96" t="s">
        <v>111</v>
      </c>
      <c r="E96">
        <v>0</v>
      </c>
      <c r="F96">
        <v>490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2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2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</row>
    <row r="97" spans="1:38" x14ac:dyDescent="0.25">
      <c r="A97" t="s">
        <v>18</v>
      </c>
      <c r="B97">
        <v>15</v>
      </c>
      <c r="C97" t="s">
        <v>95</v>
      </c>
      <c r="D97" t="s">
        <v>104</v>
      </c>
      <c r="E97">
        <v>0</v>
      </c>
      <c r="F97">
        <v>76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3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1</v>
      </c>
      <c r="AL97">
        <v>0</v>
      </c>
    </row>
    <row r="98" spans="1:38" x14ac:dyDescent="0.25">
      <c r="A98" t="s">
        <v>18</v>
      </c>
      <c r="B98">
        <v>15</v>
      </c>
      <c r="C98" t="s">
        <v>95</v>
      </c>
      <c r="D98" t="s">
        <v>112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1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</row>
    <row r="99" spans="1:38" x14ac:dyDescent="0.25">
      <c r="A99" t="s">
        <v>20</v>
      </c>
      <c r="B99">
        <v>15</v>
      </c>
      <c r="C99" t="s">
        <v>94</v>
      </c>
      <c r="D99" t="s">
        <v>102</v>
      </c>
      <c r="E99">
        <v>0</v>
      </c>
      <c r="F99">
        <v>541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1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</row>
    <row r="100" spans="1:38" x14ac:dyDescent="0.25">
      <c r="A100" t="s">
        <v>20</v>
      </c>
      <c r="B100">
        <v>15</v>
      </c>
      <c r="C100" t="s">
        <v>94</v>
      </c>
      <c r="D100" t="s">
        <v>113</v>
      </c>
      <c r="E100">
        <v>0</v>
      </c>
      <c r="F100">
        <v>60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1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</row>
    <row r="101" spans="1:38" x14ac:dyDescent="0.25">
      <c r="A101" t="s">
        <v>20</v>
      </c>
      <c r="B101">
        <v>15</v>
      </c>
      <c r="C101" t="s">
        <v>94</v>
      </c>
      <c r="D101" t="s">
        <v>110</v>
      </c>
      <c r="E101">
        <v>0</v>
      </c>
      <c r="F101">
        <v>6</v>
      </c>
      <c r="G101">
        <v>1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2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</row>
    <row r="102" spans="1:38" x14ac:dyDescent="0.25">
      <c r="A102" t="s">
        <v>20</v>
      </c>
      <c r="B102">
        <v>15</v>
      </c>
      <c r="C102" t="s">
        <v>94</v>
      </c>
      <c r="D102" t="s">
        <v>111</v>
      </c>
      <c r="E102">
        <v>0</v>
      </c>
      <c r="F102">
        <v>8449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1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</row>
    <row r="103" spans="1:38" x14ac:dyDescent="0.25">
      <c r="A103" t="s">
        <v>22</v>
      </c>
      <c r="B103">
        <v>15</v>
      </c>
      <c r="C103" t="s">
        <v>95</v>
      </c>
      <c r="D103" t="s">
        <v>102</v>
      </c>
      <c r="E103">
        <v>0</v>
      </c>
      <c r="F103">
        <v>1482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1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</row>
    <row r="104" spans="1:38" x14ac:dyDescent="0.25">
      <c r="A104" t="s">
        <v>22</v>
      </c>
      <c r="B104">
        <v>15</v>
      </c>
      <c r="C104" t="s">
        <v>95</v>
      </c>
      <c r="D104" t="s">
        <v>105</v>
      </c>
      <c r="E104">
        <v>0</v>
      </c>
      <c r="F104">
        <v>164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1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4</v>
      </c>
      <c r="V104">
        <v>0</v>
      </c>
      <c r="W104">
        <v>0</v>
      </c>
      <c r="X104">
        <v>0</v>
      </c>
      <c r="Y104">
        <v>1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</row>
    <row r="105" spans="1:38" x14ac:dyDescent="0.25">
      <c r="A105" t="s">
        <v>22</v>
      </c>
      <c r="B105">
        <v>15</v>
      </c>
      <c r="C105" t="s">
        <v>95</v>
      </c>
      <c r="D105" t="s">
        <v>103</v>
      </c>
      <c r="E105">
        <v>0</v>
      </c>
      <c r="F105">
        <v>39</v>
      </c>
      <c r="G105">
        <v>0</v>
      </c>
      <c r="H105">
        <v>0</v>
      </c>
      <c r="I105">
        <v>0</v>
      </c>
      <c r="J105">
        <v>4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6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</row>
    <row r="106" spans="1:38" x14ac:dyDescent="0.25">
      <c r="A106" t="s">
        <v>22</v>
      </c>
      <c r="B106">
        <v>15</v>
      </c>
      <c r="C106" t="s">
        <v>95</v>
      </c>
      <c r="D106" t="s">
        <v>111</v>
      </c>
      <c r="E106">
        <v>1</v>
      </c>
      <c r="F106" t="s">
        <v>114</v>
      </c>
      <c r="G106">
        <v>0</v>
      </c>
      <c r="H106">
        <v>0</v>
      </c>
      <c r="I106">
        <v>0</v>
      </c>
      <c r="J106">
        <v>5</v>
      </c>
      <c r="K106">
        <v>0</v>
      </c>
      <c r="L106">
        <v>1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1</v>
      </c>
      <c r="AJ106">
        <v>0</v>
      </c>
      <c r="AK106">
        <v>0</v>
      </c>
      <c r="AL106">
        <v>0</v>
      </c>
    </row>
    <row r="107" spans="1:38" x14ac:dyDescent="0.25">
      <c r="A107" t="s">
        <v>22</v>
      </c>
      <c r="B107">
        <v>15</v>
      </c>
      <c r="C107" t="s">
        <v>95</v>
      </c>
      <c r="D107" t="s">
        <v>112</v>
      </c>
      <c r="E107">
        <v>0</v>
      </c>
      <c r="F107">
        <v>77</v>
      </c>
      <c r="G107">
        <v>0</v>
      </c>
      <c r="H107">
        <v>0</v>
      </c>
      <c r="I107">
        <v>0</v>
      </c>
      <c r="J107">
        <v>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2</v>
      </c>
      <c r="V107">
        <v>0</v>
      </c>
      <c r="W107">
        <v>0</v>
      </c>
      <c r="X107">
        <v>0</v>
      </c>
      <c r="Y107">
        <v>3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1</v>
      </c>
      <c r="AL107">
        <v>0</v>
      </c>
    </row>
    <row r="108" spans="1:38" x14ac:dyDescent="0.25">
      <c r="A108" t="s">
        <v>24</v>
      </c>
      <c r="B108">
        <v>15</v>
      </c>
      <c r="C108" t="s">
        <v>95</v>
      </c>
      <c r="D108" t="s">
        <v>105</v>
      </c>
      <c r="E108">
        <v>0</v>
      </c>
      <c r="F108">
        <v>100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1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1</v>
      </c>
      <c r="AI108">
        <v>0</v>
      </c>
      <c r="AJ108">
        <v>0</v>
      </c>
      <c r="AK108">
        <v>0</v>
      </c>
      <c r="AL108">
        <v>0</v>
      </c>
    </row>
    <row r="109" spans="1:38" x14ac:dyDescent="0.25">
      <c r="A109" t="s">
        <v>24</v>
      </c>
      <c r="B109">
        <v>15</v>
      </c>
      <c r="C109" t="s">
        <v>95</v>
      </c>
      <c r="D109" t="s">
        <v>112</v>
      </c>
      <c r="E109">
        <v>0</v>
      </c>
      <c r="F109">
        <v>63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1</v>
      </c>
      <c r="AJ109">
        <v>0</v>
      </c>
      <c r="AK109">
        <v>0</v>
      </c>
      <c r="AL109">
        <v>0</v>
      </c>
    </row>
    <row r="110" spans="1:38" x14ac:dyDescent="0.25">
      <c r="A110" t="s">
        <v>26</v>
      </c>
      <c r="B110">
        <v>15</v>
      </c>
      <c r="C110" t="s">
        <v>95</v>
      </c>
      <c r="D110" t="s">
        <v>105</v>
      </c>
      <c r="E110">
        <v>0</v>
      </c>
      <c r="F110">
        <v>140</v>
      </c>
      <c r="G110">
        <v>1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1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1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</row>
    <row r="111" spans="1:38" x14ac:dyDescent="0.25">
      <c r="A111" t="s">
        <v>26</v>
      </c>
      <c r="B111">
        <v>15</v>
      </c>
      <c r="C111" t="s">
        <v>95</v>
      </c>
      <c r="D111" t="s">
        <v>110</v>
      </c>
      <c r="E111">
        <v>0</v>
      </c>
      <c r="F111">
        <v>6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8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1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</row>
    <row r="112" spans="1:38" x14ac:dyDescent="0.25">
      <c r="A112" t="s">
        <v>26</v>
      </c>
      <c r="B112">
        <v>15</v>
      </c>
      <c r="C112" t="s">
        <v>95</v>
      </c>
      <c r="D112" t="s">
        <v>111</v>
      </c>
      <c r="E112">
        <v>0</v>
      </c>
      <c r="F112">
        <v>31</v>
      </c>
      <c r="G112">
        <v>1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3</v>
      </c>
      <c r="O112">
        <v>1</v>
      </c>
      <c r="P112">
        <v>0</v>
      </c>
      <c r="Q112">
        <v>0</v>
      </c>
      <c r="R112">
        <v>1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</row>
    <row r="113" spans="1:38" x14ac:dyDescent="0.25">
      <c r="A113" t="s">
        <v>28</v>
      </c>
      <c r="B113">
        <v>15</v>
      </c>
      <c r="C113" t="s">
        <v>94</v>
      </c>
      <c r="D113" t="s">
        <v>113</v>
      </c>
      <c r="E113">
        <v>0</v>
      </c>
      <c r="F113" t="s">
        <v>114</v>
      </c>
      <c r="G113">
        <v>0</v>
      </c>
      <c r="H113">
        <v>0</v>
      </c>
      <c r="I113">
        <v>0</v>
      </c>
      <c r="J113">
        <v>12</v>
      </c>
      <c r="K113">
        <v>0</v>
      </c>
      <c r="L113">
        <v>1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2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1</v>
      </c>
      <c r="AL113">
        <v>0</v>
      </c>
    </row>
    <row r="114" spans="1:38" x14ac:dyDescent="0.25">
      <c r="A114" t="s">
        <v>28</v>
      </c>
      <c r="B114">
        <v>15</v>
      </c>
      <c r="C114" t="s">
        <v>94</v>
      </c>
      <c r="D114" t="s">
        <v>103</v>
      </c>
      <c r="E114">
        <v>0</v>
      </c>
      <c r="F114">
        <v>43</v>
      </c>
      <c r="G114">
        <v>1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2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</row>
    <row r="115" spans="1:38" x14ac:dyDescent="0.25">
      <c r="A115" t="s">
        <v>28</v>
      </c>
      <c r="B115">
        <v>15</v>
      </c>
      <c r="C115" t="s">
        <v>94</v>
      </c>
      <c r="D115" t="s">
        <v>111</v>
      </c>
      <c r="E115">
        <v>0</v>
      </c>
      <c r="F115">
        <v>2038</v>
      </c>
      <c r="G115">
        <v>0</v>
      </c>
      <c r="H115">
        <v>0</v>
      </c>
      <c r="I115">
        <v>0</v>
      </c>
      <c r="J115">
        <v>1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3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1</v>
      </c>
      <c r="AL115">
        <v>0</v>
      </c>
    </row>
    <row r="116" spans="1:38" x14ac:dyDescent="0.25">
      <c r="A116" t="s">
        <v>28</v>
      </c>
      <c r="B116">
        <v>15</v>
      </c>
      <c r="C116" t="s">
        <v>94</v>
      </c>
      <c r="D116" t="s">
        <v>112</v>
      </c>
      <c r="E116">
        <v>0</v>
      </c>
      <c r="F116">
        <v>213</v>
      </c>
      <c r="G116">
        <v>0</v>
      </c>
      <c r="H116">
        <v>0</v>
      </c>
      <c r="I116">
        <v>0</v>
      </c>
      <c r="J116">
        <v>3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6</v>
      </c>
      <c r="V116">
        <v>0</v>
      </c>
      <c r="W116">
        <v>0</v>
      </c>
      <c r="X116">
        <v>0</v>
      </c>
      <c r="Y116">
        <v>4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</row>
    <row r="117" spans="1:38" x14ac:dyDescent="0.25">
      <c r="A117" t="s">
        <v>30</v>
      </c>
      <c r="B117">
        <v>15</v>
      </c>
      <c r="C117" t="s">
        <v>95</v>
      </c>
      <c r="D117" t="s">
        <v>113</v>
      </c>
      <c r="E117">
        <v>0</v>
      </c>
      <c r="F117">
        <v>6</v>
      </c>
      <c r="G117">
        <v>0</v>
      </c>
      <c r="H117">
        <v>0</v>
      </c>
      <c r="I117">
        <v>0</v>
      </c>
      <c r="J117">
        <v>9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1</v>
      </c>
      <c r="V117">
        <v>0</v>
      </c>
      <c r="W117">
        <v>0</v>
      </c>
      <c r="X117">
        <v>0</v>
      </c>
      <c r="Y117">
        <v>2</v>
      </c>
      <c r="Z117">
        <v>1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</row>
    <row r="118" spans="1:38" x14ac:dyDescent="0.25">
      <c r="A118" t="s">
        <v>30</v>
      </c>
      <c r="B118">
        <v>15</v>
      </c>
      <c r="C118" t="s">
        <v>95</v>
      </c>
      <c r="D118" t="s">
        <v>103</v>
      </c>
      <c r="E118">
        <v>0</v>
      </c>
      <c r="F118">
        <v>187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1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3</v>
      </c>
      <c r="V118">
        <v>0</v>
      </c>
      <c r="W118">
        <v>0</v>
      </c>
      <c r="X118">
        <v>0</v>
      </c>
      <c r="Y118">
        <v>0</v>
      </c>
      <c r="Z118">
        <v>1</v>
      </c>
      <c r="AA118">
        <v>1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1</v>
      </c>
      <c r="AL118">
        <v>0</v>
      </c>
    </row>
    <row r="119" spans="1:38" x14ac:dyDescent="0.25">
      <c r="A119" t="s">
        <v>30</v>
      </c>
      <c r="B119">
        <v>15</v>
      </c>
      <c r="C119" t="s">
        <v>95</v>
      </c>
      <c r="D119" t="s">
        <v>112</v>
      </c>
      <c r="E119">
        <v>0</v>
      </c>
      <c r="F119">
        <v>33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</row>
    <row r="120" spans="1:38" x14ac:dyDescent="0.25">
      <c r="A120" t="s">
        <v>32</v>
      </c>
      <c r="B120">
        <v>15</v>
      </c>
      <c r="C120" t="s">
        <v>94</v>
      </c>
      <c r="D120" t="s">
        <v>105</v>
      </c>
      <c r="E120">
        <v>0</v>
      </c>
      <c r="F120">
        <v>485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1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2</v>
      </c>
      <c r="AL120">
        <v>0</v>
      </c>
    </row>
    <row r="121" spans="1:38" x14ac:dyDescent="0.25">
      <c r="A121" t="s">
        <v>34</v>
      </c>
      <c r="B121">
        <v>15</v>
      </c>
      <c r="C121" t="s">
        <v>94</v>
      </c>
      <c r="D121" t="s">
        <v>112</v>
      </c>
      <c r="E121">
        <v>0</v>
      </c>
      <c r="F121">
        <v>267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1</v>
      </c>
      <c r="AJ121">
        <v>0</v>
      </c>
      <c r="AK121">
        <v>0</v>
      </c>
      <c r="AL121">
        <v>0</v>
      </c>
    </row>
    <row r="122" spans="1:38" x14ac:dyDescent="0.25">
      <c r="A122" t="s">
        <v>36</v>
      </c>
      <c r="B122">
        <v>15</v>
      </c>
      <c r="C122" t="s">
        <v>95</v>
      </c>
      <c r="D122" t="s">
        <v>110</v>
      </c>
      <c r="E122">
        <v>0</v>
      </c>
      <c r="F122">
        <v>3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1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</row>
    <row r="123" spans="1:38" x14ac:dyDescent="0.25">
      <c r="A123" t="s">
        <v>36</v>
      </c>
      <c r="B123">
        <v>15</v>
      </c>
      <c r="C123" t="s">
        <v>95</v>
      </c>
      <c r="D123" t="s">
        <v>104</v>
      </c>
      <c r="E123">
        <v>0</v>
      </c>
      <c r="F123">
        <v>38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1</v>
      </c>
      <c r="X123">
        <v>0</v>
      </c>
      <c r="Y123">
        <v>0</v>
      </c>
      <c r="Z123">
        <v>1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1</v>
      </c>
      <c r="AI123">
        <v>0</v>
      </c>
      <c r="AJ123">
        <v>0</v>
      </c>
      <c r="AK123">
        <v>0</v>
      </c>
      <c r="AL123">
        <v>0</v>
      </c>
    </row>
    <row r="124" spans="1:38" x14ac:dyDescent="0.25">
      <c r="A124" t="s">
        <v>38</v>
      </c>
      <c r="B124">
        <v>2</v>
      </c>
      <c r="C124" t="s">
        <v>95</v>
      </c>
      <c r="D124" t="s">
        <v>113</v>
      </c>
      <c r="E124">
        <v>0</v>
      </c>
      <c r="F124" t="s">
        <v>114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3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</row>
    <row r="125" spans="1:38" x14ac:dyDescent="0.25">
      <c r="A125" t="s">
        <v>38</v>
      </c>
      <c r="B125">
        <v>2</v>
      </c>
      <c r="C125" t="s">
        <v>95</v>
      </c>
      <c r="D125" t="s">
        <v>103</v>
      </c>
      <c r="E125">
        <v>0</v>
      </c>
      <c r="F125">
        <v>247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2</v>
      </c>
      <c r="V125">
        <v>0</v>
      </c>
      <c r="W125">
        <v>0</v>
      </c>
      <c r="X125">
        <v>0</v>
      </c>
      <c r="Y125">
        <v>7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</row>
    <row r="126" spans="1:38" x14ac:dyDescent="0.25">
      <c r="A126" t="s">
        <v>38</v>
      </c>
      <c r="B126">
        <v>2</v>
      </c>
      <c r="C126" t="s">
        <v>95</v>
      </c>
      <c r="D126" t="s">
        <v>111</v>
      </c>
      <c r="E126">
        <v>0</v>
      </c>
      <c r="F126">
        <v>2226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2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</row>
    <row r="127" spans="1:38" x14ac:dyDescent="0.25">
      <c r="A127" t="s">
        <v>39</v>
      </c>
      <c r="B127">
        <v>2</v>
      </c>
      <c r="C127" t="s">
        <v>94</v>
      </c>
      <c r="D127" t="s">
        <v>102</v>
      </c>
      <c r="E127">
        <v>0</v>
      </c>
      <c r="F127">
        <v>228</v>
      </c>
      <c r="G127">
        <v>0</v>
      </c>
      <c r="H127">
        <v>0</v>
      </c>
      <c r="I127">
        <v>0</v>
      </c>
      <c r="J127">
        <v>0</v>
      </c>
      <c r="K127">
        <v>1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2</v>
      </c>
      <c r="V127">
        <v>0</v>
      </c>
      <c r="W127">
        <v>0</v>
      </c>
      <c r="X127">
        <v>0</v>
      </c>
      <c r="Y127">
        <v>3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1</v>
      </c>
      <c r="AF127">
        <v>0</v>
      </c>
      <c r="AG127">
        <v>0</v>
      </c>
      <c r="AH127">
        <v>1</v>
      </c>
      <c r="AI127">
        <v>0</v>
      </c>
      <c r="AJ127">
        <v>0</v>
      </c>
      <c r="AK127">
        <v>0</v>
      </c>
      <c r="AL127">
        <v>0</v>
      </c>
    </row>
    <row r="128" spans="1:38" x14ac:dyDescent="0.25">
      <c r="A128" t="s">
        <v>39</v>
      </c>
      <c r="B128">
        <v>2</v>
      </c>
      <c r="C128" t="s">
        <v>94</v>
      </c>
      <c r="D128" t="s">
        <v>113</v>
      </c>
      <c r="E128">
        <v>0</v>
      </c>
      <c r="F128">
        <v>1</v>
      </c>
      <c r="G128">
        <v>0</v>
      </c>
      <c r="H128">
        <v>0</v>
      </c>
      <c r="I128">
        <v>0</v>
      </c>
      <c r="J128">
        <v>0</v>
      </c>
      <c r="K128">
        <v>4</v>
      </c>
      <c r="L128">
        <v>0</v>
      </c>
      <c r="M128">
        <v>1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5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</row>
    <row r="129" spans="1:38" x14ac:dyDescent="0.25">
      <c r="A129" t="s">
        <v>39</v>
      </c>
      <c r="B129">
        <v>2</v>
      </c>
      <c r="C129" t="s">
        <v>94</v>
      </c>
      <c r="D129" t="s">
        <v>103</v>
      </c>
      <c r="E129">
        <v>0</v>
      </c>
      <c r="F129">
        <v>144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4</v>
      </c>
      <c r="V129">
        <v>0</v>
      </c>
      <c r="W129">
        <v>0</v>
      </c>
      <c r="X129">
        <v>0</v>
      </c>
      <c r="Y129">
        <v>3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1</v>
      </c>
      <c r="AI129">
        <v>0</v>
      </c>
      <c r="AJ129">
        <v>0</v>
      </c>
      <c r="AK129">
        <v>0</v>
      </c>
      <c r="AL129">
        <v>0</v>
      </c>
    </row>
    <row r="130" spans="1:38" x14ac:dyDescent="0.25">
      <c r="A130" t="s">
        <v>39</v>
      </c>
      <c r="B130">
        <v>2</v>
      </c>
      <c r="C130" t="s">
        <v>94</v>
      </c>
      <c r="D130" t="s">
        <v>111</v>
      </c>
      <c r="E130">
        <v>0</v>
      </c>
      <c r="F130">
        <v>3885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1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1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1</v>
      </c>
      <c r="AI130">
        <v>0</v>
      </c>
      <c r="AJ130">
        <v>0</v>
      </c>
      <c r="AK130">
        <v>0</v>
      </c>
      <c r="AL130">
        <v>0</v>
      </c>
    </row>
    <row r="131" spans="1:38" x14ac:dyDescent="0.25">
      <c r="A131" t="s">
        <v>39</v>
      </c>
      <c r="B131">
        <v>2</v>
      </c>
      <c r="C131" t="s">
        <v>94</v>
      </c>
      <c r="D131" t="s">
        <v>104</v>
      </c>
      <c r="E131">
        <v>0</v>
      </c>
      <c r="F131">
        <v>14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1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3</v>
      </c>
      <c r="AI131">
        <v>0</v>
      </c>
      <c r="AJ131">
        <v>0</v>
      </c>
      <c r="AK131">
        <v>0</v>
      </c>
      <c r="AL131">
        <v>0</v>
      </c>
    </row>
    <row r="132" spans="1:38" x14ac:dyDescent="0.25">
      <c r="A132" t="s">
        <v>40</v>
      </c>
      <c r="B132">
        <v>2</v>
      </c>
      <c r="C132" t="s">
        <v>95</v>
      </c>
      <c r="D132" t="s">
        <v>113</v>
      </c>
      <c r="E132">
        <v>0</v>
      </c>
      <c r="F132">
        <v>4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1</v>
      </c>
      <c r="V132">
        <v>0</v>
      </c>
      <c r="W132">
        <v>0</v>
      </c>
      <c r="X132">
        <v>0</v>
      </c>
      <c r="Y132">
        <v>2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</row>
    <row r="133" spans="1:38" x14ac:dyDescent="0.25">
      <c r="A133" t="s">
        <v>40</v>
      </c>
      <c r="B133">
        <v>2</v>
      </c>
      <c r="C133" t="s">
        <v>95</v>
      </c>
      <c r="D133" t="s">
        <v>103</v>
      </c>
      <c r="E133">
        <v>0</v>
      </c>
      <c r="F133">
        <v>46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6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</row>
    <row r="134" spans="1:38" x14ac:dyDescent="0.25">
      <c r="A134" t="s">
        <v>40</v>
      </c>
      <c r="B134">
        <v>2</v>
      </c>
      <c r="C134" t="s">
        <v>95</v>
      </c>
      <c r="D134" t="s">
        <v>112</v>
      </c>
      <c r="E134">
        <v>1</v>
      </c>
      <c r="F134">
        <v>164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5</v>
      </c>
      <c r="V134">
        <v>0</v>
      </c>
      <c r="W134">
        <v>0</v>
      </c>
      <c r="X134">
        <v>0</v>
      </c>
      <c r="Y134">
        <v>7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</row>
    <row r="135" spans="1:38" x14ac:dyDescent="0.25">
      <c r="A135" t="s">
        <v>41</v>
      </c>
      <c r="B135">
        <v>2</v>
      </c>
      <c r="C135" t="s">
        <v>94</v>
      </c>
      <c r="D135" t="s">
        <v>105</v>
      </c>
      <c r="E135">
        <v>0</v>
      </c>
      <c r="F135">
        <v>113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1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1</v>
      </c>
      <c r="T135">
        <v>0</v>
      </c>
      <c r="U135">
        <v>1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3</v>
      </c>
      <c r="AI135">
        <v>0</v>
      </c>
      <c r="AJ135">
        <v>0</v>
      </c>
      <c r="AK135">
        <v>0</v>
      </c>
      <c r="AL135">
        <v>0</v>
      </c>
    </row>
    <row r="136" spans="1:38" x14ac:dyDescent="0.25">
      <c r="A136" t="s">
        <v>41</v>
      </c>
      <c r="B136">
        <v>2</v>
      </c>
      <c r="C136" t="s">
        <v>94</v>
      </c>
      <c r="D136" t="s">
        <v>113</v>
      </c>
      <c r="E136">
        <v>0</v>
      </c>
      <c r="F136">
        <v>7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1</v>
      </c>
      <c r="T136">
        <v>0</v>
      </c>
      <c r="U136">
        <v>7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1</v>
      </c>
      <c r="AE136">
        <v>0</v>
      </c>
      <c r="AF136">
        <v>0</v>
      </c>
      <c r="AG136">
        <v>0</v>
      </c>
      <c r="AH136">
        <v>1</v>
      </c>
      <c r="AI136">
        <v>0</v>
      </c>
      <c r="AJ136">
        <v>0</v>
      </c>
      <c r="AK136">
        <v>0</v>
      </c>
      <c r="AL136">
        <v>0</v>
      </c>
    </row>
    <row r="137" spans="1:38" x14ac:dyDescent="0.25">
      <c r="A137" t="s">
        <v>41</v>
      </c>
      <c r="B137">
        <v>2</v>
      </c>
      <c r="C137" t="s">
        <v>94</v>
      </c>
      <c r="D137" t="s">
        <v>103</v>
      </c>
      <c r="E137">
        <v>0</v>
      </c>
      <c r="F137">
        <v>103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3</v>
      </c>
      <c r="V137">
        <v>0</v>
      </c>
      <c r="W137">
        <v>0</v>
      </c>
      <c r="X137">
        <v>0</v>
      </c>
      <c r="Y137">
        <v>2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</row>
    <row r="138" spans="1:38" x14ac:dyDescent="0.25">
      <c r="A138" t="s">
        <v>42</v>
      </c>
      <c r="B138">
        <v>2</v>
      </c>
      <c r="C138" t="s">
        <v>94</v>
      </c>
      <c r="D138" t="s">
        <v>105</v>
      </c>
      <c r="E138">
        <v>0</v>
      </c>
      <c r="F138">
        <v>308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6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</row>
    <row r="139" spans="1:38" x14ac:dyDescent="0.25">
      <c r="A139" t="s">
        <v>42</v>
      </c>
      <c r="B139">
        <v>2</v>
      </c>
      <c r="C139" t="s">
        <v>94</v>
      </c>
      <c r="D139" t="s">
        <v>110</v>
      </c>
      <c r="E139">
        <v>0</v>
      </c>
      <c r="F139">
        <v>7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5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2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2</v>
      </c>
      <c r="AI139">
        <v>0</v>
      </c>
      <c r="AJ139">
        <v>0</v>
      </c>
      <c r="AK139">
        <v>0</v>
      </c>
      <c r="AL139">
        <v>0</v>
      </c>
    </row>
    <row r="140" spans="1:38" x14ac:dyDescent="0.25">
      <c r="A140" t="s">
        <v>42</v>
      </c>
      <c r="B140">
        <v>2</v>
      </c>
      <c r="C140" t="s">
        <v>94</v>
      </c>
      <c r="D140" t="s">
        <v>111</v>
      </c>
      <c r="E140">
        <v>0</v>
      </c>
      <c r="F140">
        <v>1527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1</v>
      </c>
      <c r="V140">
        <v>1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</row>
    <row r="141" spans="1:38" x14ac:dyDescent="0.25">
      <c r="A141" t="s">
        <v>42</v>
      </c>
      <c r="B141">
        <v>2</v>
      </c>
      <c r="C141" t="s">
        <v>94</v>
      </c>
      <c r="D141" t="s">
        <v>104</v>
      </c>
      <c r="E141">
        <v>1</v>
      </c>
      <c r="F141">
        <v>22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2</v>
      </c>
      <c r="W141">
        <v>0</v>
      </c>
      <c r="X141">
        <v>0</v>
      </c>
      <c r="Y141">
        <v>0</v>
      </c>
      <c r="Z141">
        <v>0</v>
      </c>
      <c r="AA141">
        <v>1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2</v>
      </c>
    </row>
    <row r="142" spans="1:38" x14ac:dyDescent="0.25">
      <c r="A142" t="s">
        <v>43</v>
      </c>
      <c r="B142">
        <v>2</v>
      </c>
      <c r="C142" t="s">
        <v>94</v>
      </c>
      <c r="D142" t="s">
        <v>105</v>
      </c>
      <c r="E142">
        <v>0</v>
      </c>
      <c r="F142">
        <v>393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1</v>
      </c>
      <c r="AI142">
        <v>0</v>
      </c>
      <c r="AJ142">
        <v>0</v>
      </c>
      <c r="AK142">
        <v>0</v>
      </c>
      <c r="AL142">
        <v>0</v>
      </c>
    </row>
    <row r="143" spans="1:38" x14ac:dyDescent="0.25">
      <c r="A143" t="s">
        <v>43</v>
      </c>
      <c r="B143">
        <v>2</v>
      </c>
      <c r="C143" t="s">
        <v>94</v>
      </c>
      <c r="D143" t="s">
        <v>110</v>
      </c>
      <c r="E143">
        <v>0</v>
      </c>
      <c r="F143">
        <v>8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1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</row>
    <row r="144" spans="1:38" x14ac:dyDescent="0.25">
      <c r="A144" t="s">
        <v>43</v>
      </c>
      <c r="B144">
        <v>2</v>
      </c>
      <c r="C144" t="s">
        <v>94</v>
      </c>
      <c r="D144" t="s">
        <v>111</v>
      </c>
      <c r="E144">
        <v>0</v>
      </c>
      <c r="F144">
        <v>4925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</row>
    <row r="145" spans="1:38" x14ac:dyDescent="0.25">
      <c r="A145" t="s">
        <v>43</v>
      </c>
      <c r="B145">
        <v>2</v>
      </c>
      <c r="C145" t="s">
        <v>94</v>
      </c>
      <c r="D145" t="s">
        <v>104</v>
      </c>
      <c r="E145">
        <v>0</v>
      </c>
      <c r="F145">
        <v>30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1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1</v>
      </c>
      <c r="AI145">
        <v>0</v>
      </c>
      <c r="AJ145">
        <v>0</v>
      </c>
      <c r="AK145">
        <v>0</v>
      </c>
      <c r="AL145">
        <v>0</v>
      </c>
    </row>
    <row r="146" spans="1:38" x14ac:dyDescent="0.25">
      <c r="A146" t="s">
        <v>44</v>
      </c>
      <c r="B146">
        <v>2</v>
      </c>
      <c r="C146" t="s">
        <v>95</v>
      </c>
      <c r="D146" t="s">
        <v>102</v>
      </c>
      <c r="E146">
        <v>0</v>
      </c>
      <c r="F146">
        <v>675</v>
      </c>
      <c r="G146">
        <v>1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</row>
    <row r="147" spans="1:38" x14ac:dyDescent="0.25">
      <c r="A147" t="s">
        <v>44</v>
      </c>
      <c r="B147">
        <v>2</v>
      </c>
      <c r="C147" t="s">
        <v>95</v>
      </c>
      <c r="D147" t="s">
        <v>110</v>
      </c>
      <c r="E147">
        <v>1</v>
      </c>
      <c r="F147">
        <v>2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</row>
    <row r="148" spans="1:38" x14ac:dyDescent="0.25">
      <c r="A148" t="s">
        <v>44</v>
      </c>
      <c r="B148">
        <v>2</v>
      </c>
      <c r="C148" t="s">
        <v>95</v>
      </c>
      <c r="D148" t="s">
        <v>104</v>
      </c>
      <c r="E148">
        <v>0</v>
      </c>
      <c r="F148">
        <v>86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1</v>
      </c>
      <c r="V148">
        <v>0</v>
      </c>
      <c r="W148">
        <v>1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1</v>
      </c>
      <c r="AJ148">
        <v>0</v>
      </c>
      <c r="AK148">
        <v>0</v>
      </c>
      <c r="AL148">
        <v>0</v>
      </c>
    </row>
    <row r="149" spans="1:38" x14ac:dyDescent="0.25">
      <c r="A149" t="s">
        <v>44</v>
      </c>
      <c r="B149">
        <v>2</v>
      </c>
      <c r="C149" t="s">
        <v>95</v>
      </c>
      <c r="D149" t="s">
        <v>112</v>
      </c>
      <c r="E149">
        <v>0</v>
      </c>
      <c r="F149">
        <v>64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</row>
    <row r="150" spans="1:38" x14ac:dyDescent="0.25">
      <c r="A150" t="s">
        <v>45</v>
      </c>
      <c r="B150">
        <v>2</v>
      </c>
      <c r="C150" t="s">
        <v>95</v>
      </c>
      <c r="D150" t="s">
        <v>102</v>
      </c>
      <c r="E150">
        <v>0</v>
      </c>
      <c r="F150">
        <v>1335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2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</row>
    <row r="151" spans="1:38" x14ac:dyDescent="0.25">
      <c r="A151" t="s">
        <v>45</v>
      </c>
      <c r="B151">
        <v>2</v>
      </c>
      <c r="C151" t="s">
        <v>95</v>
      </c>
      <c r="D151" t="s">
        <v>105</v>
      </c>
      <c r="E151">
        <v>0</v>
      </c>
      <c r="F151" t="s">
        <v>114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6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</row>
    <row r="152" spans="1:38" x14ac:dyDescent="0.25">
      <c r="A152" t="s">
        <v>45</v>
      </c>
      <c r="B152">
        <v>2</v>
      </c>
      <c r="C152" t="s">
        <v>95</v>
      </c>
      <c r="D152" t="s">
        <v>112</v>
      </c>
      <c r="E152">
        <v>0</v>
      </c>
      <c r="F152">
        <v>46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8</v>
      </c>
      <c r="V152">
        <v>0</v>
      </c>
      <c r="W152">
        <v>0</v>
      </c>
      <c r="X152">
        <v>0</v>
      </c>
      <c r="Y152">
        <v>1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</row>
    <row r="153" spans="1:38" x14ac:dyDescent="0.25">
      <c r="A153" t="s">
        <v>46</v>
      </c>
      <c r="B153">
        <v>2</v>
      </c>
      <c r="C153" t="s">
        <v>95</v>
      </c>
      <c r="D153" t="s">
        <v>102</v>
      </c>
      <c r="E153">
        <v>0</v>
      </c>
      <c r="F153">
        <v>468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</row>
    <row r="154" spans="1:38" x14ac:dyDescent="0.25">
      <c r="A154" t="s">
        <v>46</v>
      </c>
      <c r="B154">
        <v>2</v>
      </c>
      <c r="C154" t="s">
        <v>95</v>
      </c>
      <c r="D154" t="s">
        <v>110</v>
      </c>
      <c r="E154">
        <v>0</v>
      </c>
      <c r="F154">
        <v>1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3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</row>
    <row r="155" spans="1:38" x14ac:dyDescent="0.25">
      <c r="A155" t="s">
        <v>46</v>
      </c>
      <c r="B155">
        <v>2</v>
      </c>
      <c r="C155" t="s">
        <v>95</v>
      </c>
      <c r="D155" t="s">
        <v>112</v>
      </c>
      <c r="E155">
        <v>0</v>
      </c>
      <c r="F155">
        <v>323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</row>
    <row r="156" spans="1:38" x14ac:dyDescent="0.25">
      <c r="A156" t="s">
        <v>47</v>
      </c>
      <c r="B156">
        <v>2</v>
      </c>
      <c r="C156" t="s">
        <v>94</v>
      </c>
      <c r="D156" t="s">
        <v>112</v>
      </c>
      <c r="E156">
        <v>0</v>
      </c>
      <c r="F156">
        <v>364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1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1</v>
      </c>
      <c r="AJ156">
        <v>0</v>
      </c>
      <c r="AK156">
        <v>0</v>
      </c>
      <c r="AL156">
        <v>0</v>
      </c>
    </row>
    <row r="157" spans="1:38" x14ac:dyDescent="0.25">
      <c r="A157" t="s">
        <v>48</v>
      </c>
      <c r="B157">
        <v>2</v>
      </c>
      <c r="C157" t="s">
        <v>95</v>
      </c>
      <c r="D157" t="s">
        <v>105</v>
      </c>
      <c r="E157">
        <v>0</v>
      </c>
      <c r="F157">
        <v>197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1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2</v>
      </c>
      <c r="AI157">
        <v>0</v>
      </c>
      <c r="AJ157">
        <v>0</v>
      </c>
      <c r="AK157">
        <v>0</v>
      </c>
      <c r="AL157">
        <v>0</v>
      </c>
    </row>
    <row r="158" spans="1:38" x14ac:dyDescent="0.25">
      <c r="A158" t="s">
        <v>48</v>
      </c>
      <c r="B158">
        <v>2</v>
      </c>
      <c r="C158" t="s">
        <v>95</v>
      </c>
      <c r="D158" t="s">
        <v>111</v>
      </c>
      <c r="E158">
        <v>0</v>
      </c>
      <c r="F158">
        <v>452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1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1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</row>
    <row r="159" spans="1:38" x14ac:dyDescent="0.25">
      <c r="A159" t="s">
        <v>48</v>
      </c>
      <c r="B159">
        <v>2</v>
      </c>
      <c r="C159" t="s">
        <v>95</v>
      </c>
      <c r="D159" t="s">
        <v>104</v>
      </c>
      <c r="E159">
        <v>0</v>
      </c>
      <c r="F159">
        <v>14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5</v>
      </c>
      <c r="V159">
        <v>0</v>
      </c>
      <c r="W159">
        <v>0</v>
      </c>
      <c r="X159">
        <v>0</v>
      </c>
      <c r="Y159">
        <v>1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2</v>
      </c>
      <c r="AI159">
        <v>0</v>
      </c>
      <c r="AJ159">
        <v>0</v>
      </c>
      <c r="AK159">
        <v>0</v>
      </c>
      <c r="AL159">
        <v>0</v>
      </c>
    </row>
    <row r="160" spans="1:38" x14ac:dyDescent="0.25">
      <c r="A160" t="s">
        <v>49</v>
      </c>
      <c r="B160">
        <v>2</v>
      </c>
      <c r="C160" t="s">
        <v>94</v>
      </c>
      <c r="D160" t="s">
        <v>102</v>
      </c>
      <c r="E160">
        <v>0</v>
      </c>
      <c r="F160">
        <v>351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5</v>
      </c>
      <c r="AI160">
        <v>1</v>
      </c>
      <c r="AJ160">
        <v>0</v>
      </c>
      <c r="AK160">
        <v>0</v>
      </c>
      <c r="AL160">
        <v>0</v>
      </c>
    </row>
    <row r="161" spans="1:38" x14ac:dyDescent="0.25">
      <c r="A161" t="s">
        <v>49</v>
      </c>
      <c r="B161">
        <v>2</v>
      </c>
      <c r="C161" t="s">
        <v>94</v>
      </c>
      <c r="D161" t="s">
        <v>112</v>
      </c>
      <c r="E161">
        <v>0</v>
      </c>
      <c r="F161">
        <v>151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1</v>
      </c>
      <c r="AJ161">
        <v>0</v>
      </c>
      <c r="AK161">
        <v>0</v>
      </c>
      <c r="AL161">
        <v>0</v>
      </c>
    </row>
    <row r="162" spans="1:38" x14ac:dyDescent="0.25">
      <c r="A162" t="s">
        <v>79</v>
      </c>
      <c r="B162">
        <v>6</v>
      </c>
      <c r="C162" t="s">
        <v>95</v>
      </c>
      <c r="D162" t="s">
        <v>113</v>
      </c>
      <c r="E162">
        <v>0</v>
      </c>
      <c r="F162">
        <v>3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4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</row>
    <row r="163" spans="1:38" x14ac:dyDescent="0.25">
      <c r="A163" t="s">
        <v>79</v>
      </c>
      <c r="B163">
        <v>6</v>
      </c>
      <c r="C163" t="s">
        <v>95</v>
      </c>
      <c r="D163" t="s">
        <v>103</v>
      </c>
      <c r="E163">
        <v>0</v>
      </c>
      <c r="F163">
        <v>148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7</v>
      </c>
      <c r="V163">
        <v>0</v>
      </c>
      <c r="W163">
        <v>0</v>
      </c>
      <c r="X163">
        <v>0</v>
      </c>
      <c r="Y163">
        <v>4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</row>
    <row r="164" spans="1:38" x14ac:dyDescent="0.25">
      <c r="A164" t="s">
        <v>79</v>
      </c>
      <c r="B164">
        <v>6</v>
      </c>
      <c r="C164" t="s">
        <v>95</v>
      </c>
      <c r="D164" t="s">
        <v>111</v>
      </c>
      <c r="E164">
        <v>0</v>
      </c>
      <c r="F164">
        <v>3631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1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5</v>
      </c>
      <c r="V164">
        <v>0</v>
      </c>
      <c r="W164">
        <v>0</v>
      </c>
      <c r="X164">
        <v>0</v>
      </c>
      <c r="Y164">
        <v>1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</row>
    <row r="165" spans="1:38" x14ac:dyDescent="0.25">
      <c r="A165" t="s">
        <v>80</v>
      </c>
      <c r="B165">
        <v>6</v>
      </c>
      <c r="C165" t="s">
        <v>95</v>
      </c>
      <c r="D165" t="s">
        <v>105</v>
      </c>
      <c r="E165">
        <v>0</v>
      </c>
      <c r="F165">
        <v>137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1</v>
      </c>
      <c r="V165">
        <v>0</v>
      </c>
      <c r="W165">
        <v>0</v>
      </c>
      <c r="X165">
        <v>0</v>
      </c>
      <c r="Y165">
        <v>9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</row>
    <row r="166" spans="1:38" x14ac:dyDescent="0.25">
      <c r="A166" t="s">
        <v>80</v>
      </c>
      <c r="B166">
        <v>6</v>
      </c>
      <c r="C166" t="s">
        <v>95</v>
      </c>
      <c r="D166" t="s">
        <v>113</v>
      </c>
      <c r="E166">
        <v>0</v>
      </c>
      <c r="F166">
        <v>3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6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</row>
    <row r="167" spans="1:38" x14ac:dyDescent="0.25">
      <c r="A167" t="s">
        <v>80</v>
      </c>
      <c r="B167">
        <v>6</v>
      </c>
      <c r="C167" t="s">
        <v>95</v>
      </c>
      <c r="D167" t="s">
        <v>103</v>
      </c>
      <c r="E167">
        <v>0</v>
      </c>
      <c r="F167">
        <v>171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1</v>
      </c>
      <c r="V167">
        <v>0</v>
      </c>
      <c r="W167">
        <v>0</v>
      </c>
      <c r="X167">
        <v>0</v>
      </c>
      <c r="Y167">
        <v>2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</row>
    <row r="168" spans="1:38" x14ac:dyDescent="0.25">
      <c r="A168" t="s">
        <v>81</v>
      </c>
      <c r="B168">
        <v>6</v>
      </c>
      <c r="C168" t="s">
        <v>94</v>
      </c>
      <c r="D168" t="s">
        <v>105</v>
      </c>
      <c r="E168">
        <v>0</v>
      </c>
      <c r="F168">
        <v>104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6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</row>
    <row r="169" spans="1:38" x14ac:dyDescent="0.25">
      <c r="A169" t="s">
        <v>81</v>
      </c>
      <c r="B169">
        <v>6</v>
      </c>
      <c r="C169" t="s">
        <v>94</v>
      </c>
      <c r="D169" t="s">
        <v>113</v>
      </c>
      <c r="E169">
        <v>0</v>
      </c>
      <c r="F169">
        <v>8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6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</row>
    <row r="170" spans="1:38" x14ac:dyDescent="0.25">
      <c r="A170" t="s">
        <v>81</v>
      </c>
      <c r="B170">
        <v>6</v>
      </c>
      <c r="C170" t="s">
        <v>94</v>
      </c>
      <c r="D170" t="s">
        <v>103</v>
      </c>
      <c r="E170">
        <v>0</v>
      </c>
      <c r="F170">
        <v>122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5</v>
      </c>
      <c r="V170">
        <v>0</v>
      </c>
      <c r="W170">
        <v>0</v>
      </c>
      <c r="X170">
        <v>0</v>
      </c>
      <c r="Y170">
        <v>1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</row>
    <row r="171" spans="1:38" x14ac:dyDescent="0.25">
      <c r="A171" t="s">
        <v>82</v>
      </c>
      <c r="B171">
        <v>6</v>
      </c>
      <c r="C171" t="s">
        <v>94</v>
      </c>
      <c r="D171" t="s">
        <v>102</v>
      </c>
      <c r="E171">
        <v>0</v>
      </c>
      <c r="F171">
        <v>765</v>
      </c>
      <c r="G171">
        <v>1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</row>
    <row r="172" spans="1:38" x14ac:dyDescent="0.25">
      <c r="A172" t="s">
        <v>82</v>
      </c>
      <c r="B172">
        <v>6</v>
      </c>
      <c r="C172" t="s">
        <v>94</v>
      </c>
      <c r="D172" t="s">
        <v>113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1</v>
      </c>
      <c r="R172">
        <v>0</v>
      </c>
      <c r="S172">
        <v>0</v>
      </c>
      <c r="T172">
        <v>0</v>
      </c>
      <c r="U172">
        <v>4</v>
      </c>
      <c r="V172">
        <v>0</v>
      </c>
      <c r="W172">
        <v>0</v>
      </c>
      <c r="X172">
        <v>0</v>
      </c>
      <c r="Y172">
        <v>1</v>
      </c>
      <c r="Z172">
        <v>0</v>
      </c>
      <c r="AA172">
        <v>1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</row>
    <row r="173" spans="1:38" x14ac:dyDescent="0.25">
      <c r="A173" t="s">
        <v>82</v>
      </c>
      <c r="B173">
        <v>6</v>
      </c>
      <c r="C173" t="s">
        <v>94</v>
      </c>
      <c r="D173" t="s">
        <v>104</v>
      </c>
      <c r="E173">
        <v>0</v>
      </c>
      <c r="F173">
        <v>18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3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</row>
    <row r="174" spans="1:38" x14ac:dyDescent="0.25">
      <c r="A174" t="s">
        <v>83</v>
      </c>
      <c r="B174">
        <v>6</v>
      </c>
      <c r="C174" t="s">
        <v>94</v>
      </c>
      <c r="D174" t="s">
        <v>102</v>
      </c>
      <c r="E174">
        <v>0</v>
      </c>
      <c r="F174">
        <v>820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</row>
    <row r="175" spans="1:38" x14ac:dyDescent="0.25">
      <c r="A175" t="s">
        <v>83</v>
      </c>
      <c r="B175">
        <v>6</v>
      </c>
      <c r="C175" t="s">
        <v>94</v>
      </c>
      <c r="D175" t="s">
        <v>103</v>
      </c>
      <c r="E175">
        <v>0</v>
      </c>
      <c r="F175">
        <v>124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1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2</v>
      </c>
      <c r="Z175">
        <v>0</v>
      </c>
      <c r="AA175">
        <v>0</v>
      </c>
      <c r="AB175">
        <v>0</v>
      </c>
      <c r="AC175">
        <v>1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</row>
    <row r="176" spans="1:38" x14ac:dyDescent="0.25">
      <c r="A176" t="s">
        <v>83</v>
      </c>
      <c r="B176">
        <v>6</v>
      </c>
      <c r="C176" t="s">
        <v>94</v>
      </c>
      <c r="D176" t="s">
        <v>111</v>
      </c>
      <c r="E176">
        <v>0</v>
      </c>
      <c r="F176">
        <v>4268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</row>
    <row r="177" spans="1:38" x14ac:dyDescent="0.25">
      <c r="A177" t="s">
        <v>84</v>
      </c>
      <c r="B177">
        <v>6</v>
      </c>
      <c r="C177" t="s">
        <v>95</v>
      </c>
      <c r="D177" t="s">
        <v>102</v>
      </c>
      <c r="E177">
        <v>0</v>
      </c>
      <c r="F177">
        <v>1534</v>
      </c>
      <c r="G177">
        <v>0</v>
      </c>
      <c r="H177">
        <v>0</v>
      </c>
      <c r="I177">
        <v>0</v>
      </c>
      <c r="J177">
        <v>1</v>
      </c>
      <c r="K177">
        <v>1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5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3</v>
      </c>
      <c r="AK177">
        <v>0</v>
      </c>
      <c r="AL177">
        <v>0</v>
      </c>
    </row>
    <row r="178" spans="1:38" x14ac:dyDescent="0.25">
      <c r="A178" t="s">
        <v>84</v>
      </c>
      <c r="B178">
        <v>6</v>
      </c>
      <c r="C178" t="s">
        <v>95</v>
      </c>
      <c r="D178" t="s">
        <v>105</v>
      </c>
      <c r="E178">
        <v>0</v>
      </c>
      <c r="F178">
        <v>631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</row>
    <row r="179" spans="1:38" x14ac:dyDescent="0.25">
      <c r="A179" t="s">
        <v>84</v>
      </c>
      <c r="B179">
        <v>6</v>
      </c>
      <c r="C179" t="s">
        <v>95</v>
      </c>
      <c r="D179" t="s">
        <v>111</v>
      </c>
      <c r="E179">
        <v>0</v>
      </c>
      <c r="F179">
        <v>1026</v>
      </c>
      <c r="G179">
        <v>0</v>
      </c>
      <c r="H179">
        <v>0</v>
      </c>
      <c r="I179">
        <v>0</v>
      </c>
      <c r="J179">
        <v>0</v>
      </c>
      <c r="K179">
        <v>1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1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2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1</v>
      </c>
      <c r="AL179">
        <v>0</v>
      </c>
    </row>
    <row r="180" spans="1:38" x14ac:dyDescent="0.25">
      <c r="A180" t="s">
        <v>84</v>
      </c>
      <c r="B180">
        <v>6</v>
      </c>
      <c r="C180" t="s">
        <v>95</v>
      </c>
      <c r="D180" t="s">
        <v>112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2</v>
      </c>
      <c r="M180">
        <v>0</v>
      </c>
      <c r="N180">
        <v>0</v>
      </c>
      <c r="O180">
        <v>1</v>
      </c>
      <c r="P180">
        <v>0</v>
      </c>
      <c r="Q180">
        <v>1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2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</row>
    <row r="181" spans="1:38" x14ac:dyDescent="0.25">
      <c r="A181" t="s">
        <v>85</v>
      </c>
      <c r="B181">
        <v>6</v>
      </c>
      <c r="C181" t="s">
        <v>94</v>
      </c>
      <c r="D181" t="s">
        <v>105</v>
      </c>
      <c r="E181">
        <v>0</v>
      </c>
      <c r="F181">
        <v>0</v>
      </c>
      <c r="G181">
        <v>0</v>
      </c>
      <c r="H181">
        <v>1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1</v>
      </c>
      <c r="W181">
        <v>0</v>
      </c>
      <c r="X181">
        <v>0</v>
      </c>
      <c r="Y181">
        <v>4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1</v>
      </c>
      <c r="AI181">
        <v>0</v>
      </c>
      <c r="AJ181">
        <v>0</v>
      </c>
      <c r="AK181">
        <v>0</v>
      </c>
      <c r="AL181">
        <v>0</v>
      </c>
    </row>
    <row r="182" spans="1:38" x14ac:dyDescent="0.25">
      <c r="A182" t="s">
        <v>85</v>
      </c>
      <c r="B182">
        <v>6</v>
      </c>
      <c r="C182" t="s">
        <v>94</v>
      </c>
      <c r="D182" t="s">
        <v>110</v>
      </c>
      <c r="E182">
        <v>0</v>
      </c>
      <c r="F182">
        <v>8</v>
      </c>
      <c r="G182">
        <v>0</v>
      </c>
      <c r="H182">
        <v>0</v>
      </c>
      <c r="I182">
        <v>0</v>
      </c>
      <c r="J182">
        <v>4</v>
      </c>
      <c r="K182">
        <v>3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1</v>
      </c>
      <c r="W182">
        <v>0</v>
      </c>
      <c r="X182">
        <v>0</v>
      </c>
      <c r="Y182">
        <v>9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</row>
    <row r="183" spans="1:38" x14ac:dyDescent="0.25">
      <c r="A183" t="s">
        <v>86</v>
      </c>
      <c r="B183">
        <v>6</v>
      </c>
      <c r="C183" t="s">
        <v>94</v>
      </c>
      <c r="D183" t="s">
        <v>110</v>
      </c>
      <c r="E183">
        <v>0</v>
      </c>
      <c r="F183">
        <v>1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2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1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</row>
    <row r="184" spans="1:38" x14ac:dyDescent="0.25">
      <c r="A184" t="s">
        <v>86</v>
      </c>
      <c r="B184">
        <v>6</v>
      </c>
      <c r="C184" t="s">
        <v>94</v>
      </c>
      <c r="D184" t="s">
        <v>112</v>
      </c>
      <c r="E184">
        <v>0</v>
      </c>
      <c r="F184">
        <v>144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1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1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</row>
    <row r="185" spans="1:38" x14ac:dyDescent="0.25">
      <c r="A185" t="s">
        <v>87</v>
      </c>
      <c r="B185">
        <v>6</v>
      </c>
      <c r="C185" t="s">
        <v>95</v>
      </c>
      <c r="D185" t="s">
        <v>102</v>
      </c>
      <c r="E185">
        <v>0</v>
      </c>
      <c r="F185">
        <v>686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2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3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1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</row>
    <row r="186" spans="1:38" x14ac:dyDescent="0.25">
      <c r="A186" t="s">
        <v>87</v>
      </c>
      <c r="B186">
        <v>6</v>
      </c>
      <c r="C186" t="s">
        <v>95</v>
      </c>
      <c r="D186" t="s">
        <v>110</v>
      </c>
      <c r="E186">
        <v>0</v>
      </c>
      <c r="F186">
        <v>1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1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</row>
    <row r="187" spans="1:38" x14ac:dyDescent="0.25">
      <c r="A187" t="s">
        <v>88</v>
      </c>
      <c r="B187">
        <v>6</v>
      </c>
      <c r="C187" t="s">
        <v>95</v>
      </c>
      <c r="D187" t="s">
        <v>110</v>
      </c>
      <c r="E187">
        <v>0</v>
      </c>
      <c r="F187">
        <v>3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3</v>
      </c>
      <c r="V187">
        <v>0</v>
      </c>
      <c r="W187">
        <v>0</v>
      </c>
      <c r="X187">
        <v>0</v>
      </c>
      <c r="Y187">
        <v>1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</row>
    <row r="188" spans="1:38" x14ac:dyDescent="0.25">
      <c r="A188" t="s">
        <v>88</v>
      </c>
      <c r="B188">
        <v>6</v>
      </c>
      <c r="C188" t="s">
        <v>95</v>
      </c>
      <c r="D188" t="s">
        <v>112</v>
      </c>
      <c r="E188">
        <v>0</v>
      </c>
      <c r="F188">
        <v>112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2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</row>
    <row r="189" spans="1:38" x14ac:dyDescent="0.25">
      <c r="A189" t="s">
        <v>89</v>
      </c>
      <c r="B189">
        <v>6</v>
      </c>
      <c r="C189" t="s">
        <v>95</v>
      </c>
      <c r="D189" t="s">
        <v>104</v>
      </c>
      <c r="E189">
        <v>0</v>
      </c>
      <c r="F189">
        <v>122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1</v>
      </c>
      <c r="Z189">
        <v>0</v>
      </c>
      <c r="AA189">
        <v>0</v>
      </c>
      <c r="AB189">
        <v>0</v>
      </c>
      <c r="AC189">
        <v>1</v>
      </c>
      <c r="AD189">
        <v>0</v>
      </c>
      <c r="AE189">
        <v>0</v>
      </c>
      <c r="AF189">
        <v>0</v>
      </c>
      <c r="AG189">
        <v>0</v>
      </c>
      <c r="AH189">
        <v>1</v>
      </c>
      <c r="AI189">
        <v>0</v>
      </c>
      <c r="AJ189">
        <v>0</v>
      </c>
      <c r="AK189">
        <v>0</v>
      </c>
      <c r="AL189">
        <v>0</v>
      </c>
    </row>
    <row r="190" spans="1:38" x14ac:dyDescent="0.25">
      <c r="A190" t="s">
        <v>89</v>
      </c>
      <c r="B190">
        <v>6</v>
      </c>
      <c r="C190" t="s">
        <v>95</v>
      </c>
      <c r="D190" t="s">
        <v>112</v>
      </c>
      <c r="E190">
        <v>1</v>
      </c>
      <c r="F190">
        <v>9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4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</row>
    <row r="191" spans="1:38" x14ac:dyDescent="0.25">
      <c r="A191" t="s">
        <v>90</v>
      </c>
      <c r="B191">
        <v>6</v>
      </c>
      <c r="C191" t="s">
        <v>94</v>
      </c>
      <c r="D191" t="s">
        <v>111</v>
      </c>
      <c r="E191">
        <v>0</v>
      </c>
      <c r="F191" t="s">
        <v>114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1</v>
      </c>
      <c r="X191">
        <v>0</v>
      </c>
      <c r="Y191">
        <v>0</v>
      </c>
      <c r="Z191">
        <v>0</v>
      </c>
      <c r="AA191">
        <v>0</v>
      </c>
      <c r="AB191">
        <v>3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</row>
    <row r="192" spans="1:38" x14ac:dyDescent="0.25">
      <c r="A192" t="s">
        <v>90</v>
      </c>
      <c r="B192">
        <v>6</v>
      </c>
      <c r="C192" t="s">
        <v>94</v>
      </c>
      <c r="D192" t="s">
        <v>104</v>
      </c>
      <c r="E192">
        <v>1</v>
      </c>
      <c r="F192">
        <v>14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1</v>
      </c>
      <c r="AA192">
        <v>0</v>
      </c>
      <c r="AB192">
        <v>2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</row>
    <row r="193" spans="1:38" x14ac:dyDescent="0.25">
      <c r="A193" t="s">
        <v>91</v>
      </c>
      <c r="B193">
        <v>6</v>
      </c>
      <c r="C193" t="s">
        <v>94</v>
      </c>
      <c r="D193" t="s">
        <v>112</v>
      </c>
      <c r="E193">
        <v>0</v>
      </c>
      <c r="F193">
        <v>394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1</v>
      </c>
      <c r="AJ193">
        <v>0</v>
      </c>
      <c r="AK193">
        <v>0</v>
      </c>
      <c r="AL193">
        <v>0</v>
      </c>
    </row>
    <row r="194" spans="1:38" x14ac:dyDescent="0.25">
      <c r="A194" t="s">
        <v>92</v>
      </c>
      <c r="B194">
        <v>6</v>
      </c>
      <c r="C194" t="s">
        <v>94</v>
      </c>
      <c r="D194" t="s">
        <v>112</v>
      </c>
      <c r="E194">
        <v>0</v>
      </c>
      <c r="F194">
        <v>186</v>
      </c>
      <c r="G194">
        <v>2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1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</row>
    <row r="195" spans="1:38" x14ac:dyDescent="0.25">
      <c r="A195" t="s">
        <v>93</v>
      </c>
      <c r="B195">
        <v>6</v>
      </c>
      <c r="C195" t="s">
        <v>95</v>
      </c>
      <c r="D195" t="s">
        <v>104</v>
      </c>
      <c r="E195">
        <v>0</v>
      </c>
      <c r="F195">
        <v>6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4</v>
      </c>
      <c r="Z195">
        <v>1</v>
      </c>
      <c r="AA195">
        <v>0</v>
      </c>
      <c r="AB195">
        <v>0</v>
      </c>
      <c r="AC195">
        <v>1</v>
      </c>
      <c r="AD195">
        <v>2</v>
      </c>
      <c r="AE195">
        <v>0</v>
      </c>
      <c r="AF195">
        <v>0</v>
      </c>
      <c r="AG195">
        <v>0</v>
      </c>
      <c r="AH195">
        <v>1</v>
      </c>
      <c r="AI195">
        <v>0</v>
      </c>
      <c r="AJ195">
        <v>0</v>
      </c>
      <c r="AK195">
        <v>0</v>
      </c>
      <c r="AL195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62"/>
  <sheetViews>
    <sheetView workbookViewId="0">
      <selection activeCell="O75" sqref="O75"/>
    </sheetView>
  </sheetViews>
  <sheetFormatPr defaultRowHeight="15" x14ac:dyDescent="0.25"/>
  <cols>
    <col min="1" max="1" width="5.7109375" bestFit="1" customWidth="1"/>
    <col min="2" max="2" width="10.140625" bestFit="1" customWidth="1"/>
    <col min="3" max="3" width="10.28515625" bestFit="1" customWidth="1"/>
    <col min="4" max="4" width="20" bestFit="1" customWidth="1"/>
    <col min="5" max="5" width="20" customWidth="1"/>
    <col min="6" max="6" width="23.85546875" bestFit="1" customWidth="1"/>
    <col min="7" max="7" width="18" bestFit="1" customWidth="1"/>
    <col min="8" max="9" width="17.85546875" bestFit="1" customWidth="1"/>
    <col min="10" max="10" width="9.42578125" bestFit="1" customWidth="1"/>
    <col min="11" max="11" width="5" bestFit="1" customWidth="1"/>
    <col min="12" max="13" width="5.5703125" bestFit="1" customWidth="1"/>
    <col min="14" max="14" width="5.28515625" bestFit="1" customWidth="1"/>
    <col min="15" max="15" width="5.140625" bestFit="1" customWidth="1"/>
    <col min="16" max="16" width="14.5703125" bestFit="1" customWidth="1"/>
    <col min="17" max="17" width="9.42578125" bestFit="1" customWidth="1"/>
    <col min="18" max="18" width="9" bestFit="1" customWidth="1"/>
    <col min="19" max="19" width="6.28515625" bestFit="1" customWidth="1"/>
    <col min="20" max="20" width="16.28515625" bestFit="1" customWidth="1"/>
    <col min="21" max="21" width="18" bestFit="1" customWidth="1"/>
    <col min="22" max="22" width="16.85546875" bestFit="1" customWidth="1"/>
    <col min="23" max="23" width="13.28515625" bestFit="1" customWidth="1"/>
    <col min="24" max="24" width="12" bestFit="1" customWidth="1"/>
  </cols>
  <sheetData>
    <row r="1" spans="1:10" x14ac:dyDescent="0.25">
      <c r="A1" t="s">
        <v>96</v>
      </c>
      <c r="B1" t="s">
        <v>146</v>
      </c>
      <c r="C1" t="s">
        <v>1</v>
      </c>
      <c r="D1" t="s">
        <v>2</v>
      </c>
      <c r="E1" t="s">
        <v>144</v>
      </c>
      <c r="F1" t="s">
        <v>147</v>
      </c>
      <c r="G1" t="s">
        <v>1063</v>
      </c>
      <c r="H1" t="s">
        <v>131</v>
      </c>
      <c r="I1" t="s">
        <v>132</v>
      </c>
      <c r="J1" t="s">
        <v>141</v>
      </c>
    </row>
    <row r="2" spans="1:10" x14ac:dyDescent="0.25">
      <c r="A2" t="s">
        <v>67</v>
      </c>
      <c r="B2">
        <v>10</v>
      </c>
      <c r="C2" t="s">
        <v>11</v>
      </c>
      <c r="D2" t="s">
        <v>94</v>
      </c>
      <c r="E2" t="s">
        <v>1076</v>
      </c>
      <c r="F2" t="s">
        <v>1075</v>
      </c>
      <c r="G2">
        <v>-10.3</v>
      </c>
      <c r="H2">
        <v>20.8</v>
      </c>
      <c r="I2">
        <v>22.466666669999999</v>
      </c>
      <c r="J2">
        <v>10.5</v>
      </c>
    </row>
    <row r="3" spans="1:10" x14ac:dyDescent="0.25">
      <c r="A3" t="s">
        <v>71</v>
      </c>
      <c r="B3">
        <v>10</v>
      </c>
      <c r="C3" t="s">
        <v>21</v>
      </c>
      <c r="D3" t="s">
        <v>94</v>
      </c>
      <c r="E3" t="s">
        <v>1076</v>
      </c>
      <c r="F3" t="s">
        <v>1075</v>
      </c>
      <c r="G3">
        <v>-6.0666666669999998</v>
      </c>
      <c r="H3">
        <v>11.83333333</v>
      </c>
      <c r="I3">
        <v>13.8</v>
      </c>
      <c r="J3">
        <v>5.766666667</v>
      </c>
    </row>
    <row r="4" spans="1:10" x14ac:dyDescent="0.25">
      <c r="A4" t="s">
        <v>73</v>
      </c>
      <c r="B4">
        <v>10</v>
      </c>
      <c r="C4" t="s">
        <v>25</v>
      </c>
      <c r="D4" t="s">
        <v>94</v>
      </c>
      <c r="E4" t="s">
        <v>1076</v>
      </c>
      <c r="F4" t="s">
        <v>1075</v>
      </c>
      <c r="G4">
        <v>-8.5</v>
      </c>
      <c r="H4">
        <v>14.266666669999999</v>
      </c>
      <c r="I4">
        <v>14.56666667</v>
      </c>
      <c r="J4">
        <v>5.766666667</v>
      </c>
    </row>
    <row r="5" spans="1:10" x14ac:dyDescent="0.25">
      <c r="A5" t="s">
        <v>75</v>
      </c>
      <c r="B5">
        <v>10</v>
      </c>
      <c r="C5" t="s">
        <v>29</v>
      </c>
      <c r="D5" t="s">
        <v>94</v>
      </c>
      <c r="E5" t="s">
        <v>1076</v>
      </c>
      <c r="F5" t="s">
        <v>1075</v>
      </c>
      <c r="G5">
        <v>-8.3333333330000006</v>
      </c>
      <c r="H5">
        <v>14.43333333</v>
      </c>
      <c r="I5">
        <v>15.1</v>
      </c>
      <c r="J5">
        <v>6.1</v>
      </c>
    </row>
    <row r="6" spans="1:10" x14ac:dyDescent="0.25">
      <c r="A6" t="s">
        <v>76</v>
      </c>
      <c r="B6">
        <v>10</v>
      </c>
      <c r="C6" t="s">
        <v>31</v>
      </c>
      <c r="D6" t="s">
        <v>94</v>
      </c>
      <c r="E6" t="s">
        <v>1076</v>
      </c>
      <c r="F6" t="s">
        <v>1075</v>
      </c>
      <c r="G6">
        <v>-6.9</v>
      </c>
      <c r="H6">
        <v>17.56666667</v>
      </c>
      <c r="I6">
        <v>15.1</v>
      </c>
      <c r="J6">
        <v>10.66666667</v>
      </c>
    </row>
    <row r="7" spans="1:10" x14ac:dyDescent="0.25">
      <c r="A7" t="s">
        <v>77</v>
      </c>
      <c r="B7">
        <v>10</v>
      </c>
      <c r="C7" t="s">
        <v>33</v>
      </c>
      <c r="D7" t="s">
        <v>94</v>
      </c>
      <c r="E7" t="s">
        <v>1076</v>
      </c>
      <c r="F7" t="s">
        <v>1075</v>
      </c>
      <c r="G7">
        <v>-11.3</v>
      </c>
      <c r="H7">
        <v>16.56666667</v>
      </c>
      <c r="I7">
        <v>16.733333330000001</v>
      </c>
      <c r="J7">
        <v>5.266666667</v>
      </c>
    </row>
    <row r="8" spans="1:10" x14ac:dyDescent="0.25">
      <c r="A8" t="s">
        <v>78</v>
      </c>
      <c r="B8">
        <v>10</v>
      </c>
      <c r="C8" t="s">
        <v>35</v>
      </c>
      <c r="D8" t="s">
        <v>94</v>
      </c>
      <c r="E8" t="s">
        <v>1076</v>
      </c>
      <c r="F8" t="s">
        <v>1075</v>
      </c>
      <c r="G8">
        <v>-8.2333333329999991</v>
      </c>
      <c r="H8">
        <v>16.899999999999999</v>
      </c>
      <c r="I8">
        <v>18.233333330000001</v>
      </c>
      <c r="J8">
        <v>8.6666666669999994</v>
      </c>
    </row>
    <row r="9" spans="1:10" x14ac:dyDescent="0.25">
      <c r="A9" t="s">
        <v>51</v>
      </c>
      <c r="B9">
        <v>12</v>
      </c>
      <c r="C9" t="s">
        <v>15</v>
      </c>
      <c r="D9" t="s">
        <v>94</v>
      </c>
      <c r="E9" t="s">
        <v>1076</v>
      </c>
      <c r="F9" t="s">
        <v>1075</v>
      </c>
      <c r="G9">
        <v>-8.6666666669999994</v>
      </c>
      <c r="H9">
        <v>13.766666669999999</v>
      </c>
      <c r="I9">
        <v>14.733333330000001</v>
      </c>
      <c r="J9">
        <v>5.0999999999999996</v>
      </c>
    </row>
    <row r="10" spans="1:10" x14ac:dyDescent="0.25">
      <c r="A10" t="s">
        <v>53</v>
      </c>
      <c r="B10">
        <v>12</v>
      </c>
      <c r="C10" t="s">
        <v>19</v>
      </c>
      <c r="D10" t="s">
        <v>94</v>
      </c>
      <c r="E10" t="s">
        <v>1076</v>
      </c>
      <c r="F10" t="s">
        <v>1075</v>
      </c>
      <c r="G10">
        <v>-8.1999999999999993</v>
      </c>
      <c r="H10">
        <v>16.06666667</v>
      </c>
      <c r="I10">
        <v>17.733333330000001</v>
      </c>
      <c r="J10">
        <v>7.8666666669999996</v>
      </c>
    </row>
    <row r="11" spans="1:10" x14ac:dyDescent="0.25">
      <c r="A11" t="s">
        <v>55</v>
      </c>
      <c r="B11">
        <v>12</v>
      </c>
      <c r="C11" t="s">
        <v>23</v>
      </c>
      <c r="D11" t="s">
        <v>94</v>
      </c>
      <c r="E11" t="s">
        <v>1076</v>
      </c>
      <c r="F11" t="s">
        <v>1075</v>
      </c>
      <c r="G11">
        <v>-12.633333329999999</v>
      </c>
      <c r="H11">
        <v>21.466666669999999</v>
      </c>
      <c r="I11">
        <v>24.06666667</v>
      </c>
      <c r="J11">
        <v>8.8333333330000006</v>
      </c>
    </row>
    <row r="12" spans="1:10" x14ac:dyDescent="0.25">
      <c r="A12" t="s">
        <v>56</v>
      </c>
      <c r="B12">
        <v>12</v>
      </c>
      <c r="C12" t="s">
        <v>25</v>
      </c>
      <c r="D12" t="s">
        <v>94</v>
      </c>
      <c r="E12" t="s">
        <v>1076</v>
      </c>
      <c r="F12" t="s">
        <v>1075</v>
      </c>
      <c r="G12">
        <v>-4.5666666669999998</v>
      </c>
      <c r="H12">
        <v>11.16666667</v>
      </c>
      <c r="I12">
        <v>12.66666667</v>
      </c>
      <c r="J12">
        <v>6.6</v>
      </c>
    </row>
    <row r="13" spans="1:10" x14ac:dyDescent="0.25">
      <c r="A13" t="s">
        <v>57</v>
      </c>
      <c r="B13">
        <v>12</v>
      </c>
      <c r="C13" t="s">
        <v>27</v>
      </c>
      <c r="D13" t="s">
        <v>94</v>
      </c>
      <c r="E13" t="s">
        <v>1076</v>
      </c>
      <c r="F13" t="s">
        <v>1075</v>
      </c>
      <c r="G13">
        <v>-6.5666666669999998</v>
      </c>
      <c r="H13">
        <v>11.66666667</v>
      </c>
      <c r="I13">
        <v>13.133333329999999</v>
      </c>
      <c r="J13">
        <v>5.0999999999999996</v>
      </c>
    </row>
    <row r="14" spans="1:10" x14ac:dyDescent="0.25">
      <c r="A14" t="s">
        <v>59</v>
      </c>
      <c r="B14">
        <v>12</v>
      </c>
      <c r="C14" t="s">
        <v>31</v>
      </c>
      <c r="D14" t="s">
        <v>94</v>
      </c>
      <c r="E14" t="s">
        <v>1076</v>
      </c>
      <c r="F14" t="s">
        <v>1075</v>
      </c>
      <c r="G14">
        <v>-13.233333330000001</v>
      </c>
      <c r="H14">
        <v>19.5</v>
      </c>
      <c r="I14">
        <v>15.266666669999999</v>
      </c>
      <c r="J14">
        <v>6.266666667</v>
      </c>
    </row>
    <row r="15" spans="1:10" x14ac:dyDescent="0.25">
      <c r="A15" t="s">
        <v>61</v>
      </c>
      <c r="B15">
        <v>12</v>
      </c>
      <c r="C15" t="s">
        <v>35</v>
      </c>
      <c r="D15" t="s">
        <v>94</v>
      </c>
      <c r="E15" t="s">
        <v>1076</v>
      </c>
      <c r="F15" t="s">
        <v>1075</v>
      </c>
      <c r="G15">
        <v>-7.0333333329999999</v>
      </c>
      <c r="H15">
        <v>12.633333329999999</v>
      </c>
      <c r="I15">
        <v>13.3</v>
      </c>
      <c r="J15">
        <v>5.6</v>
      </c>
    </row>
    <row r="16" spans="1:10" x14ac:dyDescent="0.25">
      <c r="A16" t="s">
        <v>63</v>
      </c>
      <c r="B16">
        <v>12</v>
      </c>
      <c r="C16" t="s">
        <v>64</v>
      </c>
      <c r="D16" t="s">
        <v>94</v>
      </c>
      <c r="E16" t="s">
        <v>1076</v>
      </c>
      <c r="F16" t="s">
        <v>1075</v>
      </c>
      <c r="G16">
        <v>-5.5666666669999998</v>
      </c>
      <c r="H16">
        <v>14.766666669999999</v>
      </c>
      <c r="I16">
        <v>14.4</v>
      </c>
      <c r="J16">
        <v>9.1999999999999993</v>
      </c>
    </row>
    <row r="17" spans="1:10" x14ac:dyDescent="0.25">
      <c r="A17" t="s">
        <v>10</v>
      </c>
      <c r="B17">
        <v>15</v>
      </c>
      <c r="C17" t="s">
        <v>11</v>
      </c>
      <c r="D17" t="s">
        <v>94</v>
      </c>
      <c r="E17" t="s">
        <v>1076</v>
      </c>
      <c r="F17" t="s">
        <v>1075</v>
      </c>
      <c r="G17">
        <v>-11.133333329999999</v>
      </c>
      <c r="H17">
        <v>20.633333329999999</v>
      </c>
      <c r="I17">
        <v>22.133333329999999</v>
      </c>
      <c r="J17">
        <v>9.5</v>
      </c>
    </row>
    <row r="18" spans="1:10" x14ac:dyDescent="0.25">
      <c r="A18" t="s">
        <v>14</v>
      </c>
      <c r="B18">
        <v>15</v>
      </c>
      <c r="C18" t="s">
        <v>15</v>
      </c>
      <c r="D18" t="s">
        <v>94</v>
      </c>
      <c r="E18" t="s">
        <v>1076</v>
      </c>
      <c r="F18" t="s">
        <v>1075</v>
      </c>
      <c r="G18">
        <v>-13.133333329999999</v>
      </c>
      <c r="H18">
        <v>21.5</v>
      </c>
      <c r="I18">
        <v>24.43333333</v>
      </c>
      <c r="J18">
        <v>8.3666666670000005</v>
      </c>
    </row>
    <row r="19" spans="1:10" x14ac:dyDescent="0.25">
      <c r="A19" t="s">
        <v>20</v>
      </c>
      <c r="B19">
        <v>15</v>
      </c>
      <c r="C19" t="s">
        <v>21</v>
      </c>
      <c r="D19" t="s">
        <v>94</v>
      </c>
      <c r="E19" t="s">
        <v>1076</v>
      </c>
      <c r="F19" t="s">
        <v>1075</v>
      </c>
      <c r="G19">
        <v>-10.16666667</v>
      </c>
      <c r="H19">
        <v>17.06666667</v>
      </c>
      <c r="I19">
        <v>21.133333329999999</v>
      </c>
      <c r="J19">
        <v>6.9</v>
      </c>
    </row>
    <row r="20" spans="1:10" x14ac:dyDescent="0.25">
      <c r="A20" t="s">
        <v>28</v>
      </c>
      <c r="B20">
        <v>15</v>
      </c>
      <c r="C20" t="s">
        <v>29</v>
      </c>
      <c r="D20" t="s">
        <v>94</v>
      </c>
      <c r="E20" t="s">
        <v>1076</v>
      </c>
      <c r="F20" t="s">
        <v>1075</v>
      </c>
      <c r="G20">
        <v>-7.9</v>
      </c>
      <c r="H20">
        <v>12.33333333</v>
      </c>
      <c r="I20">
        <v>16.233333330000001</v>
      </c>
      <c r="J20">
        <v>4.4333333330000002</v>
      </c>
    </row>
    <row r="21" spans="1:10" x14ac:dyDescent="0.25">
      <c r="A21" t="s">
        <v>32</v>
      </c>
      <c r="B21">
        <v>15</v>
      </c>
      <c r="C21" t="s">
        <v>33</v>
      </c>
      <c r="D21" t="s">
        <v>94</v>
      </c>
      <c r="E21" t="s">
        <v>1076</v>
      </c>
      <c r="F21" t="s">
        <v>1075</v>
      </c>
      <c r="G21">
        <v>-4.4333333330000002</v>
      </c>
      <c r="H21">
        <v>11</v>
      </c>
      <c r="I21">
        <v>13.633333329999999</v>
      </c>
      <c r="J21">
        <v>6.5666666669999998</v>
      </c>
    </row>
    <row r="22" spans="1:10" x14ac:dyDescent="0.25">
      <c r="A22" t="s">
        <v>34</v>
      </c>
      <c r="B22">
        <v>15</v>
      </c>
      <c r="C22" t="s">
        <v>35</v>
      </c>
      <c r="D22" t="s">
        <v>94</v>
      </c>
      <c r="E22" t="s">
        <v>1076</v>
      </c>
      <c r="F22" t="s">
        <v>1075</v>
      </c>
      <c r="G22">
        <v>-4.733333333</v>
      </c>
      <c r="H22">
        <v>9</v>
      </c>
      <c r="I22">
        <v>10.83333333</v>
      </c>
      <c r="J22">
        <v>4.266666667</v>
      </c>
    </row>
    <row r="23" spans="1:10" x14ac:dyDescent="0.25">
      <c r="A23" t="s">
        <v>39</v>
      </c>
      <c r="B23">
        <v>2</v>
      </c>
      <c r="C23" t="s">
        <v>15</v>
      </c>
      <c r="D23" t="s">
        <v>94</v>
      </c>
      <c r="E23" t="s">
        <v>1076</v>
      </c>
      <c r="F23" t="s">
        <v>1075</v>
      </c>
      <c r="G23">
        <v>-8.6999999999999993</v>
      </c>
      <c r="H23">
        <v>13.3</v>
      </c>
      <c r="I23">
        <v>13.266666669999999</v>
      </c>
      <c r="J23">
        <v>4.5999999999999996</v>
      </c>
    </row>
    <row r="24" spans="1:10" x14ac:dyDescent="0.25">
      <c r="A24" t="s">
        <v>41</v>
      </c>
      <c r="B24">
        <v>2</v>
      </c>
      <c r="C24" t="s">
        <v>19</v>
      </c>
      <c r="D24" t="s">
        <v>94</v>
      </c>
      <c r="E24" t="s">
        <v>1076</v>
      </c>
      <c r="F24" t="s">
        <v>1075</v>
      </c>
      <c r="G24">
        <v>-8.4666666670000001</v>
      </c>
      <c r="H24">
        <v>15.9</v>
      </c>
      <c r="I24">
        <v>15.9</v>
      </c>
      <c r="J24">
        <v>7.4333333330000002</v>
      </c>
    </row>
    <row r="25" spans="1:10" x14ac:dyDescent="0.25">
      <c r="A25" t="s">
        <v>42</v>
      </c>
      <c r="B25">
        <v>2</v>
      </c>
      <c r="C25" t="s">
        <v>21</v>
      </c>
      <c r="D25" t="s">
        <v>94</v>
      </c>
      <c r="E25" t="s">
        <v>1076</v>
      </c>
      <c r="F25" t="s">
        <v>1075</v>
      </c>
      <c r="G25">
        <v>-14.766666669999999</v>
      </c>
      <c r="H25">
        <v>23.766666669999999</v>
      </c>
      <c r="I25">
        <v>20.466666669999999</v>
      </c>
      <c r="J25">
        <v>9</v>
      </c>
    </row>
    <row r="26" spans="1:10" x14ac:dyDescent="0.25">
      <c r="A26" t="s">
        <v>43</v>
      </c>
      <c r="B26">
        <v>2</v>
      </c>
      <c r="C26" t="s">
        <v>23</v>
      </c>
      <c r="D26" t="s">
        <v>94</v>
      </c>
      <c r="E26" t="s">
        <v>1076</v>
      </c>
      <c r="F26" t="s">
        <v>1075</v>
      </c>
      <c r="G26">
        <v>-14.1</v>
      </c>
      <c r="H26">
        <v>25.1</v>
      </c>
      <c r="I26">
        <v>20.666666670000001</v>
      </c>
      <c r="J26">
        <v>11</v>
      </c>
    </row>
    <row r="27" spans="1:10" x14ac:dyDescent="0.25">
      <c r="A27" t="s">
        <v>47</v>
      </c>
      <c r="B27">
        <v>2</v>
      </c>
      <c r="C27" t="s">
        <v>31</v>
      </c>
      <c r="D27" t="s">
        <v>94</v>
      </c>
      <c r="E27" t="s">
        <v>1076</v>
      </c>
      <c r="F27" t="s">
        <v>1075</v>
      </c>
      <c r="G27">
        <v>-8.1666666669999994</v>
      </c>
      <c r="H27">
        <v>13.6</v>
      </c>
      <c r="I27">
        <v>16.899999999999999</v>
      </c>
      <c r="J27">
        <v>5.4333333330000002</v>
      </c>
    </row>
    <row r="28" spans="1:10" x14ac:dyDescent="0.25">
      <c r="A28" t="s">
        <v>49</v>
      </c>
      <c r="B28">
        <v>2</v>
      </c>
      <c r="C28" t="s">
        <v>35</v>
      </c>
      <c r="D28" t="s">
        <v>94</v>
      </c>
      <c r="E28" t="s">
        <v>1076</v>
      </c>
      <c r="F28" t="s">
        <v>1075</v>
      </c>
      <c r="G28">
        <v>-6.5666666669999998</v>
      </c>
      <c r="H28">
        <v>11.16666667</v>
      </c>
      <c r="I28">
        <v>14.266666669999999</v>
      </c>
      <c r="J28">
        <v>4.5999999999999996</v>
      </c>
    </row>
    <row r="29" spans="1:10" x14ac:dyDescent="0.25">
      <c r="A29" t="s">
        <v>81</v>
      </c>
      <c r="B29">
        <v>6</v>
      </c>
      <c r="C29" t="s">
        <v>17</v>
      </c>
      <c r="D29" t="s">
        <v>94</v>
      </c>
      <c r="E29" t="s">
        <v>1076</v>
      </c>
      <c r="F29" t="s">
        <v>1075</v>
      </c>
      <c r="G29">
        <v>-6.6666666670000003</v>
      </c>
      <c r="H29">
        <v>14.4</v>
      </c>
      <c r="I29">
        <v>14.233333330000001</v>
      </c>
      <c r="J29">
        <v>7.733333333</v>
      </c>
    </row>
    <row r="30" spans="1:10" x14ac:dyDescent="0.25">
      <c r="A30" t="s">
        <v>82</v>
      </c>
      <c r="B30">
        <v>6</v>
      </c>
      <c r="C30" t="s">
        <v>19</v>
      </c>
      <c r="D30" t="s">
        <v>94</v>
      </c>
      <c r="E30" t="s">
        <v>1076</v>
      </c>
      <c r="F30" t="s">
        <v>1075</v>
      </c>
      <c r="G30">
        <v>-5.733333333</v>
      </c>
      <c r="H30">
        <v>13.46666667</v>
      </c>
      <c r="I30">
        <v>13.633333329999999</v>
      </c>
      <c r="J30">
        <v>7.733333333</v>
      </c>
    </row>
    <row r="31" spans="1:10" x14ac:dyDescent="0.25">
      <c r="A31" t="s">
        <v>83</v>
      </c>
      <c r="B31">
        <v>6</v>
      </c>
      <c r="C31" t="s">
        <v>21</v>
      </c>
      <c r="D31" t="s">
        <v>94</v>
      </c>
      <c r="E31" t="s">
        <v>1076</v>
      </c>
      <c r="F31" t="s">
        <v>1075</v>
      </c>
      <c r="G31">
        <v>-5.5666666669999998</v>
      </c>
      <c r="H31">
        <v>10.66666667</v>
      </c>
      <c r="I31">
        <v>11.33333333</v>
      </c>
      <c r="J31">
        <v>5.0999999999999996</v>
      </c>
    </row>
    <row r="32" spans="1:10" x14ac:dyDescent="0.25">
      <c r="A32" t="s">
        <v>85</v>
      </c>
      <c r="B32">
        <v>6</v>
      </c>
      <c r="C32" t="s">
        <v>25</v>
      </c>
      <c r="D32" t="s">
        <v>94</v>
      </c>
      <c r="E32" t="s">
        <v>1076</v>
      </c>
      <c r="F32" t="s">
        <v>1075</v>
      </c>
      <c r="G32">
        <v>-4.4000000000000004</v>
      </c>
      <c r="H32">
        <v>10.33333333</v>
      </c>
      <c r="I32">
        <v>11.5</v>
      </c>
      <c r="J32">
        <v>5.9333333330000002</v>
      </c>
    </row>
    <row r="33" spans="1:10" x14ac:dyDescent="0.25">
      <c r="A33" t="s">
        <v>86</v>
      </c>
      <c r="B33">
        <v>6</v>
      </c>
      <c r="C33" t="s">
        <v>27</v>
      </c>
      <c r="D33" t="s">
        <v>94</v>
      </c>
      <c r="E33" t="s">
        <v>1076</v>
      </c>
      <c r="F33" t="s">
        <v>1075</v>
      </c>
      <c r="G33">
        <v>-4.733333333</v>
      </c>
      <c r="H33">
        <v>9.1666666669999994</v>
      </c>
      <c r="I33">
        <v>8.5</v>
      </c>
      <c r="J33">
        <v>4.4333333330000002</v>
      </c>
    </row>
    <row r="34" spans="1:10" x14ac:dyDescent="0.25">
      <c r="A34" t="s">
        <v>90</v>
      </c>
      <c r="B34">
        <v>6</v>
      </c>
      <c r="C34" t="s">
        <v>35</v>
      </c>
      <c r="D34" t="s">
        <v>94</v>
      </c>
      <c r="E34" t="s">
        <v>1076</v>
      </c>
      <c r="F34" t="s">
        <v>1075</v>
      </c>
      <c r="G34">
        <v>-5.9</v>
      </c>
      <c r="H34">
        <v>10.16666667</v>
      </c>
      <c r="I34">
        <v>10</v>
      </c>
      <c r="J34">
        <v>4.266666667</v>
      </c>
    </row>
    <row r="35" spans="1:10" x14ac:dyDescent="0.25">
      <c r="A35" t="s">
        <v>91</v>
      </c>
      <c r="B35">
        <v>6</v>
      </c>
      <c r="C35" t="s">
        <v>37</v>
      </c>
      <c r="D35" t="s">
        <v>94</v>
      </c>
      <c r="E35" t="s">
        <v>1076</v>
      </c>
      <c r="F35" t="s">
        <v>1075</v>
      </c>
      <c r="G35">
        <v>-6.1</v>
      </c>
      <c r="H35">
        <v>10.03333333</v>
      </c>
      <c r="I35">
        <v>9.1999999999999993</v>
      </c>
      <c r="J35">
        <v>3.9333333330000002</v>
      </c>
    </row>
    <row r="36" spans="1:10" x14ac:dyDescent="0.25">
      <c r="A36" t="s">
        <v>92</v>
      </c>
      <c r="B36">
        <v>6</v>
      </c>
      <c r="C36" t="s">
        <v>64</v>
      </c>
      <c r="D36" t="s">
        <v>94</v>
      </c>
      <c r="E36" t="s">
        <v>1076</v>
      </c>
      <c r="F36" t="s">
        <v>1075</v>
      </c>
      <c r="G36">
        <v>-5.733333333</v>
      </c>
      <c r="H36">
        <v>11.33333333</v>
      </c>
      <c r="I36">
        <v>10.16666667</v>
      </c>
      <c r="J36">
        <v>5.6</v>
      </c>
    </row>
    <row r="37" spans="1:10" x14ac:dyDescent="0.25">
      <c r="A37" t="s">
        <v>68</v>
      </c>
      <c r="B37">
        <v>10</v>
      </c>
      <c r="C37" t="s">
        <v>15</v>
      </c>
      <c r="D37" t="s">
        <v>95</v>
      </c>
      <c r="E37" t="s">
        <v>1076</v>
      </c>
      <c r="F37" t="s">
        <v>1075</v>
      </c>
      <c r="G37">
        <v>-7.7</v>
      </c>
      <c r="H37">
        <v>14.133333329999999</v>
      </c>
      <c r="I37">
        <v>18.333333329999999</v>
      </c>
      <c r="J37">
        <v>6.4333333330000002</v>
      </c>
    </row>
    <row r="38" spans="1:10" x14ac:dyDescent="0.25">
      <c r="A38" t="s">
        <v>69</v>
      </c>
      <c r="B38">
        <v>10</v>
      </c>
      <c r="C38" t="s">
        <v>17</v>
      </c>
      <c r="D38" t="s">
        <v>95</v>
      </c>
      <c r="E38" t="s">
        <v>1076</v>
      </c>
      <c r="F38" t="s">
        <v>1075</v>
      </c>
      <c r="G38">
        <v>-7.8666666669999996</v>
      </c>
      <c r="H38">
        <v>18.366666670000001</v>
      </c>
      <c r="I38">
        <v>20.666666670000001</v>
      </c>
      <c r="J38">
        <v>10.5</v>
      </c>
    </row>
    <row r="39" spans="1:10" x14ac:dyDescent="0.25">
      <c r="A39" t="s">
        <v>70</v>
      </c>
      <c r="B39">
        <v>10</v>
      </c>
      <c r="C39" t="s">
        <v>19</v>
      </c>
      <c r="D39" t="s">
        <v>95</v>
      </c>
      <c r="E39" t="s">
        <v>1076</v>
      </c>
      <c r="F39" t="s">
        <v>1075</v>
      </c>
      <c r="G39">
        <v>-11.133333329999999</v>
      </c>
      <c r="H39">
        <v>17.233333330000001</v>
      </c>
      <c r="I39">
        <v>17.533333330000001</v>
      </c>
      <c r="J39">
        <v>6.1</v>
      </c>
    </row>
    <row r="40" spans="1:10" x14ac:dyDescent="0.25">
      <c r="A40" t="s">
        <v>72</v>
      </c>
      <c r="B40">
        <v>10</v>
      </c>
      <c r="C40" t="s">
        <v>23</v>
      </c>
      <c r="D40" t="s">
        <v>95</v>
      </c>
      <c r="E40" t="s">
        <v>1076</v>
      </c>
      <c r="F40" t="s">
        <v>1075</v>
      </c>
      <c r="G40">
        <v>-4.766666667</v>
      </c>
      <c r="H40">
        <v>14.1</v>
      </c>
      <c r="I40">
        <v>15.4</v>
      </c>
      <c r="J40">
        <v>9.3333333330000006</v>
      </c>
    </row>
    <row r="41" spans="1:10" x14ac:dyDescent="0.25">
      <c r="A41" t="s">
        <v>74</v>
      </c>
      <c r="B41">
        <v>10</v>
      </c>
      <c r="C41" t="s">
        <v>27</v>
      </c>
      <c r="D41" t="s">
        <v>95</v>
      </c>
      <c r="E41" t="s">
        <v>1076</v>
      </c>
      <c r="F41" t="s">
        <v>1075</v>
      </c>
      <c r="G41">
        <v>-6.8666666669999996</v>
      </c>
      <c r="H41">
        <v>13.96666667</v>
      </c>
      <c r="I41">
        <v>18.666666670000001</v>
      </c>
      <c r="J41">
        <v>7.1</v>
      </c>
    </row>
    <row r="42" spans="1:10" x14ac:dyDescent="0.25">
      <c r="A42" t="s">
        <v>50</v>
      </c>
      <c r="B42">
        <v>12</v>
      </c>
      <c r="C42" t="s">
        <v>11</v>
      </c>
      <c r="D42" t="s">
        <v>95</v>
      </c>
      <c r="E42" t="s">
        <v>1076</v>
      </c>
      <c r="F42" t="s">
        <v>1075</v>
      </c>
      <c r="G42">
        <v>-8.3666666670000005</v>
      </c>
      <c r="H42">
        <v>15.9</v>
      </c>
      <c r="I42">
        <v>16.899999999999999</v>
      </c>
      <c r="J42">
        <v>7.5333333329999999</v>
      </c>
    </row>
    <row r="43" spans="1:10" x14ac:dyDescent="0.25">
      <c r="A43" t="s">
        <v>52</v>
      </c>
      <c r="B43">
        <v>12</v>
      </c>
      <c r="C43" t="s">
        <v>17</v>
      </c>
      <c r="D43" t="s">
        <v>95</v>
      </c>
      <c r="E43" t="s">
        <v>1076</v>
      </c>
      <c r="F43" t="s">
        <v>1075</v>
      </c>
      <c r="G43">
        <v>-6.3666666669999996</v>
      </c>
      <c r="H43">
        <v>13.766666669999999</v>
      </c>
      <c r="I43">
        <v>17.899999999999999</v>
      </c>
      <c r="J43">
        <v>7.4</v>
      </c>
    </row>
    <row r="44" spans="1:10" x14ac:dyDescent="0.25">
      <c r="A44" t="s">
        <v>54</v>
      </c>
      <c r="B44">
        <v>12</v>
      </c>
      <c r="C44" t="s">
        <v>21</v>
      </c>
      <c r="D44" t="s">
        <v>95</v>
      </c>
      <c r="E44" t="s">
        <v>1076</v>
      </c>
      <c r="F44" t="s">
        <v>1075</v>
      </c>
      <c r="G44">
        <v>-8.6</v>
      </c>
      <c r="H44">
        <v>14.766666669999999</v>
      </c>
      <c r="I44">
        <v>18.06666667</v>
      </c>
      <c r="J44">
        <v>6.1666666670000003</v>
      </c>
    </row>
    <row r="45" spans="1:10" x14ac:dyDescent="0.25">
      <c r="A45" t="s">
        <v>58</v>
      </c>
      <c r="B45">
        <v>12</v>
      </c>
      <c r="C45" t="s">
        <v>29</v>
      </c>
      <c r="D45" t="s">
        <v>95</v>
      </c>
      <c r="E45" t="s">
        <v>1076</v>
      </c>
      <c r="F45" t="s">
        <v>1075</v>
      </c>
      <c r="G45">
        <v>-6.9666666670000001</v>
      </c>
      <c r="H45">
        <v>12</v>
      </c>
      <c r="I45">
        <v>12.83333333</v>
      </c>
      <c r="J45">
        <v>5.0333333329999999</v>
      </c>
    </row>
    <row r="46" spans="1:10" x14ac:dyDescent="0.25">
      <c r="A46" t="s">
        <v>60</v>
      </c>
      <c r="B46">
        <v>12</v>
      </c>
      <c r="C46" t="s">
        <v>33</v>
      </c>
      <c r="D46" t="s">
        <v>95</v>
      </c>
      <c r="E46" t="s">
        <v>1076</v>
      </c>
      <c r="F46" t="s">
        <v>1075</v>
      </c>
      <c r="G46">
        <v>-7.3166666669999998</v>
      </c>
      <c r="H46">
        <v>12.16666667</v>
      </c>
      <c r="I46">
        <v>16.600000000000001</v>
      </c>
      <c r="J46">
        <v>4.8499999999999996</v>
      </c>
    </row>
    <row r="47" spans="1:10" x14ac:dyDescent="0.25">
      <c r="A47" t="s">
        <v>62</v>
      </c>
      <c r="B47">
        <v>12</v>
      </c>
      <c r="C47" t="s">
        <v>37</v>
      </c>
      <c r="D47" t="s">
        <v>95</v>
      </c>
      <c r="E47" t="s">
        <v>1076</v>
      </c>
      <c r="F47" t="s">
        <v>1075</v>
      </c>
      <c r="G47">
        <v>-6.9</v>
      </c>
      <c r="H47">
        <v>13.96666667</v>
      </c>
      <c r="I47">
        <v>18.06666667</v>
      </c>
      <c r="J47">
        <v>7.0666666669999998</v>
      </c>
    </row>
    <row r="48" spans="1:10" x14ac:dyDescent="0.25">
      <c r="A48" t="s">
        <v>65</v>
      </c>
      <c r="B48">
        <v>12</v>
      </c>
      <c r="C48" t="s">
        <v>66</v>
      </c>
      <c r="D48" t="s">
        <v>95</v>
      </c>
      <c r="E48" t="s">
        <v>1076</v>
      </c>
      <c r="F48" t="s">
        <v>1075</v>
      </c>
      <c r="G48">
        <v>-16.06666667</v>
      </c>
      <c r="H48">
        <v>23.766666669999999</v>
      </c>
      <c r="I48">
        <v>25.266666669999999</v>
      </c>
      <c r="J48">
        <v>7.7</v>
      </c>
    </row>
    <row r="49" spans="1:10" x14ac:dyDescent="0.25">
      <c r="A49" t="s">
        <v>16</v>
      </c>
      <c r="B49">
        <v>15</v>
      </c>
      <c r="C49" t="s">
        <v>17</v>
      </c>
      <c r="D49" t="s">
        <v>95</v>
      </c>
      <c r="E49" t="s">
        <v>1076</v>
      </c>
      <c r="F49" t="s">
        <v>1075</v>
      </c>
      <c r="G49">
        <v>-5.3666666669999996</v>
      </c>
      <c r="H49">
        <v>15.06666667</v>
      </c>
      <c r="I49">
        <v>22.666666670000001</v>
      </c>
      <c r="J49">
        <v>9.6999999999999993</v>
      </c>
    </row>
    <row r="50" spans="1:10" x14ac:dyDescent="0.25">
      <c r="A50" t="s">
        <v>18</v>
      </c>
      <c r="B50">
        <v>15</v>
      </c>
      <c r="C50" t="s">
        <v>19</v>
      </c>
      <c r="D50" t="s">
        <v>95</v>
      </c>
      <c r="E50" t="s">
        <v>1076</v>
      </c>
      <c r="F50" t="s">
        <v>1075</v>
      </c>
      <c r="G50">
        <v>-10.46666667</v>
      </c>
      <c r="H50">
        <v>16.06666667</v>
      </c>
      <c r="I50">
        <v>18.366666670000001</v>
      </c>
      <c r="J50">
        <v>5.6</v>
      </c>
    </row>
    <row r="51" spans="1:10" x14ac:dyDescent="0.25">
      <c r="A51" t="s">
        <v>22</v>
      </c>
      <c r="B51">
        <v>15</v>
      </c>
      <c r="C51" t="s">
        <v>23</v>
      </c>
      <c r="D51" t="s">
        <v>95</v>
      </c>
      <c r="E51" t="s">
        <v>1076</v>
      </c>
      <c r="F51" t="s">
        <v>1075</v>
      </c>
      <c r="G51">
        <v>-5.4</v>
      </c>
      <c r="H51">
        <v>11.83333333</v>
      </c>
      <c r="I51">
        <v>15.9</v>
      </c>
      <c r="J51">
        <v>6.4333333330000002</v>
      </c>
    </row>
    <row r="52" spans="1:10" x14ac:dyDescent="0.25">
      <c r="A52" t="s">
        <v>24</v>
      </c>
      <c r="B52">
        <v>15</v>
      </c>
      <c r="C52" t="s">
        <v>25</v>
      </c>
      <c r="D52" t="s">
        <v>95</v>
      </c>
      <c r="E52" t="s">
        <v>1076</v>
      </c>
      <c r="F52" t="s">
        <v>1075</v>
      </c>
      <c r="G52" t="s">
        <v>114</v>
      </c>
      <c r="H52">
        <v>12</v>
      </c>
      <c r="I52">
        <v>15.9</v>
      </c>
      <c r="J52" t="s">
        <v>114</v>
      </c>
    </row>
    <row r="53" spans="1:10" x14ac:dyDescent="0.25">
      <c r="A53" t="s">
        <v>26</v>
      </c>
      <c r="B53">
        <v>15</v>
      </c>
      <c r="C53" t="s">
        <v>27</v>
      </c>
      <c r="D53" t="s">
        <v>95</v>
      </c>
      <c r="E53" t="s">
        <v>1076</v>
      </c>
      <c r="F53" t="s">
        <v>1075</v>
      </c>
      <c r="G53">
        <v>-7.6666666670000003</v>
      </c>
      <c r="H53">
        <v>20.966666669999999</v>
      </c>
      <c r="I53">
        <v>27.533333330000001</v>
      </c>
      <c r="J53">
        <v>13.3</v>
      </c>
    </row>
    <row r="54" spans="1:10" x14ac:dyDescent="0.25">
      <c r="A54" t="s">
        <v>30</v>
      </c>
      <c r="B54">
        <v>15</v>
      </c>
      <c r="C54" t="s">
        <v>31</v>
      </c>
      <c r="D54" t="s">
        <v>95</v>
      </c>
      <c r="E54" t="s">
        <v>1076</v>
      </c>
      <c r="F54" t="s">
        <v>1075</v>
      </c>
      <c r="G54">
        <v>-6.0333333329999999</v>
      </c>
      <c r="H54">
        <v>14.1</v>
      </c>
      <c r="I54">
        <v>17.899999999999999</v>
      </c>
      <c r="J54">
        <v>8.0666666669999998</v>
      </c>
    </row>
    <row r="55" spans="1:10" x14ac:dyDescent="0.25">
      <c r="A55" t="s">
        <v>36</v>
      </c>
      <c r="B55">
        <v>15</v>
      </c>
      <c r="C55" t="s">
        <v>37</v>
      </c>
      <c r="D55" t="s">
        <v>95</v>
      </c>
      <c r="E55" t="s">
        <v>1076</v>
      </c>
      <c r="F55" t="s">
        <v>1075</v>
      </c>
      <c r="G55">
        <v>-10.633333329999999</v>
      </c>
      <c r="H55">
        <v>20.966666669999999</v>
      </c>
      <c r="I55">
        <v>26.033333330000001</v>
      </c>
      <c r="J55">
        <v>10.33333333</v>
      </c>
    </row>
    <row r="56" spans="1:10" x14ac:dyDescent="0.25">
      <c r="A56" t="s">
        <v>38</v>
      </c>
      <c r="B56">
        <v>2</v>
      </c>
      <c r="C56" t="s">
        <v>11</v>
      </c>
      <c r="D56" t="s">
        <v>95</v>
      </c>
      <c r="E56" t="s">
        <v>1076</v>
      </c>
      <c r="F56" t="s">
        <v>1075</v>
      </c>
      <c r="G56">
        <v>-11.633333329999999</v>
      </c>
      <c r="H56">
        <v>17.733333330000001</v>
      </c>
      <c r="I56">
        <v>17.233333330000001</v>
      </c>
      <c r="J56">
        <v>6.1</v>
      </c>
    </row>
    <row r="57" spans="1:10" x14ac:dyDescent="0.25">
      <c r="A57" t="s">
        <v>40</v>
      </c>
      <c r="B57">
        <v>2</v>
      </c>
      <c r="C57" t="s">
        <v>17</v>
      </c>
      <c r="D57" t="s">
        <v>95</v>
      </c>
      <c r="E57" t="s">
        <v>1076</v>
      </c>
      <c r="F57" t="s">
        <v>1075</v>
      </c>
      <c r="G57">
        <v>-7.5666666669999998</v>
      </c>
      <c r="H57">
        <v>16.233333330000001</v>
      </c>
      <c r="I57">
        <v>16.56666667</v>
      </c>
      <c r="J57">
        <v>8.6666666669999994</v>
      </c>
    </row>
    <row r="58" spans="1:10" x14ac:dyDescent="0.25">
      <c r="A58" t="s">
        <v>44</v>
      </c>
      <c r="B58">
        <v>2</v>
      </c>
      <c r="C58" t="s">
        <v>25</v>
      </c>
      <c r="D58" t="s">
        <v>95</v>
      </c>
      <c r="E58" t="s">
        <v>1076</v>
      </c>
      <c r="F58" t="s">
        <v>1075</v>
      </c>
      <c r="G58">
        <v>-9.1666666669999994</v>
      </c>
      <c r="H58">
        <v>17.06666667</v>
      </c>
      <c r="I58">
        <v>19.5</v>
      </c>
      <c r="J58">
        <v>7.9</v>
      </c>
    </row>
    <row r="59" spans="1:10" x14ac:dyDescent="0.25">
      <c r="A59" t="s">
        <v>45</v>
      </c>
      <c r="B59">
        <v>2</v>
      </c>
      <c r="C59" t="s">
        <v>27</v>
      </c>
      <c r="D59" t="s">
        <v>95</v>
      </c>
      <c r="E59" t="s">
        <v>1076</v>
      </c>
      <c r="F59" t="s">
        <v>1075</v>
      </c>
      <c r="G59">
        <v>-7.3666666669999996</v>
      </c>
      <c r="H59">
        <v>15.1</v>
      </c>
      <c r="I59">
        <v>16.233333330000001</v>
      </c>
      <c r="J59">
        <v>7.733333333</v>
      </c>
    </row>
    <row r="60" spans="1:10" x14ac:dyDescent="0.25">
      <c r="A60" t="s">
        <v>46</v>
      </c>
      <c r="B60">
        <v>2</v>
      </c>
      <c r="C60" t="s">
        <v>29</v>
      </c>
      <c r="D60" t="s">
        <v>95</v>
      </c>
      <c r="E60" t="s">
        <v>1076</v>
      </c>
      <c r="F60" t="s">
        <v>1075</v>
      </c>
      <c r="G60">
        <v>-8.2666666670000009</v>
      </c>
      <c r="H60">
        <v>16.633333329999999</v>
      </c>
      <c r="I60">
        <v>18.2</v>
      </c>
      <c r="J60">
        <v>8.3666666670000005</v>
      </c>
    </row>
    <row r="61" spans="1:10" x14ac:dyDescent="0.25">
      <c r="A61" t="s">
        <v>48</v>
      </c>
      <c r="B61">
        <v>2</v>
      </c>
      <c r="C61" t="s">
        <v>33</v>
      </c>
      <c r="D61" t="s">
        <v>95</v>
      </c>
      <c r="E61" t="s">
        <v>1076</v>
      </c>
      <c r="F61" t="s">
        <v>1075</v>
      </c>
      <c r="G61">
        <v>-7.733333333</v>
      </c>
      <c r="H61">
        <v>13.33333333</v>
      </c>
      <c r="I61">
        <v>18.2</v>
      </c>
      <c r="J61">
        <v>5.6</v>
      </c>
    </row>
    <row r="62" spans="1:10" x14ac:dyDescent="0.25">
      <c r="A62" t="s">
        <v>79</v>
      </c>
      <c r="B62">
        <v>6</v>
      </c>
      <c r="C62" t="s">
        <v>11</v>
      </c>
      <c r="D62" t="s">
        <v>95</v>
      </c>
      <c r="E62" t="s">
        <v>1076</v>
      </c>
      <c r="F62" t="s">
        <v>1075</v>
      </c>
      <c r="G62">
        <v>-10.8</v>
      </c>
      <c r="H62">
        <v>18.06666667</v>
      </c>
      <c r="I62">
        <v>17.56666667</v>
      </c>
      <c r="J62">
        <v>7.266666667</v>
      </c>
    </row>
    <row r="63" spans="1:10" x14ac:dyDescent="0.25">
      <c r="A63" t="s">
        <v>80</v>
      </c>
      <c r="B63">
        <v>6</v>
      </c>
      <c r="C63" t="s">
        <v>15</v>
      </c>
      <c r="D63" t="s">
        <v>95</v>
      </c>
      <c r="E63" t="s">
        <v>1076</v>
      </c>
      <c r="F63" t="s">
        <v>1075</v>
      </c>
      <c r="G63">
        <v>-7.0333333329999999</v>
      </c>
      <c r="H63">
        <v>16.233333330000001</v>
      </c>
      <c r="I63">
        <v>14.266666669999999</v>
      </c>
      <c r="J63">
        <v>9.1999999999999993</v>
      </c>
    </row>
    <row r="64" spans="1:10" x14ac:dyDescent="0.25">
      <c r="A64" t="s">
        <v>84</v>
      </c>
      <c r="B64">
        <v>6</v>
      </c>
      <c r="C64" t="s">
        <v>23</v>
      </c>
      <c r="D64" t="s">
        <v>95</v>
      </c>
      <c r="E64" t="s">
        <v>1076</v>
      </c>
      <c r="F64" t="s">
        <v>1075</v>
      </c>
      <c r="G64">
        <v>-8.1999999999999993</v>
      </c>
      <c r="H64">
        <v>14.766666669999999</v>
      </c>
      <c r="I64">
        <v>12</v>
      </c>
      <c r="J64">
        <v>6.5666666669999998</v>
      </c>
    </row>
    <row r="65" spans="1:10" x14ac:dyDescent="0.25">
      <c r="A65" t="s">
        <v>87</v>
      </c>
      <c r="B65">
        <v>6</v>
      </c>
      <c r="C65" t="s">
        <v>29</v>
      </c>
      <c r="D65" t="s">
        <v>95</v>
      </c>
      <c r="E65" t="s">
        <v>1076</v>
      </c>
      <c r="F65" t="s">
        <v>1075</v>
      </c>
      <c r="G65">
        <v>-3.266666667</v>
      </c>
      <c r="H65">
        <v>9.3666666670000005</v>
      </c>
      <c r="I65">
        <v>8.8333333330000006</v>
      </c>
      <c r="J65">
        <v>6.1</v>
      </c>
    </row>
    <row r="66" spans="1:10" x14ac:dyDescent="0.25">
      <c r="A66" t="s">
        <v>88</v>
      </c>
      <c r="B66">
        <v>6</v>
      </c>
      <c r="C66" t="s">
        <v>31</v>
      </c>
      <c r="D66" t="s">
        <v>95</v>
      </c>
      <c r="E66" t="s">
        <v>1076</v>
      </c>
      <c r="F66" t="s">
        <v>1075</v>
      </c>
      <c r="G66">
        <v>-9.0333333329999999</v>
      </c>
      <c r="H66">
        <v>15.266666669999999</v>
      </c>
      <c r="I66">
        <v>14.43333333</v>
      </c>
      <c r="J66">
        <v>6.233333333</v>
      </c>
    </row>
    <row r="67" spans="1:10" x14ac:dyDescent="0.25">
      <c r="A67" t="s">
        <v>89</v>
      </c>
      <c r="B67">
        <v>6</v>
      </c>
      <c r="C67" t="s">
        <v>33</v>
      </c>
      <c r="D67" t="s">
        <v>95</v>
      </c>
      <c r="E67" t="s">
        <v>1076</v>
      </c>
      <c r="F67" t="s">
        <v>1075</v>
      </c>
      <c r="G67">
        <v>-8</v>
      </c>
      <c r="H67">
        <v>14.6</v>
      </c>
      <c r="I67">
        <v>14.9</v>
      </c>
      <c r="J67">
        <v>6.6</v>
      </c>
    </row>
    <row r="68" spans="1:10" x14ac:dyDescent="0.25">
      <c r="A68" t="s">
        <v>93</v>
      </c>
      <c r="B68">
        <v>6</v>
      </c>
      <c r="C68" t="s">
        <v>66</v>
      </c>
      <c r="D68" t="s">
        <v>95</v>
      </c>
      <c r="E68" t="s">
        <v>1076</v>
      </c>
      <c r="F68" t="s">
        <v>1075</v>
      </c>
      <c r="G68">
        <v>-6.733333333</v>
      </c>
      <c r="H68">
        <v>11.5</v>
      </c>
      <c r="I68">
        <v>9.1666666669999994</v>
      </c>
      <c r="J68">
        <v>4.766666667</v>
      </c>
    </row>
    <row r="69" spans="1:10" x14ac:dyDescent="0.25">
      <c r="A69" t="s">
        <v>67</v>
      </c>
      <c r="B69">
        <v>10</v>
      </c>
      <c r="C69" t="s">
        <v>11</v>
      </c>
      <c r="D69" t="s">
        <v>94</v>
      </c>
      <c r="E69" t="s">
        <v>120</v>
      </c>
      <c r="F69" t="s">
        <v>113</v>
      </c>
      <c r="G69">
        <v>-9</v>
      </c>
      <c r="H69">
        <v>19</v>
      </c>
      <c r="I69">
        <v>20.3</v>
      </c>
      <c r="J69">
        <v>10</v>
      </c>
    </row>
    <row r="70" spans="1:10" x14ac:dyDescent="0.25">
      <c r="A70" t="s">
        <v>67</v>
      </c>
      <c r="B70">
        <v>10</v>
      </c>
      <c r="C70" t="s">
        <v>11</v>
      </c>
      <c r="D70" t="s">
        <v>94</v>
      </c>
      <c r="E70" t="s">
        <v>120</v>
      </c>
      <c r="F70" t="s">
        <v>103</v>
      </c>
      <c r="G70">
        <v>-9.15</v>
      </c>
      <c r="H70">
        <v>17.899999999999999</v>
      </c>
      <c r="I70">
        <v>20.633333329999999</v>
      </c>
      <c r="J70">
        <v>8.75</v>
      </c>
    </row>
    <row r="71" spans="1:10" x14ac:dyDescent="0.25">
      <c r="A71" t="s">
        <v>67</v>
      </c>
      <c r="B71">
        <v>10</v>
      </c>
      <c r="C71" t="s">
        <v>11</v>
      </c>
      <c r="D71" t="s">
        <v>94</v>
      </c>
      <c r="E71" t="s">
        <v>120</v>
      </c>
      <c r="F71" t="s">
        <v>112</v>
      </c>
      <c r="G71">
        <v>-10.85</v>
      </c>
      <c r="H71">
        <v>18.7</v>
      </c>
      <c r="I71">
        <v>20.966666669999999</v>
      </c>
      <c r="J71">
        <v>7.85</v>
      </c>
    </row>
    <row r="72" spans="1:10" x14ac:dyDescent="0.25">
      <c r="A72" t="s">
        <v>68</v>
      </c>
      <c r="B72">
        <v>10</v>
      </c>
      <c r="C72" t="s">
        <v>15</v>
      </c>
      <c r="D72" t="s">
        <v>95</v>
      </c>
      <c r="E72" t="s">
        <v>120</v>
      </c>
      <c r="F72" t="s">
        <v>113</v>
      </c>
      <c r="G72">
        <v>-10.16666667</v>
      </c>
      <c r="H72">
        <v>18.233333330000001</v>
      </c>
      <c r="I72">
        <v>21.966666669999999</v>
      </c>
      <c r="J72">
        <v>8.0666666669999998</v>
      </c>
    </row>
    <row r="73" spans="1:10" x14ac:dyDescent="0.25">
      <c r="A73" t="s">
        <v>68</v>
      </c>
      <c r="B73">
        <v>10</v>
      </c>
      <c r="C73" t="s">
        <v>15</v>
      </c>
      <c r="D73" t="s">
        <v>95</v>
      </c>
      <c r="E73" t="s">
        <v>120</v>
      </c>
      <c r="F73" t="s">
        <v>110</v>
      </c>
      <c r="G73">
        <v>-7.9</v>
      </c>
      <c r="H73">
        <v>12.5</v>
      </c>
      <c r="I73">
        <v>15.733333330000001</v>
      </c>
      <c r="J73">
        <v>4.5999999999999996</v>
      </c>
    </row>
    <row r="74" spans="1:10" x14ac:dyDescent="0.25">
      <c r="A74" t="s">
        <v>68</v>
      </c>
      <c r="B74">
        <v>10</v>
      </c>
      <c r="C74" t="s">
        <v>15</v>
      </c>
      <c r="D74" t="s">
        <v>95</v>
      </c>
      <c r="E74" t="s">
        <v>120</v>
      </c>
      <c r="F74" t="s">
        <v>111</v>
      </c>
      <c r="G74">
        <v>-11.66666667</v>
      </c>
      <c r="H74">
        <v>16.56666667</v>
      </c>
      <c r="I74">
        <v>20.333333329999999</v>
      </c>
      <c r="J74">
        <v>4.9000000000000004</v>
      </c>
    </row>
    <row r="75" spans="1:10" x14ac:dyDescent="0.25">
      <c r="A75" t="s">
        <v>68</v>
      </c>
      <c r="B75">
        <v>10</v>
      </c>
      <c r="C75" t="s">
        <v>15</v>
      </c>
      <c r="D75" t="s">
        <v>95</v>
      </c>
      <c r="E75" t="s">
        <v>120</v>
      </c>
      <c r="F75" t="s">
        <v>104</v>
      </c>
      <c r="G75">
        <v>-8.9666666670000001</v>
      </c>
      <c r="H75">
        <v>14.4</v>
      </c>
      <c r="I75">
        <v>15.43333333</v>
      </c>
      <c r="J75">
        <v>5.4333333330000002</v>
      </c>
    </row>
    <row r="76" spans="1:10" x14ac:dyDescent="0.25">
      <c r="A76" t="s">
        <v>69</v>
      </c>
      <c r="B76">
        <v>10</v>
      </c>
      <c r="C76" t="s">
        <v>17</v>
      </c>
      <c r="D76" t="s">
        <v>95</v>
      </c>
      <c r="E76" t="s">
        <v>120</v>
      </c>
      <c r="F76" t="s">
        <v>102</v>
      </c>
      <c r="G76">
        <v>-8.0333333329999999</v>
      </c>
      <c r="H76">
        <v>16.399999999999999</v>
      </c>
      <c r="I76">
        <v>20.333333329999999</v>
      </c>
      <c r="J76">
        <v>8.3666666670000005</v>
      </c>
    </row>
    <row r="77" spans="1:10" x14ac:dyDescent="0.25">
      <c r="A77" t="s">
        <v>69</v>
      </c>
      <c r="B77">
        <v>10</v>
      </c>
      <c r="C77" t="s">
        <v>17</v>
      </c>
      <c r="D77" t="s">
        <v>95</v>
      </c>
      <c r="E77" t="s">
        <v>120</v>
      </c>
      <c r="F77" t="s">
        <v>113</v>
      </c>
      <c r="G77">
        <v>-6.5</v>
      </c>
      <c r="H77">
        <v>19.166666670000001</v>
      </c>
      <c r="I77">
        <v>21.466666669999999</v>
      </c>
      <c r="J77">
        <v>12.66666667</v>
      </c>
    </row>
    <row r="78" spans="1:10" x14ac:dyDescent="0.25">
      <c r="A78" t="s">
        <v>69</v>
      </c>
      <c r="B78">
        <v>10</v>
      </c>
      <c r="C78" t="s">
        <v>17</v>
      </c>
      <c r="D78" t="s">
        <v>95</v>
      </c>
      <c r="E78" t="s">
        <v>120</v>
      </c>
      <c r="F78" t="s">
        <v>103</v>
      </c>
      <c r="G78">
        <v>-5.733333333</v>
      </c>
      <c r="H78">
        <v>16.899999999999999</v>
      </c>
      <c r="I78">
        <v>20.8</v>
      </c>
      <c r="J78">
        <v>11.16666667</v>
      </c>
    </row>
    <row r="79" spans="1:10" x14ac:dyDescent="0.25">
      <c r="A79" t="s">
        <v>69</v>
      </c>
      <c r="B79">
        <v>10</v>
      </c>
      <c r="C79" t="s">
        <v>17</v>
      </c>
      <c r="D79" t="s">
        <v>95</v>
      </c>
      <c r="E79" t="s">
        <v>120</v>
      </c>
      <c r="F79" t="s">
        <v>111</v>
      </c>
      <c r="G79">
        <v>-6.5666666669999998</v>
      </c>
      <c r="H79">
        <v>18.06666667</v>
      </c>
      <c r="I79">
        <v>21.966666669999999</v>
      </c>
      <c r="J79">
        <v>11.5</v>
      </c>
    </row>
    <row r="80" spans="1:10" x14ac:dyDescent="0.25">
      <c r="A80" t="s">
        <v>69</v>
      </c>
      <c r="B80">
        <v>10</v>
      </c>
      <c r="C80" t="s">
        <v>17</v>
      </c>
      <c r="D80" t="s">
        <v>95</v>
      </c>
      <c r="E80" t="s">
        <v>120</v>
      </c>
      <c r="F80" t="s">
        <v>112</v>
      </c>
      <c r="G80">
        <v>-7.8333333329999997</v>
      </c>
      <c r="H80">
        <v>19</v>
      </c>
      <c r="I80">
        <v>20</v>
      </c>
      <c r="J80">
        <v>11.16666667</v>
      </c>
    </row>
    <row r="81" spans="1:10" x14ac:dyDescent="0.25">
      <c r="A81" t="s">
        <v>70</v>
      </c>
      <c r="B81">
        <v>10</v>
      </c>
      <c r="C81" t="s">
        <v>19</v>
      </c>
      <c r="D81" t="s">
        <v>95</v>
      </c>
      <c r="E81" t="s">
        <v>120</v>
      </c>
      <c r="F81" t="s">
        <v>102</v>
      </c>
      <c r="G81">
        <v>-9</v>
      </c>
      <c r="H81">
        <v>14.766666669999999</v>
      </c>
      <c r="I81">
        <v>16.899999999999999</v>
      </c>
      <c r="J81">
        <v>5.766666667</v>
      </c>
    </row>
    <row r="82" spans="1:10" x14ac:dyDescent="0.25">
      <c r="A82" t="s">
        <v>70</v>
      </c>
      <c r="B82">
        <v>10</v>
      </c>
      <c r="C82" t="s">
        <v>19</v>
      </c>
      <c r="D82" t="s">
        <v>95</v>
      </c>
      <c r="E82" t="s">
        <v>120</v>
      </c>
      <c r="F82" t="s">
        <v>105</v>
      </c>
      <c r="G82">
        <v>-8.3333333330000006</v>
      </c>
      <c r="H82">
        <v>13.766666669999999</v>
      </c>
      <c r="I82">
        <v>14.266666669999999</v>
      </c>
      <c r="J82">
        <v>5.4333333330000002</v>
      </c>
    </row>
    <row r="83" spans="1:10" x14ac:dyDescent="0.25">
      <c r="A83" t="s">
        <v>70</v>
      </c>
      <c r="B83">
        <v>10</v>
      </c>
      <c r="C83" t="s">
        <v>19</v>
      </c>
      <c r="D83" t="s">
        <v>95</v>
      </c>
      <c r="E83" t="s">
        <v>120</v>
      </c>
      <c r="F83" t="s">
        <v>111</v>
      </c>
      <c r="G83">
        <v>-9.8000000000000007</v>
      </c>
      <c r="H83">
        <v>15.4</v>
      </c>
      <c r="I83">
        <v>17.06666667</v>
      </c>
      <c r="J83">
        <v>5.6</v>
      </c>
    </row>
    <row r="84" spans="1:10" x14ac:dyDescent="0.25">
      <c r="A84" t="s">
        <v>71</v>
      </c>
      <c r="B84">
        <v>10</v>
      </c>
      <c r="C84" t="s">
        <v>21</v>
      </c>
      <c r="D84" t="s">
        <v>94</v>
      </c>
      <c r="E84" t="s">
        <v>120</v>
      </c>
      <c r="F84" t="s">
        <v>102</v>
      </c>
      <c r="G84">
        <v>-6.8666666669999996</v>
      </c>
      <c r="H84">
        <v>13.133333329999999</v>
      </c>
      <c r="I84">
        <v>14.9</v>
      </c>
      <c r="J84">
        <v>6.266666667</v>
      </c>
    </row>
    <row r="85" spans="1:10" x14ac:dyDescent="0.25">
      <c r="A85" t="s">
        <v>71</v>
      </c>
      <c r="B85">
        <v>10</v>
      </c>
      <c r="C85" t="s">
        <v>21</v>
      </c>
      <c r="D85" t="s">
        <v>94</v>
      </c>
      <c r="E85" t="s">
        <v>120</v>
      </c>
      <c r="F85" t="s">
        <v>111</v>
      </c>
      <c r="G85">
        <v>-8.6666666669999994</v>
      </c>
      <c r="H85">
        <v>14.43333333</v>
      </c>
      <c r="I85">
        <v>15.733333330000001</v>
      </c>
      <c r="J85">
        <v>5.766666667</v>
      </c>
    </row>
    <row r="86" spans="1:10" x14ac:dyDescent="0.25">
      <c r="A86" t="s">
        <v>71</v>
      </c>
      <c r="B86">
        <v>10</v>
      </c>
      <c r="C86" t="s">
        <v>21</v>
      </c>
      <c r="D86" t="s">
        <v>94</v>
      </c>
      <c r="E86" t="s">
        <v>120</v>
      </c>
      <c r="F86" t="s">
        <v>104</v>
      </c>
      <c r="G86">
        <v>-5.9</v>
      </c>
      <c r="H86">
        <v>11.83333333</v>
      </c>
      <c r="I86">
        <v>16.899999999999999</v>
      </c>
      <c r="J86">
        <v>5.9333333330000002</v>
      </c>
    </row>
    <row r="87" spans="1:10" x14ac:dyDescent="0.25">
      <c r="A87" t="s">
        <v>72</v>
      </c>
      <c r="B87">
        <v>10</v>
      </c>
      <c r="C87" t="s">
        <v>23</v>
      </c>
      <c r="D87" t="s">
        <v>95</v>
      </c>
      <c r="E87" t="s">
        <v>120</v>
      </c>
      <c r="F87" t="s">
        <v>105</v>
      </c>
      <c r="G87">
        <v>-8.4</v>
      </c>
      <c r="H87">
        <v>17.233333330000001</v>
      </c>
      <c r="I87">
        <v>19.666666670000001</v>
      </c>
      <c r="J87">
        <v>8.8333333330000006</v>
      </c>
    </row>
    <row r="88" spans="1:10" x14ac:dyDescent="0.25">
      <c r="A88" t="s">
        <v>72</v>
      </c>
      <c r="B88">
        <v>10</v>
      </c>
      <c r="C88" t="s">
        <v>23</v>
      </c>
      <c r="D88" t="s">
        <v>95</v>
      </c>
      <c r="E88" t="s">
        <v>120</v>
      </c>
      <c r="F88" t="s">
        <v>111</v>
      </c>
      <c r="G88">
        <v>-8.4</v>
      </c>
      <c r="H88">
        <v>17.733333330000001</v>
      </c>
      <c r="I88">
        <v>19.333333329999999</v>
      </c>
      <c r="J88">
        <v>9.3333333330000006</v>
      </c>
    </row>
    <row r="89" spans="1:10" x14ac:dyDescent="0.25">
      <c r="A89" t="s">
        <v>72</v>
      </c>
      <c r="B89">
        <v>10</v>
      </c>
      <c r="C89" t="s">
        <v>23</v>
      </c>
      <c r="D89" t="s">
        <v>95</v>
      </c>
      <c r="E89" t="s">
        <v>120</v>
      </c>
      <c r="F89" t="s">
        <v>104</v>
      </c>
      <c r="G89">
        <v>-7.233333333</v>
      </c>
      <c r="H89">
        <v>13</v>
      </c>
      <c r="I89">
        <v>14.43333333</v>
      </c>
      <c r="J89">
        <v>5.766666667</v>
      </c>
    </row>
    <row r="90" spans="1:10" x14ac:dyDescent="0.25">
      <c r="A90" t="s">
        <v>72</v>
      </c>
      <c r="B90">
        <v>10</v>
      </c>
      <c r="C90" t="s">
        <v>23</v>
      </c>
      <c r="D90" t="s">
        <v>95</v>
      </c>
      <c r="E90" t="s">
        <v>120</v>
      </c>
      <c r="F90" t="s">
        <v>112</v>
      </c>
      <c r="G90">
        <v>-6.8333333329999997</v>
      </c>
      <c r="H90">
        <v>14.9</v>
      </c>
      <c r="I90">
        <v>16.399999999999999</v>
      </c>
      <c r="J90">
        <v>8.0666666669999998</v>
      </c>
    </row>
    <row r="91" spans="1:10" x14ac:dyDescent="0.25">
      <c r="A91" t="s">
        <v>73</v>
      </c>
      <c r="B91">
        <v>10</v>
      </c>
      <c r="C91" t="s">
        <v>25</v>
      </c>
      <c r="D91" t="s">
        <v>94</v>
      </c>
      <c r="E91" t="s">
        <v>120</v>
      </c>
      <c r="F91" t="s">
        <v>105</v>
      </c>
      <c r="G91">
        <v>-6.8666666669999996</v>
      </c>
      <c r="H91">
        <v>12.633333329999999</v>
      </c>
      <c r="I91">
        <v>13.43333333</v>
      </c>
      <c r="J91">
        <v>5.766666667</v>
      </c>
    </row>
    <row r="92" spans="1:10" x14ac:dyDescent="0.25">
      <c r="A92" t="s">
        <v>73</v>
      </c>
      <c r="B92">
        <v>10</v>
      </c>
      <c r="C92" t="s">
        <v>25</v>
      </c>
      <c r="D92" t="s">
        <v>94</v>
      </c>
      <c r="E92" t="s">
        <v>120</v>
      </c>
      <c r="F92" t="s">
        <v>110</v>
      </c>
      <c r="G92">
        <v>-7.7</v>
      </c>
      <c r="H92">
        <v>13.43333333</v>
      </c>
      <c r="I92">
        <v>10.83333333</v>
      </c>
      <c r="J92">
        <v>5.733333333</v>
      </c>
    </row>
    <row r="93" spans="1:10" x14ac:dyDescent="0.25">
      <c r="A93" t="s">
        <v>73</v>
      </c>
      <c r="B93">
        <v>10</v>
      </c>
      <c r="C93" t="s">
        <v>25</v>
      </c>
      <c r="D93" t="s">
        <v>94</v>
      </c>
      <c r="E93" t="s">
        <v>120</v>
      </c>
      <c r="F93" t="s">
        <v>104</v>
      </c>
      <c r="G93">
        <v>-6.233333333</v>
      </c>
      <c r="H93">
        <v>12.16666667</v>
      </c>
      <c r="I93">
        <v>12.16666667</v>
      </c>
      <c r="J93">
        <v>5.9333333330000002</v>
      </c>
    </row>
    <row r="94" spans="1:10" x14ac:dyDescent="0.25">
      <c r="A94" t="s">
        <v>73</v>
      </c>
      <c r="B94">
        <v>10</v>
      </c>
      <c r="C94" t="s">
        <v>25</v>
      </c>
      <c r="D94" t="s">
        <v>94</v>
      </c>
      <c r="E94" t="s">
        <v>120</v>
      </c>
      <c r="F94" t="s">
        <v>112</v>
      </c>
      <c r="G94">
        <v>-8.8333333330000006</v>
      </c>
      <c r="H94">
        <v>14.1</v>
      </c>
      <c r="I94">
        <v>15.4</v>
      </c>
      <c r="J94">
        <v>5.266666667</v>
      </c>
    </row>
    <row r="95" spans="1:10" x14ac:dyDescent="0.25">
      <c r="A95" t="s">
        <v>74</v>
      </c>
      <c r="B95">
        <v>10</v>
      </c>
      <c r="C95" t="s">
        <v>27</v>
      </c>
      <c r="D95" t="s">
        <v>95</v>
      </c>
      <c r="E95" t="s">
        <v>120</v>
      </c>
      <c r="F95" t="s">
        <v>102</v>
      </c>
      <c r="G95">
        <v>-8.9666666670000001</v>
      </c>
      <c r="H95">
        <v>15.56666667</v>
      </c>
      <c r="I95">
        <v>18.866666670000001</v>
      </c>
      <c r="J95">
        <v>6.6</v>
      </c>
    </row>
    <row r="96" spans="1:10" x14ac:dyDescent="0.25">
      <c r="A96" t="s">
        <v>74</v>
      </c>
      <c r="B96">
        <v>10</v>
      </c>
      <c r="C96" t="s">
        <v>27</v>
      </c>
      <c r="D96" t="s">
        <v>95</v>
      </c>
      <c r="E96" t="s">
        <v>120</v>
      </c>
      <c r="F96" t="s">
        <v>113</v>
      </c>
      <c r="G96">
        <v>-9.0333333329999999</v>
      </c>
      <c r="H96">
        <v>17.399999999999999</v>
      </c>
      <c r="I96">
        <v>20.3</v>
      </c>
      <c r="J96">
        <v>8.3666666670000005</v>
      </c>
    </row>
    <row r="97" spans="1:10" x14ac:dyDescent="0.25">
      <c r="A97" t="s">
        <v>74</v>
      </c>
      <c r="B97">
        <v>10</v>
      </c>
      <c r="C97" t="s">
        <v>27</v>
      </c>
      <c r="D97" t="s">
        <v>95</v>
      </c>
      <c r="E97" t="s">
        <v>120</v>
      </c>
      <c r="F97" t="s">
        <v>103</v>
      </c>
      <c r="G97">
        <v>-8.6333333329999995</v>
      </c>
      <c r="H97">
        <v>15.733333330000001</v>
      </c>
      <c r="I97">
        <v>18.666666670000001</v>
      </c>
      <c r="J97">
        <v>7.1</v>
      </c>
    </row>
    <row r="98" spans="1:10" x14ac:dyDescent="0.25">
      <c r="A98" t="s">
        <v>75</v>
      </c>
      <c r="B98">
        <v>10</v>
      </c>
      <c r="C98" t="s">
        <v>29</v>
      </c>
      <c r="D98" t="s">
        <v>94</v>
      </c>
      <c r="E98" t="s">
        <v>120</v>
      </c>
      <c r="F98" t="s">
        <v>105</v>
      </c>
      <c r="G98">
        <v>-8.1666666669999994</v>
      </c>
      <c r="H98">
        <v>13.93333333</v>
      </c>
      <c r="I98">
        <v>16.899999999999999</v>
      </c>
      <c r="J98">
        <v>5.766666667</v>
      </c>
    </row>
    <row r="99" spans="1:10" x14ac:dyDescent="0.25">
      <c r="A99" t="s">
        <v>75</v>
      </c>
      <c r="B99">
        <v>10</v>
      </c>
      <c r="C99" t="s">
        <v>29</v>
      </c>
      <c r="D99" t="s">
        <v>94</v>
      </c>
      <c r="E99" t="s">
        <v>120</v>
      </c>
      <c r="F99" t="s">
        <v>110</v>
      </c>
      <c r="G99">
        <v>-8.4666666670000001</v>
      </c>
      <c r="H99">
        <v>13.9</v>
      </c>
      <c r="I99">
        <v>15.733333330000001</v>
      </c>
      <c r="J99">
        <v>5.4333333330000002</v>
      </c>
    </row>
    <row r="100" spans="1:10" x14ac:dyDescent="0.25">
      <c r="A100" t="s">
        <v>75</v>
      </c>
      <c r="B100">
        <v>10</v>
      </c>
      <c r="C100" t="s">
        <v>29</v>
      </c>
      <c r="D100" t="s">
        <v>94</v>
      </c>
      <c r="E100" t="s">
        <v>120</v>
      </c>
      <c r="F100" t="s">
        <v>103</v>
      </c>
      <c r="G100">
        <v>-7.0666666669999998</v>
      </c>
      <c r="H100">
        <v>11.66666667</v>
      </c>
      <c r="I100">
        <v>12.83333333</v>
      </c>
      <c r="J100">
        <v>4.5999999999999996</v>
      </c>
    </row>
    <row r="101" spans="1:10" x14ac:dyDescent="0.25">
      <c r="A101" t="s">
        <v>76</v>
      </c>
      <c r="B101">
        <v>10</v>
      </c>
      <c r="C101" t="s">
        <v>31</v>
      </c>
      <c r="D101" t="s">
        <v>94</v>
      </c>
      <c r="E101" t="s">
        <v>120</v>
      </c>
      <c r="F101" t="s">
        <v>113</v>
      </c>
      <c r="G101">
        <v>-7</v>
      </c>
      <c r="H101">
        <v>14.4</v>
      </c>
      <c r="I101">
        <v>17.899999999999999</v>
      </c>
      <c r="J101">
        <v>7.4</v>
      </c>
    </row>
    <row r="102" spans="1:10" x14ac:dyDescent="0.25">
      <c r="A102" t="s">
        <v>77</v>
      </c>
      <c r="B102">
        <v>10</v>
      </c>
      <c r="C102" t="s">
        <v>33</v>
      </c>
      <c r="D102" t="s">
        <v>94</v>
      </c>
      <c r="E102" t="s">
        <v>120</v>
      </c>
      <c r="F102" t="s">
        <v>102</v>
      </c>
      <c r="G102">
        <v>-9.9666666670000001</v>
      </c>
      <c r="H102">
        <v>15.56666667</v>
      </c>
      <c r="I102">
        <v>18.233333330000001</v>
      </c>
      <c r="J102">
        <v>5.6</v>
      </c>
    </row>
    <row r="103" spans="1:10" x14ac:dyDescent="0.25">
      <c r="A103" t="s">
        <v>77</v>
      </c>
      <c r="B103">
        <v>10</v>
      </c>
      <c r="C103" t="s">
        <v>33</v>
      </c>
      <c r="D103" t="s">
        <v>94</v>
      </c>
      <c r="E103" t="s">
        <v>120</v>
      </c>
      <c r="F103" t="s">
        <v>110</v>
      </c>
      <c r="G103">
        <v>-10.16666667</v>
      </c>
      <c r="H103">
        <v>13.3</v>
      </c>
      <c r="I103">
        <v>15.266666669999999</v>
      </c>
      <c r="J103">
        <v>3.1333333329999999</v>
      </c>
    </row>
    <row r="104" spans="1:10" x14ac:dyDescent="0.25">
      <c r="A104" t="s">
        <v>78</v>
      </c>
      <c r="B104">
        <v>10</v>
      </c>
      <c r="C104" t="s">
        <v>35</v>
      </c>
      <c r="D104" t="s">
        <v>94</v>
      </c>
      <c r="E104" t="s">
        <v>120</v>
      </c>
      <c r="F104" t="s">
        <v>111</v>
      </c>
      <c r="G104">
        <v>-9.6666666669999994</v>
      </c>
      <c r="H104">
        <v>17.06666667</v>
      </c>
      <c r="I104">
        <v>19</v>
      </c>
      <c r="J104">
        <v>7.4</v>
      </c>
    </row>
    <row r="105" spans="1:10" x14ac:dyDescent="0.25">
      <c r="A105" t="s">
        <v>50</v>
      </c>
      <c r="B105">
        <v>12</v>
      </c>
      <c r="C105" t="s">
        <v>11</v>
      </c>
      <c r="D105" t="s">
        <v>95</v>
      </c>
      <c r="E105" t="s">
        <v>120</v>
      </c>
      <c r="F105" t="s">
        <v>113</v>
      </c>
      <c r="G105">
        <v>-7.733333333</v>
      </c>
      <c r="H105">
        <v>16.399999999999999</v>
      </c>
      <c r="I105">
        <v>17.233333330000001</v>
      </c>
      <c r="J105">
        <v>8.6666666669999994</v>
      </c>
    </row>
    <row r="106" spans="1:10" x14ac:dyDescent="0.25">
      <c r="A106" t="s">
        <v>50</v>
      </c>
      <c r="B106">
        <v>12</v>
      </c>
      <c r="C106" t="s">
        <v>11</v>
      </c>
      <c r="D106" t="s">
        <v>95</v>
      </c>
      <c r="E106" t="s">
        <v>120</v>
      </c>
      <c r="F106" t="s">
        <v>103</v>
      </c>
      <c r="G106">
        <v>-7.2</v>
      </c>
      <c r="H106">
        <v>16.56666667</v>
      </c>
      <c r="I106">
        <v>18.2</v>
      </c>
      <c r="J106">
        <v>9.3666666670000005</v>
      </c>
    </row>
    <row r="107" spans="1:10" x14ac:dyDescent="0.25">
      <c r="A107" t="s">
        <v>50</v>
      </c>
      <c r="B107">
        <v>12</v>
      </c>
      <c r="C107" t="s">
        <v>11</v>
      </c>
      <c r="D107" t="s">
        <v>95</v>
      </c>
      <c r="E107" t="s">
        <v>120</v>
      </c>
      <c r="F107" t="s">
        <v>111</v>
      </c>
      <c r="G107">
        <v>-8.9</v>
      </c>
      <c r="H107">
        <v>17.56666667</v>
      </c>
      <c r="I107">
        <v>18.43333333</v>
      </c>
      <c r="J107">
        <v>8.6666666669999994</v>
      </c>
    </row>
    <row r="108" spans="1:10" x14ac:dyDescent="0.25">
      <c r="A108" t="s">
        <v>50</v>
      </c>
      <c r="B108">
        <v>12</v>
      </c>
      <c r="C108" t="s">
        <v>11</v>
      </c>
      <c r="D108" t="s">
        <v>95</v>
      </c>
      <c r="E108" t="s">
        <v>120</v>
      </c>
      <c r="F108" t="s">
        <v>104</v>
      </c>
      <c r="G108">
        <v>-7.1666666670000003</v>
      </c>
      <c r="H108">
        <v>13.93333333</v>
      </c>
      <c r="I108">
        <v>15.06666667</v>
      </c>
      <c r="J108">
        <v>6.766666667</v>
      </c>
    </row>
    <row r="109" spans="1:10" x14ac:dyDescent="0.25">
      <c r="A109" t="s">
        <v>51</v>
      </c>
      <c r="B109">
        <v>12</v>
      </c>
      <c r="C109" t="s">
        <v>15</v>
      </c>
      <c r="D109" t="s">
        <v>94</v>
      </c>
      <c r="E109" t="s">
        <v>120</v>
      </c>
      <c r="F109" t="s">
        <v>105</v>
      </c>
      <c r="G109">
        <v>-11.6</v>
      </c>
      <c r="H109">
        <v>17.866666670000001</v>
      </c>
      <c r="I109">
        <v>17.06666667</v>
      </c>
      <c r="J109">
        <v>6.266666667</v>
      </c>
    </row>
    <row r="110" spans="1:10" x14ac:dyDescent="0.25">
      <c r="A110" t="s">
        <v>51</v>
      </c>
      <c r="B110">
        <v>12</v>
      </c>
      <c r="C110" t="s">
        <v>15</v>
      </c>
      <c r="D110" t="s">
        <v>94</v>
      </c>
      <c r="E110" t="s">
        <v>120</v>
      </c>
      <c r="F110" t="s">
        <v>111</v>
      </c>
      <c r="G110">
        <v>-8</v>
      </c>
      <c r="H110">
        <v>14.266666669999999</v>
      </c>
      <c r="I110">
        <v>12.633333329999999</v>
      </c>
      <c r="J110">
        <v>6.266666667</v>
      </c>
    </row>
    <row r="111" spans="1:10" x14ac:dyDescent="0.25">
      <c r="A111" t="s">
        <v>51</v>
      </c>
      <c r="B111">
        <v>12</v>
      </c>
      <c r="C111" t="s">
        <v>15</v>
      </c>
      <c r="D111" t="s">
        <v>94</v>
      </c>
      <c r="E111" t="s">
        <v>120</v>
      </c>
      <c r="F111" t="s">
        <v>112</v>
      </c>
      <c r="G111">
        <v>-4.7</v>
      </c>
      <c r="H111">
        <v>11.96666667</v>
      </c>
      <c r="I111">
        <v>17.533333330000001</v>
      </c>
      <c r="J111">
        <v>7.266666667</v>
      </c>
    </row>
    <row r="112" spans="1:10" x14ac:dyDescent="0.25">
      <c r="A112" t="s">
        <v>52</v>
      </c>
      <c r="B112">
        <v>12</v>
      </c>
      <c r="C112" t="s">
        <v>17</v>
      </c>
      <c r="D112" t="s">
        <v>95</v>
      </c>
      <c r="E112" t="s">
        <v>120</v>
      </c>
      <c r="F112" t="s">
        <v>102</v>
      </c>
      <c r="G112">
        <v>-9.8333333330000006</v>
      </c>
      <c r="H112">
        <v>16.733333330000001</v>
      </c>
      <c r="I112">
        <v>16.733333330000001</v>
      </c>
      <c r="J112">
        <v>6.9</v>
      </c>
    </row>
    <row r="113" spans="1:10" x14ac:dyDescent="0.25">
      <c r="A113" t="s">
        <v>52</v>
      </c>
      <c r="B113">
        <v>12</v>
      </c>
      <c r="C113" t="s">
        <v>17</v>
      </c>
      <c r="D113" t="s">
        <v>95</v>
      </c>
      <c r="E113" t="s">
        <v>120</v>
      </c>
      <c r="F113" t="s">
        <v>103</v>
      </c>
      <c r="G113">
        <v>-11.3</v>
      </c>
      <c r="H113">
        <v>17.899999999999999</v>
      </c>
      <c r="I113">
        <v>16.899999999999999</v>
      </c>
      <c r="J113">
        <v>6.6</v>
      </c>
    </row>
    <row r="114" spans="1:10" x14ac:dyDescent="0.25">
      <c r="A114" t="s">
        <v>52</v>
      </c>
      <c r="B114">
        <v>12</v>
      </c>
      <c r="C114" t="s">
        <v>17</v>
      </c>
      <c r="D114" t="s">
        <v>95</v>
      </c>
      <c r="E114" t="s">
        <v>120</v>
      </c>
      <c r="F114" t="s">
        <v>111</v>
      </c>
      <c r="G114">
        <v>-11.3</v>
      </c>
      <c r="H114">
        <v>17.733333330000001</v>
      </c>
      <c r="I114">
        <v>18.833333329999999</v>
      </c>
      <c r="J114">
        <v>6.4333333330000002</v>
      </c>
    </row>
    <row r="115" spans="1:10" x14ac:dyDescent="0.25">
      <c r="A115" t="s">
        <v>52</v>
      </c>
      <c r="B115">
        <v>12</v>
      </c>
      <c r="C115" t="s">
        <v>17</v>
      </c>
      <c r="D115" t="s">
        <v>95</v>
      </c>
      <c r="E115" t="s">
        <v>120</v>
      </c>
      <c r="F115" t="s">
        <v>112</v>
      </c>
      <c r="G115">
        <v>-5.9</v>
      </c>
      <c r="H115">
        <v>13</v>
      </c>
      <c r="I115">
        <v>15.766666669999999</v>
      </c>
      <c r="J115">
        <v>7.1</v>
      </c>
    </row>
    <row r="116" spans="1:10" x14ac:dyDescent="0.25">
      <c r="A116" t="s">
        <v>53</v>
      </c>
      <c r="B116">
        <v>12</v>
      </c>
      <c r="C116" t="s">
        <v>19</v>
      </c>
      <c r="D116" t="s">
        <v>94</v>
      </c>
      <c r="E116" t="s">
        <v>120</v>
      </c>
      <c r="F116" t="s">
        <v>102</v>
      </c>
      <c r="G116">
        <v>-10.8</v>
      </c>
      <c r="H116">
        <v>17.233333330000001</v>
      </c>
      <c r="I116">
        <v>18.533333330000001</v>
      </c>
      <c r="J116">
        <v>6.4333333330000002</v>
      </c>
    </row>
    <row r="117" spans="1:10" x14ac:dyDescent="0.25">
      <c r="A117" t="s">
        <v>53</v>
      </c>
      <c r="B117">
        <v>12</v>
      </c>
      <c r="C117" t="s">
        <v>19</v>
      </c>
      <c r="D117" t="s">
        <v>94</v>
      </c>
      <c r="E117" t="s">
        <v>120</v>
      </c>
      <c r="F117" t="s">
        <v>113</v>
      </c>
      <c r="G117">
        <v>-9.6333333329999995</v>
      </c>
      <c r="H117">
        <v>15.9</v>
      </c>
      <c r="I117">
        <v>16.899999999999999</v>
      </c>
      <c r="J117">
        <v>6.266666667</v>
      </c>
    </row>
    <row r="118" spans="1:10" x14ac:dyDescent="0.25">
      <c r="A118" t="s">
        <v>53</v>
      </c>
      <c r="B118">
        <v>12</v>
      </c>
      <c r="C118" t="s">
        <v>19</v>
      </c>
      <c r="D118" t="s">
        <v>94</v>
      </c>
      <c r="E118" t="s">
        <v>120</v>
      </c>
      <c r="F118" t="s">
        <v>103</v>
      </c>
      <c r="G118">
        <v>-10.96666667</v>
      </c>
      <c r="H118">
        <v>17.733333330000001</v>
      </c>
      <c r="I118">
        <v>17.399999999999999</v>
      </c>
      <c r="J118">
        <v>6.766666667</v>
      </c>
    </row>
    <row r="119" spans="1:10" x14ac:dyDescent="0.25">
      <c r="A119" t="s">
        <v>53</v>
      </c>
      <c r="B119">
        <v>12</v>
      </c>
      <c r="C119" t="s">
        <v>19</v>
      </c>
      <c r="D119" t="s">
        <v>94</v>
      </c>
      <c r="E119" t="s">
        <v>120</v>
      </c>
      <c r="F119" t="s">
        <v>112</v>
      </c>
      <c r="G119">
        <v>-10.3</v>
      </c>
      <c r="H119">
        <v>16.733333330000001</v>
      </c>
      <c r="I119">
        <v>17.733333330000001</v>
      </c>
      <c r="J119">
        <v>6.4333333330000002</v>
      </c>
    </row>
    <row r="120" spans="1:10" x14ac:dyDescent="0.25">
      <c r="A120" t="s">
        <v>54</v>
      </c>
      <c r="B120">
        <v>12</v>
      </c>
      <c r="C120" t="s">
        <v>21</v>
      </c>
      <c r="D120" t="s">
        <v>95</v>
      </c>
      <c r="E120" t="s">
        <v>120</v>
      </c>
      <c r="F120" t="s">
        <v>113</v>
      </c>
      <c r="G120">
        <v>-8.9333333330000002</v>
      </c>
      <c r="H120">
        <v>14.43333333</v>
      </c>
      <c r="I120">
        <v>15.4</v>
      </c>
      <c r="J120">
        <v>5.5</v>
      </c>
    </row>
    <row r="121" spans="1:10" x14ac:dyDescent="0.25">
      <c r="A121" t="s">
        <v>54</v>
      </c>
      <c r="B121">
        <v>12</v>
      </c>
      <c r="C121" t="s">
        <v>21</v>
      </c>
      <c r="D121" t="s">
        <v>95</v>
      </c>
      <c r="E121" t="s">
        <v>120</v>
      </c>
      <c r="F121" t="s">
        <v>110</v>
      </c>
      <c r="G121">
        <v>-9.0333333329999999</v>
      </c>
      <c r="H121">
        <v>14.766666669999999</v>
      </c>
      <c r="I121">
        <v>17.56666667</v>
      </c>
      <c r="J121">
        <v>5.733333333</v>
      </c>
    </row>
    <row r="122" spans="1:10" x14ac:dyDescent="0.25">
      <c r="A122" t="s">
        <v>54</v>
      </c>
      <c r="B122">
        <v>12</v>
      </c>
      <c r="C122" t="s">
        <v>21</v>
      </c>
      <c r="D122" t="s">
        <v>95</v>
      </c>
      <c r="E122" t="s">
        <v>120</v>
      </c>
      <c r="F122" t="s">
        <v>111</v>
      </c>
      <c r="G122">
        <v>-9.1666666669999994</v>
      </c>
      <c r="H122">
        <v>16.06666667</v>
      </c>
      <c r="I122">
        <v>17.899999999999999</v>
      </c>
      <c r="J122">
        <v>6.9</v>
      </c>
    </row>
    <row r="123" spans="1:10" x14ac:dyDescent="0.25">
      <c r="A123" t="s">
        <v>55</v>
      </c>
      <c r="B123">
        <v>12</v>
      </c>
      <c r="C123" t="s">
        <v>23</v>
      </c>
      <c r="D123" t="s">
        <v>94</v>
      </c>
      <c r="E123" t="s">
        <v>120</v>
      </c>
      <c r="F123" t="s">
        <v>113</v>
      </c>
      <c r="G123">
        <v>-10.83333333</v>
      </c>
      <c r="H123">
        <v>21.166666670000001</v>
      </c>
      <c r="I123">
        <v>23.766666669999999</v>
      </c>
      <c r="J123">
        <v>10.33333333</v>
      </c>
    </row>
    <row r="124" spans="1:10" x14ac:dyDescent="0.25">
      <c r="A124" t="s">
        <v>55</v>
      </c>
      <c r="B124">
        <v>12</v>
      </c>
      <c r="C124" t="s">
        <v>23</v>
      </c>
      <c r="D124" t="s">
        <v>94</v>
      </c>
      <c r="E124" t="s">
        <v>120</v>
      </c>
      <c r="F124" t="s">
        <v>110</v>
      </c>
      <c r="G124">
        <v>-12.9</v>
      </c>
      <c r="H124">
        <v>20.633333329999999</v>
      </c>
      <c r="I124">
        <v>20.633333329999999</v>
      </c>
      <c r="J124">
        <v>7.733333333</v>
      </c>
    </row>
    <row r="125" spans="1:10" x14ac:dyDescent="0.25">
      <c r="A125" t="s">
        <v>55</v>
      </c>
      <c r="B125">
        <v>12</v>
      </c>
      <c r="C125" t="s">
        <v>23</v>
      </c>
      <c r="D125" t="s">
        <v>94</v>
      </c>
      <c r="E125" t="s">
        <v>120</v>
      </c>
      <c r="F125" t="s">
        <v>103</v>
      </c>
      <c r="G125">
        <v>-11.16666667</v>
      </c>
      <c r="H125">
        <v>19.833333329999999</v>
      </c>
      <c r="I125">
        <v>21.3</v>
      </c>
      <c r="J125">
        <v>8.6666666669999994</v>
      </c>
    </row>
    <row r="126" spans="1:10" x14ac:dyDescent="0.25">
      <c r="A126" t="s">
        <v>55</v>
      </c>
      <c r="B126">
        <v>12</v>
      </c>
      <c r="C126" t="s">
        <v>23</v>
      </c>
      <c r="D126" t="s">
        <v>94</v>
      </c>
      <c r="E126" t="s">
        <v>120</v>
      </c>
      <c r="F126" t="s">
        <v>111</v>
      </c>
      <c r="G126">
        <v>-10.3</v>
      </c>
      <c r="H126">
        <v>20.3</v>
      </c>
      <c r="I126">
        <v>20.666666670000001</v>
      </c>
      <c r="J126">
        <v>10</v>
      </c>
    </row>
    <row r="127" spans="1:10" x14ac:dyDescent="0.25">
      <c r="A127" t="s">
        <v>56</v>
      </c>
      <c r="B127">
        <v>12</v>
      </c>
      <c r="C127" t="s">
        <v>25</v>
      </c>
      <c r="D127" t="s">
        <v>94</v>
      </c>
      <c r="E127" t="s">
        <v>120</v>
      </c>
      <c r="F127" t="s">
        <v>113</v>
      </c>
      <c r="G127">
        <v>-8.3000000000000007</v>
      </c>
      <c r="H127">
        <v>15.733333330000001</v>
      </c>
      <c r="I127">
        <v>13.6</v>
      </c>
      <c r="J127">
        <v>7.4333333330000002</v>
      </c>
    </row>
    <row r="128" spans="1:10" x14ac:dyDescent="0.25">
      <c r="A128" t="s">
        <v>56</v>
      </c>
      <c r="B128">
        <v>12</v>
      </c>
      <c r="C128" t="s">
        <v>25</v>
      </c>
      <c r="D128" t="s">
        <v>94</v>
      </c>
      <c r="E128" t="s">
        <v>120</v>
      </c>
      <c r="F128" t="s">
        <v>111</v>
      </c>
      <c r="G128">
        <v>-6.0666666669999998</v>
      </c>
      <c r="H128">
        <v>11.83333333</v>
      </c>
      <c r="I128">
        <v>12.633333329999999</v>
      </c>
      <c r="J128">
        <v>5.766666667</v>
      </c>
    </row>
    <row r="129" spans="1:10" x14ac:dyDescent="0.25">
      <c r="A129" t="s">
        <v>56</v>
      </c>
      <c r="B129">
        <v>12</v>
      </c>
      <c r="C129" t="s">
        <v>25</v>
      </c>
      <c r="D129" t="s">
        <v>94</v>
      </c>
      <c r="E129" t="s">
        <v>120</v>
      </c>
      <c r="F129" t="s">
        <v>104</v>
      </c>
      <c r="G129">
        <v>-5.9</v>
      </c>
      <c r="H129">
        <v>12</v>
      </c>
      <c r="I129">
        <v>14.6</v>
      </c>
      <c r="J129">
        <v>6.1</v>
      </c>
    </row>
    <row r="130" spans="1:10" x14ac:dyDescent="0.25">
      <c r="A130" t="s">
        <v>56</v>
      </c>
      <c r="B130">
        <v>12</v>
      </c>
      <c r="C130" t="s">
        <v>25</v>
      </c>
      <c r="D130" t="s">
        <v>94</v>
      </c>
      <c r="E130" t="s">
        <v>120</v>
      </c>
      <c r="F130" t="s">
        <v>112</v>
      </c>
      <c r="G130">
        <v>-7.5333333329999999</v>
      </c>
      <c r="H130">
        <v>13.3</v>
      </c>
      <c r="I130">
        <v>12.96666667</v>
      </c>
      <c r="J130">
        <v>5.766666667</v>
      </c>
    </row>
    <row r="131" spans="1:10" x14ac:dyDescent="0.25">
      <c r="A131" t="s">
        <v>57</v>
      </c>
      <c r="B131">
        <v>12</v>
      </c>
      <c r="C131" t="s">
        <v>27</v>
      </c>
      <c r="D131" t="s">
        <v>94</v>
      </c>
      <c r="E131" t="s">
        <v>120</v>
      </c>
      <c r="F131" t="s">
        <v>105</v>
      </c>
      <c r="G131">
        <v>-5.9</v>
      </c>
      <c r="H131">
        <v>10.83333333</v>
      </c>
      <c r="I131">
        <v>10.66666667</v>
      </c>
      <c r="J131">
        <v>4.9333333330000002</v>
      </c>
    </row>
    <row r="132" spans="1:10" x14ac:dyDescent="0.25">
      <c r="A132" t="s">
        <v>57</v>
      </c>
      <c r="B132">
        <v>12</v>
      </c>
      <c r="C132" t="s">
        <v>27</v>
      </c>
      <c r="D132" t="s">
        <v>94</v>
      </c>
      <c r="E132" t="s">
        <v>120</v>
      </c>
      <c r="F132" t="s">
        <v>113</v>
      </c>
      <c r="G132" t="s">
        <v>114</v>
      </c>
      <c r="H132" t="s">
        <v>114</v>
      </c>
      <c r="I132">
        <v>11</v>
      </c>
      <c r="J132">
        <v>6.266666667</v>
      </c>
    </row>
    <row r="133" spans="1:10" x14ac:dyDescent="0.25">
      <c r="A133" t="s">
        <v>57</v>
      </c>
      <c r="B133">
        <v>12</v>
      </c>
      <c r="C133" t="s">
        <v>27</v>
      </c>
      <c r="D133" t="s">
        <v>94</v>
      </c>
      <c r="E133" t="s">
        <v>120</v>
      </c>
      <c r="F133" t="s">
        <v>112</v>
      </c>
      <c r="G133">
        <v>-4.233333333</v>
      </c>
      <c r="H133">
        <v>10.33333333</v>
      </c>
      <c r="I133">
        <v>12</v>
      </c>
      <c r="J133">
        <v>6.1</v>
      </c>
    </row>
    <row r="134" spans="1:10" x14ac:dyDescent="0.25">
      <c r="A134" t="s">
        <v>58</v>
      </c>
      <c r="B134">
        <v>12</v>
      </c>
      <c r="C134" t="s">
        <v>29</v>
      </c>
      <c r="D134" t="s">
        <v>95</v>
      </c>
      <c r="E134" t="s">
        <v>120</v>
      </c>
      <c r="F134" t="s">
        <v>102</v>
      </c>
      <c r="G134">
        <v>-8.6666666669999994</v>
      </c>
      <c r="H134">
        <v>13.6</v>
      </c>
      <c r="I134">
        <v>15.06666667</v>
      </c>
      <c r="J134">
        <v>4.9333333330000002</v>
      </c>
    </row>
    <row r="135" spans="1:10" x14ac:dyDescent="0.25">
      <c r="A135" t="s">
        <v>58</v>
      </c>
      <c r="B135">
        <v>12</v>
      </c>
      <c r="C135" t="s">
        <v>29</v>
      </c>
      <c r="D135" t="s">
        <v>95</v>
      </c>
      <c r="E135" t="s">
        <v>120</v>
      </c>
      <c r="F135" t="s">
        <v>110</v>
      </c>
      <c r="G135">
        <v>-8.5666666669999998</v>
      </c>
      <c r="H135">
        <v>12.96666667</v>
      </c>
      <c r="I135">
        <v>14.6</v>
      </c>
      <c r="J135">
        <v>4.4000000000000004</v>
      </c>
    </row>
    <row r="136" spans="1:10" x14ac:dyDescent="0.25">
      <c r="A136" t="s">
        <v>58</v>
      </c>
      <c r="B136">
        <v>12</v>
      </c>
      <c r="C136" t="s">
        <v>29</v>
      </c>
      <c r="D136" t="s">
        <v>95</v>
      </c>
      <c r="E136" t="s">
        <v>120</v>
      </c>
      <c r="F136" t="s">
        <v>103</v>
      </c>
      <c r="G136">
        <v>-6.9</v>
      </c>
      <c r="H136">
        <v>12.16666667</v>
      </c>
      <c r="I136">
        <v>13.8</v>
      </c>
      <c r="J136">
        <v>5.266666667</v>
      </c>
    </row>
    <row r="137" spans="1:10" x14ac:dyDescent="0.25">
      <c r="A137" t="s">
        <v>59</v>
      </c>
      <c r="B137">
        <v>12</v>
      </c>
      <c r="C137" t="s">
        <v>31</v>
      </c>
      <c r="D137" t="s">
        <v>94</v>
      </c>
      <c r="E137" t="s">
        <v>120</v>
      </c>
      <c r="F137" t="s">
        <v>105</v>
      </c>
      <c r="G137">
        <v>-10.8</v>
      </c>
      <c r="H137">
        <v>16.899999999999999</v>
      </c>
      <c r="I137">
        <v>17.866666670000001</v>
      </c>
      <c r="J137">
        <v>6.1</v>
      </c>
    </row>
    <row r="138" spans="1:10" x14ac:dyDescent="0.25">
      <c r="A138" t="s">
        <v>59</v>
      </c>
      <c r="B138">
        <v>12</v>
      </c>
      <c r="C138" t="s">
        <v>31</v>
      </c>
      <c r="D138" t="s">
        <v>94</v>
      </c>
      <c r="E138" t="s">
        <v>120</v>
      </c>
      <c r="F138" t="s">
        <v>110</v>
      </c>
      <c r="G138">
        <v>-11.46666667</v>
      </c>
      <c r="H138">
        <v>16.899999999999999</v>
      </c>
      <c r="I138">
        <v>16.733333330000001</v>
      </c>
      <c r="J138">
        <v>5.4333333330000002</v>
      </c>
    </row>
    <row r="139" spans="1:10" x14ac:dyDescent="0.25">
      <c r="A139" t="s">
        <v>60</v>
      </c>
      <c r="B139">
        <v>12</v>
      </c>
      <c r="C139" t="s">
        <v>33</v>
      </c>
      <c r="D139" t="s">
        <v>95</v>
      </c>
      <c r="E139" t="s">
        <v>120</v>
      </c>
      <c r="F139" t="s">
        <v>102</v>
      </c>
      <c r="G139">
        <v>-7.9</v>
      </c>
      <c r="H139">
        <v>12.83333333</v>
      </c>
      <c r="I139">
        <v>14.266666669999999</v>
      </c>
      <c r="J139">
        <v>4.9333333330000002</v>
      </c>
    </row>
    <row r="140" spans="1:10" x14ac:dyDescent="0.25">
      <c r="A140" t="s">
        <v>60</v>
      </c>
      <c r="B140">
        <v>12</v>
      </c>
      <c r="C140" t="s">
        <v>33</v>
      </c>
      <c r="D140" t="s">
        <v>95</v>
      </c>
      <c r="E140" t="s">
        <v>120</v>
      </c>
      <c r="F140" t="s">
        <v>110</v>
      </c>
      <c r="G140">
        <v>-6.9</v>
      </c>
      <c r="H140">
        <v>11.83333333</v>
      </c>
      <c r="I140">
        <v>14.6</v>
      </c>
      <c r="J140">
        <v>4.9333333330000002</v>
      </c>
    </row>
    <row r="141" spans="1:10" x14ac:dyDescent="0.25">
      <c r="A141" t="s">
        <v>60</v>
      </c>
      <c r="B141">
        <v>12</v>
      </c>
      <c r="C141" t="s">
        <v>33</v>
      </c>
      <c r="D141" t="s">
        <v>95</v>
      </c>
      <c r="E141" t="s">
        <v>120</v>
      </c>
      <c r="F141" t="s">
        <v>104</v>
      </c>
      <c r="G141" t="s">
        <v>114</v>
      </c>
      <c r="H141" t="s">
        <v>114</v>
      </c>
      <c r="I141">
        <v>14.6</v>
      </c>
      <c r="J141">
        <v>5.766666667</v>
      </c>
    </row>
    <row r="142" spans="1:10" x14ac:dyDescent="0.25">
      <c r="A142" t="s">
        <v>60</v>
      </c>
      <c r="B142">
        <v>12</v>
      </c>
      <c r="C142" t="s">
        <v>33</v>
      </c>
      <c r="D142" t="s">
        <v>95</v>
      </c>
      <c r="E142" t="s">
        <v>120</v>
      </c>
      <c r="F142" t="s">
        <v>112</v>
      </c>
      <c r="G142">
        <v>-6.7</v>
      </c>
      <c r="H142">
        <v>13.46666667</v>
      </c>
      <c r="I142">
        <v>16.06666667</v>
      </c>
      <c r="J142">
        <v>6.766666667</v>
      </c>
    </row>
    <row r="143" spans="1:10" x14ac:dyDescent="0.25">
      <c r="A143" t="s">
        <v>61</v>
      </c>
      <c r="B143">
        <v>12</v>
      </c>
      <c r="C143" t="s">
        <v>35</v>
      </c>
      <c r="D143" t="s">
        <v>94</v>
      </c>
      <c r="E143" t="s">
        <v>120</v>
      </c>
      <c r="F143" t="s">
        <v>102</v>
      </c>
      <c r="G143">
        <v>-8.0333333329999999</v>
      </c>
      <c r="H143">
        <v>14.133333329999999</v>
      </c>
      <c r="I143">
        <v>16.56666667</v>
      </c>
      <c r="J143">
        <v>6.1</v>
      </c>
    </row>
    <row r="144" spans="1:10" x14ac:dyDescent="0.25">
      <c r="A144" t="s">
        <v>61</v>
      </c>
      <c r="B144">
        <v>12</v>
      </c>
      <c r="C144" t="s">
        <v>35</v>
      </c>
      <c r="D144" t="s">
        <v>94</v>
      </c>
      <c r="E144" t="s">
        <v>120</v>
      </c>
      <c r="F144" t="s">
        <v>110</v>
      </c>
      <c r="G144">
        <v>-6.3666666669999996</v>
      </c>
      <c r="H144">
        <v>12.633333329999999</v>
      </c>
      <c r="I144">
        <v>18.833333329999999</v>
      </c>
      <c r="J144">
        <v>6.266666667</v>
      </c>
    </row>
    <row r="145" spans="1:10" x14ac:dyDescent="0.25">
      <c r="A145" t="s">
        <v>61</v>
      </c>
      <c r="B145">
        <v>12</v>
      </c>
      <c r="C145" t="s">
        <v>35</v>
      </c>
      <c r="D145" t="s">
        <v>94</v>
      </c>
      <c r="E145" t="s">
        <v>120</v>
      </c>
      <c r="F145" t="s">
        <v>112</v>
      </c>
      <c r="G145">
        <v>-17.5</v>
      </c>
      <c r="H145">
        <v>23.6</v>
      </c>
      <c r="I145">
        <v>21.466666669999999</v>
      </c>
      <c r="J145">
        <v>6.1</v>
      </c>
    </row>
    <row r="146" spans="1:10" x14ac:dyDescent="0.25">
      <c r="A146" t="s">
        <v>62</v>
      </c>
      <c r="B146">
        <v>12</v>
      </c>
      <c r="C146" t="s">
        <v>37</v>
      </c>
      <c r="D146" t="s">
        <v>95</v>
      </c>
      <c r="E146" t="s">
        <v>120</v>
      </c>
      <c r="F146" t="s">
        <v>102</v>
      </c>
      <c r="G146">
        <v>-8.3333333330000006</v>
      </c>
      <c r="H146">
        <v>16.399999999999999</v>
      </c>
      <c r="I146">
        <v>14.43333333</v>
      </c>
      <c r="J146">
        <v>8.0666666669999998</v>
      </c>
    </row>
    <row r="147" spans="1:10" x14ac:dyDescent="0.25">
      <c r="A147" t="s">
        <v>62</v>
      </c>
      <c r="B147">
        <v>12</v>
      </c>
      <c r="C147" t="s">
        <v>37</v>
      </c>
      <c r="D147" t="s">
        <v>95</v>
      </c>
      <c r="E147" t="s">
        <v>120</v>
      </c>
      <c r="F147" t="s">
        <v>103</v>
      </c>
      <c r="G147">
        <v>-6.0333333329999999</v>
      </c>
      <c r="H147">
        <v>12.8</v>
      </c>
      <c r="I147">
        <v>13.93333333</v>
      </c>
      <c r="J147">
        <v>6.766666667</v>
      </c>
    </row>
    <row r="148" spans="1:10" x14ac:dyDescent="0.25">
      <c r="A148" t="s">
        <v>63</v>
      </c>
      <c r="B148">
        <v>12</v>
      </c>
      <c r="C148" t="s">
        <v>64</v>
      </c>
      <c r="D148" t="s">
        <v>94</v>
      </c>
      <c r="E148" t="s">
        <v>120</v>
      </c>
      <c r="F148" t="s">
        <v>104</v>
      </c>
      <c r="G148">
        <v>-7.6666666670000003</v>
      </c>
      <c r="H148">
        <v>15.1</v>
      </c>
      <c r="I148">
        <v>14.4</v>
      </c>
      <c r="J148">
        <v>7.4333333330000002</v>
      </c>
    </row>
    <row r="149" spans="1:10" x14ac:dyDescent="0.25">
      <c r="A149" t="s">
        <v>65</v>
      </c>
      <c r="B149">
        <v>12</v>
      </c>
      <c r="C149" t="s">
        <v>66</v>
      </c>
      <c r="D149" t="s">
        <v>95</v>
      </c>
      <c r="E149" t="s">
        <v>120</v>
      </c>
      <c r="F149" t="s">
        <v>105</v>
      </c>
      <c r="G149">
        <v>-12.4</v>
      </c>
      <c r="H149">
        <v>20.633333329999999</v>
      </c>
      <c r="I149">
        <v>23.766666669999999</v>
      </c>
      <c r="J149">
        <v>8.2333333329999991</v>
      </c>
    </row>
    <row r="150" spans="1:10" x14ac:dyDescent="0.25">
      <c r="A150" t="s">
        <v>10</v>
      </c>
      <c r="B150">
        <v>15</v>
      </c>
      <c r="C150" t="s">
        <v>11</v>
      </c>
      <c r="D150" t="s">
        <v>94</v>
      </c>
      <c r="E150" t="s">
        <v>120</v>
      </c>
      <c r="F150" t="s">
        <v>102</v>
      </c>
      <c r="G150">
        <v>-11.3</v>
      </c>
      <c r="H150">
        <v>21.3</v>
      </c>
      <c r="I150">
        <v>24.9</v>
      </c>
      <c r="J150">
        <v>10</v>
      </c>
    </row>
    <row r="151" spans="1:10" x14ac:dyDescent="0.25">
      <c r="A151" t="s">
        <v>10</v>
      </c>
      <c r="B151">
        <v>15</v>
      </c>
      <c r="C151" t="s">
        <v>11</v>
      </c>
      <c r="D151" t="s">
        <v>94</v>
      </c>
      <c r="E151" t="s">
        <v>120</v>
      </c>
      <c r="F151" t="s">
        <v>105</v>
      </c>
      <c r="G151">
        <v>-8.8666666670000005</v>
      </c>
      <c r="H151">
        <v>17.06666667</v>
      </c>
      <c r="I151">
        <v>21.8</v>
      </c>
      <c r="J151">
        <v>8.1999999999999993</v>
      </c>
    </row>
    <row r="152" spans="1:10" x14ac:dyDescent="0.25">
      <c r="A152" t="s">
        <v>10</v>
      </c>
      <c r="B152">
        <v>15</v>
      </c>
      <c r="C152" t="s">
        <v>11</v>
      </c>
      <c r="D152" t="s">
        <v>94</v>
      </c>
      <c r="E152" t="s">
        <v>120</v>
      </c>
      <c r="F152" t="s">
        <v>103</v>
      </c>
      <c r="G152">
        <v>-12.33333333</v>
      </c>
      <c r="H152">
        <v>20.833333329999999</v>
      </c>
      <c r="I152">
        <v>22.633333329999999</v>
      </c>
      <c r="J152">
        <v>8.5</v>
      </c>
    </row>
    <row r="153" spans="1:10" x14ac:dyDescent="0.25">
      <c r="A153" t="s">
        <v>10</v>
      </c>
      <c r="B153">
        <v>15</v>
      </c>
      <c r="C153" t="s">
        <v>11</v>
      </c>
      <c r="D153" t="s">
        <v>94</v>
      </c>
      <c r="E153" t="s">
        <v>120</v>
      </c>
      <c r="F153" t="s">
        <v>104</v>
      </c>
      <c r="G153">
        <v>-9.9</v>
      </c>
      <c r="H153">
        <v>20.233333330000001</v>
      </c>
      <c r="I153">
        <v>24.1</v>
      </c>
      <c r="J153">
        <v>10.33333333</v>
      </c>
    </row>
    <row r="154" spans="1:10" x14ac:dyDescent="0.25">
      <c r="A154" t="s">
        <v>14</v>
      </c>
      <c r="B154">
        <v>15</v>
      </c>
      <c r="C154" t="s">
        <v>15</v>
      </c>
      <c r="D154" t="s">
        <v>94</v>
      </c>
      <c r="E154" t="s">
        <v>120</v>
      </c>
      <c r="F154" t="s">
        <v>102</v>
      </c>
      <c r="G154">
        <v>-11.8</v>
      </c>
      <c r="H154">
        <v>21.3</v>
      </c>
      <c r="I154">
        <v>26.06666667</v>
      </c>
      <c r="J154">
        <v>9.5</v>
      </c>
    </row>
    <row r="155" spans="1:10" x14ac:dyDescent="0.25">
      <c r="A155" t="s">
        <v>14</v>
      </c>
      <c r="B155">
        <v>15</v>
      </c>
      <c r="C155" t="s">
        <v>15</v>
      </c>
      <c r="D155" t="s">
        <v>94</v>
      </c>
      <c r="E155" t="s">
        <v>120</v>
      </c>
      <c r="F155" t="s">
        <v>110</v>
      </c>
      <c r="G155">
        <v>-9.8000000000000007</v>
      </c>
      <c r="H155">
        <v>19</v>
      </c>
      <c r="I155">
        <v>25.56666667</v>
      </c>
      <c r="J155">
        <v>9.1999999999999993</v>
      </c>
    </row>
    <row r="156" spans="1:10" x14ac:dyDescent="0.25">
      <c r="A156" t="s">
        <v>14</v>
      </c>
      <c r="B156">
        <v>15</v>
      </c>
      <c r="C156" t="s">
        <v>15</v>
      </c>
      <c r="D156" t="s">
        <v>94</v>
      </c>
      <c r="E156" t="s">
        <v>120</v>
      </c>
      <c r="F156" t="s">
        <v>111</v>
      </c>
      <c r="G156">
        <v>-13.1</v>
      </c>
      <c r="H156">
        <v>19.666666670000001</v>
      </c>
      <c r="I156">
        <v>23.43333333</v>
      </c>
      <c r="J156">
        <v>6.5666666669999998</v>
      </c>
    </row>
    <row r="157" spans="1:10" x14ac:dyDescent="0.25">
      <c r="A157" t="s">
        <v>14</v>
      </c>
      <c r="B157">
        <v>15</v>
      </c>
      <c r="C157" t="s">
        <v>15</v>
      </c>
      <c r="D157" t="s">
        <v>94</v>
      </c>
      <c r="E157" t="s">
        <v>120</v>
      </c>
      <c r="F157" t="s">
        <v>104</v>
      </c>
      <c r="G157">
        <v>-13.3</v>
      </c>
      <c r="H157">
        <v>23.133333329999999</v>
      </c>
      <c r="I157">
        <v>22.466666669999999</v>
      </c>
      <c r="J157">
        <v>9.8333333330000006</v>
      </c>
    </row>
    <row r="158" spans="1:10" x14ac:dyDescent="0.25">
      <c r="A158" t="s">
        <v>16</v>
      </c>
      <c r="B158">
        <v>15</v>
      </c>
      <c r="C158" t="s">
        <v>17</v>
      </c>
      <c r="D158" t="s">
        <v>95</v>
      </c>
      <c r="E158" t="s">
        <v>120</v>
      </c>
      <c r="F158" t="s">
        <v>113</v>
      </c>
      <c r="G158">
        <v>-12.43333333</v>
      </c>
      <c r="H158">
        <v>21.966666669999999</v>
      </c>
      <c r="I158">
        <v>26.533333330000001</v>
      </c>
      <c r="J158">
        <v>9.5333333329999999</v>
      </c>
    </row>
    <row r="159" spans="1:10" x14ac:dyDescent="0.25">
      <c r="A159" t="s">
        <v>16</v>
      </c>
      <c r="B159">
        <v>15</v>
      </c>
      <c r="C159" t="s">
        <v>17</v>
      </c>
      <c r="D159" t="s">
        <v>95</v>
      </c>
      <c r="E159" t="s">
        <v>120</v>
      </c>
      <c r="F159" t="s">
        <v>110</v>
      </c>
      <c r="G159">
        <v>-8.8333333330000006</v>
      </c>
      <c r="H159">
        <v>15.93333333</v>
      </c>
      <c r="I159">
        <v>21</v>
      </c>
      <c r="J159">
        <v>7.1</v>
      </c>
    </row>
    <row r="160" spans="1:10" x14ac:dyDescent="0.25">
      <c r="A160" t="s">
        <v>16</v>
      </c>
      <c r="B160">
        <v>15</v>
      </c>
      <c r="C160" t="s">
        <v>17</v>
      </c>
      <c r="D160" t="s">
        <v>95</v>
      </c>
      <c r="E160" t="s">
        <v>120</v>
      </c>
      <c r="F160" t="s">
        <v>111</v>
      </c>
      <c r="G160">
        <v>-10.93333333</v>
      </c>
      <c r="H160">
        <v>20.466666669999999</v>
      </c>
      <c r="I160">
        <v>25.06666667</v>
      </c>
      <c r="J160">
        <v>9.5333333329999999</v>
      </c>
    </row>
    <row r="161" spans="1:10" x14ac:dyDescent="0.25">
      <c r="A161" t="s">
        <v>16</v>
      </c>
      <c r="B161">
        <v>15</v>
      </c>
      <c r="C161" t="s">
        <v>17</v>
      </c>
      <c r="D161" t="s">
        <v>95</v>
      </c>
      <c r="E161" t="s">
        <v>120</v>
      </c>
      <c r="F161" t="s">
        <v>104</v>
      </c>
      <c r="G161">
        <v>-6.8666666669999996</v>
      </c>
      <c r="H161">
        <v>17.06666667</v>
      </c>
      <c r="I161">
        <v>27.2</v>
      </c>
      <c r="J161">
        <v>10.199999999999999</v>
      </c>
    </row>
    <row r="162" spans="1:10" x14ac:dyDescent="0.25">
      <c r="A162" t="s">
        <v>18</v>
      </c>
      <c r="B162">
        <v>15</v>
      </c>
      <c r="C162" t="s">
        <v>19</v>
      </c>
      <c r="D162" t="s">
        <v>95</v>
      </c>
      <c r="E162" t="s">
        <v>120</v>
      </c>
      <c r="F162" t="s">
        <v>113</v>
      </c>
      <c r="G162">
        <v>-8.0333333329999999</v>
      </c>
      <c r="H162">
        <v>13.133333329999999</v>
      </c>
      <c r="I162">
        <v>16.56666667</v>
      </c>
      <c r="J162">
        <v>5.0999999999999996</v>
      </c>
    </row>
    <row r="163" spans="1:10" x14ac:dyDescent="0.25">
      <c r="A163" t="s">
        <v>18</v>
      </c>
      <c r="B163">
        <v>15</v>
      </c>
      <c r="C163" t="s">
        <v>19</v>
      </c>
      <c r="D163" t="s">
        <v>95</v>
      </c>
      <c r="E163" t="s">
        <v>120</v>
      </c>
      <c r="F163" t="s">
        <v>111</v>
      </c>
      <c r="G163">
        <v>-8.0333333329999999</v>
      </c>
      <c r="H163">
        <v>12.8</v>
      </c>
      <c r="I163">
        <v>17.56666667</v>
      </c>
      <c r="J163">
        <v>4.766666667</v>
      </c>
    </row>
    <row r="164" spans="1:10" x14ac:dyDescent="0.25">
      <c r="A164" t="s">
        <v>18</v>
      </c>
      <c r="B164">
        <v>15</v>
      </c>
      <c r="C164" t="s">
        <v>19</v>
      </c>
      <c r="D164" t="s">
        <v>95</v>
      </c>
      <c r="E164" t="s">
        <v>120</v>
      </c>
      <c r="F164" t="s">
        <v>104</v>
      </c>
      <c r="G164">
        <v>-6.733333333</v>
      </c>
      <c r="H164">
        <v>12</v>
      </c>
      <c r="I164">
        <v>17.56666667</v>
      </c>
      <c r="J164">
        <v>5.266666667</v>
      </c>
    </row>
    <row r="165" spans="1:10" x14ac:dyDescent="0.25">
      <c r="A165" t="s">
        <v>18</v>
      </c>
      <c r="B165">
        <v>15</v>
      </c>
      <c r="C165" t="s">
        <v>19</v>
      </c>
      <c r="D165" t="s">
        <v>95</v>
      </c>
      <c r="E165" t="s">
        <v>120</v>
      </c>
      <c r="F165" t="s">
        <v>112</v>
      </c>
      <c r="G165">
        <v>-7.6666666670000003</v>
      </c>
      <c r="H165">
        <v>13.6</v>
      </c>
      <c r="I165">
        <v>18.033333330000001</v>
      </c>
      <c r="J165">
        <v>5.9333333330000002</v>
      </c>
    </row>
    <row r="166" spans="1:10" x14ac:dyDescent="0.25">
      <c r="A166" t="s">
        <v>20</v>
      </c>
      <c r="B166">
        <v>15</v>
      </c>
      <c r="C166" t="s">
        <v>21</v>
      </c>
      <c r="D166" t="s">
        <v>94</v>
      </c>
      <c r="E166" t="s">
        <v>120</v>
      </c>
      <c r="F166" t="s">
        <v>102</v>
      </c>
      <c r="G166">
        <v>-10.93333333</v>
      </c>
      <c r="H166">
        <v>17.866666670000001</v>
      </c>
      <c r="I166">
        <v>19.966666669999999</v>
      </c>
      <c r="J166">
        <v>6.9333333330000002</v>
      </c>
    </row>
    <row r="167" spans="1:10" x14ac:dyDescent="0.25">
      <c r="A167" t="s">
        <v>20</v>
      </c>
      <c r="B167">
        <v>15</v>
      </c>
      <c r="C167" t="s">
        <v>21</v>
      </c>
      <c r="D167" t="s">
        <v>94</v>
      </c>
      <c r="E167" t="s">
        <v>120</v>
      </c>
      <c r="F167" t="s">
        <v>113</v>
      </c>
      <c r="G167">
        <v>-4.5333333329999999</v>
      </c>
      <c r="H167">
        <v>12.133333329999999</v>
      </c>
      <c r="I167">
        <v>17.366666670000001</v>
      </c>
      <c r="J167">
        <v>7.6</v>
      </c>
    </row>
    <row r="168" spans="1:10" x14ac:dyDescent="0.25">
      <c r="A168" t="s">
        <v>20</v>
      </c>
      <c r="B168">
        <v>15</v>
      </c>
      <c r="C168" t="s">
        <v>21</v>
      </c>
      <c r="D168" t="s">
        <v>94</v>
      </c>
      <c r="E168" t="s">
        <v>120</v>
      </c>
      <c r="F168" t="s">
        <v>110</v>
      </c>
      <c r="G168">
        <v>-7.7166666670000001</v>
      </c>
      <c r="H168">
        <v>14.56666667</v>
      </c>
      <c r="I168">
        <v>18.533333330000001</v>
      </c>
      <c r="J168">
        <v>6.85</v>
      </c>
    </row>
    <row r="169" spans="1:10" x14ac:dyDescent="0.25">
      <c r="A169" t="s">
        <v>20</v>
      </c>
      <c r="B169">
        <v>15</v>
      </c>
      <c r="C169" t="s">
        <v>21</v>
      </c>
      <c r="D169" t="s">
        <v>94</v>
      </c>
      <c r="E169" t="s">
        <v>120</v>
      </c>
      <c r="F169" t="s">
        <v>111</v>
      </c>
      <c r="G169">
        <v>-7.8666666669999996</v>
      </c>
      <c r="H169">
        <v>12.96666667</v>
      </c>
      <c r="I169">
        <v>17.06666667</v>
      </c>
      <c r="J169">
        <v>5.0999999999999996</v>
      </c>
    </row>
    <row r="170" spans="1:10" x14ac:dyDescent="0.25">
      <c r="A170" t="s">
        <v>22</v>
      </c>
      <c r="B170">
        <v>15</v>
      </c>
      <c r="C170" t="s">
        <v>23</v>
      </c>
      <c r="D170" t="s">
        <v>95</v>
      </c>
      <c r="E170" t="s">
        <v>120</v>
      </c>
      <c r="F170" t="s">
        <v>102</v>
      </c>
      <c r="G170">
        <v>-6.3333333329999997</v>
      </c>
      <c r="H170">
        <v>14.4</v>
      </c>
      <c r="I170">
        <v>18.233333330000001</v>
      </c>
      <c r="J170">
        <v>8.0666666669999998</v>
      </c>
    </row>
    <row r="171" spans="1:10" x14ac:dyDescent="0.25">
      <c r="A171" t="s">
        <v>22</v>
      </c>
      <c r="B171">
        <v>15</v>
      </c>
      <c r="C171" t="s">
        <v>23</v>
      </c>
      <c r="D171" t="s">
        <v>95</v>
      </c>
      <c r="E171" t="s">
        <v>120</v>
      </c>
      <c r="F171" t="s">
        <v>105</v>
      </c>
      <c r="G171">
        <v>-6.0666666669999998</v>
      </c>
      <c r="H171">
        <v>12.33333333</v>
      </c>
      <c r="I171">
        <v>15.9</v>
      </c>
      <c r="J171">
        <v>6.266666667</v>
      </c>
    </row>
    <row r="172" spans="1:10" x14ac:dyDescent="0.25">
      <c r="A172" t="s">
        <v>22</v>
      </c>
      <c r="B172">
        <v>15</v>
      </c>
      <c r="C172" t="s">
        <v>23</v>
      </c>
      <c r="D172" t="s">
        <v>95</v>
      </c>
      <c r="E172" t="s">
        <v>120</v>
      </c>
      <c r="F172" t="s">
        <v>103</v>
      </c>
      <c r="G172">
        <v>-4.4000000000000004</v>
      </c>
      <c r="H172">
        <v>9.8333333330000006</v>
      </c>
      <c r="I172" t="s">
        <v>114</v>
      </c>
      <c r="J172">
        <v>5.4333333330000002</v>
      </c>
    </row>
    <row r="173" spans="1:10" x14ac:dyDescent="0.25">
      <c r="A173" t="s">
        <v>22</v>
      </c>
      <c r="B173">
        <v>15</v>
      </c>
      <c r="C173" t="s">
        <v>23</v>
      </c>
      <c r="D173" t="s">
        <v>95</v>
      </c>
      <c r="E173" t="s">
        <v>120</v>
      </c>
      <c r="F173" t="s">
        <v>111</v>
      </c>
      <c r="G173">
        <v>-7.4666666670000001</v>
      </c>
      <c r="H173">
        <v>14.233333330000001</v>
      </c>
      <c r="I173">
        <v>17.733333330000001</v>
      </c>
      <c r="J173">
        <v>6.766666667</v>
      </c>
    </row>
    <row r="174" spans="1:10" x14ac:dyDescent="0.25">
      <c r="A174" t="s">
        <v>22</v>
      </c>
      <c r="B174">
        <v>15</v>
      </c>
      <c r="C174" t="s">
        <v>23</v>
      </c>
      <c r="D174" t="s">
        <v>95</v>
      </c>
      <c r="E174" t="s">
        <v>120</v>
      </c>
      <c r="F174" t="s">
        <v>112</v>
      </c>
      <c r="G174">
        <v>-5.233333333</v>
      </c>
      <c r="H174">
        <v>12.33333333</v>
      </c>
      <c r="I174">
        <v>15.9</v>
      </c>
      <c r="J174">
        <v>7.1</v>
      </c>
    </row>
    <row r="175" spans="1:10" x14ac:dyDescent="0.25">
      <c r="A175" t="s">
        <v>24</v>
      </c>
      <c r="B175">
        <v>15</v>
      </c>
      <c r="C175" t="s">
        <v>25</v>
      </c>
      <c r="D175" t="s">
        <v>95</v>
      </c>
      <c r="E175" t="s">
        <v>120</v>
      </c>
      <c r="F175" t="s">
        <v>105</v>
      </c>
      <c r="G175" t="s">
        <v>114</v>
      </c>
      <c r="H175">
        <v>10.83333333</v>
      </c>
      <c r="I175">
        <v>14.56666667</v>
      </c>
      <c r="J175" t="s">
        <v>114</v>
      </c>
    </row>
    <row r="176" spans="1:10" x14ac:dyDescent="0.25">
      <c r="A176" t="s">
        <v>24</v>
      </c>
      <c r="B176">
        <v>15</v>
      </c>
      <c r="C176" t="s">
        <v>25</v>
      </c>
      <c r="D176" t="s">
        <v>95</v>
      </c>
      <c r="E176" t="s">
        <v>120</v>
      </c>
      <c r="F176" t="s">
        <v>112</v>
      </c>
      <c r="G176" t="s">
        <v>114</v>
      </c>
      <c r="H176">
        <v>12.16666667</v>
      </c>
      <c r="I176">
        <v>14.766666669999999</v>
      </c>
      <c r="J176" t="s">
        <v>114</v>
      </c>
    </row>
    <row r="177" spans="1:10" x14ac:dyDescent="0.25">
      <c r="A177" t="s">
        <v>26</v>
      </c>
      <c r="B177">
        <v>15</v>
      </c>
      <c r="C177" t="s">
        <v>27</v>
      </c>
      <c r="D177" t="s">
        <v>95</v>
      </c>
      <c r="E177" t="s">
        <v>120</v>
      </c>
      <c r="F177" t="s">
        <v>105</v>
      </c>
      <c r="G177">
        <v>-11.3</v>
      </c>
      <c r="H177">
        <v>25.533333330000001</v>
      </c>
      <c r="I177">
        <v>30.3</v>
      </c>
      <c r="J177">
        <v>14.233333330000001</v>
      </c>
    </row>
    <row r="178" spans="1:10" x14ac:dyDescent="0.25">
      <c r="A178" t="s">
        <v>26</v>
      </c>
      <c r="B178">
        <v>15</v>
      </c>
      <c r="C178" t="s">
        <v>27</v>
      </c>
      <c r="D178" t="s">
        <v>95</v>
      </c>
      <c r="E178" t="s">
        <v>120</v>
      </c>
      <c r="F178" t="s">
        <v>110</v>
      </c>
      <c r="G178">
        <v>-13.83333333</v>
      </c>
      <c r="H178">
        <v>27.766666669999999</v>
      </c>
      <c r="I178">
        <v>29.8</v>
      </c>
      <c r="J178">
        <v>13.93333333</v>
      </c>
    </row>
    <row r="179" spans="1:10" x14ac:dyDescent="0.25">
      <c r="A179" t="s">
        <v>26</v>
      </c>
      <c r="B179">
        <v>15</v>
      </c>
      <c r="C179" t="s">
        <v>27</v>
      </c>
      <c r="D179" t="s">
        <v>95</v>
      </c>
      <c r="E179" t="s">
        <v>120</v>
      </c>
      <c r="F179" t="s">
        <v>111</v>
      </c>
      <c r="G179">
        <v>-8.3000000000000007</v>
      </c>
      <c r="H179">
        <v>15.233333330000001</v>
      </c>
      <c r="I179">
        <v>19.666666670000001</v>
      </c>
      <c r="J179">
        <v>6.9333333330000002</v>
      </c>
    </row>
    <row r="180" spans="1:10" x14ac:dyDescent="0.25">
      <c r="A180" t="s">
        <v>28</v>
      </c>
      <c r="B180">
        <v>15</v>
      </c>
      <c r="C180" t="s">
        <v>29</v>
      </c>
      <c r="D180" t="s">
        <v>94</v>
      </c>
      <c r="E180" t="s">
        <v>120</v>
      </c>
      <c r="F180" t="s">
        <v>113</v>
      </c>
      <c r="G180">
        <v>-7.9</v>
      </c>
      <c r="H180">
        <v>11.83333333</v>
      </c>
      <c r="I180">
        <v>14.733333330000001</v>
      </c>
      <c r="J180">
        <v>3.9333333330000002</v>
      </c>
    </row>
    <row r="181" spans="1:10" x14ac:dyDescent="0.25">
      <c r="A181" t="s">
        <v>28</v>
      </c>
      <c r="B181">
        <v>15</v>
      </c>
      <c r="C181" t="s">
        <v>29</v>
      </c>
      <c r="D181" t="s">
        <v>94</v>
      </c>
      <c r="E181" t="s">
        <v>120</v>
      </c>
      <c r="F181" t="s">
        <v>103</v>
      </c>
      <c r="G181">
        <v>-7.4</v>
      </c>
      <c r="H181">
        <v>11.33333333</v>
      </c>
      <c r="I181">
        <v>14.266666669999999</v>
      </c>
      <c r="J181">
        <v>3.9333333330000002</v>
      </c>
    </row>
    <row r="182" spans="1:10" x14ac:dyDescent="0.25">
      <c r="A182" t="s">
        <v>28</v>
      </c>
      <c r="B182">
        <v>15</v>
      </c>
      <c r="C182" t="s">
        <v>29</v>
      </c>
      <c r="D182" t="s">
        <v>94</v>
      </c>
      <c r="E182" t="s">
        <v>120</v>
      </c>
      <c r="F182" t="s">
        <v>111</v>
      </c>
      <c r="G182">
        <v>-7.733333333</v>
      </c>
      <c r="H182">
        <v>11.83333333</v>
      </c>
      <c r="I182">
        <v>15.56666667</v>
      </c>
      <c r="J182">
        <v>4.0999999999999996</v>
      </c>
    </row>
    <row r="183" spans="1:10" x14ac:dyDescent="0.25">
      <c r="A183" t="s">
        <v>28</v>
      </c>
      <c r="B183">
        <v>15</v>
      </c>
      <c r="C183" t="s">
        <v>29</v>
      </c>
      <c r="D183" t="s">
        <v>94</v>
      </c>
      <c r="E183" t="s">
        <v>120</v>
      </c>
      <c r="F183" t="s">
        <v>112</v>
      </c>
      <c r="G183">
        <v>-7.5666666669999998</v>
      </c>
      <c r="H183">
        <v>12.33333333</v>
      </c>
      <c r="I183">
        <v>15.93333333</v>
      </c>
      <c r="J183">
        <v>4.766666667</v>
      </c>
    </row>
    <row r="184" spans="1:10" x14ac:dyDescent="0.25">
      <c r="A184" t="s">
        <v>30</v>
      </c>
      <c r="B184">
        <v>15</v>
      </c>
      <c r="C184" t="s">
        <v>31</v>
      </c>
      <c r="D184" t="s">
        <v>95</v>
      </c>
      <c r="E184" t="s">
        <v>120</v>
      </c>
      <c r="F184" t="s">
        <v>113</v>
      </c>
      <c r="G184">
        <v>-6.5333333329999999</v>
      </c>
      <c r="H184">
        <v>13.46666667</v>
      </c>
      <c r="I184">
        <v>17.56666667</v>
      </c>
      <c r="J184">
        <v>6.9333333330000002</v>
      </c>
    </row>
    <row r="185" spans="1:10" x14ac:dyDescent="0.25">
      <c r="A185" t="s">
        <v>30</v>
      </c>
      <c r="B185">
        <v>15</v>
      </c>
      <c r="C185" t="s">
        <v>31</v>
      </c>
      <c r="D185" t="s">
        <v>95</v>
      </c>
      <c r="E185" t="s">
        <v>120</v>
      </c>
      <c r="F185" t="s">
        <v>103</v>
      </c>
      <c r="G185">
        <v>-6.4</v>
      </c>
      <c r="H185">
        <v>12.83333333</v>
      </c>
      <c r="I185">
        <v>17.06666667</v>
      </c>
      <c r="J185">
        <v>6.4333333330000002</v>
      </c>
    </row>
    <row r="186" spans="1:10" x14ac:dyDescent="0.25">
      <c r="A186" t="s">
        <v>30</v>
      </c>
      <c r="B186">
        <v>15</v>
      </c>
      <c r="C186" t="s">
        <v>31</v>
      </c>
      <c r="D186" t="s">
        <v>95</v>
      </c>
      <c r="E186" t="s">
        <v>120</v>
      </c>
      <c r="F186" t="s">
        <v>112</v>
      </c>
      <c r="G186">
        <v>-6.4</v>
      </c>
      <c r="H186">
        <v>12.33333333</v>
      </c>
      <c r="I186">
        <v>16.233333330000001</v>
      </c>
      <c r="J186">
        <v>5.9333333330000002</v>
      </c>
    </row>
    <row r="187" spans="1:10" x14ac:dyDescent="0.25">
      <c r="A187" t="s">
        <v>32</v>
      </c>
      <c r="B187">
        <v>15</v>
      </c>
      <c r="C187" t="s">
        <v>33</v>
      </c>
      <c r="D187" t="s">
        <v>94</v>
      </c>
      <c r="E187" t="s">
        <v>120</v>
      </c>
      <c r="F187" t="s">
        <v>105</v>
      </c>
      <c r="G187">
        <v>-10.633333329999999</v>
      </c>
      <c r="H187">
        <v>16.233333330000001</v>
      </c>
      <c r="I187">
        <v>18.7</v>
      </c>
      <c r="J187">
        <v>5.6</v>
      </c>
    </row>
    <row r="188" spans="1:10" x14ac:dyDescent="0.25">
      <c r="A188" t="s">
        <v>34</v>
      </c>
      <c r="B188">
        <v>15</v>
      </c>
      <c r="C188" t="s">
        <v>35</v>
      </c>
      <c r="D188" t="s">
        <v>94</v>
      </c>
      <c r="E188" t="s">
        <v>120</v>
      </c>
      <c r="F188" t="s">
        <v>112</v>
      </c>
      <c r="G188">
        <v>-5.233333333</v>
      </c>
      <c r="H188">
        <v>8.6999999999999993</v>
      </c>
      <c r="I188">
        <v>9.3333333330000006</v>
      </c>
      <c r="J188">
        <v>3.4666666670000001</v>
      </c>
    </row>
    <row r="189" spans="1:10" x14ac:dyDescent="0.25">
      <c r="A189" t="s">
        <v>36</v>
      </c>
      <c r="B189">
        <v>15</v>
      </c>
      <c r="C189" t="s">
        <v>37</v>
      </c>
      <c r="D189" t="s">
        <v>95</v>
      </c>
      <c r="E189" t="s">
        <v>120</v>
      </c>
      <c r="F189" t="s">
        <v>110</v>
      </c>
      <c r="G189">
        <v>-9.5</v>
      </c>
      <c r="H189">
        <v>19.666666670000001</v>
      </c>
      <c r="I189">
        <v>21.966666669999999</v>
      </c>
      <c r="J189">
        <v>10.16666667</v>
      </c>
    </row>
    <row r="190" spans="1:10" x14ac:dyDescent="0.25">
      <c r="A190" t="s">
        <v>36</v>
      </c>
      <c r="B190">
        <v>15</v>
      </c>
      <c r="C190" t="s">
        <v>37</v>
      </c>
      <c r="D190" t="s">
        <v>95</v>
      </c>
      <c r="E190" t="s">
        <v>120</v>
      </c>
      <c r="F190" t="s">
        <v>104</v>
      </c>
      <c r="G190">
        <v>-9.6666666669999994</v>
      </c>
      <c r="H190">
        <v>20.333333329999999</v>
      </c>
      <c r="I190">
        <v>24.93333333</v>
      </c>
      <c r="J190">
        <v>10.66666667</v>
      </c>
    </row>
    <row r="191" spans="1:10" x14ac:dyDescent="0.25">
      <c r="A191" t="s">
        <v>38</v>
      </c>
      <c r="B191">
        <v>2</v>
      </c>
      <c r="C191" t="s">
        <v>11</v>
      </c>
      <c r="D191" t="s">
        <v>95</v>
      </c>
      <c r="E191" t="s">
        <v>120</v>
      </c>
      <c r="F191" t="s">
        <v>113</v>
      </c>
      <c r="G191">
        <v>-14.133333329999999</v>
      </c>
      <c r="H191">
        <v>18.233333330000001</v>
      </c>
      <c r="I191">
        <v>17.56666667</v>
      </c>
      <c r="J191">
        <v>4.0999999999999996</v>
      </c>
    </row>
    <row r="192" spans="1:10" x14ac:dyDescent="0.25">
      <c r="A192" t="s">
        <v>38</v>
      </c>
      <c r="B192">
        <v>2</v>
      </c>
      <c r="C192" t="s">
        <v>11</v>
      </c>
      <c r="D192" t="s">
        <v>95</v>
      </c>
      <c r="E192" t="s">
        <v>120</v>
      </c>
      <c r="F192" t="s">
        <v>103</v>
      </c>
      <c r="G192">
        <v>-14.133333329999999</v>
      </c>
      <c r="H192">
        <v>18.233333330000001</v>
      </c>
      <c r="I192">
        <v>19.966666669999999</v>
      </c>
      <c r="J192">
        <v>4.0999999999999996</v>
      </c>
    </row>
    <row r="193" spans="1:10" x14ac:dyDescent="0.25">
      <c r="A193" t="s">
        <v>38</v>
      </c>
      <c r="B193">
        <v>2</v>
      </c>
      <c r="C193" t="s">
        <v>11</v>
      </c>
      <c r="D193" t="s">
        <v>95</v>
      </c>
      <c r="E193" t="s">
        <v>120</v>
      </c>
      <c r="F193" t="s">
        <v>111</v>
      </c>
      <c r="G193">
        <v>-12.8</v>
      </c>
      <c r="H193">
        <v>17.899999999999999</v>
      </c>
      <c r="I193">
        <v>20.166666670000001</v>
      </c>
      <c r="J193">
        <v>5.0999999999999996</v>
      </c>
    </row>
    <row r="194" spans="1:10" x14ac:dyDescent="0.25">
      <c r="A194" t="s">
        <v>39</v>
      </c>
      <c r="B194">
        <v>2</v>
      </c>
      <c r="C194" t="s">
        <v>15</v>
      </c>
      <c r="D194" t="s">
        <v>94</v>
      </c>
      <c r="E194" t="s">
        <v>120</v>
      </c>
      <c r="F194" t="s">
        <v>102</v>
      </c>
      <c r="G194">
        <v>-9.3333333330000006</v>
      </c>
      <c r="H194">
        <v>14.43333333</v>
      </c>
      <c r="I194">
        <v>14.9</v>
      </c>
      <c r="J194">
        <v>5.0999999999999996</v>
      </c>
    </row>
    <row r="195" spans="1:10" x14ac:dyDescent="0.25">
      <c r="A195" t="s">
        <v>39</v>
      </c>
      <c r="B195">
        <v>2</v>
      </c>
      <c r="C195" t="s">
        <v>15</v>
      </c>
      <c r="D195" t="s">
        <v>94</v>
      </c>
      <c r="E195" t="s">
        <v>120</v>
      </c>
      <c r="F195" t="s">
        <v>113</v>
      </c>
      <c r="G195">
        <v>-10.133333329999999</v>
      </c>
      <c r="H195">
        <v>15.56666667</v>
      </c>
      <c r="I195">
        <v>16.233333330000001</v>
      </c>
      <c r="J195">
        <v>5.4333333330000002</v>
      </c>
    </row>
    <row r="196" spans="1:10" x14ac:dyDescent="0.25">
      <c r="A196" t="s">
        <v>39</v>
      </c>
      <c r="B196">
        <v>2</v>
      </c>
      <c r="C196" t="s">
        <v>15</v>
      </c>
      <c r="D196" t="s">
        <v>94</v>
      </c>
      <c r="E196" t="s">
        <v>120</v>
      </c>
      <c r="F196" t="s">
        <v>103</v>
      </c>
      <c r="G196">
        <v>-10.633333329999999</v>
      </c>
      <c r="H196">
        <v>15.9</v>
      </c>
      <c r="I196">
        <v>15.56666667</v>
      </c>
      <c r="J196">
        <v>5.266666667</v>
      </c>
    </row>
    <row r="197" spans="1:10" x14ac:dyDescent="0.25">
      <c r="A197" t="s">
        <v>39</v>
      </c>
      <c r="B197">
        <v>2</v>
      </c>
      <c r="C197" t="s">
        <v>15</v>
      </c>
      <c r="D197" t="s">
        <v>94</v>
      </c>
      <c r="E197" t="s">
        <v>120</v>
      </c>
      <c r="F197" t="s">
        <v>111</v>
      </c>
      <c r="G197">
        <v>-10.8</v>
      </c>
      <c r="H197">
        <v>16.06666667</v>
      </c>
      <c r="I197">
        <v>14.9</v>
      </c>
      <c r="J197">
        <v>5.266666667</v>
      </c>
    </row>
    <row r="198" spans="1:10" x14ac:dyDescent="0.25">
      <c r="A198" t="s">
        <v>39</v>
      </c>
      <c r="B198">
        <v>2</v>
      </c>
      <c r="C198" t="s">
        <v>15</v>
      </c>
      <c r="D198" t="s">
        <v>94</v>
      </c>
      <c r="E198" t="s">
        <v>120</v>
      </c>
      <c r="F198" t="s">
        <v>104</v>
      </c>
      <c r="G198">
        <v>-9</v>
      </c>
      <c r="H198">
        <v>14.6</v>
      </c>
      <c r="I198">
        <v>15.9</v>
      </c>
      <c r="J198">
        <v>5.6</v>
      </c>
    </row>
    <row r="199" spans="1:10" x14ac:dyDescent="0.25">
      <c r="A199" t="s">
        <v>40</v>
      </c>
      <c r="B199">
        <v>2</v>
      </c>
      <c r="C199" t="s">
        <v>17</v>
      </c>
      <c r="D199" t="s">
        <v>95</v>
      </c>
      <c r="E199" t="s">
        <v>120</v>
      </c>
      <c r="F199" t="s">
        <v>113</v>
      </c>
      <c r="G199">
        <v>-6.8666666669999996</v>
      </c>
      <c r="H199">
        <v>14.3</v>
      </c>
      <c r="I199">
        <v>15.06666667</v>
      </c>
      <c r="J199">
        <v>7.4333333330000002</v>
      </c>
    </row>
    <row r="200" spans="1:10" x14ac:dyDescent="0.25">
      <c r="A200" t="s">
        <v>40</v>
      </c>
      <c r="B200">
        <v>2</v>
      </c>
      <c r="C200" t="s">
        <v>17</v>
      </c>
      <c r="D200" t="s">
        <v>95</v>
      </c>
      <c r="E200" t="s">
        <v>120</v>
      </c>
      <c r="F200" t="s">
        <v>103</v>
      </c>
      <c r="G200">
        <v>-7.6333333330000004</v>
      </c>
      <c r="H200">
        <v>15.06666667</v>
      </c>
      <c r="I200">
        <v>17.899999999999999</v>
      </c>
      <c r="J200">
        <v>7.4333333330000002</v>
      </c>
    </row>
    <row r="201" spans="1:10" x14ac:dyDescent="0.25">
      <c r="A201" t="s">
        <v>40</v>
      </c>
      <c r="B201">
        <v>2</v>
      </c>
      <c r="C201" t="s">
        <v>17</v>
      </c>
      <c r="D201" t="s">
        <v>95</v>
      </c>
      <c r="E201" t="s">
        <v>120</v>
      </c>
      <c r="F201" t="s">
        <v>112</v>
      </c>
      <c r="G201">
        <v>-7.0666666669999998</v>
      </c>
      <c r="H201">
        <v>16.56666667</v>
      </c>
      <c r="I201">
        <v>17.06666667</v>
      </c>
      <c r="J201">
        <v>9.5</v>
      </c>
    </row>
    <row r="202" spans="1:10" x14ac:dyDescent="0.25">
      <c r="A202" t="s">
        <v>41</v>
      </c>
      <c r="B202">
        <v>2</v>
      </c>
      <c r="C202" t="s">
        <v>19</v>
      </c>
      <c r="D202" t="s">
        <v>94</v>
      </c>
      <c r="E202" t="s">
        <v>120</v>
      </c>
      <c r="F202" t="s">
        <v>105</v>
      </c>
      <c r="G202">
        <v>-6.8333333329999997</v>
      </c>
      <c r="H202">
        <v>13.6</v>
      </c>
      <c r="I202">
        <v>15.9</v>
      </c>
      <c r="J202">
        <v>6.766666667</v>
      </c>
    </row>
    <row r="203" spans="1:10" x14ac:dyDescent="0.25">
      <c r="A203" t="s">
        <v>41</v>
      </c>
      <c r="B203">
        <v>2</v>
      </c>
      <c r="C203" t="s">
        <v>19</v>
      </c>
      <c r="D203" t="s">
        <v>94</v>
      </c>
      <c r="E203" t="s">
        <v>120</v>
      </c>
      <c r="F203" t="s">
        <v>113</v>
      </c>
      <c r="G203">
        <v>-7.7</v>
      </c>
      <c r="H203">
        <v>13.46666667</v>
      </c>
      <c r="I203">
        <v>13.766666669999999</v>
      </c>
      <c r="J203">
        <v>5.766666667</v>
      </c>
    </row>
    <row r="204" spans="1:10" x14ac:dyDescent="0.25">
      <c r="A204" t="s">
        <v>41</v>
      </c>
      <c r="B204">
        <v>2</v>
      </c>
      <c r="C204" t="s">
        <v>19</v>
      </c>
      <c r="D204" t="s">
        <v>94</v>
      </c>
      <c r="E204" t="s">
        <v>120</v>
      </c>
      <c r="F204" t="s">
        <v>103</v>
      </c>
      <c r="G204">
        <v>-8.5</v>
      </c>
      <c r="H204">
        <v>15.9</v>
      </c>
      <c r="I204">
        <v>15.766666669999999</v>
      </c>
      <c r="J204">
        <v>7.4</v>
      </c>
    </row>
    <row r="205" spans="1:10" x14ac:dyDescent="0.25">
      <c r="A205" t="s">
        <v>42</v>
      </c>
      <c r="B205">
        <v>2</v>
      </c>
      <c r="C205" t="s">
        <v>21</v>
      </c>
      <c r="D205" t="s">
        <v>94</v>
      </c>
      <c r="E205" t="s">
        <v>120</v>
      </c>
      <c r="F205" t="s">
        <v>105</v>
      </c>
      <c r="G205">
        <v>-14.133333329999999</v>
      </c>
      <c r="H205">
        <v>22.966666669999999</v>
      </c>
      <c r="I205">
        <v>20.333333329999999</v>
      </c>
      <c r="J205">
        <v>8.8333333330000006</v>
      </c>
    </row>
    <row r="206" spans="1:10" x14ac:dyDescent="0.25">
      <c r="A206" t="s">
        <v>42</v>
      </c>
      <c r="B206">
        <v>2</v>
      </c>
      <c r="C206" t="s">
        <v>21</v>
      </c>
      <c r="D206" t="s">
        <v>94</v>
      </c>
      <c r="E206" t="s">
        <v>120</v>
      </c>
      <c r="F206" t="s">
        <v>110</v>
      </c>
      <c r="G206">
        <v>-12.3</v>
      </c>
      <c r="H206">
        <v>21.466666669999999</v>
      </c>
      <c r="I206">
        <v>18.7</v>
      </c>
      <c r="J206">
        <v>9.1666666669999994</v>
      </c>
    </row>
    <row r="207" spans="1:10" x14ac:dyDescent="0.25">
      <c r="A207" t="s">
        <v>42</v>
      </c>
      <c r="B207">
        <v>2</v>
      </c>
      <c r="C207" t="s">
        <v>21</v>
      </c>
      <c r="D207" t="s">
        <v>94</v>
      </c>
      <c r="E207" t="s">
        <v>120</v>
      </c>
      <c r="F207" t="s">
        <v>111</v>
      </c>
      <c r="G207">
        <v>-14.766666669999999</v>
      </c>
      <c r="H207">
        <v>24.6</v>
      </c>
      <c r="I207">
        <v>21.3</v>
      </c>
      <c r="J207">
        <v>9.8333333330000006</v>
      </c>
    </row>
    <row r="208" spans="1:10" x14ac:dyDescent="0.25">
      <c r="A208" t="s">
        <v>42</v>
      </c>
      <c r="B208">
        <v>2</v>
      </c>
      <c r="C208" t="s">
        <v>21</v>
      </c>
      <c r="D208" t="s">
        <v>94</v>
      </c>
      <c r="E208" t="s">
        <v>120</v>
      </c>
      <c r="F208" t="s">
        <v>104</v>
      </c>
      <c r="G208">
        <v>-10.6</v>
      </c>
      <c r="H208">
        <v>18.333333329999999</v>
      </c>
      <c r="I208">
        <v>17.399999999999999</v>
      </c>
      <c r="J208">
        <v>7.733333333</v>
      </c>
    </row>
    <row r="209" spans="1:10" x14ac:dyDescent="0.25">
      <c r="A209" t="s">
        <v>43</v>
      </c>
      <c r="B209">
        <v>2</v>
      </c>
      <c r="C209" t="s">
        <v>23</v>
      </c>
      <c r="D209" t="s">
        <v>94</v>
      </c>
      <c r="E209" t="s">
        <v>120</v>
      </c>
      <c r="F209" t="s">
        <v>105</v>
      </c>
      <c r="G209">
        <v>-10.633333329999999</v>
      </c>
      <c r="H209">
        <v>19</v>
      </c>
      <c r="I209">
        <v>19.2</v>
      </c>
      <c r="J209">
        <v>8.3666666670000005</v>
      </c>
    </row>
    <row r="210" spans="1:10" x14ac:dyDescent="0.25">
      <c r="A210" t="s">
        <v>43</v>
      </c>
      <c r="B210">
        <v>2</v>
      </c>
      <c r="C210" t="s">
        <v>23</v>
      </c>
      <c r="D210" t="s">
        <v>94</v>
      </c>
      <c r="E210" t="s">
        <v>120</v>
      </c>
      <c r="F210" t="s">
        <v>110</v>
      </c>
      <c r="G210">
        <v>-17.366666670000001</v>
      </c>
      <c r="H210">
        <v>24.766666669999999</v>
      </c>
      <c r="I210">
        <v>21.466666669999999</v>
      </c>
      <c r="J210">
        <v>7.4</v>
      </c>
    </row>
    <row r="211" spans="1:10" x14ac:dyDescent="0.25">
      <c r="A211" t="s">
        <v>43</v>
      </c>
      <c r="B211">
        <v>2</v>
      </c>
      <c r="C211" t="s">
        <v>23</v>
      </c>
      <c r="D211" t="s">
        <v>94</v>
      </c>
      <c r="E211" t="s">
        <v>120</v>
      </c>
      <c r="F211" t="s">
        <v>111</v>
      </c>
      <c r="G211" t="s">
        <v>114</v>
      </c>
      <c r="H211" t="s">
        <v>114</v>
      </c>
      <c r="I211">
        <v>22.93333333</v>
      </c>
      <c r="J211">
        <v>11.16666667</v>
      </c>
    </row>
    <row r="212" spans="1:10" x14ac:dyDescent="0.25">
      <c r="A212" t="s">
        <v>43</v>
      </c>
      <c r="B212">
        <v>2</v>
      </c>
      <c r="C212" t="s">
        <v>23</v>
      </c>
      <c r="D212" t="s">
        <v>94</v>
      </c>
      <c r="E212" t="s">
        <v>120</v>
      </c>
      <c r="F212" t="s">
        <v>104</v>
      </c>
      <c r="G212">
        <v>-15.866666670000001</v>
      </c>
      <c r="H212">
        <v>25.4</v>
      </c>
      <c r="I212">
        <v>27.7</v>
      </c>
      <c r="J212">
        <v>9.5333333329999999</v>
      </c>
    </row>
    <row r="213" spans="1:10" x14ac:dyDescent="0.25">
      <c r="A213" t="s">
        <v>44</v>
      </c>
      <c r="B213">
        <v>2</v>
      </c>
      <c r="C213" t="s">
        <v>25</v>
      </c>
      <c r="D213" t="s">
        <v>95</v>
      </c>
      <c r="E213" t="s">
        <v>120</v>
      </c>
      <c r="F213" t="s">
        <v>102</v>
      </c>
      <c r="G213">
        <v>-8.3666666670000005</v>
      </c>
      <c r="H213">
        <v>14.133333329999999</v>
      </c>
      <c r="I213">
        <v>13.766666669999999</v>
      </c>
      <c r="J213">
        <v>5.766666667</v>
      </c>
    </row>
    <row r="214" spans="1:10" x14ac:dyDescent="0.25">
      <c r="A214" t="s">
        <v>44</v>
      </c>
      <c r="B214">
        <v>2</v>
      </c>
      <c r="C214" t="s">
        <v>25</v>
      </c>
      <c r="D214" t="s">
        <v>95</v>
      </c>
      <c r="E214" t="s">
        <v>120</v>
      </c>
      <c r="F214" t="s">
        <v>110</v>
      </c>
      <c r="G214">
        <v>-6.5666666669999998</v>
      </c>
      <c r="H214">
        <v>14.93333333</v>
      </c>
      <c r="I214">
        <v>16.899999999999999</v>
      </c>
      <c r="J214">
        <v>8.3666666670000005</v>
      </c>
    </row>
    <row r="215" spans="1:10" x14ac:dyDescent="0.25">
      <c r="A215" t="s">
        <v>44</v>
      </c>
      <c r="B215">
        <v>2</v>
      </c>
      <c r="C215" t="s">
        <v>25</v>
      </c>
      <c r="D215" t="s">
        <v>95</v>
      </c>
      <c r="E215" t="s">
        <v>120</v>
      </c>
      <c r="F215" t="s">
        <v>104</v>
      </c>
      <c r="G215">
        <v>-8.3666666670000005</v>
      </c>
      <c r="H215">
        <v>13.8</v>
      </c>
      <c r="I215">
        <v>15.733333330000001</v>
      </c>
      <c r="J215">
        <v>5.4333333330000002</v>
      </c>
    </row>
    <row r="216" spans="1:10" x14ac:dyDescent="0.25">
      <c r="A216" t="s">
        <v>44</v>
      </c>
      <c r="B216">
        <v>2</v>
      </c>
      <c r="C216" t="s">
        <v>25</v>
      </c>
      <c r="D216" t="s">
        <v>95</v>
      </c>
      <c r="E216" t="s">
        <v>120</v>
      </c>
      <c r="F216" t="s">
        <v>112</v>
      </c>
      <c r="G216">
        <v>-10.66666667</v>
      </c>
      <c r="H216">
        <v>18.233333330000001</v>
      </c>
      <c r="I216">
        <v>18.833333329999999</v>
      </c>
      <c r="J216">
        <v>7.5666666669999998</v>
      </c>
    </row>
    <row r="217" spans="1:10" x14ac:dyDescent="0.25">
      <c r="A217" t="s">
        <v>45</v>
      </c>
      <c r="B217">
        <v>2</v>
      </c>
      <c r="C217" t="s">
        <v>27</v>
      </c>
      <c r="D217" t="s">
        <v>95</v>
      </c>
      <c r="E217" t="s">
        <v>120</v>
      </c>
      <c r="F217" t="s">
        <v>102</v>
      </c>
      <c r="G217">
        <v>-8.3333333330000006</v>
      </c>
      <c r="H217">
        <v>13.6</v>
      </c>
      <c r="I217">
        <v>13.766666669999999</v>
      </c>
      <c r="J217">
        <v>5.266666667</v>
      </c>
    </row>
    <row r="218" spans="1:10" x14ac:dyDescent="0.25">
      <c r="A218" t="s">
        <v>45</v>
      </c>
      <c r="B218">
        <v>2</v>
      </c>
      <c r="C218" t="s">
        <v>27</v>
      </c>
      <c r="D218" t="s">
        <v>95</v>
      </c>
      <c r="E218" t="s">
        <v>120</v>
      </c>
      <c r="F218" t="s">
        <v>105</v>
      </c>
      <c r="G218">
        <v>-7.5333333329999999</v>
      </c>
      <c r="H218">
        <v>15.9</v>
      </c>
      <c r="I218">
        <v>15.233333330000001</v>
      </c>
      <c r="J218">
        <v>8.3666666670000005</v>
      </c>
    </row>
    <row r="219" spans="1:10" x14ac:dyDescent="0.25">
      <c r="A219" t="s">
        <v>45</v>
      </c>
      <c r="B219">
        <v>2</v>
      </c>
      <c r="C219" t="s">
        <v>27</v>
      </c>
      <c r="D219" t="s">
        <v>95</v>
      </c>
      <c r="E219" t="s">
        <v>120</v>
      </c>
      <c r="F219" t="s">
        <v>112</v>
      </c>
      <c r="G219">
        <v>-6.9666666670000001</v>
      </c>
      <c r="H219">
        <v>13.9</v>
      </c>
      <c r="I219">
        <v>13.93333333</v>
      </c>
      <c r="J219">
        <v>6.9333333330000002</v>
      </c>
    </row>
    <row r="220" spans="1:10" x14ac:dyDescent="0.25">
      <c r="A220" t="s">
        <v>46</v>
      </c>
      <c r="B220">
        <v>2</v>
      </c>
      <c r="C220" t="s">
        <v>29</v>
      </c>
      <c r="D220" t="s">
        <v>95</v>
      </c>
      <c r="E220" t="s">
        <v>120</v>
      </c>
      <c r="F220" t="s">
        <v>102</v>
      </c>
      <c r="G220">
        <v>-8</v>
      </c>
      <c r="H220">
        <v>14.266666669999999</v>
      </c>
      <c r="I220">
        <v>16.733333330000001</v>
      </c>
      <c r="J220">
        <v>6.266666667</v>
      </c>
    </row>
    <row r="221" spans="1:10" x14ac:dyDescent="0.25">
      <c r="A221" t="s">
        <v>46</v>
      </c>
      <c r="B221">
        <v>2</v>
      </c>
      <c r="C221" t="s">
        <v>29</v>
      </c>
      <c r="D221" t="s">
        <v>95</v>
      </c>
      <c r="E221" t="s">
        <v>120</v>
      </c>
      <c r="F221" t="s">
        <v>110</v>
      </c>
      <c r="G221">
        <v>-8.8000000000000007</v>
      </c>
      <c r="H221">
        <v>15.233333330000001</v>
      </c>
      <c r="I221">
        <v>17.06666667</v>
      </c>
      <c r="J221">
        <v>6.4333333330000002</v>
      </c>
    </row>
    <row r="222" spans="1:10" x14ac:dyDescent="0.25">
      <c r="A222" t="s">
        <v>46</v>
      </c>
      <c r="B222">
        <v>2</v>
      </c>
      <c r="C222" t="s">
        <v>29</v>
      </c>
      <c r="D222" t="s">
        <v>95</v>
      </c>
      <c r="E222" t="s">
        <v>120</v>
      </c>
      <c r="F222" t="s">
        <v>112</v>
      </c>
      <c r="G222">
        <v>-9.1666666669999994</v>
      </c>
      <c r="H222">
        <v>16.06666667</v>
      </c>
      <c r="I222">
        <v>16.399999999999999</v>
      </c>
      <c r="J222">
        <v>6.9</v>
      </c>
    </row>
    <row r="223" spans="1:10" x14ac:dyDescent="0.25">
      <c r="A223" t="s">
        <v>47</v>
      </c>
      <c r="B223">
        <v>2</v>
      </c>
      <c r="C223" t="s">
        <v>31</v>
      </c>
      <c r="D223" t="s">
        <v>94</v>
      </c>
      <c r="E223" t="s">
        <v>120</v>
      </c>
      <c r="F223" t="s">
        <v>112</v>
      </c>
      <c r="G223" t="s">
        <v>114</v>
      </c>
      <c r="H223" t="s">
        <v>114</v>
      </c>
      <c r="I223" t="s">
        <v>114</v>
      </c>
      <c r="J223">
        <v>5.0999999999999996</v>
      </c>
    </row>
    <row r="224" spans="1:10" x14ac:dyDescent="0.25">
      <c r="A224" t="s">
        <v>48</v>
      </c>
      <c r="B224">
        <v>2</v>
      </c>
      <c r="C224" t="s">
        <v>33</v>
      </c>
      <c r="D224" t="s">
        <v>95</v>
      </c>
      <c r="E224" t="s">
        <v>120</v>
      </c>
      <c r="F224" t="s">
        <v>105</v>
      </c>
      <c r="G224">
        <v>-6.4333333330000002</v>
      </c>
      <c r="H224">
        <v>13.33333333</v>
      </c>
      <c r="I224">
        <v>13.3</v>
      </c>
      <c r="J224">
        <v>6.9</v>
      </c>
    </row>
    <row r="225" spans="1:10" x14ac:dyDescent="0.25">
      <c r="A225" t="s">
        <v>48</v>
      </c>
      <c r="B225">
        <v>2</v>
      </c>
      <c r="C225" t="s">
        <v>33</v>
      </c>
      <c r="D225" t="s">
        <v>95</v>
      </c>
      <c r="E225" t="s">
        <v>120</v>
      </c>
      <c r="F225" t="s">
        <v>111</v>
      </c>
      <c r="G225">
        <v>-8.5</v>
      </c>
      <c r="H225">
        <v>14.1</v>
      </c>
      <c r="I225">
        <v>12.66666667</v>
      </c>
      <c r="J225">
        <v>5.6</v>
      </c>
    </row>
    <row r="226" spans="1:10" x14ac:dyDescent="0.25">
      <c r="A226" t="s">
        <v>48</v>
      </c>
      <c r="B226">
        <v>2</v>
      </c>
      <c r="C226" t="s">
        <v>33</v>
      </c>
      <c r="D226" t="s">
        <v>95</v>
      </c>
      <c r="E226" t="s">
        <v>120</v>
      </c>
      <c r="F226" t="s">
        <v>104</v>
      </c>
      <c r="G226">
        <v>-8.8000000000000007</v>
      </c>
      <c r="H226">
        <v>15.06666667</v>
      </c>
      <c r="I226">
        <v>14.9</v>
      </c>
      <c r="J226">
        <v>6.266666667</v>
      </c>
    </row>
    <row r="227" spans="1:10" x14ac:dyDescent="0.25">
      <c r="A227" t="s">
        <v>49</v>
      </c>
      <c r="B227">
        <v>2</v>
      </c>
      <c r="C227" t="s">
        <v>35</v>
      </c>
      <c r="D227" t="s">
        <v>94</v>
      </c>
      <c r="E227" t="s">
        <v>120</v>
      </c>
      <c r="F227" t="s">
        <v>102</v>
      </c>
      <c r="G227">
        <v>-6.733333333</v>
      </c>
      <c r="H227">
        <v>11.66666667</v>
      </c>
      <c r="I227">
        <v>13.93333333</v>
      </c>
      <c r="J227">
        <v>4.9333333330000002</v>
      </c>
    </row>
    <row r="228" spans="1:10" x14ac:dyDescent="0.25">
      <c r="A228" t="s">
        <v>49</v>
      </c>
      <c r="B228">
        <v>2</v>
      </c>
      <c r="C228" t="s">
        <v>35</v>
      </c>
      <c r="D228" t="s">
        <v>94</v>
      </c>
      <c r="E228" t="s">
        <v>120</v>
      </c>
      <c r="F228" t="s">
        <v>112</v>
      </c>
      <c r="G228">
        <v>-6.0666666669999998</v>
      </c>
      <c r="H228">
        <v>10.66666667</v>
      </c>
      <c r="I228">
        <v>12.8</v>
      </c>
      <c r="J228">
        <v>4.5999999999999996</v>
      </c>
    </row>
    <row r="229" spans="1:10" x14ac:dyDescent="0.25">
      <c r="A229" t="s">
        <v>79</v>
      </c>
      <c r="B229">
        <v>6</v>
      </c>
      <c r="C229" t="s">
        <v>11</v>
      </c>
      <c r="D229" t="s">
        <v>95</v>
      </c>
      <c r="E229" t="s">
        <v>120</v>
      </c>
      <c r="F229" t="s">
        <v>113</v>
      </c>
      <c r="G229">
        <v>-8.8333333330000006</v>
      </c>
      <c r="H229">
        <v>16.399999999999999</v>
      </c>
      <c r="I229">
        <v>14.93333333</v>
      </c>
      <c r="J229">
        <v>7.5666666669999998</v>
      </c>
    </row>
    <row r="230" spans="1:10" x14ac:dyDescent="0.25">
      <c r="A230" t="s">
        <v>79</v>
      </c>
      <c r="B230">
        <v>6</v>
      </c>
      <c r="C230" t="s">
        <v>11</v>
      </c>
      <c r="D230" t="s">
        <v>95</v>
      </c>
      <c r="E230" t="s">
        <v>120</v>
      </c>
      <c r="F230" t="s">
        <v>103</v>
      </c>
      <c r="G230">
        <v>-8.6666666669999994</v>
      </c>
      <c r="H230">
        <v>14.766666669999999</v>
      </c>
      <c r="I230">
        <v>14.9</v>
      </c>
      <c r="J230">
        <v>6.1</v>
      </c>
    </row>
    <row r="231" spans="1:10" x14ac:dyDescent="0.25">
      <c r="A231" t="s">
        <v>79</v>
      </c>
      <c r="B231">
        <v>6</v>
      </c>
      <c r="C231" t="s">
        <v>11</v>
      </c>
      <c r="D231" t="s">
        <v>95</v>
      </c>
      <c r="E231" t="s">
        <v>120</v>
      </c>
      <c r="F231" t="s">
        <v>111</v>
      </c>
      <c r="G231">
        <v>-9.3000000000000007</v>
      </c>
      <c r="H231">
        <v>16.899999999999999</v>
      </c>
      <c r="I231">
        <v>17.866666670000001</v>
      </c>
      <c r="J231">
        <v>7.6</v>
      </c>
    </row>
    <row r="232" spans="1:10" x14ac:dyDescent="0.25">
      <c r="A232" t="s">
        <v>80</v>
      </c>
      <c r="B232">
        <v>6</v>
      </c>
      <c r="C232" t="s">
        <v>15</v>
      </c>
      <c r="D232" t="s">
        <v>95</v>
      </c>
      <c r="E232" t="s">
        <v>120</v>
      </c>
      <c r="F232" t="s">
        <v>105</v>
      </c>
      <c r="G232">
        <v>-6.5666666669999998</v>
      </c>
      <c r="H232">
        <v>16.233333330000001</v>
      </c>
      <c r="I232">
        <v>14.6</v>
      </c>
      <c r="J232">
        <v>9.6666666669999994</v>
      </c>
    </row>
    <row r="233" spans="1:10" x14ac:dyDescent="0.25">
      <c r="A233" t="s">
        <v>80</v>
      </c>
      <c r="B233">
        <v>6</v>
      </c>
      <c r="C233" t="s">
        <v>15</v>
      </c>
      <c r="D233" t="s">
        <v>95</v>
      </c>
      <c r="E233" t="s">
        <v>120</v>
      </c>
      <c r="F233" t="s">
        <v>113</v>
      </c>
      <c r="G233">
        <v>-6.2</v>
      </c>
      <c r="H233">
        <v>14.4</v>
      </c>
      <c r="I233">
        <v>13.46666667</v>
      </c>
      <c r="J233">
        <v>8.1999999999999993</v>
      </c>
    </row>
    <row r="234" spans="1:10" x14ac:dyDescent="0.25">
      <c r="A234" t="s">
        <v>80</v>
      </c>
      <c r="B234">
        <v>6</v>
      </c>
      <c r="C234" t="s">
        <v>15</v>
      </c>
      <c r="D234" t="s">
        <v>95</v>
      </c>
      <c r="E234" t="s">
        <v>120</v>
      </c>
      <c r="F234" t="s">
        <v>103</v>
      </c>
      <c r="G234">
        <v>-5.7</v>
      </c>
      <c r="H234">
        <v>15.06666667</v>
      </c>
      <c r="I234">
        <v>13.766666669999999</v>
      </c>
      <c r="J234">
        <v>9.3666666670000005</v>
      </c>
    </row>
    <row r="235" spans="1:10" x14ac:dyDescent="0.25">
      <c r="A235" t="s">
        <v>81</v>
      </c>
      <c r="B235">
        <v>6</v>
      </c>
      <c r="C235" t="s">
        <v>17</v>
      </c>
      <c r="D235" t="s">
        <v>94</v>
      </c>
      <c r="E235" t="s">
        <v>120</v>
      </c>
      <c r="F235" t="s">
        <v>105</v>
      </c>
      <c r="G235">
        <v>-4.9000000000000004</v>
      </c>
      <c r="H235">
        <v>11.5</v>
      </c>
      <c r="I235">
        <v>10.5</v>
      </c>
      <c r="J235">
        <v>6.6</v>
      </c>
    </row>
    <row r="236" spans="1:10" x14ac:dyDescent="0.25">
      <c r="A236" t="s">
        <v>81</v>
      </c>
      <c r="B236">
        <v>6</v>
      </c>
      <c r="C236" t="s">
        <v>17</v>
      </c>
      <c r="D236" t="s">
        <v>94</v>
      </c>
      <c r="E236" t="s">
        <v>120</v>
      </c>
      <c r="F236" t="s">
        <v>113</v>
      </c>
      <c r="G236">
        <v>-6.0333333329999999</v>
      </c>
      <c r="H236">
        <v>13.93333333</v>
      </c>
      <c r="I236">
        <v>13.1</v>
      </c>
      <c r="J236">
        <v>7.9</v>
      </c>
    </row>
    <row r="237" spans="1:10" x14ac:dyDescent="0.25">
      <c r="A237" t="s">
        <v>81</v>
      </c>
      <c r="B237">
        <v>6</v>
      </c>
      <c r="C237" t="s">
        <v>17</v>
      </c>
      <c r="D237" t="s">
        <v>94</v>
      </c>
      <c r="E237" t="s">
        <v>120</v>
      </c>
      <c r="F237" t="s">
        <v>103</v>
      </c>
      <c r="G237">
        <v>-6.9666666670000001</v>
      </c>
      <c r="H237">
        <v>14.733333330000001</v>
      </c>
      <c r="I237">
        <v>13.633333329999999</v>
      </c>
      <c r="J237">
        <v>7.766666667</v>
      </c>
    </row>
    <row r="238" spans="1:10" x14ac:dyDescent="0.25">
      <c r="A238" t="s">
        <v>82</v>
      </c>
      <c r="B238">
        <v>6</v>
      </c>
      <c r="C238" t="s">
        <v>19</v>
      </c>
      <c r="D238" t="s">
        <v>94</v>
      </c>
      <c r="E238" t="s">
        <v>120</v>
      </c>
      <c r="F238" t="s">
        <v>102</v>
      </c>
      <c r="G238">
        <v>-7.6333333330000004</v>
      </c>
      <c r="H238">
        <v>14.56666667</v>
      </c>
      <c r="I238">
        <v>14.1</v>
      </c>
      <c r="J238">
        <v>6.9333333330000002</v>
      </c>
    </row>
    <row r="239" spans="1:10" x14ac:dyDescent="0.25">
      <c r="A239" t="s">
        <v>82</v>
      </c>
      <c r="B239">
        <v>6</v>
      </c>
      <c r="C239" t="s">
        <v>19</v>
      </c>
      <c r="D239" t="s">
        <v>94</v>
      </c>
      <c r="E239" t="s">
        <v>120</v>
      </c>
      <c r="F239" t="s">
        <v>113</v>
      </c>
      <c r="G239">
        <v>-8.5</v>
      </c>
      <c r="H239">
        <v>13.93333333</v>
      </c>
      <c r="I239">
        <v>12.16666667</v>
      </c>
      <c r="J239">
        <v>5.4333333330000002</v>
      </c>
    </row>
    <row r="240" spans="1:10" x14ac:dyDescent="0.25">
      <c r="A240" t="s">
        <v>82</v>
      </c>
      <c r="B240">
        <v>6</v>
      </c>
      <c r="C240" t="s">
        <v>19</v>
      </c>
      <c r="D240" t="s">
        <v>94</v>
      </c>
      <c r="E240" t="s">
        <v>120</v>
      </c>
      <c r="F240" t="s">
        <v>104</v>
      </c>
      <c r="G240">
        <v>-6.9</v>
      </c>
      <c r="H240">
        <v>11.66666667</v>
      </c>
      <c r="I240">
        <v>11.66666667</v>
      </c>
      <c r="J240">
        <v>4.766666667</v>
      </c>
    </row>
    <row r="241" spans="1:10" x14ac:dyDescent="0.25">
      <c r="A241" t="s">
        <v>83</v>
      </c>
      <c r="B241">
        <v>6</v>
      </c>
      <c r="C241" t="s">
        <v>21</v>
      </c>
      <c r="D241" t="s">
        <v>94</v>
      </c>
      <c r="E241" t="s">
        <v>120</v>
      </c>
      <c r="F241" t="s">
        <v>102</v>
      </c>
      <c r="G241">
        <v>-6.233333333</v>
      </c>
      <c r="H241">
        <v>12.66666667</v>
      </c>
      <c r="I241">
        <v>12.5</v>
      </c>
      <c r="J241">
        <v>6.4333333330000002</v>
      </c>
    </row>
    <row r="242" spans="1:10" x14ac:dyDescent="0.25">
      <c r="A242" t="s">
        <v>83</v>
      </c>
      <c r="B242">
        <v>6</v>
      </c>
      <c r="C242" t="s">
        <v>21</v>
      </c>
      <c r="D242" t="s">
        <v>94</v>
      </c>
      <c r="E242" t="s">
        <v>120</v>
      </c>
      <c r="F242" t="s">
        <v>103</v>
      </c>
      <c r="G242">
        <v>-4.5666666669999998</v>
      </c>
      <c r="H242">
        <v>9.3333333330000006</v>
      </c>
      <c r="I242">
        <v>9.1666666669999994</v>
      </c>
      <c r="J242">
        <v>4.766666667</v>
      </c>
    </row>
    <row r="243" spans="1:10" x14ac:dyDescent="0.25">
      <c r="A243" t="s">
        <v>83</v>
      </c>
      <c r="B243">
        <v>6</v>
      </c>
      <c r="C243" t="s">
        <v>21</v>
      </c>
      <c r="D243" t="s">
        <v>94</v>
      </c>
      <c r="E243" t="s">
        <v>120</v>
      </c>
      <c r="F243" t="s">
        <v>111</v>
      </c>
      <c r="G243">
        <v>-5.233333333</v>
      </c>
      <c r="H243">
        <v>10.33333333</v>
      </c>
      <c r="I243">
        <v>9.5</v>
      </c>
      <c r="J243">
        <v>5.0999999999999996</v>
      </c>
    </row>
    <row r="244" spans="1:10" x14ac:dyDescent="0.25">
      <c r="A244" t="s">
        <v>84</v>
      </c>
      <c r="B244">
        <v>6</v>
      </c>
      <c r="C244" t="s">
        <v>23</v>
      </c>
      <c r="D244" t="s">
        <v>95</v>
      </c>
      <c r="E244" t="s">
        <v>120</v>
      </c>
      <c r="F244" t="s">
        <v>102</v>
      </c>
      <c r="G244">
        <v>-6.8666666669999996</v>
      </c>
      <c r="H244">
        <v>12.133333329999999</v>
      </c>
      <c r="I244">
        <v>12.46666667</v>
      </c>
      <c r="J244">
        <v>5.266666667</v>
      </c>
    </row>
    <row r="245" spans="1:10" x14ac:dyDescent="0.25">
      <c r="A245" t="s">
        <v>84</v>
      </c>
      <c r="B245">
        <v>6</v>
      </c>
      <c r="C245" t="s">
        <v>23</v>
      </c>
      <c r="D245" t="s">
        <v>95</v>
      </c>
      <c r="E245" t="s">
        <v>120</v>
      </c>
      <c r="F245" t="s">
        <v>105</v>
      </c>
      <c r="G245">
        <v>-7.0666666669999998</v>
      </c>
      <c r="H245">
        <v>11.16666667</v>
      </c>
      <c r="I245">
        <v>9.1999999999999993</v>
      </c>
      <c r="J245">
        <v>4.0999999999999996</v>
      </c>
    </row>
    <row r="246" spans="1:10" x14ac:dyDescent="0.25">
      <c r="A246" t="s">
        <v>84</v>
      </c>
      <c r="B246">
        <v>6</v>
      </c>
      <c r="C246" t="s">
        <v>23</v>
      </c>
      <c r="D246" t="s">
        <v>95</v>
      </c>
      <c r="E246" t="s">
        <v>120</v>
      </c>
      <c r="F246" t="s">
        <v>111</v>
      </c>
      <c r="G246">
        <v>-7.0333333329999999</v>
      </c>
      <c r="H246">
        <v>13.46666667</v>
      </c>
      <c r="I246">
        <v>13</v>
      </c>
      <c r="J246">
        <v>6.4333333330000002</v>
      </c>
    </row>
    <row r="247" spans="1:10" x14ac:dyDescent="0.25">
      <c r="A247" t="s">
        <v>84</v>
      </c>
      <c r="B247">
        <v>6</v>
      </c>
      <c r="C247" t="s">
        <v>23</v>
      </c>
      <c r="D247" t="s">
        <v>95</v>
      </c>
      <c r="E247" t="s">
        <v>120</v>
      </c>
      <c r="F247" t="s">
        <v>112</v>
      </c>
      <c r="G247">
        <v>-7.8</v>
      </c>
      <c r="H247">
        <v>15.06666667</v>
      </c>
      <c r="I247">
        <v>16.899999999999999</v>
      </c>
      <c r="J247">
        <v>7.266666667</v>
      </c>
    </row>
    <row r="248" spans="1:10" x14ac:dyDescent="0.25">
      <c r="A248" t="s">
        <v>85</v>
      </c>
      <c r="B248">
        <v>6</v>
      </c>
      <c r="C248" t="s">
        <v>25</v>
      </c>
      <c r="D248" t="s">
        <v>94</v>
      </c>
      <c r="E248" t="s">
        <v>120</v>
      </c>
      <c r="F248" t="s">
        <v>105</v>
      </c>
      <c r="G248">
        <v>-6.3666666669999996</v>
      </c>
      <c r="H248">
        <v>12.3</v>
      </c>
      <c r="I248">
        <v>11.33333333</v>
      </c>
      <c r="J248">
        <v>5.9333333330000002</v>
      </c>
    </row>
    <row r="249" spans="1:10" x14ac:dyDescent="0.25">
      <c r="A249" t="s">
        <v>85</v>
      </c>
      <c r="B249">
        <v>6</v>
      </c>
      <c r="C249" t="s">
        <v>25</v>
      </c>
      <c r="D249" t="s">
        <v>94</v>
      </c>
      <c r="E249" t="s">
        <v>120</v>
      </c>
      <c r="F249" t="s">
        <v>110</v>
      </c>
      <c r="G249">
        <v>-4.4000000000000004</v>
      </c>
      <c r="H249">
        <v>10.5</v>
      </c>
      <c r="I249">
        <v>10.16666667</v>
      </c>
      <c r="J249">
        <v>6.1</v>
      </c>
    </row>
    <row r="250" spans="1:10" x14ac:dyDescent="0.25">
      <c r="A250" t="s">
        <v>86</v>
      </c>
      <c r="B250">
        <v>6</v>
      </c>
      <c r="C250" t="s">
        <v>27</v>
      </c>
      <c r="D250" t="s">
        <v>94</v>
      </c>
      <c r="E250" t="s">
        <v>120</v>
      </c>
      <c r="F250" t="s">
        <v>110</v>
      </c>
      <c r="G250">
        <v>-4.766666667</v>
      </c>
      <c r="H250">
        <v>8.5333333329999999</v>
      </c>
      <c r="I250">
        <v>8.4</v>
      </c>
      <c r="J250">
        <v>3.766666667</v>
      </c>
    </row>
    <row r="251" spans="1:10" x14ac:dyDescent="0.25">
      <c r="A251" t="s">
        <v>86</v>
      </c>
      <c r="B251">
        <v>6</v>
      </c>
      <c r="C251" t="s">
        <v>27</v>
      </c>
      <c r="D251" t="s">
        <v>94</v>
      </c>
      <c r="E251" t="s">
        <v>120</v>
      </c>
      <c r="F251" t="s">
        <v>112</v>
      </c>
      <c r="G251">
        <v>-3.733333333</v>
      </c>
      <c r="H251">
        <v>8.5</v>
      </c>
      <c r="I251">
        <v>7.9</v>
      </c>
      <c r="J251">
        <v>4.766666667</v>
      </c>
    </row>
    <row r="252" spans="1:10" x14ac:dyDescent="0.25">
      <c r="A252" t="s">
        <v>87</v>
      </c>
      <c r="B252">
        <v>6</v>
      </c>
      <c r="C252" t="s">
        <v>29</v>
      </c>
      <c r="D252" t="s">
        <v>95</v>
      </c>
      <c r="E252" t="s">
        <v>120</v>
      </c>
      <c r="F252" t="s">
        <v>102</v>
      </c>
      <c r="G252">
        <v>-7.8666666669999996</v>
      </c>
      <c r="H252">
        <v>13.133333329999999</v>
      </c>
      <c r="I252">
        <v>12</v>
      </c>
      <c r="J252">
        <v>5.266666667</v>
      </c>
    </row>
    <row r="253" spans="1:10" x14ac:dyDescent="0.25">
      <c r="A253" t="s">
        <v>87</v>
      </c>
      <c r="B253">
        <v>6</v>
      </c>
      <c r="C253" t="s">
        <v>29</v>
      </c>
      <c r="D253" t="s">
        <v>95</v>
      </c>
      <c r="E253" t="s">
        <v>120</v>
      </c>
      <c r="F253" t="s">
        <v>110</v>
      </c>
      <c r="G253">
        <v>-3.9</v>
      </c>
      <c r="H253">
        <v>9.5</v>
      </c>
      <c r="I253">
        <v>9.8333333330000006</v>
      </c>
      <c r="J253">
        <v>5.6</v>
      </c>
    </row>
    <row r="254" spans="1:10" x14ac:dyDescent="0.25">
      <c r="A254" t="s">
        <v>88</v>
      </c>
      <c r="B254">
        <v>6</v>
      </c>
      <c r="C254" t="s">
        <v>31</v>
      </c>
      <c r="D254" t="s">
        <v>95</v>
      </c>
      <c r="E254" t="s">
        <v>120</v>
      </c>
      <c r="F254" t="s">
        <v>110</v>
      </c>
      <c r="G254">
        <v>-7.4</v>
      </c>
      <c r="H254">
        <v>12.5</v>
      </c>
      <c r="I254">
        <v>11</v>
      </c>
      <c r="J254">
        <v>5.0999999999999996</v>
      </c>
    </row>
    <row r="255" spans="1:10" x14ac:dyDescent="0.25">
      <c r="A255" t="s">
        <v>88</v>
      </c>
      <c r="B255">
        <v>6</v>
      </c>
      <c r="C255" t="s">
        <v>31</v>
      </c>
      <c r="D255" t="s">
        <v>95</v>
      </c>
      <c r="E255" t="s">
        <v>120</v>
      </c>
      <c r="F255" t="s">
        <v>112</v>
      </c>
      <c r="G255">
        <v>-6.233333333</v>
      </c>
      <c r="H255">
        <v>11</v>
      </c>
      <c r="I255">
        <v>11.5</v>
      </c>
      <c r="J255">
        <v>4.766666667</v>
      </c>
    </row>
    <row r="256" spans="1:10" x14ac:dyDescent="0.25">
      <c r="A256" t="s">
        <v>89</v>
      </c>
      <c r="B256">
        <v>6</v>
      </c>
      <c r="C256" t="s">
        <v>33</v>
      </c>
      <c r="D256" t="s">
        <v>95</v>
      </c>
      <c r="E256" t="s">
        <v>120</v>
      </c>
      <c r="F256" t="s">
        <v>104</v>
      </c>
      <c r="G256">
        <v>-7.5</v>
      </c>
      <c r="H256">
        <v>13.43333333</v>
      </c>
      <c r="I256">
        <v>13.46666667</v>
      </c>
      <c r="J256">
        <v>5.9333333330000002</v>
      </c>
    </row>
    <row r="257" spans="1:10" x14ac:dyDescent="0.25">
      <c r="A257" t="s">
        <v>89</v>
      </c>
      <c r="B257">
        <v>6</v>
      </c>
      <c r="C257" t="s">
        <v>33</v>
      </c>
      <c r="D257" t="s">
        <v>95</v>
      </c>
      <c r="E257" t="s">
        <v>120</v>
      </c>
      <c r="F257" t="s">
        <v>112</v>
      </c>
      <c r="G257">
        <v>-11.96666667</v>
      </c>
      <c r="H257">
        <v>18.233333330000001</v>
      </c>
      <c r="I257">
        <v>16.399999999999999</v>
      </c>
      <c r="J257">
        <v>6.266666667</v>
      </c>
    </row>
    <row r="258" spans="1:10" x14ac:dyDescent="0.25">
      <c r="A258" t="s">
        <v>90</v>
      </c>
      <c r="B258">
        <v>6</v>
      </c>
      <c r="C258" t="s">
        <v>35</v>
      </c>
      <c r="D258" t="s">
        <v>94</v>
      </c>
      <c r="E258" t="s">
        <v>120</v>
      </c>
      <c r="F258" t="s">
        <v>111</v>
      </c>
      <c r="G258">
        <v>-6.0666666669999998</v>
      </c>
      <c r="H258">
        <v>10.83333333</v>
      </c>
      <c r="I258">
        <v>9.5</v>
      </c>
      <c r="J258">
        <v>4.766666667</v>
      </c>
    </row>
    <row r="259" spans="1:10" x14ac:dyDescent="0.25">
      <c r="A259" t="s">
        <v>90</v>
      </c>
      <c r="B259">
        <v>6</v>
      </c>
      <c r="C259" t="s">
        <v>35</v>
      </c>
      <c r="D259" t="s">
        <v>94</v>
      </c>
      <c r="E259" t="s">
        <v>120</v>
      </c>
      <c r="F259" t="s">
        <v>104</v>
      </c>
      <c r="G259">
        <v>-5.5666666669999998</v>
      </c>
      <c r="H259">
        <v>11</v>
      </c>
      <c r="I259">
        <v>11.33333333</v>
      </c>
      <c r="J259">
        <v>5.4333333330000002</v>
      </c>
    </row>
    <row r="260" spans="1:10" x14ac:dyDescent="0.25">
      <c r="A260" t="s">
        <v>91</v>
      </c>
      <c r="B260">
        <v>6</v>
      </c>
      <c r="C260" t="s">
        <v>37</v>
      </c>
      <c r="D260" t="s">
        <v>94</v>
      </c>
      <c r="E260" t="s">
        <v>120</v>
      </c>
      <c r="F260" t="s">
        <v>112</v>
      </c>
      <c r="G260">
        <v>-6.0666666669999998</v>
      </c>
      <c r="H260">
        <v>10.66666667</v>
      </c>
      <c r="I260">
        <v>9.5</v>
      </c>
      <c r="J260">
        <v>4.5999999999999996</v>
      </c>
    </row>
    <row r="261" spans="1:10" x14ac:dyDescent="0.25">
      <c r="A261" t="s">
        <v>92</v>
      </c>
      <c r="B261">
        <v>6</v>
      </c>
      <c r="C261" t="s">
        <v>64</v>
      </c>
      <c r="D261" t="s">
        <v>94</v>
      </c>
      <c r="E261" t="s">
        <v>120</v>
      </c>
      <c r="F261" t="s">
        <v>112</v>
      </c>
      <c r="G261">
        <v>-4.4000000000000004</v>
      </c>
      <c r="H261">
        <v>10.16666667</v>
      </c>
      <c r="I261">
        <v>10.66666667</v>
      </c>
      <c r="J261">
        <v>5.766666667</v>
      </c>
    </row>
    <row r="262" spans="1:10" x14ac:dyDescent="0.25">
      <c r="A262" t="s">
        <v>93</v>
      </c>
      <c r="B262">
        <v>6</v>
      </c>
      <c r="C262" t="s">
        <v>66</v>
      </c>
      <c r="D262" t="s">
        <v>95</v>
      </c>
      <c r="E262" t="s">
        <v>120</v>
      </c>
      <c r="F262" t="s">
        <v>104</v>
      </c>
      <c r="G262">
        <v>-7.4</v>
      </c>
      <c r="H262">
        <v>12.16666667</v>
      </c>
      <c r="I262">
        <v>11</v>
      </c>
      <c r="J262">
        <v>4.766666667</v>
      </c>
    </row>
  </sheetData>
  <sortState ref="A2:W68">
    <sortCondition ref="D2:D68"/>
  </sortState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Views>
    <sheetView workbookViewId="0">
      <selection activeCell="B2" sqref="A1:E7"/>
    </sheetView>
  </sheetViews>
  <sheetFormatPr defaultRowHeight="15" x14ac:dyDescent="0.25"/>
  <cols>
    <col min="1" max="2" width="14.5703125" customWidth="1"/>
  </cols>
  <sheetData>
    <row r="1" spans="1:5" x14ac:dyDescent="0.25">
      <c r="A1" t="s">
        <v>1064</v>
      </c>
      <c r="B1" t="s">
        <v>1069</v>
      </c>
      <c r="C1" t="s">
        <v>2</v>
      </c>
      <c r="D1" t="s">
        <v>1020</v>
      </c>
      <c r="E1" t="s">
        <v>1068</v>
      </c>
    </row>
    <row r="2" spans="1:5" x14ac:dyDescent="0.25">
      <c r="A2" t="s">
        <v>1065</v>
      </c>
      <c r="B2">
        <v>1</v>
      </c>
      <c r="C2" t="s">
        <v>94</v>
      </c>
      <c r="D2">
        <v>14.78</v>
      </c>
      <c r="E2">
        <v>0.73</v>
      </c>
    </row>
    <row r="3" spans="1:5" x14ac:dyDescent="0.25">
      <c r="A3" t="s">
        <v>1066</v>
      </c>
      <c r="B3">
        <v>2</v>
      </c>
      <c r="C3" t="s">
        <v>94</v>
      </c>
      <c r="D3">
        <v>15.42</v>
      </c>
      <c r="E3">
        <v>0.7</v>
      </c>
    </row>
    <row r="4" spans="1:5" x14ac:dyDescent="0.25">
      <c r="A4" t="s">
        <v>1067</v>
      </c>
      <c r="B4">
        <v>3</v>
      </c>
      <c r="C4" t="s">
        <v>94</v>
      </c>
      <c r="D4">
        <v>6.69</v>
      </c>
      <c r="E4">
        <v>0.34</v>
      </c>
    </row>
    <row r="5" spans="1:5" x14ac:dyDescent="0.25">
      <c r="A5" t="s">
        <v>1065</v>
      </c>
      <c r="B5">
        <v>1</v>
      </c>
      <c r="C5" t="s">
        <v>95</v>
      </c>
      <c r="D5">
        <v>15.34</v>
      </c>
      <c r="E5">
        <v>0.53</v>
      </c>
    </row>
    <row r="6" spans="1:5" x14ac:dyDescent="0.25">
      <c r="A6" t="s">
        <v>1066</v>
      </c>
      <c r="B6">
        <v>2</v>
      </c>
      <c r="C6" t="s">
        <v>95</v>
      </c>
      <c r="D6">
        <v>17.43</v>
      </c>
      <c r="E6">
        <v>0.72</v>
      </c>
    </row>
    <row r="7" spans="1:5" x14ac:dyDescent="0.25">
      <c r="A7" t="s">
        <v>1067</v>
      </c>
      <c r="B7">
        <v>3</v>
      </c>
      <c r="C7" t="s">
        <v>95</v>
      </c>
      <c r="D7">
        <v>7.41</v>
      </c>
      <c r="E7">
        <v>0.33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02"/>
  <sheetViews>
    <sheetView workbookViewId="0">
      <selection activeCell="K17" sqref="K17"/>
    </sheetView>
  </sheetViews>
  <sheetFormatPr defaultRowHeight="15" x14ac:dyDescent="0.25"/>
  <sheetData>
    <row r="1" spans="1:6" x14ac:dyDescent="0.25">
      <c r="A1" t="s">
        <v>96</v>
      </c>
      <c r="B1" t="s">
        <v>146</v>
      </c>
      <c r="C1" t="s">
        <v>2</v>
      </c>
      <c r="D1" t="s">
        <v>1063</v>
      </c>
      <c r="E1" t="s">
        <v>1070</v>
      </c>
      <c r="F1" t="s">
        <v>1072</v>
      </c>
    </row>
    <row r="2" spans="1:6" x14ac:dyDescent="0.25">
      <c r="A2" t="s">
        <v>67</v>
      </c>
      <c r="B2">
        <v>10</v>
      </c>
      <c r="C2" t="s">
        <v>94</v>
      </c>
      <c r="D2">
        <v>-10.3</v>
      </c>
      <c r="E2" t="s">
        <v>1071</v>
      </c>
      <c r="F2">
        <v>20.8</v>
      </c>
    </row>
    <row r="3" spans="1:6" x14ac:dyDescent="0.25">
      <c r="A3" t="s">
        <v>71</v>
      </c>
      <c r="B3">
        <v>10</v>
      </c>
      <c r="C3" t="s">
        <v>94</v>
      </c>
      <c r="D3">
        <v>-6.0666666669999998</v>
      </c>
      <c r="E3" t="s">
        <v>1071</v>
      </c>
      <c r="F3">
        <v>11.83333333</v>
      </c>
    </row>
    <row r="4" spans="1:6" x14ac:dyDescent="0.25">
      <c r="A4" t="s">
        <v>73</v>
      </c>
      <c r="B4">
        <v>10</v>
      </c>
      <c r="C4" t="s">
        <v>94</v>
      </c>
      <c r="D4">
        <v>-8.5</v>
      </c>
      <c r="E4" t="s">
        <v>1071</v>
      </c>
      <c r="F4">
        <v>14.266666669999999</v>
      </c>
    </row>
    <row r="5" spans="1:6" x14ac:dyDescent="0.25">
      <c r="A5" t="s">
        <v>75</v>
      </c>
      <c r="B5">
        <v>10</v>
      </c>
      <c r="C5" t="s">
        <v>94</v>
      </c>
      <c r="D5">
        <v>-8.3333333330000006</v>
      </c>
      <c r="E5" t="s">
        <v>1071</v>
      </c>
      <c r="F5">
        <v>14.43333333</v>
      </c>
    </row>
    <row r="6" spans="1:6" x14ac:dyDescent="0.25">
      <c r="A6" t="s">
        <v>76</v>
      </c>
      <c r="B6">
        <v>10</v>
      </c>
      <c r="C6" t="s">
        <v>94</v>
      </c>
      <c r="D6">
        <v>-6.9</v>
      </c>
      <c r="E6" t="s">
        <v>1071</v>
      </c>
      <c r="F6">
        <v>17.56666667</v>
      </c>
    </row>
    <row r="7" spans="1:6" x14ac:dyDescent="0.25">
      <c r="A7" t="s">
        <v>77</v>
      </c>
      <c r="B7">
        <v>10</v>
      </c>
      <c r="C7" t="s">
        <v>94</v>
      </c>
      <c r="D7">
        <v>-11.3</v>
      </c>
      <c r="E7" t="s">
        <v>1071</v>
      </c>
      <c r="F7">
        <v>16.56666667</v>
      </c>
    </row>
    <row r="8" spans="1:6" x14ac:dyDescent="0.25">
      <c r="A8" t="s">
        <v>78</v>
      </c>
      <c r="B8">
        <v>10</v>
      </c>
      <c r="C8" t="s">
        <v>94</v>
      </c>
      <c r="D8">
        <v>-8.2333333329999991</v>
      </c>
      <c r="E8" t="s">
        <v>1071</v>
      </c>
      <c r="F8">
        <v>16.899999999999999</v>
      </c>
    </row>
    <row r="9" spans="1:6" x14ac:dyDescent="0.25">
      <c r="A9" t="s">
        <v>51</v>
      </c>
      <c r="B9">
        <v>12</v>
      </c>
      <c r="C9" t="s">
        <v>94</v>
      </c>
      <c r="D9">
        <v>-8.6666666669999994</v>
      </c>
      <c r="E9" t="s">
        <v>1071</v>
      </c>
      <c r="F9">
        <v>13.766666669999999</v>
      </c>
    </row>
    <row r="10" spans="1:6" x14ac:dyDescent="0.25">
      <c r="A10" t="s">
        <v>53</v>
      </c>
      <c r="B10">
        <v>12</v>
      </c>
      <c r="C10" t="s">
        <v>94</v>
      </c>
      <c r="D10">
        <v>-8.1999999999999993</v>
      </c>
      <c r="E10" t="s">
        <v>1071</v>
      </c>
      <c r="F10">
        <v>16.06666667</v>
      </c>
    </row>
    <row r="11" spans="1:6" x14ac:dyDescent="0.25">
      <c r="A11" t="s">
        <v>55</v>
      </c>
      <c r="B11">
        <v>12</v>
      </c>
      <c r="C11" t="s">
        <v>94</v>
      </c>
      <c r="D11">
        <v>-12.633333329999999</v>
      </c>
      <c r="E11" t="s">
        <v>1071</v>
      </c>
      <c r="F11">
        <v>21.466666669999999</v>
      </c>
    </row>
    <row r="12" spans="1:6" x14ac:dyDescent="0.25">
      <c r="A12" t="s">
        <v>56</v>
      </c>
      <c r="B12">
        <v>12</v>
      </c>
      <c r="C12" t="s">
        <v>94</v>
      </c>
      <c r="D12">
        <v>-4.5666666669999998</v>
      </c>
      <c r="E12" t="s">
        <v>1071</v>
      </c>
      <c r="F12">
        <v>11.16666667</v>
      </c>
    </row>
    <row r="13" spans="1:6" x14ac:dyDescent="0.25">
      <c r="A13" t="s">
        <v>57</v>
      </c>
      <c r="B13">
        <v>12</v>
      </c>
      <c r="C13" t="s">
        <v>94</v>
      </c>
      <c r="D13">
        <v>-6.5666666669999998</v>
      </c>
      <c r="E13" t="s">
        <v>1071</v>
      </c>
      <c r="F13">
        <v>11.66666667</v>
      </c>
    </row>
    <row r="14" spans="1:6" x14ac:dyDescent="0.25">
      <c r="A14" t="s">
        <v>59</v>
      </c>
      <c r="B14">
        <v>12</v>
      </c>
      <c r="C14" t="s">
        <v>94</v>
      </c>
      <c r="D14">
        <v>-13.233333330000001</v>
      </c>
      <c r="E14" t="s">
        <v>1071</v>
      </c>
      <c r="F14">
        <v>19.5</v>
      </c>
    </row>
    <row r="15" spans="1:6" x14ac:dyDescent="0.25">
      <c r="A15" t="s">
        <v>61</v>
      </c>
      <c r="B15">
        <v>12</v>
      </c>
      <c r="C15" t="s">
        <v>94</v>
      </c>
      <c r="D15">
        <v>-7.0333333329999999</v>
      </c>
      <c r="E15" t="s">
        <v>1071</v>
      </c>
      <c r="F15">
        <v>12.633333329999999</v>
      </c>
    </row>
    <row r="16" spans="1:6" x14ac:dyDescent="0.25">
      <c r="A16" t="s">
        <v>63</v>
      </c>
      <c r="B16">
        <v>12</v>
      </c>
      <c r="C16" t="s">
        <v>94</v>
      </c>
      <c r="D16">
        <v>-5.5666666669999998</v>
      </c>
      <c r="E16" t="s">
        <v>1071</v>
      </c>
      <c r="F16">
        <v>14.766666669999999</v>
      </c>
    </row>
    <row r="17" spans="1:6" x14ac:dyDescent="0.25">
      <c r="A17" t="s">
        <v>10</v>
      </c>
      <c r="B17">
        <v>15</v>
      </c>
      <c r="C17" t="s">
        <v>94</v>
      </c>
      <c r="D17">
        <v>-11.133333329999999</v>
      </c>
      <c r="E17" t="s">
        <v>1071</v>
      </c>
      <c r="F17">
        <v>20.633333329999999</v>
      </c>
    </row>
    <row r="18" spans="1:6" x14ac:dyDescent="0.25">
      <c r="A18" t="s">
        <v>14</v>
      </c>
      <c r="B18">
        <v>15</v>
      </c>
      <c r="C18" t="s">
        <v>94</v>
      </c>
      <c r="D18">
        <v>-13.133333329999999</v>
      </c>
      <c r="E18" t="s">
        <v>1071</v>
      </c>
      <c r="F18">
        <v>21.5</v>
      </c>
    </row>
    <row r="19" spans="1:6" x14ac:dyDescent="0.25">
      <c r="A19" t="s">
        <v>20</v>
      </c>
      <c r="B19">
        <v>15</v>
      </c>
      <c r="C19" t="s">
        <v>94</v>
      </c>
      <c r="D19">
        <v>-10.16666667</v>
      </c>
      <c r="E19" t="s">
        <v>1071</v>
      </c>
      <c r="F19">
        <v>17.06666667</v>
      </c>
    </row>
    <row r="20" spans="1:6" x14ac:dyDescent="0.25">
      <c r="A20" t="s">
        <v>28</v>
      </c>
      <c r="B20">
        <v>15</v>
      </c>
      <c r="C20" t="s">
        <v>94</v>
      </c>
      <c r="D20">
        <v>-7.9</v>
      </c>
      <c r="E20" t="s">
        <v>1071</v>
      </c>
      <c r="F20">
        <v>12.33333333</v>
      </c>
    </row>
    <row r="21" spans="1:6" x14ac:dyDescent="0.25">
      <c r="A21" t="s">
        <v>32</v>
      </c>
      <c r="B21">
        <v>15</v>
      </c>
      <c r="C21" t="s">
        <v>94</v>
      </c>
      <c r="D21">
        <v>-4.4333333330000002</v>
      </c>
      <c r="E21" t="s">
        <v>1071</v>
      </c>
      <c r="F21">
        <v>11</v>
      </c>
    </row>
    <row r="22" spans="1:6" x14ac:dyDescent="0.25">
      <c r="A22" t="s">
        <v>34</v>
      </c>
      <c r="B22">
        <v>15</v>
      </c>
      <c r="C22" t="s">
        <v>94</v>
      </c>
      <c r="D22">
        <v>-4.733333333</v>
      </c>
      <c r="E22" t="s">
        <v>1071</v>
      </c>
      <c r="F22">
        <v>9</v>
      </c>
    </row>
    <row r="23" spans="1:6" x14ac:dyDescent="0.25">
      <c r="A23" t="s">
        <v>39</v>
      </c>
      <c r="B23">
        <v>2</v>
      </c>
      <c r="C23" t="s">
        <v>94</v>
      </c>
      <c r="D23">
        <v>-8.6999999999999993</v>
      </c>
      <c r="E23" t="s">
        <v>1071</v>
      </c>
      <c r="F23">
        <v>13.3</v>
      </c>
    </row>
    <row r="24" spans="1:6" x14ac:dyDescent="0.25">
      <c r="A24" t="s">
        <v>41</v>
      </c>
      <c r="B24">
        <v>2</v>
      </c>
      <c r="C24" t="s">
        <v>94</v>
      </c>
      <c r="D24">
        <v>-8.4666666670000001</v>
      </c>
      <c r="E24" t="s">
        <v>1071</v>
      </c>
      <c r="F24">
        <v>15.9</v>
      </c>
    </row>
    <row r="25" spans="1:6" x14ac:dyDescent="0.25">
      <c r="A25" t="s">
        <v>42</v>
      </c>
      <c r="B25">
        <v>2</v>
      </c>
      <c r="C25" t="s">
        <v>94</v>
      </c>
      <c r="D25">
        <v>-14.766666669999999</v>
      </c>
      <c r="E25" t="s">
        <v>1071</v>
      </c>
      <c r="F25">
        <v>23.766666669999999</v>
      </c>
    </row>
    <row r="26" spans="1:6" x14ac:dyDescent="0.25">
      <c r="A26" t="s">
        <v>43</v>
      </c>
      <c r="B26">
        <v>2</v>
      </c>
      <c r="C26" t="s">
        <v>94</v>
      </c>
      <c r="D26">
        <v>-14.1</v>
      </c>
      <c r="E26" t="s">
        <v>1071</v>
      </c>
      <c r="F26">
        <v>25.1</v>
      </c>
    </row>
    <row r="27" spans="1:6" x14ac:dyDescent="0.25">
      <c r="A27" t="s">
        <v>47</v>
      </c>
      <c r="B27">
        <v>2</v>
      </c>
      <c r="C27" t="s">
        <v>94</v>
      </c>
      <c r="D27">
        <v>-8.1666666669999994</v>
      </c>
      <c r="E27" t="s">
        <v>1071</v>
      </c>
      <c r="F27">
        <v>13.6</v>
      </c>
    </row>
    <row r="28" spans="1:6" x14ac:dyDescent="0.25">
      <c r="A28" t="s">
        <v>49</v>
      </c>
      <c r="B28">
        <v>2</v>
      </c>
      <c r="C28" t="s">
        <v>94</v>
      </c>
      <c r="D28">
        <v>-6.5666666669999998</v>
      </c>
      <c r="E28" t="s">
        <v>1071</v>
      </c>
      <c r="F28">
        <v>11.16666667</v>
      </c>
    </row>
    <row r="29" spans="1:6" x14ac:dyDescent="0.25">
      <c r="A29" t="s">
        <v>81</v>
      </c>
      <c r="B29">
        <v>6</v>
      </c>
      <c r="C29" t="s">
        <v>94</v>
      </c>
      <c r="D29">
        <v>-6.6666666670000003</v>
      </c>
      <c r="E29" t="s">
        <v>1071</v>
      </c>
      <c r="F29">
        <v>14.4</v>
      </c>
    </row>
    <row r="30" spans="1:6" x14ac:dyDescent="0.25">
      <c r="A30" t="s">
        <v>82</v>
      </c>
      <c r="B30">
        <v>6</v>
      </c>
      <c r="C30" t="s">
        <v>94</v>
      </c>
      <c r="D30">
        <v>-5.733333333</v>
      </c>
      <c r="E30" t="s">
        <v>1071</v>
      </c>
      <c r="F30">
        <v>13.46666667</v>
      </c>
    </row>
    <row r="31" spans="1:6" x14ac:dyDescent="0.25">
      <c r="A31" t="s">
        <v>83</v>
      </c>
      <c r="B31">
        <v>6</v>
      </c>
      <c r="C31" t="s">
        <v>94</v>
      </c>
      <c r="D31">
        <v>-5.5666666669999998</v>
      </c>
      <c r="E31" t="s">
        <v>1071</v>
      </c>
      <c r="F31">
        <v>10.66666667</v>
      </c>
    </row>
    <row r="32" spans="1:6" x14ac:dyDescent="0.25">
      <c r="A32" t="s">
        <v>85</v>
      </c>
      <c r="B32">
        <v>6</v>
      </c>
      <c r="C32" t="s">
        <v>94</v>
      </c>
      <c r="D32">
        <v>-4.4000000000000004</v>
      </c>
      <c r="E32" t="s">
        <v>1071</v>
      </c>
      <c r="F32">
        <v>10.33333333</v>
      </c>
    </row>
    <row r="33" spans="1:6" x14ac:dyDescent="0.25">
      <c r="A33" t="s">
        <v>86</v>
      </c>
      <c r="B33">
        <v>6</v>
      </c>
      <c r="C33" t="s">
        <v>94</v>
      </c>
      <c r="D33">
        <v>-4.733333333</v>
      </c>
      <c r="E33" t="s">
        <v>1071</v>
      </c>
      <c r="F33">
        <v>9.1666666669999994</v>
      </c>
    </row>
    <row r="34" spans="1:6" x14ac:dyDescent="0.25">
      <c r="A34" t="s">
        <v>90</v>
      </c>
      <c r="B34">
        <v>6</v>
      </c>
      <c r="C34" t="s">
        <v>94</v>
      </c>
      <c r="D34">
        <v>-5.9</v>
      </c>
      <c r="E34" t="s">
        <v>1071</v>
      </c>
      <c r="F34">
        <v>10.16666667</v>
      </c>
    </row>
    <row r="35" spans="1:6" x14ac:dyDescent="0.25">
      <c r="A35" t="s">
        <v>91</v>
      </c>
      <c r="B35">
        <v>6</v>
      </c>
      <c r="C35" t="s">
        <v>94</v>
      </c>
      <c r="D35">
        <v>-6.1</v>
      </c>
      <c r="E35" t="s">
        <v>1071</v>
      </c>
      <c r="F35">
        <v>10.03333333</v>
      </c>
    </row>
    <row r="36" spans="1:6" x14ac:dyDescent="0.25">
      <c r="A36" t="s">
        <v>92</v>
      </c>
      <c r="B36">
        <v>6</v>
      </c>
      <c r="C36" t="s">
        <v>94</v>
      </c>
      <c r="D36">
        <v>-5.733333333</v>
      </c>
      <c r="E36" t="s">
        <v>1071</v>
      </c>
      <c r="F36">
        <v>11.33333333</v>
      </c>
    </row>
    <row r="37" spans="1:6" x14ac:dyDescent="0.25">
      <c r="A37" t="s">
        <v>68</v>
      </c>
      <c r="B37">
        <v>10</v>
      </c>
      <c r="C37" t="s">
        <v>95</v>
      </c>
      <c r="D37">
        <v>-7.7</v>
      </c>
      <c r="E37" t="s">
        <v>1071</v>
      </c>
      <c r="F37">
        <v>14.133333329999999</v>
      </c>
    </row>
    <row r="38" spans="1:6" x14ac:dyDescent="0.25">
      <c r="A38" t="s">
        <v>69</v>
      </c>
      <c r="B38">
        <v>10</v>
      </c>
      <c r="C38" t="s">
        <v>95</v>
      </c>
      <c r="D38">
        <v>-7.8666666669999996</v>
      </c>
      <c r="E38" t="s">
        <v>1071</v>
      </c>
      <c r="F38">
        <v>18.366666670000001</v>
      </c>
    </row>
    <row r="39" spans="1:6" x14ac:dyDescent="0.25">
      <c r="A39" t="s">
        <v>70</v>
      </c>
      <c r="B39">
        <v>10</v>
      </c>
      <c r="C39" t="s">
        <v>95</v>
      </c>
      <c r="D39">
        <v>-11.133333329999999</v>
      </c>
      <c r="E39" t="s">
        <v>1071</v>
      </c>
      <c r="F39">
        <v>17.233333330000001</v>
      </c>
    </row>
    <row r="40" spans="1:6" x14ac:dyDescent="0.25">
      <c r="A40" t="s">
        <v>72</v>
      </c>
      <c r="B40">
        <v>10</v>
      </c>
      <c r="C40" t="s">
        <v>95</v>
      </c>
      <c r="D40">
        <v>-4.766666667</v>
      </c>
      <c r="E40" t="s">
        <v>1071</v>
      </c>
      <c r="F40">
        <v>14.1</v>
      </c>
    </row>
    <row r="41" spans="1:6" x14ac:dyDescent="0.25">
      <c r="A41" t="s">
        <v>74</v>
      </c>
      <c r="B41">
        <v>10</v>
      </c>
      <c r="C41" t="s">
        <v>95</v>
      </c>
      <c r="D41">
        <v>-6.8666666669999996</v>
      </c>
      <c r="E41" t="s">
        <v>1071</v>
      </c>
      <c r="F41">
        <v>13.96666667</v>
      </c>
    </row>
    <row r="42" spans="1:6" x14ac:dyDescent="0.25">
      <c r="A42" t="s">
        <v>50</v>
      </c>
      <c r="B42">
        <v>12</v>
      </c>
      <c r="C42" t="s">
        <v>95</v>
      </c>
      <c r="D42">
        <v>-8.3666666670000005</v>
      </c>
      <c r="E42" t="s">
        <v>1071</v>
      </c>
      <c r="F42">
        <v>15.9</v>
      </c>
    </row>
    <row r="43" spans="1:6" x14ac:dyDescent="0.25">
      <c r="A43" t="s">
        <v>52</v>
      </c>
      <c r="B43">
        <v>12</v>
      </c>
      <c r="C43" t="s">
        <v>95</v>
      </c>
      <c r="D43">
        <v>-6.3666666669999996</v>
      </c>
      <c r="E43" t="s">
        <v>1071</v>
      </c>
      <c r="F43">
        <v>13.766666669999999</v>
      </c>
    </row>
    <row r="44" spans="1:6" x14ac:dyDescent="0.25">
      <c r="A44" t="s">
        <v>54</v>
      </c>
      <c r="B44">
        <v>12</v>
      </c>
      <c r="C44" t="s">
        <v>95</v>
      </c>
      <c r="D44">
        <v>-8.6</v>
      </c>
      <c r="E44" t="s">
        <v>1071</v>
      </c>
      <c r="F44">
        <v>14.766666669999999</v>
      </c>
    </row>
    <row r="45" spans="1:6" x14ac:dyDescent="0.25">
      <c r="A45" t="s">
        <v>58</v>
      </c>
      <c r="B45">
        <v>12</v>
      </c>
      <c r="C45" t="s">
        <v>95</v>
      </c>
      <c r="D45">
        <v>-6.9666666670000001</v>
      </c>
      <c r="E45" t="s">
        <v>1071</v>
      </c>
      <c r="F45">
        <v>12</v>
      </c>
    </row>
    <row r="46" spans="1:6" x14ac:dyDescent="0.25">
      <c r="A46" t="s">
        <v>60</v>
      </c>
      <c r="B46">
        <v>12</v>
      </c>
      <c r="C46" t="s">
        <v>95</v>
      </c>
      <c r="D46">
        <v>-7.3166666669999998</v>
      </c>
      <c r="E46" t="s">
        <v>1071</v>
      </c>
      <c r="F46">
        <v>12.16666667</v>
      </c>
    </row>
    <row r="47" spans="1:6" x14ac:dyDescent="0.25">
      <c r="A47" t="s">
        <v>62</v>
      </c>
      <c r="B47">
        <v>12</v>
      </c>
      <c r="C47" t="s">
        <v>95</v>
      </c>
      <c r="D47">
        <v>-6.9</v>
      </c>
      <c r="E47" t="s">
        <v>1071</v>
      </c>
      <c r="F47">
        <v>13.96666667</v>
      </c>
    </row>
    <row r="48" spans="1:6" x14ac:dyDescent="0.25">
      <c r="A48" t="s">
        <v>65</v>
      </c>
      <c r="B48">
        <v>12</v>
      </c>
      <c r="C48" t="s">
        <v>95</v>
      </c>
      <c r="D48">
        <v>-16.06666667</v>
      </c>
      <c r="E48" t="s">
        <v>1071</v>
      </c>
      <c r="F48">
        <v>23.766666669999999</v>
      </c>
    </row>
    <row r="49" spans="1:6" x14ac:dyDescent="0.25">
      <c r="A49" t="s">
        <v>16</v>
      </c>
      <c r="B49">
        <v>15</v>
      </c>
      <c r="C49" t="s">
        <v>95</v>
      </c>
      <c r="D49">
        <v>-5.3666666669999996</v>
      </c>
      <c r="E49" t="s">
        <v>1071</v>
      </c>
      <c r="F49">
        <v>15.06666667</v>
      </c>
    </row>
    <row r="50" spans="1:6" x14ac:dyDescent="0.25">
      <c r="A50" t="s">
        <v>18</v>
      </c>
      <c r="B50">
        <v>15</v>
      </c>
      <c r="C50" t="s">
        <v>95</v>
      </c>
      <c r="D50">
        <v>-10.46666667</v>
      </c>
      <c r="E50" t="s">
        <v>1071</v>
      </c>
      <c r="F50">
        <v>16.06666667</v>
      </c>
    </row>
    <row r="51" spans="1:6" x14ac:dyDescent="0.25">
      <c r="A51" t="s">
        <v>22</v>
      </c>
      <c r="B51">
        <v>15</v>
      </c>
      <c r="C51" t="s">
        <v>95</v>
      </c>
      <c r="D51">
        <v>-5.4</v>
      </c>
      <c r="E51" t="s">
        <v>1071</v>
      </c>
      <c r="F51">
        <v>11.83333333</v>
      </c>
    </row>
    <row r="52" spans="1:6" x14ac:dyDescent="0.25">
      <c r="A52" t="s">
        <v>24</v>
      </c>
      <c r="B52">
        <v>15</v>
      </c>
      <c r="C52" t="s">
        <v>95</v>
      </c>
      <c r="D52" t="s">
        <v>114</v>
      </c>
      <c r="E52" t="s">
        <v>1071</v>
      </c>
      <c r="F52">
        <v>12</v>
      </c>
    </row>
    <row r="53" spans="1:6" x14ac:dyDescent="0.25">
      <c r="A53" t="s">
        <v>26</v>
      </c>
      <c r="B53">
        <v>15</v>
      </c>
      <c r="C53" t="s">
        <v>95</v>
      </c>
      <c r="D53">
        <v>-7.6666666670000003</v>
      </c>
      <c r="E53" t="s">
        <v>1071</v>
      </c>
      <c r="F53">
        <v>20.966666669999999</v>
      </c>
    </row>
    <row r="54" spans="1:6" x14ac:dyDescent="0.25">
      <c r="A54" t="s">
        <v>30</v>
      </c>
      <c r="B54">
        <v>15</v>
      </c>
      <c r="C54" t="s">
        <v>95</v>
      </c>
      <c r="D54">
        <v>-6.0333333329999999</v>
      </c>
      <c r="E54" t="s">
        <v>1071</v>
      </c>
      <c r="F54">
        <v>14.1</v>
      </c>
    </row>
    <row r="55" spans="1:6" x14ac:dyDescent="0.25">
      <c r="A55" t="s">
        <v>36</v>
      </c>
      <c r="B55">
        <v>15</v>
      </c>
      <c r="C55" t="s">
        <v>95</v>
      </c>
      <c r="D55">
        <v>-10.633333329999999</v>
      </c>
      <c r="E55" t="s">
        <v>1071</v>
      </c>
      <c r="F55">
        <v>20.966666669999999</v>
      </c>
    </row>
    <row r="56" spans="1:6" x14ac:dyDescent="0.25">
      <c r="A56" t="s">
        <v>38</v>
      </c>
      <c r="B56">
        <v>2</v>
      </c>
      <c r="C56" t="s">
        <v>95</v>
      </c>
      <c r="D56">
        <v>-11.633333329999999</v>
      </c>
      <c r="E56" t="s">
        <v>1071</v>
      </c>
      <c r="F56">
        <v>17.733333330000001</v>
      </c>
    </row>
    <row r="57" spans="1:6" x14ac:dyDescent="0.25">
      <c r="A57" t="s">
        <v>40</v>
      </c>
      <c r="B57">
        <v>2</v>
      </c>
      <c r="C57" t="s">
        <v>95</v>
      </c>
      <c r="D57">
        <v>-7.5666666669999998</v>
      </c>
      <c r="E57" t="s">
        <v>1071</v>
      </c>
      <c r="F57">
        <v>16.233333330000001</v>
      </c>
    </row>
    <row r="58" spans="1:6" x14ac:dyDescent="0.25">
      <c r="A58" t="s">
        <v>44</v>
      </c>
      <c r="B58">
        <v>2</v>
      </c>
      <c r="C58" t="s">
        <v>95</v>
      </c>
      <c r="D58">
        <v>-9.1666666669999994</v>
      </c>
      <c r="E58" t="s">
        <v>1071</v>
      </c>
      <c r="F58">
        <v>17.06666667</v>
      </c>
    </row>
    <row r="59" spans="1:6" x14ac:dyDescent="0.25">
      <c r="A59" t="s">
        <v>45</v>
      </c>
      <c r="B59">
        <v>2</v>
      </c>
      <c r="C59" t="s">
        <v>95</v>
      </c>
      <c r="D59">
        <v>-7.3666666669999996</v>
      </c>
      <c r="E59" t="s">
        <v>1071</v>
      </c>
      <c r="F59">
        <v>15.1</v>
      </c>
    </row>
    <row r="60" spans="1:6" x14ac:dyDescent="0.25">
      <c r="A60" t="s">
        <v>46</v>
      </c>
      <c r="B60">
        <v>2</v>
      </c>
      <c r="C60" t="s">
        <v>95</v>
      </c>
      <c r="D60">
        <v>-8.2666666670000009</v>
      </c>
      <c r="E60" t="s">
        <v>1071</v>
      </c>
      <c r="F60">
        <v>16.633333329999999</v>
      </c>
    </row>
    <row r="61" spans="1:6" x14ac:dyDescent="0.25">
      <c r="A61" t="s">
        <v>48</v>
      </c>
      <c r="B61">
        <v>2</v>
      </c>
      <c r="C61" t="s">
        <v>95</v>
      </c>
      <c r="D61">
        <v>-7.733333333</v>
      </c>
      <c r="E61" t="s">
        <v>1071</v>
      </c>
      <c r="F61">
        <v>13.33333333</v>
      </c>
    </row>
    <row r="62" spans="1:6" x14ac:dyDescent="0.25">
      <c r="A62" t="s">
        <v>79</v>
      </c>
      <c r="B62">
        <v>6</v>
      </c>
      <c r="C62" t="s">
        <v>95</v>
      </c>
      <c r="D62">
        <v>-10.8</v>
      </c>
      <c r="E62" t="s">
        <v>1071</v>
      </c>
      <c r="F62">
        <v>18.06666667</v>
      </c>
    </row>
    <row r="63" spans="1:6" x14ac:dyDescent="0.25">
      <c r="A63" t="s">
        <v>80</v>
      </c>
      <c r="B63">
        <v>6</v>
      </c>
      <c r="C63" t="s">
        <v>95</v>
      </c>
      <c r="D63">
        <v>-7.0333333329999999</v>
      </c>
      <c r="E63" t="s">
        <v>1071</v>
      </c>
      <c r="F63">
        <v>16.233333330000001</v>
      </c>
    </row>
    <row r="64" spans="1:6" x14ac:dyDescent="0.25">
      <c r="A64" t="s">
        <v>84</v>
      </c>
      <c r="B64">
        <v>6</v>
      </c>
      <c r="C64" t="s">
        <v>95</v>
      </c>
      <c r="D64">
        <v>-8.1999999999999993</v>
      </c>
      <c r="E64" t="s">
        <v>1071</v>
      </c>
      <c r="F64">
        <v>14.766666669999999</v>
      </c>
    </row>
    <row r="65" spans="1:6" x14ac:dyDescent="0.25">
      <c r="A65" t="s">
        <v>87</v>
      </c>
      <c r="B65">
        <v>6</v>
      </c>
      <c r="C65" t="s">
        <v>95</v>
      </c>
      <c r="D65">
        <v>-3.266666667</v>
      </c>
      <c r="E65" t="s">
        <v>1071</v>
      </c>
      <c r="F65">
        <v>9.3666666670000005</v>
      </c>
    </row>
    <row r="66" spans="1:6" x14ac:dyDescent="0.25">
      <c r="A66" t="s">
        <v>88</v>
      </c>
      <c r="B66">
        <v>6</v>
      </c>
      <c r="C66" t="s">
        <v>95</v>
      </c>
      <c r="D66">
        <v>-9.0333333329999999</v>
      </c>
      <c r="E66" t="s">
        <v>1071</v>
      </c>
      <c r="F66">
        <v>15.266666669999999</v>
      </c>
    </row>
    <row r="67" spans="1:6" x14ac:dyDescent="0.25">
      <c r="A67" t="s">
        <v>89</v>
      </c>
      <c r="B67">
        <v>6</v>
      </c>
      <c r="C67" t="s">
        <v>95</v>
      </c>
      <c r="D67">
        <v>-8</v>
      </c>
      <c r="E67" t="s">
        <v>1071</v>
      </c>
      <c r="F67">
        <v>14.6</v>
      </c>
    </row>
    <row r="68" spans="1:6" x14ac:dyDescent="0.25">
      <c r="A68" t="s">
        <v>93</v>
      </c>
      <c r="B68">
        <v>6</v>
      </c>
      <c r="C68" t="s">
        <v>95</v>
      </c>
      <c r="D68">
        <v>-6.733333333</v>
      </c>
      <c r="E68" t="s">
        <v>1071</v>
      </c>
      <c r="F68">
        <v>11.5</v>
      </c>
    </row>
    <row r="69" spans="1:6" x14ac:dyDescent="0.25">
      <c r="A69" t="s">
        <v>67</v>
      </c>
      <c r="B69">
        <v>10</v>
      </c>
      <c r="C69" t="s">
        <v>94</v>
      </c>
      <c r="D69">
        <v>-10.3</v>
      </c>
      <c r="E69" t="s">
        <v>1073</v>
      </c>
      <c r="F69">
        <v>22.466666669999999</v>
      </c>
    </row>
    <row r="70" spans="1:6" x14ac:dyDescent="0.25">
      <c r="A70" t="s">
        <v>71</v>
      </c>
      <c r="B70">
        <v>10</v>
      </c>
      <c r="C70" t="s">
        <v>94</v>
      </c>
      <c r="D70">
        <v>-6.0666666669999998</v>
      </c>
      <c r="E70" t="s">
        <v>1073</v>
      </c>
      <c r="F70">
        <v>13.8</v>
      </c>
    </row>
    <row r="71" spans="1:6" x14ac:dyDescent="0.25">
      <c r="A71" t="s">
        <v>73</v>
      </c>
      <c r="B71">
        <v>10</v>
      </c>
      <c r="C71" t="s">
        <v>94</v>
      </c>
      <c r="D71">
        <v>-8.5</v>
      </c>
      <c r="E71" t="s">
        <v>1073</v>
      </c>
      <c r="F71">
        <v>14.56666667</v>
      </c>
    </row>
    <row r="72" spans="1:6" x14ac:dyDescent="0.25">
      <c r="A72" t="s">
        <v>75</v>
      </c>
      <c r="B72">
        <v>10</v>
      </c>
      <c r="C72" t="s">
        <v>94</v>
      </c>
      <c r="D72">
        <v>-8.3333333330000006</v>
      </c>
      <c r="E72" t="s">
        <v>1073</v>
      </c>
      <c r="F72">
        <v>15.1</v>
      </c>
    </row>
    <row r="73" spans="1:6" x14ac:dyDescent="0.25">
      <c r="A73" t="s">
        <v>76</v>
      </c>
      <c r="B73">
        <v>10</v>
      </c>
      <c r="C73" t="s">
        <v>94</v>
      </c>
      <c r="D73">
        <v>-6.9</v>
      </c>
      <c r="E73" t="s">
        <v>1073</v>
      </c>
      <c r="F73">
        <v>15.1</v>
      </c>
    </row>
    <row r="74" spans="1:6" x14ac:dyDescent="0.25">
      <c r="A74" t="s">
        <v>77</v>
      </c>
      <c r="B74">
        <v>10</v>
      </c>
      <c r="C74" t="s">
        <v>94</v>
      </c>
      <c r="D74">
        <v>-11.3</v>
      </c>
      <c r="E74" t="s">
        <v>1073</v>
      </c>
      <c r="F74">
        <v>16.733333330000001</v>
      </c>
    </row>
    <row r="75" spans="1:6" x14ac:dyDescent="0.25">
      <c r="A75" t="s">
        <v>78</v>
      </c>
      <c r="B75">
        <v>10</v>
      </c>
      <c r="C75" t="s">
        <v>94</v>
      </c>
      <c r="D75">
        <v>-8.2333333329999991</v>
      </c>
      <c r="E75" t="s">
        <v>1073</v>
      </c>
      <c r="F75">
        <v>18.233333330000001</v>
      </c>
    </row>
    <row r="76" spans="1:6" x14ac:dyDescent="0.25">
      <c r="A76" t="s">
        <v>51</v>
      </c>
      <c r="B76">
        <v>12</v>
      </c>
      <c r="C76" t="s">
        <v>94</v>
      </c>
      <c r="D76">
        <v>-8.6666666669999994</v>
      </c>
      <c r="E76" t="s">
        <v>1073</v>
      </c>
      <c r="F76">
        <v>14.733333330000001</v>
      </c>
    </row>
    <row r="77" spans="1:6" x14ac:dyDescent="0.25">
      <c r="A77" t="s">
        <v>53</v>
      </c>
      <c r="B77">
        <v>12</v>
      </c>
      <c r="C77" t="s">
        <v>94</v>
      </c>
      <c r="D77">
        <v>-8.1999999999999993</v>
      </c>
      <c r="E77" t="s">
        <v>1073</v>
      </c>
      <c r="F77">
        <v>17.733333330000001</v>
      </c>
    </row>
    <row r="78" spans="1:6" x14ac:dyDescent="0.25">
      <c r="A78" t="s">
        <v>55</v>
      </c>
      <c r="B78">
        <v>12</v>
      </c>
      <c r="C78" t="s">
        <v>94</v>
      </c>
      <c r="D78">
        <v>-12.633333329999999</v>
      </c>
      <c r="E78" t="s">
        <v>1073</v>
      </c>
      <c r="F78">
        <v>24.06666667</v>
      </c>
    </row>
    <row r="79" spans="1:6" x14ac:dyDescent="0.25">
      <c r="A79" t="s">
        <v>56</v>
      </c>
      <c r="B79">
        <v>12</v>
      </c>
      <c r="C79" t="s">
        <v>94</v>
      </c>
      <c r="D79">
        <v>-4.5666666669999998</v>
      </c>
      <c r="E79" t="s">
        <v>1073</v>
      </c>
      <c r="F79">
        <v>12.66666667</v>
      </c>
    </row>
    <row r="80" spans="1:6" x14ac:dyDescent="0.25">
      <c r="A80" t="s">
        <v>57</v>
      </c>
      <c r="B80">
        <v>12</v>
      </c>
      <c r="C80" t="s">
        <v>94</v>
      </c>
      <c r="D80">
        <v>-6.5666666669999998</v>
      </c>
      <c r="E80" t="s">
        <v>1073</v>
      </c>
      <c r="F80">
        <v>13.133333329999999</v>
      </c>
    </row>
    <row r="81" spans="1:6" x14ac:dyDescent="0.25">
      <c r="A81" t="s">
        <v>59</v>
      </c>
      <c r="B81">
        <v>12</v>
      </c>
      <c r="C81" t="s">
        <v>94</v>
      </c>
      <c r="D81">
        <v>-13.233333330000001</v>
      </c>
      <c r="E81" t="s">
        <v>1073</v>
      </c>
      <c r="F81">
        <v>15.266666669999999</v>
      </c>
    </row>
    <row r="82" spans="1:6" x14ac:dyDescent="0.25">
      <c r="A82" t="s">
        <v>61</v>
      </c>
      <c r="B82">
        <v>12</v>
      </c>
      <c r="C82" t="s">
        <v>94</v>
      </c>
      <c r="D82">
        <v>-7.0333333329999999</v>
      </c>
      <c r="E82" t="s">
        <v>1073</v>
      </c>
      <c r="F82">
        <v>13.3</v>
      </c>
    </row>
    <row r="83" spans="1:6" x14ac:dyDescent="0.25">
      <c r="A83" t="s">
        <v>63</v>
      </c>
      <c r="B83">
        <v>12</v>
      </c>
      <c r="C83" t="s">
        <v>94</v>
      </c>
      <c r="D83">
        <v>-5.5666666669999998</v>
      </c>
      <c r="E83" t="s">
        <v>1073</v>
      </c>
      <c r="F83">
        <v>14.4</v>
      </c>
    </row>
    <row r="84" spans="1:6" x14ac:dyDescent="0.25">
      <c r="A84" t="s">
        <v>10</v>
      </c>
      <c r="B84">
        <v>15</v>
      </c>
      <c r="C84" t="s">
        <v>94</v>
      </c>
      <c r="D84">
        <v>-11.133333329999999</v>
      </c>
      <c r="E84" t="s">
        <v>1073</v>
      </c>
      <c r="F84">
        <v>22.133333329999999</v>
      </c>
    </row>
    <row r="85" spans="1:6" x14ac:dyDescent="0.25">
      <c r="A85" t="s">
        <v>14</v>
      </c>
      <c r="B85">
        <v>15</v>
      </c>
      <c r="C85" t="s">
        <v>94</v>
      </c>
      <c r="D85">
        <v>-13.133333329999999</v>
      </c>
      <c r="E85" t="s">
        <v>1073</v>
      </c>
      <c r="F85">
        <v>24.43333333</v>
      </c>
    </row>
    <row r="86" spans="1:6" x14ac:dyDescent="0.25">
      <c r="A86" t="s">
        <v>20</v>
      </c>
      <c r="B86">
        <v>15</v>
      </c>
      <c r="C86" t="s">
        <v>94</v>
      </c>
      <c r="D86">
        <v>-10.16666667</v>
      </c>
      <c r="E86" t="s">
        <v>1073</v>
      </c>
      <c r="F86">
        <v>21.133333329999999</v>
      </c>
    </row>
    <row r="87" spans="1:6" x14ac:dyDescent="0.25">
      <c r="A87" t="s">
        <v>28</v>
      </c>
      <c r="B87">
        <v>15</v>
      </c>
      <c r="C87" t="s">
        <v>94</v>
      </c>
      <c r="D87">
        <v>-7.9</v>
      </c>
      <c r="E87" t="s">
        <v>1073</v>
      </c>
      <c r="F87">
        <v>16.233333330000001</v>
      </c>
    </row>
    <row r="88" spans="1:6" x14ac:dyDescent="0.25">
      <c r="A88" t="s">
        <v>32</v>
      </c>
      <c r="B88">
        <v>15</v>
      </c>
      <c r="C88" t="s">
        <v>94</v>
      </c>
      <c r="D88">
        <v>-4.4333333330000002</v>
      </c>
      <c r="E88" t="s">
        <v>1073</v>
      </c>
      <c r="F88">
        <v>13.633333329999999</v>
      </c>
    </row>
    <row r="89" spans="1:6" x14ac:dyDescent="0.25">
      <c r="A89" t="s">
        <v>34</v>
      </c>
      <c r="B89">
        <v>15</v>
      </c>
      <c r="C89" t="s">
        <v>94</v>
      </c>
      <c r="D89">
        <v>-4.733333333</v>
      </c>
      <c r="E89" t="s">
        <v>1073</v>
      </c>
      <c r="F89">
        <v>10.83333333</v>
      </c>
    </row>
    <row r="90" spans="1:6" x14ac:dyDescent="0.25">
      <c r="A90" t="s">
        <v>39</v>
      </c>
      <c r="B90">
        <v>2</v>
      </c>
      <c r="C90" t="s">
        <v>94</v>
      </c>
      <c r="D90">
        <v>-8.6999999999999993</v>
      </c>
      <c r="E90" t="s">
        <v>1073</v>
      </c>
      <c r="F90">
        <v>13.266666669999999</v>
      </c>
    </row>
    <row r="91" spans="1:6" x14ac:dyDescent="0.25">
      <c r="A91" t="s">
        <v>41</v>
      </c>
      <c r="B91">
        <v>2</v>
      </c>
      <c r="C91" t="s">
        <v>94</v>
      </c>
      <c r="D91">
        <v>-8.4666666670000001</v>
      </c>
      <c r="E91" t="s">
        <v>1073</v>
      </c>
      <c r="F91">
        <v>15.9</v>
      </c>
    </row>
    <row r="92" spans="1:6" x14ac:dyDescent="0.25">
      <c r="A92" t="s">
        <v>42</v>
      </c>
      <c r="B92">
        <v>2</v>
      </c>
      <c r="C92" t="s">
        <v>94</v>
      </c>
      <c r="D92">
        <v>-14.766666669999999</v>
      </c>
      <c r="E92" t="s">
        <v>1073</v>
      </c>
      <c r="F92">
        <v>20.466666669999999</v>
      </c>
    </row>
    <row r="93" spans="1:6" x14ac:dyDescent="0.25">
      <c r="A93" t="s">
        <v>43</v>
      </c>
      <c r="B93">
        <v>2</v>
      </c>
      <c r="C93" t="s">
        <v>94</v>
      </c>
      <c r="D93">
        <v>-14.1</v>
      </c>
      <c r="E93" t="s">
        <v>1073</v>
      </c>
      <c r="F93">
        <v>20.666666670000001</v>
      </c>
    </row>
    <row r="94" spans="1:6" x14ac:dyDescent="0.25">
      <c r="A94" t="s">
        <v>47</v>
      </c>
      <c r="B94">
        <v>2</v>
      </c>
      <c r="C94" t="s">
        <v>94</v>
      </c>
      <c r="D94">
        <v>-8.1666666669999994</v>
      </c>
      <c r="E94" t="s">
        <v>1073</v>
      </c>
      <c r="F94">
        <v>16.899999999999999</v>
      </c>
    </row>
    <row r="95" spans="1:6" x14ac:dyDescent="0.25">
      <c r="A95" t="s">
        <v>49</v>
      </c>
      <c r="B95">
        <v>2</v>
      </c>
      <c r="C95" t="s">
        <v>94</v>
      </c>
      <c r="D95">
        <v>-6.5666666669999998</v>
      </c>
      <c r="E95" t="s">
        <v>1073</v>
      </c>
      <c r="F95">
        <v>14.266666669999999</v>
      </c>
    </row>
    <row r="96" spans="1:6" x14ac:dyDescent="0.25">
      <c r="A96" t="s">
        <v>81</v>
      </c>
      <c r="B96">
        <v>6</v>
      </c>
      <c r="C96" t="s">
        <v>94</v>
      </c>
      <c r="D96">
        <v>-6.6666666670000003</v>
      </c>
      <c r="E96" t="s">
        <v>1073</v>
      </c>
      <c r="F96">
        <v>14.233333330000001</v>
      </c>
    </row>
    <row r="97" spans="1:6" x14ac:dyDescent="0.25">
      <c r="A97" t="s">
        <v>82</v>
      </c>
      <c r="B97">
        <v>6</v>
      </c>
      <c r="C97" t="s">
        <v>94</v>
      </c>
      <c r="D97">
        <v>-5.733333333</v>
      </c>
      <c r="E97" t="s">
        <v>1073</v>
      </c>
      <c r="F97">
        <v>13.633333329999999</v>
      </c>
    </row>
    <row r="98" spans="1:6" x14ac:dyDescent="0.25">
      <c r="A98" t="s">
        <v>83</v>
      </c>
      <c r="B98">
        <v>6</v>
      </c>
      <c r="C98" t="s">
        <v>94</v>
      </c>
      <c r="D98">
        <v>-5.5666666669999998</v>
      </c>
      <c r="E98" t="s">
        <v>1073</v>
      </c>
      <c r="F98">
        <v>11.33333333</v>
      </c>
    </row>
    <row r="99" spans="1:6" x14ac:dyDescent="0.25">
      <c r="A99" t="s">
        <v>85</v>
      </c>
      <c r="B99">
        <v>6</v>
      </c>
      <c r="C99" t="s">
        <v>94</v>
      </c>
      <c r="D99">
        <v>-4.4000000000000004</v>
      </c>
      <c r="E99" t="s">
        <v>1073</v>
      </c>
      <c r="F99">
        <v>11.5</v>
      </c>
    </row>
    <row r="100" spans="1:6" x14ac:dyDescent="0.25">
      <c r="A100" t="s">
        <v>86</v>
      </c>
      <c r="B100">
        <v>6</v>
      </c>
      <c r="C100" t="s">
        <v>94</v>
      </c>
      <c r="D100">
        <v>-4.733333333</v>
      </c>
      <c r="E100" t="s">
        <v>1073</v>
      </c>
      <c r="F100">
        <v>8.5</v>
      </c>
    </row>
    <row r="101" spans="1:6" x14ac:dyDescent="0.25">
      <c r="A101" t="s">
        <v>90</v>
      </c>
      <c r="B101">
        <v>6</v>
      </c>
      <c r="C101" t="s">
        <v>94</v>
      </c>
      <c r="D101">
        <v>-5.9</v>
      </c>
      <c r="E101" t="s">
        <v>1073</v>
      </c>
      <c r="F101">
        <v>10</v>
      </c>
    </row>
    <row r="102" spans="1:6" x14ac:dyDescent="0.25">
      <c r="A102" t="s">
        <v>91</v>
      </c>
      <c r="B102">
        <v>6</v>
      </c>
      <c r="C102" t="s">
        <v>94</v>
      </c>
      <c r="D102">
        <v>-6.1</v>
      </c>
      <c r="E102" t="s">
        <v>1073</v>
      </c>
      <c r="F102">
        <v>9.1999999999999993</v>
      </c>
    </row>
    <row r="103" spans="1:6" x14ac:dyDescent="0.25">
      <c r="A103" t="s">
        <v>92</v>
      </c>
      <c r="B103">
        <v>6</v>
      </c>
      <c r="C103" t="s">
        <v>94</v>
      </c>
      <c r="D103">
        <v>-5.733333333</v>
      </c>
      <c r="E103" t="s">
        <v>1073</v>
      </c>
      <c r="F103">
        <v>10.16666667</v>
      </c>
    </row>
    <row r="104" spans="1:6" x14ac:dyDescent="0.25">
      <c r="A104" t="s">
        <v>68</v>
      </c>
      <c r="B104">
        <v>10</v>
      </c>
      <c r="C104" t="s">
        <v>95</v>
      </c>
      <c r="D104">
        <v>-7.7</v>
      </c>
      <c r="E104" t="s">
        <v>1073</v>
      </c>
      <c r="F104">
        <v>18.333333329999999</v>
      </c>
    </row>
    <row r="105" spans="1:6" x14ac:dyDescent="0.25">
      <c r="A105" t="s">
        <v>69</v>
      </c>
      <c r="B105">
        <v>10</v>
      </c>
      <c r="C105" t="s">
        <v>95</v>
      </c>
      <c r="D105">
        <v>-7.8666666669999996</v>
      </c>
      <c r="E105" t="s">
        <v>1073</v>
      </c>
      <c r="F105">
        <v>20.666666670000001</v>
      </c>
    </row>
    <row r="106" spans="1:6" x14ac:dyDescent="0.25">
      <c r="A106" t="s">
        <v>70</v>
      </c>
      <c r="B106">
        <v>10</v>
      </c>
      <c r="C106" t="s">
        <v>95</v>
      </c>
      <c r="D106">
        <v>-11.133333329999999</v>
      </c>
      <c r="E106" t="s">
        <v>1073</v>
      </c>
      <c r="F106">
        <v>17.533333330000001</v>
      </c>
    </row>
    <row r="107" spans="1:6" x14ac:dyDescent="0.25">
      <c r="A107" t="s">
        <v>72</v>
      </c>
      <c r="B107">
        <v>10</v>
      </c>
      <c r="C107" t="s">
        <v>95</v>
      </c>
      <c r="D107">
        <v>-4.766666667</v>
      </c>
      <c r="E107" t="s">
        <v>1073</v>
      </c>
      <c r="F107">
        <v>15.4</v>
      </c>
    </row>
    <row r="108" spans="1:6" x14ac:dyDescent="0.25">
      <c r="A108" t="s">
        <v>74</v>
      </c>
      <c r="B108">
        <v>10</v>
      </c>
      <c r="C108" t="s">
        <v>95</v>
      </c>
      <c r="D108">
        <v>-6.8666666669999996</v>
      </c>
      <c r="E108" t="s">
        <v>1073</v>
      </c>
      <c r="F108">
        <v>18.666666670000001</v>
      </c>
    </row>
    <row r="109" spans="1:6" x14ac:dyDescent="0.25">
      <c r="A109" t="s">
        <v>50</v>
      </c>
      <c r="B109">
        <v>12</v>
      </c>
      <c r="C109" t="s">
        <v>95</v>
      </c>
      <c r="D109">
        <v>-8.3666666670000005</v>
      </c>
      <c r="E109" t="s">
        <v>1073</v>
      </c>
      <c r="F109">
        <v>16.899999999999999</v>
      </c>
    </row>
    <row r="110" spans="1:6" x14ac:dyDescent="0.25">
      <c r="A110" t="s">
        <v>52</v>
      </c>
      <c r="B110">
        <v>12</v>
      </c>
      <c r="C110" t="s">
        <v>95</v>
      </c>
      <c r="D110">
        <v>-6.3666666669999996</v>
      </c>
      <c r="E110" t="s">
        <v>1073</v>
      </c>
      <c r="F110">
        <v>17.899999999999999</v>
      </c>
    </row>
    <row r="111" spans="1:6" x14ac:dyDescent="0.25">
      <c r="A111" t="s">
        <v>54</v>
      </c>
      <c r="B111">
        <v>12</v>
      </c>
      <c r="C111" t="s">
        <v>95</v>
      </c>
      <c r="D111">
        <v>-8.6</v>
      </c>
      <c r="E111" t="s">
        <v>1073</v>
      </c>
      <c r="F111">
        <v>18.06666667</v>
      </c>
    </row>
    <row r="112" spans="1:6" x14ac:dyDescent="0.25">
      <c r="A112" t="s">
        <v>58</v>
      </c>
      <c r="B112">
        <v>12</v>
      </c>
      <c r="C112" t="s">
        <v>95</v>
      </c>
      <c r="D112">
        <v>-6.9666666670000001</v>
      </c>
      <c r="E112" t="s">
        <v>1073</v>
      </c>
      <c r="F112">
        <v>12.83333333</v>
      </c>
    </row>
    <row r="113" spans="1:6" x14ac:dyDescent="0.25">
      <c r="A113" t="s">
        <v>60</v>
      </c>
      <c r="B113">
        <v>12</v>
      </c>
      <c r="C113" t="s">
        <v>95</v>
      </c>
      <c r="D113">
        <v>-7.3166666669999998</v>
      </c>
      <c r="E113" t="s">
        <v>1073</v>
      </c>
      <c r="F113">
        <v>16.600000000000001</v>
      </c>
    </row>
    <row r="114" spans="1:6" x14ac:dyDescent="0.25">
      <c r="A114" t="s">
        <v>62</v>
      </c>
      <c r="B114">
        <v>12</v>
      </c>
      <c r="C114" t="s">
        <v>95</v>
      </c>
      <c r="D114">
        <v>-6.9</v>
      </c>
      <c r="E114" t="s">
        <v>1073</v>
      </c>
      <c r="F114">
        <v>18.06666667</v>
      </c>
    </row>
    <row r="115" spans="1:6" x14ac:dyDescent="0.25">
      <c r="A115" t="s">
        <v>65</v>
      </c>
      <c r="B115">
        <v>12</v>
      </c>
      <c r="C115" t="s">
        <v>95</v>
      </c>
      <c r="D115">
        <v>-16.06666667</v>
      </c>
      <c r="E115" t="s">
        <v>1073</v>
      </c>
      <c r="F115">
        <v>25.266666669999999</v>
      </c>
    </row>
    <row r="116" spans="1:6" x14ac:dyDescent="0.25">
      <c r="A116" t="s">
        <v>16</v>
      </c>
      <c r="B116">
        <v>15</v>
      </c>
      <c r="C116" t="s">
        <v>95</v>
      </c>
      <c r="D116">
        <v>-5.3666666669999996</v>
      </c>
      <c r="E116" t="s">
        <v>1073</v>
      </c>
      <c r="F116">
        <v>22.666666670000001</v>
      </c>
    </row>
    <row r="117" spans="1:6" x14ac:dyDescent="0.25">
      <c r="A117" t="s">
        <v>18</v>
      </c>
      <c r="B117">
        <v>15</v>
      </c>
      <c r="C117" t="s">
        <v>95</v>
      </c>
      <c r="D117">
        <v>-10.46666667</v>
      </c>
      <c r="E117" t="s">
        <v>1073</v>
      </c>
      <c r="F117">
        <v>18.366666670000001</v>
      </c>
    </row>
    <row r="118" spans="1:6" x14ac:dyDescent="0.25">
      <c r="A118" t="s">
        <v>22</v>
      </c>
      <c r="B118">
        <v>15</v>
      </c>
      <c r="C118" t="s">
        <v>95</v>
      </c>
      <c r="D118">
        <v>-5.4</v>
      </c>
      <c r="E118" t="s">
        <v>1073</v>
      </c>
      <c r="F118">
        <v>15.9</v>
      </c>
    </row>
    <row r="119" spans="1:6" x14ac:dyDescent="0.25">
      <c r="A119" t="s">
        <v>24</v>
      </c>
      <c r="B119">
        <v>15</v>
      </c>
      <c r="C119" t="s">
        <v>95</v>
      </c>
      <c r="D119" t="s">
        <v>114</v>
      </c>
      <c r="E119" t="s">
        <v>1073</v>
      </c>
      <c r="F119">
        <v>15.9</v>
      </c>
    </row>
    <row r="120" spans="1:6" x14ac:dyDescent="0.25">
      <c r="A120" t="s">
        <v>26</v>
      </c>
      <c r="B120">
        <v>15</v>
      </c>
      <c r="C120" t="s">
        <v>95</v>
      </c>
      <c r="D120">
        <v>-7.6666666670000003</v>
      </c>
      <c r="E120" t="s">
        <v>1073</v>
      </c>
      <c r="F120">
        <v>27.533333330000001</v>
      </c>
    </row>
    <row r="121" spans="1:6" x14ac:dyDescent="0.25">
      <c r="A121" t="s">
        <v>30</v>
      </c>
      <c r="B121">
        <v>15</v>
      </c>
      <c r="C121" t="s">
        <v>95</v>
      </c>
      <c r="D121">
        <v>-6.0333333329999999</v>
      </c>
      <c r="E121" t="s">
        <v>1073</v>
      </c>
      <c r="F121">
        <v>17.899999999999999</v>
      </c>
    </row>
    <row r="122" spans="1:6" x14ac:dyDescent="0.25">
      <c r="A122" t="s">
        <v>36</v>
      </c>
      <c r="B122">
        <v>15</v>
      </c>
      <c r="C122" t="s">
        <v>95</v>
      </c>
      <c r="D122">
        <v>-10.633333329999999</v>
      </c>
      <c r="E122" t="s">
        <v>1073</v>
      </c>
      <c r="F122">
        <v>26.033333330000001</v>
      </c>
    </row>
    <row r="123" spans="1:6" x14ac:dyDescent="0.25">
      <c r="A123" t="s">
        <v>38</v>
      </c>
      <c r="B123">
        <v>2</v>
      </c>
      <c r="C123" t="s">
        <v>95</v>
      </c>
      <c r="D123">
        <v>-11.633333329999999</v>
      </c>
      <c r="E123" t="s">
        <v>1073</v>
      </c>
      <c r="F123">
        <v>17.233333330000001</v>
      </c>
    </row>
    <row r="124" spans="1:6" x14ac:dyDescent="0.25">
      <c r="A124" t="s">
        <v>40</v>
      </c>
      <c r="B124">
        <v>2</v>
      </c>
      <c r="C124" t="s">
        <v>95</v>
      </c>
      <c r="D124">
        <v>-7.5666666669999998</v>
      </c>
      <c r="E124" t="s">
        <v>1073</v>
      </c>
      <c r="F124">
        <v>16.56666667</v>
      </c>
    </row>
    <row r="125" spans="1:6" x14ac:dyDescent="0.25">
      <c r="A125" t="s">
        <v>44</v>
      </c>
      <c r="B125">
        <v>2</v>
      </c>
      <c r="C125" t="s">
        <v>95</v>
      </c>
      <c r="D125">
        <v>-9.1666666669999994</v>
      </c>
      <c r="E125" t="s">
        <v>1073</v>
      </c>
      <c r="F125">
        <v>19.5</v>
      </c>
    </row>
    <row r="126" spans="1:6" x14ac:dyDescent="0.25">
      <c r="A126" t="s">
        <v>45</v>
      </c>
      <c r="B126">
        <v>2</v>
      </c>
      <c r="C126" t="s">
        <v>95</v>
      </c>
      <c r="D126">
        <v>-7.3666666669999996</v>
      </c>
      <c r="E126" t="s">
        <v>1073</v>
      </c>
      <c r="F126">
        <v>16.233333330000001</v>
      </c>
    </row>
    <row r="127" spans="1:6" x14ac:dyDescent="0.25">
      <c r="A127" t="s">
        <v>46</v>
      </c>
      <c r="B127">
        <v>2</v>
      </c>
      <c r="C127" t="s">
        <v>95</v>
      </c>
      <c r="D127">
        <v>-8.2666666670000009</v>
      </c>
      <c r="E127" t="s">
        <v>1073</v>
      </c>
      <c r="F127">
        <v>18.2</v>
      </c>
    </row>
    <row r="128" spans="1:6" x14ac:dyDescent="0.25">
      <c r="A128" t="s">
        <v>48</v>
      </c>
      <c r="B128">
        <v>2</v>
      </c>
      <c r="C128" t="s">
        <v>95</v>
      </c>
      <c r="D128">
        <v>-7.733333333</v>
      </c>
      <c r="E128" t="s">
        <v>1073</v>
      </c>
      <c r="F128">
        <v>18.2</v>
      </c>
    </row>
    <row r="129" spans="1:6" x14ac:dyDescent="0.25">
      <c r="A129" t="s">
        <v>79</v>
      </c>
      <c r="B129">
        <v>6</v>
      </c>
      <c r="C129" t="s">
        <v>95</v>
      </c>
      <c r="D129">
        <v>-10.8</v>
      </c>
      <c r="E129" t="s">
        <v>1073</v>
      </c>
      <c r="F129">
        <v>17.56666667</v>
      </c>
    </row>
    <row r="130" spans="1:6" x14ac:dyDescent="0.25">
      <c r="A130" t="s">
        <v>80</v>
      </c>
      <c r="B130">
        <v>6</v>
      </c>
      <c r="C130" t="s">
        <v>95</v>
      </c>
      <c r="D130">
        <v>-7.0333333329999999</v>
      </c>
      <c r="E130" t="s">
        <v>1073</v>
      </c>
      <c r="F130">
        <v>14.266666669999999</v>
      </c>
    </row>
    <row r="131" spans="1:6" x14ac:dyDescent="0.25">
      <c r="A131" t="s">
        <v>84</v>
      </c>
      <c r="B131">
        <v>6</v>
      </c>
      <c r="C131" t="s">
        <v>95</v>
      </c>
      <c r="D131">
        <v>-8.1999999999999993</v>
      </c>
      <c r="E131" t="s">
        <v>1073</v>
      </c>
      <c r="F131">
        <v>12</v>
      </c>
    </row>
    <row r="132" spans="1:6" x14ac:dyDescent="0.25">
      <c r="A132" t="s">
        <v>87</v>
      </c>
      <c r="B132">
        <v>6</v>
      </c>
      <c r="C132" t="s">
        <v>95</v>
      </c>
      <c r="D132">
        <v>-3.266666667</v>
      </c>
      <c r="E132" t="s">
        <v>1073</v>
      </c>
      <c r="F132">
        <v>8.8333333330000006</v>
      </c>
    </row>
    <row r="133" spans="1:6" x14ac:dyDescent="0.25">
      <c r="A133" t="s">
        <v>88</v>
      </c>
      <c r="B133">
        <v>6</v>
      </c>
      <c r="C133" t="s">
        <v>95</v>
      </c>
      <c r="D133">
        <v>-9.0333333329999999</v>
      </c>
      <c r="E133" t="s">
        <v>1073</v>
      </c>
      <c r="F133">
        <v>14.43333333</v>
      </c>
    </row>
    <row r="134" spans="1:6" x14ac:dyDescent="0.25">
      <c r="A134" t="s">
        <v>89</v>
      </c>
      <c r="B134">
        <v>6</v>
      </c>
      <c r="C134" t="s">
        <v>95</v>
      </c>
      <c r="D134">
        <v>-8</v>
      </c>
      <c r="E134" t="s">
        <v>1073</v>
      </c>
      <c r="F134">
        <v>14.9</v>
      </c>
    </row>
    <row r="135" spans="1:6" x14ac:dyDescent="0.25">
      <c r="A135" t="s">
        <v>93</v>
      </c>
      <c r="B135">
        <v>6</v>
      </c>
      <c r="C135" t="s">
        <v>95</v>
      </c>
      <c r="D135">
        <v>-6.733333333</v>
      </c>
      <c r="E135" t="s">
        <v>1073</v>
      </c>
      <c r="F135">
        <v>9.1666666669999994</v>
      </c>
    </row>
    <row r="136" spans="1:6" x14ac:dyDescent="0.25">
      <c r="A136" t="s">
        <v>67</v>
      </c>
      <c r="B136">
        <v>10</v>
      </c>
      <c r="C136" t="s">
        <v>94</v>
      </c>
      <c r="D136">
        <v>-10.3</v>
      </c>
      <c r="E136" t="s">
        <v>1074</v>
      </c>
      <c r="F136">
        <v>10.5</v>
      </c>
    </row>
    <row r="137" spans="1:6" x14ac:dyDescent="0.25">
      <c r="A137" t="s">
        <v>71</v>
      </c>
      <c r="B137">
        <v>10</v>
      </c>
      <c r="C137" t="s">
        <v>94</v>
      </c>
      <c r="D137">
        <v>-6.0666666669999998</v>
      </c>
      <c r="E137" t="s">
        <v>1074</v>
      </c>
      <c r="F137">
        <v>5.766666667</v>
      </c>
    </row>
    <row r="138" spans="1:6" x14ac:dyDescent="0.25">
      <c r="A138" t="s">
        <v>73</v>
      </c>
      <c r="B138">
        <v>10</v>
      </c>
      <c r="C138" t="s">
        <v>94</v>
      </c>
      <c r="D138">
        <v>-8.5</v>
      </c>
      <c r="E138" t="s">
        <v>1074</v>
      </c>
      <c r="F138">
        <v>5.766666667</v>
      </c>
    </row>
    <row r="139" spans="1:6" x14ac:dyDescent="0.25">
      <c r="A139" t="s">
        <v>75</v>
      </c>
      <c r="B139">
        <v>10</v>
      </c>
      <c r="C139" t="s">
        <v>94</v>
      </c>
      <c r="D139">
        <v>-8.3333333330000006</v>
      </c>
      <c r="E139" t="s">
        <v>1074</v>
      </c>
      <c r="F139">
        <v>6.1</v>
      </c>
    </row>
    <row r="140" spans="1:6" x14ac:dyDescent="0.25">
      <c r="A140" t="s">
        <v>76</v>
      </c>
      <c r="B140">
        <v>10</v>
      </c>
      <c r="C140" t="s">
        <v>94</v>
      </c>
      <c r="D140">
        <v>-6.9</v>
      </c>
      <c r="E140" t="s">
        <v>1074</v>
      </c>
      <c r="F140">
        <v>10.66666667</v>
      </c>
    </row>
    <row r="141" spans="1:6" x14ac:dyDescent="0.25">
      <c r="A141" t="s">
        <v>77</v>
      </c>
      <c r="B141">
        <v>10</v>
      </c>
      <c r="C141" t="s">
        <v>94</v>
      </c>
      <c r="D141">
        <v>-11.3</v>
      </c>
      <c r="E141" t="s">
        <v>1074</v>
      </c>
      <c r="F141">
        <v>5.266666667</v>
      </c>
    </row>
    <row r="142" spans="1:6" x14ac:dyDescent="0.25">
      <c r="A142" t="s">
        <v>78</v>
      </c>
      <c r="B142">
        <v>10</v>
      </c>
      <c r="C142" t="s">
        <v>94</v>
      </c>
      <c r="D142">
        <v>-8.2333333329999991</v>
      </c>
      <c r="E142" t="s">
        <v>1074</v>
      </c>
      <c r="F142">
        <v>8.6666666669999994</v>
      </c>
    </row>
    <row r="143" spans="1:6" x14ac:dyDescent="0.25">
      <c r="A143" t="s">
        <v>51</v>
      </c>
      <c r="B143">
        <v>12</v>
      </c>
      <c r="C143" t="s">
        <v>94</v>
      </c>
      <c r="D143">
        <v>-8.6666666669999994</v>
      </c>
      <c r="E143" t="s">
        <v>1074</v>
      </c>
      <c r="F143">
        <v>5.0999999999999996</v>
      </c>
    </row>
    <row r="144" spans="1:6" x14ac:dyDescent="0.25">
      <c r="A144" t="s">
        <v>53</v>
      </c>
      <c r="B144">
        <v>12</v>
      </c>
      <c r="C144" t="s">
        <v>94</v>
      </c>
      <c r="D144">
        <v>-8.1999999999999993</v>
      </c>
      <c r="E144" t="s">
        <v>1074</v>
      </c>
      <c r="F144">
        <v>7.8666666669999996</v>
      </c>
    </row>
    <row r="145" spans="1:6" x14ac:dyDescent="0.25">
      <c r="A145" t="s">
        <v>55</v>
      </c>
      <c r="B145">
        <v>12</v>
      </c>
      <c r="C145" t="s">
        <v>94</v>
      </c>
      <c r="D145">
        <v>-12.633333329999999</v>
      </c>
      <c r="E145" t="s">
        <v>1074</v>
      </c>
      <c r="F145">
        <v>8.8333333330000006</v>
      </c>
    </row>
    <row r="146" spans="1:6" x14ac:dyDescent="0.25">
      <c r="A146" t="s">
        <v>56</v>
      </c>
      <c r="B146">
        <v>12</v>
      </c>
      <c r="C146" t="s">
        <v>94</v>
      </c>
      <c r="D146">
        <v>-4.5666666669999998</v>
      </c>
      <c r="E146" t="s">
        <v>1074</v>
      </c>
      <c r="F146">
        <v>6.6</v>
      </c>
    </row>
    <row r="147" spans="1:6" x14ac:dyDescent="0.25">
      <c r="A147" t="s">
        <v>57</v>
      </c>
      <c r="B147">
        <v>12</v>
      </c>
      <c r="C147" t="s">
        <v>94</v>
      </c>
      <c r="D147">
        <v>-6.5666666669999998</v>
      </c>
      <c r="E147" t="s">
        <v>1074</v>
      </c>
      <c r="F147">
        <v>5.0999999999999996</v>
      </c>
    </row>
    <row r="148" spans="1:6" x14ac:dyDescent="0.25">
      <c r="A148" t="s">
        <v>59</v>
      </c>
      <c r="B148">
        <v>12</v>
      </c>
      <c r="C148" t="s">
        <v>94</v>
      </c>
      <c r="D148">
        <v>-13.233333330000001</v>
      </c>
      <c r="E148" t="s">
        <v>1074</v>
      </c>
      <c r="F148">
        <v>6.266666667</v>
      </c>
    </row>
    <row r="149" spans="1:6" x14ac:dyDescent="0.25">
      <c r="A149" t="s">
        <v>61</v>
      </c>
      <c r="B149">
        <v>12</v>
      </c>
      <c r="C149" t="s">
        <v>94</v>
      </c>
      <c r="D149">
        <v>-7.0333333329999999</v>
      </c>
      <c r="E149" t="s">
        <v>1074</v>
      </c>
      <c r="F149">
        <v>5.6</v>
      </c>
    </row>
    <row r="150" spans="1:6" x14ac:dyDescent="0.25">
      <c r="A150" t="s">
        <v>63</v>
      </c>
      <c r="B150">
        <v>12</v>
      </c>
      <c r="C150" t="s">
        <v>94</v>
      </c>
      <c r="D150">
        <v>-5.5666666669999998</v>
      </c>
      <c r="E150" t="s">
        <v>1074</v>
      </c>
      <c r="F150">
        <v>9.1999999999999993</v>
      </c>
    </row>
    <row r="151" spans="1:6" x14ac:dyDescent="0.25">
      <c r="A151" t="s">
        <v>10</v>
      </c>
      <c r="B151">
        <v>15</v>
      </c>
      <c r="C151" t="s">
        <v>94</v>
      </c>
      <c r="D151">
        <v>-11.133333329999999</v>
      </c>
      <c r="E151" t="s">
        <v>1074</v>
      </c>
      <c r="F151">
        <v>9.5</v>
      </c>
    </row>
    <row r="152" spans="1:6" x14ac:dyDescent="0.25">
      <c r="A152" t="s">
        <v>14</v>
      </c>
      <c r="B152">
        <v>15</v>
      </c>
      <c r="C152" t="s">
        <v>94</v>
      </c>
      <c r="D152">
        <v>-13.133333329999999</v>
      </c>
      <c r="E152" t="s">
        <v>1074</v>
      </c>
      <c r="F152">
        <v>8.3666666670000005</v>
      </c>
    </row>
    <row r="153" spans="1:6" x14ac:dyDescent="0.25">
      <c r="A153" t="s">
        <v>20</v>
      </c>
      <c r="B153">
        <v>15</v>
      </c>
      <c r="C153" t="s">
        <v>94</v>
      </c>
      <c r="D153">
        <v>-10.16666667</v>
      </c>
      <c r="E153" t="s">
        <v>1074</v>
      </c>
      <c r="F153">
        <v>6.9</v>
      </c>
    </row>
    <row r="154" spans="1:6" x14ac:dyDescent="0.25">
      <c r="A154" t="s">
        <v>28</v>
      </c>
      <c r="B154">
        <v>15</v>
      </c>
      <c r="C154" t="s">
        <v>94</v>
      </c>
      <c r="D154">
        <v>-7.9</v>
      </c>
      <c r="E154" t="s">
        <v>1074</v>
      </c>
      <c r="F154">
        <v>4.4333333330000002</v>
      </c>
    </row>
    <row r="155" spans="1:6" x14ac:dyDescent="0.25">
      <c r="A155" t="s">
        <v>32</v>
      </c>
      <c r="B155">
        <v>15</v>
      </c>
      <c r="C155" t="s">
        <v>94</v>
      </c>
      <c r="D155">
        <v>-4.4333333330000002</v>
      </c>
      <c r="E155" t="s">
        <v>1074</v>
      </c>
      <c r="F155">
        <v>6.5666666669999998</v>
      </c>
    </row>
    <row r="156" spans="1:6" x14ac:dyDescent="0.25">
      <c r="A156" t="s">
        <v>34</v>
      </c>
      <c r="B156">
        <v>15</v>
      </c>
      <c r="C156" t="s">
        <v>94</v>
      </c>
      <c r="D156">
        <v>-4.733333333</v>
      </c>
      <c r="E156" t="s">
        <v>1074</v>
      </c>
      <c r="F156">
        <v>4.266666667</v>
      </c>
    </row>
    <row r="157" spans="1:6" x14ac:dyDescent="0.25">
      <c r="A157" t="s">
        <v>39</v>
      </c>
      <c r="B157">
        <v>2</v>
      </c>
      <c r="C157" t="s">
        <v>94</v>
      </c>
      <c r="D157">
        <v>-8.6999999999999993</v>
      </c>
      <c r="E157" t="s">
        <v>1074</v>
      </c>
      <c r="F157">
        <v>4.5999999999999996</v>
      </c>
    </row>
    <row r="158" spans="1:6" x14ac:dyDescent="0.25">
      <c r="A158" t="s">
        <v>41</v>
      </c>
      <c r="B158">
        <v>2</v>
      </c>
      <c r="C158" t="s">
        <v>94</v>
      </c>
      <c r="D158">
        <v>-8.4666666670000001</v>
      </c>
      <c r="E158" t="s">
        <v>1074</v>
      </c>
      <c r="F158">
        <v>7.4333333330000002</v>
      </c>
    </row>
    <row r="159" spans="1:6" x14ac:dyDescent="0.25">
      <c r="A159" t="s">
        <v>42</v>
      </c>
      <c r="B159">
        <v>2</v>
      </c>
      <c r="C159" t="s">
        <v>94</v>
      </c>
      <c r="D159">
        <v>-14.766666669999999</v>
      </c>
      <c r="E159" t="s">
        <v>1074</v>
      </c>
      <c r="F159">
        <v>9</v>
      </c>
    </row>
    <row r="160" spans="1:6" x14ac:dyDescent="0.25">
      <c r="A160" t="s">
        <v>43</v>
      </c>
      <c r="B160">
        <v>2</v>
      </c>
      <c r="C160" t="s">
        <v>94</v>
      </c>
      <c r="D160">
        <v>-14.1</v>
      </c>
      <c r="E160" t="s">
        <v>1074</v>
      </c>
      <c r="F160">
        <v>11</v>
      </c>
    </row>
    <row r="161" spans="1:6" x14ac:dyDescent="0.25">
      <c r="A161" t="s">
        <v>47</v>
      </c>
      <c r="B161">
        <v>2</v>
      </c>
      <c r="C161" t="s">
        <v>94</v>
      </c>
      <c r="D161">
        <v>-8.1666666669999994</v>
      </c>
      <c r="E161" t="s">
        <v>1074</v>
      </c>
      <c r="F161">
        <v>5.4333333330000002</v>
      </c>
    </row>
    <row r="162" spans="1:6" x14ac:dyDescent="0.25">
      <c r="A162" t="s">
        <v>49</v>
      </c>
      <c r="B162">
        <v>2</v>
      </c>
      <c r="C162" t="s">
        <v>94</v>
      </c>
      <c r="D162">
        <v>-6.5666666669999998</v>
      </c>
      <c r="E162" t="s">
        <v>1074</v>
      </c>
      <c r="F162">
        <v>4.5999999999999996</v>
      </c>
    </row>
    <row r="163" spans="1:6" x14ac:dyDescent="0.25">
      <c r="A163" t="s">
        <v>81</v>
      </c>
      <c r="B163">
        <v>6</v>
      </c>
      <c r="C163" t="s">
        <v>94</v>
      </c>
      <c r="D163">
        <v>-6.6666666670000003</v>
      </c>
      <c r="E163" t="s">
        <v>1074</v>
      </c>
      <c r="F163">
        <v>7.733333333</v>
      </c>
    </row>
    <row r="164" spans="1:6" x14ac:dyDescent="0.25">
      <c r="A164" t="s">
        <v>82</v>
      </c>
      <c r="B164">
        <v>6</v>
      </c>
      <c r="C164" t="s">
        <v>94</v>
      </c>
      <c r="D164">
        <v>-5.733333333</v>
      </c>
      <c r="E164" t="s">
        <v>1074</v>
      </c>
      <c r="F164">
        <v>7.733333333</v>
      </c>
    </row>
    <row r="165" spans="1:6" x14ac:dyDescent="0.25">
      <c r="A165" t="s">
        <v>83</v>
      </c>
      <c r="B165">
        <v>6</v>
      </c>
      <c r="C165" t="s">
        <v>94</v>
      </c>
      <c r="D165">
        <v>-5.5666666669999998</v>
      </c>
      <c r="E165" t="s">
        <v>1074</v>
      </c>
      <c r="F165">
        <v>5.0999999999999996</v>
      </c>
    </row>
    <row r="166" spans="1:6" x14ac:dyDescent="0.25">
      <c r="A166" t="s">
        <v>85</v>
      </c>
      <c r="B166">
        <v>6</v>
      </c>
      <c r="C166" t="s">
        <v>94</v>
      </c>
      <c r="D166">
        <v>-4.4000000000000004</v>
      </c>
      <c r="E166" t="s">
        <v>1074</v>
      </c>
      <c r="F166">
        <v>5.9333333330000002</v>
      </c>
    </row>
    <row r="167" spans="1:6" x14ac:dyDescent="0.25">
      <c r="A167" t="s">
        <v>86</v>
      </c>
      <c r="B167">
        <v>6</v>
      </c>
      <c r="C167" t="s">
        <v>94</v>
      </c>
      <c r="D167">
        <v>-4.733333333</v>
      </c>
      <c r="E167" t="s">
        <v>1074</v>
      </c>
      <c r="F167">
        <v>4.4333333330000002</v>
      </c>
    </row>
    <row r="168" spans="1:6" x14ac:dyDescent="0.25">
      <c r="A168" t="s">
        <v>90</v>
      </c>
      <c r="B168">
        <v>6</v>
      </c>
      <c r="C168" t="s">
        <v>94</v>
      </c>
      <c r="D168">
        <v>-5.9</v>
      </c>
      <c r="E168" t="s">
        <v>1074</v>
      </c>
      <c r="F168">
        <v>4.266666667</v>
      </c>
    </row>
    <row r="169" spans="1:6" x14ac:dyDescent="0.25">
      <c r="A169" t="s">
        <v>91</v>
      </c>
      <c r="B169">
        <v>6</v>
      </c>
      <c r="C169" t="s">
        <v>94</v>
      </c>
      <c r="D169">
        <v>-6.1</v>
      </c>
      <c r="E169" t="s">
        <v>1074</v>
      </c>
      <c r="F169">
        <v>3.9333333330000002</v>
      </c>
    </row>
    <row r="170" spans="1:6" x14ac:dyDescent="0.25">
      <c r="A170" t="s">
        <v>92</v>
      </c>
      <c r="B170">
        <v>6</v>
      </c>
      <c r="C170" t="s">
        <v>94</v>
      </c>
      <c r="D170">
        <v>-5.733333333</v>
      </c>
      <c r="E170" t="s">
        <v>1074</v>
      </c>
      <c r="F170">
        <v>5.6</v>
      </c>
    </row>
    <row r="171" spans="1:6" x14ac:dyDescent="0.25">
      <c r="A171" t="s">
        <v>68</v>
      </c>
      <c r="B171">
        <v>10</v>
      </c>
      <c r="C171" t="s">
        <v>95</v>
      </c>
      <c r="D171">
        <v>-7.7</v>
      </c>
      <c r="E171" t="s">
        <v>1074</v>
      </c>
      <c r="F171">
        <v>6.4333333330000002</v>
      </c>
    </row>
    <row r="172" spans="1:6" x14ac:dyDescent="0.25">
      <c r="A172" t="s">
        <v>69</v>
      </c>
      <c r="B172">
        <v>10</v>
      </c>
      <c r="C172" t="s">
        <v>95</v>
      </c>
      <c r="D172">
        <v>-7.8666666669999996</v>
      </c>
      <c r="E172" t="s">
        <v>1074</v>
      </c>
      <c r="F172">
        <v>10.5</v>
      </c>
    </row>
    <row r="173" spans="1:6" x14ac:dyDescent="0.25">
      <c r="A173" t="s">
        <v>70</v>
      </c>
      <c r="B173">
        <v>10</v>
      </c>
      <c r="C173" t="s">
        <v>95</v>
      </c>
      <c r="D173">
        <v>-11.133333329999999</v>
      </c>
      <c r="E173" t="s">
        <v>1074</v>
      </c>
      <c r="F173">
        <v>6.1</v>
      </c>
    </row>
    <row r="174" spans="1:6" x14ac:dyDescent="0.25">
      <c r="A174" t="s">
        <v>72</v>
      </c>
      <c r="B174">
        <v>10</v>
      </c>
      <c r="C174" t="s">
        <v>95</v>
      </c>
      <c r="D174">
        <v>-4.766666667</v>
      </c>
      <c r="E174" t="s">
        <v>1074</v>
      </c>
      <c r="F174">
        <v>9.3333333330000006</v>
      </c>
    </row>
    <row r="175" spans="1:6" x14ac:dyDescent="0.25">
      <c r="A175" t="s">
        <v>74</v>
      </c>
      <c r="B175">
        <v>10</v>
      </c>
      <c r="C175" t="s">
        <v>95</v>
      </c>
      <c r="D175">
        <v>-6.8666666669999996</v>
      </c>
      <c r="E175" t="s">
        <v>1074</v>
      </c>
      <c r="F175">
        <v>7.1</v>
      </c>
    </row>
    <row r="176" spans="1:6" x14ac:dyDescent="0.25">
      <c r="A176" t="s">
        <v>50</v>
      </c>
      <c r="B176">
        <v>12</v>
      </c>
      <c r="C176" t="s">
        <v>95</v>
      </c>
      <c r="D176">
        <v>-8.3666666670000005</v>
      </c>
      <c r="E176" t="s">
        <v>1074</v>
      </c>
      <c r="F176">
        <v>7.5333333329999999</v>
      </c>
    </row>
    <row r="177" spans="1:6" x14ac:dyDescent="0.25">
      <c r="A177" t="s">
        <v>52</v>
      </c>
      <c r="B177">
        <v>12</v>
      </c>
      <c r="C177" t="s">
        <v>95</v>
      </c>
      <c r="D177">
        <v>-6.3666666669999996</v>
      </c>
      <c r="E177" t="s">
        <v>1074</v>
      </c>
      <c r="F177">
        <v>7.4</v>
      </c>
    </row>
    <row r="178" spans="1:6" x14ac:dyDescent="0.25">
      <c r="A178" t="s">
        <v>54</v>
      </c>
      <c r="B178">
        <v>12</v>
      </c>
      <c r="C178" t="s">
        <v>95</v>
      </c>
      <c r="D178">
        <v>-8.6</v>
      </c>
      <c r="E178" t="s">
        <v>1074</v>
      </c>
      <c r="F178">
        <v>6.1666666670000003</v>
      </c>
    </row>
    <row r="179" spans="1:6" x14ac:dyDescent="0.25">
      <c r="A179" t="s">
        <v>58</v>
      </c>
      <c r="B179">
        <v>12</v>
      </c>
      <c r="C179" t="s">
        <v>95</v>
      </c>
      <c r="D179">
        <v>-6.9666666670000001</v>
      </c>
      <c r="E179" t="s">
        <v>1074</v>
      </c>
      <c r="F179">
        <v>5.0333333329999999</v>
      </c>
    </row>
    <row r="180" spans="1:6" x14ac:dyDescent="0.25">
      <c r="A180" t="s">
        <v>60</v>
      </c>
      <c r="B180">
        <v>12</v>
      </c>
      <c r="C180" t="s">
        <v>95</v>
      </c>
      <c r="D180">
        <v>-7.3166666669999998</v>
      </c>
      <c r="E180" t="s">
        <v>1074</v>
      </c>
      <c r="F180">
        <v>4.8499999999999996</v>
      </c>
    </row>
    <row r="181" spans="1:6" x14ac:dyDescent="0.25">
      <c r="A181" t="s">
        <v>62</v>
      </c>
      <c r="B181">
        <v>12</v>
      </c>
      <c r="C181" t="s">
        <v>95</v>
      </c>
      <c r="D181">
        <v>-6.9</v>
      </c>
      <c r="E181" t="s">
        <v>1074</v>
      </c>
      <c r="F181">
        <v>7.0666666669999998</v>
      </c>
    </row>
    <row r="182" spans="1:6" x14ac:dyDescent="0.25">
      <c r="A182" t="s">
        <v>65</v>
      </c>
      <c r="B182">
        <v>12</v>
      </c>
      <c r="C182" t="s">
        <v>95</v>
      </c>
      <c r="D182">
        <v>-16.06666667</v>
      </c>
      <c r="E182" t="s">
        <v>1074</v>
      </c>
      <c r="F182">
        <v>7.7</v>
      </c>
    </row>
    <row r="183" spans="1:6" x14ac:dyDescent="0.25">
      <c r="A183" t="s">
        <v>16</v>
      </c>
      <c r="B183">
        <v>15</v>
      </c>
      <c r="C183" t="s">
        <v>95</v>
      </c>
      <c r="D183">
        <v>-5.3666666669999996</v>
      </c>
      <c r="E183" t="s">
        <v>1074</v>
      </c>
      <c r="F183">
        <v>9.6999999999999993</v>
      </c>
    </row>
    <row r="184" spans="1:6" x14ac:dyDescent="0.25">
      <c r="A184" t="s">
        <v>18</v>
      </c>
      <c r="B184">
        <v>15</v>
      </c>
      <c r="C184" t="s">
        <v>95</v>
      </c>
      <c r="D184">
        <v>-10.46666667</v>
      </c>
      <c r="E184" t="s">
        <v>1074</v>
      </c>
      <c r="F184">
        <v>5.6</v>
      </c>
    </row>
    <row r="185" spans="1:6" x14ac:dyDescent="0.25">
      <c r="A185" t="s">
        <v>22</v>
      </c>
      <c r="B185">
        <v>15</v>
      </c>
      <c r="C185" t="s">
        <v>95</v>
      </c>
      <c r="D185">
        <v>-5.4</v>
      </c>
      <c r="E185" t="s">
        <v>1074</v>
      </c>
      <c r="F185">
        <v>6.4333333330000002</v>
      </c>
    </row>
    <row r="186" spans="1:6" x14ac:dyDescent="0.25">
      <c r="A186" t="s">
        <v>24</v>
      </c>
      <c r="B186">
        <v>15</v>
      </c>
      <c r="C186" t="s">
        <v>95</v>
      </c>
      <c r="D186" t="s">
        <v>114</v>
      </c>
      <c r="E186" t="s">
        <v>1074</v>
      </c>
      <c r="F186" t="s">
        <v>114</v>
      </c>
    </row>
    <row r="187" spans="1:6" x14ac:dyDescent="0.25">
      <c r="A187" t="s">
        <v>26</v>
      </c>
      <c r="B187">
        <v>15</v>
      </c>
      <c r="C187" t="s">
        <v>95</v>
      </c>
      <c r="D187">
        <v>-7.6666666670000003</v>
      </c>
      <c r="E187" t="s">
        <v>1074</v>
      </c>
      <c r="F187">
        <v>13.3</v>
      </c>
    </row>
    <row r="188" spans="1:6" x14ac:dyDescent="0.25">
      <c r="A188" t="s">
        <v>30</v>
      </c>
      <c r="B188">
        <v>15</v>
      </c>
      <c r="C188" t="s">
        <v>95</v>
      </c>
      <c r="D188">
        <v>-6.0333333329999999</v>
      </c>
      <c r="E188" t="s">
        <v>1074</v>
      </c>
      <c r="F188">
        <v>8.0666666669999998</v>
      </c>
    </row>
    <row r="189" spans="1:6" x14ac:dyDescent="0.25">
      <c r="A189" t="s">
        <v>36</v>
      </c>
      <c r="B189">
        <v>15</v>
      </c>
      <c r="C189" t="s">
        <v>95</v>
      </c>
      <c r="D189">
        <v>-10.633333329999999</v>
      </c>
      <c r="E189" t="s">
        <v>1074</v>
      </c>
      <c r="F189">
        <v>10.33333333</v>
      </c>
    </row>
    <row r="190" spans="1:6" x14ac:dyDescent="0.25">
      <c r="A190" t="s">
        <v>38</v>
      </c>
      <c r="B190">
        <v>2</v>
      </c>
      <c r="C190" t="s">
        <v>95</v>
      </c>
      <c r="D190">
        <v>-11.633333329999999</v>
      </c>
      <c r="E190" t="s">
        <v>1074</v>
      </c>
      <c r="F190">
        <v>6.1</v>
      </c>
    </row>
    <row r="191" spans="1:6" x14ac:dyDescent="0.25">
      <c r="A191" t="s">
        <v>40</v>
      </c>
      <c r="B191">
        <v>2</v>
      </c>
      <c r="C191" t="s">
        <v>95</v>
      </c>
      <c r="D191">
        <v>-7.5666666669999998</v>
      </c>
      <c r="E191" t="s">
        <v>1074</v>
      </c>
      <c r="F191">
        <v>8.6666666669999994</v>
      </c>
    </row>
    <row r="192" spans="1:6" x14ac:dyDescent="0.25">
      <c r="A192" t="s">
        <v>44</v>
      </c>
      <c r="B192">
        <v>2</v>
      </c>
      <c r="C192" t="s">
        <v>95</v>
      </c>
      <c r="D192">
        <v>-9.1666666669999994</v>
      </c>
      <c r="E192" t="s">
        <v>1074</v>
      </c>
      <c r="F192">
        <v>7.9</v>
      </c>
    </row>
    <row r="193" spans="1:6" x14ac:dyDescent="0.25">
      <c r="A193" t="s">
        <v>45</v>
      </c>
      <c r="B193">
        <v>2</v>
      </c>
      <c r="C193" t="s">
        <v>95</v>
      </c>
      <c r="D193">
        <v>-7.3666666669999996</v>
      </c>
      <c r="E193" t="s">
        <v>1074</v>
      </c>
      <c r="F193">
        <v>7.733333333</v>
      </c>
    </row>
    <row r="194" spans="1:6" x14ac:dyDescent="0.25">
      <c r="A194" t="s">
        <v>46</v>
      </c>
      <c r="B194">
        <v>2</v>
      </c>
      <c r="C194" t="s">
        <v>95</v>
      </c>
      <c r="D194">
        <v>-8.2666666670000009</v>
      </c>
      <c r="E194" t="s">
        <v>1074</v>
      </c>
      <c r="F194">
        <v>8.3666666670000005</v>
      </c>
    </row>
    <row r="195" spans="1:6" x14ac:dyDescent="0.25">
      <c r="A195" t="s">
        <v>48</v>
      </c>
      <c r="B195">
        <v>2</v>
      </c>
      <c r="C195" t="s">
        <v>95</v>
      </c>
      <c r="D195">
        <v>-7.733333333</v>
      </c>
      <c r="E195" t="s">
        <v>1074</v>
      </c>
      <c r="F195">
        <v>5.6</v>
      </c>
    </row>
    <row r="196" spans="1:6" x14ac:dyDescent="0.25">
      <c r="A196" t="s">
        <v>79</v>
      </c>
      <c r="B196">
        <v>6</v>
      </c>
      <c r="C196" t="s">
        <v>95</v>
      </c>
      <c r="D196">
        <v>-10.8</v>
      </c>
      <c r="E196" t="s">
        <v>1074</v>
      </c>
      <c r="F196">
        <v>7.266666667</v>
      </c>
    </row>
    <row r="197" spans="1:6" x14ac:dyDescent="0.25">
      <c r="A197" t="s">
        <v>80</v>
      </c>
      <c r="B197">
        <v>6</v>
      </c>
      <c r="C197" t="s">
        <v>95</v>
      </c>
      <c r="D197">
        <v>-7.0333333329999999</v>
      </c>
      <c r="E197" t="s">
        <v>1074</v>
      </c>
      <c r="F197">
        <v>9.1999999999999993</v>
      </c>
    </row>
    <row r="198" spans="1:6" x14ac:dyDescent="0.25">
      <c r="A198" t="s">
        <v>84</v>
      </c>
      <c r="B198">
        <v>6</v>
      </c>
      <c r="C198" t="s">
        <v>95</v>
      </c>
      <c r="D198">
        <v>-8.1999999999999993</v>
      </c>
      <c r="E198" t="s">
        <v>1074</v>
      </c>
      <c r="F198">
        <v>6.5666666669999998</v>
      </c>
    </row>
    <row r="199" spans="1:6" x14ac:dyDescent="0.25">
      <c r="A199" t="s">
        <v>87</v>
      </c>
      <c r="B199">
        <v>6</v>
      </c>
      <c r="C199" t="s">
        <v>95</v>
      </c>
      <c r="D199">
        <v>-3.266666667</v>
      </c>
      <c r="E199" t="s">
        <v>1074</v>
      </c>
      <c r="F199">
        <v>6.1</v>
      </c>
    </row>
    <row r="200" spans="1:6" x14ac:dyDescent="0.25">
      <c r="A200" t="s">
        <v>88</v>
      </c>
      <c r="B200">
        <v>6</v>
      </c>
      <c r="C200" t="s">
        <v>95</v>
      </c>
      <c r="D200">
        <v>-9.0333333329999999</v>
      </c>
      <c r="E200" t="s">
        <v>1074</v>
      </c>
      <c r="F200">
        <v>6.233333333</v>
      </c>
    </row>
    <row r="201" spans="1:6" x14ac:dyDescent="0.25">
      <c r="A201" t="s">
        <v>89</v>
      </c>
      <c r="B201">
        <v>6</v>
      </c>
      <c r="C201" t="s">
        <v>95</v>
      </c>
      <c r="D201">
        <v>-8</v>
      </c>
      <c r="E201" t="s">
        <v>1074</v>
      </c>
      <c r="F201">
        <v>6.6</v>
      </c>
    </row>
    <row r="202" spans="1:6" x14ac:dyDescent="0.25">
      <c r="A202" t="s">
        <v>93</v>
      </c>
      <c r="B202">
        <v>6</v>
      </c>
      <c r="C202" t="s">
        <v>95</v>
      </c>
      <c r="D202">
        <v>-6.733333333</v>
      </c>
      <c r="E202" t="s">
        <v>1074</v>
      </c>
      <c r="F202">
        <v>4.766666667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195"/>
  <sheetViews>
    <sheetView tabSelected="1" workbookViewId="0">
      <selection activeCell="AG2" sqref="AG2"/>
    </sheetView>
  </sheetViews>
  <sheetFormatPr defaultRowHeight="15" x14ac:dyDescent="0.25"/>
  <cols>
    <col min="1" max="1" width="24.42578125" bestFit="1" customWidth="1"/>
    <col min="2" max="2" width="13.85546875" bestFit="1" customWidth="1"/>
    <col min="3" max="3" width="9.85546875" bestFit="1" customWidth="1"/>
    <col min="4" max="4" width="9.5703125" bestFit="1" customWidth="1"/>
    <col min="5" max="5" width="10.85546875" bestFit="1" customWidth="1"/>
    <col min="6" max="6" width="12.28515625" bestFit="1" customWidth="1"/>
    <col min="7" max="7" width="14.28515625" bestFit="1" customWidth="1"/>
    <col min="8" max="8" width="13.7109375" bestFit="1" customWidth="1"/>
    <col min="9" max="9" width="12.140625" bestFit="1" customWidth="1"/>
    <col min="10" max="10" width="18" bestFit="1" customWidth="1"/>
    <col min="11" max="11" width="12.42578125" bestFit="1" customWidth="1"/>
    <col min="12" max="12" width="11.5703125" bestFit="1" customWidth="1"/>
    <col min="13" max="13" width="8.28515625" bestFit="1" customWidth="1"/>
    <col min="14" max="14" width="12.85546875" bestFit="1" customWidth="1"/>
    <col min="15" max="15" width="10" bestFit="1" customWidth="1"/>
    <col min="16" max="16" width="14.140625" bestFit="1" customWidth="1"/>
    <col min="17" max="17" width="13.7109375" bestFit="1" customWidth="1"/>
    <col min="18" max="18" width="9.85546875" bestFit="1" customWidth="1"/>
    <col min="19" max="19" width="11.7109375" bestFit="1" customWidth="1"/>
    <col min="20" max="20" width="8.7109375" bestFit="1" customWidth="1"/>
    <col min="21" max="21" width="7.7109375" bestFit="1" customWidth="1"/>
    <col min="22" max="22" width="14.140625" bestFit="1" customWidth="1"/>
    <col min="23" max="23" width="10.140625" bestFit="1" customWidth="1"/>
    <col min="24" max="24" width="13.5703125" bestFit="1" customWidth="1"/>
    <col min="25" max="25" width="11.5703125" bestFit="1" customWidth="1"/>
    <col min="26" max="26" width="8.85546875" bestFit="1" customWidth="1"/>
    <col min="27" max="27" width="13.42578125" bestFit="1" customWidth="1"/>
    <col min="28" max="28" width="7.7109375" bestFit="1" customWidth="1"/>
    <col min="29" max="29" width="9.28515625" bestFit="1" customWidth="1"/>
    <col min="30" max="30" width="12.5703125" bestFit="1" customWidth="1"/>
    <col min="31" max="31" width="12.140625" bestFit="1" customWidth="1"/>
    <col min="32" max="32" width="3.7109375" bestFit="1" customWidth="1"/>
    <col min="33" max="33" width="12" bestFit="1" customWidth="1"/>
  </cols>
  <sheetData>
    <row r="1" spans="1:33" x14ac:dyDescent="0.25">
      <c r="A1" t="s">
        <v>102</v>
      </c>
      <c r="B1" t="s">
        <v>810</v>
      </c>
      <c r="C1" t="s">
        <v>251</v>
      </c>
      <c r="D1" t="s">
        <v>248</v>
      </c>
      <c r="E1" t="s">
        <v>233</v>
      </c>
      <c r="F1" t="s">
        <v>239</v>
      </c>
      <c r="G1" t="s">
        <v>234</v>
      </c>
      <c r="H1" t="s">
        <v>242</v>
      </c>
      <c r="I1" t="s">
        <v>236</v>
      </c>
      <c r="J1" t="s">
        <v>245</v>
      </c>
      <c r="K1" t="s">
        <v>808</v>
      </c>
      <c r="L1" t="s">
        <v>244</v>
      </c>
      <c r="M1" t="s">
        <v>237</v>
      </c>
      <c r="N1" t="s">
        <v>105</v>
      </c>
      <c r="O1" t="s">
        <v>113</v>
      </c>
      <c r="P1" t="s">
        <v>110</v>
      </c>
      <c r="Q1" t="s">
        <v>162</v>
      </c>
      <c r="R1" t="s">
        <v>249</v>
      </c>
      <c r="S1" t="s">
        <v>103</v>
      </c>
      <c r="T1" t="s">
        <v>111</v>
      </c>
      <c r="U1" t="s">
        <v>241</v>
      </c>
      <c r="V1" t="s">
        <v>253</v>
      </c>
      <c r="W1" t="s">
        <v>246</v>
      </c>
      <c r="X1" t="s">
        <v>238</v>
      </c>
      <c r="Y1" t="s">
        <v>235</v>
      </c>
      <c r="Z1" t="s">
        <v>797</v>
      </c>
      <c r="AA1" t="s">
        <v>250</v>
      </c>
      <c r="AB1" t="s">
        <v>104</v>
      </c>
      <c r="AC1" t="s">
        <v>112</v>
      </c>
      <c r="AD1" t="s">
        <v>254</v>
      </c>
      <c r="AE1" t="s">
        <v>247</v>
      </c>
      <c r="AF1" t="s">
        <v>240</v>
      </c>
      <c r="AG1" t="s">
        <v>1077</v>
      </c>
    </row>
    <row r="2" spans="1:33" x14ac:dyDescent="0.25">
      <c r="A2">
        <v>0</v>
      </c>
      <c r="B2">
        <v>0</v>
      </c>
      <c r="C2">
        <v>0</v>
      </c>
      <c r="D2">
        <v>1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2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0.636514168294813</v>
      </c>
    </row>
    <row r="3" spans="1:33" x14ac:dyDescent="0.25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1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3" x14ac:dyDescent="0.25">
      <c r="A4">
        <v>0</v>
      </c>
      <c r="B4">
        <v>0</v>
      </c>
      <c r="C4">
        <v>0</v>
      </c>
      <c r="D4">
        <v>2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1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0.636514168294813</v>
      </c>
    </row>
    <row r="5" spans="1:33" x14ac:dyDescent="0.25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 x14ac:dyDescent="0.25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2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 x14ac:dyDescent="0.25">
      <c r="A7">
        <v>0</v>
      </c>
      <c r="B7">
        <v>0</v>
      </c>
      <c r="C7">
        <v>0</v>
      </c>
      <c r="D7">
        <v>0</v>
      </c>
      <c r="E7">
        <v>0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 x14ac:dyDescent="0.25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 x14ac:dyDescent="0.25">
      <c r="A9">
        <v>1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2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0.636514168294813</v>
      </c>
    </row>
    <row r="10" spans="1:33" x14ac:dyDescent="0.25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1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2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0.636514168294813</v>
      </c>
    </row>
    <row r="11" spans="1:33" x14ac:dyDescent="0.25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1</v>
      </c>
      <c r="T11">
        <v>0</v>
      </c>
      <c r="U11">
        <v>1</v>
      </c>
      <c r="V11">
        <v>0</v>
      </c>
      <c r="W11">
        <v>0</v>
      </c>
      <c r="X11">
        <v>0</v>
      </c>
      <c r="Y11">
        <v>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1.09861228866811</v>
      </c>
    </row>
    <row r="12" spans="1:33" x14ac:dyDescent="0.25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3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</row>
    <row r="13" spans="1:33" x14ac:dyDescent="0.25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2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</row>
    <row r="14" spans="1:33" x14ac:dyDescent="0.25">
      <c r="A14">
        <v>1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0.69314718055994495</v>
      </c>
    </row>
    <row r="15" spans="1:33" x14ac:dyDescent="0.25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2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1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1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1.0397207708399201</v>
      </c>
    </row>
    <row r="16" spans="1:33" x14ac:dyDescent="0.25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1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</row>
    <row r="17" spans="1:33" x14ac:dyDescent="0.25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 spans="1:33" x14ac:dyDescent="0.25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1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1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0.69314718055994495</v>
      </c>
    </row>
    <row r="19" spans="1:33" x14ac:dyDescent="0.25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1</v>
      </c>
      <c r="AC19">
        <v>0</v>
      </c>
      <c r="AD19">
        <v>0</v>
      </c>
      <c r="AE19">
        <v>0</v>
      </c>
      <c r="AF19">
        <v>0</v>
      </c>
      <c r="AG19">
        <v>0</v>
      </c>
    </row>
    <row r="20" spans="1:33" x14ac:dyDescent="0.25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1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</row>
    <row r="21" spans="1:33" x14ac:dyDescent="0.25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 x14ac:dyDescent="0.25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1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1</v>
      </c>
      <c r="AC22">
        <v>0</v>
      </c>
      <c r="AD22">
        <v>0</v>
      </c>
      <c r="AE22">
        <v>0</v>
      </c>
      <c r="AF22">
        <v>0</v>
      </c>
      <c r="AG22">
        <v>0.69314718055994495</v>
      </c>
    </row>
    <row r="23" spans="1:33" x14ac:dyDescent="0.25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1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</row>
    <row r="24" spans="1:33" x14ac:dyDescent="0.25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1</v>
      </c>
      <c r="AD24">
        <v>0</v>
      </c>
      <c r="AE24">
        <v>0</v>
      </c>
      <c r="AF24">
        <v>0</v>
      </c>
      <c r="AG24">
        <v>0</v>
      </c>
    </row>
    <row r="25" spans="1:33" x14ac:dyDescent="0.25">
      <c r="A25">
        <v>0</v>
      </c>
      <c r="B25">
        <v>0</v>
      </c>
      <c r="C25">
        <v>1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3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1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0.95027053923323501</v>
      </c>
    </row>
    <row r="26" spans="1:33" x14ac:dyDescent="0.25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1</v>
      </c>
      <c r="AC26">
        <v>0</v>
      </c>
      <c r="AD26">
        <v>0</v>
      </c>
      <c r="AE26">
        <v>0</v>
      </c>
      <c r="AF26">
        <v>0</v>
      </c>
      <c r="AG26">
        <v>0</v>
      </c>
    </row>
    <row r="27" spans="1:33" x14ac:dyDescent="0.25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</row>
    <row r="28" spans="1:33" x14ac:dyDescent="0.25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3</v>
      </c>
      <c r="P28">
        <v>0</v>
      </c>
      <c r="Q28">
        <v>0</v>
      </c>
      <c r="R28">
        <v>0</v>
      </c>
      <c r="S28">
        <v>1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0.56233514461880796</v>
      </c>
    </row>
    <row r="29" spans="1:33" x14ac:dyDescent="0.25">
      <c r="A29">
        <v>0</v>
      </c>
      <c r="B29">
        <v>0</v>
      </c>
      <c r="C29">
        <v>0</v>
      </c>
      <c r="D29">
        <v>2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1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0.636514168294813</v>
      </c>
    </row>
    <row r="30" spans="1:33" x14ac:dyDescent="0.25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1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</row>
    <row r="31" spans="1:33" x14ac:dyDescent="0.25">
      <c r="A31">
        <v>0</v>
      </c>
      <c r="B31">
        <v>0</v>
      </c>
      <c r="C31">
        <v>1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1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0.69314718055994495</v>
      </c>
    </row>
    <row r="32" spans="1:33" x14ac:dyDescent="0.25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2</v>
      </c>
      <c r="AC32">
        <v>0</v>
      </c>
      <c r="AD32">
        <v>0</v>
      </c>
      <c r="AE32">
        <v>0</v>
      </c>
      <c r="AF32">
        <v>0</v>
      </c>
      <c r="AG32">
        <v>0</v>
      </c>
    </row>
    <row r="33" spans="1:33" x14ac:dyDescent="0.25">
      <c r="A33">
        <v>0</v>
      </c>
      <c r="B33">
        <v>0</v>
      </c>
      <c r="C33">
        <v>1</v>
      </c>
      <c r="D33">
        <v>0</v>
      </c>
      <c r="E33">
        <v>1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1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1.09861228866811</v>
      </c>
    </row>
    <row r="34" spans="1:33" x14ac:dyDescent="0.25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2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1</v>
      </c>
      <c r="Y34">
        <v>5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0.90025605126853703</v>
      </c>
    </row>
    <row r="35" spans="1:33" x14ac:dyDescent="0.25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1</v>
      </c>
      <c r="Q35">
        <v>1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0.69314718055994495</v>
      </c>
    </row>
    <row r="36" spans="1:33" x14ac:dyDescent="0.25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3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</row>
    <row r="37" spans="1:33" x14ac:dyDescent="0.25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</row>
    <row r="38" spans="1:33" x14ac:dyDescent="0.25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6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1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0.410116318288409</v>
      </c>
    </row>
    <row r="39" spans="1:33" x14ac:dyDescent="0.25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3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4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0.68290810470047203</v>
      </c>
    </row>
    <row r="40" spans="1:33" x14ac:dyDescent="0.25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2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3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0.67301166700925696</v>
      </c>
    </row>
    <row r="41" spans="1:33" x14ac:dyDescent="0.25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1</v>
      </c>
      <c r="T41">
        <v>0</v>
      </c>
      <c r="U41">
        <v>0</v>
      </c>
      <c r="V41">
        <v>0</v>
      </c>
      <c r="W41">
        <v>0</v>
      </c>
      <c r="X41">
        <v>1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0.69314718055994495</v>
      </c>
    </row>
    <row r="42" spans="1:33" x14ac:dyDescent="0.25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2</v>
      </c>
      <c r="AC42">
        <v>0</v>
      </c>
      <c r="AD42">
        <v>0</v>
      </c>
      <c r="AE42">
        <v>0</v>
      </c>
      <c r="AF42">
        <v>0</v>
      </c>
      <c r="AG42">
        <v>0</v>
      </c>
    </row>
    <row r="43" spans="1:33" x14ac:dyDescent="0.25">
      <c r="A43">
        <v>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1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</row>
    <row r="44" spans="1:33" x14ac:dyDescent="0.25">
      <c r="A44">
        <v>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2</v>
      </c>
      <c r="AD44">
        <v>0</v>
      </c>
      <c r="AE44">
        <v>0</v>
      </c>
      <c r="AF44">
        <v>0</v>
      </c>
      <c r="AG44">
        <v>0</v>
      </c>
    </row>
    <row r="45" spans="1:33" x14ac:dyDescent="0.25">
      <c r="A45">
        <v>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1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1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0.69314718055994495</v>
      </c>
    </row>
    <row r="46" spans="1:33" x14ac:dyDescent="0.25">
      <c r="A46">
        <v>0</v>
      </c>
      <c r="B46">
        <v>0</v>
      </c>
      <c r="C46">
        <v>0</v>
      </c>
      <c r="D46">
        <v>0</v>
      </c>
      <c r="E46">
        <v>0</v>
      </c>
      <c r="F46">
        <v>0</v>
      </c>
      <c r="G46">
        <v>5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</row>
    <row r="47" spans="1:33" x14ac:dyDescent="0.25">
      <c r="A47">
        <v>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1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</row>
    <row r="48" spans="1:33" x14ac:dyDescent="0.25">
      <c r="A48">
        <v>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1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</row>
    <row r="49" spans="1:33" x14ac:dyDescent="0.25">
      <c r="A49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1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1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0.69314718055994495</v>
      </c>
    </row>
    <row r="50" spans="1:33" x14ac:dyDescent="0.25">
      <c r="A50">
        <v>0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1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1</v>
      </c>
      <c r="T50">
        <v>0</v>
      </c>
      <c r="U50">
        <v>2</v>
      </c>
      <c r="V50">
        <v>0</v>
      </c>
      <c r="W50">
        <v>0</v>
      </c>
      <c r="X50">
        <v>1</v>
      </c>
      <c r="Y50">
        <v>1</v>
      </c>
      <c r="Z50">
        <v>0</v>
      </c>
      <c r="AA50">
        <v>0</v>
      </c>
      <c r="AB50">
        <v>0</v>
      </c>
      <c r="AC50">
        <v>1</v>
      </c>
      <c r="AD50">
        <v>0</v>
      </c>
      <c r="AE50">
        <v>0</v>
      </c>
      <c r="AF50">
        <v>0</v>
      </c>
      <c r="AG50">
        <v>1.74786809746676</v>
      </c>
    </row>
    <row r="51" spans="1:33" x14ac:dyDescent="0.25">
      <c r="A51">
        <v>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1</v>
      </c>
      <c r="T51">
        <v>0</v>
      </c>
      <c r="U51">
        <v>1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0.69314718055994495</v>
      </c>
    </row>
    <row r="52" spans="1:33" x14ac:dyDescent="0.25">
      <c r="A52">
        <v>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</row>
    <row r="53" spans="1:33" x14ac:dyDescent="0.25">
      <c r="A53">
        <v>0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2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</row>
    <row r="54" spans="1:33" x14ac:dyDescent="0.25">
      <c r="A54">
        <v>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2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</row>
    <row r="55" spans="1:33" x14ac:dyDescent="0.25">
      <c r="A55">
        <v>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1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</row>
    <row r="56" spans="1:33" x14ac:dyDescent="0.25">
      <c r="A56">
        <v>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1</v>
      </c>
      <c r="L56">
        <v>0</v>
      </c>
      <c r="M56">
        <v>0</v>
      </c>
      <c r="N56">
        <v>0</v>
      </c>
      <c r="O56">
        <v>1</v>
      </c>
      <c r="P56">
        <v>0</v>
      </c>
      <c r="Q56">
        <v>0</v>
      </c>
      <c r="R56">
        <v>0</v>
      </c>
      <c r="S56">
        <v>1</v>
      </c>
      <c r="T56">
        <v>0</v>
      </c>
      <c r="U56">
        <v>0</v>
      </c>
      <c r="V56">
        <v>0</v>
      </c>
      <c r="W56">
        <v>0</v>
      </c>
      <c r="X56">
        <v>1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1.3862943611198899</v>
      </c>
    </row>
    <row r="57" spans="1:33" x14ac:dyDescent="0.25">
      <c r="A57">
        <v>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</row>
    <row r="58" spans="1:33" x14ac:dyDescent="0.25">
      <c r="A58">
        <v>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</row>
    <row r="59" spans="1:33" x14ac:dyDescent="0.25">
      <c r="A59">
        <v>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2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1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0.636514168294813</v>
      </c>
    </row>
    <row r="60" spans="1:33" x14ac:dyDescent="0.25">
      <c r="A60">
        <v>0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3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</row>
    <row r="61" spans="1:33" x14ac:dyDescent="0.25">
      <c r="A61">
        <v>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1</v>
      </c>
      <c r="AD61">
        <v>0</v>
      </c>
      <c r="AE61">
        <v>0</v>
      </c>
      <c r="AF61">
        <v>0</v>
      </c>
      <c r="AG61">
        <v>0</v>
      </c>
    </row>
    <row r="62" spans="1:33" x14ac:dyDescent="0.25">
      <c r="A62">
        <v>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1</v>
      </c>
      <c r="AC62">
        <v>0</v>
      </c>
      <c r="AD62">
        <v>0</v>
      </c>
      <c r="AE62">
        <v>0</v>
      </c>
      <c r="AF62">
        <v>0</v>
      </c>
      <c r="AG62">
        <v>0</v>
      </c>
    </row>
    <row r="63" spans="1:33" x14ac:dyDescent="0.25">
      <c r="A63">
        <v>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4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</row>
    <row r="64" spans="1:33" x14ac:dyDescent="0.25">
      <c r="A64">
        <v>0</v>
      </c>
      <c r="B64">
        <v>0</v>
      </c>
      <c r="C64">
        <v>0</v>
      </c>
      <c r="D64">
        <v>0</v>
      </c>
      <c r="E64">
        <v>6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1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1</v>
      </c>
      <c r="AF64">
        <v>0</v>
      </c>
      <c r="AG64">
        <v>0.73562193975879497</v>
      </c>
    </row>
    <row r="65" spans="1:33" x14ac:dyDescent="0.25">
      <c r="A65">
        <v>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</row>
    <row r="66" spans="1:33" x14ac:dyDescent="0.25">
      <c r="A66">
        <v>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2</v>
      </c>
      <c r="AD66">
        <v>0</v>
      </c>
      <c r="AE66">
        <v>1</v>
      </c>
      <c r="AF66">
        <v>0</v>
      </c>
      <c r="AG66">
        <v>0.636514168294813</v>
      </c>
    </row>
    <row r="67" spans="1:33" x14ac:dyDescent="0.25">
      <c r="A67">
        <v>0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1</v>
      </c>
      <c r="X67">
        <v>0</v>
      </c>
      <c r="Y67">
        <v>0</v>
      </c>
      <c r="Z67">
        <v>0</v>
      </c>
      <c r="AA67">
        <v>0</v>
      </c>
      <c r="AB67">
        <v>1</v>
      </c>
      <c r="AC67">
        <v>0</v>
      </c>
      <c r="AD67">
        <v>0</v>
      </c>
      <c r="AE67">
        <v>0</v>
      </c>
      <c r="AF67">
        <v>0</v>
      </c>
      <c r="AG67">
        <v>0.69314718055994495</v>
      </c>
    </row>
    <row r="68" spans="1:33" x14ac:dyDescent="0.25">
      <c r="A68">
        <v>0</v>
      </c>
      <c r="B68">
        <v>0</v>
      </c>
      <c r="C68">
        <v>0</v>
      </c>
      <c r="D68">
        <v>0</v>
      </c>
      <c r="E68">
        <v>0</v>
      </c>
      <c r="F68">
        <v>1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1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0.69314718055994495</v>
      </c>
    </row>
    <row r="69" spans="1:33" x14ac:dyDescent="0.25">
      <c r="A69">
        <v>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1</v>
      </c>
      <c r="S69">
        <v>0</v>
      </c>
      <c r="T69">
        <v>0</v>
      </c>
      <c r="U69">
        <v>0</v>
      </c>
      <c r="V69">
        <v>0</v>
      </c>
      <c r="W69">
        <v>0</v>
      </c>
      <c r="X69">
        <v>1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0.69314718055994495</v>
      </c>
    </row>
    <row r="70" spans="1:33" x14ac:dyDescent="0.25">
      <c r="A70">
        <v>0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1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</row>
    <row r="71" spans="1:33" x14ac:dyDescent="0.25">
      <c r="A71">
        <v>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2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</row>
    <row r="72" spans="1:33" x14ac:dyDescent="0.25">
      <c r="A72">
        <v>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1</v>
      </c>
      <c r="AC72">
        <v>0</v>
      </c>
      <c r="AD72">
        <v>0</v>
      </c>
      <c r="AE72">
        <v>0</v>
      </c>
      <c r="AF72">
        <v>0</v>
      </c>
      <c r="AG72">
        <v>0</v>
      </c>
    </row>
    <row r="73" spans="1:33" x14ac:dyDescent="0.25">
      <c r="A73">
        <v>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2</v>
      </c>
      <c r="V73">
        <v>0</v>
      </c>
      <c r="W73">
        <v>2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0.69314718055994495</v>
      </c>
    </row>
    <row r="74" spans="1:33" x14ac:dyDescent="0.25">
      <c r="A74">
        <v>0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2</v>
      </c>
      <c r="X74">
        <v>0</v>
      </c>
      <c r="Y74">
        <v>0</v>
      </c>
      <c r="Z74">
        <v>1</v>
      </c>
      <c r="AA74">
        <v>0</v>
      </c>
      <c r="AB74">
        <v>1</v>
      </c>
      <c r="AC74">
        <v>0</v>
      </c>
      <c r="AD74">
        <v>0</v>
      </c>
      <c r="AE74">
        <v>1</v>
      </c>
      <c r="AF74">
        <v>0</v>
      </c>
      <c r="AG74">
        <v>1.3321790402101199</v>
      </c>
    </row>
    <row r="75" spans="1:33" x14ac:dyDescent="0.25">
      <c r="A75">
        <v>0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</row>
    <row r="76" spans="1:33" x14ac:dyDescent="0.25">
      <c r="A76">
        <v>0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1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</row>
    <row r="77" spans="1:33" x14ac:dyDescent="0.25">
      <c r="A77">
        <v>1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1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0.69314718055994495</v>
      </c>
    </row>
    <row r="78" spans="1:33" x14ac:dyDescent="0.25">
      <c r="A78">
        <v>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1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</row>
    <row r="79" spans="1:33" x14ac:dyDescent="0.25">
      <c r="A79">
        <v>0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</row>
    <row r="80" spans="1:33" x14ac:dyDescent="0.25">
      <c r="A80">
        <v>0</v>
      </c>
      <c r="B80">
        <v>0</v>
      </c>
      <c r="C80">
        <v>0</v>
      </c>
      <c r="D80">
        <v>0</v>
      </c>
      <c r="E80">
        <v>1</v>
      </c>
      <c r="F80">
        <v>0</v>
      </c>
      <c r="G80">
        <v>1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1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1.09861228866811</v>
      </c>
    </row>
    <row r="81" spans="1:33" x14ac:dyDescent="0.25">
      <c r="A81">
        <v>0</v>
      </c>
      <c r="B81">
        <v>0</v>
      </c>
      <c r="C81">
        <v>0</v>
      </c>
      <c r="D81">
        <v>2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1</v>
      </c>
      <c r="T81">
        <v>0</v>
      </c>
      <c r="U81">
        <v>0</v>
      </c>
      <c r="V81">
        <v>0</v>
      </c>
      <c r="W81">
        <v>0</v>
      </c>
      <c r="X81">
        <v>2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1.05492016798614</v>
      </c>
    </row>
    <row r="82" spans="1:33" x14ac:dyDescent="0.25">
      <c r="A82">
        <v>0</v>
      </c>
      <c r="B82">
        <v>0</v>
      </c>
      <c r="C82">
        <v>0</v>
      </c>
      <c r="D82">
        <v>2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1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1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1</v>
      </c>
      <c r="AF82">
        <v>0</v>
      </c>
      <c r="AG82">
        <v>1.3321790402101199</v>
      </c>
    </row>
    <row r="83" spans="1:33" x14ac:dyDescent="0.25">
      <c r="A83">
        <v>1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1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0.69314718055994495</v>
      </c>
    </row>
    <row r="84" spans="1:33" x14ac:dyDescent="0.25">
      <c r="A84">
        <v>0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2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1</v>
      </c>
      <c r="AC84">
        <v>0</v>
      </c>
      <c r="AD84">
        <v>0</v>
      </c>
      <c r="AE84">
        <v>0</v>
      </c>
      <c r="AF84">
        <v>0</v>
      </c>
      <c r="AG84">
        <v>0.636514168294813</v>
      </c>
    </row>
    <row r="85" spans="1:33" x14ac:dyDescent="0.25">
      <c r="A85">
        <v>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1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</row>
    <row r="86" spans="1:33" x14ac:dyDescent="0.25">
      <c r="A86">
        <v>0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6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</row>
    <row r="87" spans="1:33" x14ac:dyDescent="0.25">
      <c r="A87">
        <v>0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</row>
    <row r="88" spans="1:33" x14ac:dyDescent="0.25">
      <c r="A88">
        <v>0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</row>
    <row r="89" spans="1:33" x14ac:dyDescent="0.25">
      <c r="A89">
        <v>0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1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</row>
    <row r="90" spans="1:33" x14ac:dyDescent="0.25">
      <c r="A90">
        <v>0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1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2</v>
      </c>
      <c r="AC90">
        <v>0</v>
      </c>
      <c r="AD90">
        <v>0</v>
      </c>
      <c r="AE90">
        <v>0</v>
      </c>
      <c r="AF90">
        <v>0</v>
      </c>
      <c r="AG90">
        <v>0.636514168294813</v>
      </c>
    </row>
    <row r="91" spans="1:33" x14ac:dyDescent="0.25">
      <c r="A91">
        <v>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3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0</v>
      </c>
      <c r="AD91">
        <v>0</v>
      </c>
      <c r="AE91">
        <v>0</v>
      </c>
      <c r="AF91">
        <v>0</v>
      </c>
      <c r="AG91">
        <v>0.56233514461880796</v>
      </c>
    </row>
    <row r="92" spans="1:33" x14ac:dyDescent="0.25">
      <c r="A92">
        <v>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1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1</v>
      </c>
      <c r="AC92">
        <v>0</v>
      </c>
      <c r="AD92">
        <v>0</v>
      </c>
      <c r="AE92">
        <v>0</v>
      </c>
      <c r="AF92">
        <v>0</v>
      </c>
      <c r="AG92">
        <v>0.69314718055994495</v>
      </c>
    </row>
    <row r="93" spans="1:33" x14ac:dyDescent="0.25">
      <c r="A93">
        <v>0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2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3</v>
      </c>
      <c r="AF93">
        <v>0</v>
      </c>
      <c r="AG93">
        <v>0.67301166700925696</v>
      </c>
    </row>
    <row r="94" spans="1:33" x14ac:dyDescent="0.25">
      <c r="A94">
        <v>0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1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1</v>
      </c>
      <c r="AF94">
        <v>0</v>
      </c>
      <c r="AG94">
        <v>0.69314718055994495</v>
      </c>
    </row>
    <row r="95" spans="1:33" x14ac:dyDescent="0.25">
      <c r="A95">
        <v>0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15</v>
      </c>
      <c r="I95">
        <v>0</v>
      </c>
      <c r="J95">
        <v>0</v>
      </c>
      <c r="K95">
        <v>1</v>
      </c>
      <c r="L95">
        <v>0</v>
      </c>
      <c r="M95">
        <v>0</v>
      </c>
      <c r="N95">
        <v>0</v>
      </c>
      <c r="O95">
        <v>3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0.63303951166446804</v>
      </c>
    </row>
    <row r="96" spans="1:33" x14ac:dyDescent="0.25">
      <c r="A96">
        <v>0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2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2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0.69314718055994495</v>
      </c>
    </row>
    <row r="97" spans="1:33" x14ac:dyDescent="0.25">
      <c r="A97">
        <v>0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3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1</v>
      </c>
      <c r="AF97">
        <v>0</v>
      </c>
      <c r="AG97">
        <v>0.56233514461880796</v>
      </c>
    </row>
    <row r="98" spans="1:33" x14ac:dyDescent="0.25">
      <c r="A98">
        <v>0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1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</row>
    <row r="99" spans="1:33" x14ac:dyDescent="0.25">
      <c r="A99">
        <v>0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1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</row>
    <row r="100" spans="1:33" x14ac:dyDescent="0.25">
      <c r="A100">
        <v>0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1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</row>
    <row r="101" spans="1:33" x14ac:dyDescent="0.25">
      <c r="A101">
        <v>1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2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0.636514168294813</v>
      </c>
    </row>
    <row r="102" spans="1:33" x14ac:dyDescent="0.25">
      <c r="A102">
        <v>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1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</row>
    <row r="103" spans="1:33" x14ac:dyDescent="0.25">
      <c r="A103">
        <v>0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1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</row>
    <row r="104" spans="1:33" x14ac:dyDescent="0.25">
      <c r="A104">
        <v>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1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4</v>
      </c>
      <c r="P104">
        <v>0</v>
      </c>
      <c r="Q104">
        <v>0</v>
      </c>
      <c r="R104">
        <v>0</v>
      </c>
      <c r="S104">
        <v>1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0.86756322848146095</v>
      </c>
    </row>
    <row r="105" spans="1:33" x14ac:dyDescent="0.25">
      <c r="A105">
        <v>0</v>
      </c>
      <c r="B105">
        <v>0</v>
      </c>
      <c r="C105">
        <v>0</v>
      </c>
      <c r="D105">
        <v>4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6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0.67301166700925696</v>
      </c>
    </row>
    <row r="106" spans="1:33" x14ac:dyDescent="0.25">
      <c r="A106">
        <v>0</v>
      </c>
      <c r="B106">
        <v>0</v>
      </c>
      <c r="C106">
        <v>0</v>
      </c>
      <c r="D106">
        <v>5</v>
      </c>
      <c r="E106">
        <v>0</v>
      </c>
      <c r="F106">
        <v>1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1</v>
      </c>
      <c r="AD106">
        <v>0</v>
      </c>
      <c r="AE106">
        <v>0</v>
      </c>
      <c r="AF106">
        <v>0</v>
      </c>
      <c r="AG106">
        <v>0.79631164017381295</v>
      </c>
    </row>
    <row r="107" spans="1:33" x14ac:dyDescent="0.25">
      <c r="A107">
        <v>0</v>
      </c>
      <c r="B107">
        <v>0</v>
      </c>
      <c r="C107">
        <v>0</v>
      </c>
      <c r="D107">
        <v>3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2</v>
      </c>
      <c r="P107">
        <v>0</v>
      </c>
      <c r="Q107">
        <v>0</v>
      </c>
      <c r="R107">
        <v>0</v>
      </c>
      <c r="S107">
        <v>3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0</v>
      </c>
      <c r="AG107">
        <v>1.31078367809971</v>
      </c>
    </row>
    <row r="108" spans="1:33" x14ac:dyDescent="0.25">
      <c r="A108">
        <v>0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1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1</v>
      </c>
      <c r="AC108">
        <v>0</v>
      </c>
      <c r="AD108">
        <v>0</v>
      </c>
      <c r="AE108">
        <v>0</v>
      </c>
      <c r="AF108">
        <v>0</v>
      </c>
      <c r="AG108">
        <v>0.69314718055994495</v>
      </c>
    </row>
    <row r="109" spans="1:33" x14ac:dyDescent="0.25">
      <c r="A109">
        <v>0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1</v>
      </c>
      <c r="AD109">
        <v>0</v>
      </c>
      <c r="AE109">
        <v>0</v>
      </c>
      <c r="AF109">
        <v>0</v>
      </c>
      <c r="AG109">
        <v>0</v>
      </c>
    </row>
    <row r="110" spans="1:33" x14ac:dyDescent="0.25">
      <c r="A110">
        <v>1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1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1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1.09861228866811</v>
      </c>
    </row>
    <row r="111" spans="1:33" x14ac:dyDescent="0.25">
      <c r="A111">
        <v>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8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1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0.34883209584303199</v>
      </c>
    </row>
    <row r="112" spans="1:33" x14ac:dyDescent="0.25">
      <c r="A112">
        <v>1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3</v>
      </c>
      <c r="I112">
        <v>1</v>
      </c>
      <c r="J112">
        <v>0</v>
      </c>
      <c r="K112">
        <v>0</v>
      </c>
      <c r="L112">
        <v>1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1.242453324894</v>
      </c>
    </row>
    <row r="113" spans="1:33" x14ac:dyDescent="0.25">
      <c r="A113">
        <v>0</v>
      </c>
      <c r="B113">
        <v>0</v>
      </c>
      <c r="C113">
        <v>0</v>
      </c>
      <c r="D113">
        <v>12</v>
      </c>
      <c r="E113">
        <v>0</v>
      </c>
      <c r="F113">
        <v>1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2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1</v>
      </c>
      <c r="AF113">
        <v>0</v>
      </c>
      <c r="AG113">
        <v>0.82226533732878804</v>
      </c>
    </row>
    <row r="114" spans="1:33" x14ac:dyDescent="0.25">
      <c r="A114">
        <v>1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2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0.636514168294813</v>
      </c>
    </row>
    <row r="115" spans="1:33" x14ac:dyDescent="0.25">
      <c r="A115">
        <v>0</v>
      </c>
      <c r="B115">
        <v>0</v>
      </c>
      <c r="C115">
        <v>0</v>
      </c>
      <c r="D115">
        <v>1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3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1</v>
      </c>
      <c r="AF115">
        <v>0</v>
      </c>
      <c r="AG115">
        <v>0.95027053923323501</v>
      </c>
    </row>
    <row r="116" spans="1:33" x14ac:dyDescent="0.25">
      <c r="A116">
        <v>0</v>
      </c>
      <c r="B116">
        <v>0</v>
      </c>
      <c r="C116">
        <v>0</v>
      </c>
      <c r="D116">
        <v>3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6</v>
      </c>
      <c r="P116">
        <v>0</v>
      </c>
      <c r="Q116">
        <v>0</v>
      </c>
      <c r="R116">
        <v>0</v>
      </c>
      <c r="S116">
        <v>4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1.0579054247036701</v>
      </c>
    </row>
    <row r="117" spans="1:33" x14ac:dyDescent="0.25">
      <c r="A117">
        <v>0</v>
      </c>
      <c r="B117">
        <v>0</v>
      </c>
      <c r="C117">
        <v>0</v>
      </c>
      <c r="D117">
        <v>9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1</v>
      </c>
      <c r="P117">
        <v>0</v>
      </c>
      <c r="Q117">
        <v>0</v>
      </c>
      <c r="R117">
        <v>0</v>
      </c>
      <c r="S117">
        <v>2</v>
      </c>
      <c r="T117">
        <v>1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0.93715585306570104</v>
      </c>
    </row>
    <row r="118" spans="1:33" x14ac:dyDescent="0.25">
      <c r="A118">
        <v>0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1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3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1</v>
      </c>
      <c r="AF118">
        <v>0</v>
      </c>
      <c r="AG118">
        <v>1.4750763110546901</v>
      </c>
    </row>
    <row r="119" spans="1:33" x14ac:dyDescent="0.25">
      <c r="A119">
        <v>0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</row>
    <row r="120" spans="1:33" x14ac:dyDescent="0.25">
      <c r="A120">
        <v>0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1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2</v>
      </c>
      <c r="AF120">
        <v>0</v>
      </c>
      <c r="AG120">
        <v>0.636514168294813</v>
      </c>
    </row>
    <row r="121" spans="1:33" x14ac:dyDescent="0.25">
      <c r="A121">
        <v>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1</v>
      </c>
      <c r="AD121">
        <v>0</v>
      </c>
      <c r="AE121">
        <v>0</v>
      </c>
      <c r="AF121">
        <v>0</v>
      </c>
      <c r="AG121">
        <v>0</v>
      </c>
    </row>
    <row r="122" spans="1:33" x14ac:dyDescent="0.25">
      <c r="A122">
        <v>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1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</row>
    <row r="123" spans="1:33" x14ac:dyDescent="0.25">
      <c r="A123">
        <v>0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1</v>
      </c>
      <c r="R123">
        <v>0</v>
      </c>
      <c r="S123">
        <v>0</v>
      </c>
      <c r="T123">
        <v>1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1</v>
      </c>
      <c r="AC123">
        <v>0</v>
      </c>
      <c r="AD123">
        <v>0</v>
      </c>
      <c r="AE123">
        <v>0</v>
      </c>
      <c r="AF123">
        <v>0</v>
      </c>
      <c r="AG123">
        <v>1.09861228866811</v>
      </c>
    </row>
    <row r="124" spans="1:33" x14ac:dyDescent="0.25">
      <c r="A124">
        <v>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3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</row>
    <row r="125" spans="1:33" x14ac:dyDescent="0.25">
      <c r="A125">
        <v>0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2</v>
      </c>
      <c r="P125">
        <v>0</v>
      </c>
      <c r="Q125">
        <v>0</v>
      </c>
      <c r="R125">
        <v>0</v>
      </c>
      <c r="S125">
        <v>7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0.52970619905765404</v>
      </c>
    </row>
    <row r="126" spans="1:33" x14ac:dyDescent="0.25">
      <c r="A126">
        <v>0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2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</row>
    <row r="127" spans="1:33" x14ac:dyDescent="0.25">
      <c r="A127">
        <v>0</v>
      </c>
      <c r="B127">
        <v>0</v>
      </c>
      <c r="C127">
        <v>0</v>
      </c>
      <c r="D127">
        <v>0</v>
      </c>
      <c r="E127">
        <v>1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2</v>
      </c>
      <c r="P127">
        <v>0</v>
      </c>
      <c r="Q127">
        <v>0</v>
      </c>
      <c r="R127">
        <v>0</v>
      </c>
      <c r="S127">
        <v>3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1</v>
      </c>
      <c r="Z127">
        <v>0</v>
      </c>
      <c r="AA127">
        <v>0</v>
      </c>
      <c r="AB127">
        <v>1</v>
      </c>
      <c r="AC127">
        <v>0</v>
      </c>
      <c r="AD127">
        <v>0</v>
      </c>
      <c r="AE127">
        <v>0</v>
      </c>
      <c r="AF127">
        <v>0</v>
      </c>
      <c r="AG127">
        <v>1.49417513828931</v>
      </c>
    </row>
    <row r="128" spans="1:33" x14ac:dyDescent="0.25">
      <c r="A128">
        <v>0</v>
      </c>
      <c r="B128">
        <v>0</v>
      </c>
      <c r="C128">
        <v>0</v>
      </c>
      <c r="D128">
        <v>0</v>
      </c>
      <c r="E128">
        <v>4</v>
      </c>
      <c r="F128">
        <v>0</v>
      </c>
      <c r="G128">
        <v>1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5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0.943348392329039</v>
      </c>
    </row>
    <row r="129" spans="1:33" x14ac:dyDescent="0.25">
      <c r="A129">
        <v>0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4</v>
      </c>
      <c r="P129">
        <v>0</v>
      </c>
      <c r="Q129">
        <v>0</v>
      </c>
      <c r="R129">
        <v>0</v>
      </c>
      <c r="S129">
        <v>3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1</v>
      </c>
      <c r="AC129">
        <v>0</v>
      </c>
      <c r="AD129">
        <v>0</v>
      </c>
      <c r="AE129">
        <v>0</v>
      </c>
      <c r="AF129">
        <v>0</v>
      </c>
      <c r="AG129">
        <v>0.97431475286934899</v>
      </c>
    </row>
    <row r="130" spans="1:33" x14ac:dyDescent="0.25">
      <c r="A130">
        <v>0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1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1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1</v>
      </c>
      <c r="AC130">
        <v>0</v>
      </c>
      <c r="AD130">
        <v>0</v>
      </c>
      <c r="AE130">
        <v>0</v>
      </c>
      <c r="AF130">
        <v>0</v>
      </c>
      <c r="AG130">
        <v>1.09861228866811</v>
      </c>
    </row>
    <row r="131" spans="1:33" x14ac:dyDescent="0.25">
      <c r="A131">
        <v>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1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3</v>
      </c>
      <c r="AC131">
        <v>0</v>
      </c>
      <c r="AD131">
        <v>0</v>
      </c>
      <c r="AE131">
        <v>0</v>
      </c>
      <c r="AF131">
        <v>0</v>
      </c>
      <c r="AG131">
        <v>0.56233514461880796</v>
      </c>
    </row>
    <row r="132" spans="1:33" x14ac:dyDescent="0.25">
      <c r="A132">
        <v>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1</v>
      </c>
      <c r="P132">
        <v>0</v>
      </c>
      <c r="Q132">
        <v>0</v>
      </c>
      <c r="R132">
        <v>0</v>
      </c>
      <c r="S132">
        <v>2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0.636514168294813</v>
      </c>
    </row>
    <row r="133" spans="1:33" x14ac:dyDescent="0.25">
      <c r="A133">
        <v>0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6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</row>
    <row r="134" spans="1:33" x14ac:dyDescent="0.25">
      <c r="A134">
        <v>0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5</v>
      </c>
      <c r="P134">
        <v>0</v>
      </c>
      <c r="Q134">
        <v>0</v>
      </c>
      <c r="R134">
        <v>0</v>
      </c>
      <c r="S134">
        <v>7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0.67919326599152596</v>
      </c>
    </row>
    <row r="135" spans="1:33" x14ac:dyDescent="0.25">
      <c r="A135">
        <v>0</v>
      </c>
      <c r="B135">
        <v>0</v>
      </c>
      <c r="C135">
        <v>0</v>
      </c>
      <c r="D135">
        <v>0</v>
      </c>
      <c r="E135">
        <v>0</v>
      </c>
      <c r="F135">
        <v>1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1</v>
      </c>
      <c r="N135">
        <v>0</v>
      </c>
      <c r="O135">
        <v>1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3</v>
      </c>
      <c r="AC135">
        <v>0</v>
      </c>
      <c r="AD135">
        <v>0</v>
      </c>
      <c r="AE135">
        <v>0</v>
      </c>
      <c r="AF135">
        <v>0</v>
      </c>
      <c r="AG135">
        <v>1.242453324894</v>
      </c>
    </row>
    <row r="136" spans="1:33" x14ac:dyDescent="0.25">
      <c r="A136">
        <v>0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1</v>
      </c>
      <c r="N136">
        <v>0</v>
      </c>
      <c r="O136">
        <v>7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1</v>
      </c>
      <c r="Y136">
        <v>0</v>
      </c>
      <c r="Z136">
        <v>0</v>
      </c>
      <c r="AA136">
        <v>0</v>
      </c>
      <c r="AB136">
        <v>1</v>
      </c>
      <c r="AC136">
        <v>0</v>
      </c>
      <c r="AD136">
        <v>0</v>
      </c>
      <c r="AE136">
        <v>0</v>
      </c>
      <c r="AF136">
        <v>0</v>
      </c>
      <c r="AG136">
        <v>0.94044798865532597</v>
      </c>
    </row>
    <row r="137" spans="1:33" x14ac:dyDescent="0.25">
      <c r="A137">
        <v>0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3</v>
      </c>
      <c r="P137">
        <v>0</v>
      </c>
      <c r="Q137">
        <v>0</v>
      </c>
      <c r="R137">
        <v>0</v>
      </c>
      <c r="S137">
        <v>2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0.67301166700925696</v>
      </c>
    </row>
    <row r="138" spans="1:33" x14ac:dyDescent="0.25">
      <c r="A138">
        <v>0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6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</row>
    <row r="139" spans="1:33" x14ac:dyDescent="0.25">
      <c r="A139">
        <v>0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5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2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2</v>
      </c>
      <c r="AC139">
        <v>0</v>
      </c>
      <c r="AD139">
        <v>0</v>
      </c>
      <c r="AE139">
        <v>0</v>
      </c>
      <c r="AF139">
        <v>0</v>
      </c>
      <c r="AG139">
        <v>0.99502699017952101</v>
      </c>
    </row>
    <row r="140" spans="1:33" x14ac:dyDescent="0.25">
      <c r="A140">
        <v>0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1</v>
      </c>
      <c r="P140">
        <v>1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0.69314718055994495</v>
      </c>
    </row>
    <row r="141" spans="1:33" x14ac:dyDescent="0.25">
      <c r="A141">
        <v>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2</v>
      </c>
      <c r="Q141">
        <v>0</v>
      </c>
      <c r="R141">
        <v>0</v>
      </c>
      <c r="S141">
        <v>0</v>
      </c>
      <c r="T141">
        <v>0</v>
      </c>
      <c r="U141">
        <v>1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2</v>
      </c>
      <c r="AG141">
        <v>1.05492016798614</v>
      </c>
    </row>
    <row r="142" spans="1:33" x14ac:dyDescent="0.25">
      <c r="A142">
        <v>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1</v>
      </c>
      <c r="AC142">
        <v>0</v>
      </c>
      <c r="AD142">
        <v>0</v>
      </c>
      <c r="AE142">
        <v>0</v>
      </c>
      <c r="AF142">
        <v>0</v>
      </c>
      <c r="AG142">
        <v>0</v>
      </c>
    </row>
    <row r="143" spans="1:33" x14ac:dyDescent="0.25">
      <c r="A143">
        <v>0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1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</row>
    <row r="144" spans="1:33" x14ac:dyDescent="0.25">
      <c r="A144">
        <v>0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</row>
    <row r="145" spans="1:33" x14ac:dyDescent="0.25">
      <c r="A145">
        <v>0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1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1</v>
      </c>
      <c r="AC145">
        <v>0</v>
      </c>
      <c r="AD145">
        <v>0</v>
      </c>
      <c r="AE145">
        <v>0</v>
      </c>
      <c r="AF145">
        <v>0</v>
      </c>
      <c r="AG145">
        <v>0.69314718055994495</v>
      </c>
    </row>
    <row r="146" spans="1:33" x14ac:dyDescent="0.25">
      <c r="A146">
        <v>1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</row>
    <row r="147" spans="1:33" x14ac:dyDescent="0.25">
      <c r="A147">
        <v>0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</row>
    <row r="148" spans="1:33" x14ac:dyDescent="0.25">
      <c r="A148">
        <v>0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1</v>
      </c>
      <c r="P148">
        <v>0</v>
      </c>
      <c r="Q148">
        <v>1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1</v>
      </c>
      <c r="AD148">
        <v>0</v>
      </c>
      <c r="AE148">
        <v>0</v>
      </c>
      <c r="AF148">
        <v>0</v>
      </c>
      <c r="AG148">
        <v>1.09861228866811</v>
      </c>
    </row>
    <row r="149" spans="1:33" x14ac:dyDescent="0.25">
      <c r="A149">
        <v>0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</row>
    <row r="150" spans="1:33" x14ac:dyDescent="0.25">
      <c r="A150">
        <v>0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2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</row>
    <row r="151" spans="1:33" x14ac:dyDescent="0.25">
      <c r="A151">
        <v>0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6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</row>
    <row r="152" spans="1:33" x14ac:dyDescent="0.25">
      <c r="A152">
        <v>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8</v>
      </c>
      <c r="P152">
        <v>0</v>
      </c>
      <c r="Q152">
        <v>0</v>
      </c>
      <c r="R152">
        <v>0</v>
      </c>
      <c r="S152">
        <v>1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0.34883209584303199</v>
      </c>
    </row>
    <row r="153" spans="1:33" x14ac:dyDescent="0.25">
      <c r="A153">
        <v>0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</row>
    <row r="154" spans="1:33" x14ac:dyDescent="0.25">
      <c r="A154">
        <v>0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3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</row>
    <row r="155" spans="1:33" x14ac:dyDescent="0.25">
      <c r="A155">
        <v>0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</row>
    <row r="156" spans="1:33" x14ac:dyDescent="0.25">
      <c r="A156">
        <v>0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1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1</v>
      </c>
      <c r="AD156">
        <v>0</v>
      </c>
      <c r="AE156">
        <v>0</v>
      </c>
      <c r="AF156">
        <v>0</v>
      </c>
      <c r="AG156">
        <v>0.69314718055994495</v>
      </c>
    </row>
    <row r="157" spans="1:33" x14ac:dyDescent="0.25">
      <c r="A157">
        <v>0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1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2</v>
      </c>
      <c r="AC157">
        <v>0</v>
      </c>
      <c r="AD157">
        <v>0</v>
      </c>
      <c r="AE157">
        <v>0</v>
      </c>
      <c r="AF157">
        <v>0</v>
      </c>
      <c r="AG157">
        <v>0.636514168294813</v>
      </c>
    </row>
    <row r="158" spans="1:33" x14ac:dyDescent="0.25">
      <c r="A158">
        <v>0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1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1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0.69314718055994495</v>
      </c>
    </row>
    <row r="159" spans="1:33" x14ac:dyDescent="0.25">
      <c r="A159">
        <v>0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5</v>
      </c>
      <c r="P159">
        <v>0</v>
      </c>
      <c r="Q159">
        <v>0</v>
      </c>
      <c r="R159">
        <v>0</v>
      </c>
      <c r="S159">
        <v>1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2</v>
      </c>
      <c r="AC159">
        <v>0</v>
      </c>
      <c r="AD159">
        <v>0</v>
      </c>
      <c r="AE159">
        <v>0</v>
      </c>
      <c r="AF159">
        <v>0</v>
      </c>
      <c r="AG159">
        <v>0.90025605126853703</v>
      </c>
    </row>
    <row r="160" spans="1:33" x14ac:dyDescent="0.25">
      <c r="A160">
        <v>0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5</v>
      </c>
      <c r="AC160">
        <v>1</v>
      </c>
      <c r="AD160">
        <v>0</v>
      </c>
      <c r="AE160">
        <v>0</v>
      </c>
      <c r="AF160">
        <v>0</v>
      </c>
      <c r="AG160">
        <v>0.45056120886630502</v>
      </c>
    </row>
    <row r="161" spans="1:33" x14ac:dyDescent="0.25">
      <c r="A161">
        <v>0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1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1</v>
      </c>
      <c r="AD161">
        <v>0</v>
      </c>
      <c r="AE161">
        <v>0</v>
      </c>
      <c r="AF161">
        <v>0</v>
      </c>
      <c r="AG161">
        <v>0.69314718055994495</v>
      </c>
    </row>
    <row r="162" spans="1:33" x14ac:dyDescent="0.25">
      <c r="A162">
        <v>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4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</row>
    <row r="163" spans="1:33" x14ac:dyDescent="0.25">
      <c r="A163">
        <v>0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7</v>
      </c>
      <c r="P163">
        <v>0</v>
      </c>
      <c r="Q163">
        <v>0</v>
      </c>
      <c r="R163">
        <v>0</v>
      </c>
      <c r="S163">
        <v>4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0.65548177390139295</v>
      </c>
    </row>
    <row r="164" spans="1:33" x14ac:dyDescent="0.25">
      <c r="A164">
        <v>0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1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5</v>
      </c>
      <c r="P164">
        <v>0</v>
      </c>
      <c r="Q164">
        <v>0</v>
      </c>
      <c r="R164">
        <v>0</v>
      </c>
      <c r="S164">
        <v>1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0.79631164017381295</v>
      </c>
    </row>
    <row r="165" spans="1:33" x14ac:dyDescent="0.25">
      <c r="A165">
        <v>0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1</v>
      </c>
      <c r="P165">
        <v>0</v>
      </c>
      <c r="Q165">
        <v>0</v>
      </c>
      <c r="R165">
        <v>0</v>
      </c>
      <c r="S165">
        <v>9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0.32508297339144798</v>
      </c>
    </row>
    <row r="166" spans="1:33" x14ac:dyDescent="0.25">
      <c r="A166">
        <v>0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6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</row>
    <row r="167" spans="1:33" x14ac:dyDescent="0.25">
      <c r="A167">
        <v>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1</v>
      </c>
      <c r="P167">
        <v>0</v>
      </c>
      <c r="Q167">
        <v>0</v>
      </c>
      <c r="R167">
        <v>0</v>
      </c>
      <c r="S167">
        <v>2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0.636514168294813</v>
      </c>
    </row>
    <row r="168" spans="1:33" x14ac:dyDescent="0.25">
      <c r="A168">
        <v>0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6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</row>
    <row r="169" spans="1:33" x14ac:dyDescent="0.25">
      <c r="A169">
        <v>0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6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</row>
    <row r="170" spans="1:33" x14ac:dyDescent="0.25">
      <c r="A170">
        <v>0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5</v>
      </c>
      <c r="P170">
        <v>0</v>
      </c>
      <c r="Q170">
        <v>0</v>
      </c>
      <c r="R170">
        <v>0</v>
      </c>
      <c r="S170">
        <v>1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0.45056120886630502</v>
      </c>
    </row>
    <row r="171" spans="1:33" x14ac:dyDescent="0.25">
      <c r="A171">
        <v>1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</row>
    <row r="172" spans="1:33" x14ac:dyDescent="0.25">
      <c r="A172">
        <v>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1</v>
      </c>
      <c r="L172">
        <v>0</v>
      </c>
      <c r="M172">
        <v>0</v>
      </c>
      <c r="N172">
        <v>0</v>
      </c>
      <c r="O172">
        <v>4</v>
      </c>
      <c r="P172">
        <v>0</v>
      </c>
      <c r="Q172">
        <v>0</v>
      </c>
      <c r="R172">
        <v>0</v>
      </c>
      <c r="S172">
        <v>1</v>
      </c>
      <c r="T172">
        <v>0</v>
      </c>
      <c r="U172">
        <v>1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1.15374194270109</v>
      </c>
    </row>
    <row r="173" spans="1:33" x14ac:dyDescent="0.25">
      <c r="A173">
        <v>0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3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</row>
    <row r="174" spans="1:33" x14ac:dyDescent="0.25">
      <c r="A174">
        <v>0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</row>
    <row r="175" spans="1:33" x14ac:dyDescent="0.25">
      <c r="A175">
        <v>0</v>
      </c>
      <c r="B175">
        <v>0</v>
      </c>
      <c r="C175">
        <v>0</v>
      </c>
      <c r="D175">
        <v>0</v>
      </c>
      <c r="E175">
        <v>0</v>
      </c>
      <c r="F175">
        <v>1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2</v>
      </c>
      <c r="T175">
        <v>0</v>
      </c>
      <c r="U175">
        <v>0</v>
      </c>
      <c r="V175">
        <v>0</v>
      </c>
      <c r="W175">
        <v>1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1.0397207708399201</v>
      </c>
    </row>
    <row r="176" spans="1:33" x14ac:dyDescent="0.25">
      <c r="A176">
        <v>0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</row>
    <row r="177" spans="1:33" x14ac:dyDescent="0.25">
      <c r="A177">
        <v>0</v>
      </c>
      <c r="B177">
        <v>0</v>
      </c>
      <c r="C177">
        <v>0</v>
      </c>
      <c r="D177">
        <v>1</v>
      </c>
      <c r="E177">
        <v>1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5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3</v>
      </c>
      <c r="AE177">
        <v>0</v>
      </c>
      <c r="AF177">
        <v>0</v>
      </c>
      <c r="AG177">
        <v>1.1682824501765601</v>
      </c>
    </row>
    <row r="178" spans="1:33" x14ac:dyDescent="0.25">
      <c r="A178">
        <v>0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</row>
    <row r="179" spans="1:33" x14ac:dyDescent="0.25">
      <c r="A179">
        <v>0</v>
      </c>
      <c r="B179">
        <v>0</v>
      </c>
      <c r="C179">
        <v>0</v>
      </c>
      <c r="D179">
        <v>0</v>
      </c>
      <c r="E179">
        <v>1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1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2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1</v>
      </c>
      <c r="AF179">
        <v>0</v>
      </c>
      <c r="AG179">
        <v>1.3321790402101199</v>
      </c>
    </row>
    <row r="180" spans="1:33" x14ac:dyDescent="0.25">
      <c r="A180">
        <v>0</v>
      </c>
      <c r="B180">
        <v>0</v>
      </c>
      <c r="C180">
        <v>0</v>
      </c>
      <c r="D180">
        <v>0</v>
      </c>
      <c r="E180">
        <v>0</v>
      </c>
      <c r="F180">
        <v>2</v>
      </c>
      <c r="G180">
        <v>0</v>
      </c>
      <c r="H180">
        <v>0</v>
      </c>
      <c r="I180">
        <v>1</v>
      </c>
      <c r="J180">
        <v>0</v>
      </c>
      <c r="K180">
        <v>1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2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1.32966134885476</v>
      </c>
    </row>
    <row r="181" spans="1:33" x14ac:dyDescent="0.25">
      <c r="A181">
        <v>0</v>
      </c>
      <c r="B181">
        <v>1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1</v>
      </c>
      <c r="Q181">
        <v>0</v>
      </c>
      <c r="R181">
        <v>0</v>
      </c>
      <c r="S181">
        <v>4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1</v>
      </c>
      <c r="AC181">
        <v>0</v>
      </c>
      <c r="AD181">
        <v>0</v>
      </c>
      <c r="AE181">
        <v>0</v>
      </c>
      <c r="AF181">
        <v>0</v>
      </c>
      <c r="AG181">
        <v>1.15374194270109</v>
      </c>
    </row>
    <row r="182" spans="1:33" x14ac:dyDescent="0.25">
      <c r="A182">
        <v>0</v>
      </c>
      <c r="B182">
        <v>0</v>
      </c>
      <c r="C182">
        <v>0</v>
      </c>
      <c r="D182">
        <v>4</v>
      </c>
      <c r="E182">
        <v>3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1</v>
      </c>
      <c r="Q182">
        <v>0</v>
      </c>
      <c r="R182">
        <v>0</v>
      </c>
      <c r="S182">
        <v>9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1.1499171377909301</v>
      </c>
    </row>
    <row r="183" spans="1:33" x14ac:dyDescent="0.25">
      <c r="A183">
        <v>0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2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1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0.636514168294813</v>
      </c>
    </row>
    <row r="184" spans="1:33" x14ac:dyDescent="0.25">
      <c r="A184">
        <v>0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1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1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0.69314718055994495</v>
      </c>
    </row>
    <row r="185" spans="1:33" x14ac:dyDescent="0.25">
      <c r="A185">
        <v>0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2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3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1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1.01140426470735</v>
      </c>
    </row>
    <row r="186" spans="1:33" x14ac:dyDescent="0.25">
      <c r="A186">
        <v>0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</row>
    <row r="187" spans="1:33" x14ac:dyDescent="0.25">
      <c r="A187">
        <v>0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3</v>
      </c>
      <c r="P187">
        <v>0</v>
      </c>
      <c r="Q187">
        <v>0</v>
      </c>
      <c r="R187">
        <v>0</v>
      </c>
      <c r="S187">
        <v>1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0.56233514461880796</v>
      </c>
    </row>
    <row r="188" spans="1:33" x14ac:dyDescent="0.25">
      <c r="A188">
        <v>0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2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</row>
    <row r="189" spans="1:33" x14ac:dyDescent="0.25">
      <c r="A189">
        <v>0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1</v>
      </c>
      <c r="T189">
        <v>0</v>
      </c>
      <c r="U189">
        <v>0</v>
      </c>
      <c r="V189">
        <v>0</v>
      </c>
      <c r="W189">
        <v>1</v>
      </c>
      <c r="X189">
        <v>0</v>
      </c>
      <c r="Y189">
        <v>0</v>
      </c>
      <c r="Z189">
        <v>0</v>
      </c>
      <c r="AA189">
        <v>0</v>
      </c>
      <c r="AB189">
        <v>1</v>
      </c>
      <c r="AC189">
        <v>0</v>
      </c>
      <c r="AD189">
        <v>0</v>
      </c>
      <c r="AE189">
        <v>0</v>
      </c>
      <c r="AF189">
        <v>0</v>
      </c>
      <c r="AG189">
        <v>1.09861228866811</v>
      </c>
    </row>
    <row r="190" spans="1:33" x14ac:dyDescent="0.25">
      <c r="A190">
        <v>0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4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</row>
    <row r="191" spans="1:33" x14ac:dyDescent="0.25">
      <c r="A191">
        <v>0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1</v>
      </c>
      <c r="R191">
        <v>0</v>
      </c>
      <c r="S191">
        <v>0</v>
      </c>
      <c r="T191">
        <v>0</v>
      </c>
      <c r="U191">
        <v>0</v>
      </c>
      <c r="V191">
        <v>3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0.56233514461880796</v>
      </c>
    </row>
    <row r="192" spans="1:33" x14ac:dyDescent="0.25">
      <c r="A192">
        <v>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1</v>
      </c>
      <c r="U192">
        <v>0</v>
      </c>
      <c r="V192">
        <v>2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0.636514168294813</v>
      </c>
    </row>
    <row r="193" spans="1:33" x14ac:dyDescent="0.25">
      <c r="A193">
        <v>0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1</v>
      </c>
      <c r="AD193">
        <v>0</v>
      </c>
      <c r="AE193">
        <v>0</v>
      </c>
      <c r="AF193">
        <v>0</v>
      </c>
      <c r="AG193">
        <v>0</v>
      </c>
    </row>
    <row r="194" spans="1:33" x14ac:dyDescent="0.25">
      <c r="A194">
        <v>2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1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0.636514168294813</v>
      </c>
    </row>
    <row r="195" spans="1:33" x14ac:dyDescent="0.25">
      <c r="A195">
        <v>0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4</v>
      </c>
      <c r="T195">
        <v>1</v>
      </c>
      <c r="U195">
        <v>0</v>
      </c>
      <c r="V195">
        <v>0</v>
      </c>
      <c r="W195">
        <v>1</v>
      </c>
      <c r="X195">
        <v>2</v>
      </c>
      <c r="Y195">
        <v>0</v>
      </c>
      <c r="Z195">
        <v>0</v>
      </c>
      <c r="AA195">
        <v>0</v>
      </c>
      <c r="AB195">
        <v>1</v>
      </c>
      <c r="AC195">
        <v>0</v>
      </c>
      <c r="AD195">
        <v>0</v>
      </c>
      <c r="AE195">
        <v>0</v>
      </c>
      <c r="AF195">
        <v>0</v>
      </c>
      <c r="AG195">
        <v>1.42706104338072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29</vt:i4>
      </vt:variant>
      <vt:variant>
        <vt:lpstr>Named Ranges</vt:lpstr>
      </vt:variant>
      <vt:variant>
        <vt:i4>18</vt:i4>
      </vt:variant>
    </vt:vector>
  </HeadingPairs>
  <TitlesOfParts>
    <vt:vector size="47" baseType="lpstr">
      <vt:lpstr>neighb data final</vt:lpstr>
      <vt:lpstr>neighbourhood data plant lvl</vt:lpstr>
      <vt:lpstr>Plant lvl (focal) data</vt:lpstr>
      <vt:lpstr>Allometry</vt:lpstr>
      <vt:lpstr>SLA</vt:lpstr>
      <vt:lpstr>Soil</vt:lpstr>
      <vt:lpstr>Seeds</vt:lpstr>
      <vt:lpstr>shadecloth canopy estimation</vt:lpstr>
      <vt:lpstr>prelim seed data plotting</vt:lpstr>
      <vt:lpstr>model summaries for MM</vt:lpstr>
      <vt:lpstr>Solos seed summaries</vt:lpstr>
      <vt:lpstr>Sheet5</vt:lpstr>
      <vt:lpstr>trait data for Steph</vt:lpstr>
      <vt:lpstr>more trait data for Steph</vt:lpstr>
      <vt:lpstr>species attributes</vt:lpstr>
      <vt:lpstr>species attributes metadata</vt:lpstr>
      <vt:lpstr>neighbdata w traits</vt:lpstr>
      <vt:lpstr>neighb data traits melted</vt:lpstr>
      <vt:lpstr>mean var trait distances</vt:lpstr>
      <vt:lpstr>neighb data traits expanded</vt:lpstr>
      <vt:lpstr>neighbdata expanded melted</vt:lpstr>
      <vt:lpstr>abnd wghtd trt dst means vars </vt:lpstr>
      <vt:lpstr>plant lvl (focal) highcomp</vt:lpstr>
      <vt:lpstr>plant lvl (focal) w neighbors</vt:lpstr>
      <vt:lpstr>just neighbors</vt:lpstr>
      <vt:lpstr>quadrat lvl</vt:lpstr>
      <vt:lpstr>soil moisture plotting</vt:lpstr>
      <vt:lpstr>soil moisture analysis</vt:lpstr>
      <vt:lpstr>Sheet6</vt:lpstr>
      <vt:lpstr>Sheet6!commdata_1</vt:lpstr>
      <vt:lpstr>'neighb data traits expanded'!ndata5</vt:lpstr>
      <vt:lpstr>'neighbdata w traits'!ndata5</vt:lpstr>
      <vt:lpstr>'Plant lvl (focal) data'!plant</vt:lpstr>
      <vt:lpstr>'just neighbors'!Plotdata2</vt:lpstr>
      <vt:lpstr>'plant lvl (focal) w neighbors'!Plotdata2</vt:lpstr>
      <vt:lpstr>'quadrat lvl'!quad</vt:lpstr>
      <vt:lpstr>'soil moisture analysis'!quad</vt:lpstr>
      <vt:lpstr>'Solos seed summaries'!solos_species_treatment_by_block_seed_means</vt:lpstr>
      <vt:lpstr>'species attributes'!speciesattributes</vt:lpstr>
      <vt:lpstr>'mean var trait distances'!traitdistmeans</vt:lpstr>
      <vt:lpstr>'mean var trait distances'!traitdistmeans_1</vt:lpstr>
      <vt:lpstr>'abnd wghtd trt dst means vars '!traitdistmeansabundweighted</vt:lpstr>
      <vt:lpstr>'mean var trait distances'!traitdistvar</vt:lpstr>
      <vt:lpstr>'Plant lvl (focal) data'!traitdistvar</vt:lpstr>
      <vt:lpstr>'mean var trait distances'!traitdistvar_1</vt:lpstr>
      <vt:lpstr>'abnd wghtd trt dst means vars '!traitdistvarabundweighted</vt:lpstr>
      <vt:lpstr>'Plant lvl (focal) data'!traitdistvarabundweighted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Claire Wainwright</dc:creator>
  <cp:lastModifiedBy>Claire Wainwright</cp:lastModifiedBy>
  <dcterms:created xsi:type="dcterms:W3CDTF">2015-08-08T11:48:16Z</dcterms:created>
  <dcterms:modified xsi:type="dcterms:W3CDTF">2017-06-20T23:25:47Z</dcterms:modified>
</cp:coreProperties>
</file>